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ddto" sheetId="1" r:id="rId4"/>
    <sheet state="hidden" name="MassFormulaTesting" sheetId="2" r:id="rId5"/>
    <sheet state="hidden" name="HexaEquatCopy" sheetId="3" r:id="rId6"/>
    <sheet state="hidden" name="SunSet-Leaderboards" sheetId="4" r:id="rId7"/>
    <sheet state="visible" name="Draft Sheet" sheetId="5" r:id="rId8"/>
    <sheet state="visible" name="PrePlayoff Standings" sheetId="6" r:id="rId9"/>
    <sheet state="visible" name="What Each Means" sheetId="7" r:id="rId10"/>
    <sheet state="visible" name="Leaderboards" sheetId="8" r:id="rId11"/>
    <sheet state="visible" name="Team Report Cards" sheetId="9" r:id="rId12"/>
    <sheet state="visible" name="Record Book" sheetId="10" r:id="rId13"/>
    <sheet state="visible" name="TeamInfo" sheetId="11" r:id="rId14"/>
    <sheet state="hidden" name="HEXASbaseINFO" sheetId="12" r:id="rId15"/>
    <sheet state="visible" name="PlayerGrades+" sheetId="13" r:id="rId16"/>
    <sheet state="hidden" name="PlayerGrades" sheetId="14" r:id="rId17"/>
    <sheet state="visible" name="PG Stats" sheetId="15" r:id="rId18"/>
    <sheet state="visible" name="Runner Comparison chart" sheetId="16" r:id="rId19"/>
    <sheet state="visible" name="Halo Reach Stats" sheetId="17" r:id="rId20"/>
    <sheet state="visible" name="TotalAverages" sheetId="18" r:id="rId21"/>
    <sheet state="visible" name="Review HR_MatchH" sheetId="19" r:id="rId22"/>
    <sheet state="hidden" name="Percentiles Grades" sheetId="20" r:id="rId23"/>
    <sheet state="hidden" name="Special Stats" sheetId="21" r:id="rId24"/>
    <sheet state="hidden" name="Player Efficiency" sheetId="22" r:id="rId25"/>
    <sheet state="hidden" name="HR_MatchH" sheetId="23" r:id="rId26"/>
    <sheet state="visible" name="Copy of Playoff Bracket" sheetId="24" r:id="rId27"/>
    <sheet state="visible" name="Copy of Playoff Games" sheetId="25" r:id="rId28"/>
    <sheet state="hidden" name="Round 1" sheetId="26" r:id="rId29"/>
    <sheet state="hidden" name="Round 2" sheetId="27" r:id="rId30"/>
    <sheet state="hidden" name="RoundAverages" sheetId="28" r:id="rId31"/>
    <sheet state="hidden" name="Round 3" sheetId="29" r:id="rId32"/>
    <sheet state="hidden" name="Semifinals" sheetId="30" r:id="rId33"/>
    <sheet state="hidden" name="Finals" sheetId="31" r:id="rId34"/>
    <sheet state="visible" name="Game Overview" sheetId="32" r:id="rId35"/>
    <sheet state="visible" name="Copy of Schedule" sheetId="33" r:id="rId36"/>
  </sheets>
  <definedNames>
    <definedName hidden="1" localSheetId="16" name="_xlnm._FilterDatabase">'Halo Reach Stats'!$A$1:$AM$47</definedName>
    <definedName hidden="1" localSheetId="20" name="_xlnm._FilterDatabase">'Special Stats'!$A$3:$Z$47</definedName>
  </definedNames>
  <calcPr/>
  <pivotCaches>
    <pivotCache cacheId="0" r:id="rId37"/>
    <pivotCache cacheId="1" r:id="rId38"/>
  </pivotCaches>
</workbook>
</file>

<file path=xl/sharedStrings.xml><?xml version="1.0" encoding="utf-8"?>
<sst xmlns="http://schemas.openxmlformats.org/spreadsheetml/2006/main" count="3774" uniqueCount="780">
  <si>
    <t>Add</t>
  </si>
  <si>
    <t>To Halo 4 Stats</t>
  </si>
  <si>
    <t>Team name per player</t>
  </si>
  <si>
    <t>location per player</t>
  </si>
  <si>
    <t>system per player</t>
  </si>
  <si>
    <t>To Rounds</t>
  </si>
  <si>
    <t>Host location used for games</t>
  </si>
  <si>
    <t>color code team MvP</t>
  </si>
  <si>
    <t>in general</t>
  </si>
  <si>
    <t>Player grades</t>
  </si>
  <si>
    <t>match averages</t>
  </si>
  <si>
    <t>top stat players</t>
  </si>
  <si>
    <t>hexas stats</t>
  </si>
  <si>
    <t>color code match history for rounds</t>
  </si>
  <si>
    <t>top 10 players per stat/time average</t>
  </si>
  <si>
    <t>combined team stats</t>
  </si>
  <si>
    <t>https://challonge.com/Halo4FallSeriesEventTwo</t>
  </si>
  <si>
    <t>Team MVP =</t>
  </si>
  <si>
    <t>NOT ADJUSTED FOR THE TOURNAMENT</t>
  </si>
  <si>
    <t>Weighting</t>
  </si>
  <si>
    <t>Goals</t>
  </si>
  <si>
    <t>Kills</t>
  </si>
  <si>
    <t>Assists</t>
  </si>
  <si>
    <t>Deaths</t>
  </si>
  <si>
    <t>Spread</t>
  </si>
  <si>
    <t>Streak</t>
  </si>
  <si>
    <t>Betrayals</t>
  </si>
  <si>
    <t>TimeAlive</t>
  </si>
  <si>
    <t>GameTime</t>
  </si>
  <si>
    <t>AverageLife</t>
  </si>
  <si>
    <t>BombStops</t>
  </si>
  <si>
    <t>KillingSprees</t>
  </si>
  <si>
    <t>KillingFrenzies</t>
  </si>
  <si>
    <t>DoubleKills</t>
  </si>
  <si>
    <t>TripleKills</t>
  </si>
  <si>
    <t>Overkills</t>
  </si>
  <si>
    <t>Killtaculars</t>
  </si>
  <si>
    <t>Killtrocities</t>
  </si>
  <si>
    <t>Killamanjaros</t>
  </si>
  <si>
    <t>Killtastrophe</t>
  </si>
  <si>
    <t>Bulltrues</t>
  </si>
  <si>
    <t>Avengers</t>
  </si>
  <si>
    <t>BallClears</t>
  </si>
  <si>
    <t>CarrierKillAssists</t>
  </si>
  <si>
    <t>Catches</t>
  </si>
  <si>
    <t>FastBreaks</t>
  </si>
  <si>
    <t>FirstStrikes</t>
  </si>
  <si>
    <t>FirstTouches</t>
  </si>
  <si>
    <t>GoalDefences</t>
  </si>
  <si>
    <t>GoalKeepers</t>
  </si>
  <si>
    <t>HammerKills</t>
  </si>
  <si>
    <t>Interceptions</t>
  </si>
  <si>
    <t>LongBombs</t>
  </si>
  <si>
    <t>NiceCatches</t>
  </si>
  <si>
    <t>Rejections</t>
  </si>
  <si>
    <t>SwordKills</t>
  </si>
  <si>
    <t>36 total stats</t>
  </si>
  <si>
    <t>Weighting of 98</t>
  </si>
  <si>
    <t>Bot</t>
  </si>
  <si>
    <t>God LEVEL player</t>
  </si>
  <si>
    <t>Top/Lowest per stat: Raw Value</t>
  </si>
  <si>
    <t>Lowest</t>
  </si>
  <si>
    <t>K-D Whores</t>
  </si>
  <si>
    <t>('Kills'+'Assists'-'Deaths')/('Game Time'/60)</t>
  </si>
  <si>
    <t>Spree king</t>
  </si>
  <si>
    <t>('Killing Sprees')/('Game Time'/60)</t>
  </si>
  <si>
    <t>Helping Hands</t>
  </si>
  <si>
    <t>('Assists'+'Avengers')/('Game Time'/60)</t>
  </si>
  <si>
    <t>Overrated</t>
  </si>
  <si>
    <t>('Triple Kills'+'Overkills'+'Killtaculars'+'Killtrocities'+'Killamanjaros'+'Killtastrophe')/'Kills'</t>
  </si>
  <si>
    <t>W Key Warrior</t>
  </si>
  <si>
    <t>('Kills'+'Assists'+'Deaths')/('Game Time'/60)</t>
  </si>
  <si>
    <t>Sugar Daddies</t>
  </si>
  <si>
    <t>('Killing Sprees'+'Killing Frenzies')/('Game Time'/60)</t>
  </si>
  <si>
    <t>Running Wild</t>
  </si>
  <si>
    <t>('Double Kills'+'Triple Kills'+'Overkills'+'Killtaculars'+'Killtrocities'+'Killamanjaros'+'Killtastrophe')/('Game Time'/60)</t>
  </si>
  <si>
    <t>Betray Master</t>
  </si>
  <si>
    <t>('Betrayals')/('Game Time'/60)</t>
  </si>
  <si>
    <t>Kills Per Betrayal</t>
  </si>
  <si>
    <t>('Kills'/'Betrayals')</t>
  </si>
  <si>
    <t>6-S HEXAS</t>
  </si>
  <si>
    <t>('Goals'/'Games Played'/5)+('Kills'-'Deaths'+'Double Kills'+'Triple Kills'+'Overkills')/('Game Time'/60)</t>
  </si>
  <si>
    <t>Revenger</t>
  </si>
  <si>
    <t>('Avengers'/)('Game Time'/60)</t>
  </si>
  <si>
    <t>Ball God</t>
  </si>
  <si>
    <t>('Bomb Kills'+'Goals')/('Carry Time'/60)</t>
  </si>
  <si>
    <t>Comeback Kid</t>
  </si>
  <si>
    <t>('Revenges')/('Game Time'/60)</t>
  </si>
  <si>
    <t>Top Achievements</t>
  </si>
  <si>
    <t>Seconds</t>
  </si>
  <si>
    <t>Compass</t>
  </si>
  <si>
    <r>
      <rPr>
        <rFont val="Arial"/>
        <color theme="1"/>
      </rPr>
      <t xml:space="preserve">(Kills+Assists-Deaths) </t>
    </r>
    <r>
      <rPr>
        <rFont val="Arial"/>
        <b/>
        <color theme="1"/>
      </rPr>
      <t>per minute</t>
    </r>
  </si>
  <si>
    <r>
      <rPr>
        <rFont val="Arial"/>
        <color theme="1"/>
      </rPr>
      <t xml:space="preserve">sprees </t>
    </r>
    <r>
      <rPr>
        <rFont val="Arial"/>
        <b/>
        <color theme="1"/>
      </rPr>
      <t>per minute</t>
    </r>
  </si>
  <si>
    <r>
      <rPr>
        <rFont val="Arial"/>
        <color theme="1"/>
      </rPr>
      <t xml:space="preserve">Assists </t>
    </r>
    <r>
      <rPr>
        <rFont val="Arial"/>
        <b/>
        <color theme="1"/>
      </rPr>
      <t>per minute</t>
    </r>
  </si>
  <si>
    <t>(TripleKills+Overkills+Killtaculars+Killtrocities+Killamanjaros+Killtastrophe)/Kills</t>
  </si>
  <si>
    <r>
      <rPr>
        <rFont val="Arial"/>
        <color theme="1"/>
      </rPr>
      <t xml:space="preserve">(Kills+Assists+Deaths) </t>
    </r>
    <r>
      <rPr>
        <rFont val="Arial"/>
        <b/>
        <color theme="1"/>
      </rPr>
      <t>per minutes</t>
    </r>
  </si>
  <si>
    <r>
      <rPr>
        <rFont val="Arial"/>
        <color theme="1"/>
      </rPr>
      <t xml:space="preserve">(KillingSprees+KillingFrenzies) </t>
    </r>
    <r>
      <rPr>
        <rFont val="Arial"/>
        <b/>
        <color theme="1"/>
      </rPr>
      <t>per minute</t>
    </r>
  </si>
  <si>
    <r>
      <rPr>
        <rFont val="Arial"/>
        <color theme="1"/>
      </rPr>
      <t xml:space="preserve">(DoubleKills+TripleKills+Overkills+Killtaculars+Killtrocities+Killamanjaros+Killtastrophe) </t>
    </r>
    <r>
      <rPr>
        <rFont val="Arial"/>
        <b/>
        <color theme="1"/>
      </rPr>
      <t>per minute</t>
    </r>
  </si>
  <si>
    <t>Average Life</t>
  </si>
  <si>
    <r>
      <rPr>
        <rFont val="Arial"/>
        <color theme="1"/>
      </rPr>
      <t xml:space="preserve">Average Life </t>
    </r>
    <r>
      <rPr>
        <rFont val="Arial"/>
        <b/>
        <color theme="1"/>
      </rPr>
      <t>in seconds</t>
    </r>
  </si>
  <si>
    <r>
      <rPr>
        <rFont val="Arial"/>
        <color theme="1"/>
      </rPr>
      <t xml:space="preserve">(Goals/GamesPlayed/5)+(Kills-Deaths+BombStops+DoubleKills+TripleKills+Overkills) </t>
    </r>
    <r>
      <rPr>
        <rFont val="Arial"/>
        <b/>
        <color theme="1"/>
      </rPr>
      <t>per minute</t>
    </r>
  </si>
  <si>
    <t>Grifball World League Spring League 2023 Draft Sheet</t>
  </si>
  <si>
    <t>Team Name:</t>
  </si>
  <si>
    <t>Rated R</t>
  </si>
  <si>
    <t xml:space="preserve"> British Beaters</t>
  </si>
  <si>
    <t>Tips N' Tricks</t>
  </si>
  <si>
    <t>TV Boys</t>
  </si>
  <si>
    <t>Do It Fart?</t>
  </si>
  <si>
    <t>Hammers N’ Roses</t>
  </si>
  <si>
    <t>Qwib Qwibs Ambition</t>
  </si>
  <si>
    <t>Yodie Gang</t>
  </si>
  <si>
    <t>Carry The Coach</t>
  </si>
  <si>
    <t>Like Clockwork (Season Winner)</t>
  </si>
  <si>
    <t>Captain:</t>
  </si>
  <si>
    <t>Mavbrid</t>
  </si>
  <si>
    <t>ADhillyy</t>
  </si>
  <si>
    <t>`ActiveHate</t>
  </si>
  <si>
    <t>Dior Glori</t>
  </si>
  <si>
    <t>Dhlyn</t>
  </si>
  <si>
    <t>Hells Angel cx</t>
  </si>
  <si>
    <t>InfiniteRainge</t>
  </si>
  <si>
    <t>oDhmon</t>
  </si>
  <si>
    <t>unbes</t>
  </si>
  <si>
    <t>yLuxe</t>
  </si>
  <si>
    <t>1st Round:</t>
  </si>
  <si>
    <t>Judasey</t>
  </si>
  <si>
    <t>Finesse God24</t>
  </si>
  <si>
    <t>DIGITAL PAIN</t>
  </si>
  <si>
    <t>Cell x2</t>
  </si>
  <si>
    <t>Itzreelz</t>
  </si>
  <si>
    <t>Beautytism</t>
  </si>
  <si>
    <t>L1ght5aber</t>
  </si>
  <si>
    <t>ixGingy</t>
  </si>
  <si>
    <t>Impuritive</t>
  </si>
  <si>
    <t>Godsnipezx</t>
  </si>
  <si>
    <t>2nd Round:</t>
  </si>
  <si>
    <t>MysticalNovice</t>
  </si>
  <si>
    <t>Mhurcy</t>
  </si>
  <si>
    <t>Solace VIII</t>
  </si>
  <si>
    <t>MealyKitten0</t>
  </si>
  <si>
    <t>Lane Uppy</t>
  </si>
  <si>
    <t>Scullen cx</t>
  </si>
  <si>
    <t>CaptainSev004</t>
  </si>
  <si>
    <t>so silly</t>
  </si>
  <si>
    <t>Zelynthia</t>
  </si>
  <si>
    <t>ASpence501</t>
  </si>
  <si>
    <t>3rd Round:</t>
  </si>
  <si>
    <t>MoldyVolts</t>
  </si>
  <si>
    <t>L0rna Shore</t>
  </si>
  <si>
    <t>EllisGotMyPills</t>
  </si>
  <si>
    <t>Luner Panda</t>
  </si>
  <si>
    <t>SPANKTR0N</t>
  </si>
  <si>
    <t>TommyWstSide</t>
  </si>
  <si>
    <t>Doerstopper</t>
  </si>
  <si>
    <t>Laser Wins</t>
  </si>
  <si>
    <t>OhhMy Misery</t>
  </si>
  <si>
    <t>Almighty Tycoon</t>
  </si>
  <si>
    <t>Draft Pool</t>
  </si>
  <si>
    <t>Free Sub Pool</t>
  </si>
  <si>
    <t>AwareMosquito</t>
  </si>
  <si>
    <t>Gamertag</t>
  </si>
  <si>
    <t>Discord</t>
  </si>
  <si>
    <t>Region</t>
  </si>
  <si>
    <t>Stats:</t>
  </si>
  <si>
    <t>Past Gamertags</t>
  </si>
  <si>
    <t>Schedule:</t>
  </si>
  <si>
    <t>MuNgO PuNgO</t>
  </si>
  <si>
    <t>Almighty_Tycoon#9599</t>
  </si>
  <si>
    <t>US West</t>
  </si>
  <si>
    <r>
      <rPr>
        <rFont val="Oswald"/>
        <b/>
        <color theme="1"/>
        <sz val="12.0"/>
      </rPr>
      <t>E</t>
    </r>
    <r>
      <rPr>
        <rFont val="Oswald"/>
        <color theme="1"/>
        <sz val="12.0"/>
      </rPr>
      <t>, 0.75 KD</t>
    </r>
  </si>
  <si>
    <t>xBossTycoon</t>
  </si>
  <si>
    <t>Sundays, Fridays, Saturdays. 7-9PM EST</t>
  </si>
  <si>
    <t>SAVLDGE</t>
  </si>
  <si>
    <t>Ronald Raygun#9000</t>
  </si>
  <si>
    <t>US East</t>
  </si>
  <si>
    <t>N/A</t>
  </si>
  <si>
    <t>Thunder4400</t>
  </si>
  <si>
    <t>Fridays, Saturdays. 7-9PM EST</t>
  </si>
  <si>
    <t>Matt419#4573</t>
  </si>
  <si>
    <t>West Europe</t>
  </si>
  <si>
    <r>
      <rPr>
        <rFont val="Oswald"/>
        <b/>
        <strike/>
        <color theme="1"/>
        <sz val="12.0"/>
      </rPr>
      <t>E</t>
    </r>
    <r>
      <rPr>
        <rFont val="Oswald"/>
        <strike/>
        <color theme="1"/>
        <sz val="12.0"/>
      </rPr>
      <t>, 0.73 KD</t>
    </r>
  </si>
  <si>
    <t>Everyday, 7-8PM EST</t>
  </si>
  <si>
    <t>Sev004#8599</t>
  </si>
  <si>
    <r>
      <rPr>
        <rFont val="Calibri"/>
        <color theme="1"/>
        <sz val="11.0"/>
      </rPr>
      <t xml:space="preserve">Everyday, 7-9PM EST, </t>
    </r>
    <r>
      <rPr>
        <rFont val="Calibri"/>
        <b/>
        <color theme="1"/>
        <sz val="11.0"/>
      </rPr>
      <t>Subject to Change</t>
    </r>
    <r>
      <rPr>
        <rFont val="Calibri"/>
        <color theme="1"/>
        <sz val="11.0"/>
      </rPr>
      <t>.</t>
    </r>
  </si>
  <si>
    <t>STANDINGS</t>
  </si>
  <si>
    <t>Cell x2#6519</t>
  </si>
  <si>
    <t>Cellbro, NoImNotm8, C311</t>
  </si>
  <si>
    <t>Everyday, 8-10PM EST</t>
  </si>
  <si>
    <t>Team Name</t>
  </si>
  <si>
    <t>Wins</t>
  </si>
  <si>
    <t>Losses</t>
  </si>
  <si>
    <t>DLGITAL PAIN</t>
  </si>
  <si>
    <t>DigitalPain#5416</t>
  </si>
  <si>
    <t>I have little time for customs or practice.</t>
  </si>
  <si>
    <t>Sundays, Thursdays, Fridays, 8-10PM EST</t>
  </si>
  <si>
    <t>1st</t>
  </si>
  <si>
    <t>Doerstopper#1899</t>
  </si>
  <si>
    <t>US North Central</t>
  </si>
  <si>
    <t>Everyday, 9-10PM EST</t>
  </si>
  <si>
    <t>Like Clockwork</t>
  </si>
  <si>
    <t>2nd</t>
  </si>
  <si>
    <t>Ellis#3196</t>
  </si>
  <si>
    <t>Mondays-Fridays, 7PM EST</t>
  </si>
  <si>
    <t>3rd</t>
  </si>
  <si>
    <t>ObeyTheRuler23#7243</t>
  </si>
  <si>
    <t>US South Central</t>
  </si>
  <si>
    <r>
      <rPr>
        <rFont val="Oswald"/>
        <b/>
        <color theme="1"/>
        <sz val="12.0"/>
      </rPr>
      <t>B</t>
    </r>
    <r>
      <rPr>
        <rFont val="Oswald"/>
        <color theme="1"/>
        <sz val="12.0"/>
      </rPr>
      <t>, 0.95 KD</t>
    </r>
  </si>
  <si>
    <t>Everyday, 7-10PM EST</t>
  </si>
  <si>
    <t>4th</t>
  </si>
  <si>
    <t>ℰ𝓉𝒽𝑒𝓇𝑒𝒶𝓁#7922</t>
  </si>
  <si>
    <r>
      <rPr>
        <rFont val="Oswald"/>
        <b/>
        <color theme="1"/>
        <sz val="12.0"/>
      </rPr>
      <t>A</t>
    </r>
    <r>
      <rPr>
        <rFont val="Oswald"/>
        <color theme="1"/>
        <sz val="12.0"/>
      </rPr>
      <t>, 1.49 KD</t>
    </r>
  </si>
  <si>
    <t>5th</t>
  </si>
  <si>
    <t>Snipezz#6975</t>
  </si>
  <si>
    <r>
      <rPr>
        <rFont val="Oswald"/>
        <b/>
        <color theme="1"/>
        <sz val="12.0"/>
      </rPr>
      <t>A</t>
    </r>
    <r>
      <rPr>
        <rFont val="Oswald"/>
        <color theme="1"/>
        <sz val="12.0"/>
      </rPr>
      <t>, 0.96 KD</t>
    </r>
  </si>
  <si>
    <t>Sniperkidd</t>
  </si>
  <si>
    <t>Everyday, 7-9PM EST</t>
  </si>
  <si>
    <t>Hammers N' Roses</t>
  </si>
  <si>
    <t>6th</t>
  </si>
  <si>
    <t>Akalxn#7773</t>
  </si>
  <si>
    <r>
      <rPr>
        <rFont val="Oswald"/>
        <b/>
        <color theme="1"/>
        <sz val="12.0"/>
      </rPr>
      <t>C</t>
    </r>
    <r>
      <rPr>
        <rFont val="Oswald"/>
        <color theme="1"/>
        <sz val="12.0"/>
      </rPr>
      <t>, 1.01 KD</t>
    </r>
  </si>
  <si>
    <t>Frnzh</t>
  </si>
  <si>
    <t>Saturdays, Sundays, 7PM EST</t>
  </si>
  <si>
    <t>Andy#1270</t>
  </si>
  <si>
    <r>
      <rPr>
        <rFont val="Oswald"/>
        <b/>
        <color theme="1"/>
        <sz val="12.0"/>
      </rPr>
      <t>A</t>
    </r>
    <r>
      <rPr>
        <rFont val="Oswald"/>
        <color theme="1"/>
        <sz val="12.0"/>
      </rPr>
      <t>, 1.08 KD</t>
    </r>
  </si>
  <si>
    <t>R6 x Aqua</t>
  </si>
  <si>
    <t>IxGingy#8121</t>
  </si>
  <si>
    <t>I am a runner in reach. Not a tank.</t>
  </si>
  <si>
    <t>Sundays, Wednesdays, Fridays, Saturdays, 7-8PM EST</t>
  </si>
  <si>
    <t>British Beaters</t>
  </si>
  <si>
    <t>Judasey#7925</t>
  </si>
  <si>
    <r>
      <rPr>
        <rFont val="Oswald"/>
        <b/>
        <color theme="1"/>
        <sz val="12.0"/>
      </rPr>
      <t>S</t>
    </r>
    <r>
      <rPr>
        <rFont val="Oswald"/>
        <color theme="1"/>
        <sz val="12.0"/>
      </rPr>
      <t>, 1.26 KD</t>
    </r>
  </si>
  <si>
    <t>Judasey, Innsightful</t>
  </si>
  <si>
    <t>Mondays-Thursdays, 7-10PM EST</t>
  </si>
  <si>
    <t>Grif#3020</t>
  </si>
  <si>
    <t>Mzgik/GrifballTryhard/Grif 2the ball</t>
  </si>
  <si>
    <t>Sundays, Saturdays, 7-10PM EST</t>
  </si>
  <si>
    <t>Saber#1562</t>
  </si>
  <si>
    <r>
      <rPr>
        <rFont val="Oswald"/>
        <b/>
        <color theme="1"/>
        <sz val="12.0"/>
      </rPr>
      <t>C</t>
    </r>
    <r>
      <rPr>
        <rFont val="Oswald"/>
        <color theme="1"/>
        <sz val="12.0"/>
      </rPr>
      <t>, 0.97 KD</t>
    </r>
  </si>
  <si>
    <t>ParagonSaber</t>
  </si>
  <si>
    <t>Mondays-Saturdays, 8-10PM EST</t>
  </si>
  <si>
    <t>downyinfusions#4362</t>
  </si>
  <si>
    <r>
      <rPr>
        <rFont val="Oswald"/>
        <b/>
        <color theme="1"/>
        <sz val="12.0"/>
      </rPr>
      <t>E</t>
    </r>
    <r>
      <rPr>
        <rFont val="Oswald"/>
        <color theme="1"/>
        <sz val="12.0"/>
      </rPr>
      <t>, 0.88 KD</t>
    </r>
  </si>
  <si>
    <t xml:space="preserve">N/A </t>
  </si>
  <si>
    <t>Everyday, 10PM EST</t>
  </si>
  <si>
    <t>EscapeArtist619#7421</t>
  </si>
  <si>
    <r>
      <rPr>
        <rFont val="Oswald"/>
        <b/>
        <color theme="1"/>
        <sz val="12.0"/>
      </rPr>
      <t>F</t>
    </r>
    <r>
      <rPr>
        <rFont val="Oswald"/>
        <color theme="1"/>
        <sz val="12.0"/>
      </rPr>
      <t>, 0.62 KD</t>
    </r>
  </si>
  <si>
    <t>EscapeArtist619</t>
  </si>
  <si>
    <t>Sundays, Mondays, 10PM EST</t>
  </si>
  <si>
    <t>Luner Panda#0001</t>
  </si>
  <si>
    <t>Canada</t>
  </si>
  <si>
    <r>
      <rPr>
        <rFont val="Oswald"/>
        <b/>
        <color theme="1"/>
        <sz val="12.0"/>
      </rPr>
      <t>C</t>
    </r>
    <r>
      <rPr>
        <rFont val="Oswald"/>
        <color theme="1"/>
        <sz val="12.0"/>
      </rPr>
      <t>, 0.92 KD</t>
    </r>
  </si>
  <si>
    <t>GrifballIsToxic</t>
  </si>
  <si>
    <t>MealyKitten0#0699</t>
  </si>
  <si>
    <r>
      <rPr>
        <rFont val="Oswald"/>
        <b/>
        <color theme="1"/>
        <sz val="12.0"/>
      </rPr>
      <t>C</t>
    </r>
    <r>
      <rPr>
        <rFont val="Oswald"/>
        <color theme="1"/>
        <sz val="12.0"/>
      </rPr>
      <t>, 0.83 KD</t>
    </r>
  </si>
  <si>
    <t>Sundays, Fridays, Saturdays, 9PM EST</t>
  </si>
  <si>
    <t>Mhurcy#0714</t>
  </si>
  <si>
    <r>
      <rPr>
        <rFont val="Oswald"/>
        <b/>
        <color theme="1"/>
        <sz val="12.0"/>
      </rPr>
      <t>B</t>
    </r>
    <r>
      <rPr>
        <rFont val="Oswald"/>
        <color theme="1"/>
        <sz val="12.0"/>
      </rPr>
      <t>, 0.86 KD</t>
    </r>
  </si>
  <si>
    <t>MoldyVolts#1495</t>
  </si>
  <si>
    <r>
      <rPr>
        <rFont val="Oswald"/>
        <b/>
        <color theme="1"/>
        <sz val="12.0"/>
      </rPr>
      <t>B</t>
    </r>
    <r>
      <rPr>
        <rFont val="Oswald"/>
        <color theme="1"/>
        <sz val="12.0"/>
      </rPr>
      <t>, 0.79 KD</t>
    </r>
  </si>
  <si>
    <t>MuNgO PuNgO#4032</t>
  </si>
  <si>
    <r>
      <rPr>
        <rFont val="Calibri"/>
        <strike/>
        <color theme="1"/>
        <sz val="11.0"/>
      </rPr>
      <t xml:space="preserve">Sundays, 7-10PM EST, </t>
    </r>
    <r>
      <rPr>
        <rFont val="Calibri"/>
        <b/>
        <strike/>
        <color theme="1"/>
        <sz val="11.0"/>
      </rPr>
      <t>Subject to Change.</t>
    </r>
  </si>
  <si>
    <t>MysticalNovice#2876</t>
  </si>
  <si>
    <t>Sundays, Wednesdays-Saturdays, 10PM EST</t>
  </si>
  <si>
    <t>Cutasey#5950</t>
  </si>
  <si>
    <t>Hated Misery</t>
  </si>
  <si>
    <t>Tuesdays, Wednesdays, Thursdays, 7-10PM EST</t>
  </si>
  <si>
    <t>Daynger#1546</t>
  </si>
  <si>
    <t xml:space="preserve">SHAD0W 2X, BULLETS X2, DayngerrDayne
</t>
  </si>
  <si>
    <t>Scullen#2152</t>
  </si>
  <si>
    <r>
      <rPr>
        <rFont val="Oswald"/>
        <b/>
        <color theme="1"/>
        <sz val="12.0"/>
      </rPr>
      <t>C</t>
    </r>
    <r>
      <rPr>
        <rFont val="Oswald"/>
        <color theme="1"/>
        <sz val="12.0"/>
      </rPr>
      <t>, 0.80 KD</t>
    </r>
  </si>
  <si>
    <t>Scullen75</t>
  </si>
  <si>
    <t>Deek#4190</t>
  </si>
  <si>
    <r>
      <rPr>
        <rFont val="Oswald"/>
        <b/>
        <color theme="1"/>
        <sz val="12.0"/>
      </rPr>
      <t>B</t>
    </r>
    <r>
      <rPr>
        <rFont val="Oswald"/>
        <color theme="1"/>
        <sz val="12.0"/>
      </rPr>
      <t>, 0.90 KD</t>
    </r>
  </si>
  <si>
    <t>SOMETIEMS THEY CALL ME MIKE</t>
  </si>
  <si>
    <t>Sundays, Mondays, Saturdays, 7-10PM EST</t>
  </si>
  <si>
    <t>shank#2119</t>
  </si>
  <si>
    <r>
      <rPr>
        <rFont val="Oswald"/>
        <b/>
        <color theme="1"/>
        <sz val="12.0"/>
      </rPr>
      <t>C</t>
    </r>
    <r>
      <rPr>
        <rFont val="Oswald"/>
        <color theme="1"/>
        <sz val="12.0"/>
      </rPr>
      <t>, 0.95 KD</t>
    </r>
  </si>
  <si>
    <t>SPANKTR0N sliightlystoned shankspank187</t>
  </si>
  <si>
    <t>Tommy#0006</t>
  </si>
  <si>
    <r>
      <rPr>
        <rFont val="Oswald"/>
        <b/>
        <color theme="1"/>
        <sz val="12.0"/>
      </rPr>
      <t>B</t>
    </r>
    <r>
      <rPr>
        <rFont val="Oswald"/>
        <color theme="1"/>
        <sz val="12.0"/>
      </rPr>
      <t>, 0.95 KD</t>
    </r>
  </si>
  <si>
    <t>Sundays-Tuesdays, Thursdays-Saturdays, 7-9PM EST</t>
  </si>
  <si>
    <t>?! Z#6271</t>
  </si>
  <si>
    <r>
      <rPr>
        <rFont val="Oswald"/>
        <b/>
        <color theme="1"/>
        <sz val="12.0"/>
      </rPr>
      <t>C</t>
    </r>
    <r>
      <rPr>
        <rFont val="Oswald"/>
        <color theme="1"/>
        <sz val="12.0"/>
      </rPr>
      <t>, 0.88 KD</t>
    </r>
  </si>
  <si>
    <t>pure bonks, siiiy kids, I lantic I</t>
  </si>
  <si>
    <t>Zelynthia#8893</t>
  </si>
  <si>
    <r>
      <rPr>
        <rFont val="Oswald"/>
        <b/>
        <color theme="1"/>
        <sz val="12.0"/>
      </rPr>
      <t>D</t>
    </r>
    <r>
      <rPr>
        <rFont val="Oswald"/>
        <color theme="1"/>
        <sz val="12.0"/>
      </rPr>
      <t>, 0.75 KD</t>
    </r>
  </si>
  <si>
    <r>
      <rPr>
        <rFont val="Oswald, Arial"/>
        <color rgb="FFFF0000"/>
        <sz val="12.0"/>
      </rPr>
      <t xml:space="preserve">GWL'S TOP 5 </t>
    </r>
    <r>
      <rPr>
        <rFont val="Oswald, Arial"/>
        <color rgb="FF000000"/>
        <sz val="12.0"/>
      </rPr>
      <t>RUNNERS</t>
    </r>
  </si>
  <si>
    <r>
      <rPr>
        <rFont val="Oswald, Arial"/>
        <color rgb="FFFF0000"/>
        <sz val="12.0"/>
      </rPr>
      <t xml:space="preserve">GWL'S TOP 10 </t>
    </r>
    <r>
      <rPr>
        <rFont val="Oswald, Arial"/>
        <color rgb="FF000000"/>
        <sz val="12.0"/>
      </rPr>
      <t>TANKS</t>
    </r>
  </si>
  <si>
    <t>2. EllisGotMyPills</t>
  </si>
  <si>
    <t>2. DIGITAL PAIN</t>
  </si>
  <si>
    <t>3. Hells Angel cx</t>
  </si>
  <si>
    <t>3. Itzreelz</t>
  </si>
  <si>
    <t>4. Dhlyn</t>
  </si>
  <si>
    <t>4. ixGingy</t>
  </si>
  <si>
    <t>5. L0rna Shore</t>
  </si>
  <si>
    <t>5. Solace VIII</t>
  </si>
  <si>
    <t>6. Beautytism</t>
  </si>
  <si>
    <t>7. InfiniteRainge</t>
  </si>
  <si>
    <t>8. ASpence501</t>
  </si>
  <si>
    <t>9. L0rna Shore</t>
  </si>
  <si>
    <t>10. Lane Uppy</t>
  </si>
  <si>
    <r>
      <rPr>
        <rFont val="Oswald, Arial"/>
        <b/>
        <color rgb="FF000000"/>
        <sz val="24.0"/>
      </rPr>
      <t xml:space="preserve">Tips N' Tricks </t>
    </r>
    <r>
      <rPr>
        <rFont val="Oswald, Arial"/>
        <b/>
        <color rgb="FFFF0000"/>
        <sz val="24.0"/>
      </rPr>
      <t>13-3</t>
    </r>
  </si>
  <si>
    <r>
      <rPr>
        <rFont val="Oswald, Arial"/>
        <color theme="1"/>
        <sz val="14.0"/>
      </rPr>
      <t xml:space="preserve">2. Do It Fart? </t>
    </r>
    <r>
      <rPr>
        <rFont val="Oswald, Arial"/>
        <color rgb="FFFF0000"/>
        <sz val="14.0"/>
      </rPr>
      <t>10-6</t>
    </r>
  </si>
  <si>
    <r>
      <rPr>
        <rFont val="Oswald"/>
        <color theme="1"/>
        <sz val="14.0"/>
      </rPr>
      <t xml:space="preserve">3. Like Clockwork </t>
    </r>
    <r>
      <rPr>
        <rFont val="Oswald"/>
        <color rgb="FFFF0000"/>
        <sz val="14.0"/>
      </rPr>
      <t>10-6</t>
    </r>
  </si>
  <si>
    <r>
      <rPr>
        <rFont val="Oswald, Arial"/>
        <color theme="1"/>
        <sz val="14.0"/>
      </rPr>
      <t xml:space="preserve">6. Rated R </t>
    </r>
    <r>
      <rPr>
        <rFont val="Oswald, Arial"/>
        <color rgb="FFFF0000"/>
        <sz val="14.0"/>
      </rPr>
      <t>9-7</t>
    </r>
  </si>
  <si>
    <r>
      <rPr>
        <rFont val="Oswald"/>
        <color theme="1"/>
        <sz val="14.0"/>
      </rPr>
      <t xml:space="preserve">5. Hammers N' Roses </t>
    </r>
    <r>
      <rPr>
        <rFont val="Oswald"/>
        <color rgb="FFFF0000"/>
        <sz val="14.0"/>
      </rPr>
      <t>8-8</t>
    </r>
  </si>
  <si>
    <r>
      <rPr>
        <rFont val="Oswald, Arial"/>
        <color theme="1"/>
        <sz val="14.0"/>
      </rPr>
      <t xml:space="preserve">6. Yodie Gang </t>
    </r>
    <r>
      <rPr>
        <rFont val="Oswald, Arial"/>
        <color rgb="FFFF0000"/>
        <sz val="14.0"/>
      </rPr>
      <t>8-8</t>
    </r>
  </si>
  <si>
    <r>
      <rPr>
        <rFont val="Oswald, Arial"/>
        <color theme="1"/>
        <sz val="14.0"/>
      </rPr>
      <t xml:space="preserve">7. Qwib Qwibs Ambition </t>
    </r>
    <r>
      <rPr>
        <rFont val="Oswald, Arial"/>
        <color rgb="FFFF0000"/>
        <sz val="14.0"/>
      </rPr>
      <t>7-9</t>
    </r>
  </si>
  <si>
    <r>
      <rPr>
        <rFont val="Oswald, Arial"/>
        <color theme="1"/>
        <sz val="14.0"/>
      </rPr>
      <t xml:space="preserve">8. TV Boys </t>
    </r>
    <r>
      <rPr>
        <rFont val="Oswald, Arial"/>
        <color rgb="FFFF0000"/>
        <sz val="14.0"/>
      </rPr>
      <t>6-10</t>
    </r>
  </si>
  <si>
    <r>
      <rPr>
        <rFont val="Oswald, Arial"/>
        <color theme="1"/>
        <sz val="14.0"/>
      </rPr>
      <t xml:space="preserve">9. British Beaters </t>
    </r>
    <r>
      <rPr>
        <rFont val="Oswald, Arial"/>
        <color rgb="FFFF0000"/>
        <sz val="14.0"/>
      </rPr>
      <t>1-15</t>
    </r>
  </si>
  <si>
    <r>
      <rPr>
        <rFont val="Arial"/>
        <color theme="1"/>
      </rPr>
      <t xml:space="preserve">(Kills+Assists-Deaths) </t>
    </r>
    <r>
      <rPr>
        <rFont val="Arial"/>
        <b/>
        <color theme="1"/>
      </rPr>
      <t>per minute</t>
    </r>
  </si>
  <si>
    <r>
      <rPr>
        <rFont val="Arial"/>
        <color theme="1"/>
      </rPr>
      <t xml:space="preserve">sprees </t>
    </r>
    <r>
      <rPr>
        <rFont val="Arial"/>
        <b/>
        <color theme="1"/>
      </rPr>
      <t>per minute</t>
    </r>
  </si>
  <si>
    <r>
      <rPr>
        <rFont val="Arial"/>
        <color theme="1"/>
      </rPr>
      <t xml:space="preserve">Assists </t>
    </r>
    <r>
      <rPr>
        <rFont val="Arial"/>
        <b/>
        <color theme="1"/>
      </rPr>
      <t>per minute</t>
    </r>
  </si>
  <si>
    <r>
      <rPr>
        <rFont val="Arial"/>
        <color theme="1"/>
      </rPr>
      <t xml:space="preserve">(Kills+Assists+Deaths) </t>
    </r>
    <r>
      <rPr>
        <rFont val="Arial"/>
        <b/>
        <color theme="1"/>
      </rPr>
      <t>per minutes</t>
    </r>
  </si>
  <si>
    <r>
      <rPr>
        <rFont val="Arial"/>
        <color theme="1"/>
      </rPr>
      <t xml:space="preserve">(KillingSprees+KillingFrenzies) </t>
    </r>
    <r>
      <rPr>
        <rFont val="Arial"/>
        <b/>
        <color theme="1"/>
      </rPr>
      <t>per minute</t>
    </r>
  </si>
  <si>
    <r>
      <rPr>
        <rFont val="Arial"/>
        <color theme="1"/>
      </rPr>
      <t xml:space="preserve">(DoubleKills+TripleKills+Overkills+Killtaculars+Killtrocities+Killamanjaros+Killtastrophe) </t>
    </r>
    <r>
      <rPr>
        <rFont val="Arial"/>
        <b/>
        <color theme="1"/>
      </rPr>
      <t>per minute</t>
    </r>
  </si>
  <si>
    <r>
      <rPr>
        <rFont val="Arial"/>
        <color theme="1"/>
      </rPr>
      <t xml:space="preserve">Bomb Kills+Goals </t>
    </r>
    <r>
      <rPr>
        <rFont val="Arial"/>
        <b/>
        <color theme="1"/>
      </rPr>
      <t xml:space="preserve">per minute </t>
    </r>
  </si>
  <si>
    <r>
      <rPr>
        <rFont val="Arial"/>
        <color theme="1"/>
      </rPr>
      <t xml:space="preserve">Avengers </t>
    </r>
    <r>
      <rPr>
        <rFont val="Arial"/>
        <b/>
        <color theme="1"/>
      </rPr>
      <t>per minute</t>
    </r>
  </si>
  <si>
    <r>
      <rPr>
        <rFont val="Arial"/>
        <color theme="1"/>
      </rPr>
      <t>Betrayals</t>
    </r>
    <r>
      <rPr>
        <rFont val="Arial"/>
        <b/>
        <color theme="1"/>
      </rPr>
      <t xml:space="preserve"> per minute</t>
    </r>
  </si>
  <si>
    <r>
      <rPr>
        <rFont val="Arial"/>
        <color theme="1"/>
      </rPr>
      <t xml:space="preserve"># of kills you get </t>
    </r>
    <r>
      <rPr>
        <rFont val="Arial"/>
        <b/>
        <color theme="1"/>
      </rPr>
      <t>for each betrayal</t>
    </r>
  </si>
  <si>
    <r>
      <rPr>
        <rFont val="Arial"/>
        <color theme="1"/>
      </rPr>
      <t xml:space="preserve">(Goals/GamesPlayed/5)+(Kills+Assists-Deaths+DoubleKills+TripleKills+Overkills+Killtaculars+Killtrocities+Killamanjaros) </t>
    </r>
    <r>
      <rPr>
        <rFont val="Arial"/>
        <b/>
        <color theme="1"/>
      </rPr>
      <t>per minute</t>
    </r>
  </si>
  <si>
    <t>Top</t>
  </si>
  <si>
    <t>FIVE</t>
  </si>
  <si>
    <t>Fifteen</t>
  </si>
  <si>
    <t>Judasey is filtered out for player grades</t>
  </si>
  <si>
    <t xml:space="preserve">Player </t>
  </si>
  <si>
    <t>Efficiency</t>
  </si>
  <si>
    <t>Grade</t>
  </si>
  <si>
    <t>GradeMath</t>
  </si>
  <si>
    <t>Location</t>
  </si>
  <si>
    <t>Ball Kills</t>
  </si>
  <si>
    <t>K/D</t>
  </si>
  <si>
    <t>Carry Time</t>
  </si>
  <si>
    <t>AvgLife</t>
  </si>
  <si>
    <t>KillSprees</t>
  </si>
  <si>
    <t>KillFrenzies</t>
  </si>
  <si>
    <t>RunRiots</t>
  </si>
  <si>
    <t>Rampages</t>
  </si>
  <si>
    <t>HammerSprees</t>
  </si>
  <si>
    <t>SwordSprees</t>
  </si>
  <si>
    <t>2xKills</t>
  </si>
  <si>
    <t>3xKills</t>
  </si>
  <si>
    <t>4xkills</t>
  </si>
  <si>
    <t>5xKills</t>
  </si>
  <si>
    <t>6xKills</t>
  </si>
  <si>
    <t>7xKills</t>
  </si>
  <si>
    <t>8xKills</t>
  </si>
  <si>
    <t>9xKills</t>
  </si>
  <si>
    <t>10xKills</t>
  </si>
  <si>
    <t>Exterms</t>
  </si>
  <si>
    <t>Assassinations</t>
  </si>
  <si>
    <t>Revenges</t>
  </si>
  <si>
    <t>First Strike</t>
  </si>
  <si>
    <t>Draft Spot 1</t>
  </si>
  <si>
    <t>Average Efficiency</t>
  </si>
  <si>
    <t>Totals-&gt;</t>
  </si>
  <si>
    <t>Draft Spot 2</t>
  </si>
  <si>
    <t>Draft Spot 3</t>
  </si>
  <si>
    <t>Draft Spot 4</t>
  </si>
  <si>
    <t>Draft Spot 5</t>
  </si>
  <si>
    <t>Draft Spot 6</t>
  </si>
  <si>
    <t>Draft Spot 7</t>
  </si>
  <si>
    <t>Draft Spot 8</t>
  </si>
  <si>
    <t>Draft Spot 9</t>
  </si>
  <si>
    <t>Draft Spot 10</t>
  </si>
  <si>
    <t>Draft Spot 11</t>
  </si>
  <si>
    <t>Draft Spot 12</t>
  </si>
  <si>
    <t>Record Book</t>
  </si>
  <si>
    <t>KD Ratio</t>
  </si>
  <si>
    <t xml:space="preserve"> Goals Scored</t>
  </si>
  <si>
    <t>Bomb Carry Time (s)</t>
  </si>
  <si>
    <t>Rank</t>
  </si>
  <si>
    <t>Most Killing Sprees</t>
  </si>
  <si>
    <t>MultiKills</t>
  </si>
  <si>
    <t>Total Game Time (s)</t>
  </si>
  <si>
    <t>Longest Avg. Game Time</t>
  </si>
  <si>
    <t>Longest Kill Streak</t>
  </si>
  <si>
    <t>Time Alive (s)</t>
  </si>
  <si>
    <t>Average Life (s)</t>
  </si>
  <si>
    <t>Exterminations</t>
  </si>
  <si>
    <t>Seed #</t>
  </si>
  <si>
    <t>Player Name</t>
  </si>
  <si>
    <t>Place Finished</t>
  </si>
  <si>
    <t>Standing</t>
  </si>
  <si>
    <t>Ratio</t>
  </si>
  <si>
    <t>Forfeits</t>
  </si>
  <si>
    <t>East</t>
  </si>
  <si>
    <t>West</t>
  </si>
  <si>
    <t>loss</t>
  </si>
  <si>
    <t>North Central</t>
  </si>
  <si>
    <t>wins</t>
  </si>
  <si>
    <t>South Central</t>
  </si>
  <si>
    <t>ActiveHate</t>
  </si>
  <si>
    <t>zahils</t>
  </si>
  <si>
    <t>Player</t>
  </si>
  <si>
    <t>k-d whores</t>
  </si>
  <si>
    <t>w key warrior</t>
  </si>
  <si>
    <t>Spree King</t>
  </si>
  <si>
    <t>Betrayal Master</t>
  </si>
  <si>
    <t>SUM of Game Time</t>
  </si>
  <si>
    <t>SUM of Kills</t>
  </si>
  <si>
    <t>SUM of Assists</t>
  </si>
  <si>
    <t>SUM of Deaths</t>
  </si>
  <si>
    <t>SUM of Avengers</t>
  </si>
  <si>
    <t>SUM of Killing Sprees</t>
  </si>
  <si>
    <t>SUM of Killing Frenzies</t>
  </si>
  <si>
    <t>SUM of Double Kills</t>
  </si>
  <si>
    <t>SUM of Triple Kills</t>
  </si>
  <si>
    <t>SUM of Overkills</t>
  </si>
  <si>
    <t>SUM of Killtaculars</t>
  </si>
  <si>
    <t>SUM of Killtrocities</t>
  </si>
  <si>
    <t>SUM of Killamanjaros</t>
  </si>
  <si>
    <t>SUM of Killtastrophe</t>
  </si>
  <si>
    <t>SUM of Betrayals</t>
  </si>
  <si>
    <t>SUM of Bomb Kills</t>
  </si>
  <si>
    <t>SUM of Goals</t>
  </si>
  <si>
    <t>SUM of Carry Time</t>
  </si>
  <si>
    <t>SUM of Games Played</t>
  </si>
  <si>
    <t>DlGITAL PAIN</t>
  </si>
  <si>
    <t>GodSnipezX</t>
  </si>
  <si>
    <t>L0RNA SHORE</t>
  </si>
  <si>
    <t>Players</t>
  </si>
  <si>
    <t>Run PM</t>
  </si>
  <si>
    <t>KD PM</t>
  </si>
  <si>
    <t>Bulltrue PM</t>
  </si>
  <si>
    <t>Sprees PM</t>
  </si>
  <si>
    <t>Doubles PM</t>
  </si>
  <si>
    <t>Triples PM</t>
  </si>
  <si>
    <t>HS PM</t>
  </si>
  <si>
    <t>AAPM</t>
  </si>
  <si>
    <t>XFACT</t>
  </si>
  <si>
    <t>Grade AVG</t>
  </si>
  <si>
    <t>gAVGmath</t>
  </si>
  <si>
    <t>Value</t>
  </si>
  <si>
    <t>S+</t>
  </si>
  <si>
    <t>S</t>
  </si>
  <si>
    <t>S-</t>
  </si>
  <si>
    <t>A+</t>
  </si>
  <si>
    <t>A(Q3/Q1)</t>
  </si>
  <si>
    <t>A</t>
  </si>
  <si>
    <t>A-</t>
  </si>
  <si>
    <t>B+</t>
  </si>
  <si>
    <t>B(MED-A/C)</t>
  </si>
  <si>
    <t>B</t>
  </si>
  <si>
    <t>B-</t>
  </si>
  <si>
    <t>C+</t>
  </si>
  <si>
    <t>C(Q2)</t>
  </si>
  <si>
    <t>C</t>
  </si>
  <si>
    <t>C-</t>
  </si>
  <si>
    <t>D+</t>
  </si>
  <si>
    <t>D(MED-C/E)</t>
  </si>
  <si>
    <t>D</t>
  </si>
  <si>
    <t>D-</t>
  </si>
  <si>
    <t>E+</t>
  </si>
  <si>
    <t>E(Q3/Q1)</t>
  </si>
  <si>
    <t>E</t>
  </si>
  <si>
    <t>E-</t>
  </si>
  <si>
    <t>F+</t>
  </si>
  <si>
    <t>F</t>
  </si>
  <si>
    <t>F-</t>
  </si>
  <si>
    <t>KDPM</t>
  </si>
  <si>
    <t>BTPM</t>
  </si>
  <si>
    <t>SPM</t>
  </si>
  <si>
    <t>DPM</t>
  </si>
  <si>
    <t>TPM</t>
  </si>
  <si>
    <t>HSPM</t>
  </si>
  <si>
    <t>AVPM</t>
  </si>
  <si>
    <t>AstPM</t>
  </si>
  <si>
    <t>AssistPM</t>
  </si>
  <si>
    <t>A +</t>
  </si>
  <si>
    <t>A -</t>
  </si>
  <si>
    <t>B +</t>
  </si>
  <si>
    <t>B -</t>
  </si>
  <si>
    <t xml:space="preserve">C + </t>
  </si>
  <si>
    <t>C -</t>
  </si>
  <si>
    <t>D +</t>
  </si>
  <si>
    <t>a TOP</t>
  </si>
  <si>
    <t>D -</t>
  </si>
  <si>
    <t>a BOT</t>
  </si>
  <si>
    <t>E +</t>
  </si>
  <si>
    <t>B BOT C TOP</t>
  </si>
  <si>
    <t>E -</t>
  </si>
  <si>
    <t>C BOT</t>
  </si>
  <si>
    <t>FIX THIS</t>
  </si>
  <si>
    <t>D BOT</t>
  </si>
  <si>
    <t>E BOT/F TOP</t>
  </si>
  <si>
    <t>Scores + Bomb Kills per minute</t>
  </si>
  <si>
    <t>Kills/Deaths per minute</t>
  </si>
  <si>
    <t>Bulltrues per minute</t>
  </si>
  <si>
    <t>SpreePM</t>
  </si>
  <si>
    <t>Killing Sprees per minute</t>
  </si>
  <si>
    <t>Double Kills per minute</t>
  </si>
  <si>
    <t>Triple Kills per minute</t>
  </si>
  <si>
    <t>Hammer Sprees per minute</t>
  </si>
  <si>
    <t>Avengers+Assists per minute</t>
  </si>
  <si>
    <t>(First strikes+Sword Sprees per game) + Revenges per minute</t>
  </si>
  <si>
    <t>Meaning</t>
  </si>
  <si>
    <t>Ball carrier ability</t>
  </si>
  <si>
    <t>Tanking strength</t>
  </si>
  <si>
    <t>Ability to time swings</t>
  </si>
  <si>
    <t>Tanking endurance</t>
  </si>
  <si>
    <t>Pushing Strength</t>
  </si>
  <si>
    <t>Tanking cohesion &amp; Range Acquisition</t>
  </si>
  <si>
    <t>X factor</t>
  </si>
  <si>
    <t>SUM of Spread</t>
  </si>
  <si>
    <t>SUM of Bulltrues</t>
  </si>
  <si>
    <t>SUM of Hammer Sprees</t>
  </si>
  <si>
    <t>RPM</t>
  </si>
  <si>
    <t>APM</t>
  </si>
  <si>
    <t>X Factor</t>
  </si>
  <si>
    <t>Range</t>
  </si>
  <si>
    <t>SUM of Revenges</t>
  </si>
  <si>
    <t>SUM of First Strike</t>
  </si>
  <si>
    <t>SUM of Sword Sprees</t>
  </si>
  <si>
    <t>oh zilly</t>
  </si>
  <si>
    <t>Runners</t>
  </si>
  <si>
    <t>Ball Kills per Death</t>
  </si>
  <si>
    <t>Ball Kills Per Minute Held</t>
  </si>
  <si>
    <t>Scores Per minute held</t>
  </si>
  <si>
    <t>Scores per minute</t>
  </si>
  <si>
    <t>Deaths per minute Held</t>
  </si>
  <si>
    <t>Scores Per Game</t>
  </si>
  <si>
    <t>Avg Asc</t>
  </si>
  <si>
    <t>Ranking</t>
  </si>
  <si>
    <t>7th</t>
  </si>
  <si>
    <t>8th</t>
  </si>
  <si>
    <t>9th</t>
  </si>
  <si>
    <t>10th</t>
  </si>
  <si>
    <t>11th</t>
  </si>
  <si>
    <t>kD</t>
  </si>
  <si>
    <t>Games Played</t>
  </si>
  <si>
    <t>Bomb Kills</t>
  </si>
  <si>
    <t>Time Alive</t>
  </si>
  <si>
    <t>Game Time</t>
  </si>
  <si>
    <t>Bomb Stops</t>
  </si>
  <si>
    <t>Killing Sprees</t>
  </si>
  <si>
    <t>Killing Frenzies</t>
  </si>
  <si>
    <t>Running Riots</t>
  </si>
  <si>
    <t>Hammer Sprees</t>
  </si>
  <si>
    <t>Sword Sprees</t>
  </si>
  <si>
    <t>Double Kills</t>
  </si>
  <si>
    <t>Triple Kills</t>
  </si>
  <si>
    <t>Killpocalypses</t>
  </si>
  <si>
    <t>Killionaire</t>
  </si>
  <si>
    <t>Team ID</t>
  </si>
  <si>
    <t>OVERALL</t>
  </si>
  <si>
    <t>Avg Player</t>
  </si>
  <si>
    <t>Round 1</t>
  </si>
  <si>
    <t>Round 2</t>
  </si>
  <si>
    <t>Round 3</t>
  </si>
  <si>
    <t>Semifinals</t>
  </si>
  <si>
    <t>Finals</t>
  </si>
  <si>
    <t>Math</t>
  </si>
  <si>
    <t>BPM</t>
  </si>
  <si>
    <t>Percentile Range</t>
  </si>
  <si>
    <t>Please ask ASpence in Discord what you would like added</t>
  </si>
  <si>
    <t>Kills Per Minute</t>
  </si>
  <si>
    <t>ACE B S1lentND1</t>
  </si>
  <si>
    <t>Icey Tanker</t>
  </si>
  <si>
    <t>Sauted Smurf</t>
  </si>
  <si>
    <t>eTazedd</t>
  </si>
  <si>
    <t>Regresser</t>
  </si>
  <si>
    <t>DCleak</t>
  </si>
  <si>
    <t>BLOODEN NICK</t>
  </si>
  <si>
    <t>iNF3ktioN</t>
  </si>
  <si>
    <t>Sabasauros rex</t>
  </si>
  <si>
    <t>Dabb</t>
  </si>
  <si>
    <t>BeaM1n1</t>
  </si>
  <si>
    <t>Havoc Puppies</t>
  </si>
  <si>
    <t>cxrnchip</t>
  </si>
  <si>
    <t>Fanciest Pants</t>
  </si>
  <si>
    <t>Wrecking Nerds</t>
  </si>
  <si>
    <t>Myst the Cold</t>
  </si>
  <si>
    <t>MF JOE187</t>
  </si>
  <si>
    <t>ManCanonPls</t>
  </si>
  <si>
    <t>Priest XYZ</t>
  </si>
  <si>
    <t>Mr Epic Beast</t>
  </si>
  <si>
    <t>LilSkelR1926</t>
  </si>
  <si>
    <t>TheNobleTV</t>
  </si>
  <si>
    <t>Into Sublime</t>
  </si>
  <si>
    <t>AtoneMilitant</t>
  </si>
  <si>
    <t>TheAlphaTurtle</t>
  </si>
  <si>
    <t>Imperator Romeo</t>
  </si>
  <si>
    <t>Rudly</t>
  </si>
  <si>
    <t>RECEPTOR 17</t>
  </si>
  <si>
    <t>TrueFlyingCow</t>
  </si>
  <si>
    <t>The Scet</t>
  </si>
  <si>
    <t>Efficiency (Top Player Standard)</t>
  </si>
  <si>
    <t>Efficiency (Perfect Player Standard)</t>
  </si>
  <si>
    <t>SL23 PLAYOFFS</t>
  </si>
  <si>
    <t>Bo5</t>
  </si>
  <si>
    <t>Bo7</t>
  </si>
  <si>
    <t>Champions</t>
  </si>
  <si>
    <t xml:space="preserve">Quarter-Finals </t>
  </si>
  <si>
    <t>Semi-Finals</t>
  </si>
  <si>
    <t>Championship</t>
  </si>
  <si>
    <t>Winner</t>
  </si>
  <si>
    <t>Tips N Tricks (1)</t>
  </si>
  <si>
    <t>3-2 Rated R</t>
  </si>
  <si>
    <t>Rated R (4)</t>
  </si>
  <si>
    <t>3-1 Rated R</t>
  </si>
  <si>
    <t>Hammers N Roses (5)</t>
  </si>
  <si>
    <t>4-1 Like Clockwork</t>
  </si>
  <si>
    <t>Do It Fart? (3)</t>
  </si>
  <si>
    <t>3-0 Yodie Gang</t>
  </si>
  <si>
    <t>Yodie Gang (6)</t>
  </si>
  <si>
    <t>3-0 Like Clockwork</t>
  </si>
  <si>
    <t>Like Clockwork (2)</t>
  </si>
  <si>
    <t xml:space="preserve"> </t>
  </si>
  <si>
    <t>Game</t>
  </si>
  <si>
    <t>Top Seed</t>
  </si>
  <si>
    <t>Bottom Seed</t>
  </si>
  <si>
    <t>Score</t>
  </si>
  <si>
    <t>Host</t>
  </si>
  <si>
    <t>VOD</t>
  </si>
  <si>
    <t>Standings</t>
  </si>
  <si>
    <t>Quarter Finals (Seed 3 vs Seed 6)  Yodie Gang 3-0</t>
  </si>
  <si>
    <t>Game 1</t>
  </si>
  <si>
    <t>0-5</t>
  </si>
  <si>
    <t>Game 2</t>
  </si>
  <si>
    <t>Game 3</t>
  </si>
  <si>
    <t xml:space="preserve">Quarter Finals (Seed 4 vs Seed 5)  Rated R 3-1 </t>
  </si>
  <si>
    <t>Hammers N Roses</t>
  </si>
  <si>
    <t>Game 4</t>
  </si>
  <si>
    <t>Semi Finals (Seed 2 vs Seed 6)  Like Clockwork 3-0</t>
  </si>
  <si>
    <t>Semi Finals (Seed 1 vs Seed 4)  Rated R 3-2</t>
  </si>
  <si>
    <t>Tips N Tricks</t>
  </si>
  <si>
    <t>Game 5</t>
  </si>
  <si>
    <t>Finals (Seed 2 vs Seed 4)  Like Clockwork 4-1 Champions</t>
  </si>
  <si>
    <t xml:space="preserve">5-0 </t>
  </si>
  <si>
    <t>FF</t>
  </si>
  <si>
    <t>5-0</t>
  </si>
  <si>
    <t>Seed</t>
  </si>
  <si>
    <t>Team</t>
  </si>
  <si>
    <t>GamesPlayed</t>
  </si>
  <si>
    <t>GamesHosted</t>
  </si>
  <si>
    <t>Loses</t>
  </si>
  <si>
    <t>RunningRiots</t>
  </si>
  <si>
    <t>Airassinations</t>
  </si>
  <si>
    <t>Ballsasinations</t>
  </si>
  <si>
    <t>TimeStamp</t>
  </si>
  <si>
    <t>Losers Bracket: Round 1</t>
  </si>
  <si>
    <t>BallKills</t>
  </si>
  <si>
    <t>MeleeKills</t>
  </si>
  <si>
    <t>Losers Bracket: Round 2</t>
  </si>
  <si>
    <t>Home</t>
  </si>
  <si>
    <t>Away</t>
  </si>
  <si>
    <t>Map</t>
  </si>
  <si>
    <t>Week 1</t>
  </si>
  <si>
    <t>FORFEIT</t>
  </si>
  <si>
    <t>ANGB</t>
  </si>
  <si>
    <t>https://www.twitch.tv/yluxe</t>
  </si>
  <si>
    <t>1-5</t>
  </si>
  <si>
    <t>Mixer</t>
  </si>
  <si>
    <t>East US</t>
  </si>
  <si>
    <t>5-3</t>
  </si>
  <si>
    <t>5-1</t>
  </si>
  <si>
    <t>5-4</t>
  </si>
  <si>
    <t xml:space="preserve">NOT ALL TEAM COLORS MAY BE ACCURATE </t>
  </si>
  <si>
    <t>Week 2</t>
  </si>
  <si>
    <t>4-5</t>
  </si>
  <si>
    <t>5-2</t>
  </si>
  <si>
    <t>3-5</t>
  </si>
  <si>
    <t>2-5</t>
  </si>
  <si>
    <t>Glori</t>
  </si>
  <si>
    <t>https://www.twitch.tv/videos/1768265235</t>
  </si>
  <si>
    <t>Week 3</t>
  </si>
  <si>
    <t>ADhilly</t>
  </si>
  <si>
    <t>Week 4</t>
  </si>
  <si>
    <t>Angel</t>
  </si>
  <si>
    <t>Foundry</t>
  </si>
  <si>
    <t>Week 5</t>
  </si>
  <si>
    <t>Dhmon</t>
  </si>
  <si>
    <t>Glori Dior</t>
  </si>
  <si>
    <t>Week 6</t>
  </si>
  <si>
    <t>Dior Glorii</t>
  </si>
  <si>
    <t>Hells Angels</t>
  </si>
  <si>
    <t>Playoffs</t>
  </si>
  <si>
    <t>imagine</t>
  </si>
  <si>
    <r>
      <rPr>
        <rFont val="Arial"/>
        <color rgb="FFFF0000"/>
      </rPr>
      <t xml:space="preserve">AWAY @ </t>
    </r>
    <r>
      <rPr>
        <rFont val="Arial"/>
        <color rgb="FF0000FF"/>
      </rPr>
      <t>HOME</t>
    </r>
  </si>
  <si>
    <t>All Games are Eastern Time (EST)</t>
  </si>
  <si>
    <t>Sunday</t>
  </si>
  <si>
    <t>Monday</t>
  </si>
  <si>
    <t>Tuesday</t>
  </si>
  <si>
    <t>Wednesday</t>
  </si>
  <si>
    <t>Thursday</t>
  </si>
  <si>
    <t xml:space="preserve">Friday </t>
  </si>
  <si>
    <t xml:space="preserve">Saturday </t>
  </si>
  <si>
    <t>March 5th - 11th</t>
  </si>
  <si>
    <t xml:space="preserve">                        </t>
  </si>
  <si>
    <t xml:space="preserve">                                        </t>
  </si>
  <si>
    <t xml:space="preserve">yLuxe @ Dhlyn                           10PM EST                                          </t>
  </si>
  <si>
    <t>Hells Angel cx @ ADhillyy                            8PM EST                                                                           Mavbrid @ Dior Glori                 9PM EST                                                  Dhlyn @ Hells Angel cx                  9:15PM EST</t>
  </si>
  <si>
    <r>
      <rPr>
        <rFont val="Comfortaa"/>
        <strike/>
        <color rgb="FFEFEFEF"/>
        <sz val="8.0"/>
      </rPr>
      <t xml:space="preserve">   </t>
    </r>
    <r>
      <rPr>
        <rFont val="Comfortaa"/>
        <strike/>
        <color rgb="FF46BDC6"/>
        <sz val="8.0"/>
      </rPr>
      <t xml:space="preserve"> Dior Glori @ oDhmon                             8PM EST                                       </t>
    </r>
    <r>
      <rPr>
        <rFont val="Comfortaa"/>
        <strike/>
        <color rgb="FFEFEFEF"/>
        <sz val="8.0"/>
      </rPr>
      <t xml:space="preserve"> </t>
    </r>
    <r>
      <rPr>
        <rFont val="Comfortaa"/>
        <strike/>
        <color rgb="FF46BDC6"/>
        <sz val="8.0"/>
      </rPr>
      <t>oDhmon @ Dior Glori                            8:30PM EST</t>
    </r>
  </si>
  <si>
    <t xml:space="preserve">oDhmon @ Dhlyn                       11:30PM EST </t>
  </si>
  <si>
    <r>
      <rPr>
        <rFont val="Comfortaa"/>
        <color rgb="FFEFEFEF"/>
        <sz val="8.0"/>
      </rPr>
      <t xml:space="preserve">                                               </t>
    </r>
    <r>
      <rPr>
        <rFont val="Comfortaa"/>
        <strike/>
        <color rgb="FFEFEFEF"/>
        <sz val="8.0"/>
      </rPr>
      <t>Hells Angel cx @ Dior Glori                             8PM EST</t>
    </r>
    <r>
      <rPr>
        <rFont val="Comfortaa"/>
        <color rgb="FFEFEFEF"/>
        <sz val="8.0"/>
      </rPr>
      <t xml:space="preserve"> </t>
    </r>
  </si>
  <si>
    <r>
      <rPr>
        <rFont val="Lexend"/>
        <color rgb="FF46BDC6"/>
        <sz val="18.0"/>
      </rPr>
      <t xml:space="preserve">Blue = Rescheduled Games           </t>
    </r>
    <r>
      <rPr>
        <rFont val="Lexend"/>
        <color rgb="FFFF0000"/>
        <sz val="18.0"/>
      </rPr>
      <t>Red = Awaiting Reschedule Date</t>
    </r>
  </si>
  <si>
    <t>March 12th - 18th</t>
  </si>
  <si>
    <r>
      <rPr>
        <rFont val="Comfortaa"/>
        <strike/>
        <color rgb="FF46BDC6"/>
        <sz val="7.0"/>
      </rPr>
      <t>ADhillyy @ ActiveHate                  7PM EST</t>
    </r>
    <r>
      <rPr>
        <rFont val="Comfortaa"/>
        <strike/>
        <color rgb="FFEFEFEF"/>
        <sz val="7.0"/>
      </rPr>
      <t xml:space="preserve">                                      </t>
    </r>
    <r>
      <rPr>
        <rFont val="Comfortaa"/>
        <strike/>
        <color rgb="FF46BDC6"/>
        <sz val="7.0"/>
      </rPr>
      <t>oDhmon @ InfiniteRainge                          7PM EST</t>
    </r>
    <r>
      <rPr>
        <rFont val="Comfortaa"/>
        <strike/>
        <color rgb="FFEFEFEF"/>
        <sz val="7.0"/>
      </rPr>
      <t xml:space="preserve">                                                     </t>
    </r>
    <r>
      <rPr>
        <rFont val="Comfortaa"/>
        <strike/>
        <color rgb="FF46BDC6"/>
        <sz val="7.0"/>
      </rPr>
      <t xml:space="preserve"> InfiniteRainge @ Hells Angel cx                                                7:30PM EST</t>
    </r>
    <r>
      <rPr>
        <rFont val="Comfortaa"/>
        <strike/>
        <color rgb="FFEFEFEF"/>
        <sz val="7.0"/>
      </rPr>
      <t xml:space="preserve">                                                                                         </t>
    </r>
    <r>
      <rPr>
        <rFont val="Comfortaa"/>
        <strike/>
        <color rgb="FF46BDC6"/>
        <sz val="7.0"/>
      </rPr>
      <t xml:space="preserve">Dior Glori @ ActiveHate                          8PM EST   </t>
    </r>
    <r>
      <rPr>
        <rFont val="Comfortaa"/>
        <strike/>
        <color rgb="FFEFEFEF"/>
        <sz val="7.0"/>
      </rPr>
      <t xml:space="preserve">                                                  </t>
    </r>
    <r>
      <rPr>
        <rFont val="Comfortaa"/>
        <strike/>
        <color rgb="FF46BDC6"/>
        <sz val="7.0"/>
      </rPr>
      <t xml:space="preserve">                                                      yLuxe @ Dior Glori                                   10PM EST </t>
    </r>
  </si>
  <si>
    <r>
      <rPr>
        <rFont val="Comfortaa"/>
        <strike/>
        <color rgb="FF46BDC6"/>
        <sz val="8.0"/>
      </rPr>
      <t xml:space="preserve">  ADhillyy @ Dhlyn                                 7PM EST </t>
    </r>
    <r>
      <rPr>
        <rFont val="Comfortaa"/>
        <strike/>
        <color rgb="FFEFEFEF"/>
        <sz val="8.0"/>
      </rPr>
      <t xml:space="preserve">                                                ActiveHate @ Hells Angel cx                              8PM EST                                          </t>
    </r>
    <r>
      <rPr>
        <rFont val="Comfortaa"/>
        <strike/>
        <color rgb="FFFF0000"/>
        <sz val="8.0"/>
      </rPr>
      <t xml:space="preserve"> </t>
    </r>
  </si>
  <si>
    <r>
      <rPr>
        <rFont val="Comfortaa"/>
        <strike/>
        <color rgb="FFEFEFEF"/>
        <sz val="8.0"/>
      </rPr>
      <t xml:space="preserve">                                             </t>
    </r>
    <r>
      <rPr>
        <rFont val="Comfortaa"/>
        <strike/>
        <color rgb="FF46BDC6"/>
        <sz val="8.0"/>
      </rPr>
      <t xml:space="preserve"> oDhmon @ Hells Angel cx                                 9PM EST </t>
    </r>
  </si>
  <si>
    <r>
      <rPr>
        <rFont val="Comfortaa"/>
        <strike/>
        <color rgb="FF46BDC6"/>
        <sz val="8.0"/>
      </rPr>
      <t xml:space="preserve">InfiniteRainge @ ADhillyy                8:15PM EST                                             ADhillyy @ InfiniteRainge                                              Double Header  </t>
    </r>
    <r>
      <rPr>
        <rFont val="Comfortaa"/>
        <strike/>
        <color rgb="FFEFEFEF"/>
        <sz val="8.0"/>
      </rPr>
      <t xml:space="preserve">                                       </t>
    </r>
  </si>
  <si>
    <r>
      <rPr>
        <rFont val="Comfortaa"/>
        <strike/>
        <color rgb="FF46BDC6"/>
        <sz val="8.0"/>
      </rPr>
      <t xml:space="preserve">Dior Glori @ Dhlyn                                     8PM EST </t>
    </r>
    <r>
      <rPr>
        <rFont val="Comfortaa"/>
        <color rgb="FFEFEFEF"/>
        <sz val="8.0"/>
      </rPr>
      <t xml:space="preserve">                         </t>
    </r>
    <r>
      <rPr>
        <rFont val="Comfortaa"/>
        <color rgb="FFFF0000"/>
        <sz val="8.0"/>
      </rPr>
      <t xml:space="preserve">  </t>
    </r>
    <r>
      <rPr>
        <rFont val="Comfortaa"/>
        <color rgb="FFEFEFEF"/>
        <sz val="8.0"/>
      </rPr>
      <t xml:space="preserve">                              </t>
    </r>
    <r>
      <rPr>
        <rFont val="Comfortaa"/>
        <strike/>
        <color rgb="FF46BDC6"/>
        <sz val="8.0"/>
      </rPr>
      <t>Dhlyn @ Mavbrid                 10PM EST</t>
    </r>
  </si>
  <si>
    <t xml:space="preserve">                                                                 </t>
  </si>
  <si>
    <t>March 19th - 25th</t>
  </si>
  <si>
    <r>
      <rPr>
        <rFont val="Comfortaa"/>
        <strike/>
        <color rgb="FFEFEFEF"/>
        <sz val="8.0"/>
      </rPr>
      <t xml:space="preserve">Mavbrid @ ActiveHate                                8PM EST                                    </t>
    </r>
    <r>
      <rPr>
        <rFont val="Comfortaa"/>
        <strike/>
        <color rgb="FF46BDC6"/>
        <sz val="8.0"/>
      </rPr>
      <t xml:space="preserve">   ActiveHate @ yLuxe                         9PM EST   </t>
    </r>
    <r>
      <rPr>
        <rFont val="Comfortaa"/>
        <strike/>
        <color rgb="FFEFEFEF"/>
        <sz val="8.0"/>
      </rPr>
      <t xml:space="preserve">                                                        ADhillyy @ Dior Glori                    9PM EST</t>
    </r>
  </si>
  <si>
    <r>
      <rPr>
        <rFont val="Comfortaa"/>
        <color rgb="FF46BDC6"/>
        <sz val="8.0"/>
      </rPr>
      <t xml:space="preserve">   </t>
    </r>
    <r>
      <rPr>
        <rFont val="Comfortaa"/>
        <strike/>
        <color rgb="FF46BDC6"/>
        <sz val="8.0"/>
      </rPr>
      <t xml:space="preserve">InfiniteRainge @ ActiveHate                          8PM EST </t>
    </r>
    <r>
      <rPr>
        <rFont val="Comfortaa"/>
        <color rgb="FF46BDC6"/>
        <sz val="8.0"/>
      </rPr>
      <t xml:space="preserve"> </t>
    </r>
    <r>
      <rPr>
        <rFont val="Comfortaa"/>
        <color rgb="FFEFEFEF"/>
        <sz val="8.0"/>
      </rPr>
      <t xml:space="preserve">                                        </t>
    </r>
    <r>
      <rPr>
        <rFont val="Comfortaa"/>
        <color rgb="FFFF0000"/>
        <sz val="8.0"/>
      </rPr>
      <t xml:space="preserve">  </t>
    </r>
    <r>
      <rPr>
        <rFont val="Comfortaa"/>
        <color rgb="FFEFEFEF"/>
        <sz val="8.0"/>
      </rPr>
      <t xml:space="preserve">                              </t>
    </r>
    <r>
      <rPr>
        <rFont val="Comfortaa"/>
        <strike/>
        <color rgb="FFEFEFEF"/>
        <sz val="8.0"/>
      </rPr>
      <t xml:space="preserve">Mavbrid @ ADhillyy                                    9PM EST </t>
    </r>
    <r>
      <rPr>
        <rFont val="Comfortaa"/>
        <color rgb="FFEFEFEF"/>
        <sz val="8.0"/>
      </rPr>
      <t xml:space="preserve">                                     </t>
    </r>
    <r>
      <rPr>
        <rFont val="Comfortaa"/>
        <color rgb="FFFF0000"/>
        <sz val="8.0"/>
      </rPr>
      <t xml:space="preserve">  </t>
    </r>
    <r>
      <rPr>
        <rFont val="Comfortaa"/>
        <color rgb="FFEFEFEF"/>
        <sz val="8.0"/>
      </rPr>
      <t xml:space="preserve">                                                  </t>
    </r>
    <r>
      <rPr>
        <rFont val="Comfortaa"/>
        <color rgb="FFFF0000"/>
        <sz val="8.0"/>
      </rPr>
      <t xml:space="preserve"> </t>
    </r>
  </si>
  <si>
    <r>
      <rPr>
        <rFont val="Comfortaa"/>
        <strike/>
        <color rgb="FFFFFFFF"/>
        <sz val="8.0"/>
      </rPr>
      <t>oDhmon @ ADhillyy                               8PM EST</t>
    </r>
    <r>
      <rPr>
        <rFont val="Comfortaa"/>
        <color rgb="FFFFFFFF"/>
        <sz val="8.0"/>
      </rPr>
      <t xml:space="preserve">                                         </t>
    </r>
    <r>
      <rPr>
        <rFont val="Comfortaa"/>
        <strike/>
        <color rgb="FFFFFFFF"/>
        <sz val="8.0"/>
      </rPr>
      <t xml:space="preserve">   </t>
    </r>
    <r>
      <rPr>
        <rFont val="Comfortaa"/>
        <strike/>
        <color rgb="FF46BDC6"/>
        <sz val="8.0"/>
      </rPr>
      <t>ADhillyy @ oDhmon                              Double Header</t>
    </r>
    <r>
      <rPr>
        <rFont val="Comfortaa"/>
        <color rgb="FFFFFFFF"/>
        <sz val="8.0"/>
      </rPr>
      <t xml:space="preserve">  </t>
    </r>
    <r>
      <rPr>
        <rFont val="Comfortaa"/>
        <color rgb="FFEFEFEF"/>
        <sz val="8.0"/>
      </rPr>
      <t xml:space="preserve">                                        </t>
    </r>
  </si>
  <si>
    <r>
      <rPr>
        <rFont val="Comfortaa"/>
        <color rgb="FFEFEFEF"/>
        <sz val="8.0"/>
      </rPr>
      <t xml:space="preserve"> </t>
    </r>
    <r>
      <rPr>
        <rFont val="Comfortaa"/>
        <color rgb="FF46BDC6"/>
        <sz val="8.0"/>
      </rPr>
      <t xml:space="preserve">  </t>
    </r>
    <r>
      <rPr>
        <rFont val="Comfortaa"/>
        <color rgb="FFEFEFEF"/>
        <sz val="8.0"/>
      </rPr>
      <t xml:space="preserve">                                                         </t>
    </r>
  </si>
  <si>
    <r>
      <rPr>
        <rFont val="Comfortaa"/>
        <color rgb="FFEFEFEF"/>
        <sz val="8.0"/>
      </rPr>
      <t xml:space="preserve"> </t>
    </r>
    <r>
      <rPr>
        <rFont val="Comfortaa"/>
        <strike/>
        <color rgb="FF46BDC6"/>
        <sz val="8.0"/>
      </rPr>
      <t xml:space="preserve">InfiniteRainge @ Mavbrid 8PM EST     </t>
    </r>
    <r>
      <rPr>
        <rFont val="Comfortaa"/>
        <color rgb="FFEFEFEF"/>
        <sz val="8.0"/>
      </rPr>
      <t xml:space="preserve">                             </t>
    </r>
    <r>
      <rPr>
        <rFont val="Comfortaa"/>
        <strike/>
        <color rgb="FFEFEFEF"/>
        <sz val="8.0"/>
      </rPr>
      <t xml:space="preserve"> </t>
    </r>
    <r>
      <rPr>
        <rFont val="Comfortaa"/>
        <strike/>
        <color rgb="FF46BDC6"/>
        <sz val="8.0"/>
      </rPr>
      <t>InfiniteRainge @ Dior Glori                                       9PM EST</t>
    </r>
  </si>
  <si>
    <t xml:space="preserve">                                         </t>
  </si>
  <si>
    <r>
      <rPr>
        <rFont val="Comfortaa"/>
        <color rgb="FFFF0000"/>
        <sz val="8.0"/>
      </rPr>
      <t xml:space="preserve"> </t>
    </r>
    <r>
      <rPr>
        <rFont val="Comfortaa"/>
        <strike/>
        <color rgb="FF46BDC6"/>
        <sz val="8.0"/>
      </rPr>
      <t>Mavbrid @ oDhmon 10PM EST</t>
    </r>
  </si>
  <si>
    <t>March 26th - April 1st</t>
  </si>
  <si>
    <r>
      <rPr>
        <rFont val="Comfortaa"/>
        <strike/>
        <color rgb="FF46BDC6"/>
        <sz val="6.0"/>
      </rPr>
      <t xml:space="preserve">Dhlyn @ ActiveHate                                           7PM EST                                                             </t>
    </r>
    <r>
      <rPr>
        <rFont val="Comfortaa"/>
        <strike/>
        <color rgb="FFEFEFEF"/>
        <sz val="6.0"/>
      </rPr>
      <t xml:space="preserve"> </t>
    </r>
    <r>
      <rPr>
        <rFont val="Comfortaa"/>
        <strike/>
        <color rgb="FF46BDC6"/>
        <sz val="6.0"/>
      </rPr>
      <t xml:space="preserve">ActiveHate @ Dhlyn                                  Double Header </t>
    </r>
    <r>
      <rPr>
        <rFont val="Comfortaa"/>
        <color rgb="FFEFEFEF"/>
        <sz val="6.0"/>
      </rPr>
      <t xml:space="preserve">                                                                                                    </t>
    </r>
    <r>
      <rPr>
        <rFont val="Comfortaa"/>
        <color rgb="FFFF0000"/>
        <sz val="6.0"/>
      </rPr>
      <t xml:space="preserve">                    </t>
    </r>
    <r>
      <rPr>
        <rFont val="Comfortaa"/>
        <color rgb="FFEFEFEF"/>
        <sz val="6.0"/>
      </rPr>
      <t xml:space="preserve">                                                                                   </t>
    </r>
    <r>
      <rPr>
        <rFont val="Comfortaa"/>
        <color rgb="FFFF0000"/>
        <sz val="6.0"/>
      </rPr>
      <t xml:space="preserve">     </t>
    </r>
    <r>
      <rPr>
        <rFont val="Comfortaa"/>
        <color rgb="FFEFEFEF"/>
        <sz val="6.0"/>
      </rPr>
      <t xml:space="preserve">                                                 </t>
    </r>
    <r>
      <rPr>
        <rFont val="Comfortaa"/>
        <strike/>
        <color rgb="FF46BDC6"/>
        <sz val="6.0"/>
      </rPr>
      <t xml:space="preserve"> InfiniteRainge @ Dhlyn                                                   9PM EST</t>
    </r>
  </si>
  <si>
    <r>
      <rPr>
        <rFont val="Comfortaa"/>
        <color rgb="FFFF0000"/>
        <sz val="8.0"/>
      </rPr>
      <t xml:space="preserve">          </t>
    </r>
    <r>
      <rPr>
        <rFont val="Comfortaa"/>
        <color rgb="FFEFEFEF"/>
        <sz val="8.0"/>
      </rPr>
      <t xml:space="preserve">                               </t>
    </r>
  </si>
  <si>
    <t xml:space="preserve"> Hells Angel cx @ InfiniteRainge    8:15PM EST </t>
  </si>
  <si>
    <r>
      <rPr>
        <rFont val="Comfortaa"/>
        <strike/>
        <color rgb="FF46BDC6"/>
        <sz val="8.0"/>
      </rPr>
      <t xml:space="preserve">Adhilly vs Hells Angel cx             7PM EST </t>
    </r>
    <r>
      <rPr>
        <rFont val="Comfortaa"/>
        <color rgb="FFEFEFEF"/>
        <sz val="8.0"/>
      </rPr>
      <t xml:space="preserve">                         </t>
    </r>
    <r>
      <rPr>
        <rFont val="Comfortaa"/>
        <strike/>
        <color rgb="FFEFEFEF"/>
        <sz val="8.0"/>
      </rPr>
      <t xml:space="preserve">Mavbrid @ InfiniteRainge                                         8PM EST </t>
    </r>
    <r>
      <rPr>
        <rFont val="Comfortaa"/>
        <color rgb="FFEFEFEF"/>
        <sz val="8.0"/>
      </rPr>
      <t xml:space="preserve">                             </t>
    </r>
    <r>
      <rPr>
        <rFont val="Comfortaa"/>
        <color rgb="FFFF0000"/>
        <sz val="8.0"/>
      </rPr>
      <t xml:space="preserve">                       </t>
    </r>
  </si>
  <si>
    <r>
      <rPr>
        <rFont val="Comfortaa"/>
        <color rgb="FFEFEFEF"/>
        <sz val="8.0"/>
      </rPr>
      <t xml:space="preserve"> </t>
    </r>
    <r>
      <rPr>
        <rFont val="Comfortaa"/>
        <strike/>
        <color rgb="FFEFEFEF"/>
        <sz val="8.0"/>
      </rPr>
      <t xml:space="preserve">Dior Glori @ yLuxe                      9PM EST </t>
    </r>
    <r>
      <rPr>
        <rFont val="Comfortaa"/>
        <color rgb="FFEFEFEF"/>
        <sz val="8.0"/>
      </rPr>
      <t xml:space="preserve">                                   </t>
    </r>
  </si>
  <si>
    <r>
      <rPr>
        <rFont val="Comfortaa"/>
        <color rgb="FFFF0000"/>
        <sz val="8.0"/>
      </rPr>
      <t xml:space="preserve"> </t>
    </r>
    <r>
      <rPr>
        <rFont val="Comfortaa"/>
        <color rgb="FFEFEFEF"/>
        <sz val="8.0"/>
      </rPr>
      <t xml:space="preserve">                                                 </t>
    </r>
    <r>
      <rPr>
        <rFont val="Comfortaa"/>
        <strike/>
        <color rgb="FFEFEFEF"/>
        <sz val="8.0"/>
      </rPr>
      <t xml:space="preserve"> </t>
    </r>
    <r>
      <rPr>
        <rFont val="Comfortaa"/>
        <strike/>
        <color rgb="FF46BDC6"/>
        <sz val="8.0"/>
      </rPr>
      <t>oDhmon @ Mavbrid                    10:30PM EST</t>
    </r>
    <r>
      <rPr>
        <rFont val="Comfortaa"/>
        <color rgb="FF46BDC6"/>
        <sz val="8.0"/>
      </rPr>
      <t xml:space="preserve"> </t>
    </r>
    <r>
      <rPr>
        <rFont val="Comfortaa"/>
        <color rgb="FFEFEFEF"/>
        <sz val="8.0"/>
      </rPr>
      <t xml:space="preserve">                                     </t>
    </r>
  </si>
  <si>
    <t>April 2nd - 8th</t>
  </si>
  <si>
    <r>
      <rPr>
        <rFont val="Comfortaa"/>
        <color rgb="FF46BDC6"/>
        <sz val="8.0"/>
      </rPr>
      <t xml:space="preserve">  </t>
    </r>
    <r>
      <rPr>
        <rFont val="Comfortaa"/>
        <strike/>
        <color rgb="FF46BDC6"/>
        <sz val="8.0"/>
      </rPr>
      <t>yLuxe @ oDhmon                 10:15PM EST</t>
    </r>
    <r>
      <rPr>
        <rFont val="Comfortaa"/>
        <color rgb="FF46BDC6"/>
        <sz val="8.0"/>
      </rPr>
      <t xml:space="preserve">                                         </t>
    </r>
  </si>
  <si>
    <r>
      <rPr>
        <rFont val="Comfortaa"/>
        <strike/>
        <color rgb="FF46BDC6"/>
        <sz val="8.0"/>
      </rPr>
      <t xml:space="preserve"> InfiniteRainge @ yLuxe                      8:15PM EST                                      yLuxe @ InfiniteRainge              Double Header</t>
    </r>
    <r>
      <rPr>
        <rFont val="Comfortaa"/>
        <color rgb="FFFF0000"/>
        <sz val="8.0"/>
      </rPr>
      <t xml:space="preserve">                                         </t>
    </r>
    <r>
      <rPr>
        <rFont val="Comfortaa"/>
        <strike/>
        <color rgb="FF46BDC6"/>
        <sz val="8.0"/>
      </rPr>
      <t xml:space="preserve"> Hells Angel cx @ yLuxe                                                          9PM EST</t>
    </r>
    <r>
      <rPr>
        <rFont val="Comfortaa"/>
        <color rgb="FFFF0000"/>
        <sz val="8.0"/>
      </rPr>
      <t xml:space="preserve">                                      </t>
    </r>
    <r>
      <rPr>
        <rFont val="Comfortaa"/>
        <color rgb="FF46BDC6"/>
        <sz val="8.0"/>
      </rPr>
      <t xml:space="preserve">  </t>
    </r>
    <r>
      <rPr>
        <rFont val="Comfortaa"/>
        <strike/>
        <color rgb="FF46BDC6"/>
        <sz val="8.0"/>
      </rPr>
      <t>yLuxe @ Hells Angel cx         9PM EST</t>
    </r>
    <r>
      <rPr>
        <rFont val="Comfortaa"/>
        <color rgb="FF46BDC6"/>
        <sz val="8.0"/>
      </rPr>
      <t xml:space="preserve"> </t>
    </r>
    <r>
      <rPr>
        <rFont val="Comfortaa"/>
        <color rgb="FFFF0000"/>
        <sz val="8.0"/>
      </rPr>
      <t xml:space="preserve">                                           </t>
    </r>
    <r>
      <rPr>
        <rFont val="Comfortaa"/>
        <color rgb="FFEFEFEF"/>
        <sz val="8.0"/>
      </rPr>
      <t xml:space="preserve">                                  </t>
    </r>
  </si>
  <si>
    <r>
      <rPr>
        <rFont val="Comfortaa"/>
        <strike/>
        <color rgb="FF46BDC6"/>
        <sz val="8.0"/>
      </rPr>
      <t xml:space="preserve">Hells Angel cx @ Mavbrid                       8PM EST                                 Mavbrid @ Hells Angel cx                             Double Header </t>
    </r>
    <r>
      <rPr>
        <rFont val="Comfortaa"/>
        <color rgb="FF46BDC6"/>
        <sz val="8.0"/>
      </rPr>
      <t xml:space="preserve"> </t>
    </r>
    <r>
      <rPr>
        <rFont val="Comfortaa"/>
        <color rgb="FFEFEFEF"/>
        <sz val="8.0"/>
      </rPr>
      <t xml:space="preserve">                     </t>
    </r>
    <r>
      <rPr>
        <rFont val="Comfortaa"/>
        <color rgb="FF46BDC6"/>
        <sz val="8.0"/>
      </rPr>
      <t xml:space="preserve">                    </t>
    </r>
    <r>
      <rPr>
        <rFont val="Comfortaa"/>
        <strike/>
        <color rgb="FF46BDC6"/>
        <sz val="8.0"/>
      </rPr>
      <t xml:space="preserve">yLuxe vs ADhillyy                                8:15PM EST                             ADhillyy vs yLuxe                    Double Header </t>
    </r>
    <r>
      <rPr>
        <rFont val="Comfortaa"/>
        <color rgb="FF46BDC6"/>
        <sz val="8.0"/>
      </rPr>
      <t xml:space="preserve">    </t>
    </r>
    <r>
      <rPr>
        <rFont val="Comfortaa"/>
        <color rgb="FFEFEFEF"/>
        <sz val="8.0"/>
      </rPr>
      <t xml:space="preserve">       </t>
    </r>
    <r>
      <rPr>
        <rFont val="Comfortaa"/>
        <color rgb="FFFF0000"/>
        <sz val="8.0"/>
      </rPr>
      <t xml:space="preserve">                          </t>
    </r>
    <r>
      <rPr>
        <rFont val="Comfortaa"/>
        <color rgb="FFEFEFEF"/>
        <sz val="8.0"/>
      </rPr>
      <t xml:space="preserve">  </t>
    </r>
  </si>
  <si>
    <r>
      <rPr>
        <rFont val="Comfortaa"/>
        <color rgb="FFEFEFEF"/>
        <sz val="7.0"/>
      </rPr>
      <t xml:space="preserve"> </t>
    </r>
    <r>
      <rPr>
        <rFont val="Comfortaa"/>
        <color rgb="FF46BDC6"/>
        <sz val="7.0"/>
      </rPr>
      <t xml:space="preserve"> </t>
    </r>
    <r>
      <rPr>
        <rFont val="Comfortaa"/>
        <strike/>
        <color rgb="FF46BDC6"/>
        <sz val="7.0"/>
      </rPr>
      <t xml:space="preserve"> Dhlyn @ yLuxe                                 8:30PM EST </t>
    </r>
    <r>
      <rPr>
        <rFont val="Comfortaa"/>
        <color rgb="FF46BDC6"/>
        <sz val="7.0"/>
      </rPr>
      <t xml:space="preserve">      </t>
    </r>
    <r>
      <rPr>
        <rFont val="Comfortaa"/>
        <color rgb="FFEFEFEF"/>
        <sz val="7.0"/>
      </rPr>
      <t xml:space="preserve">                                                                                                             </t>
    </r>
    <r>
      <rPr>
        <rFont val="Comfortaa"/>
        <color rgb="FF46BDC6"/>
        <sz val="7.0"/>
      </rPr>
      <t xml:space="preserve"> </t>
    </r>
    <r>
      <rPr>
        <rFont val="Comfortaa"/>
        <strike/>
        <color rgb="FF46BDC6"/>
        <sz val="7.0"/>
      </rPr>
      <t>Dhlyn @ oDhmon 10:30PM EST</t>
    </r>
  </si>
  <si>
    <r>
      <rPr>
        <rFont val="Comfortaa"/>
        <strike/>
        <color rgb="FF46BDC6"/>
        <sz val="8.0"/>
      </rPr>
      <t xml:space="preserve">Dior Glori @ ADhilly                              9:00PM EST  </t>
    </r>
    <r>
      <rPr>
        <rFont val="Comfortaa"/>
        <strike/>
        <color rgb="FFEFEFEF"/>
        <sz val="8.0"/>
      </rPr>
      <t xml:space="preserve">     </t>
    </r>
    <r>
      <rPr>
        <rFont val="Comfortaa"/>
        <color rgb="FFEFEFEF"/>
        <sz val="8.0"/>
      </rPr>
      <t xml:space="preserve">                                    </t>
    </r>
  </si>
  <si>
    <r>
      <rPr>
        <rFont val="Arial"/>
        <color rgb="FFFF0000"/>
      </rPr>
      <t xml:space="preserve">Red - Away                                 </t>
    </r>
    <r>
      <rPr>
        <rFont val="Arial"/>
        <color rgb="FF4A86E8"/>
      </rPr>
      <t>Blue - Home</t>
    </r>
  </si>
  <si>
    <r>
      <rPr>
        <rFont val="Comfortaa"/>
        <b/>
        <color rgb="FF000000"/>
        <sz val="10.0"/>
      </rPr>
      <t xml:space="preserve">Mav vs ADhilly                  </t>
    </r>
    <r>
      <rPr>
        <rFont val="Comfortaa"/>
        <b/>
        <color rgb="FF980000"/>
        <sz val="10.0"/>
      </rPr>
      <t xml:space="preserve"> March 20th 9PM EST  </t>
    </r>
    <r>
      <rPr>
        <rFont val="Comfortaa"/>
        <b/>
        <color rgb="FFFF0000"/>
        <sz val="10.0"/>
      </rPr>
      <t xml:space="preserve">      </t>
    </r>
    <r>
      <rPr>
        <rFont val="Comfortaa"/>
        <b/>
        <color rgb="FF0000FF"/>
        <sz val="10.0"/>
      </rPr>
      <t>March 27th 9PM EST</t>
    </r>
  </si>
  <si>
    <r>
      <rPr>
        <rFont val="Comfortaa"/>
        <b/>
        <color rgb="FF000000"/>
        <sz val="10.0"/>
      </rPr>
      <t xml:space="preserve">ADhilly vs ActiveHate </t>
    </r>
    <r>
      <rPr>
        <rFont val="Comfortaa"/>
        <b/>
        <color rgb="FFFF0000"/>
        <sz val="10.0"/>
      </rPr>
      <t xml:space="preserve">March 9th 8PM EST  </t>
    </r>
    <r>
      <rPr>
        <rFont val="Comfortaa"/>
        <b/>
        <color rgb="FF0000FF"/>
        <sz val="10.0"/>
      </rPr>
      <t>April 6th 8PM EST</t>
    </r>
  </si>
  <si>
    <r>
      <rPr>
        <rFont val="Comfortaa"/>
        <b/>
        <color rgb="FF000000"/>
        <sz val="10.0"/>
      </rPr>
      <t xml:space="preserve">ActiveHate vs Dior Glori       </t>
    </r>
    <r>
      <rPr>
        <rFont val="Comfortaa"/>
        <b/>
        <color rgb="FF0000FF"/>
        <sz val="10.0"/>
      </rPr>
      <t xml:space="preserve">   March 7th 10PM EST            </t>
    </r>
    <r>
      <rPr>
        <rFont val="Comfortaa"/>
        <b/>
        <color rgb="FFFF0000"/>
        <sz val="10.0"/>
      </rPr>
      <t xml:space="preserve">    March 21st 9PM EST</t>
    </r>
  </si>
  <si>
    <r>
      <rPr>
        <rFont val="Comfortaa"/>
        <b/>
        <color rgb="FF000000"/>
        <sz val="10.0"/>
      </rPr>
      <t xml:space="preserve">Dior Glori vs Dhlyn          </t>
    </r>
    <r>
      <rPr>
        <rFont val="Comfortaa"/>
        <b/>
        <color rgb="FFFF0000"/>
        <sz val="10.0"/>
      </rPr>
      <t xml:space="preserve">    March 15th 9PM EST             </t>
    </r>
    <r>
      <rPr>
        <rFont val="Comfortaa"/>
        <b/>
        <color rgb="FF0000FF"/>
        <sz val="10.0"/>
      </rPr>
      <t xml:space="preserve">     March 29th 9PM EST</t>
    </r>
  </si>
  <si>
    <r>
      <rPr>
        <rFont val="Comfortaa"/>
        <b/>
        <color rgb="FF000000"/>
        <sz val="10.0"/>
      </rPr>
      <t xml:space="preserve">Dhlyn vs Hells Angel cx              </t>
    </r>
    <r>
      <rPr>
        <rFont val="Comfortaa"/>
        <b/>
        <color rgb="FF0000FF"/>
        <sz val="10.0"/>
      </rPr>
      <t xml:space="preserve">      March 30th 9PM EST                         </t>
    </r>
    <r>
      <rPr>
        <rFont val="Comfortaa"/>
        <b/>
        <color rgb="FFFF0000"/>
        <sz val="10.0"/>
      </rPr>
      <t xml:space="preserve">       March 13th 8PM EST</t>
    </r>
  </si>
  <si>
    <r>
      <rPr>
        <rFont val="Comfortaa"/>
        <b/>
        <color rgb="FF000000"/>
        <sz val="10.0"/>
      </rPr>
      <t xml:space="preserve">Hells Angel cx vs InfiniteRainge                   </t>
    </r>
    <r>
      <rPr>
        <rFont val="Comfortaa"/>
        <b/>
        <color rgb="FFFF0000"/>
        <sz val="10.0"/>
      </rPr>
      <t xml:space="preserve"> April 3rd 8PM EST                               </t>
    </r>
    <r>
      <rPr>
        <rFont val="Comfortaa"/>
        <b/>
        <color rgb="FF0000FF"/>
        <sz val="10.0"/>
      </rPr>
      <t xml:space="preserve"> March 6th 8PM EST</t>
    </r>
    <r>
      <rPr>
        <rFont val="Comfortaa"/>
        <b/>
        <color rgb="FFFF0000"/>
        <sz val="10.0"/>
      </rPr>
      <t xml:space="preserve">  </t>
    </r>
    <r>
      <rPr>
        <rFont val="Comfortaa"/>
        <b/>
        <color rgb="FF0000FF"/>
        <sz val="10.0"/>
      </rPr>
      <t xml:space="preserve">  </t>
    </r>
  </si>
  <si>
    <r>
      <rPr>
        <rFont val="Comfortaa"/>
        <b/>
        <color rgb="FF000000"/>
        <sz val="10.0"/>
      </rPr>
      <t xml:space="preserve">InfiniteRainge vs oDhmon                               </t>
    </r>
    <r>
      <rPr>
        <rFont val="Comfortaa"/>
        <b/>
        <color rgb="FFFF0000"/>
        <sz val="10.0"/>
      </rPr>
      <t xml:space="preserve"> March 22th 8PM EST                     </t>
    </r>
    <r>
      <rPr>
        <rFont val="Comfortaa"/>
        <b/>
        <color rgb="FF0000FF"/>
        <sz val="10.0"/>
      </rPr>
      <t xml:space="preserve"> March 15th 8PM EST</t>
    </r>
  </si>
  <si>
    <r>
      <rPr>
        <rFont val="Comfortaa"/>
        <b/>
        <color rgb="FF000000"/>
        <sz val="10.0"/>
      </rPr>
      <t xml:space="preserve">oDhmon vs unbes                </t>
    </r>
    <r>
      <rPr>
        <rFont val="Comfortaa"/>
        <b/>
        <color rgb="FFFF0000"/>
        <sz val="10.0"/>
      </rPr>
      <t xml:space="preserve">            April 1st 8PM EST                       </t>
    </r>
    <r>
      <rPr>
        <rFont val="Comfortaa"/>
        <b/>
        <color rgb="FF0000FF"/>
        <sz val="10.0"/>
      </rPr>
      <t xml:space="preserve">      March 7th 8PM EST</t>
    </r>
  </si>
  <si>
    <r>
      <rPr>
        <rFont val="Comfortaa"/>
        <b/>
        <color rgb="FF000000"/>
        <sz val="10.0"/>
      </rPr>
      <t xml:space="preserve">unbes vs yLuxe </t>
    </r>
    <r>
      <rPr>
        <rFont val="Comfortaa"/>
        <b/>
        <color rgb="FFFF0000"/>
        <sz val="10.0"/>
      </rPr>
      <t xml:space="preserve">                    April 2nd 7PM EST                     </t>
    </r>
    <r>
      <rPr>
        <rFont val="Comfortaa"/>
        <b/>
        <color rgb="FF0000FF"/>
        <sz val="10.0"/>
      </rPr>
      <t xml:space="preserve">     March 19th 7PM EST</t>
    </r>
  </si>
  <si>
    <r>
      <rPr>
        <rFont val="Comfortaa"/>
        <b/>
        <color rgb="FF000000"/>
        <sz val="10.0"/>
      </rPr>
      <t xml:space="preserve">Mav vs ActiveHate  </t>
    </r>
    <r>
      <rPr>
        <rFont val="Comfortaa"/>
        <b/>
        <color rgb="FFFF0000"/>
        <sz val="10.0"/>
      </rPr>
      <t xml:space="preserve">                March 19th 8PM EST</t>
    </r>
    <r>
      <rPr>
        <rFont val="Comfortaa"/>
        <b/>
        <color rgb="FF000000"/>
        <sz val="10.0"/>
      </rPr>
      <t xml:space="preserve">           </t>
    </r>
    <r>
      <rPr>
        <rFont val="Comfortaa"/>
        <b/>
        <color rgb="FF0000FF"/>
        <sz val="10.0"/>
      </rPr>
      <t>April 6th 9PM EST</t>
    </r>
  </si>
  <si>
    <r>
      <rPr>
        <rFont val="Comfortaa"/>
        <b/>
        <color rgb="FF000000"/>
        <sz val="10.0"/>
      </rPr>
      <t xml:space="preserve">ADhilly vs Dior Glori </t>
    </r>
    <r>
      <rPr>
        <rFont val="Comfortaa"/>
        <b/>
        <color rgb="FF0000FF"/>
        <sz val="10.0"/>
      </rPr>
      <t xml:space="preserve">April 2nd 9PM EST       </t>
    </r>
    <r>
      <rPr>
        <rFont val="Comfortaa"/>
        <b/>
        <color rgb="FFFF0000"/>
        <sz val="10.0"/>
      </rPr>
      <t>March 19th 9PM EST</t>
    </r>
  </si>
  <si>
    <r>
      <rPr>
        <rFont val="Comfortaa"/>
        <b/>
        <color rgb="FF000000"/>
        <sz val="10.0"/>
      </rPr>
      <t xml:space="preserve">ActiveHate vs Dhlyn     </t>
    </r>
    <r>
      <rPr>
        <rFont val="Comfortaa"/>
        <b/>
        <color rgb="FF0000FF"/>
        <sz val="10.0"/>
      </rPr>
      <t xml:space="preserve">         March 25th 7PM EST       </t>
    </r>
    <r>
      <rPr>
        <rFont val="Comfortaa"/>
        <b/>
        <color rgb="FFFF0000"/>
        <sz val="10.0"/>
      </rPr>
      <t xml:space="preserve">       March 18th  10PM EST</t>
    </r>
  </si>
  <si>
    <r>
      <rPr>
        <rFont val="Comfortaa"/>
        <b/>
        <color rgb="FF000000"/>
        <sz val="10.0"/>
      </rPr>
      <t xml:space="preserve">Dior Glori vs Hells Angel cx                                     </t>
    </r>
    <r>
      <rPr>
        <rFont val="Comfortaa"/>
        <b/>
        <color rgb="FF0000FF"/>
        <sz val="10.0"/>
      </rPr>
      <t xml:space="preserve">March 11th 10PM EST          </t>
    </r>
    <r>
      <rPr>
        <rFont val="Comfortaa"/>
        <b/>
        <color rgb="FFFF0000"/>
        <sz val="10.0"/>
      </rPr>
      <t xml:space="preserve">              April 7th 9PM EST</t>
    </r>
  </si>
  <si>
    <r>
      <rPr>
        <rFont val="Comfortaa"/>
        <b/>
        <color rgb="FF000000"/>
        <sz val="10.0"/>
      </rPr>
      <t xml:space="preserve">Dhlyn vs InfiniteRainge                     </t>
    </r>
    <r>
      <rPr>
        <rFont val="Comfortaa"/>
        <b/>
        <color rgb="FFFF0000"/>
        <sz val="10.0"/>
      </rPr>
      <t xml:space="preserve">        April 3rd 9PM EST                    </t>
    </r>
    <r>
      <rPr>
        <rFont val="Comfortaa"/>
        <b/>
        <color rgb="FF0000FF"/>
        <sz val="10.0"/>
      </rPr>
      <t>March 20th 9PM EST</t>
    </r>
  </si>
  <si>
    <r>
      <rPr>
        <rFont val="Comfortaa"/>
        <b/>
        <color rgb="FF000000"/>
        <sz val="10.0"/>
      </rPr>
      <t xml:space="preserve">Hells Angel cx vs oDhmon             </t>
    </r>
    <r>
      <rPr>
        <rFont val="Comfortaa"/>
        <b/>
        <color rgb="FFFF0000"/>
        <sz val="10.0"/>
      </rPr>
      <t xml:space="preserve">     March 25th 10PM EST                 </t>
    </r>
    <r>
      <rPr>
        <rFont val="Comfortaa"/>
        <b/>
        <color rgb="FF0000FF"/>
        <sz val="10.0"/>
      </rPr>
      <t>March 14th 9PM EST</t>
    </r>
  </si>
  <si>
    <r>
      <rPr>
        <rFont val="Comfortaa"/>
        <b/>
        <color rgb="FF000000"/>
        <sz val="10.0"/>
      </rPr>
      <t xml:space="preserve">InfiniteRainge vs unbes               </t>
    </r>
    <r>
      <rPr>
        <rFont val="Comfortaa"/>
        <b/>
        <color rgb="FFFF0000"/>
        <sz val="10.0"/>
      </rPr>
      <t xml:space="preserve"> March 14th 8PM EST                </t>
    </r>
    <r>
      <rPr>
        <rFont val="Comfortaa"/>
        <b/>
        <color rgb="FF0000FF"/>
        <sz val="10.0"/>
      </rPr>
      <t xml:space="preserve"> March 17th 7PM EST</t>
    </r>
  </si>
  <si>
    <r>
      <rPr>
        <rFont val="Comfortaa"/>
        <b/>
        <color rgb="FF000000"/>
        <sz val="10.0"/>
      </rPr>
      <t xml:space="preserve">oDhmon vs yLuxe          </t>
    </r>
    <r>
      <rPr>
        <rFont val="Comfortaa"/>
        <b/>
        <color rgb="FFFF0000"/>
        <sz val="10.0"/>
      </rPr>
      <t xml:space="preserve">   April 8th 10PM EST                  </t>
    </r>
    <r>
      <rPr>
        <rFont val="Comfortaa"/>
        <b/>
        <color rgb="FF0000FF"/>
        <sz val="10.0"/>
      </rPr>
      <t xml:space="preserve"> March 24th 10PM EST</t>
    </r>
  </si>
  <si>
    <r>
      <rPr>
        <rFont val="Comfortaa"/>
        <b/>
        <color rgb="FF000000"/>
        <sz val="10.0"/>
      </rPr>
      <t xml:space="preserve">Mavbrid vs Dior Glori                     </t>
    </r>
    <r>
      <rPr>
        <rFont val="Comfortaa"/>
        <b/>
        <color rgb="FFFF0000"/>
        <sz val="10.0"/>
      </rPr>
      <t>March 8th 9PM EST</t>
    </r>
    <r>
      <rPr>
        <rFont val="Comfortaa"/>
        <b/>
        <color rgb="FF000000"/>
        <sz val="10.0"/>
      </rPr>
      <t xml:space="preserve">                               </t>
    </r>
    <r>
      <rPr>
        <rFont val="Comfortaa"/>
        <b/>
        <color rgb="FF0000FF"/>
        <sz val="10.0"/>
      </rPr>
      <t xml:space="preserve">  March 25th 9PM EST         </t>
    </r>
  </si>
  <si>
    <r>
      <rPr>
        <rFont val="Comfortaa"/>
        <b/>
        <color rgb="FF000000"/>
        <sz val="10.0"/>
      </rPr>
      <t xml:space="preserve">ADhilly vs Dhlyn             </t>
    </r>
    <r>
      <rPr>
        <rFont val="Comfortaa"/>
        <b/>
        <color rgb="FF0000FF"/>
        <sz val="10.0"/>
      </rPr>
      <t xml:space="preserve">March 26th 10PM EST            </t>
    </r>
    <r>
      <rPr>
        <rFont val="Comfortaa"/>
        <b/>
        <color rgb="FFFF0000"/>
        <sz val="10.0"/>
      </rPr>
      <t>March 14th 8PM EST</t>
    </r>
  </si>
  <si>
    <r>
      <rPr>
        <rFont val="Comfortaa"/>
        <b/>
        <color rgb="FF000000"/>
        <sz val="10.0"/>
      </rPr>
      <t xml:space="preserve">ActiveHate vs Hells Angel cx      </t>
    </r>
    <r>
      <rPr>
        <rFont val="Comfortaa"/>
        <b/>
        <color rgb="FF0000FF"/>
        <sz val="10.0"/>
      </rPr>
      <t xml:space="preserve">   </t>
    </r>
    <r>
      <rPr>
        <rFont val="Comfortaa"/>
        <b/>
        <color rgb="FFFF0000"/>
        <sz val="10.0"/>
      </rPr>
      <t xml:space="preserve">              March 13th 9PM EST            </t>
    </r>
    <r>
      <rPr>
        <rFont val="Comfortaa"/>
        <b/>
        <color rgb="FF0000FF"/>
        <sz val="10.0"/>
      </rPr>
      <t>March 27th 8PM EST</t>
    </r>
  </si>
  <si>
    <r>
      <rPr>
        <rFont val="Comfortaa"/>
        <b/>
        <color rgb="FF000000"/>
        <sz val="10.0"/>
      </rPr>
      <t xml:space="preserve">Dior Glori vs InfiniteRainge                   </t>
    </r>
    <r>
      <rPr>
        <rFont val="Comfortaa"/>
        <b/>
        <color rgb="FFFF0000"/>
        <sz val="10.0"/>
      </rPr>
      <t xml:space="preserve"> April 5th 9PM EST              </t>
    </r>
    <r>
      <rPr>
        <rFont val="Comfortaa"/>
        <b/>
        <color rgb="FF0000FF"/>
        <sz val="10.0"/>
      </rPr>
      <t xml:space="preserve">  March 20th 8PM EST</t>
    </r>
  </si>
  <si>
    <r>
      <rPr>
        <rFont val="Comfortaa"/>
        <b/>
        <color rgb="FF000000"/>
        <sz val="10.0"/>
      </rPr>
      <t xml:space="preserve">Dhlyn vs oDhmon               </t>
    </r>
    <r>
      <rPr>
        <rFont val="Comfortaa"/>
        <b/>
        <color rgb="FF0000FF"/>
        <sz val="10.0"/>
      </rPr>
      <t xml:space="preserve"> March 7th 9PM EST                 </t>
    </r>
    <r>
      <rPr>
        <rFont val="Comfortaa"/>
        <b/>
        <color rgb="FFFF0000"/>
        <sz val="10.0"/>
      </rPr>
      <t xml:space="preserve"> April 4th 9PM EST</t>
    </r>
  </si>
  <si>
    <r>
      <rPr>
        <rFont val="Comfortaa"/>
        <b/>
        <color rgb="FF000000"/>
        <sz val="10.0"/>
      </rPr>
      <t xml:space="preserve">Hells Angel cx vs unbes              </t>
    </r>
    <r>
      <rPr>
        <rFont val="Comfortaa"/>
        <b/>
        <color rgb="FFFF0000"/>
        <sz val="10.0"/>
      </rPr>
      <t xml:space="preserve">April 8th 7PM EST               </t>
    </r>
    <r>
      <rPr>
        <rFont val="Comfortaa"/>
        <b/>
        <color rgb="FF0000FF"/>
        <sz val="10.0"/>
      </rPr>
      <t xml:space="preserve"> March 26th 8PM EST</t>
    </r>
  </si>
  <si>
    <r>
      <rPr>
        <rFont val="Comfortaa"/>
        <b/>
        <color rgb="FF000000"/>
        <sz val="10.0"/>
      </rPr>
      <t xml:space="preserve">InfiniteRainge vs yLuxe         </t>
    </r>
    <r>
      <rPr>
        <rFont val="Comfortaa"/>
        <b/>
        <color rgb="FF0000FF"/>
        <sz val="10.0"/>
      </rPr>
      <t xml:space="preserve">     March 28th 8PM EST                       </t>
    </r>
    <r>
      <rPr>
        <rFont val="Comfortaa"/>
        <b/>
        <color rgb="FFFF0000"/>
        <sz val="10.0"/>
      </rPr>
      <t>March 18th 9PM EST</t>
    </r>
  </si>
  <si>
    <r>
      <rPr>
        <rFont val="Comfortaa"/>
        <b/>
        <color rgb="FF000000"/>
        <sz val="10.0"/>
      </rPr>
      <t xml:space="preserve">Mavbrid vs Dhlyn            </t>
    </r>
    <r>
      <rPr>
        <rFont val="Comfortaa"/>
        <b/>
        <color rgb="FF0000FF"/>
        <sz val="10.0"/>
      </rPr>
      <t xml:space="preserve">March 15th 10PM EST             </t>
    </r>
    <r>
      <rPr>
        <rFont val="Comfortaa"/>
        <b/>
        <color rgb="FFFF0000"/>
        <sz val="10.0"/>
      </rPr>
      <t xml:space="preserve"> March 30th 10PM EST</t>
    </r>
  </si>
  <si>
    <r>
      <rPr>
        <rFont val="Comfortaa"/>
        <b/>
        <color rgb="FF000000"/>
        <sz val="10.0"/>
      </rPr>
      <t xml:space="preserve">ADhilly vs Hells Angel cx  </t>
    </r>
    <r>
      <rPr>
        <rFont val="Comfortaa"/>
        <b/>
        <color rgb="FF0000FF"/>
        <sz val="10.0"/>
      </rPr>
      <t>March 8th 8PM EST</t>
    </r>
    <r>
      <rPr>
        <rFont val="Comfortaa"/>
        <b/>
        <color rgb="FF000000"/>
        <sz val="10.0"/>
      </rPr>
      <t xml:space="preserve">            </t>
    </r>
    <r>
      <rPr>
        <rFont val="Comfortaa"/>
        <b/>
        <color rgb="FFFF0000"/>
        <sz val="10.0"/>
      </rPr>
      <t>March 29th 8:30PM EST</t>
    </r>
  </si>
  <si>
    <r>
      <rPr>
        <rFont val="Comfortaa"/>
        <b/>
        <color rgb="FF000000"/>
        <sz val="10.0"/>
      </rPr>
      <t xml:space="preserve">ActiveHate vs InfiniteRainge                </t>
    </r>
    <r>
      <rPr>
        <rFont val="Comfortaa"/>
        <b/>
        <color rgb="FFFF0000"/>
        <sz val="10.0"/>
      </rPr>
      <t xml:space="preserve">March 28th 9PM EST                       </t>
    </r>
    <r>
      <rPr>
        <rFont val="Comfortaa"/>
        <b/>
        <color rgb="FF0000FF"/>
        <sz val="10.0"/>
      </rPr>
      <t>March 14th 9PM EST</t>
    </r>
  </si>
  <si>
    <r>
      <rPr>
        <rFont val="Comfortaa"/>
        <b/>
        <color rgb="FF000000"/>
        <sz val="10.0"/>
      </rPr>
      <t xml:space="preserve">Dior Glori vs oDhmon                  </t>
    </r>
    <r>
      <rPr>
        <rFont val="Comfortaa"/>
        <b/>
        <color rgb="FFFF0000"/>
        <sz val="10.0"/>
      </rPr>
      <t xml:space="preserve">   March 24h 9PM EST                    </t>
    </r>
    <r>
      <rPr>
        <rFont val="Comfortaa"/>
        <b/>
        <color rgb="FF0000FF"/>
        <sz val="10.0"/>
      </rPr>
      <t xml:space="preserve"> March 29th 8PM EST</t>
    </r>
  </si>
  <si>
    <r>
      <rPr>
        <rFont val="Comfortaa"/>
        <b/>
        <color rgb="FF000000"/>
        <sz val="10.0"/>
      </rPr>
      <t xml:space="preserve">Dhlyn vs unbes                   </t>
    </r>
    <r>
      <rPr>
        <rFont val="Comfortaa"/>
        <b/>
        <color rgb="FF0000FF"/>
        <sz val="10.0"/>
      </rPr>
      <t xml:space="preserve">  April 2nd 8PM EST                 </t>
    </r>
    <r>
      <rPr>
        <rFont val="Comfortaa"/>
        <b/>
        <color rgb="FFFF0000"/>
        <sz val="10.0"/>
      </rPr>
      <t xml:space="preserve">  March 21th 7PM EST</t>
    </r>
  </si>
  <si>
    <r>
      <rPr>
        <rFont val="Comfortaa"/>
        <b/>
        <color rgb="FF000000"/>
        <sz val="10.0"/>
      </rPr>
      <t xml:space="preserve">Hells Angel cx vs yLuxe               </t>
    </r>
    <r>
      <rPr>
        <rFont val="Comfortaa"/>
        <b/>
        <color rgb="FF0000FF"/>
        <sz val="10.0"/>
      </rPr>
      <t xml:space="preserve"> March 24th 9PM EST                </t>
    </r>
    <r>
      <rPr>
        <rFont val="Comfortaa"/>
        <b/>
        <color rgb="FFFF0000"/>
        <sz val="10.0"/>
      </rPr>
      <t xml:space="preserve">  March 27th 9PM EST</t>
    </r>
  </si>
  <si>
    <r>
      <rPr>
        <rFont val="Comfortaa"/>
        <b/>
        <color rgb="FF000000"/>
        <sz val="10.0"/>
      </rPr>
      <t xml:space="preserve">Mavbrid vs Hells Angel cx </t>
    </r>
    <r>
      <rPr>
        <rFont val="Comfortaa"/>
        <b/>
        <color rgb="FFFF0000"/>
        <sz val="10.0"/>
      </rPr>
      <t>March 23th 8PM EST</t>
    </r>
    <r>
      <rPr>
        <rFont val="Comfortaa"/>
        <b/>
        <color rgb="FF000000"/>
        <sz val="10.0"/>
      </rPr>
      <t xml:space="preserve">             </t>
    </r>
    <r>
      <rPr>
        <rFont val="Comfortaa"/>
        <b/>
        <color rgb="FF0000FF"/>
        <sz val="10.0"/>
      </rPr>
      <t>April 6th 8PM EST</t>
    </r>
  </si>
  <si>
    <r>
      <rPr>
        <rFont val="Comfortaa"/>
        <b/>
        <color rgb="FF000000"/>
        <sz val="10.0"/>
      </rPr>
      <t xml:space="preserve">ADhilly vs InfiniteRainge        </t>
    </r>
    <r>
      <rPr>
        <rFont val="Comfortaa"/>
        <b/>
        <color rgb="FF4A86E8"/>
        <sz val="10.0"/>
      </rPr>
      <t xml:space="preserve">March 16th 8PM EST              </t>
    </r>
    <r>
      <rPr>
        <rFont val="Comfortaa"/>
        <b/>
        <color rgb="FFFF0000"/>
        <sz val="10.0"/>
      </rPr>
      <t>March 11th 9PM EST</t>
    </r>
  </si>
  <si>
    <r>
      <rPr>
        <rFont val="Comfortaa"/>
        <b/>
        <color rgb="FF000000"/>
        <sz val="10.0"/>
      </rPr>
      <t xml:space="preserve">ActiveHate vs oDhmon         </t>
    </r>
    <r>
      <rPr>
        <rFont val="Comfortaa"/>
        <b/>
        <color rgb="FF0000FF"/>
        <sz val="10.0"/>
      </rPr>
      <t xml:space="preserve">          </t>
    </r>
    <r>
      <rPr>
        <rFont val="Comfortaa"/>
        <b/>
        <color rgb="FFFF0000"/>
        <sz val="10.0"/>
      </rPr>
      <t xml:space="preserve">March 11th 7PM EST           </t>
    </r>
    <r>
      <rPr>
        <rFont val="Comfortaa"/>
        <b/>
        <color rgb="FF0000FF"/>
        <sz val="10.0"/>
      </rPr>
      <t>April 7th 8PM EST</t>
    </r>
  </si>
  <si>
    <r>
      <rPr>
        <rFont val="Comfortaa"/>
        <b/>
        <color rgb="FF000000"/>
        <sz val="10.0"/>
      </rPr>
      <t xml:space="preserve">Dior Glori vs unbes   </t>
    </r>
    <r>
      <rPr>
        <rFont val="Comfortaa"/>
        <b/>
        <color rgb="FFFF0000"/>
        <sz val="10.0"/>
      </rPr>
      <t xml:space="preserve">    March 5th 8PM EST                       </t>
    </r>
    <r>
      <rPr>
        <rFont val="Comfortaa"/>
        <b/>
        <color rgb="FF0000FF"/>
        <sz val="10.0"/>
      </rPr>
      <t xml:space="preserve">   March 12th 7PM EST</t>
    </r>
  </si>
  <si>
    <r>
      <rPr>
        <rFont val="Comfortaa"/>
        <b/>
        <color rgb="FF000000"/>
        <sz val="10.0"/>
      </rPr>
      <t xml:space="preserve">Dhlyn vs yLuxe                     </t>
    </r>
    <r>
      <rPr>
        <rFont val="Comfortaa"/>
        <b/>
        <color rgb="FFFF0000"/>
        <sz val="10.0"/>
      </rPr>
      <t xml:space="preserve">  March 31st 10PM EST                 </t>
    </r>
    <r>
      <rPr>
        <rFont val="Comfortaa"/>
        <b/>
        <color rgb="FF0000FF"/>
        <sz val="10.0"/>
      </rPr>
      <t xml:space="preserve">       March 7th 10PM EST</t>
    </r>
  </si>
  <si>
    <r>
      <rPr>
        <rFont val="Comfortaa"/>
        <b/>
        <color rgb="FF000000"/>
        <sz val="10.0"/>
      </rPr>
      <t xml:space="preserve">Mavbrid vs InfiniteRainge        </t>
    </r>
    <r>
      <rPr>
        <rFont val="Comfortaa"/>
        <b/>
        <color rgb="FF0000FF"/>
        <sz val="10.0"/>
      </rPr>
      <t xml:space="preserve">April 1st 10PM EST        </t>
    </r>
    <r>
      <rPr>
        <rFont val="Comfortaa"/>
        <b/>
        <color rgb="FFFF0000"/>
        <sz val="10.0"/>
      </rPr>
      <t xml:space="preserve"> March 30th 8PM EST</t>
    </r>
  </si>
  <si>
    <r>
      <rPr>
        <rFont val="Comfortaa"/>
        <b/>
        <color rgb="FF000000"/>
        <sz val="10.0"/>
      </rPr>
      <t xml:space="preserve">ADhilly vs oDhmon    </t>
    </r>
    <r>
      <rPr>
        <rFont val="Comfortaa"/>
        <b/>
        <color rgb="FF0000FF"/>
        <sz val="10.0"/>
      </rPr>
      <t>March 21st 8PM EST</t>
    </r>
    <r>
      <rPr>
        <rFont val="Comfortaa"/>
        <b/>
        <color rgb="FF000000"/>
        <sz val="10.0"/>
      </rPr>
      <t xml:space="preserve">               </t>
    </r>
    <r>
      <rPr>
        <rFont val="Comfortaa"/>
        <b/>
        <color rgb="FFFF0000"/>
        <sz val="10.0"/>
      </rPr>
      <t xml:space="preserve"> April 4th 8PM EST </t>
    </r>
  </si>
  <si>
    <r>
      <rPr>
        <rFont val="Comfortaa"/>
        <b/>
        <color rgb="FF000000"/>
        <sz val="10.0"/>
      </rPr>
      <t xml:space="preserve">ActiveHate vs unbes              </t>
    </r>
    <r>
      <rPr>
        <rFont val="Comfortaa"/>
        <b/>
        <color rgb="FF0000FF"/>
        <sz val="10.0"/>
      </rPr>
      <t xml:space="preserve">  March 31st 8PM EST              </t>
    </r>
    <r>
      <rPr>
        <rFont val="Comfortaa"/>
        <b/>
        <color rgb="FFFF0000"/>
        <sz val="10.0"/>
      </rPr>
      <t xml:space="preserve">  March 23th 7PM EST</t>
    </r>
  </si>
  <si>
    <r>
      <rPr>
        <rFont val="Comfortaa"/>
        <b/>
        <color rgb="FF000000"/>
        <sz val="10.0"/>
      </rPr>
      <t xml:space="preserve">Dior Glori vs yLuxe           </t>
    </r>
    <r>
      <rPr>
        <rFont val="Comfortaa"/>
        <b/>
        <color rgb="FF0000FF"/>
        <sz val="10.0"/>
      </rPr>
      <t xml:space="preserve"> March 10th 9PM EST                   </t>
    </r>
    <r>
      <rPr>
        <rFont val="Comfortaa"/>
        <b/>
        <color rgb="FFFF0000"/>
        <sz val="10.0"/>
      </rPr>
      <t xml:space="preserve">   March 31st 9PM EST</t>
    </r>
  </si>
  <si>
    <r>
      <rPr>
        <rFont val="Comfortaa"/>
        <b/>
        <color rgb="FF000000"/>
        <sz val="10.0"/>
      </rPr>
      <t xml:space="preserve">Mavbrid vs oDhmon </t>
    </r>
    <r>
      <rPr>
        <rFont val="Comfortaa"/>
        <b/>
        <color rgb="FF0000FF"/>
        <sz val="10.0"/>
      </rPr>
      <t xml:space="preserve">                       April 1st 9PM EST          </t>
    </r>
    <r>
      <rPr>
        <rFont val="Comfortaa"/>
        <b/>
        <color rgb="FFFF0000"/>
        <sz val="10.0"/>
      </rPr>
      <t>March 18th 8PM EST</t>
    </r>
  </si>
  <si>
    <r>
      <rPr>
        <rFont val="Comfortaa"/>
        <b/>
        <color rgb="FF000000"/>
        <sz val="10.0"/>
      </rPr>
      <t xml:space="preserve">ADhilly vs unbes </t>
    </r>
    <r>
      <rPr>
        <rFont val="Comfortaa"/>
        <b/>
        <color rgb="FFFF0000"/>
        <sz val="10.0"/>
      </rPr>
      <t xml:space="preserve">March 19th 8PM EST    </t>
    </r>
    <r>
      <rPr>
        <rFont val="Comfortaa"/>
        <b/>
        <color rgb="FF0000FF"/>
        <sz val="10.0"/>
      </rPr>
      <t>March 25th 8PM EST</t>
    </r>
  </si>
  <si>
    <r>
      <rPr>
        <rFont val="Comfortaa"/>
        <b/>
        <color rgb="FF000000"/>
        <sz val="10.0"/>
      </rPr>
      <t xml:space="preserve">ActiveHate vs yLuxe                </t>
    </r>
    <r>
      <rPr>
        <rFont val="Comfortaa"/>
        <b/>
        <color rgb="FF0000FF"/>
        <sz val="10.0"/>
      </rPr>
      <t xml:space="preserve">April 5th 9PM EST            </t>
    </r>
    <r>
      <rPr>
        <rFont val="Comfortaa"/>
        <b/>
        <color rgb="FFFF0000"/>
        <sz val="10.0"/>
      </rPr>
      <t xml:space="preserve"> March 16th 10PM EST</t>
    </r>
  </si>
  <si>
    <r>
      <rPr>
        <rFont val="Comfortaa"/>
        <b/>
        <color rgb="FF000000"/>
        <sz val="10.0"/>
      </rPr>
      <t xml:space="preserve">Mavbrid vs unbes   </t>
    </r>
    <r>
      <rPr>
        <rFont val="Comfortaa"/>
        <b/>
        <color rgb="FFFF0000"/>
        <sz val="10.0"/>
      </rPr>
      <t xml:space="preserve">            March 18th 7PM EST       </t>
    </r>
    <r>
      <rPr>
        <rFont val="Comfortaa"/>
        <b/>
        <color rgb="FF000000"/>
        <sz val="10.0"/>
      </rPr>
      <t xml:space="preserve">        </t>
    </r>
    <r>
      <rPr>
        <rFont val="Comfortaa"/>
        <b/>
        <color rgb="FF0000FF"/>
        <sz val="10.0"/>
      </rPr>
      <t>March 11th 8PM EST</t>
    </r>
  </si>
  <si>
    <r>
      <rPr>
        <rFont val="Comfortaa"/>
        <b/>
        <color rgb="FF000000"/>
        <sz val="10.0"/>
      </rPr>
      <t xml:space="preserve">ADhilly vs yLuxe </t>
    </r>
    <r>
      <rPr>
        <rFont val="Comfortaa"/>
        <b/>
        <color rgb="FFFF0000"/>
        <sz val="10.0"/>
      </rPr>
      <t xml:space="preserve">                 March 22th 8PM EST          </t>
    </r>
    <r>
      <rPr>
        <rFont val="Comfortaa"/>
        <b/>
        <color rgb="FF0000FF"/>
        <sz val="10.0"/>
      </rPr>
      <t>March 26th 9PM EST</t>
    </r>
  </si>
  <si>
    <r>
      <rPr>
        <rFont val="Comfortaa"/>
        <b/>
        <color rgb="FF000000"/>
        <sz val="10.0"/>
      </rPr>
      <t xml:space="preserve">Mavbrid vs yLuxe   </t>
    </r>
    <r>
      <rPr>
        <rFont val="Comfortaa"/>
        <b/>
        <color rgb="FFFF0000"/>
        <sz val="10.0"/>
      </rPr>
      <t xml:space="preserve">           March 17th 9PM EST</t>
    </r>
    <r>
      <rPr>
        <rFont val="Comfortaa"/>
        <b/>
        <color rgb="FF000000"/>
        <sz val="10.0"/>
      </rPr>
      <t xml:space="preserve">                 </t>
    </r>
    <r>
      <rPr>
        <rFont val="Comfortaa"/>
        <b/>
        <color rgb="FF0000FF"/>
        <sz val="10.0"/>
      </rPr>
      <t>April 7th 9PM EST</t>
    </r>
  </si>
  <si>
    <t>Make Up Week                April 9th - 15th</t>
  </si>
  <si>
    <t>ActiveHate @ oDhmon                  11PM EST                                           oDhmon @ ActiveHate                             DOUBLE HEADER</t>
  </si>
  <si>
    <r>
      <rPr>
        <rFont val="Comfortaa"/>
        <color rgb="FFFF0000"/>
        <sz val="8.0"/>
      </rPr>
      <t xml:space="preserve">                                </t>
    </r>
    <r>
      <rPr>
        <rFont val="Comfortaa"/>
        <color rgb="FFFFFFFF"/>
        <sz val="8.0"/>
      </rPr>
      <t xml:space="preserve">                                 </t>
    </r>
    <r>
      <rPr>
        <rFont val="Comfortaa"/>
        <strike/>
        <color rgb="FF46BDC6"/>
        <sz val="8.0"/>
      </rPr>
      <t xml:space="preserve">ActiveHate @ InfiniteRainge                     8:30PM EST </t>
    </r>
    <r>
      <rPr>
        <rFont val="Comfortaa"/>
        <color rgb="FF46BDC6"/>
        <sz val="8.0"/>
      </rPr>
      <t xml:space="preserve">                                 </t>
    </r>
    <r>
      <rPr>
        <rFont val="Comfortaa"/>
        <color rgb="FFFF0000"/>
        <sz val="8.0"/>
      </rPr>
      <t xml:space="preserve"> </t>
    </r>
    <r>
      <rPr>
        <rFont val="Comfortaa"/>
        <color rgb="FF46BDC6"/>
        <sz val="8.0"/>
      </rPr>
      <t xml:space="preserve">                                             </t>
    </r>
    <r>
      <rPr>
        <rFont val="Comfortaa"/>
        <strike/>
        <color rgb="FF46BDC6"/>
        <sz val="8.0"/>
      </rPr>
      <t>ActiveHate @ Mavbrid                          10:30PM EST</t>
    </r>
  </si>
  <si>
    <t>Dior Glori @ Hells Angel cx                          10PM EST</t>
  </si>
  <si>
    <t>Dior Glori @ InfiniteRainge                               8:15PM EST</t>
  </si>
  <si>
    <r>
      <rPr>
        <rFont val="Comfortaa"/>
        <strike/>
        <color rgb="FF46BDC6"/>
        <sz val="6.0"/>
      </rPr>
      <t xml:space="preserve"> Dhlyn @ Dior Glori </t>
    </r>
    <r>
      <rPr>
        <rFont val="Comfortaa"/>
        <color rgb="FF46BDC6"/>
        <sz val="6.0"/>
      </rPr>
      <t xml:space="preserve">                                                   </t>
    </r>
    <r>
      <rPr>
        <rFont val="Comfortaa"/>
        <strike/>
        <color rgb="FF46BDC6"/>
        <sz val="6.0"/>
      </rPr>
      <t xml:space="preserve"> 7PM EST</t>
    </r>
    <r>
      <rPr>
        <rFont val="Comfortaa"/>
        <color rgb="FF46BDC6"/>
        <sz val="6.0"/>
      </rPr>
      <t xml:space="preserve">                                                               </t>
    </r>
    <r>
      <rPr>
        <rFont val="Comfortaa"/>
        <strike/>
        <color rgb="FF46BDC6"/>
        <sz val="6.0"/>
      </rPr>
      <t xml:space="preserve"> Dhlyn @ ADhillyy                                           8PM EST</t>
    </r>
    <r>
      <rPr>
        <rFont val="Comfortaa"/>
        <color rgb="FF46BDC6"/>
        <sz val="6.0"/>
      </rPr>
      <t xml:space="preserve">                                                        </t>
    </r>
    <r>
      <rPr>
        <rFont val="Comfortaa"/>
        <strike/>
        <color rgb="FF46BDC6"/>
        <sz val="6.0"/>
      </rPr>
      <t xml:space="preserve">  Hells Angel cx @ oDhmon                                           8PM EST</t>
    </r>
    <r>
      <rPr>
        <rFont val="Comfortaa"/>
        <color rgb="FF46BDC6"/>
        <sz val="6.0"/>
      </rPr>
      <t xml:space="preserve">                                                </t>
    </r>
    <r>
      <rPr>
        <rFont val="Comfortaa"/>
        <strike/>
        <color rgb="FF46BDC6"/>
        <sz val="6.0"/>
      </rPr>
      <t>Dhlyn @ InfiniteRainge                                 8:30PM EST</t>
    </r>
    <r>
      <rPr>
        <rFont val="Comfortaa"/>
        <color rgb="FF46BDC6"/>
        <sz val="6.0"/>
      </rPr>
      <t xml:space="preserve">                                            </t>
    </r>
    <r>
      <rPr>
        <rFont val="Comfortaa"/>
        <strike/>
        <color rgb="FF46BDC6"/>
        <sz val="6.0"/>
      </rPr>
      <t xml:space="preserve">  InfiniteRainge @ oDhmon                                    9:15PM EST</t>
    </r>
    <r>
      <rPr>
        <rFont val="Comfortaa"/>
        <color rgb="FF46BDC6"/>
        <sz val="6.0"/>
      </rPr>
      <t xml:space="preserve">                                                                                          </t>
    </r>
    <r>
      <rPr>
        <rFont val="Comfortaa"/>
        <strike/>
        <color rgb="FF46BDC6"/>
        <sz val="6.0"/>
      </rPr>
      <t xml:space="preserve">Hells Angel cx @ Dhlyn                        9:50PM EST </t>
    </r>
    <r>
      <rPr>
        <rFont val="Comfortaa"/>
        <color rgb="FF46BDC6"/>
        <sz val="6.0"/>
      </rPr>
      <t xml:space="preserve">                                                            </t>
    </r>
    <r>
      <rPr>
        <rFont val="Comfortaa"/>
        <strike/>
        <color rgb="FF46BDC6"/>
        <sz val="6.0"/>
      </rPr>
      <t>Mavbrid @ Dhlyn                                         10:40PM EST</t>
    </r>
  </si>
  <si>
    <r>
      <rPr>
        <rFont val="Comfortaa"/>
        <strike/>
        <color rgb="FF46BDC6"/>
        <sz val="8.0"/>
      </rPr>
      <t xml:space="preserve">Hells Angel cx @ ActiveHate                     7PM EST </t>
    </r>
    <r>
      <rPr>
        <rFont val="Comfortaa"/>
        <color rgb="FF46BDC6"/>
        <sz val="8.0"/>
      </rPr>
      <t xml:space="preserve">                                </t>
    </r>
    <r>
      <rPr>
        <rFont val="Comfortaa"/>
        <strike/>
        <color rgb="FF46BDC6"/>
        <sz val="8.0"/>
      </rPr>
      <t xml:space="preserve">    oDhmon @ yLuxe                                      8PM EST                              yLuxe @ Mavbrid                9PM EST</t>
    </r>
    <r>
      <rPr>
        <rFont val="Comfortaa"/>
        <color rgb="FF46BDC6"/>
        <sz val="8.0"/>
      </rPr>
      <t xml:space="preserve">                                                     </t>
    </r>
  </si>
  <si>
    <r>
      <rPr>
        <rFont val="Comfortaa"/>
        <strike/>
        <color rgb="FFFFFFFF"/>
        <sz val="8.0"/>
      </rPr>
      <t xml:space="preserve">yLuxe @ ActiveHate                       8PM EST </t>
    </r>
    <r>
      <rPr>
        <rFont val="Comfortaa"/>
        <color rgb="FFFFFFFF"/>
        <sz val="8.0"/>
      </rPr>
      <t xml:space="preserve">                       </t>
    </r>
    <r>
      <rPr>
        <rFont val="Comfortaa"/>
        <strike/>
        <color rgb="FFFFFFFF"/>
        <sz val="8.0"/>
      </rPr>
      <t>Mavbrid @ yLuxe                           9PM EST</t>
    </r>
    <r>
      <rPr>
        <rFont val="Comfortaa"/>
        <color rgb="FFFFFFFF"/>
        <sz val="8.0"/>
      </rPr>
      <t xml:space="preserve">                              </t>
    </r>
    <r>
      <rPr>
        <rFont val="Comfortaa"/>
        <strike/>
        <color rgb="FFFFFFFF"/>
        <sz val="8.0"/>
      </rPr>
      <t>ActiveHate @ Dior Glori                        9PM EST</t>
    </r>
    <r>
      <rPr>
        <rFont val="Comfortaa"/>
        <color rgb="FFFFFFFF"/>
        <sz val="8.0"/>
      </rPr>
      <t xml:space="preserve">                                       </t>
    </r>
    <r>
      <rPr>
        <rFont val="Comfortaa"/>
        <strike/>
        <color rgb="FFFFFFFF"/>
        <sz val="8.0"/>
      </rPr>
      <t>Dior Glori @ Mavbrid                     10PM EST</t>
    </r>
  </si>
  <si>
    <t>Make Up Games: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</si>
</sst>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0.0000"/>
    <numFmt numFmtId="166" formatCode="m-d"/>
    <numFmt numFmtId="167" formatCode="m/d"/>
  </numFmts>
  <fonts count="143">
    <font>
      <sz val="10.0"/>
      <color rgb="FF00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  <font>
      <u/>
      <color rgb="FF0000FF"/>
    </font>
    <font>
      <color theme="1"/>
      <name val="Arial"/>
    </font>
    <font>
      <b/>
      <color theme="1"/>
      <name val="Arial"/>
      <scheme val="minor"/>
    </font>
    <font>
      <sz val="11.0"/>
      <color rgb="FF1155CC"/>
      <name val="Inconsolata"/>
    </font>
    <font>
      <b/>
      <sz val="12.0"/>
      <color rgb="FFFFFF00"/>
      <name val="Arial"/>
      <scheme val="minor"/>
    </font>
    <font>
      <b/>
      <color theme="1"/>
      <name val="Arial"/>
    </font>
    <font>
      <color rgb="FFFFD700"/>
      <name val="Arial"/>
      <scheme val="minor"/>
    </font>
    <font>
      <sz val="11.0"/>
      <color rgb="FF7E3794"/>
      <name val="Arial"/>
      <scheme val="minor"/>
    </font>
    <font>
      <sz val="11.0"/>
      <color rgb="FF000000"/>
      <name val="Inconsolata"/>
    </font>
    <font>
      <color rgb="FFFFFF00"/>
      <name val="Arial"/>
      <scheme val="minor"/>
    </font>
    <font>
      <b/>
      <strike/>
      <color theme="1"/>
      <name val="Arial"/>
      <scheme val="minor"/>
    </font>
    <font>
      <b/>
      <sz val="20.0"/>
      <color rgb="FFFF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/>
    <font>
      <b/>
      <sz val="12.0"/>
      <color theme="1"/>
      <name val="Whitney"/>
    </font>
    <font>
      <sz val="12.0"/>
      <color theme="1"/>
      <name val="Whitney"/>
    </font>
    <font>
      <sz val="12.0"/>
      <color rgb="FF000000"/>
      <name val="Arial"/>
    </font>
    <font>
      <color rgb="FF000000"/>
      <name val="Roboto"/>
    </font>
    <font>
      <b/>
      <sz val="11.0"/>
      <color rgb="FF000000"/>
      <name val="Inconsolata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rgb="FF000000"/>
      <name val="Roboto"/>
    </font>
    <font>
      <sz val="36.0"/>
      <color theme="1"/>
      <name val="EB Garamond"/>
    </font>
    <font>
      <b/>
      <color theme="1"/>
      <name val="Georgia"/>
    </font>
    <font>
      <sz val="12.0"/>
      <color theme="1"/>
      <name val="Oswald"/>
    </font>
    <font>
      <strike/>
      <sz val="12.0"/>
      <color theme="1"/>
      <name val="Oswald"/>
    </font>
    <font>
      <sz val="12.0"/>
      <color rgb="FFFF0000"/>
      <name val="Oswald"/>
    </font>
    <font>
      <b/>
      <sz val="11.0"/>
      <color theme="1"/>
      <name val="Merriweather"/>
    </font>
    <font>
      <b/>
      <strike/>
      <sz val="11.0"/>
      <color theme="1"/>
      <name val="Merriweather"/>
    </font>
    <font>
      <b/>
      <sz val="11.0"/>
      <color rgb="FFFF0000"/>
      <name val="Merriweather"/>
    </font>
    <font>
      <sz val="11.0"/>
      <color theme="1"/>
      <name val="Merriweather"/>
    </font>
    <font>
      <strike/>
      <sz val="11.0"/>
      <color theme="1"/>
      <name val="Merriweather"/>
    </font>
    <font>
      <sz val="11.0"/>
      <color rgb="FFFF0000"/>
      <name val="Merriweather"/>
    </font>
    <font>
      <sz val="10.0"/>
      <color theme="1"/>
      <name val="Merriweather"/>
    </font>
    <font>
      <strike/>
      <sz val="10.0"/>
      <color theme="1"/>
      <name val="Merriweather"/>
    </font>
    <font>
      <sz val="10.0"/>
      <color rgb="FFFF0000"/>
      <name val="Merriweather"/>
    </font>
    <font>
      <b/>
      <sz val="24.0"/>
      <color theme="1"/>
      <name val="Calibri"/>
    </font>
    <font>
      <b/>
      <color theme="1"/>
      <name val="Comfortaa"/>
    </font>
    <font>
      <sz val="11.0"/>
      <color theme="1"/>
      <name val="Calibri"/>
    </font>
    <font>
      <strike/>
      <sz val="11.0"/>
      <color theme="1"/>
      <name val="Calibri"/>
    </font>
    <font>
      <color theme="1"/>
      <name val="Calibri"/>
    </font>
    <font>
      <sz val="10.0"/>
      <color theme="1"/>
      <name val="Arial"/>
      <scheme val="minor"/>
    </font>
    <font>
      <color theme="1"/>
      <name val="Oswald"/>
    </font>
    <font>
      <strike/>
      <sz val="11.0"/>
      <color rgb="FF202124"/>
      <name val="Calibri"/>
    </font>
    <font>
      <sz val="10.0"/>
      <color theme="1"/>
      <name val="Calibri"/>
    </font>
    <font>
      <b/>
      <sz val="36.0"/>
      <color theme="1"/>
      <name val="Oswald"/>
    </font>
    <font>
      <b/>
      <sz val="36.0"/>
      <color rgb="FF000000"/>
      <name val="Oswald"/>
    </font>
    <font>
      <sz val="18.0"/>
      <color theme="1"/>
      <name val="Oswald"/>
    </font>
    <font>
      <b/>
      <sz val="24.0"/>
      <color rgb="FF000000"/>
      <name val="Oswald"/>
    </font>
    <font>
      <sz val="14.0"/>
      <color theme="1"/>
      <name val="Oswald"/>
    </font>
    <font>
      <b/>
      <sz val="12.0"/>
      <color rgb="FF000000"/>
      <name val="&quot;Google Sans Mono&quot;"/>
    </font>
    <font>
      <b/>
      <sz val="9.0"/>
      <color rgb="FF000000"/>
      <name val="&quot;Google Sans Mono&quot;"/>
    </font>
    <font>
      <b/>
      <sz val="14.0"/>
      <color rgb="FFFF0000"/>
      <name val="Arial"/>
      <scheme val="minor"/>
    </font>
    <font>
      <b/>
      <sz val="11.0"/>
      <color rgb="FF9900FF"/>
      <name val="Arial"/>
      <scheme val="minor"/>
    </font>
    <font>
      <b/>
      <sz val="12.0"/>
      <color rgb="FF9900FF"/>
      <name val="Arial"/>
    </font>
    <font>
      <b/>
      <color rgb="FF9900FF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>
      <b/>
      <sz val="12.0"/>
      <color rgb="FFFF0000"/>
      <name val="Arial"/>
      <scheme val="minor"/>
    </font>
    <font>
      <b/>
      <sz val="20.0"/>
      <color rgb="FFD9EAD3"/>
      <name val="Arial"/>
      <scheme val="minor"/>
    </font>
    <font>
      <sz val="10.0"/>
      <color theme="1"/>
      <name val="Arial"/>
    </font>
    <font>
      <b/>
      <sz val="11.0"/>
      <color rgb="FFD9EAD3"/>
      <name val="Arial"/>
      <scheme val="minor"/>
    </font>
    <font>
      <sz val="15.0"/>
      <color theme="1"/>
      <name val="Arial"/>
      <scheme val="minor"/>
    </font>
    <font>
      <b/>
      <color rgb="FF000000"/>
      <name val="Roboto"/>
    </font>
    <font>
      <b/>
      <color rgb="FF000000"/>
      <name val="Arial"/>
    </font>
    <font>
      <b/>
      <color theme="1"/>
      <name val="Roboto"/>
    </font>
    <font>
      <color theme="1"/>
      <name val="Roboto"/>
    </font>
    <font>
      <b/>
      <sz val="20.0"/>
      <color rgb="FF4A86E8"/>
      <name val="Arial"/>
      <scheme val="minor"/>
    </font>
    <font>
      <sz val="12.0"/>
      <color rgb="FF4A86E8"/>
      <name val="Oswald"/>
    </font>
    <font>
      <sz val="11.0"/>
      <color rgb="FF000000"/>
      <name val="Oswald"/>
    </font>
    <font>
      <b/>
      <sz val="15.0"/>
      <color theme="1"/>
      <name val="Oswald"/>
    </font>
    <font>
      <b/>
      <sz val="24.0"/>
      <color rgb="FF4A86E8"/>
      <name val="Oswald"/>
    </font>
    <font>
      <b/>
      <sz val="20.0"/>
      <color rgb="FF4A86E8"/>
      <name val="Oswald"/>
    </font>
    <font>
      <sz val="12.0"/>
      <color rgb="FF000000"/>
      <name val="Oswald"/>
    </font>
    <font>
      <sz val="10.0"/>
      <color theme="1"/>
      <name val="Oswald"/>
    </font>
    <font>
      <b/>
      <sz val="15.0"/>
      <color rgb="FF000000"/>
      <name val="Oswald"/>
    </font>
    <font>
      <b/>
      <sz val="24.0"/>
      <color theme="4"/>
      <name val="Oswald"/>
    </font>
    <font>
      <b/>
      <sz val="16.0"/>
      <color rgb="FF000000"/>
      <name val="Oswald"/>
    </font>
    <font>
      <sz val="10.0"/>
      <color rgb="FF000000"/>
      <name val="Oswald"/>
    </font>
    <font>
      <sz val="11.0"/>
      <color theme="1"/>
      <name val="Oswald"/>
    </font>
    <font>
      <sz val="8.0"/>
      <color theme="1"/>
      <name val="Oswald"/>
    </font>
    <font>
      <b/>
      <sz val="24.0"/>
      <color theme="1"/>
      <name val="Oswald"/>
    </font>
    <font>
      <sz val="9.0"/>
      <color rgb="FF000000"/>
      <name val="&quot;Google Sans Mono&quot;"/>
    </font>
    <font>
      <b/>
      <color rgb="FF000000"/>
      <name val="Arial"/>
      <scheme val="minor"/>
    </font>
    <font>
      <color rgb="FF000000"/>
      <name val="Arial"/>
      <scheme val="minor"/>
    </font>
    <font>
      <sz val="11.0"/>
      <color theme="1"/>
      <name val="Inconsolata"/>
    </font>
    <font>
      <i/>
      <color theme="1"/>
      <name val="Arial"/>
    </font>
    <font>
      <i/>
      <color rgb="FF000000"/>
      <name val="Arial"/>
    </font>
    <font>
      <color rgb="FFFFD700"/>
      <name val="Arial"/>
    </font>
    <font>
      <color rgb="FF000000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i/>
      <color theme="1"/>
      <name val="Arial"/>
      <scheme val="minor"/>
    </font>
    <font>
      <b/>
      <color rgb="FFFF0000"/>
      <name val="Arial"/>
    </font>
    <font>
      <sz val="11.0"/>
      <color rgb="FF000000"/>
      <name val="Calibri"/>
    </font>
    <font>
      <b/>
      <sz val="36.0"/>
      <color rgb="FFFFFFFF"/>
      <name val="Oswald"/>
    </font>
    <font>
      <sz val="13.0"/>
      <color theme="1"/>
      <name val="Comfortaa"/>
    </font>
    <font>
      <sz val="11.0"/>
      <color theme="1"/>
      <name val="Comfortaa"/>
    </font>
    <font>
      <b/>
      <sz val="8.0"/>
      <color rgb="FFFFFFFF"/>
      <name val="Comfortaa"/>
    </font>
    <font>
      <strike/>
      <sz val="11.0"/>
      <color theme="1"/>
      <name val="Comfortaa"/>
    </font>
    <font>
      <sz val="7.0"/>
      <color rgb="FFFF0000"/>
      <name val="Comfortaa"/>
    </font>
    <font>
      <b/>
      <sz val="7.0"/>
      <color rgb="FFFF0000"/>
      <name val="Comfortaa"/>
    </font>
    <font>
      <strike/>
      <sz val="10.0"/>
      <color theme="1"/>
      <name val="Comfortaa"/>
    </font>
    <font>
      <b/>
      <sz val="11.0"/>
      <color theme="1"/>
      <name val="Comfortaa"/>
    </font>
    <font>
      <sz val="20.0"/>
      <color rgb="FFFF0000"/>
      <name val="Arial"/>
      <scheme val="minor"/>
    </font>
    <font>
      <b/>
      <sz val="11.0"/>
      <color theme="1"/>
      <name val="Arial"/>
      <scheme val="minor"/>
    </font>
    <font>
      <u/>
      <color rgb="FFFF0000"/>
      <name val="Arial"/>
      <scheme val="minor"/>
    </font>
    <font>
      <sz val="20.0"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1155CC"/>
      <name val="Arial"/>
      <scheme val="minor"/>
    </font>
    <font>
      <sz val="10.0"/>
      <color rgb="FF000000"/>
      <name val="Arial"/>
    </font>
    <font>
      <u/>
      <color rgb="FF1155CC"/>
      <name val="Arial"/>
      <scheme val="minor"/>
    </font>
    <font>
      <color rgb="FFFF0000"/>
      <name val="Arial"/>
      <scheme val="minor"/>
    </font>
    <font>
      <u/>
      <color rgb="FFFF0000"/>
      <name val="Arial"/>
      <scheme val="minor"/>
    </font>
    <font>
      <b/>
      <sz val="14.0"/>
      <color theme="1"/>
      <name val="Arial"/>
      <scheme val="minor"/>
    </font>
    <font>
      <u/>
      <color rgb="FF1155CC"/>
      <name val="Arial"/>
      <scheme val="minor"/>
    </font>
    <font>
      <u/>
      <color rgb="FF1155CC"/>
    </font>
    <font>
      <color rgb="FFFFFFFF"/>
      <name val="Oswald"/>
    </font>
    <font>
      <u/>
      <color rgb="FF0000FF"/>
    </font>
    <font>
      <b/>
      <sz val="25.0"/>
      <color rgb="FFFF0000"/>
      <name val="Arial"/>
      <scheme val="minor"/>
    </font>
    <font>
      <sz val="15.0"/>
      <color rgb="FFFF0000"/>
      <name val="Arial"/>
      <scheme val="minor"/>
    </font>
    <font>
      <sz val="12.0"/>
      <color theme="1"/>
      <name val="Lexend"/>
    </font>
    <font>
      <sz val="8.0"/>
      <color rgb="FFEFEFEF"/>
      <name val="Comfortaa"/>
    </font>
    <font>
      <strike/>
      <sz val="8.0"/>
      <color rgb="FFEFEFEF"/>
      <name val="Comfortaa"/>
    </font>
    <font>
      <strike/>
      <sz val="8.0"/>
      <color rgb="FF46BDC6"/>
      <name val="Comfortaa"/>
    </font>
    <font>
      <sz val="18.0"/>
      <color rgb="FF46BDC6"/>
      <name val="Lexend"/>
    </font>
    <font>
      <strike/>
      <sz val="7.0"/>
      <color rgb="FFEFEFEF"/>
      <name val="Comfortaa"/>
    </font>
    <font>
      <sz val="36.0"/>
      <color rgb="FFEFEFEF"/>
      <name val="Comfortaa"/>
    </font>
    <font>
      <sz val="8.0"/>
      <color rgb="FFFF0000"/>
      <name val="Comfortaa"/>
    </font>
    <font>
      <sz val="6.0"/>
      <color rgb="FFEFEFEF"/>
      <name val="Comfortaa"/>
    </font>
    <font>
      <b/>
      <sz val="10.0"/>
      <color rgb="FF000000"/>
      <name val="Comfortaa"/>
    </font>
    <font>
      <b/>
      <sz val="10.0"/>
      <color rgb="FFFF0000"/>
      <name val="Comfortaa"/>
    </font>
    <font>
      <b/>
      <sz val="10.0"/>
      <color theme="1"/>
      <name val="Comfortaa"/>
    </font>
    <font>
      <sz val="8.0"/>
      <color rgb="FFFFFFFF"/>
      <name val="Comfortaa"/>
    </font>
    <font>
      <sz val="6.0"/>
      <color rgb="FF46BDC6"/>
      <name val="Comfortaa"/>
    </font>
    <font>
      <sz val="8.0"/>
      <color rgb="FF46BDC6"/>
      <name val="Comfortaa"/>
    </font>
    <font>
      <b/>
      <sz val="12.0"/>
      <color theme="1"/>
      <name val="Lexend"/>
    </font>
    <font>
      <sz val="8.0"/>
      <color rgb="FFFFFFFF"/>
      <name val="Arial"/>
      <scheme val="minor"/>
    </font>
  </fonts>
  <fills count="4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80000"/>
        <bgColor rgb="FF980000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AA81A"/>
        <bgColor rgb="FFFAA81A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D7E6B"/>
        <bgColor rgb="FFDD7E6B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666666"/>
        <bgColor rgb="FF666666"/>
      </patternFill>
    </fill>
    <fill>
      <patternFill patternType="solid">
        <fgColor rgb="FFE5E5E5"/>
        <bgColor rgb="FFE5E5E5"/>
      </patternFill>
    </fill>
    <fill>
      <patternFill patternType="solid">
        <fgColor rgb="FFFFD700"/>
        <bgColor rgb="FFFFD700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A61C00"/>
        <bgColor rgb="FFA61C00"/>
      </patternFill>
    </fill>
    <fill>
      <patternFill patternType="solid">
        <fgColor rgb="FFB7B7B7"/>
        <bgColor rgb="FFB7B7B7"/>
      </patternFill>
    </fill>
    <fill>
      <patternFill patternType="solid">
        <fgColor rgb="FFBDBDBD"/>
        <bgColor rgb="FFBDBDBD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rgb="FFB4A7D6"/>
        <bgColor rgb="FFB4A7D6"/>
      </patternFill>
    </fill>
    <fill>
      <patternFill patternType="solid">
        <fgColor rgb="FFF3F3F3"/>
        <bgColor rgb="FFF3F3F3"/>
      </patternFill>
    </fill>
    <fill>
      <patternFill patternType="solid">
        <fgColor theme="9"/>
        <bgColor theme="9"/>
      </patternFill>
    </fill>
    <fill>
      <patternFill patternType="solid">
        <fgColor rgb="FF274E13"/>
        <bgColor rgb="FF274E13"/>
      </patternFill>
    </fill>
    <fill>
      <patternFill patternType="solid">
        <fgColor rgb="FF46BDC6"/>
        <bgColor rgb="FF46BDC6"/>
      </patternFill>
    </fill>
    <fill>
      <patternFill patternType="solid">
        <fgColor theme="5"/>
        <bgColor theme="5"/>
      </patternFill>
    </fill>
  </fills>
  <borders count="81">
    <border/>
    <border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ck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CFE2F3"/>
      </left>
      <top style="thin">
        <color rgb="FFCFE2F3"/>
      </top>
      <bottom style="thin">
        <color rgb="FFCFE2F3"/>
      </bottom>
    </border>
    <border>
      <top style="thin">
        <color rgb="FFCFE2F3"/>
      </top>
      <bottom style="thin">
        <color rgb="FFCFE2F3"/>
      </bottom>
    </border>
    <border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666666"/>
      </left>
      <right style="thin">
        <color rgb="FF666666"/>
      </right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FE2F3"/>
      </right>
      <top style="thin">
        <color rgb="FF000000"/>
      </top>
      <bottom style="thin">
        <color rgb="FF000000"/>
      </bottom>
    </border>
    <border>
      <left style="thin">
        <color rgb="FFCFE2F3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CFE2F3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1" numFmtId="0" xfId="0" applyFill="1" applyFont="1"/>
    <xf borderId="0" fillId="4" fontId="1" numFmtId="0" xfId="0" applyFill="1" applyFont="1"/>
    <xf borderId="0" fillId="0" fontId="4" numFmtId="2" xfId="0" applyAlignment="1" applyFont="1" applyNumberFormat="1">
      <alignment vertical="bottom"/>
    </xf>
    <xf borderId="0" fillId="4" fontId="4" numFmtId="2" xfId="0" applyAlignment="1" applyFont="1" applyNumberFormat="1">
      <alignment vertical="bottom"/>
    </xf>
    <xf borderId="0" fillId="0" fontId="1" numFmtId="10" xfId="0" applyAlignment="1" applyFont="1" applyNumberFormat="1">
      <alignment readingOrder="0"/>
    </xf>
    <xf borderId="0" fillId="0" fontId="5" numFmtId="10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/>
    </xf>
    <xf borderId="0" fillId="0" fontId="1" numFmtId="10" xfId="0" applyAlignment="1" applyFont="1" applyNumberFormat="1">
      <alignment horizontal="center" readingOrder="0"/>
    </xf>
    <xf borderId="0" fillId="5" fontId="6" numFmtId="0" xfId="0" applyFill="1" applyFont="1"/>
    <xf borderId="0" fillId="0" fontId="1" numFmtId="0" xfId="0" applyAlignment="1" applyFont="1">
      <alignment horizontal="center" readingOrder="0"/>
    </xf>
    <xf borderId="0" fillId="6" fontId="1" numFmtId="0" xfId="0" applyFill="1" applyFont="1"/>
    <xf borderId="0" fillId="6" fontId="1" numFmtId="10" xfId="0" applyAlignment="1" applyFont="1" applyNumberFormat="1">
      <alignment readingOrder="0"/>
    </xf>
    <xf borderId="0" fillId="6" fontId="1" numFmtId="10" xfId="0" applyAlignment="1" applyFont="1" applyNumberFormat="1">
      <alignment horizontal="center"/>
    </xf>
    <xf borderId="0" fillId="7" fontId="1" numFmtId="10" xfId="0" applyAlignment="1" applyFill="1" applyFont="1" applyNumberFormat="1">
      <alignment horizontal="center"/>
    </xf>
    <xf borderId="0" fillId="6" fontId="7" numFmtId="0" xfId="0" applyAlignment="1" applyFont="1">
      <alignment horizontal="right" readingOrder="0"/>
    </xf>
    <xf borderId="0" fillId="8" fontId="1" numFmtId="10" xfId="0" applyAlignment="1" applyFill="1" applyFont="1" applyNumberFormat="1">
      <alignment horizontal="center"/>
    </xf>
    <xf borderId="0" fillId="9" fontId="1" numFmtId="10" xfId="0" applyAlignment="1" applyFill="1" applyFont="1" applyNumberFormat="1">
      <alignment horizontal="center"/>
    </xf>
    <xf borderId="1" fillId="10" fontId="8" numFmtId="0" xfId="0" applyAlignment="1" applyBorder="1" applyFill="1" applyFont="1">
      <alignment horizontal="center" vertical="bottom"/>
    </xf>
    <xf borderId="2" fillId="11" fontId="1" numFmtId="4" xfId="0" applyAlignment="1" applyBorder="1" applyFill="1" applyFont="1" applyNumberFormat="1">
      <alignment readingOrder="0"/>
    </xf>
    <xf borderId="3" fillId="11" fontId="1" numFmtId="4" xfId="0" applyAlignment="1" applyBorder="1" applyFont="1" applyNumberFormat="1">
      <alignment readingOrder="0"/>
    </xf>
    <xf borderId="4" fillId="11" fontId="1" numFmtId="4" xfId="0" applyAlignment="1" applyBorder="1" applyFont="1" applyNumberFormat="1">
      <alignment readingOrder="0"/>
    </xf>
    <xf borderId="0" fillId="11" fontId="1" numFmtId="4" xfId="0" applyFont="1" applyNumberFormat="1"/>
    <xf borderId="0" fillId="4" fontId="1" numFmtId="4" xfId="0" applyFont="1" applyNumberFormat="1"/>
    <xf borderId="0" fillId="10" fontId="8" numFmtId="0" xfId="0" applyAlignment="1" applyFont="1">
      <alignment horizontal="center" vertical="bottom"/>
    </xf>
    <xf borderId="0" fillId="6" fontId="1" numFmtId="0" xfId="0" applyAlignment="1" applyFont="1">
      <alignment readingOrder="0"/>
    </xf>
    <xf borderId="0" fillId="4" fontId="9" numFmtId="0" xfId="0" applyAlignment="1" applyFont="1">
      <alignment readingOrder="0"/>
    </xf>
    <xf borderId="0" fillId="0" fontId="10" numFmtId="10" xfId="0" applyFont="1" applyNumberFormat="1"/>
    <xf borderId="2" fillId="12" fontId="1" numFmtId="0" xfId="0" applyAlignment="1" applyBorder="1" applyFill="1" applyFont="1">
      <alignment readingOrder="0"/>
    </xf>
    <xf borderId="3" fillId="12" fontId="1" numFmtId="49" xfId="0" applyAlignment="1" applyBorder="1" applyFont="1" applyNumberFormat="1">
      <alignment readingOrder="0"/>
    </xf>
    <xf borderId="3" fillId="0" fontId="1" numFmtId="10" xfId="0" applyAlignment="1" applyBorder="1" applyFont="1" applyNumberFormat="1">
      <alignment horizontal="center"/>
    </xf>
    <xf borderId="3" fillId="0" fontId="1" numFmtId="10" xfId="0" applyAlignment="1" applyBorder="1" applyFont="1" applyNumberFormat="1">
      <alignment horizontal="center" readingOrder="0"/>
    </xf>
    <xf borderId="4" fillId="0" fontId="1" numFmtId="10" xfId="0" applyAlignment="1" applyBorder="1" applyFont="1" applyNumberFormat="1">
      <alignment horizontal="center" readingOrder="0"/>
    </xf>
    <xf borderId="0" fillId="4" fontId="9" numFmtId="10" xfId="0" applyFont="1" applyNumberFormat="1"/>
    <xf borderId="0" fillId="13" fontId="1" numFmtId="10" xfId="0" applyFill="1" applyFont="1" applyNumberFormat="1"/>
    <xf borderId="5" fillId="0" fontId="1" numFmtId="164" xfId="0" applyBorder="1" applyFont="1" applyNumberFormat="1"/>
    <xf borderId="6" fillId="5" fontId="1" numFmtId="10" xfId="0" applyAlignment="1" applyBorder="1" applyFont="1" applyNumberFormat="1">
      <alignment readingOrder="0"/>
    </xf>
    <xf borderId="6" fillId="0" fontId="1" numFmtId="10" xfId="0" applyAlignment="1" applyBorder="1" applyFont="1" applyNumberFormat="1">
      <alignment horizontal="center"/>
    </xf>
    <xf borderId="7" fillId="0" fontId="1" numFmtId="10" xfId="0" applyAlignment="1" applyBorder="1" applyFont="1" applyNumberFormat="1">
      <alignment horizontal="center"/>
    </xf>
    <xf borderId="8" fillId="0" fontId="1" numFmtId="164" xfId="0" applyBorder="1" applyFont="1" applyNumberFormat="1"/>
    <xf borderId="9" fillId="5" fontId="1" numFmtId="10" xfId="0" applyAlignment="1" applyBorder="1" applyFont="1" applyNumberFormat="1">
      <alignment readingOrder="0"/>
    </xf>
    <xf borderId="9" fillId="0" fontId="1" numFmtId="10" xfId="0" applyAlignment="1" applyBorder="1" applyFont="1" applyNumberFormat="1">
      <alignment horizontal="center"/>
    </xf>
    <xf borderId="10" fillId="4" fontId="11" numFmtId="0" xfId="0" applyBorder="1" applyFont="1"/>
    <xf borderId="11" fillId="14" fontId="1" numFmtId="0" xfId="0" applyBorder="1" applyFill="1" applyFont="1"/>
    <xf borderId="12" fillId="0" fontId="1" numFmtId="0" xfId="0" applyBorder="1" applyFont="1"/>
    <xf borderId="13" fillId="0" fontId="1" numFmtId="164" xfId="0" applyBorder="1" applyFont="1" applyNumberFormat="1"/>
    <xf borderId="0" fillId="4" fontId="12" numFmtId="0" xfId="0" applyFont="1"/>
    <xf borderId="12" fillId="4" fontId="11" numFmtId="0" xfId="0" applyBorder="1" applyFont="1"/>
    <xf borderId="13" fillId="14" fontId="1" numFmtId="0" xfId="0" applyBorder="1" applyFont="1"/>
    <xf borderId="0" fillId="4" fontId="12" numFmtId="0" xfId="0" applyAlignment="1" applyFont="1">
      <alignment readingOrder="0"/>
    </xf>
    <xf borderId="12" fillId="4" fontId="1" numFmtId="0" xfId="0" applyBorder="1" applyFont="1"/>
    <xf borderId="0" fillId="5" fontId="1" numFmtId="0" xfId="0" applyAlignment="1" applyFont="1">
      <alignment readingOrder="0"/>
    </xf>
    <xf borderId="0" fillId="15" fontId="1" numFmtId="0" xfId="0" applyAlignment="1" applyFill="1" applyFont="1">
      <alignment readingOrder="0"/>
    </xf>
    <xf borderId="14" fillId="0" fontId="1" numFmtId="164" xfId="0" applyBorder="1" applyFont="1" applyNumberFormat="1"/>
    <xf borderId="15" fillId="0" fontId="1" numFmtId="10" xfId="0" applyAlignment="1" applyBorder="1" applyFont="1" applyNumberFormat="1">
      <alignment horizontal="center"/>
    </xf>
    <xf borderId="12" fillId="0" fontId="1" numFmtId="164" xfId="0" applyBorder="1" applyFont="1" applyNumberFormat="1"/>
    <xf borderId="1" fillId="0" fontId="1" numFmtId="10" xfId="0" applyAlignment="1" applyBorder="1" applyFont="1" applyNumberFormat="1">
      <alignment horizontal="center"/>
    </xf>
    <xf borderId="0" fillId="5" fontId="1" numFmtId="10" xfId="0" applyAlignment="1" applyFont="1" applyNumberFormat="1">
      <alignment readingOrder="0"/>
    </xf>
    <xf borderId="13" fillId="0" fontId="1" numFmtId="10" xfId="0" applyAlignment="1" applyBorder="1" applyFont="1" applyNumberFormat="1">
      <alignment horizontal="center"/>
    </xf>
    <xf borderId="0" fillId="4" fontId="1" numFmtId="10" xfId="0" applyAlignment="1" applyFont="1" applyNumberFormat="1">
      <alignment readingOrder="0"/>
    </xf>
    <xf borderId="0" fillId="4" fontId="1" numFmtId="10" xfId="0" applyAlignment="1" applyFont="1" applyNumberFormat="1">
      <alignment horizontal="center"/>
    </xf>
    <xf borderId="0" fillId="5" fontId="11" numFmtId="0" xfId="0" applyFont="1"/>
    <xf borderId="13" fillId="0" fontId="1" numFmtId="0" xfId="0" applyBorder="1" applyFont="1"/>
    <xf borderId="16" fillId="0" fontId="1" numFmtId="0" xfId="0" applyBorder="1" applyFont="1"/>
    <xf borderId="17" fillId="0" fontId="1" numFmtId="0" xfId="0" applyBorder="1" applyFont="1"/>
    <xf borderId="0" fillId="0" fontId="1" numFmtId="0" xfId="0" applyAlignment="1" applyFont="1">
      <alignment horizontal="left"/>
    </xf>
    <xf borderId="0" fillId="16" fontId="5" numFmtId="0" xfId="0" applyAlignment="1" applyFill="1" applyFont="1">
      <alignment horizontal="center" readingOrder="0" vertical="center"/>
    </xf>
    <xf borderId="0" fillId="16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4" fontId="14" numFmtId="0" xfId="0" applyAlignment="1" applyFont="1">
      <alignment horizontal="center" readingOrder="0"/>
    </xf>
    <xf borderId="0" fillId="17" fontId="15" numFmtId="0" xfId="0" applyAlignment="1" applyFill="1" applyFont="1">
      <alignment horizontal="left" readingOrder="0"/>
    </xf>
    <xf borderId="0" fillId="17" fontId="16" numFmtId="0" xfId="0" applyAlignment="1" applyFont="1">
      <alignment horizontal="center" readingOrder="0"/>
    </xf>
    <xf borderId="15" fillId="17" fontId="16" numFmtId="0" xfId="0" applyAlignment="1" applyBorder="1" applyFont="1">
      <alignment horizontal="center" readingOrder="0"/>
    </xf>
    <xf borderId="18" fillId="0" fontId="17" numFmtId="0" xfId="0" applyBorder="1" applyFont="1"/>
    <xf borderId="0" fillId="4" fontId="11" numFmtId="0" xfId="0" applyAlignment="1" applyFont="1">
      <alignment readingOrder="0"/>
    </xf>
    <xf borderId="0" fillId="17" fontId="15" numFmtId="0" xfId="0" applyAlignment="1" applyFont="1">
      <alignment horizontal="right" readingOrder="0"/>
    </xf>
    <xf borderId="0" fillId="17" fontId="18" numFmtId="0" xfId="0" applyAlignment="1" applyFont="1">
      <alignment horizontal="center" readingOrder="0"/>
    </xf>
    <xf borderId="0" fillId="4" fontId="16" numFmtId="0" xfId="0" applyAlignment="1" applyFont="1">
      <alignment horizontal="center" readingOrder="0"/>
    </xf>
    <xf borderId="0" fillId="17" fontId="15" numFmtId="0" xfId="0" applyAlignment="1" applyFont="1">
      <alignment horizontal="center" readingOrder="0"/>
    </xf>
    <xf borderId="0" fillId="17" fontId="15" numFmtId="2" xfId="0" applyAlignment="1" applyFont="1" applyNumberFormat="1">
      <alignment horizontal="center" readingOrder="0"/>
    </xf>
    <xf borderId="19" fillId="0" fontId="17" numFmtId="0" xfId="0" applyBorder="1" applyFont="1"/>
    <xf borderId="0" fillId="17" fontId="16" numFmtId="0" xfId="0" applyAlignment="1" applyFont="1">
      <alignment horizontal="center" readingOrder="0" vertical="center"/>
    </xf>
    <xf borderId="0" fillId="4" fontId="19" numFmtId="0" xfId="0" applyAlignment="1" applyFont="1">
      <alignment horizontal="center" readingOrder="0"/>
    </xf>
    <xf borderId="0" fillId="17" fontId="20" numFmtId="0" xfId="0" applyAlignment="1" applyFont="1">
      <alignment horizontal="center" readingOrder="0"/>
    </xf>
    <xf borderId="0" fillId="17" fontId="20" numFmtId="2" xfId="0" applyAlignment="1" applyFont="1" applyNumberFormat="1">
      <alignment horizontal="center" readingOrder="0"/>
    </xf>
    <xf borderId="0" fillId="4" fontId="1" numFmtId="0" xfId="0" applyAlignment="1" applyFont="1">
      <alignment horizontal="center"/>
    </xf>
    <xf borderId="0" fillId="4" fontId="18" numFmtId="0" xfId="0" applyAlignment="1" applyFont="1">
      <alignment horizontal="center" readingOrder="0"/>
    </xf>
    <xf borderId="0" fillId="17" fontId="20" numFmtId="0" xfId="0" applyAlignment="1" applyFont="1">
      <alignment horizontal="center" readingOrder="0" shrinkToFit="0" wrapText="1"/>
    </xf>
    <xf borderId="0" fillId="17" fontId="20" numFmtId="2" xfId="0" applyAlignment="1" applyFont="1" applyNumberFormat="1">
      <alignment horizontal="center" readingOrder="0" shrinkToFit="0" wrapText="1"/>
    </xf>
    <xf borderId="0" fillId="4" fontId="19" numFmtId="0" xfId="0" applyAlignment="1" applyFont="1">
      <alignment horizontal="center" readingOrder="0" shrinkToFit="0" wrapText="1"/>
    </xf>
    <xf borderId="0" fillId="17" fontId="15" numFmtId="0" xfId="0" applyAlignment="1" applyFont="1">
      <alignment horizontal="right" readingOrder="0" vertical="center"/>
    </xf>
    <xf borderId="0" fillId="17" fontId="20" numFmtId="0" xfId="0" applyAlignment="1" applyFont="1">
      <alignment horizontal="center" readingOrder="0" vertical="center"/>
    </xf>
    <xf borderId="1" fillId="17" fontId="20" numFmtId="2" xfId="0" applyAlignment="1" applyBorder="1" applyFont="1" applyNumberFormat="1">
      <alignment horizontal="center" readingOrder="0" vertical="center"/>
    </xf>
    <xf borderId="20" fillId="0" fontId="17" numFmtId="0" xfId="0" applyBorder="1" applyFont="1"/>
    <xf borderId="0" fillId="17" fontId="15" numFmtId="0" xfId="0" applyAlignment="1" applyFont="1">
      <alignment horizontal="center" readingOrder="0" vertical="center"/>
    </xf>
    <xf borderId="0" fillId="17" fontId="15" numFmtId="0" xfId="0" applyAlignment="1" applyFont="1">
      <alignment horizontal="center" readingOrder="0" shrinkToFit="0" wrapText="1"/>
    </xf>
    <xf borderId="0" fillId="4" fontId="1" numFmtId="0" xfId="0" applyAlignment="1" applyFont="1">
      <alignment horizontal="right"/>
    </xf>
    <xf borderId="0" fillId="6" fontId="1" numFmtId="0" xfId="0" applyAlignment="1" applyFont="1">
      <alignment horizontal="right"/>
    </xf>
    <xf borderId="0" fillId="4" fontId="16" numFmtId="0" xfId="0" applyAlignment="1" applyFont="1">
      <alignment horizontal="center" readingOrder="0" shrinkToFit="0" wrapText="1"/>
    </xf>
    <xf borderId="0" fillId="17" fontId="18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17" fontId="16" numFmtId="0" xfId="0" applyAlignment="1" applyFont="1">
      <alignment horizontal="center" readingOrder="0" shrinkToFit="0" wrapText="1"/>
    </xf>
    <xf borderId="0" fillId="17" fontId="19" numFmtId="0" xfId="0" applyAlignment="1" applyFont="1">
      <alignment horizontal="center" readingOrder="0"/>
    </xf>
    <xf borderId="0" fillId="17" fontId="19" numFmtId="0" xfId="0" applyAlignment="1" applyFont="1">
      <alignment horizontal="right" readingOrder="0"/>
    </xf>
    <xf borderId="0" fillId="17" fontId="16" numFmtId="0" xfId="0" applyAlignment="1" applyFont="1">
      <alignment horizontal="center" readingOrder="0" shrinkToFit="0" vertical="bottom" wrapText="1"/>
    </xf>
    <xf borderId="0" fillId="4" fontId="1" numFmtId="0" xfId="0" applyAlignment="1" applyFont="1">
      <alignment horizontal="left"/>
    </xf>
    <xf borderId="0" fillId="4" fontId="21" numFmtId="0" xfId="0" applyAlignment="1" applyFont="1">
      <alignment readingOrder="0"/>
    </xf>
    <xf borderId="21" fillId="18" fontId="5" numFmtId="0" xfId="0" applyAlignment="1" applyBorder="1" applyFill="1" applyFont="1">
      <alignment horizontal="center"/>
    </xf>
    <xf borderId="22" fillId="18" fontId="5" numFmtId="0" xfId="0" applyAlignment="1" applyBorder="1" applyFont="1">
      <alignment horizontal="center"/>
    </xf>
    <xf borderId="15" fillId="4" fontId="5" numFmtId="0" xfId="0" applyAlignment="1" applyBorder="1" applyFont="1">
      <alignment horizontal="center"/>
    </xf>
    <xf borderId="21" fillId="19" fontId="22" numFmtId="0" xfId="0" applyAlignment="1" applyBorder="1" applyFill="1" applyFont="1">
      <alignment horizontal="center"/>
    </xf>
    <xf borderId="23" fillId="19" fontId="22" numFmtId="0" xfId="0" applyAlignment="1" applyBorder="1" applyFont="1">
      <alignment horizontal="center"/>
    </xf>
    <xf borderId="22" fillId="0" fontId="17" numFmtId="0" xfId="0" applyBorder="1" applyFont="1"/>
    <xf borderId="21" fillId="11" fontId="22" numFmtId="0" xfId="0" applyAlignment="1" applyBorder="1" applyFont="1">
      <alignment horizontal="center"/>
    </xf>
    <xf borderId="22" fillId="11" fontId="5" numFmtId="0" xfId="0" applyAlignment="1" applyBorder="1" applyFont="1">
      <alignment horizontal="center"/>
    </xf>
    <xf borderId="21" fillId="20" fontId="5" numFmtId="0" xfId="0" applyAlignment="1" applyBorder="1" applyFill="1" applyFont="1">
      <alignment horizontal="center"/>
    </xf>
    <xf borderId="23" fillId="20" fontId="5" numFmtId="0" xfId="0" applyAlignment="1" applyBorder="1" applyFont="1">
      <alignment horizontal="center"/>
    </xf>
    <xf borderId="24" fillId="18" fontId="1" numFmtId="0" xfId="0" applyAlignment="1" applyBorder="1" applyFont="1">
      <alignment horizontal="right"/>
    </xf>
    <xf borderId="25" fillId="18" fontId="1" numFmtId="164" xfId="0" applyAlignment="1" applyBorder="1" applyFont="1" applyNumberFormat="1">
      <alignment horizontal="center"/>
    </xf>
    <xf borderId="24" fillId="19" fontId="1" numFmtId="0" xfId="0" applyAlignment="1" applyBorder="1" applyFont="1">
      <alignment horizontal="right"/>
    </xf>
    <xf borderId="0" fillId="19" fontId="1" numFmtId="164" xfId="0" applyAlignment="1" applyFont="1" applyNumberFormat="1">
      <alignment horizontal="center"/>
    </xf>
    <xf borderId="25" fillId="0" fontId="17" numFmtId="0" xfId="0" applyBorder="1" applyFont="1"/>
    <xf borderId="24" fillId="11" fontId="1" numFmtId="0" xfId="0" applyAlignment="1" applyBorder="1" applyFont="1">
      <alignment horizontal="right"/>
    </xf>
    <xf borderId="25" fillId="11" fontId="1" numFmtId="164" xfId="0" applyAlignment="1" applyBorder="1" applyFont="1" applyNumberFormat="1">
      <alignment horizontal="center"/>
    </xf>
    <xf borderId="24" fillId="20" fontId="1" numFmtId="0" xfId="0" applyAlignment="1" applyBorder="1" applyFont="1">
      <alignment horizontal="right"/>
    </xf>
    <xf borderId="0" fillId="20" fontId="21" numFmtId="164" xfId="0" applyAlignment="1" applyFont="1" applyNumberFormat="1">
      <alignment horizontal="center" readingOrder="0"/>
    </xf>
    <xf borderId="24" fillId="20" fontId="1" numFmtId="164" xfId="0" applyAlignment="1" applyBorder="1" applyFont="1" applyNumberFormat="1">
      <alignment horizontal="right"/>
    </xf>
    <xf borderId="0" fillId="4" fontId="1" numFmtId="164" xfId="0" applyAlignment="1" applyFont="1" applyNumberFormat="1">
      <alignment horizontal="center"/>
    </xf>
    <xf borderId="24" fillId="20" fontId="21" numFmtId="0" xfId="0" applyAlignment="1" applyBorder="1" applyFont="1">
      <alignment horizontal="right" readingOrder="0"/>
    </xf>
    <xf borderId="26" fillId="18" fontId="1" numFmtId="0" xfId="0" applyAlignment="1" applyBorder="1" applyFont="1">
      <alignment horizontal="right"/>
    </xf>
    <xf borderId="27" fillId="18" fontId="1" numFmtId="164" xfId="0" applyAlignment="1" applyBorder="1" applyFont="1" applyNumberFormat="1">
      <alignment horizontal="center"/>
    </xf>
    <xf borderId="1" fillId="4" fontId="1" numFmtId="0" xfId="0" applyAlignment="1" applyBorder="1" applyFont="1">
      <alignment horizontal="left"/>
    </xf>
    <xf borderId="26" fillId="19" fontId="1" numFmtId="0" xfId="0" applyAlignment="1" applyBorder="1" applyFont="1">
      <alignment horizontal="right"/>
    </xf>
    <xf borderId="28" fillId="19" fontId="1" numFmtId="164" xfId="0" applyAlignment="1" applyBorder="1" applyFont="1" applyNumberFormat="1">
      <alignment horizontal="center"/>
    </xf>
    <xf borderId="27" fillId="0" fontId="17" numFmtId="0" xfId="0" applyBorder="1" applyFont="1"/>
    <xf borderId="26" fillId="11" fontId="1" numFmtId="0" xfId="0" applyAlignment="1" applyBorder="1" applyFont="1">
      <alignment horizontal="right"/>
    </xf>
    <xf borderId="27" fillId="11" fontId="1" numFmtId="164" xfId="0" applyAlignment="1" applyBorder="1" applyFont="1" applyNumberFormat="1">
      <alignment horizontal="center"/>
    </xf>
    <xf borderId="1" fillId="4" fontId="1" numFmtId="0" xfId="0" applyAlignment="1" applyBorder="1" applyFont="1">
      <alignment horizontal="center"/>
    </xf>
    <xf borderId="26" fillId="20" fontId="1" numFmtId="0" xfId="0" applyAlignment="1" applyBorder="1" applyFont="1">
      <alignment horizontal="right"/>
    </xf>
    <xf borderId="28" fillId="20" fontId="21" numFmtId="164" xfId="0" applyAlignment="1" applyBorder="1" applyFont="1" applyNumberFormat="1">
      <alignment horizontal="center" readingOrder="0"/>
    </xf>
    <xf borderId="21" fillId="21" fontId="22" numFmtId="0" xfId="0" applyAlignment="1" applyBorder="1" applyFill="1" applyFont="1">
      <alignment horizontal="center"/>
    </xf>
    <xf borderId="22" fillId="21" fontId="5" numFmtId="0" xfId="0" applyAlignment="1" applyBorder="1" applyFont="1">
      <alignment horizontal="center"/>
    </xf>
    <xf borderId="21" fillId="22" fontId="5" numFmtId="0" xfId="0" applyAlignment="1" applyBorder="1" applyFill="1" applyFont="1">
      <alignment horizontal="center"/>
    </xf>
    <xf borderId="23" fillId="22" fontId="5" numFmtId="0" xfId="0" applyAlignment="1" applyBorder="1" applyFont="1">
      <alignment horizontal="center"/>
    </xf>
    <xf borderId="21" fillId="16" fontId="22" numFmtId="0" xfId="0" applyAlignment="1" applyBorder="1" applyFont="1">
      <alignment horizontal="center"/>
    </xf>
    <xf borderId="22" fillId="16" fontId="5" numFmtId="0" xfId="0" applyAlignment="1" applyBorder="1" applyFont="1">
      <alignment horizontal="center"/>
    </xf>
    <xf borderId="21" fillId="23" fontId="5" numFmtId="0" xfId="0" applyAlignment="1" applyBorder="1" applyFill="1" applyFont="1">
      <alignment horizontal="center"/>
    </xf>
    <xf borderId="23" fillId="23" fontId="5" numFmtId="0" xfId="0" applyAlignment="1" applyBorder="1" applyFont="1">
      <alignment horizontal="center"/>
    </xf>
    <xf borderId="24" fillId="21" fontId="1" numFmtId="0" xfId="0" applyAlignment="1" applyBorder="1" applyFont="1">
      <alignment horizontal="right"/>
    </xf>
    <xf borderId="25" fillId="21" fontId="1" numFmtId="164" xfId="0" applyAlignment="1" applyBorder="1" applyFont="1" applyNumberFormat="1">
      <alignment horizontal="center"/>
    </xf>
    <xf borderId="24" fillId="22" fontId="1" numFmtId="0" xfId="0" applyAlignment="1" applyBorder="1" applyFont="1">
      <alignment horizontal="right"/>
    </xf>
    <xf borderId="0" fillId="22" fontId="1" numFmtId="164" xfId="0" applyAlignment="1" applyFont="1" applyNumberFormat="1">
      <alignment horizontal="center"/>
    </xf>
    <xf borderId="24" fillId="16" fontId="1" numFmtId="0" xfId="0" applyAlignment="1" applyBorder="1" applyFont="1">
      <alignment horizontal="right"/>
    </xf>
    <xf borderId="25" fillId="16" fontId="1" numFmtId="164" xfId="0" applyAlignment="1" applyBorder="1" applyFont="1" applyNumberFormat="1">
      <alignment horizontal="center"/>
    </xf>
    <xf borderId="24" fillId="23" fontId="1" numFmtId="0" xfId="0" applyAlignment="1" applyBorder="1" applyFont="1">
      <alignment horizontal="right"/>
    </xf>
    <xf borderId="0" fillId="23" fontId="1" numFmtId="0" xfId="0" applyAlignment="1" applyFont="1">
      <alignment horizontal="center"/>
    </xf>
    <xf borderId="26" fillId="21" fontId="1" numFmtId="0" xfId="0" applyAlignment="1" applyBorder="1" applyFont="1">
      <alignment horizontal="right"/>
    </xf>
    <xf borderId="27" fillId="21" fontId="1" numFmtId="164" xfId="0" applyAlignment="1" applyBorder="1" applyFont="1" applyNumberFormat="1">
      <alignment horizontal="center"/>
    </xf>
    <xf borderId="26" fillId="22" fontId="1" numFmtId="0" xfId="0" applyAlignment="1" applyBorder="1" applyFont="1">
      <alignment horizontal="right"/>
    </xf>
    <xf borderId="28" fillId="22" fontId="1" numFmtId="164" xfId="0" applyAlignment="1" applyBorder="1" applyFont="1" applyNumberFormat="1">
      <alignment horizontal="center"/>
    </xf>
    <xf borderId="26" fillId="16" fontId="1" numFmtId="0" xfId="0" applyAlignment="1" applyBorder="1" applyFont="1">
      <alignment horizontal="right"/>
    </xf>
    <xf borderId="27" fillId="16" fontId="1" numFmtId="164" xfId="0" applyAlignment="1" applyBorder="1" applyFont="1" applyNumberFormat="1">
      <alignment horizontal="center"/>
    </xf>
    <xf borderId="26" fillId="23" fontId="1" numFmtId="0" xfId="0" applyAlignment="1" applyBorder="1" applyFont="1">
      <alignment horizontal="right"/>
    </xf>
    <xf borderId="28" fillId="23" fontId="1" numFmtId="0" xfId="0" applyAlignment="1" applyBorder="1" applyFont="1">
      <alignment horizontal="center"/>
    </xf>
    <xf borderId="21" fillId="12" fontId="23" numFmtId="0" xfId="0" applyAlignment="1" applyBorder="1" applyFont="1">
      <alignment horizontal="center"/>
    </xf>
    <xf borderId="23" fillId="12" fontId="23" numFmtId="0" xfId="0" applyAlignment="1" applyBorder="1" applyFont="1">
      <alignment horizontal="center"/>
    </xf>
    <xf borderId="24" fillId="12" fontId="24" numFmtId="0" xfId="0" applyAlignment="1" applyBorder="1" applyFont="1">
      <alignment horizontal="right" vertical="center"/>
    </xf>
    <xf borderId="0" fillId="12" fontId="24" numFmtId="164" xfId="0" applyAlignment="1" applyFont="1" applyNumberFormat="1">
      <alignment horizontal="center" vertical="center"/>
    </xf>
    <xf borderId="0" fillId="16" fontId="5" numFmtId="0" xfId="0" applyAlignment="1" applyFont="1">
      <alignment horizontal="center" readingOrder="0"/>
    </xf>
    <xf borderId="0" fillId="16" fontId="1" numFmtId="0" xfId="0" applyAlignment="1" applyFont="1">
      <alignment horizontal="center" readingOrder="0" vertical="center"/>
    </xf>
    <xf borderId="0" fillId="16" fontId="1" numFmtId="0" xfId="0" applyAlignment="1" applyFont="1">
      <alignment horizontal="center" readingOrder="0"/>
    </xf>
    <xf borderId="24" fillId="12" fontId="25" numFmtId="0" xfId="0" applyAlignment="1" applyBorder="1" applyFont="1">
      <alignment horizontal="right" readingOrder="0" vertical="center"/>
    </xf>
    <xf borderId="0" fillId="12" fontId="25" numFmtId="164" xfId="0" applyAlignment="1" applyFont="1" applyNumberFormat="1">
      <alignment horizontal="center" readingOrder="0" vertical="center"/>
    </xf>
    <xf borderId="0" fillId="16" fontId="1" numFmtId="0" xfId="0" applyAlignment="1" applyFont="1">
      <alignment horizontal="center" readingOrder="0" shrinkToFit="0" vertical="center" wrapText="1"/>
    </xf>
    <xf borderId="0" fillId="4" fontId="11" numFmtId="0" xfId="0" applyFont="1"/>
    <xf borderId="0" fillId="16" fontId="1" numFmtId="0" xfId="0" applyAlignment="1" applyFont="1">
      <alignment horizontal="center" readingOrder="0" shrinkToFit="0" wrapText="1"/>
    </xf>
    <xf borderId="26" fillId="12" fontId="24" numFmtId="0" xfId="0" applyAlignment="1" applyBorder="1" applyFont="1">
      <alignment horizontal="right" vertical="center"/>
    </xf>
    <xf borderId="28" fillId="12" fontId="24" numFmtId="164" xfId="0" applyAlignment="1" applyBorder="1" applyFont="1" applyNumberFormat="1">
      <alignment horizontal="center" vertical="center"/>
    </xf>
    <xf borderId="0" fillId="6" fontId="1" numFmtId="0" xfId="0" applyAlignment="1" applyFont="1">
      <alignment horizontal="center"/>
    </xf>
    <xf borderId="29" fillId="24" fontId="26" numFmtId="0" xfId="0" applyAlignment="1" applyBorder="1" applyFill="1" applyFont="1">
      <alignment horizontal="center" readingOrder="0" textRotation="0" vertical="center"/>
    </xf>
    <xf borderId="30" fillId="0" fontId="17" numFmtId="0" xfId="0" applyBorder="1" applyFont="1"/>
    <xf borderId="31" fillId="0" fontId="17" numFmtId="0" xfId="0" applyBorder="1" applyFont="1"/>
    <xf borderId="24" fillId="0" fontId="17" numFmtId="0" xfId="0" applyBorder="1" applyFont="1"/>
    <xf borderId="26" fillId="0" fontId="17" numFmtId="0" xfId="0" applyBorder="1" applyFont="1"/>
    <xf borderId="28" fillId="0" fontId="17" numFmtId="0" xfId="0" applyBorder="1" applyFont="1"/>
    <xf borderId="19" fillId="6" fontId="4" numFmtId="0" xfId="0" applyAlignment="1" applyBorder="1" applyFont="1">
      <alignment vertical="bottom"/>
    </xf>
    <xf borderId="32" fillId="0" fontId="27" numFmtId="0" xfId="0" applyAlignment="1" applyBorder="1" applyFont="1">
      <alignment horizontal="center" vertical="center"/>
    </xf>
    <xf borderId="33" fillId="0" fontId="28" numFmtId="0" xfId="0" applyAlignment="1" applyBorder="1" applyFont="1">
      <alignment horizontal="center" readingOrder="0" vertical="center"/>
    </xf>
    <xf borderId="34" fillId="0" fontId="28" numFmtId="0" xfId="0" applyAlignment="1" applyBorder="1" applyFont="1">
      <alignment horizontal="center" readingOrder="0" vertical="center"/>
    </xf>
    <xf borderId="33" fillId="0" fontId="28" numFmtId="0" xfId="0" applyAlignment="1" applyBorder="1" applyFont="1">
      <alignment horizontal="center" vertical="center"/>
    </xf>
    <xf borderId="33" fillId="5" fontId="29" numFmtId="0" xfId="0" applyAlignment="1" applyBorder="1" applyFont="1">
      <alignment horizontal="center" readingOrder="0" vertical="center"/>
    </xf>
    <xf borderId="33" fillId="25" fontId="30" numFmtId="0" xfId="0" applyAlignment="1" applyBorder="1" applyFill="1" applyFont="1">
      <alignment horizontal="center" readingOrder="0" shrinkToFit="0" vertical="center" wrapText="1"/>
    </xf>
    <xf borderId="25" fillId="6" fontId="4" numFmtId="0" xfId="0" applyAlignment="1" applyBorder="1" applyFont="1">
      <alignment vertical="bottom"/>
    </xf>
    <xf borderId="0" fillId="6" fontId="4" numFmtId="0" xfId="0" applyAlignment="1" applyFont="1">
      <alignment vertical="bottom"/>
    </xf>
    <xf borderId="35" fillId="0" fontId="17" numFmtId="0" xfId="0" applyBorder="1" applyFont="1"/>
    <xf borderId="34" fillId="21" fontId="31" numFmtId="0" xfId="0" applyAlignment="1" applyBorder="1" applyFont="1">
      <alignment horizontal="center" readingOrder="0" vertical="bottom"/>
    </xf>
    <xf borderId="19" fillId="21" fontId="31" numFmtId="0" xfId="0" applyAlignment="1" applyBorder="1" applyFont="1">
      <alignment horizontal="center" readingOrder="0" vertical="bottom"/>
    </xf>
    <xf borderId="34" fillId="21" fontId="31" numFmtId="0" xfId="0" applyAlignment="1" applyBorder="1" applyFont="1">
      <alignment horizontal="center" vertical="bottom"/>
    </xf>
    <xf borderId="18" fillId="21" fontId="31" numFmtId="0" xfId="0" applyAlignment="1" applyBorder="1" applyFont="1">
      <alignment horizontal="center" vertical="bottom"/>
    </xf>
    <xf borderId="18" fillId="21" fontId="32" numFmtId="0" xfId="0" applyAlignment="1" applyBorder="1" applyFont="1">
      <alignment horizontal="center" vertical="bottom"/>
    </xf>
    <xf borderId="19" fillId="25" fontId="33" numFmtId="0" xfId="0" applyAlignment="1" applyBorder="1" applyFont="1">
      <alignment horizontal="center" readingOrder="0" vertical="bottom"/>
    </xf>
    <xf borderId="36" fillId="5" fontId="31" numFmtId="0" xfId="0" applyAlignment="1" applyBorder="1" applyFont="1">
      <alignment horizontal="center" readingOrder="0" vertical="bottom"/>
    </xf>
    <xf borderId="36" fillId="5" fontId="34" numFmtId="0" xfId="0" applyAlignment="1" applyBorder="1" applyFont="1">
      <alignment horizontal="center" readingOrder="0" vertical="bottom"/>
    </xf>
    <xf borderId="19" fillId="5" fontId="34" numFmtId="0" xfId="0" applyAlignment="1" applyBorder="1" applyFont="1">
      <alignment horizontal="center" readingOrder="0" vertical="bottom"/>
    </xf>
    <xf borderId="19" fillId="5" fontId="35" numFmtId="0" xfId="0" applyAlignment="1" applyBorder="1" applyFont="1">
      <alignment horizontal="center" readingOrder="0" vertical="bottom"/>
    </xf>
    <xf borderId="19" fillId="25" fontId="36" numFmtId="0" xfId="0" applyAlignment="1" applyBorder="1" applyFont="1">
      <alignment horizontal="center" readingOrder="0" vertical="bottom"/>
    </xf>
    <xf borderId="36" fillId="21" fontId="31" numFmtId="0" xfId="0" applyAlignment="1" applyBorder="1" applyFont="1">
      <alignment horizontal="center" readingOrder="0" vertical="bottom"/>
    </xf>
    <xf borderId="19" fillId="21" fontId="37" numFmtId="0" xfId="0" applyAlignment="1" applyBorder="1" applyFont="1">
      <alignment horizontal="center" readingOrder="0" vertical="bottom"/>
    </xf>
    <xf borderId="19" fillId="21" fontId="38" numFmtId="0" xfId="0" applyAlignment="1" applyBorder="1" applyFont="1">
      <alignment horizontal="center" readingOrder="0" vertical="bottom"/>
    </xf>
    <xf borderId="19" fillId="25" fontId="39" numFmtId="0" xfId="0" applyAlignment="1" applyBorder="1" applyFont="1">
      <alignment horizontal="center" readingOrder="0" vertical="bottom"/>
    </xf>
    <xf borderId="35" fillId="5" fontId="31" numFmtId="0" xfId="0" applyAlignment="1" applyBorder="1" applyFont="1">
      <alignment horizontal="center" readingOrder="0" vertical="bottom"/>
    </xf>
    <xf borderId="20" fillId="5" fontId="37" numFmtId="0" xfId="0" applyAlignment="1" applyBorder="1" applyFont="1">
      <alignment horizontal="center" readingOrder="0" vertical="bottom"/>
    </xf>
    <xf borderId="20" fillId="5" fontId="38" numFmtId="0" xfId="0" applyAlignment="1" applyBorder="1" applyFont="1">
      <alignment horizontal="center" readingOrder="0" vertical="bottom"/>
    </xf>
    <xf borderId="29" fillId="24" fontId="40" numFmtId="0" xfId="0" applyAlignment="1" applyBorder="1" applyFont="1">
      <alignment horizontal="center"/>
    </xf>
    <xf borderId="31" fillId="24" fontId="40" numFmtId="0" xfId="0" applyAlignment="1" applyBorder="1" applyFont="1">
      <alignment horizontal="center" vertical="bottom"/>
    </xf>
    <xf borderId="29" fillId="24" fontId="40" numFmtId="0" xfId="0" applyAlignment="1" applyBorder="1" applyFont="1">
      <alignment horizontal="center" readingOrder="0" vertical="bottom"/>
    </xf>
    <xf borderId="31" fillId="6" fontId="40" numFmtId="0" xfId="0" applyAlignment="1" applyBorder="1" applyFont="1">
      <alignment horizontal="center" readingOrder="0" vertical="bottom"/>
    </xf>
    <xf borderId="24" fillId="0" fontId="41" numFmtId="0" xfId="0" applyAlignment="1" applyBorder="1" applyFont="1">
      <alignment horizontal="center" readingOrder="0"/>
    </xf>
    <xf borderId="25" fillId="6" fontId="41" numFmtId="0" xfId="0" applyAlignment="1" applyBorder="1" applyFont="1">
      <alignment horizontal="center" readingOrder="0"/>
    </xf>
    <xf borderId="0" fillId="5" fontId="41" numFmtId="0" xfId="0" applyAlignment="1" applyFont="1">
      <alignment horizontal="center" readingOrder="0"/>
    </xf>
    <xf borderId="0" fillId="0" fontId="41" numFmtId="0" xfId="0" applyAlignment="1" applyFont="1">
      <alignment horizontal="center" readingOrder="0"/>
    </xf>
    <xf borderId="24" fillId="13" fontId="42" numFmtId="0" xfId="0" applyAlignment="1" applyBorder="1" applyFont="1">
      <alignment horizontal="center" readingOrder="0"/>
    </xf>
    <xf borderId="0" fillId="13" fontId="42" numFmtId="0" xfId="0" applyAlignment="1" applyFont="1">
      <alignment horizontal="center" readingOrder="0"/>
    </xf>
    <xf borderId="0" fillId="13" fontId="28" numFmtId="0" xfId="0" applyAlignment="1" applyFont="1">
      <alignment horizontal="center" readingOrder="0"/>
    </xf>
    <xf borderId="0" fillId="13" fontId="42" numFmtId="0" xfId="0" applyAlignment="1" applyFont="1">
      <alignment horizontal="center" readingOrder="0" vertical="center"/>
    </xf>
    <xf borderId="26" fillId="0" fontId="41" numFmtId="0" xfId="0" applyAlignment="1" applyBorder="1" applyFont="1">
      <alignment horizontal="center" readingOrder="0"/>
    </xf>
    <xf borderId="27" fillId="6" fontId="41" numFmtId="0" xfId="0" applyAlignment="1" applyBorder="1" applyFont="1">
      <alignment horizontal="center" readingOrder="0"/>
    </xf>
    <xf borderId="24" fillId="13" fontId="42" numFmtId="0" xfId="0" applyAlignment="1" applyBorder="1" applyFont="1">
      <alignment horizontal="center" readingOrder="0" vertical="bottom"/>
    </xf>
    <xf borderId="24" fillId="2" fontId="43" numFmtId="0" xfId="0" applyAlignment="1" applyBorder="1" applyFont="1">
      <alignment horizontal="center" readingOrder="0"/>
    </xf>
    <xf borderId="0" fillId="2" fontId="43" numFmtId="0" xfId="0" applyAlignment="1" applyFont="1">
      <alignment horizontal="center" readingOrder="0"/>
    </xf>
    <xf borderId="0" fillId="2" fontId="29" numFmtId="0" xfId="0" applyAlignment="1" applyFont="1">
      <alignment horizontal="center" readingOrder="0"/>
    </xf>
    <xf borderId="25" fillId="6" fontId="44" numFmtId="0" xfId="0" applyAlignment="1" applyBorder="1" applyFont="1">
      <alignment horizontal="center"/>
    </xf>
    <xf borderId="0" fillId="6" fontId="5" numFmtId="0" xfId="0" applyAlignment="1" applyFont="1">
      <alignment horizontal="center"/>
    </xf>
    <xf borderId="0" fillId="6" fontId="5" numFmtId="0" xfId="0" applyFont="1"/>
    <xf borderId="0" fillId="6" fontId="5" numFmtId="0" xfId="0" applyAlignment="1" applyFont="1">
      <alignment horizontal="center" readingOrder="0"/>
    </xf>
    <xf borderId="0" fillId="26" fontId="23" numFmtId="0" xfId="0" applyAlignment="1" applyFill="1" applyFont="1">
      <alignment horizontal="center" readingOrder="0"/>
    </xf>
    <xf borderId="0" fillId="13" fontId="42" numFmtId="0" xfId="0" applyAlignment="1" applyFont="1">
      <alignment horizontal="center" readingOrder="0" vertical="bottom"/>
    </xf>
    <xf borderId="0" fillId="27" fontId="5" numFmtId="0" xfId="0" applyAlignment="1" applyFill="1" applyFont="1">
      <alignment horizontal="center" readingOrder="0"/>
    </xf>
    <xf borderId="0" fillId="27" fontId="5" numFmtId="0" xfId="0" applyAlignment="1" applyFont="1">
      <alignment horizontal="center"/>
    </xf>
    <xf borderId="0" fillId="27" fontId="5" numFmtId="0" xfId="0" applyFont="1"/>
    <xf borderId="0" fillId="22" fontId="45" numFmtId="0" xfId="0" applyAlignment="1" applyFont="1">
      <alignment horizontal="center"/>
    </xf>
    <xf borderId="0" fillId="22" fontId="1" numFmtId="0" xfId="0" applyAlignment="1" applyFont="1">
      <alignment horizontal="center"/>
    </xf>
    <xf borderId="0" fillId="22" fontId="1" numFmtId="0" xfId="0" applyAlignment="1" applyFont="1">
      <alignment horizontal="center" readingOrder="0"/>
    </xf>
    <xf borderId="0" fillId="14" fontId="5" numFmtId="0" xfId="0" applyAlignment="1" applyFont="1">
      <alignment horizontal="center" readingOrder="0"/>
    </xf>
    <xf borderId="0" fillId="14" fontId="1" numFmtId="0" xfId="0" applyAlignment="1" applyFont="1">
      <alignment horizontal="center" readingOrder="0"/>
    </xf>
    <xf borderId="37" fillId="22" fontId="45" numFmtId="0" xfId="0" applyAlignment="1" applyBorder="1" applyFont="1">
      <alignment horizontal="center"/>
    </xf>
    <xf borderId="37" fillId="22" fontId="1" numFmtId="0" xfId="0" applyAlignment="1" applyBorder="1" applyFont="1">
      <alignment horizontal="center"/>
    </xf>
    <xf borderId="0" fillId="11" fontId="45" numFmtId="0" xfId="0" applyAlignment="1" applyFont="1">
      <alignment horizontal="center"/>
    </xf>
    <xf borderId="0" fillId="11" fontId="1" numFmtId="0" xfId="0" applyAlignment="1" applyFont="1">
      <alignment horizontal="center"/>
    </xf>
    <xf borderId="0" fillId="13" fontId="28" numFmtId="0" xfId="0" applyAlignment="1" applyFont="1">
      <alignment horizontal="center" readingOrder="0" vertical="bottom"/>
    </xf>
    <xf borderId="0" fillId="11" fontId="45" numFmtId="0" xfId="0" applyAlignment="1" applyFont="1">
      <alignment horizontal="center" readingOrder="0"/>
    </xf>
    <xf borderId="0" fillId="6" fontId="46" numFmtId="0" xfId="0" applyAlignment="1" applyFont="1">
      <alignment readingOrder="0"/>
    </xf>
    <xf borderId="0" fillId="13" fontId="44" numFmtId="0" xfId="0" applyAlignment="1" applyFont="1">
      <alignment horizontal="center" readingOrder="0"/>
    </xf>
    <xf borderId="0" fillId="13" fontId="42" numFmtId="0" xfId="0" applyAlignment="1" applyFont="1">
      <alignment horizontal="center" readingOrder="0" shrinkToFit="0" wrapText="0"/>
    </xf>
    <xf borderId="0" fillId="13" fontId="1" numFmtId="0" xfId="0" applyAlignment="1" applyFont="1">
      <alignment horizontal="center" readingOrder="0"/>
    </xf>
    <xf borderId="24" fillId="2" fontId="43" numFmtId="0" xfId="0" applyAlignment="1" applyBorder="1" applyFont="1">
      <alignment horizontal="center" readingOrder="0" vertical="bottom"/>
    </xf>
    <xf borderId="0" fillId="2" fontId="47" numFmtId="0" xfId="0" applyAlignment="1" applyFont="1">
      <alignment horizontal="center" readingOrder="0"/>
    </xf>
    <xf borderId="0" fillId="2" fontId="43" numFmtId="0" xfId="0" applyAlignment="1" applyFont="1">
      <alignment horizontal="center" readingOrder="0" vertical="center"/>
    </xf>
    <xf borderId="0" fillId="13" fontId="48" numFmtId="0" xfId="0" applyAlignment="1" applyFont="1">
      <alignment horizontal="center" readingOrder="0"/>
    </xf>
    <xf borderId="26" fillId="13" fontId="42" numFmtId="0" xfId="0" applyAlignment="1" applyBorder="1" applyFont="1">
      <alignment horizontal="center" readingOrder="0"/>
    </xf>
    <xf borderId="28" fillId="13" fontId="42" numFmtId="0" xfId="0" applyAlignment="1" applyBorder="1" applyFont="1">
      <alignment horizontal="center" readingOrder="0"/>
    </xf>
    <xf borderId="28" fillId="13" fontId="28" numFmtId="0" xfId="0" applyAlignment="1" applyBorder="1" applyFont="1">
      <alignment horizontal="center" readingOrder="0"/>
    </xf>
    <xf borderId="0" fillId="6" fontId="42" numFmtId="0" xfId="0" applyAlignment="1" applyFont="1">
      <alignment horizontal="center"/>
    </xf>
    <xf borderId="0" fillId="6" fontId="42" numFmtId="0" xfId="0" applyAlignment="1" applyFont="1">
      <alignment horizontal="center" readingOrder="0"/>
    </xf>
    <xf borderId="0" fillId="6" fontId="44" numFmtId="0" xfId="0" applyAlignment="1" applyFont="1">
      <alignment horizontal="center" readingOrder="0"/>
    </xf>
    <xf borderId="38" fillId="0" fontId="4" numFmtId="0" xfId="0" applyAlignment="1" applyBorder="1" applyFont="1">
      <alignment vertical="bottom"/>
    </xf>
    <xf borderId="39" fillId="0" fontId="4" numFmtId="0" xfId="0" applyAlignment="1" applyBorder="1" applyFont="1">
      <alignment vertical="bottom"/>
    </xf>
    <xf borderId="40" fillId="0" fontId="4" numFmtId="0" xfId="0" applyAlignment="1" applyBorder="1" applyFont="1">
      <alignment vertical="bottom"/>
    </xf>
    <xf borderId="41" fillId="0" fontId="4" numFmtId="0" xfId="0" applyAlignment="1" applyBorder="1" applyFont="1">
      <alignment vertical="bottom"/>
    </xf>
    <xf borderId="42" fillId="0" fontId="30" numFmtId="0" xfId="0" applyAlignment="1" applyBorder="1" applyFont="1">
      <alignment readingOrder="0" vertical="bottom"/>
    </xf>
    <xf borderId="42" fillId="0" fontId="17" numFmtId="0" xfId="0" applyBorder="1" applyFont="1"/>
    <xf borderId="41" fillId="0" fontId="17" numFmtId="0" xfId="0" applyBorder="1" applyFont="1"/>
    <xf borderId="40" fillId="5" fontId="4" numFmtId="0" xfId="0" applyAlignment="1" applyBorder="1" applyFont="1">
      <alignment vertical="bottom"/>
    </xf>
    <xf borderId="43" fillId="5" fontId="49" numFmtId="0" xfId="0" applyAlignment="1" applyBorder="1" applyFont="1">
      <alignment readingOrder="0"/>
    </xf>
    <xf borderId="44" fillId="0" fontId="17" numFmtId="0" xfId="0" applyBorder="1" applyFont="1"/>
    <xf borderId="39" fillId="0" fontId="17" numFmtId="0" xfId="0" applyBorder="1" applyFont="1"/>
    <xf borderId="38" fillId="5" fontId="4" numFmtId="0" xfId="0" applyAlignment="1" applyBorder="1" applyFont="1">
      <alignment vertical="bottom"/>
    </xf>
    <xf borderId="38" fillId="5" fontId="4" numFmtId="0" xfId="0" applyBorder="1" applyFont="1"/>
    <xf borderId="43" fillId="5" fontId="50" numFmtId="0" xfId="0" applyAlignment="1" applyBorder="1" applyFont="1">
      <alignment readingOrder="0"/>
    </xf>
    <xf borderId="38" fillId="0" fontId="51" numFmtId="0" xfId="0" applyAlignment="1" applyBorder="1" applyFont="1">
      <alignment readingOrder="0" vertical="bottom"/>
    </xf>
    <xf borderId="38" fillId="0" fontId="51" numFmtId="0" xfId="0" applyAlignment="1" applyBorder="1" applyFont="1">
      <alignment horizontal="left" readingOrder="0" vertical="bottom"/>
    </xf>
    <xf borderId="38" fillId="0" fontId="51" numFmtId="0" xfId="0" applyAlignment="1" applyBorder="1" applyFont="1">
      <alignment readingOrder="0" shrinkToFit="0" vertical="bottom" wrapText="0"/>
    </xf>
    <xf borderId="43" fillId="5" fontId="52" numFmtId="0" xfId="0" applyAlignment="1" applyBorder="1" applyFont="1">
      <alignment readingOrder="0"/>
    </xf>
    <xf borderId="43" fillId="0" fontId="30" numFmtId="0" xfId="0" applyAlignment="1" applyBorder="1" applyFont="1">
      <alignment vertical="bottom"/>
    </xf>
    <xf borderId="38" fillId="0" fontId="30" numFmtId="0" xfId="0" applyAlignment="1" applyBorder="1" applyFont="1">
      <alignment vertical="bottom"/>
    </xf>
    <xf borderId="43" fillId="0" fontId="53" numFmtId="0" xfId="0" applyAlignment="1" applyBorder="1" applyFont="1">
      <alignment readingOrder="0" shrinkToFit="0" vertical="bottom" wrapText="0"/>
    </xf>
    <xf borderId="38" fillId="5" fontId="52" numFmtId="0" xfId="0" applyAlignment="1" applyBorder="1" applyFont="1">
      <alignment readingOrder="0"/>
    </xf>
    <xf borderId="43" fillId="0" fontId="53" numFmtId="0" xfId="0" applyAlignment="1" applyBorder="1" applyFont="1">
      <alignment readingOrder="0" shrinkToFit="0" vertical="bottom" wrapText="0"/>
    </xf>
    <xf borderId="38" fillId="0" fontId="53" numFmtId="0" xfId="0" applyAlignment="1" applyBorder="1" applyFont="1">
      <alignment readingOrder="0" shrinkToFit="0" vertical="bottom" wrapText="0"/>
    </xf>
    <xf borderId="38" fillId="0" fontId="53" numFmtId="0" xfId="0" applyAlignment="1" applyBorder="1" applyFont="1">
      <alignment readingOrder="0" vertical="bottom"/>
    </xf>
    <xf borderId="38" fillId="0" fontId="51" numFmtId="0" xfId="0" applyAlignment="1" applyBorder="1" applyFont="1">
      <alignment vertical="bottom"/>
    </xf>
    <xf borderId="43" fillId="0" fontId="53" numFmtId="0" xfId="0" applyAlignment="1" applyBorder="1" applyFont="1">
      <alignment readingOrder="0" vertical="bottom"/>
    </xf>
    <xf borderId="38" fillId="0" fontId="53" numFmtId="0" xfId="0" applyAlignment="1" applyBorder="1" applyFont="1">
      <alignment readingOrder="0" shrinkToFit="0" vertical="bottom" wrapText="0"/>
    </xf>
    <xf borderId="38" fillId="0" fontId="53" numFmtId="0" xfId="0" applyAlignment="1" applyBorder="1" applyFont="1">
      <alignment readingOrder="0" vertical="bottom"/>
    </xf>
    <xf borderId="38" fillId="0" fontId="53" numFmtId="0" xfId="0" applyAlignment="1" applyBorder="1" applyFont="1">
      <alignment vertical="bottom"/>
    </xf>
    <xf borderId="38" fillId="0" fontId="1" numFmtId="0" xfId="0" applyBorder="1" applyFont="1"/>
    <xf borderId="38" fillId="5" fontId="1" numFmtId="0" xfId="0" applyBorder="1" applyFont="1"/>
    <xf borderId="0" fillId="22" fontId="5" numFmtId="0" xfId="0" applyAlignment="1" applyFont="1">
      <alignment horizontal="center" readingOrder="0"/>
    </xf>
    <xf borderId="0" fillId="4" fontId="1" numFmtId="164" xfId="0" applyFont="1" applyNumberFormat="1"/>
    <xf borderId="0" fillId="4" fontId="1" numFmtId="2" xfId="0" applyFont="1" applyNumberFormat="1"/>
    <xf borderId="0" fillId="4" fontId="23" numFmtId="0" xfId="0" applyAlignment="1" applyFont="1">
      <alignment horizontal="center" shrinkToFit="0" vertical="center" wrapText="1"/>
    </xf>
    <xf borderId="2" fillId="23" fontId="23" numFmtId="0" xfId="0" applyAlignment="1" applyBorder="1" applyFont="1">
      <alignment horizontal="center" shrinkToFit="0" vertical="center" wrapText="1"/>
    </xf>
    <xf borderId="3" fillId="23" fontId="23" numFmtId="164" xfId="0" applyAlignment="1" applyBorder="1" applyFont="1" applyNumberFormat="1">
      <alignment horizontal="center" shrinkToFit="0" vertical="center" wrapText="1"/>
    </xf>
    <xf borderId="3" fillId="4" fontId="23" numFmtId="0" xfId="0" applyAlignment="1" applyBorder="1" applyFont="1">
      <alignment horizontal="center" shrinkToFit="0" vertical="center" wrapText="1"/>
    </xf>
    <xf borderId="3" fillId="16" fontId="23" numFmtId="0" xfId="0" applyAlignment="1" applyBorder="1" applyFont="1">
      <alignment horizontal="center" shrinkToFit="0" vertical="center" wrapText="1"/>
    </xf>
    <xf borderId="3" fillId="16" fontId="23" numFmtId="164" xfId="0" applyAlignment="1" applyBorder="1" applyFont="1" applyNumberFormat="1">
      <alignment horizontal="center" shrinkToFit="0" vertical="center" wrapText="1"/>
    </xf>
    <xf borderId="3" fillId="28" fontId="23" numFmtId="0" xfId="0" applyAlignment="1" applyBorder="1" applyFill="1" applyFont="1">
      <alignment horizontal="center" shrinkToFit="0" vertical="center" wrapText="1"/>
    </xf>
    <xf borderId="3" fillId="28" fontId="23" numFmtId="164" xfId="0" applyAlignment="1" applyBorder="1" applyFont="1" applyNumberFormat="1">
      <alignment horizontal="center" shrinkToFit="0" vertical="center" wrapText="1"/>
    </xf>
    <xf borderId="3" fillId="21" fontId="23" numFmtId="0" xfId="0" applyAlignment="1" applyBorder="1" applyFont="1">
      <alignment horizontal="center" shrinkToFit="0" vertical="center" wrapText="1"/>
    </xf>
    <xf borderId="3" fillId="21" fontId="23" numFmtId="164" xfId="0" applyAlignment="1" applyBorder="1" applyFont="1" applyNumberFormat="1">
      <alignment horizontal="center" shrinkToFit="0" vertical="center" wrapText="1"/>
    </xf>
    <xf borderId="3" fillId="19" fontId="23" numFmtId="0" xfId="0" applyAlignment="1" applyBorder="1" applyFont="1">
      <alignment horizontal="center" shrinkToFit="0" vertical="center" wrapText="1"/>
    </xf>
    <xf borderId="3" fillId="19" fontId="23" numFmtId="164" xfId="0" applyAlignment="1" applyBorder="1" applyFont="1" applyNumberFormat="1">
      <alignment horizontal="center" shrinkToFit="0" vertical="center" wrapText="1"/>
    </xf>
    <xf borderId="3" fillId="18" fontId="23" numFmtId="0" xfId="0" applyAlignment="1" applyBorder="1" applyFont="1">
      <alignment horizontal="center" shrinkToFit="0" vertical="center" wrapText="1"/>
    </xf>
    <xf borderId="3" fillId="18" fontId="23" numFmtId="164" xfId="0" applyAlignment="1" applyBorder="1" applyFont="1" applyNumberFormat="1">
      <alignment horizontal="center" shrinkToFit="0" vertical="center" wrapText="1"/>
    </xf>
    <xf borderId="3" fillId="26" fontId="23" numFmtId="0" xfId="0" applyAlignment="1" applyBorder="1" applyFont="1">
      <alignment horizontal="center" shrinkToFit="0" vertical="center" wrapText="1"/>
    </xf>
    <xf borderId="3" fillId="26" fontId="23" numFmtId="164" xfId="0" applyAlignment="1" applyBorder="1" applyFont="1" applyNumberFormat="1">
      <alignment horizontal="center" shrinkToFit="0" vertical="center" wrapText="1"/>
    </xf>
    <xf borderId="3" fillId="29" fontId="23" numFmtId="0" xfId="0" applyAlignment="1" applyBorder="1" applyFill="1" applyFont="1">
      <alignment horizontal="center" readingOrder="0" shrinkToFit="0" vertical="center" wrapText="1"/>
    </xf>
    <xf borderId="3" fillId="29" fontId="23" numFmtId="164" xfId="0" applyAlignment="1" applyBorder="1" applyFont="1" applyNumberFormat="1">
      <alignment horizontal="center" readingOrder="0" shrinkToFit="0" vertical="center" wrapText="1"/>
    </xf>
    <xf borderId="37" fillId="29" fontId="16" numFmtId="0" xfId="0" applyAlignment="1" applyBorder="1" applyFont="1">
      <alignment horizontal="center" shrinkToFit="0" vertical="center" wrapText="1"/>
    </xf>
    <xf borderId="37" fillId="29" fontId="16" numFmtId="164" xfId="0" applyAlignment="1" applyBorder="1" applyFont="1" applyNumberFormat="1">
      <alignment horizontal="center" shrinkToFit="0" vertical="center" wrapText="1"/>
    </xf>
    <xf borderId="37" fillId="29" fontId="16" numFmtId="2" xfId="0" applyAlignment="1" applyBorder="1" applyFont="1" applyNumberFormat="1">
      <alignment horizontal="center" shrinkToFit="0" vertical="center" wrapText="1"/>
    </xf>
    <xf borderId="3" fillId="11" fontId="23" numFmtId="0" xfId="0" applyAlignment="1" applyBorder="1" applyFont="1">
      <alignment horizontal="center" shrinkToFit="0" vertical="center" wrapText="1"/>
    </xf>
    <xf borderId="4" fillId="11" fontId="23" numFmtId="164" xfId="0" applyAlignment="1" applyBorder="1" applyFont="1" applyNumberFormat="1">
      <alignment horizontal="center" shrinkToFit="0" vertical="center" wrapText="1"/>
    </xf>
    <xf borderId="37" fillId="4" fontId="23" numFmtId="0" xfId="0" applyAlignment="1" applyBorder="1" applyFont="1">
      <alignment horizontal="center" shrinkToFit="0" vertical="center" wrapText="1"/>
    </xf>
    <xf borderId="37" fillId="30" fontId="23" numFmtId="0" xfId="0" applyAlignment="1" applyBorder="1" applyFill="1" applyFont="1">
      <alignment horizontal="center" shrinkToFit="0" vertical="center" wrapText="1"/>
    </xf>
    <xf borderId="0" fillId="6" fontId="23" numFmtId="0" xfId="0" applyAlignment="1" applyFont="1">
      <alignment horizontal="center" shrinkToFit="0" vertical="center" wrapText="1"/>
    </xf>
    <xf borderId="37" fillId="23" fontId="54" numFmtId="0" xfId="0" applyAlignment="1" applyBorder="1" applyFont="1">
      <alignment horizontal="center" vertical="center"/>
    </xf>
    <xf borderId="37" fillId="23" fontId="23" numFmtId="0" xfId="0" applyAlignment="1" applyBorder="1" applyFont="1">
      <alignment horizontal="center" shrinkToFit="0" vertical="center" wrapText="1"/>
    </xf>
    <xf borderId="0" fillId="5" fontId="55" numFmtId="0" xfId="0" applyAlignment="1" applyFont="1">
      <alignment horizontal="center" vertical="center"/>
    </xf>
    <xf borderId="0" fillId="0" fontId="23" numFmtId="0" xfId="0" applyAlignment="1" applyFont="1">
      <alignment horizontal="center" shrinkToFit="0" vertical="center" wrapText="1"/>
    </xf>
    <xf borderId="0" fillId="4" fontId="56" numFmtId="0" xfId="0" applyAlignment="1" applyFont="1">
      <alignment horizontal="center" readingOrder="0" textRotation="255" vertical="center"/>
    </xf>
    <xf borderId="0" fillId="23" fontId="57" numFmtId="0" xfId="0" applyAlignment="1" applyFont="1">
      <alignment horizontal="center"/>
    </xf>
    <xf borderId="0" fillId="23" fontId="57" numFmtId="164" xfId="0" applyAlignment="1" applyFont="1" applyNumberFormat="1">
      <alignment horizontal="center"/>
    </xf>
    <xf borderId="0" fillId="4" fontId="57" numFmtId="0" xfId="0" applyFont="1"/>
    <xf borderId="0" fillId="16" fontId="57" numFmtId="0" xfId="0" applyAlignment="1" applyFont="1">
      <alignment horizontal="center"/>
    </xf>
    <xf borderId="0" fillId="16" fontId="57" numFmtId="164" xfId="0" applyAlignment="1" applyFont="1" applyNumberFormat="1">
      <alignment horizontal="center"/>
    </xf>
    <xf borderId="0" fillId="4" fontId="57" numFmtId="0" xfId="0" applyAlignment="1" applyFont="1">
      <alignment horizontal="center"/>
    </xf>
    <xf borderId="0" fillId="28" fontId="57" numFmtId="0" xfId="0" applyAlignment="1" applyFont="1">
      <alignment horizontal="center"/>
    </xf>
    <xf borderId="0" fillId="28" fontId="57" numFmtId="164" xfId="0" applyAlignment="1" applyFont="1" applyNumberFormat="1">
      <alignment horizontal="center"/>
    </xf>
    <xf borderId="0" fillId="21" fontId="57" numFmtId="0" xfId="0" applyAlignment="1" applyFont="1">
      <alignment horizontal="center"/>
    </xf>
    <xf borderId="0" fillId="21" fontId="57" numFmtId="164" xfId="0" applyAlignment="1" applyFont="1" applyNumberFormat="1">
      <alignment horizontal="center"/>
    </xf>
    <xf borderId="0" fillId="19" fontId="57" numFmtId="0" xfId="0" applyAlignment="1" applyFont="1">
      <alignment horizontal="center"/>
    </xf>
    <xf borderId="0" fillId="19" fontId="57" numFmtId="164" xfId="0" applyAlignment="1" applyFont="1" applyNumberFormat="1">
      <alignment horizontal="center"/>
    </xf>
    <xf borderId="0" fillId="18" fontId="57" numFmtId="0" xfId="0" applyAlignment="1" applyFont="1">
      <alignment horizontal="center"/>
    </xf>
    <xf borderId="0" fillId="18" fontId="57" numFmtId="164" xfId="0" applyAlignment="1" applyFont="1" applyNumberFormat="1">
      <alignment horizontal="center"/>
    </xf>
    <xf borderId="0" fillId="26" fontId="57" numFmtId="0" xfId="0" applyAlignment="1" applyFont="1">
      <alignment horizontal="center"/>
    </xf>
    <xf borderId="0" fillId="26" fontId="57" numFmtId="164" xfId="0" applyAlignment="1" applyFont="1" applyNumberFormat="1">
      <alignment horizontal="center"/>
    </xf>
    <xf borderId="0" fillId="29" fontId="57" numFmtId="0" xfId="0" applyAlignment="1" applyFont="1">
      <alignment horizontal="center"/>
    </xf>
    <xf borderId="0" fillId="29" fontId="57" numFmtId="164" xfId="0" applyAlignment="1" applyFont="1" applyNumberFormat="1">
      <alignment horizontal="center"/>
    </xf>
    <xf borderId="0" fillId="29" fontId="58" numFmtId="0" xfId="0" applyAlignment="1" applyFont="1">
      <alignment horizontal="center" shrinkToFit="0" wrapText="1"/>
    </xf>
    <xf borderId="0" fillId="29" fontId="58" numFmtId="164" xfId="0" applyAlignment="1" applyFont="1" applyNumberFormat="1">
      <alignment horizontal="center" shrinkToFit="0" wrapText="1"/>
    </xf>
    <xf borderId="0" fillId="29" fontId="58" numFmtId="2" xfId="0" applyAlignment="1" applyFont="1" applyNumberFormat="1">
      <alignment horizontal="center" shrinkToFit="0" wrapText="1"/>
    </xf>
    <xf borderId="0" fillId="11" fontId="57" numFmtId="0" xfId="0" applyAlignment="1" applyFont="1">
      <alignment horizontal="center"/>
    </xf>
    <xf borderId="0" fillId="11" fontId="57" numFmtId="164" xfId="0" applyAlignment="1" applyFont="1" applyNumberFormat="1">
      <alignment horizontal="center"/>
    </xf>
    <xf borderId="0" fillId="30" fontId="59" numFmtId="0" xfId="0" applyAlignment="1" applyFont="1">
      <alignment horizontal="center"/>
    </xf>
    <xf borderId="0" fillId="30" fontId="1" numFmtId="0" xfId="0" applyAlignment="1" applyFont="1">
      <alignment horizontal="center"/>
    </xf>
    <xf borderId="0" fillId="30" fontId="5" numFmtId="0" xfId="0" applyAlignment="1" applyFont="1">
      <alignment horizontal="center"/>
    </xf>
    <xf borderId="0" fillId="23" fontId="5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23" fontId="60" numFmtId="0" xfId="0" applyAlignment="1" applyFont="1">
      <alignment horizontal="center"/>
    </xf>
    <xf borderId="0" fillId="23" fontId="60" numFmtId="164" xfId="0" applyAlignment="1" applyFont="1" applyNumberFormat="1">
      <alignment horizontal="center"/>
    </xf>
    <xf borderId="0" fillId="4" fontId="60" numFmtId="0" xfId="0" applyFont="1"/>
    <xf borderId="0" fillId="16" fontId="60" numFmtId="0" xfId="0" applyAlignment="1" applyFont="1">
      <alignment horizontal="center"/>
    </xf>
    <xf borderId="0" fillId="16" fontId="60" numFmtId="164" xfId="0" applyAlignment="1" applyFont="1" applyNumberFormat="1">
      <alignment horizontal="center"/>
    </xf>
    <xf borderId="0" fillId="4" fontId="60" numFmtId="0" xfId="0" applyAlignment="1" applyFont="1">
      <alignment horizontal="center"/>
    </xf>
    <xf borderId="0" fillId="28" fontId="60" numFmtId="0" xfId="0" applyAlignment="1" applyFont="1">
      <alignment horizontal="center"/>
    </xf>
    <xf borderId="0" fillId="28" fontId="60" numFmtId="164" xfId="0" applyAlignment="1" applyFont="1" applyNumberFormat="1">
      <alignment horizontal="center"/>
    </xf>
    <xf borderId="0" fillId="21" fontId="60" numFmtId="0" xfId="0" applyAlignment="1" applyFont="1">
      <alignment horizontal="center"/>
    </xf>
    <xf borderId="0" fillId="21" fontId="60" numFmtId="164" xfId="0" applyAlignment="1" applyFont="1" applyNumberFormat="1">
      <alignment horizontal="center"/>
    </xf>
    <xf borderId="0" fillId="19" fontId="60" numFmtId="0" xfId="0" applyAlignment="1" applyFont="1">
      <alignment horizontal="center"/>
    </xf>
    <xf borderId="0" fillId="19" fontId="60" numFmtId="164" xfId="0" applyAlignment="1" applyFont="1" applyNumberFormat="1">
      <alignment horizontal="center"/>
    </xf>
    <xf borderId="0" fillId="18" fontId="60" numFmtId="0" xfId="0" applyAlignment="1" applyFont="1">
      <alignment horizontal="center"/>
    </xf>
    <xf borderId="0" fillId="18" fontId="60" numFmtId="164" xfId="0" applyAlignment="1" applyFont="1" applyNumberFormat="1">
      <alignment horizontal="center"/>
    </xf>
    <xf borderId="0" fillId="26" fontId="60" numFmtId="0" xfId="0" applyAlignment="1" applyFont="1">
      <alignment horizontal="center"/>
    </xf>
    <xf borderId="0" fillId="26" fontId="60" numFmtId="164" xfId="0" applyAlignment="1" applyFont="1" applyNumberFormat="1">
      <alignment horizontal="center"/>
    </xf>
    <xf borderId="0" fillId="29" fontId="60" numFmtId="0" xfId="0" applyAlignment="1" applyFont="1">
      <alignment horizontal="center"/>
    </xf>
    <xf borderId="0" fillId="29" fontId="60" numFmtId="164" xfId="0" applyAlignment="1" applyFont="1" applyNumberFormat="1">
      <alignment horizontal="center"/>
    </xf>
    <xf borderId="0" fillId="29" fontId="61" numFmtId="0" xfId="0" applyAlignment="1" applyFont="1">
      <alignment horizontal="center" vertical="bottom"/>
    </xf>
    <xf borderId="0" fillId="29" fontId="61" numFmtId="164" xfId="0" applyAlignment="1" applyFont="1" applyNumberFormat="1">
      <alignment horizontal="center" vertical="bottom"/>
    </xf>
    <xf borderId="0" fillId="29" fontId="61" numFmtId="2" xfId="0" applyAlignment="1" applyFont="1" applyNumberFormat="1">
      <alignment horizontal="center" vertical="bottom"/>
    </xf>
    <xf borderId="0" fillId="11" fontId="60" numFmtId="0" xfId="0" applyAlignment="1" applyFont="1">
      <alignment horizontal="center"/>
    </xf>
    <xf borderId="0" fillId="11" fontId="60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1" fillId="4" fontId="62" numFmtId="0" xfId="0" applyAlignment="1" applyBorder="1" applyFont="1">
      <alignment horizontal="center" readingOrder="0" vertical="center"/>
    </xf>
    <xf borderId="1" fillId="23" fontId="60" numFmtId="0" xfId="0" applyAlignment="1" applyBorder="1" applyFont="1">
      <alignment horizontal="center"/>
    </xf>
    <xf borderId="1" fillId="23" fontId="60" numFmtId="164" xfId="0" applyAlignment="1" applyBorder="1" applyFont="1" applyNumberFormat="1">
      <alignment horizontal="center"/>
    </xf>
    <xf borderId="1" fillId="4" fontId="60" numFmtId="0" xfId="0" applyBorder="1" applyFont="1"/>
    <xf borderId="1" fillId="16" fontId="60" numFmtId="0" xfId="0" applyAlignment="1" applyBorder="1" applyFont="1">
      <alignment horizontal="center"/>
    </xf>
    <xf borderId="1" fillId="16" fontId="60" numFmtId="164" xfId="0" applyAlignment="1" applyBorder="1" applyFont="1" applyNumberFormat="1">
      <alignment horizontal="center"/>
    </xf>
    <xf borderId="1" fillId="4" fontId="60" numFmtId="0" xfId="0" applyAlignment="1" applyBorder="1" applyFont="1">
      <alignment horizontal="center"/>
    </xf>
    <xf borderId="1" fillId="28" fontId="60" numFmtId="0" xfId="0" applyAlignment="1" applyBorder="1" applyFont="1">
      <alignment horizontal="center"/>
    </xf>
    <xf borderId="1" fillId="28" fontId="60" numFmtId="164" xfId="0" applyAlignment="1" applyBorder="1" applyFont="1" applyNumberFormat="1">
      <alignment horizontal="center"/>
    </xf>
    <xf borderId="1" fillId="21" fontId="60" numFmtId="0" xfId="0" applyAlignment="1" applyBorder="1" applyFont="1">
      <alignment horizontal="center"/>
    </xf>
    <xf borderId="1" fillId="21" fontId="60" numFmtId="164" xfId="0" applyAlignment="1" applyBorder="1" applyFont="1" applyNumberFormat="1">
      <alignment horizontal="center"/>
    </xf>
    <xf borderId="1" fillId="19" fontId="60" numFmtId="0" xfId="0" applyAlignment="1" applyBorder="1" applyFont="1">
      <alignment horizontal="center"/>
    </xf>
    <xf borderId="1" fillId="19" fontId="60" numFmtId="164" xfId="0" applyAlignment="1" applyBorder="1" applyFont="1" applyNumberFormat="1">
      <alignment horizontal="center"/>
    </xf>
    <xf borderId="1" fillId="18" fontId="60" numFmtId="0" xfId="0" applyAlignment="1" applyBorder="1" applyFont="1">
      <alignment horizontal="center"/>
    </xf>
    <xf borderId="1" fillId="18" fontId="60" numFmtId="164" xfId="0" applyAlignment="1" applyBorder="1" applyFont="1" applyNumberFormat="1">
      <alignment horizontal="center"/>
    </xf>
    <xf borderId="1" fillId="26" fontId="60" numFmtId="0" xfId="0" applyAlignment="1" applyBorder="1" applyFont="1">
      <alignment horizontal="center"/>
    </xf>
    <xf borderId="1" fillId="26" fontId="60" numFmtId="164" xfId="0" applyAlignment="1" applyBorder="1" applyFont="1" applyNumberFormat="1">
      <alignment horizontal="center"/>
    </xf>
    <xf borderId="1" fillId="29" fontId="60" numFmtId="0" xfId="0" applyAlignment="1" applyBorder="1" applyFont="1">
      <alignment horizontal="center"/>
    </xf>
    <xf borderId="1" fillId="29" fontId="60" numFmtId="164" xfId="0" applyAlignment="1" applyBorder="1" applyFont="1" applyNumberFormat="1">
      <alignment horizontal="center"/>
    </xf>
    <xf borderId="1" fillId="29" fontId="61" numFmtId="0" xfId="0" applyAlignment="1" applyBorder="1" applyFont="1">
      <alignment horizontal="center" vertical="bottom"/>
    </xf>
    <xf borderId="1" fillId="29" fontId="61" numFmtId="164" xfId="0" applyAlignment="1" applyBorder="1" applyFont="1" applyNumberFormat="1">
      <alignment horizontal="center" vertical="bottom"/>
    </xf>
    <xf borderId="1" fillId="29" fontId="61" numFmtId="2" xfId="0" applyAlignment="1" applyBorder="1" applyFont="1" applyNumberFormat="1">
      <alignment horizontal="center" vertical="bottom"/>
    </xf>
    <xf borderId="1" fillId="11" fontId="60" numFmtId="0" xfId="0" applyAlignment="1" applyBorder="1" applyFont="1">
      <alignment horizontal="center"/>
    </xf>
    <xf borderId="1" fillId="11" fontId="60" numFmtId="164" xfId="0" applyAlignment="1" applyBorder="1" applyFont="1" applyNumberFormat="1">
      <alignment horizontal="center"/>
    </xf>
    <xf borderId="1" fillId="30" fontId="1" numFmtId="0" xfId="0" applyAlignment="1" applyBorder="1" applyFont="1">
      <alignment horizontal="center"/>
    </xf>
    <xf borderId="1" fillId="30" fontId="5" numFmtId="0" xfId="0" applyAlignment="1" applyBorder="1" applyFont="1">
      <alignment horizontal="center"/>
    </xf>
    <xf borderId="1" fillId="23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23" fontId="5" numFmtId="0" xfId="0" applyAlignment="1" applyBorder="1" applyFont="1">
      <alignment horizontal="center"/>
    </xf>
    <xf borderId="0" fillId="6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4" fontId="63" numFmtId="0" xfId="0" applyAlignment="1" applyFont="1">
      <alignment horizontal="center" readingOrder="0" textRotation="255" vertical="center"/>
    </xf>
    <xf borderId="0" fillId="23" fontId="1" numFmtId="0" xfId="0" applyFont="1"/>
    <xf borderId="0" fillId="23" fontId="1" numFmtId="164" xfId="0" applyFont="1" applyNumberFormat="1"/>
    <xf borderId="0" fillId="16" fontId="1" numFmtId="0" xfId="0" applyFont="1"/>
    <xf borderId="0" fillId="16" fontId="1" numFmtId="164" xfId="0" applyFont="1" applyNumberFormat="1"/>
    <xf borderId="0" fillId="28" fontId="1" numFmtId="0" xfId="0" applyFont="1"/>
    <xf borderId="0" fillId="28" fontId="1" numFmtId="164" xfId="0" applyFont="1" applyNumberFormat="1"/>
    <xf borderId="0" fillId="21" fontId="1" numFmtId="0" xfId="0" applyFont="1"/>
    <xf borderId="0" fillId="21" fontId="1" numFmtId="164" xfId="0" applyFont="1" applyNumberFormat="1"/>
    <xf borderId="0" fillId="19" fontId="1" numFmtId="0" xfId="0" applyFont="1"/>
    <xf borderId="0" fillId="19" fontId="1" numFmtId="164" xfId="0" applyFont="1" applyNumberFormat="1"/>
    <xf borderId="0" fillId="18" fontId="1" numFmtId="0" xfId="0" applyFont="1"/>
    <xf borderId="0" fillId="18" fontId="1" numFmtId="164" xfId="0" applyFont="1" applyNumberFormat="1"/>
    <xf borderId="0" fillId="26" fontId="1" numFmtId="0" xfId="0" applyFont="1"/>
    <xf borderId="0" fillId="26" fontId="1" numFmtId="164" xfId="0" applyFont="1" applyNumberFormat="1"/>
    <xf borderId="0" fillId="29" fontId="1" numFmtId="0" xfId="0" applyFont="1"/>
    <xf borderId="0" fillId="29" fontId="1" numFmtId="164" xfId="0" applyFont="1" applyNumberFormat="1"/>
    <xf borderId="0" fillId="29" fontId="64" numFmtId="0" xfId="0" applyAlignment="1" applyFont="1">
      <alignment horizontal="left" vertical="bottom"/>
    </xf>
    <xf borderId="0" fillId="29" fontId="64" numFmtId="164" xfId="0" applyAlignment="1" applyFont="1" applyNumberFormat="1">
      <alignment horizontal="right" vertical="bottom"/>
    </xf>
    <xf borderId="0" fillId="29" fontId="64" numFmtId="2" xfId="0" applyAlignment="1" applyFont="1" applyNumberFormat="1">
      <alignment horizontal="right" vertical="bottom"/>
    </xf>
    <xf borderId="0" fillId="11" fontId="1" numFmtId="0" xfId="0" applyFont="1"/>
    <xf borderId="0" fillId="11" fontId="1" numFmtId="164" xfId="0" applyFont="1" applyNumberFormat="1"/>
    <xf borderId="0" fillId="30" fontId="1" numFmtId="0" xfId="0" applyFont="1"/>
    <xf borderId="0" fillId="29" fontId="4" numFmtId="0" xfId="0" applyAlignment="1" applyFont="1">
      <alignment vertical="bottom"/>
    </xf>
    <xf borderId="0" fillId="29" fontId="4" numFmtId="164" xfId="0" applyAlignment="1" applyFont="1" applyNumberFormat="1">
      <alignment horizontal="right" vertical="bottom"/>
    </xf>
    <xf borderId="0" fillId="29" fontId="4" numFmtId="2" xfId="0" applyAlignment="1" applyFont="1" applyNumberFormat="1">
      <alignment horizontal="right" vertical="bottom"/>
    </xf>
    <xf borderId="28" fillId="4" fontId="65" numFmtId="0" xfId="0" applyAlignment="1" applyBorder="1" applyFont="1">
      <alignment horizontal="center" readingOrder="0"/>
    </xf>
    <xf borderId="28" fillId="23" fontId="1" numFmtId="0" xfId="0" applyBorder="1" applyFont="1"/>
    <xf borderId="28" fillId="23" fontId="1" numFmtId="164" xfId="0" applyBorder="1" applyFont="1" applyNumberFormat="1"/>
    <xf borderId="28" fillId="4" fontId="1" numFmtId="0" xfId="0" applyBorder="1" applyFont="1"/>
    <xf borderId="28" fillId="16" fontId="1" numFmtId="0" xfId="0" applyBorder="1" applyFont="1"/>
    <xf borderId="28" fillId="16" fontId="1" numFmtId="164" xfId="0" applyBorder="1" applyFont="1" applyNumberFormat="1"/>
    <xf borderId="28" fillId="28" fontId="1" numFmtId="0" xfId="0" applyBorder="1" applyFont="1"/>
    <xf borderId="28" fillId="28" fontId="1" numFmtId="164" xfId="0" applyBorder="1" applyFont="1" applyNumberFormat="1"/>
    <xf borderId="28" fillId="21" fontId="1" numFmtId="0" xfId="0" applyBorder="1" applyFont="1"/>
    <xf borderId="28" fillId="21" fontId="1" numFmtId="164" xfId="0" applyBorder="1" applyFont="1" applyNumberFormat="1"/>
    <xf borderId="28" fillId="19" fontId="1" numFmtId="0" xfId="0" applyBorder="1" applyFont="1"/>
    <xf borderId="28" fillId="19" fontId="1" numFmtId="164" xfId="0" applyBorder="1" applyFont="1" applyNumberFormat="1"/>
    <xf borderId="28" fillId="18" fontId="1" numFmtId="0" xfId="0" applyBorder="1" applyFont="1"/>
    <xf borderId="28" fillId="18" fontId="1" numFmtId="164" xfId="0" applyBorder="1" applyFont="1" applyNumberFormat="1"/>
    <xf borderId="28" fillId="26" fontId="1" numFmtId="0" xfId="0" applyBorder="1" applyFont="1"/>
    <xf borderId="28" fillId="26" fontId="1" numFmtId="164" xfId="0" applyBorder="1" applyFont="1" applyNumberFormat="1"/>
    <xf borderId="28" fillId="29" fontId="1" numFmtId="0" xfId="0" applyBorder="1" applyFont="1"/>
    <xf borderId="28" fillId="29" fontId="1" numFmtId="164" xfId="0" applyBorder="1" applyFont="1" applyNumberFormat="1"/>
    <xf borderId="28" fillId="29" fontId="4" numFmtId="0" xfId="0" applyAlignment="1" applyBorder="1" applyFont="1">
      <alignment vertical="bottom"/>
    </xf>
    <xf borderId="28" fillId="29" fontId="4" numFmtId="164" xfId="0" applyAlignment="1" applyBorder="1" applyFont="1" applyNumberFormat="1">
      <alignment horizontal="right" vertical="bottom"/>
    </xf>
    <xf borderId="28" fillId="29" fontId="4" numFmtId="2" xfId="0" applyAlignment="1" applyBorder="1" applyFont="1" applyNumberFormat="1">
      <alignment horizontal="right" vertical="bottom"/>
    </xf>
    <xf borderId="28" fillId="11" fontId="1" numFmtId="0" xfId="0" applyBorder="1" applyFont="1"/>
    <xf borderId="28" fillId="11" fontId="1" numFmtId="164" xfId="0" applyBorder="1" applyFont="1" applyNumberFormat="1"/>
    <xf borderId="28" fillId="30" fontId="1" numFmtId="0" xfId="0" applyBorder="1" applyFont="1"/>
    <xf borderId="28" fillId="30" fontId="1" numFmtId="0" xfId="0" applyAlignment="1" applyBorder="1" applyFont="1">
      <alignment horizontal="center"/>
    </xf>
    <xf borderId="28" fillId="0" fontId="1" numFmtId="0" xfId="0" applyAlignment="1" applyBorder="1" applyFont="1">
      <alignment horizontal="center"/>
    </xf>
    <xf borderId="37" fillId="0" fontId="1" numFmtId="0" xfId="0" applyAlignment="1" applyBorder="1" applyFont="1">
      <alignment horizontal="center"/>
    </xf>
    <xf borderId="0" fillId="23" fontId="1" numFmtId="0" xfId="0" applyAlignment="1" applyFont="1">
      <alignment horizontal="left"/>
    </xf>
    <xf borderId="0" fillId="23" fontId="1" numFmtId="164" xfId="0" applyAlignment="1" applyFont="1" applyNumberFormat="1">
      <alignment horizontal="left"/>
    </xf>
    <xf borderId="0" fillId="16" fontId="1" numFmtId="0" xfId="0" applyAlignment="1" applyFont="1">
      <alignment horizontal="left"/>
    </xf>
    <xf borderId="0" fillId="16" fontId="1" numFmtId="164" xfId="0" applyAlignment="1" applyFont="1" applyNumberFormat="1">
      <alignment horizontal="left"/>
    </xf>
    <xf borderId="0" fillId="28" fontId="1" numFmtId="0" xfId="0" applyAlignment="1" applyFont="1">
      <alignment horizontal="left"/>
    </xf>
    <xf borderId="0" fillId="28" fontId="1" numFmtId="164" xfId="0" applyAlignment="1" applyFont="1" applyNumberFormat="1">
      <alignment horizontal="left"/>
    </xf>
    <xf borderId="0" fillId="21" fontId="1" numFmtId="0" xfId="0" applyAlignment="1" applyFont="1">
      <alignment horizontal="left"/>
    </xf>
    <xf borderId="0" fillId="21" fontId="1" numFmtId="164" xfId="0" applyAlignment="1" applyFont="1" applyNumberFormat="1">
      <alignment horizontal="left"/>
    </xf>
    <xf borderId="0" fillId="19" fontId="1" numFmtId="0" xfId="0" applyAlignment="1" applyFont="1">
      <alignment horizontal="left"/>
    </xf>
    <xf borderId="0" fillId="19" fontId="1" numFmtId="164" xfId="0" applyAlignment="1" applyFont="1" applyNumberFormat="1">
      <alignment horizontal="left"/>
    </xf>
    <xf borderId="0" fillId="18" fontId="1" numFmtId="0" xfId="0" applyAlignment="1" applyFont="1">
      <alignment horizontal="left"/>
    </xf>
    <xf borderId="0" fillId="18" fontId="1" numFmtId="164" xfId="0" applyAlignment="1" applyFont="1" applyNumberFormat="1">
      <alignment horizontal="left"/>
    </xf>
    <xf borderId="0" fillId="26" fontId="1" numFmtId="0" xfId="0" applyAlignment="1" applyFont="1">
      <alignment horizontal="left"/>
    </xf>
    <xf borderId="0" fillId="26" fontId="1" numFmtId="164" xfId="0" applyAlignment="1" applyFont="1" applyNumberFormat="1">
      <alignment horizontal="left"/>
    </xf>
    <xf borderId="0" fillId="29" fontId="1" numFmtId="0" xfId="0" applyAlignment="1" applyFont="1">
      <alignment horizontal="left"/>
    </xf>
    <xf borderId="0" fillId="29" fontId="1" numFmtId="164" xfId="0" applyAlignment="1" applyFont="1" applyNumberFormat="1">
      <alignment horizontal="left"/>
    </xf>
    <xf borderId="0" fillId="29" fontId="4" numFmtId="164" xfId="0" applyAlignment="1" applyFont="1" applyNumberFormat="1">
      <alignment horizontal="left" vertical="bottom"/>
    </xf>
    <xf borderId="0" fillId="29" fontId="4" numFmtId="2" xfId="0" applyAlignment="1" applyFont="1" applyNumberFormat="1">
      <alignment horizontal="left" vertical="bottom"/>
    </xf>
    <xf borderId="0" fillId="11" fontId="1" numFmtId="0" xfId="0" applyAlignment="1" applyFont="1">
      <alignment horizontal="left"/>
    </xf>
    <xf borderId="0" fillId="11" fontId="1" numFmtId="164" xfId="0" applyAlignment="1" applyFont="1" applyNumberFormat="1">
      <alignment horizontal="left"/>
    </xf>
    <xf borderId="0" fillId="30" fontId="1" numFmtId="0" xfId="0" applyAlignment="1" applyFont="1">
      <alignment horizontal="left"/>
    </xf>
    <xf borderId="0" fillId="6" fontId="1" numFmtId="0" xfId="0" applyAlignment="1" applyFont="1">
      <alignment horizontal="left"/>
    </xf>
    <xf borderId="0" fillId="6" fontId="1" numFmtId="164" xfId="0" applyAlignment="1" applyFont="1" applyNumberFormat="1">
      <alignment horizontal="left"/>
    </xf>
    <xf borderId="0" fillId="6" fontId="4" numFmtId="164" xfId="0" applyAlignment="1" applyFont="1" applyNumberFormat="1">
      <alignment vertical="bottom"/>
    </xf>
    <xf borderId="0" fillId="6" fontId="4" numFmtId="2" xfId="0" applyAlignment="1" applyFont="1" applyNumberFormat="1">
      <alignment vertical="bottom"/>
    </xf>
    <xf borderId="0" fillId="29" fontId="4" numFmtId="164" xfId="0" applyAlignment="1" applyFont="1" applyNumberFormat="1">
      <alignment vertical="bottom"/>
    </xf>
    <xf borderId="0" fillId="29" fontId="4" numFmtId="2" xfId="0" applyAlignment="1" applyFont="1" applyNumberFormat="1">
      <alignment vertical="bottom"/>
    </xf>
    <xf borderId="0" fillId="5" fontId="66" numFmtId="0" xfId="0" applyAlignment="1" applyFont="1">
      <alignment horizontal="center" readingOrder="0" shrinkToFit="0" vertical="center" wrapText="1"/>
    </xf>
    <xf borderId="0" fillId="10" fontId="5" numFmtId="0" xfId="0" applyAlignment="1" applyFont="1">
      <alignment horizontal="center" readingOrder="0"/>
    </xf>
    <xf borderId="28" fillId="10" fontId="5" numFmtId="10" xfId="0" applyAlignment="1" applyBorder="1" applyFont="1" applyNumberFormat="1">
      <alignment horizontal="center" readingOrder="0"/>
    </xf>
    <xf borderId="0" fillId="10" fontId="5" numFmtId="2" xfId="0" applyAlignment="1" applyFont="1" applyNumberFormat="1">
      <alignment horizontal="center" readingOrder="0"/>
    </xf>
    <xf borderId="0" fillId="10" fontId="5" numFmtId="0" xfId="0" applyAlignment="1" applyFont="1">
      <alignment readingOrder="0"/>
    </xf>
    <xf borderId="0" fillId="10" fontId="8" numFmtId="0" xfId="0" applyAlignment="1" applyFont="1">
      <alignment horizontal="center" readingOrder="0" vertical="bottom"/>
    </xf>
    <xf borderId="0" fillId="10" fontId="8" numFmtId="0" xfId="0" applyAlignment="1" applyFont="1">
      <alignment horizontal="center" vertical="bottom"/>
    </xf>
    <xf borderId="10" fillId="0" fontId="8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readingOrder="0" vertical="bottom"/>
    </xf>
    <xf borderId="0" fillId="0" fontId="4" numFmtId="10" xfId="0" applyAlignment="1" applyFont="1" applyNumberFormat="1">
      <alignment horizontal="center" vertical="bottom"/>
    </xf>
    <xf borderId="0" fillId="5" fontId="21" numFmtId="0" xfId="0" applyAlignment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0" fillId="0" fontId="1" numFmtId="2" xfId="0" applyAlignment="1" applyFont="1" applyNumberFormat="1">
      <alignment horizontal="center" readingOrder="0"/>
    </xf>
    <xf borderId="12" fillId="0" fontId="8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0" fontId="5" numFmtId="49" xfId="0" applyAlignment="1" applyFont="1" applyNumberFormat="1">
      <alignment horizontal="center" readingOrder="0"/>
    </xf>
    <xf borderId="12" fillId="0" fontId="4" numFmtId="0" xfId="0" applyAlignment="1" applyBorder="1" applyFont="1">
      <alignment horizontal="center" readingOrder="0" vertical="bottom"/>
    </xf>
    <xf borderId="16" fillId="0" fontId="8" numFmtId="0" xfId="0" applyAlignment="1" applyBorder="1" applyFont="1">
      <alignment vertical="bottom"/>
    </xf>
    <xf borderId="37" fillId="10" fontId="8" numFmtId="0" xfId="0" applyAlignment="1" applyBorder="1" applyFont="1">
      <alignment horizontal="left" readingOrder="0" vertical="bottom"/>
    </xf>
    <xf borderId="45" fillId="10" fontId="8" numFmtId="10" xfId="0" applyAlignment="1" applyBorder="1" applyFont="1" applyNumberFormat="1">
      <alignment horizontal="center" vertical="bottom"/>
    </xf>
    <xf borderId="1" fillId="10" fontId="21" numFmtId="0" xfId="0" applyAlignment="1" applyBorder="1" applyFont="1">
      <alignment horizontal="center" readingOrder="0"/>
    </xf>
    <xf borderId="35" fillId="10" fontId="67" numFmtId="0" xfId="0" applyAlignment="1" applyBorder="1" applyFont="1">
      <alignment horizontal="center" readingOrder="0"/>
    </xf>
    <xf borderId="46" fillId="10" fontId="5" numFmtId="0" xfId="0" applyAlignment="1" applyBorder="1" applyFont="1">
      <alignment horizontal="center" readingOrder="0"/>
    </xf>
    <xf borderId="47" fillId="10" fontId="1" numFmtId="0" xfId="0" applyAlignment="1" applyBorder="1" applyFont="1">
      <alignment horizontal="center" readingOrder="0"/>
    </xf>
    <xf borderId="47" fillId="10" fontId="1" numFmtId="2" xfId="0" applyAlignment="1" applyBorder="1" applyFont="1" applyNumberFormat="1">
      <alignment horizontal="center" readingOrder="0"/>
    </xf>
    <xf borderId="0" fillId="5" fontId="68" numFmtId="0" xfId="0" applyAlignment="1" applyFont="1">
      <alignment horizontal="center" readingOrder="0"/>
    </xf>
    <xf borderId="9" fillId="10" fontId="21" numFmtId="0" xfId="0" applyAlignment="1" applyBorder="1" applyFont="1">
      <alignment horizontal="center" readingOrder="0"/>
    </xf>
    <xf borderId="48" fillId="10" fontId="67" numFmtId="0" xfId="0" applyAlignment="1" applyBorder="1" applyFont="1">
      <alignment horizontal="center" readingOrder="0"/>
    </xf>
    <xf borderId="7" fillId="0" fontId="5" numFmtId="0" xfId="0" applyAlignment="1" applyBorder="1" applyFont="1">
      <alignment readingOrder="0"/>
    </xf>
    <xf borderId="12" fillId="0" fontId="5" numFmtId="0" xfId="0" applyAlignment="1" applyBorder="1" applyFont="1">
      <alignment horizontal="center" readingOrder="0"/>
    </xf>
    <xf borderId="16" fillId="0" fontId="5" numFmtId="0" xfId="0" applyAlignment="1" applyBorder="1" applyFont="1">
      <alignment horizontal="center" readingOrder="0"/>
    </xf>
    <xf borderId="45" fillId="10" fontId="5" numFmtId="10" xfId="0" applyAlignment="1" applyBorder="1" applyFont="1" applyNumberFormat="1">
      <alignment horizontal="center" readingOrder="0"/>
    </xf>
    <xf borderId="10" fillId="0" fontId="5" numFmtId="0" xfId="0" applyAlignment="1" applyBorder="1" applyFont="1">
      <alignment horizontal="center" readingOrder="0"/>
    </xf>
    <xf borderId="16" fillId="0" fontId="5" numFmtId="0" xfId="0" applyBorder="1" applyFont="1"/>
    <xf borderId="45" fillId="10" fontId="5" numFmtId="10" xfId="0" applyAlignment="1" applyBorder="1" applyFont="1" applyNumberFormat="1">
      <alignment horizontal="center"/>
    </xf>
    <xf borderId="9" fillId="10" fontId="1" numFmtId="0" xfId="0" applyAlignment="1" applyBorder="1" applyFont="1">
      <alignment horizontal="center"/>
    </xf>
    <xf borderId="48" fillId="10" fontId="69" numFmtId="0" xfId="0" applyAlignment="1" applyBorder="1" applyFont="1">
      <alignment horizontal="center"/>
    </xf>
    <xf borderId="49" fillId="10" fontId="5" numFmtId="0" xfId="0" applyAlignment="1" applyBorder="1" applyFont="1">
      <alignment horizontal="center" readingOrder="0"/>
    </xf>
    <xf borderId="47" fillId="10" fontId="1" numFmtId="0" xfId="0" applyAlignment="1" applyBorder="1" applyFont="1">
      <alignment horizontal="center"/>
    </xf>
    <xf borderId="0" fillId="10" fontId="1" numFmtId="0" xfId="0" applyAlignment="1" applyFont="1">
      <alignment horizontal="center"/>
    </xf>
    <xf borderId="0" fillId="10" fontId="5" numFmtId="10" xfId="0" applyAlignment="1" applyFont="1" applyNumberFormat="1">
      <alignment horizontal="center"/>
    </xf>
    <xf borderId="0" fillId="31" fontId="5" numFmtId="0" xfId="0" applyAlignment="1" applyFill="1" applyFont="1">
      <alignment horizontal="center"/>
    </xf>
    <xf borderId="0" fillId="0" fontId="5" numFmtId="0" xfId="0" applyFont="1"/>
    <xf borderId="0" fillId="10" fontId="8" numFmtId="0" xfId="0" applyAlignment="1" applyFont="1">
      <alignment horizontal="left" readingOrder="0" vertical="bottom"/>
    </xf>
    <xf borderId="0" fillId="10" fontId="70" numFmtId="0" xfId="0" applyAlignment="1" applyFont="1">
      <alignment horizontal="center"/>
    </xf>
    <xf borderId="0" fillId="4" fontId="71" numFmtId="0" xfId="0" applyAlignment="1" applyFont="1">
      <alignment horizontal="center" readingOrder="0"/>
    </xf>
    <xf borderId="50" fillId="18" fontId="72" numFmtId="0" xfId="0" applyAlignment="1" applyBorder="1" applyFont="1">
      <alignment horizontal="center" readingOrder="0"/>
    </xf>
    <xf borderId="51" fillId="0" fontId="17" numFmtId="0" xfId="0" applyBorder="1" applyFont="1"/>
    <xf borderId="52" fillId="0" fontId="17" numFmtId="0" xfId="0" applyBorder="1" applyFont="1"/>
    <xf borderId="0" fillId="4" fontId="73" numFmtId="0" xfId="0" applyAlignment="1" applyFont="1">
      <alignment readingOrder="0"/>
    </xf>
    <xf borderId="0" fillId="6" fontId="28" numFmtId="0" xfId="0" applyAlignment="1" applyFont="1">
      <alignment horizontal="right" readingOrder="0"/>
    </xf>
    <xf borderId="0" fillId="18" fontId="72" numFmtId="0" xfId="0" applyAlignment="1" applyFont="1">
      <alignment horizontal="center" readingOrder="0"/>
    </xf>
    <xf borderId="53" fillId="32" fontId="28" numFmtId="0" xfId="0" applyAlignment="1" applyBorder="1" applyFill="1" applyFont="1">
      <alignment horizontal="center" readingOrder="0"/>
    </xf>
    <xf borderId="0" fillId="6" fontId="46" numFmtId="0" xfId="0" applyFont="1"/>
    <xf borderId="0" fillId="32" fontId="28" numFmtId="0" xfId="0" applyAlignment="1" applyFont="1">
      <alignment horizontal="center" readingOrder="0"/>
    </xf>
    <xf borderId="0" fillId="32" fontId="28" numFmtId="4" xfId="0" applyAlignment="1" applyFont="1" applyNumberFormat="1">
      <alignment horizontal="center" readingOrder="0"/>
    </xf>
    <xf borderId="54" fillId="18" fontId="28" numFmtId="0" xfId="0" applyAlignment="1" applyBorder="1" applyFont="1">
      <alignment horizontal="center" readingOrder="0" vertical="center"/>
    </xf>
    <xf borderId="54" fillId="18" fontId="74" numFmtId="0" xfId="0" applyAlignment="1" applyBorder="1" applyFont="1">
      <alignment horizontal="center" readingOrder="0" shrinkToFit="0" vertical="center" wrapText="1"/>
    </xf>
    <xf borderId="52" fillId="18" fontId="75" numFmtId="2" xfId="0" applyAlignment="1" applyBorder="1" applyFont="1" applyNumberFormat="1">
      <alignment horizontal="center" readingOrder="0" shrinkToFit="0" vertical="center" wrapText="1"/>
    </xf>
    <xf borderId="52" fillId="18" fontId="75" numFmtId="0" xfId="0" applyAlignment="1" applyBorder="1" applyFont="1">
      <alignment horizontal="center" readingOrder="0" shrinkToFit="0" vertical="center" wrapText="1"/>
    </xf>
    <xf borderId="54" fillId="18" fontId="74" numFmtId="4" xfId="0" applyAlignment="1" applyBorder="1" applyFont="1" applyNumberFormat="1">
      <alignment horizontal="center" readingOrder="0" shrinkToFit="0" vertical="center" wrapText="1"/>
    </xf>
    <xf borderId="52" fillId="18" fontId="76" numFmtId="1" xfId="0" applyAlignment="1" applyBorder="1" applyFont="1" applyNumberFormat="1">
      <alignment horizontal="center" readingOrder="0" shrinkToFit="0" vertical="center" wrapText="1"/>
    </xf>
    <xf borderId="54" fillId="18" fontId="77" numFmtId="0" xfId="0" applyAlignment="1" applyBorder="1" applyFont="1">
      <alignment horizontal="center" readingOrder="0" vertical="center"/>
    </xf>
    <xf borderId="54" fillId="18" fontId="77" numFmtId="2" xfId="0" applyAlignment="1" applyBorder="1" applyFont="1" applyNumberFormat="1">
      <alignment horizontal="center" readingOrder="0" vertical="center"/>
    </xf>
    <xf borderId="54" fillId="18" fontId="77" numFmtId="4" xfId="0" applyAlignment="1" applyBorder="1" applyFont="1" applyNumberFormat="1">
      <alignment horizontal="center" readingOrder="0" vertical="center"/>
    </xf>
    <xf borderId="0" fillId="6" fontId="28" numFmtId="0" xfId="0" applyAlignment="1" applyFont="1">
      <alignment horizontal="right" readingOrder="0" vertical="center"/>
    </xf>
    <xf borderId="54" fillId="18" fontId="77" numFmtId="0" xfId="0" applyAlignment="1" applyBorder="1" applyFont="1">
      <alignment horizontal="center" readingOrder="0" shrinkToFit="0" vertical="center" wrapText="1"/>
    </xf>
    <xf borderId="54" fillId="18" fontId="77" numFmtId="4" xfId="0" applyAlignment="1" applyBorder="1" applyFont="1" applyNumberFormat="1">
      <alignment horizontal="center" readingOrder="0" shrinkToFit="0" vertical="center" wrapText="1"/>
    </xf>
    <xf borderId="54" fillId="18" fontId="28" numFmtId="2" xfId="0" applyAlignment="1" applyBorder="1" applyFont="1" applyNumberFormat="1">
      <alignment horizontal="center" readingOrder="0" vertical="center"/>
    </xf>
    <xf borderId="55" fillId="6" fontId="77" numFmtId="0" xfId="0" applyAlignment="1" applyBorder="1" applyFont="1">
      <alignment horizontal="center" readingOrder="0" shrinkToFit="0" vertical="center" wrapText="1"/>
    </xf>
    <xf borderId="56" fillId="6" fontId="77" numFmtId="2" xfId="0" applyAlignment="1" applyBorder="1" applyFont="1" applyNumberFormat="1">
      <alignment horizontal="center" readingOrder="0" shrinkToFit="0" vertical="center" wrapText="1"/>
    </xf>
    <xf borderId="54" fillId="18" fontId="77" numFmtId="2" xfId="0" applyAlignment="1" applyBorder="1" applyFont="1" applyNumberFormat="1">
      <alignment horizontal="center" readingOrder="0" shrinkToFit="0" vertical="center" wrapText="1"/>
    </xf>
    <xf borderId="57" fillId="6" fontId="77" numFmtId="0" xfId="0" applyAlignment="1" applyBorder="1" applyFont="1">
      <alignment horizontal="center" readingOrder="0" vertical="center"/>
    </xf>
    <xf borderId="58" fillId="6" fontId="77" numFmtId="2" xfId="0" applyAlignment="1" applyBorder="1" applyFont="1" applyNumberFormat="1">
      <alignment horizontal="center" readingOrder="0" vertical="center"/>
    </xf>
    <xf borderId="54" fillId="18" fontId="28" numFmtId="4" xfId="0" applyAlignment="1" applyBorder="1" applyFont="1" applyNumberFormat="1">
      <alignment horizontal="center" readingOrder="0" vertical="center"/>
    </xf>
    <xf borderId="0" fillId="6" fontId="28" numFmtId="0" xfId="0" applyAlignment="1" applyFont="1">
      <alignment horizontal="center" readingOrder="0" vertical="center"/>
    </xf>
    <xf borderId="0" fillId="6" fontId="28" numFmtId="0" xfId="0" applyAlignment="1" applyFont="1">
      <alignment horizontal="center" readingOrder="0"/>
    </xf>
    <xf borderId="0" fillId="6" fontId="15" numFmtId="0" xfId="0" applyAlignment="1" applyFont="1">
      <alignment horizontal="center" readingOrder="0"/>
    </xf>
    <xf borderId="0" fillId="6" fontId="19" numFmtId="0" xfId="0" applyAlignment="1" applyFont="1">
      <alignment horizontal="right" readingOrder="0"/>
    </xf>
    <xf borderId="0" fillId="6" fontId="15" numFmtId="0" xfId="0" applyAlignment="1" applyFont="1">
      <alignment horizontal="left" readingOrder="0"/>
    </xf>
    <xf borderId="0" fillId="18" fontId="72" numFmtId="0" xfId="0" applyAlignment="1" applyFont="1">
      <alignment horizontal="center" readingOrder="0" vertical="bottom"/>
    </xf>
    <xf borderId="0" fillId="32" fontId="78" numFmtId="0" xfId="0" applyAlignment="1" applyFont="1">
      <alignment horizontal="center" readingOrder="0" vertical="center"/>
    </xf>
    <xf borderId="0" fillId="32" fontId="28" numFmtId="0" xfId="0" applyAlignment="1" applyFont="1">
      <alignment horizontal="center" readingOrder="0" vertical="bottom"/>
    </xf>
    <xf borderId="0" fillId="32" fontId="28" numFmtId="0" xfId="0" applyAlignment="1" applyFont="1">
      <alignment horizontal="center" readingOrder="0" vertical="bottom"/>
    </xf>
    <xf borderId="0" fillId="6" fontId="46" numFmtId="0" xfId="0" applyAlignment="1" applyFont="1">
      <alignment vertical="center"/>
    </xf>
    <xf borderId="54" fillId="18" fontId="28" numFmtId="0" xfId="0" applyAlignment="1" applyBorder="1" applyFont="1">
      <alignment horizontal="center" readingOrder="0" vertical="center"/>
    </xf>
    <xf borderId="54" fillId="18" fontId="79" numFmtId="0" xfId="0" applyAlignment="1" applyBorder="1" applyFont="1">
      <alignment horizontal="center" readingOrder="0" shrinkToFit="0" vertical="center" wrapText="1"/>
    </xf>
    <xf borderId="52" fillId="18" fontId="80" numFmtId="0" xfId="0" applyAlignment="1" applyBorder="1" applyFont="1">
      <alignment horizontal="center" readingOrder="0" shrinkToFit="0" vertical="center" wrapText="1"/>
    </xf>
    <xf borderId="0" fillId="6" fontId="1" numFmtId="0" xfId="0" applyAlignment="1" applyFont="1">
      <alignment vertical="center"/>
    </xf>
    <xf borderId="52" fillId="18" fontId="75" numFmtId="0" xfId="0" applyAlignment="1" applyBorder="1" applyFont="1">
      <alignment horizontal="center" readingOrder="0" shrinkToFit="0" vertical="center" wrapText="1"/>
    </xf>
    <xf borderId="54" fillId="18" fontId="28" numFmtId="0" xfId="0" applyAlignment="1" applyBorder="1" applyFont="1">
      <alignment horizontal="center" readingOrder="0" shrinkToFit="0" vertical="center" wrapText="1"/>
    </xf>
    <xf borderId="0" fillId="6" fontId="46" numFmtId="0" xfId="0" applyAlignment="1" applyFont="1">
      <alignment horizontal="right" vertical="center"/>
    </xf>
    <xf borderId="26" fillId="6" fontId="1" numFmtId="0" xfId="0" applyAlignment="1" applyBorder="1" applyFont="1">
      <alignment horizontal="right"/>
    </xf>
    <xf borderId="27" fillId="6" fontId="1" numFmtId="1" xfId="0" applyAlignment="1" applyBorder="1" applyFont="1" applyNumberFormat="1">
      <alignment horizontal="center"/>
    </xf>
    <xf borderId="28" fillId="6" fontId="1" numFmtId="0" xfId="0" applyAlignment="1" applyBorder="1" applyFont="1">
      <alignment horizontal="center"/>
    </xf>
    <xf borderId="1" fillId="6" fontId="1" numFmtId="0" xfId="0" applyAlignment="1" applyBorder="1" applyFont="1">
      <alignment horizontal="left"/>
    </xf>
    <xf borderId="24" fillId="6" fontId="1" numFmtId="0" xfId="0" applyAlignment="1" applyBorder="1" applyFont="1">
      <alignment horizontal="right"/>
    </xf>
    <xf borderId="27" fillId="6" fontId="1" numFmtId="0" xfId="0" applyAlignment="1" applyBorder="1" applyFont="1">
      <alignment horizontal="center"/>
    </xf>
    <xf borderId="1" fillId="6" fontId="1" numFmtId="0" xfId="0" applyAlignment="1" applyBorder="1" applyFont="1">
      <alignment horizontal="center"/>
    </xf>
    <xf borderId="28" fillId="6" fontId="21" numFmtId="0" xfId="0" applyAlignment="1" applyBorder="1" applyFont="1">
      <alignment horizontal="center" readingOrder="0"/>
    </xf>
    <xf borderId="0" fillId="6" fontId="4" numFmtId="0" xfId="0" applyAlignment="1" applyFont="1">
      <alignment readingOrder="0" vertical="bottom"/>
    </xf>
    <xf borderId="45" fillId="6" fontId="72" numFmtId="0" xfId="0" applyAlignment="1" applyBorder="1" applyFont="1">
      <alignment horizontal="center" readingOrder="0" vertical="bottom"/>
    </xf>
    <xf borderId="9" fillId="0" fontId="17" numFmtId="0" xfId="0" applyBorder="1" applyFont="1"/>
    <xf borderId="59" fillId="0" fontId="17" numFmtId="0" xfId="0" applyBorder="1" applyFont="1"/>
    <xf borderId="0" fillId="6" fontId="4" numFmtId="0" xfId="0" applyAlignment="1" applyFont="1">
      <alignment vertical="bottom"/>
    </xf>
    <xf borderId="0" fillId="32" fontId="28" numFmtId="0" xfId="0" applyAlignment="1" applyFont="1">
      <alignment horizontal="center" readingOrder="0" vertical="center"/>
    </xf>
    <xf borderId="0" fillId="32" fontId="28" numFmtId="0" xfId="0" applyAlignment="1" applyFont="1">
      <alignment horizontal="center" readingOrder="0" vertical="center"/>
    </xf>
    <xf borderId="0" fillId="6" fontId="4" numFmtId="0" xfId="0" applyAlignment="1" applyFont="1">
      <alignment vertical="center"/>
    </xf>
    <xf borderId="0" fillId="6" fontId="4" numFmtId="0" xfId="0" applyAlignment="1" applyFont="1">
      <alignment readingOrder="0" vertical="center"/>
    </xf>
    <xf borderId="48" fillId="6" fontId="28" numFmtId="0" xfId="0" applyAlignment="1" applyBorder="1" applyFont="1">
      <alignment horizontal="center" readingOrder="0" vertical="center"/>
    </xf>
    <xf borderId="48" fillId="6" fontId="28" numFmtId="0" xfId="0" applyAlignment="1" applyBorder="1" applyFont="1">
      <alignment horizontal="center" readingOrder="0" vertical="center"/>
    </xf>
    <xf borderId="52" fillId="18" fontId="76" numFmtId="0" xfId="0" applyAlignment="1" applyBorder="1" applyFont="1">
      <alignment horizontal="center" readingOrder="0" shrinkToFit="0" vertical="center" wrapText="1"/>
    </xf>
    <xf borderId="48" fillId="6" fontId="81" numFmtId="0" xfId="0" applyAlignment="1" applyBorder="1" applyFont="1">
      <alignment horizontal="center" readingOrder="0" shrinkToFit="0" vertical="center" wrapText="1"/>
    </xf>
    <xf borderId="50" fillId="18" fontId="79" numFmtId="0" xfId="0" applyAlignment="1" applyBorder="1" applyFont="1">
      <alignment horizontal="center" readingOrder="0" shrinkToFit="0" vertical="center" wrapText="1"/>
    </xf>
    <xf borderId="54" fillId="18" fontId="75" numFmtId="1" xfId="0" applyAlignment="1" applyBorder="1" applyFont="1" applyNumberFormat="1">
      <alignment horizontal="center" readingOrder="0" shrinkToFit="0" vertical="center" wrapText="1"/>
    </xf>
    <xf borderId="54" fillId="18" fontId="82" numFmtId="0" xfId="0" applyAlignment="1" applyBorder="1" applyFont="1">
      <alignment horizontal="center" readingOrder="0" vertical="center"/>
    </xf>
    <xf borderId="54" fillId="18" fontId="28" numFmtId="1" xfId="0" applyAlignment="1" applyBorder="1" applyFont="1" applyNumberFormat="1">
      <alignment horizontal="center" readingOrder="0" vertical="center"/>
    </xf>
    <xf borderId="48" fillId="6" fontId="28" numFmtId="0" xfId="0" applyAlignment="1" applyBorder="1" applyFont="1">
      <alignment horizontal="center" readingOrder="0" shrinkToFit="0" vertical="center" wrapText="1"/>
    </xf>
    <xf borderId="48" fillId="6" fontId="28" numFmtId="0" xfId="0" applyAlignment="1" applyBorder="1" applyFont="1">
      <alignment horizontal="center" readingOrder="0" shrinkToFit="0" vertical="center" wrapText="1"/>
    </xf>
    <xf borderId="54" fillId="18" fontId="28" numFmtId="0" xfId="0" applyAlignment="1" applyBorder="1" applyFont="1">
      <alignment horizontal="center" readingOrder="0" shrinkToFit="0" vertical="center" wrapText="1"/>
    </xf>
    <xf borderId="54" fillId="18" fontId="28" numFmtId="1" xfId="0" applyAlignment="1" applyBorder="1" applyFont="1" applyNumberFormat="1">
      <alignment horizontal="center" readingOrder="0" shrinkToFit="0" vertical="center" wrapText="1"/>
    </xf>
    <xf borderId="54" fillId="18" fontId="78" numFmtId="0" xfId="0" applyAlignment="1" applyBorder="1" applyFont="1">
      <alignment horizontal="center" readingOrder="0" vertical="center"/>
    </xf>
    <xf borderId="0" fillId="32" fontId="83" numFmtId="0" xfId="0" applyAlignment="1" applyFont="1">
      <alignment horizontal="center" readingOrder="0" vertical="center"/>
    </xf>
    <xf borderId="54" fillId="18" fontId="79" numFmtId="0" xfId="0" applyAlignment="1" applyBorder="1" applyFont="1">
      <alignment horizontal="center" readingOrder="0" shrinkToFit="0" vertical="center" wrapText="1"/>
    </xf>
    <xf borderId="45" fillId="6" fontId="28" numFmtId="0" xfId="0" applyAlignment="1" applyBorder="1" applyFont="1">
      <alignment horizontal="center" readingOrder="0" vertical="bottom"/>
    </xf>
    <xf borderId="0" fillId="32" fontId="84" numFmtId="0" xfId="0" applyAlignment="1" applyFont="1">
      <alignment horizontal="center" readingOrder="0" vertical="center"/>
    </xf>
    <xf borderId="48" fillId="6" fontId="84" numFmtId="0" xfId="0" applyAlignment="1" applyBorder="1" applyFont="1">
      <alignment horizontal="center" readingOrder="0" vertical="center"/>
    </xf>
    <xf borderId="48" fillId="6" fontId="74" numFmtId="0" xfId="0" applyAlignment="1" applyBorder="1" applyFont="1">
      <alignment horizontal="center" readingOrder="0" shrinkToFit="0" vertical="center" wrapText="1"/>
    </xf>
    <xf borderId="48" fillId="6" fontId="85" numFmtId="0" xfId="0" applyAlignment="1" applyBorder="1" applyFont="1">
      <alignment horizontal="center" readingOrder="0" shrinkToFit="0" vertical="center" wrapText="1"/>
    </xf>
    <xf borderId="0" fillId="6" fontId="30" numFmtId="0" xfId="0" applyAlignment="1" applyFont="1">
      <alignment horizontal="center" readingOrder="0" vertical="bottom"/>
    </xf>
    <xf borderId="0" fillId="6" fontId="28" numFmtId="0" xfId="0" applyAlignment="1" applyFont="1">
      <alignment horizontal="center" readingOrder="0" vertical="bottom"/>
    </xf>
    <xf borderId="0" fillId="6" fontId="28" numFmtId="0" xfId="0" applyAlignment="1" applyFont="1">
      <alignment horizontal="center" readingOrder="0"/>
    </xf>
    <xf borderId="0" fillId="6" fontId="52" numFmtId="0" xfId="0" applyAlignment="1" applyFont="1">
      <alignment horizontal="center" readingOrder="0" shrinkToFit="0" wrapText="1"/>
    </xf>
    <xf borderId="0" fillId="6" fontId="52" numFmtId="0" xfId="0" applyAlignment="1" applyFont="1">
      <alignment horizontal="center" readingOrder="0" shrinkToFit="0" wrapText="1"/>
    </xf>
    <xf borderId="19" fillId="6" fontId="28" numFmtId="2" xfId="0" applyAlignment="1" applyBorder="1" applyFont="1" applyNumberFormat="1">
      <alignment horizontal="center" readingOrder="0"/>
    </xf>
    <xf borderId="0" fillId="6" fontId="28" numFmtId="0" xfId="0" applyAlignment="1" applyFont="1">
      <alignment horizontal="center" readingOrder="0" shrinkToFit="0" wrapText="1"/>
    </xf>
    <xf borderId="19" fillId="6" fontId="28" numFmtId="2" xfId="0" applyAlignment="1" applyBorder="1" applyFont="1" applyNumberFormat="1">
      <alignment horizontal="center" readingOrder="0" shrinkToFit="0" wrapText="1"/>
    </xf>
    <xf borderId="0" fillId="6" fontId="4" numFmtId="0" xfId="0" applyAlignment="1" applyFont="1">
      <alignment readingOrder="0"/>
    </xf>
    <xf borderId="0" fillId="6" fontId="1" numFmtId="0" xfId="0" applyAlignment="1" applyFont="1">
      <alignment readingOrder="0"/>
    </xf>
    <xf borderId="29" fillId="6" fontId="5" numFmtId="0" xfId="0" applyAlignment="1" applyBorder="1" applyFont="1">
      <alignment horizontal="center" readingOrder="0"/>
    </xf>
    <xf borderId="24" fillId="6" fontId="1" numFmtId="0" xfId="0" applyAlignment="1" applyBorder="1" applyFont="1">
      <alignment horizontal="right" readingOrder="0"/>
    </xf>
    <xf borderId="26" fillId="6" fontId="1" numFmtId="0" xfId="0" applyAlignment="1" applyBorder="1" applyFont="1">
      <alignment horizontal="right" readingOrder="0"/>
    </xf>
    <xf borderId="0" fillId="6" fontId="1" numFmtId="0" xfId="0" applyAlignment="1" applyFont="1">
      <alignment horizontal="right" readingOrder="0"/>
    </xf>
    <xf borderId="0" fillId="17" fontId="28" numFmtId="0" xfId="0" applyAlignment="1" applyFont="1">
      <alignment horizontal="center" readingOrder="0"/>
    </xf>
    <xf borderId="10" fillId="0" fontId="5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7" fillId="0" fontId="1" numFmtId="0" xfId="0" applyAlignment="1" applyBorder="1" applyFont="1">
      <alignment horizontal="center"/>
    </xf>
    <xf borderId="7" fillId="0" fontId="1" numFmtId="0" xfId="0" applyBorder="1" applyFont="1"/>
    <xf borderId="7" fillId="0" fontId="1" numFmtId="10" xfId="0" applyBorder="1" applyFont="1" applyNumberFormat="1"/>
    <xf borderId="12" fillId="0" fontId="5" numFmtId="0" xfId="0" applyAlignment="1" applyBorder="1" applyFont="1">
      <alignment readingOrder="0"/>
    </xf>
    <xf borderId="0" fillId="33" fontId="86" numFmtId="0" xfId="0" applyFill="1" applyFont="1"/>
    <xf borderId="0" fillId="5" fontId="86" numFmtId="0" xfId="0" applyFont="1"/>
    <xf borderId="0" fillId="0" fontId="1" numFmtId="10" xfId="0" applyFont="1" applyNumberFormat="1"/>
    <xf borderId="16" fillId="0" fontId="5" numFmtId="0" xfId="0" applyAlignment="1" applyBorder="1" applyFont="1">
      <alignment readingOrder="0"/>
    </xf>
    <xf borderId="37" fillId="0" fontId="1" numFmtId="0" xfId="0" applyAlignment="1" applyBorder="1" applyFont="1">
      <alignment horizontal="center" readingOrder="0"/>
    </xf>
    <xf borderId="37" fillId="0" fontId="1" numFmtId="0" xfId="0" applyAlignment="1" applyBorder="1" applyFont="1">
      <alignment readingOrder="0"/>
    </xf>
    <xf borderId="37" fillId="0" fontId="1" numFmtId="10" xfId="0" applyBorder="1" applyFont="1" applyNumberFormat="1"/>
    <xf borderId="37" fillId="0" fontId="1" numFmtId="0" xfId="0" applyBorder="1" applyFont="1"/>
    <xf borderId="0" fillId="0" fontId="5" numFmtId="0" xfId="0" applyAlignment="1" applyFont="1">
      <alignment readingOrder="0"/>
    </xf>
    <xf borderId="37" fillId="0" fontId="5" numFmtId="0" xfId="0" applyAlignment="1" applyBorder="1" applyFont="1">
      <alignment readingOrder="0"/>
    </xf>
    <xf borderId="0" fillId="0" fontId="1" numFmtId="0" xfId="0" applyFont="1"/>
    <xf borderId="0" fillId="0" fontId="1" numFmtId="164" xfId="0" applyFont="1" applyNumberFormat="1"/>
    <xf borderId="60" fillId="0" fontId="87" numFmtId="0" xfId="0" applyAlignment="1" applyBorder="1" applyFont="1">
      <alignment readingOrder="0"/>
    </xf>
    <xf borderId="61" fillId="0" fontId="5" numFmtId="164" xfId="0" applyAlignment="1" applyBorder="1" applyFont="1" applyNumberFormat="1">
      <alignment readingOrder="0"/>
    </xf>
    <xf borderId="61" fillId="0" fontId="5" numFmtId="164" xfId="0" applyAlignment="1" applyBorder="1" applyFont="1" applyNumberForma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48" fillId="6" fontId="4" numFmtId="0" xfId="0" applyAlignment="1" applyBorder="1" applyFont="1">
      <alignment horizontal="center" vertical="bottom"/>
    </xf>
    <xf borderId="62" fillId="0" fontId="8" numFmtId="0" xfId="0" applyAlignment="1" applyBorder="1" applyFont="1">
      <alignment horizontal="center" vertical="bottom"/>
    </xf>
    <xf borderId="63" fillId="0" fontId="8" numFmtId="0" xfId="0" applyAlignment="1" applyBorder="1" applyFont="1">
      <alignment horizontal="center" vertical="bottom"/>
    </xf>
    <xf borderId="59" fillId="0" fontId="4" numFmtId="0" xfId="0" applyAlignment="1" applyBorder="1" applyFont="1">
      <alignment horizontal="center" vertical="bottom"/>
    </xf>
    <xf borderId="64" fillId="0" fontId="4" numFmtId="0" xfId="0" applyAlignment="1" applyBorder="1" applyFont="1">
      <alignment horizontal="center" vertical="bottom"/>
    </xf>
    <xf borderId="0" fillId="14" fontId="88" numFmtId="0" xfId="0" applyFont="1"/>
    <xf borderId="0" fillId="5" fontId="11" numFmtId="164" xfId="0" applyAlignment="1" applyFont="1" applyNumberFormat="1">
      <alignment horizontal="center" readingOrder="0"/>
    </xf>
    <xf borderId="0" fillId="5" fontId="11" numFmtId="164" xfId="0" applyAlignment="1" applyFont="1" applyNumberFormat="1">
      <alignment horizontal="center"/>
    </xf>
    <xf borderId="0" fillId="0" fontId="89" numFmtId="164" xfId="0" applyAlignment="1" applyFont="1" applyNumberFormat="1">
      <alignment horizontal="center"/>
    </xf>
    <xf borderId="0" fillId="5" fontId="86" numFmtId="164" xfId="0" applyFont="1" applyNumberFormat="1"/>
    <xf borderId="0" fillId="6" fontId="4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65" fillId="0" fontId="68" numFmtId="0" xfId="0" applyAlignment="1" applyBorder="1" applyFont="1">
      <alignment horizontal="center" vertical="bottom"/>
    </xf>
    <xf borderId="66" fillId="0" fontId="8" numFmtId="0" xfId="0" applyAlignment="1" applyBorder="1" applyFont="1">
      <alignment horizontal="center" vertical="bottom"/>
    </xf>
    <xf borderId="59" fillId="10" fontId="8" numFmtId="0" xfId="0" applyAlignment="1" applyBorder="1" applyFont="1">
      <alignment horizontal="center" vertical="bottom"/>
    </xf>
    <xf borderId="64" fillId="10" fontId="8" numFmtId="0" xfId="0" applyAlignment="1" applyBorder="1" applyFont="1">
      <alignment horizontal="center" vertical="bottom"/>
    </xf>
    <xf borderId="59" fillId="34" fontId="8" numFmtId="0" xfId="0" applyAlignment="1" applyBorder="1" applyFill="1" applyFont="1">
      <alignment horizontal="left" readingOrder="0" vertical="bottom"/>
    </xf>
    <xf borderId="48" fillId="34" fontId="8" numFmtId="165" xfId="0" applyAlignment="1" applyBorder="1" applyFont="1" applyNumberFormat="1">
      <alignment horizontal="center" vertical="bottom"/>
    </xf>
    <xf borderId="59" fillId="34" fontId="8" numFmtId="0" xfId="0" applyAlignment="1" applyBorder="1" applyFont="1">
      <alignment horizontal="center" readingOrder="0" vertical="bottom"/>
    </xf>
    <xf borderId="64" fillId="34" fontId="8" numFmtId="0" xfId="0" applyAlignment="1" applyBorder="1" applyFont="1">
      <alignment horizontal="center" readingOrder="0" vertical="bottom"/>
    </xf>
    <xf borderId="59" fillId="34" fontId="8" numFmtId="0" xfId="0" applyAlignment="1" applyBorder="1" applyFont="1">
      <alignment horizontal="right" vertical="bottom"/>
    </xf>
    <xf borderId="59" fillId="34" fontId="8" numFmtId="0" xfId="0" applyAlignment="1" applyBorder="1" applyFont="1">
      <alignment horizontal="center" vertical="bottom"/>
    </xf>
    <xf borderId="0" fillId="27" fontId="90" numFmtId="0" xfId="0" applyAlignment="1" applyFont="1">
      <alignment readingOrder="0" vertical="bottom"/>
    </xf>
    <xf borderId="48" fillId="27" fontId="11" numFmtId="165" xfId="0" applyAlignment="1" applyBorder="1" applyFont="1" applyNumberFormat="1">
      <alignment horizontal="right" vertical="bottom"/>
    </xf>
    <xf borderId="59" fillId="27" fontId="8" numFmtId="0" xfId="0" applyAlignment="1" applyBorder="1" applyFont="1">
      <alignment horizontal="center" readingOrder="0" vertical="bottom"/>
    </xf>
    <xf borderId="13" fillId="27" fontId="1" numFmtId="0" xfId="0" applyAlignment="1" applyBorder="1" applyFont="1">
      <alignment readingOrder="0"/>
    </xf>
    <xf borderId="0" fillId="27" fontId="8" numFmtId="0" xfId="0" applyAlignment="1" applyFont="1">
      <alignment horizontal="right" vertical="bottom"/>
    </xf>
    <xf borderId="48" fillId="27" fontId="22" numFmtId="165" xfId="0" applyAlignment="1" applyBorder="1" applyFont="1" applyNumberFormat="1">
      <alignment vertical="bottom"/>
    </xf>
    <xf borderId="59" fillId="27" fontId="8" numFmtId="0" xfId="0" applyAlignment="1" applyBorder="1" applyFont="1">
      <alignment horizontal="center" vertical="bottom"/>
    </xf>
    <xf borderId="64" fillId="27" fontId="8" numFmtId="0" xfId="0" applyAlignment="1" applyBorder="1" applyFont="1">
      <alignment horizontal="center" readingOrder="0" vertical="bottom"/>
    </xf>
    <xf borderId="59" fillId="27" fontId="90" numFmtId="0" xfId="0" applyAlignment="1" applyBorder="1" applyFont="1">
      <alignment readingOrder="0" vertical="bottom"/>
    </xf>
    <xf borderId="0" fillId="19" fontId="90" numFmtId="0" xfId="0" applyAlignment="1" applyFont="1">
      <alignment readingOrder="0" vertical="bottom"/>
    </xf>
    <xf borderId="48" fillId="19" fontId="90" numFmtId="165" xfId="0" applyAlignment="1" applyBorder="1" applyFont="1" applyNumberFormat="1">
      <alignment horizontal="right" vertical="bottom"/>
    </xf>
    <xf borderId="59" fillId="19" fontId="8" numFmtId="0" xfId="0" applyAlignment="1" applyBorder="1" applyFont="1">
      <alignment horizontal="center" readingOrder="0" vertical="bottom"/>
    </xf>
    <xf borderId="13" fillId="19" fontId="1" numFmtId="0" xfId="0" applyAlignment="1" applyBorder="1" applyFont="1">
      <alignment readingOrder="0"/>
    </xf>
    <xf borderId="0" fillId="19" fontId="8" numFmtId="0" xfId="0" applyAlignment="1" applyFont="1">
      <alignment horizontal="center" vertical="bottom"/>
    </xf>
    <xf borderId="48" fillId="19" fontId="4" numFmtId="165" xfId="0" applyAlignment="1" applyBorder="1" applyFont="1" applyNumberFormat="1">
      <alignment horizontal="center" vertical="bottom"/>
    </xf>
    <xf borderId="59" fillId="19" fontId="8" numFmtId="0" xfId="0" applyAlignment="1" applyBorder="1" applyFont="1">
      <alignment horizontal="center" vertical="bottom"/>
    </xf>
    <xf borderId="64" fillId="19" fontId="8" numFmtId="0" xfId="0" applyAlignment="1" applyBorder="1" applyFont="1">
      <alignment horizontal="center" readingOrder="0" vertical="bottom"/>
    </xf>
    <xf borderId="59" fillId="19" fontId="90" numFmtId="0" xfId="0" applyAlignment="1" applyBorder="1" applyFont="1">
      <alignment readingOrder="0" vertical="bottom"/>
    </xf>
    <xf borderId="0" fillId="31" fontId="90" numFmtId="0" xfId="0" applyAlignment="1" applyFont="1">
      <alignment readingOrder="0" vertical="bottom"/>
    </xf>
    <xf borderId="48" fillId="31" fontId="11" numFmtId="165" xfId="0" applyAlignment="1" applyBorder="1" applyFont="1" applyNumberFormat="1">
      <alignment horizontal="right" vertical="bottom"/>
    </xf>
    <xf borderId="59" fillId="31" fontId="8" numFmtId="0" xfId="0" applyAlignment="1" applyBorder="1" applyFont="1">
      <alignment horizontal="center" readingOrder="0" vertical="bottom"/>
    </xf>
    <xf borderId="13" fillId="31" fontId="1" numFmtId="0" xfId="0" applyAlignment="1" applyBorder="1" applyFont="1">
      <alignment readingOrder="0"/>
    </xf>
    <xf borderId="0" fillId="31" fontId="8" numFmtId="0" xfId="0" applyAlignment="1" applyFont="1">
      <alignment horizontal="right" vertical="bottom"/>
    </xf>
    <xf borderId="48" fillId="31" fontId="22" numFmtId="165" xfId="0" applyAlignment="1" applyBorder="1" applyFont="1" applyNumberFormat="1">
      <alignment vertical="bottom"/>
    </xf>
    <xf borderId="59" fillId="31" fontId="8" numFmtId="0" xfId="0" applyAlignment="1" applyBorder="1" applyFont="1">
      <alignment horizontal="center" vertical="bottom"/>
    </xf>
    <xf borderId="64" fillId="31" fontId="8" numFmtId="0" xfId="0" applyAlignment="1" applyBorder="1" applyFont="1">
      <alignment horizontal="center" readingOrder="0" vertical="bottom"/>
    </xf>
    <xf borderId="59" fillId="31" fontId="90" numFmtId="0" xfId="0" applyAlignment="1" applyBorder="1" applyFont="1">
      <alignment readingOrder="0" vertical="bottom"/>
    </xf>
    <xf borderId="0" fillId="35" fontId="91" numFmtId="0" xfId="0" applyAlignment="1" applyFill="1" applyFont="1">
      <alignment readingOrder="0" vertical="bottom"/>
    </xf>
    <xf borderId="48" fillId="35" fontId="90" numFmtId="165" xfId="0" applyAlignment="1" applyBorder="1" applyFont="1" applyNumberFormat="1">
      <alignment horizontal="right" vertical="bottom"/>
    </xf>
    <xf borderId="59" fillId="35" fontId="8" numFmtId="0" xfId="0" applyAlignment="1" applyBorder="1" applyFont="1">
      <alignment horizontal="center" readingOrder="0" vertical="bottom"/>
    </xf>
    <xf borderId="13" fillId="35" fontId="1" numFmtId="0" xfId="0" applyAlignment="1" applyBorder="1" applyFont="1">
      <alignment readingOrder="0"/>
    </xf>
    <xf borderId="0" fillId="35" fontId="8" numFmtId="0" xfId="0" applyAlignment="1" applyFont="1">
      <alignment horizontal="center" vertical="bottom"/>
    </xf>
    <xf borderId="48" fillId="35" fontId="4" numFmtId="165" xfId="0" applyAlignment="1" applyBorder="1" applyFont="1" applyNumberFormat="1">
      <alignment horizontal="center" vertical="bottom"/>
    </xf>
    <xf borderId="59" fillId="35" fontId="8" numFmtId="0" xfId="0" applyAlignment="1" applyBorder="1" applyFont="1">
      <alignment horizontal="center" vertical="bottom"/>
    </xf>
    <xf borderId="64" fillId="35" fontId="8" numFmtId="0" xfId="0" applyAlignment="1" applyBorder="1" applyFont="1">
      <alignment horizontal="center" readingOrder="0" vertical="bottom"/>
    </xf>
    <xf borderId="59" fillId="35" fontId="90" numFmtId="0" xfId="0" applyAlignment="1" applyBorder="1" applyFont="1">
      <alignment readingOrder="0" vertical="bottom"/>
    </xf>
    <xf borderId="48" fillId="35" fontId="90" numFmtId="165" xfId="0" applyAlignment="1" applyBorder="1" applyFont="1" applyNumberFormat="1">
      <alignment horizontal="right" readingOrder="0" vertical="bottom"/>
    </xf>
    <xf borderId="0" fillId="36" fontId="91" numFmtId="11" xfId="0" applyAlignment="1" applyFill="1" applyFont="1" applyNumberFormat="1">
      <alignment readingOrder="0" vertical="bottom"/>
    </xf>
    <xf borderId="48" fillId="36" fontId="11" numFmtId="165" xfId="0" applyAlignment="1" applyBorder="1" applyFont="1" applyNumberFormat="1">
      <alignment horizontal="right" vertical="bottom"/>
    </xf>
    <xf borderId="59" fillId="36" fontId="8" numFmtId="0" xfId="0" applyAlignment="1" applyBorder="1" applyFont="1">
      <alignment horizontal="center" readingOrder="0" vertical="bottom"/>
    </xf>
    <xf borderId="13" fillId="36" fontId="1" numFmtId="0" xfId="0" applyAlignment="1" applyBorder="1" applyFont="1">
      <alignment readingOrder="0"/>
    </xf>
    <xf borderId="0" fillId="36" fontId="8" numFmtId="0" xfId="0" applyAlignment="1" applyFont="1">
      <alignment horizontal="right" vertical="bottom"/>
    </xf>
    <xf borderId="48" fillId="36" fontId="22" numFmtId="165" xfId="0" applyAlignment="1" applyBorder="1" applyFont="1" applyNumberFormat="1">
      <alignment vertical="bottom"/>
    </xf>
    <xf borderId="59" fillId="36" fontId="8" numFmtId="0" xfId="0" applyAlignment="1" applyBorder="1" applyFont="1">
      <alignment horizontal="center" vertical="bottom"/>
    </xf>
    <xf borderId="64" fillId="36" fontId="8" numFmtId="0" xfId="0" applyAlignment="1" applyBorder="1" applyFont="1">
      <alignment horizontal="center" readingOrder="0" vertical="bottom"/>
    </xf>
    <xf borderId="59" fillId="36" fontId="90" numFmtId="0" xfId="0" applyAlignment="1" applyBorder="1" applyFont="1">
      <alignment readingOrder="0" vertical="bottom"/>
    </xf>
    <xf borderId="59" fillId="37" fontId="8" numFmtId="0" xfId="0" applyAlignment="1" applyBorder="1" applyFill="1" applyFont="1">
      <alignment horizontal="left" readingOrder="0" vertical="bottom"/>
    </xf>
    <xf borderId="48" fillId="37" fontId="8" numFmtId="165" xfId="0" applyAlignment="1" applyBorder="1" applyFont="1" applyNumberFormat="1">
      <alignment horizontal="center" vertical="bottom"/>
    </xf>
    <xf borderId="59" fillId="37" fontId="8" numFmtId="0" xfId="0" applyAlignment="1" applyBorder="1" applyFont="1">
      <alignment horizontal="center" readingOrder="0" vertical="bottom"/>
    </xf>
    <xf borderId="64" fillId="37" fontId="8" numFmtId="0" xfId="0" applyAlignment="1" applyBorder="1" applyFont="1">
      <alignment horizontal="center" readingOrder="0" vertical="bottom"/>
    </xf>
    <xf borderId="59" fillId="37" fontId="8" numFmtId="0" xfId="0" applyAlignment="1" applyBorder="1" applyFont="1">
      <alignment horizontal="right" vertical="bottom"/>
    </xf>
    <xf borderId="59" fillId="37" fontId="8" numFmtId="0" xfId="0" applyAlignment="1" applyBorder="1" applyFont="1">
      <alignment horizontal="center" vertical="bottom"/>
    </xf>
    <xf borderId="0" fillId="6" fontId="4" numFmtId="165" xfId="0" applyAlignment="1" applyFont="1" applyNumberFormat="1">
      <alignment vertical="bottom"/>
    </xf>
    <xf borderId="64" fillId="34" fontId="8" numFmtId="2" xfId="0" applyAlignment="1" applyBorder="1" applyFont="1" applyNumberFormat="1">
      <alignment horizontal="center" vertical="bottom"/>
    </xf>
    <xf borderId="64" fillId="27" fontId="11" numFmtId="2" xfId="0" applyAlignment="1" applyBorder="1" applyFont="1" applyNumberFormat="1">
      <alignment horizontal="right" vertical="bottom"/>
    </xf>
    <xf borderId="64" fillId="27" fontId="22" numFmtId="2" xfId="0" applyAlignment="1" applyBorder="1" applyFont="1" applyNumberFormat="1">
      <alignment vertical="bottom"/>
    </xf>
    <xf borderId="13" fillId="19" fontId="1" numFmtId="0" xfId="0" applyBorder="1" applyFont="1"/>
    <xf borderId="0" fillId="6" fontId="92" numFmtId="0" xfId="0" applyAlignment="1" applyFont="1">
      <alignment readingOrder="0" vertical="bottom"/>
    </xf>
    <xf borderId="64" fillId="19" fontId="8" numFmtId="2" xfId="0" applyAlignment="1" applyBorder="1" applyFont="1" applyNumberFormat="1">
      <alignment horizontal="center" vertical="bottom"/>
    </xf>
    <xf borderId="64" fillId="19" fontId="90" numFmtId="2" xfId="0" applyAlignment="1" applyBorder="1" applyFont="1" applyNumberFormat="1">
      <alignment horizontal="right" vertical="bottom"/>
    </xf>
    <xf borderId="13" fillId="31" fontId="1" numFmtId="0" xfId="0" applyBorder="1" applyFont="1"/>
    <xf borderId="64" fillId="31" fontId="22" numFmtId="2" xfId="0" applyAlignment="1" applyBorder="1" applyFont="1" applyNumberFormat="1">
      <alignment vertical="bottom"/>
    </xf>
    <xf borderId="64" fillId="31" fontId="11" numFmtId="2" xfId="0" applyAlignment="1" applyBorder="1" applyFont="1" applyNumberFormat="1">
      <alignment horizontal="right" vertical="bottom"/>
    </xf>
    <xf borderId="0" fillId="35" fontId="90" numFmtId="0" xfId="0" applyAlignment="1" applyFont="1">
      <alignment readingOrder="0" vertical="bottom"/>
    </xf>
    <xf borderId="13" fillId="35" fontId="1" numFmtId="0" xfId="0" applyBorder="1" applyFont="1"/>
    <xf borderId="64" fillId="35" fontId="8" numFmtId="2" xfId="0" applyAlignment="1" applyBorder="1" applyFont="1" applyNumberFormat="1">
      <alignment horizontal="center" vertical="bottom"/>
    </xf>
    <xf borderId="64" fillId="35" fontId="90" numFmtId="2" xfId="0" applyAlignment="1" applyBorder="1" applyFont="1" applyNumberFormat="1">
      <alignment horizontal="right" vertical="bottom"/>
    </xf>
    <xf borderId="0" fillId="5" fontId="11" numFmtId="164" xfId="0" applyAlignment="1" applyFont="1" applyNumberFormat="1">
      <alignment horizontal="center" vertical="bottom"/>
    </xf>
    <xf borderId="0" fillId="0" fontId="89" numFmtId="164" xfId="0" applyAlignment="1" applyFont="1" applyNumberFormat="1">
      <alignment horizontal="center" vertical="bottom"/>
    </xf>
    <xf borderId="13" fillId="36" fontId="1" numFmtId="0" xfId="0" applyBorder="1" applyFont="1"/>
    <xf borderId="64" fillId="36" fontId="22" numFmtId="2" xfId="0" applyAlignment="1" applyBorder="1" applyFont="1" applyNumberFormat="1">
      <alignment vertical="bottom"/>
    </xf>
    <xf borderId="64" fillId="36" fontId="11" numFmtId="2" xfId="0" applyAlignment="1" applyBorder="1" applyFont="1" applyNumberFormat="1">
      <alignment horizontal="right" vertical="bottom"/>
    </xf>
    <xf borderId="64" fillId="37" fontId="8" numFmtId="2" xfId="0" applyAlignment="1" applyBorder="1" applyFont="1" applyNumberFormat="1">
      <alignment horizontal="center" vertical="bottom"/>
    </xf>
    <xf borderId="29" fillId="14" fontId="5" numFmtId="0" xfId="0" applyAlignment="1" applyBorder="1" applyFont="1">
      <alignment readingOrder="0"/>
    </xf>
    <xf borderId="31" fillId="14" fontId="5" numFmtId="0" xfId="0" applyAlignment="1" applyBorder="1" applyFont="1">
      <alignment readingOrder="0"/>
    </xf>
    <xf borderId="24" fillId="14" fontId="5" numFmtId="0" xfId="0" applyAlignment="1" applyBorder="1" applyFont="1">
      <alignment readingOrder="0"/>
    </xf>
    <xf borderId="25" fillId="14" fontId="5" numFmtId="0" xfId="0" applyAlignment="1" applyBorder="1" applyFont="1">
      <alignment readingOrder="0"/>
    </xf>
    <xf borderId="26" fillId="14" fontId="5" numFmtId="0" xfId="0" applyAlignment="1" applyBorder="1" applyFont="1">
      <alignment readingOrder="0"/>
    </xf>
    <xf borderId="27" fillId="14" fontId="5" numFmtId="0" xfId="0" applyAlignment="1" applyBorder="1" applyFont="1">
      <alignment readingOrder="0"/>
    </xf>
    <xf borderId="0" fillId="14" fontId="93" numFmtId="0" xfId="0" applyAlignment="1" applyFont="1">
      <alignment vertical="bottom"/>
    </xf>
    <xf borderId="0" fillId="38" fontId="8" numFmtId="0" xfId="0" applyAlignment="1" applyFill="1" applyFont="1">
      <alignment horizontal="center"/>
    </xf>
    <xf borderId="0" fillId="0" fontId="68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61" fillId="0" fontId="5" numFmtId="0" xfId="0" applyAlignment="1" applyBorder="1" applyFont="1">
      <alignment readingOrder="0"/>
    </xf>
    <xf borderId="26" fillId="0" fontId="5" numFmtId="164" xfId="0" applyAlignment="1" applyBorder="1" applyFont="1" applyNumberFormat="1">
      <alignment horizontal="center" readingOrder="0"/>
    </xf>
    <xf borderId="28" fillId="0" fontId="5" numFmtId="0" xfId="0" applyAlignment="1" applyBorder="1" applyFont="1">
      <alignment readingOrder="0"/>
    </xf>
    <xf borderId="0" fillId="0" fontId="1" numFmtId="0" xfId="0" applyAlignment="1" applyFont="1">
      <alignment horizontal="right"/>
    </xf>
    <xf borderId="15" fillId="0" fontId="8" numFmtId="165" xfId="0" applyAlignment="1" applyBorder="1" applyFont="1" applyNumberFormat="1">
      <alignment readingOrder="0" vertical="bottom"/>
    </xf>
    <xf borderId="15" fillId="0" fontId="8" numFmtId="0" xfId="0" applyAlignment="1" applyBorder="1" applyFont="1">
      <alignment vertical="bottom"/>
    </xf>
    <xf borderId="0" fillId="0" fontId="94" numFmtId="0" xfId="0" applyAlignment="1" applyFont="1">
      <alignment horizontal="center"/>
    </xf>
    <xf borderId="62" fillId="5" fontId="95" numFmtId="0" xfId="0" applyAlignment="1" applyBorder="1" applyFont="1">
      <alignment horizontal="center"/>
    </xf>
    <xf borderId="67" fillId="10" fontId="5" numFmtId="0" xfId="0" applyAlignment="1" applyBorder="1" applyFont="1">
      <alignment horizontal="center" readingOrder="0"/>
    </xf>
    <xf borderId="68" fillId="10" fontId="5" numFmtId="0" xfId="0" applyAlignment="1" applyBorder="1" applyFont="1">
      <alignment horizontal="center" readingOrder="0"/>
    </xf>
    <xf borderId="21" fillId="34" fontId="5" numFmtId="0" xfId="0" applyAlignment="1" applyBorder="1" applyFont="1">
      <alignment horizontal="right" readingOrder="0"/>
    </xf>
    <xf borderId="23" fillId="34" fontId="5" numFmtId="165" xfId="0" applyAlignment="1" applyBorder="1" applyFont="1" applyNumberFormat="1">
      <alignment horizontal="center"/>
    </xf>
    <xf borderId="65" fillId="5" fontId="95" numFmtId="0" xfId="0" applyAlignment="1" applyBorder="1" applyFont="1">
      <alignment horizontal="center"/>
    </xf>
    <xf borderId="69" fillId="34" fontId="5" numFmtId="0" xfId="0" applyAlignment="1" applyBorder="1" applyFont="1">
      <alignment horizontal="center" readingOrder="0"/>
    </xf>
    <xf borderId="70" fillId="34" fontId="5" numFmtId="0" xfId="0" applyAlignment="1" applyBorder="1" applyFont="1">
      <alignment horizontal="center" readingOrder="0"/>
    </xf>
    <xf borderId="29" fillId="27" fontId="96" numFmtId="0" xfId="0" applyAlignment="1" applyBorder="1" applyFont="1">
      <alignment horizontal="left" readingOrder="0"/>
    </xf>
    <xf borderId="33" fillId="27" fontId="11" numFmtId="165" xfId="0" applyBorder="1" applyFont="1" applyNumberFormat="1"/>
    <xf borderId="69" fillId="27" fontId="5" numFmtId="0" xfId="0" applyAlignment="1" applyBorder="1" applyFont="1">
      <alignment horizontal="center" readingOrder="0"/>
    </xf>
    <xf borderId="70" fillId="27" fontId="5" numFmtId="0" xfId="0" applyAlignment="1" applyBorder="1" applyFont="1">
      <alignment horizontal="center" readingOrder="0"/>
    </xf>
    <xf borderId="24" fillId="27" fontId="5" numFmtId="0" xfId="0" applyAlignment="1" applyBorder="1" applyFont="1">
      <alignment horizontal="right" readingOrder="0"/>
    </xf>
    <xf borderId="19" fillId="27" fontId="22" numFmtId="165" xfId="0" applyAlignment="1" applyBorder="1" applyFont="1" applyNumberFormat="1">
      <alignment horizontal="left"/>
    </xf>
    <xf borderId="69" fillId="19" fontId="5" numFmtId="0" xfId="0" applyAlignment="1" applyBorder="1" applyFont="1">
      <alignment horizontal="center" readingOrder="0"/>
    </xf>
    <xf borderId="70" fillId="19" fontId="5" numFmtId="0" xfId="0" applyAlignment="1" applyBorder="1" applyFont="1">
      <alignment horizontal="center" readingOrder="0"/>
    </xf>
    <xf borderId="26" fillId="27" fontId="96" numFmtId="0" xfId="0" applyAlignment="1" applyBorder="1" applyFont="1">
      <alignment horizontal="left" readingOrder="0"/>
    </xf>
    <xf borderId="71" fillId="27" fontId="11" numFmtId="165" xfId="0" applyBorder="1" applyFont="1" applyNumberFormat="1"/>
    <xf borderId="69" fillId="31" fontId="5" numFmtId="0" xfId="0" applyAlignment="1" applyBorder="1" applyFont="1">
      <alignment horizontal="center" readingOrder="0"/>
    </xf>
    <xf borderId="70" fillId="31" fontId="5" numFmtId="0" xfId="0" applyAlignment="1" applyBorder="1" applyFont="1">
      <alignment horizontal="center" readingOrder="0"/>
    </xf>
    <xf borderId="72" fillId="19" fontId="96" numFmtId="0" xfId="0" applyAlignment="1" applyBorder="1" applyFont="1">
      <alignment horizontal="left" readingOrder="0"/>
    </xf>
    <xf borderId="19" fillId="19" fontId="96" numFmtId="165" xfId="0" applyBorder="1" applyFont="1" applyNumberFormat="1"/>
    <xf borderId="69" fillId="35" fontId="5" numFmtId="0" xfId="0" applyAlignment="1" applyBorder="1" applyFont="1">
      <alignment horizontal="center" readingOrder="0"/>
    </xf>
    <xf borderId="70" fillId="35" fontId="5" numFmtId="0" xfId="0" applyAlignment="1" applyBorder="1" applyFont="1">
      <alignment horizontal="center" readingOrder="0"/>
    </xf>
    <xf borderId="72" fillId="19" fontId="5" numFmtId="0" xfId="0" applyAlignment="1" applyBorder="1" applyFont="1">
      <alignment horizontal="center" readingOrder="0"/>
    </xf>
    <xf borderId="19" fillId="19" fontId="1" numFmtId="165" xfId="0" applyAlignment="1" applyBorder="1" applyFont="1" applyNumberFormat="1">
      <alignment horizontal="center"/>
    </xf>
    <xf borderId="69" fillId="36" fontId="5" numFmtId="0" xfId="0" applyAlignment="1" applyBorder="1" applyFont="1">
      <alignment horizontal="center" readingOrder="0"/>
    </xf>
    <xf borderId="70" fillId="36" fontId="5" numFmtId="0" xfId="0" applyAlignment="1" applyBorder="1" applyFont="1">
      <alignment horizontal="center" readingOrder="0"/>
    </xf>
    <xf borderId="73" fillId="37" fontId="5" numFmtId="0" xfId="0" applyAlignment="1" applyBorder="1" applyFont="1">
      <alignment horizontal="center" readingOrder="0"/>
    </xf>
    <xf borderId="16" fillId="37" fontId="5" numFmtId="0" xfId="0" applyAlignment="1" applyBorder="1" applyFont="1">
      <alignment horizontal="center" readingOrder="0"/>
    </xf>
    <xf borderId="29" fillId="31" fontId="96" numFmtId="0" xfId="0" applyAlignment="1" applyBorder="1" applyFont="1">
      <alignment horizontal="left" readingOrder="0"/>
    </xf>
    <xf borderId="33" fillId="31" fontId="11" numFmtId="165" xfId="0" applyBorder="1" applyFont="1" applyNumberFormat="1"/>
    <xf borderId="24" fillId="31" fontId="5" numFmtId="0" xfId="0" applyAlignment="1" applyBorder="1" applyFont="1">
      <alignment horizontal="right" readingOrder="0"/>
    </xf>
    <xf borderId="19" fillId="31" fontId="22" numFmtId="165" xfId="0" applyAlignment="1" applyBorder="1" applyFont="1" applyNumberFormat="1">
      <alignment horizontal="left"/>
    </xf>
    <xf borderId="26" fillId="31" fontId="96" numFmtId="0" xfId="0" applyAlignment="1" applyBorder="1" applyFont="1">
      <alignment horizontal="left" readingOrder="0"/>
    </xf>
    <xf borderId="71" fillId="31" fontId="11" numFmtId="165" xfId="0" applyBorder="1" applyFont="1" applyNumberFormat="1"/>
    <xf borderId="23" fillId="34" fontId="5" numFmtId="2" xfId="0" applyAlignment="1" applyBorder="1" applyFont="1" applyNumberFormat="1">
      <alignment horizontal="center" readingOrder="0"/>
    </xf>
    <xf borderId="72" fillId="35" fontId="91" numFmtId="0" xfId="0" applyAlignment="1" applyBorder="1" applyFont="1">
      <alignment horizontal="left" readingOrder="0"/>
    </xf>
    <xf borderId="19" fillId="35" fontId="96" numFmtId="165" xfId="0" applyBorder="1" applyFont="1" applyNumberFormat="1"/>
    <xf borderId="33" fillId="27" fontId="11" numFmtId="2" xfId="0" applyBorder="1" applyFont="1" applyNumberFormat="1"/>
    <xf borderId="72" fillId="35" fontId="5" numFmtId="0" xfId="0" applyAlignment="1" applyBorder="1" applyFont="1">
      <alignment horizontal="center" readingOrder="0"/>
    </xf>
    <xf borderId="19" fillId="35" fontId="1" numFmtId="165" xfId="0" applyAlignment="1" applyBorder="1" applyFont="1" applyNumberFormat="1">
      <alignment horizontal="center"/>
    </xf>
    <xf borderId="19" fillId="27" fontId="22" numFmtId="2" xfId="0" applyAlignment="1" applyBorder="1" applyFont="1" applyNumberFormat="1">
      <alignment horizontal="left" readingOrder="0"/>
    </xf>
    <xf borderId="72" fillId="35" fontId="96" numFmtId="0" xfId="0" applyAlignment="1" applyBorder="1" applyFont="1">
      <alignment horizontal="left" readingOrder="0"/>
    </xf>
    <xf borderId="71" fillId="27" fontId="11" numFmtId="2" xfId="0" applyBorder="1" applyFont="1" applyNumberFormat="1"/>
    <xf borderId="29" fillId="36" fontId="91" numFmtId="11" xfId="0" applyAlignment="1" applyBorder="1" applyFont="1" applyNumberFormat="1">
      <alignment horizontal="left" readingOrder="0"/>
    </xf>
    <xf borderId="33" fillId="36" fontId="11" numFmtId="165" xfId="0" applyBorder="1" applyFont="1" applyNumberFormat="1"/>
    <xf borderId="19" fillId="19" fontId="5" numFmtId="2" xfId="0" applyAlignment="1" applyBorder="1" applyFont="1" applyNumberFormat="1">
      <alignment horizontal="center" readingOrder="0"/>
    </xf>
    <xf borderId="24" fillId="36" fontId="5" numFmtId="0" xfId="0" applyAlignment="1" applyBorder="1" applyFont="1">
      <alignment horizontal="right" readingOrder="0"/>
    </xf>
    <xf borderId="19" fillId="36" fontId="22" numFmtId="165" xfId="0" applyAlignment="1" applyBorder="1" applyFont="1" applyNumberFormat="1">
      <alignment horizontal="left"/>
    </xf>
    <xf borderId="19" fillId="19" fontId="96" numFmtId="2" xfId="0" applyBorder="1" applyFont="1" applyNumberFormat="1"/>
    <xf borderId="26" fillId="36" fontId="96" numFmtId="0" xfId="0" applyAlignment="1" applyBorder="1" applyFont="1">
      <alignment horizontal="left" readingOrder="0"/>
    </xf>
    <xf borderId="71" fillId="36" fontId="11" numFmtId="165" xfId="0" applyBorder="1" applyFont="1" applyNumberFormat="1"/>
    <xf borderId="19" fillId="31" fontId="22" numFmtId="2" xfId="0" applyAlignment="1" applyBorder="1" applyFont="1" applyNumberFormat="1">
      <alignment horizontal="left" readingOrder="0"/>
    </xf>
    <xf borderId="21" fillId="37" fontId="5" numFmtId="0" xfId="0" applyAlignment="1" applyBorder="1" applyFont="1">
      <alignment horizontal="right" readingOrder="0"/>
    </xf>
    <xf borderId="23" fillId="37" fontId="5" numFmtId="165" xfId="0" applyAlignment="1" applyBorder="1" applyFont="1" applyNumberFormat="1">
      <alignment horizontal="center"/>
    </xf>
    <xf borderId="71" fillId="31" fontId="11" numFmtId="2" xfId="0" applyBorder="1" applyFont="1" applyNumberFormat="1"/>
    <xf borderId="0" fillId="6" fontId="1" numFmtId="165" xfId="0" applyFont="1" applyNumberFormat="1"/>
    <xf borderId="19" fillId="35" fontId="5" numFmtId="2" xfId="0" applyAlignment="1" applyBorder="1" applyFont="1" applyNumberFormat="1">
      <alignment horizontal="center" readingOrder="0"/>
    </xf>
    <xf borderId="19" fillId="35" fontId="96" numFmtId="2" xfId="0" applyBorder="1" applyFont="1" applyNumberFormat="1"/>
    <xf borderId="19" fillId="36" fontId="22" numFmtId="2" xfId="0" applyAlignment="1" applyBorder="1" applyFont="1" applyNumberFormat="1">
      <alignment horizontal="left" readingOrder="0"/>
    </xf>
    <xf borderId="10" fillId="22" fontId="5" numFmtId="0" xfId="0" applyAlignment="1" applyBorder="1" applyFont="1">
      <alignment horizontal="center" readingOrder="0"/>
    </xf>
    <xf borderId="7" fillId="0" fontId="17" numFmtId="0" xfId="0" applyBorder="1" applyFont="1"/>
    <xf borderId="11" fillId="0" fontId="17" numFmtId="0" xfId="0" applyBorder="1" applyFont="1"/>
    <xf borderId="71" fillId="36" fontId="11" numFmtId="2" xfId="0" applyBorder="1" applyFont="1" applyNumberFormat="1"/>
    <xf borderId="12" fillId="0" fontId="8" numFmtId="165" xfId="0" applyAlignment="1" applyBorder="1" applyFont="1" applyNumberFormat="1">
      <alignment readingOrder="0" vertical="bottom"/>
    </xf>
    <xf borderId="13" fillId="0" fontId="17" numFmtId="0" xfId="0" applyBorder="1" applyFont="1"/>
    <xf borderId="23" fillId="37" fontId="5" numFmtId="2" xfId="0" applyAlignment="1" applyBorder="1" applyFont="1" applyNumberFormat="1">
      <alignment horizontal="center" readingOrder="0"/>
    </xf>
    <xf borderId="12" fillId="0" fontId="8" numFmtId="0" xfId="0" applyAlignment="1" applyBorder="1" applyFont="1">
      <alignment vertical="bottom"/>
    </xf>
    <xf borderId="12" fillId="0" fontId="8" numFmtId="0" xfId="0" applyAlignment="1" applyBorder="1" applyFont="1">
      <alignment readingOrder="0" vertical="bottom"/>
    </xf>
    <xf borderId="37" fillId="0" fontId="17" numFmtId="0" xfId="0" applyBorder="1" applyFont="1"/>
    <xf borderId="17" fillId="0" fontId="17" numFmtId="0" xfId="0" applyBorder="1" applyFont="1"/>
    <xf borderId="26" fillId="14" fontId="13" numFmtId="0" xfId="0" applyAlignment="1" applyBorder="1" applyFont="1">
      <alignment readingOrder="0"/>
    </xf>
    <xf borderId="27" fillId="14" fontId="13" numFmtId="0" xfId="0" applyAlignment="1" applyBorder="1" applyFont="1">
      <alignment readingOrder="0"/>
    </xf>
    <xf borderId="73" fillId="5" fontId="95" numFmtId="0" xfId="0" applyAlignment="1" applyBorder="1" applyFont="1">
      <alignment horizontal="center"/>
    </xf>
    <xf borderId="0" fillId="0" fontId="1" numFmtId="165" xfId="0" applyFont="1" applyNumberFormat="1"/>
    <xf borderId="0" fillId="0" fontId="1" numFmtId="1" xfId="0" applyFont="1" applyNumberFormat="1"/>
    <xf borderId="0" fillId="22" fontId="87" numFmtId="164" xfId="0" applyAlignment="1" applyFont="1" applyNumberFormat="1">
      <alignment horizontal="center"/>
    </xf>
    <xf borderId="0" fillId="5" fontId="87" numFmtId="164" xfId="0" applyAlignment="1" applyFont="1" applyNumberFormat="1">
      <alignment horizontal="center"/>
    </xf>
    <xf borderId="0" fillId="22" fontId="1" numFmtId="164" xfId="0" applyFont="1" applyNumberFormat="1"/>
    <xf borderId="0" fillId="5" fontId="1" numFmtId="164" xfId="0" applyFont="1" applyNumberFormat="1"/>
    <xf borderId="0" fillId="0" fontId="23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readingOrder="0" shrinkToFit="0" wrapText="1"/>
    </xf>
    <xf borderId="0" fillId="0" fontId="24" numFmtId="0" xfId="0" applyAlignment="1" applyFont="1">
      <alignment horizontal="center" shrinkToFit="0" wrapText="1"/>
    </xf>
    <xf borderId="0" fillId="0" fontId="24" numFmtId="0" xfId="0" applyAlignment="1" applyFont="1">
      <alignment horizontal="center" readingOrder="0" shrinkToFit="0" wrapText="1"/>
    </xf>
    <xf borderId="0" fillId="0" fontId="1" numFmtId="164" xfId="0" applyAlignment="1" applyFont="1" applyNumberFormat="1">
      <alignment horizontal="center"/>
    </xf>
    <xf borderId="10" fillId="6" fontId="1" numFmtId="0" xfId="0" applyBorder="1" applyFont="1"/>
    <xf borderId="7" fillId="6" fontId="1" numFmtId="0" xfId="0" applyBorder="1" applyFont="1"/>
    <xf borderId="7" fillId="0" fontId="5" numFmtId="0" xfId="0" applyAlignment="1" applyBorder="1" applyFont="1">
      <alignment horizontal="center" readingOrder="0"/>
    </xf>
    <xf borderId="11" fillId="0" fontId="5" numFmtId="0" xfId="0" applyAlignment="1" applyBorder="1" applyFont="1">
      <alignment horizontal="center" readingOrder="0"/>
    </xf>
    <xf borderId="12" fillId="0" fontId="1" numFmtId="0" xfId="0" applyAlignment="1" applyBorder="1" applyFont="1">
      <alignment readingOrder="0"/>
    </xf>
    <xf borderId="0" fillId="5" fontId="86" numFmtId="0" xfId="0" applyFont="1"/>
    <xf borderId="12" fillId="21" fontId="1" numFmtId="0" xfId="0" applyAlignment="1" applyBorder="1" applyFont="1">
      <alignment horizontal="center"/>
    </xf>
    <xf borderId="0" fillId="21" fontId="1" numFmtId="164" xfId="0" applyAlignment="1" applyFont="1" applyNumberFormat="1">
      <alignment horizontal="center"/>
    </xf>
    <xf borderId="13" fillId="21" fontId="5" numFmtId="0" xfId="0" applyAlignment="1" applyBorder="1" applyFont="1">
      <alignment horizontal="center" readingOrder="0"/>
    </xf>
    <xf borderId="0" fillId="0" fontId="96" numFmtId="0" xfId="0" applyAlignment="1" applyFont="1">
      <alignment readingOrder="0"/>
    </xf>
    <xf borderId="0" fillId="0" fontId="96" numFmtId="164" xfId="0" applyAlignment="1" applyFont="1" applyNumberFormat="1">
      <alignment horizontal="center"/>
    </xf>
    <xf borderId="12" fillId="0" fontId="96" numFmtId="0" xfId="0" applyAlignment="1" applyBorder="1" applyFont="1">
      <alignment readingOrder="0"/>
    </xf>
    <xf borderId="13" fillId="21" fontId="1" numFmtId="0" xfId="0" applyAlignment="1" applyBorder="1" applyFont="1">
      <alignment horizontal="center" readingOrder="0"/>
    </xf>
    <xf borderId="12" fillId="23" fontId="1" numFmtId="0" xfId="0" applyBorder="1" applyFont="1"/>
    <xf borderId="13" fillId="23" fontId="1" numFmtId="0" xfId="0" applyAlignment="1" applyBorder="1" applyFont="1">
      <alignment horizontal="center" readingOrder="0"/>
    </xf>
    <xf borderId="70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5" fontId="86" numFmtId="0" xfId="0" applyBorder="1" applyFont="1"/>
    <xf borderId="1" fillId="0" fontId="1" numFmtId="164" xfId="0" applyAlignment="1" applyBorder="1" applyFont="1" applyNumberFormat="1">
      <alignment horizontal="center"/>
    </xf>
    <xf borderId="16" fillId="23" fontId="1" numFmtId="0" xfId="0" applyBorder="1" applyFont="1"/>
    <xf borderId="37" fillId="23" fontId="1" numFmtId="164" xfId="0" applyBorder="1" applyFont="1" applyNumberFormat="1"/>
    <xf borderId="17" fillId="23" fontId="1" numFmtId="0" xfId="0" applyAlignment="1" applyBorder="1" applyFont="1">
      <alignment horizontal="center" readingOrder="0"/>
    </xf>
    <xf borderId="0" fillId="0" fontId="5" numFmtId="0" xfId="0" applyAlignment="1" applyFont="1">
      <alignment horizontal="center" shrinkToFit="0" vertical="center" wrapText="1"/>
    </xf>
    <xf borderId="49" fillId="0" fontId="1" numFmtId="0" xfId="0" applyAlignment="1" applyBorder="1" applyFont="1">
      <alignment horizontal="center" vertical="center"/>
    </xf>
    <xf borderId="15" fillId="0" fontId="1" numFmtId="164" xfId="0" applyAlignment="1" applyBorder="1" applyFont="1" applyNumberFormat="1">
      <alignment horizontal="center" vertical="center"/>
    </xf>
    <xf borderId="15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/>
    </xf>
    <xf borderId="15" fillId="0" fontId="1" numFmtId="164" xfId="0" applyAlignment="1" applyBorder="1" applyFont="1" applyNumberFormat="1">
      <alignment horizontal="center"/>
    </xf>
    <xf borderId="15" fillId="0" fontId="1" numFmtId="0" xfId="0" applyAlignment="1" applyBorder="1" applyFont="1">
      <alignment readingOrder="0"/>
    </xf>
    <xf borderId="15" fillId="0" fontId="1" numFmtId="0" xfId="0" applyBorder="1" applyFont="1"/>
    <xf borderId="72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74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39" fontId="8" numFmtId="0" xfId="0" applyAlignment="1" applyFill="1" applyFont="1">
      <alignment horizontal="center" readingOrder="0" vertical="bottom"/>
    </xf>
    <xf borderId="0" fillId="39" fontId="8" numFmtId="0" xfId="0" applyAlignment="1" applyFont="1">
      <alignment horizontal="left" readingOrder="0" vertical="bottom"/>
    </xf>
    <xf borderId="0" fillId="27" fontId="1" numFmtId="0" xfId="0" applyAlignment="1" applyFont="1">
      <alignment readingOrder="0"/>
    </xf>
    <xf borderId="0" fillId="27" fontId="1" numFmtId="0" xfId="0" applyAlignment="1" applyFont="1">
      <alignment readingOrder="0"/>
    </xf>
    <xf borderId="0" fillId="21" fontId="1" numFmtId="0" xfId="0" applyAlignment="1" applyFont="1">
      <alignment readingOrder="0"/>
    </xf>
    <xf borderId="0" fillId="21" fontId="1" numFmtId="0" xfId="0" applyAlignment="1" applyFont="1">
      <alignment readingOrder="0"/>
    </xf>
    <xf borderId="0" fillId="27" fontId="4" numFmtId="0" xfId="0" applyAlignment="1" applyFont="1">
      <alignment readingOrder="0" vertical="bottom"/>
    </xf>
    <xf borderId="0" fillId="27" fontId="4" numFmtId="0" xfId="0" applyAlignment="1" applyFont="1">
      <alignment horizontal="right" readingOrder="0" vertical="bottom"/>
    </xf>
    <xf borderId="0" fillId="27" fontId="4" numFmtId="0" xfId="0" applyAlignment="1" applyFont="1">
      <alignment horizontal="right" readingOrder="0" vertical="bottom"/>
    </xf>
    <xf borderId="0" fillId="27" fontId="93" numFmtId="0" xfId="0" applyAlignment="1" applyFont="1">
      <alignment horizontal="right" readingOrder="0" vertical="bottom"/>
    </xf>
    <xf borderId="0" fillId="27" fontId="4" numFmtId="0" xfId="0" applyAlignment="1" applyFont="1">
      <alignment readingOrder="0" vertical="bottom"/>
    </xf>
    <xf borderId="0" fillId="6" fontId="97" numFmtId="164" xfId="0" applyAlignment="1" applyFont="1" applyNumberFormat="1">
      <alignment horizontal="center" readingOrder="0" vertical="center"/>
    </xf>
    <xf borderId="0" fillId="27" fontId="22" numFmtId="164" xfId="0" applyAlignment="1" applyFont="1" applyNumberFormat="1">
      <alignment horizontal="center" vertical="center"/>
    </xf>
    <xf borderId="0" fillId="27" fontId="5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vertical="center"/>
    </xf>
    <xf borderId="0" fillId="10" fontId="4" numFmtId="164" xfId="0" applyAlignment="1" applyFont="1" applyNumberFormat="1">
      <alignment horizontal="center" vertical="center"/>
    </xf>
    <xf borderId="0" fillId="6" fontId="4" numFmtId="164" xfId="0" applyAlignment="1" applyFont="1" applyNumberFormat="1">
      <alignment vertical="center"/>
    </xf>
    <xf borderId="0" fillId="6" fontId="1" numFmtId="164" xfId="0" applyAlignment="1" applyFont="1" applyNumberFormat="1">
      <alignment vertical="center"/>
    </xf>
    <xf borderId="0" fillId="6" fontId="1" numFmtId="164" xfId="0" applyAlignment="1" applyFont="1" applyNumberFormat="1">
      <alignment readingOrder="0" vertical="center"/>
    </xf>
    <xf borderId="0" fillId="10" fontId="1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vertical="center"/>
    </xf>
    <xf borderId="0" fillId="4" fontId="1" numFmtId="164" xfId="0" applyAlignment="1" applyFont="1" applyNumberFormat="1">
      <alignment vertical="center"/>
    </xf>
    <xf borderId="0" fillId="0" fontId="5" numFmtId="164" xfId="0" applyAlignment="1" applyFont="1" applyNumberFormat="1">
      <alignment horizontal="center" readingOrder="0" vertical="center"/>
    </xf>
    <xf borderId="0" fillId="27" fontId="11" numFmtId="164" xfId="0" applyAlignment="1" applyFont="1" applyNumberFormat="1">
      <alignment vertical="center"/>
    </xf>
    <xf borderId="0" fillId="27" fontId="1" numFmtId="164" xfId="0" applyAlignment="1" applyFont="1" applyNumberFormat="1">
      <alignment vertical="center"/>
    </xf>
    <xf borderId="1" fillId="14" fontId="94" numFmtId="0" xfId="0" applyAlignment="1" applyBorder="1" applyFont="1">
      <alignment readingOrder="0" vertical="bottom"/>
    </xf>
    <xf borderId="1" fillId="14" fontId="94" numFmtId="0" xfId="0" applyAlignment="1" applyBorder="1" applyFont="1">
      <alignment horizontal="center" readingOrder="0" vertical="bottom"/>
    </xf>
    <xf borderId="75" fillId="14" fontId="94" numFmtId="0" xfId="0" applyAlignment="1" applyBorder="1" applyFont="1">
      <alignment horizontal="center" readingOrder="0" vertical="bottom"/>
    </xf>
    <xf borderId="9" fillId="14" fontId="5" numFmtId="164" xfId="0" applyAlignment="1" applyBorder="1" applyFont="1" applyNumberFormat="1">
      <alignment readingOrder="0"/>
    </xf>
    <xf borderId="9" fillId="14" fontId="5" numFmtId="164" xfId="0" applyAlignment="1" applyBorder="1" applyFont="1" applyNumberFormat="1">
      <alignment horizontal="center" readingOrder="0"/>
    </xf>
    <xf borderId="1" fillId="14" fontId="5" numFmtId="164" xfId="0" applyAlignment="1" applyBorder="1" applyFont="1" applyNumberFormat="1">
      <alignment horizontal="center" readingOrder="0"/>
    </xf>
    <xf borderId="1" fillId="14" fontId="8" numFmtId="0" xfId="0" applyAlignment="1" applyBorder="1" applyFont="1">
      <alignment readingOrder="0" vertical="bottom"/>
    </xf>
    <xf borderId="72" fillId="0" fontId="1" numFmtId="0" xfId="0" applyAlignment="1" applyBorder="1" applyFont="1">
      <alignment readingOrder="0"/>
    </xf>
    <xf borderId="13" fillId="0" fontId="1" numFmtId="0" xfId="0" applyAlignment="1" applyBorder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5" fontId="86" numFmtId="164" xfId="0" applyAlignment="1" applyFont="1" applyNumberFormat="1">
      <alignment horizontal="center"/>
    </xf>
    <xf borderId="15" fillId="0" fontId="1" numFmtId="0" xfId="0" applyAlignment="1" applyBorder="1" applyFont="1">
      <alignment readingOrder="0"/>
    </xf>
    <xf borderId="18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9" fillId="0" fontId="1" numFmtId="0" xfId="0" applyAlignment="1" applyBorder="1" applyFont="1">
      <alignment readingOrder="0"/>
    </xf>
    <xf borderId="74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20" fillId="0" fontId="1" numFmtId="0" xfId="0" applyAlignment="1" applyBorder="1" applyFont="1">
      <alignment readingOrder="0"/>
    </xf>
    <xf borderId="49" fillId="0" fontId="1" numFmtId="0" xfId="0" applyAlignment="1" applyBorder="1" applyFont="1">
      <alignment readingOrder="0"/>
    </xf>
    <xf borderId="18" fillId="0" fontId="1" numFmtId="0" xfId="0" applyAlignment="1" applyBorder="1" applyFont="1">
      <alignment readingOrder="0"/>
    </xf>
    <xf borderId="20" fillId="0" fontId="1" numFmtId="0" xfId="0" applyAlignment="1" applyBorder="1" applyFont="1">
      <alignment readingOrder="0"/>
    </xf>
    <xf borderId="49" fillId="0" fontId="93" numFmtId="0" xfId="0" applyAlignment="1" applyBorder="1" applyFont="1">
      <alignment readingOrder="0" vertical="bottom"/>
    </xf>
    <xf borderId="15" fillId="0" fontId="93" numFmtId="0" xfId="0" applyAlignment="1" applyBorder="1" applyFont="1">
      <alignment horizontal="right" readingOrder="0" vertical="bottom"/>
    </xf>
    <xf borderId="18" fillId="0" fontId="93" numFmtId="0" xfId="0" applyAlignment="1" applyBorder="1" applyFont="1">
      <alignment horizontal="right" readingOrder="0" vertical="bottom"/>
    </xf>
    <xf borderId="0" fillId="0" fontId="93" numFmtId="0" xfId="0" applyAlignment="1" applyFont="1">
      <alignment horizontal="right" readingOrder="0" vertical="bottom"/>
    </xf>
    <xf borderId="72" fillId="0" fontId="93" numFmtId="0" xfId="0" applyAlignment="1" applyBorder="1" applyFont="1">
      <alignment readingOrder="0" vertical="bottom"/>
    </xf>
    <xf borderId="19" fillId="0" fontId="93" numFmtId="0" xfId="0" applyAlignment="1" applyBorder="1" applyFont="1">
      <alignment horizontal="right" readingOrder="0" vertical="bottom"/>
    </xf>
    <xf borderId="74" fillId="0" fontId="93" numFmtId="0" xfId="0" applyAlignment="1" applyBorder="1" applyFont="1">
      <alignment readingOrder="0" vertical="bottom"/>
    </xf>
    <xf borderId="1" fillId="0" fontId="93" numFmtId="0" xfId="0" applyAlignment="1" applyBorder="1" applyFont="1">
      <alignment horizontal="right" readingOrder="0" vertical="bottom"/>
    </xf>
    <xf borderId="20" fillId="0" fontId="93" numFmtId="0" xfId="0" applyAlignment="1" applyBorder="1" applyFont="1">
      <alignment horizontal="right" readingOrder="0" vertical="bottom"/>
    </xf>
    <xf borderId="15" fillId="0" fontId="98" numFmtId="0" xfId="0" applyAlignment="1" applyBorder="1" applyFont="1">
      <alignment horizontal="right" readingOrder="0" shrinkToFit="0" vertical="bottom" wrapText="0"/>
    </xf>
    <xf borderId="18" fillId="0" fontId="98" numFmtId="0" xfId="0" applyAlignment="1" applyBorder="1" applyFont="1">
      <alignment horizontal="right" readingOrder="0" shrinkToFit="0" vertical="bottom" wrapText="0"/>
    </xf>
    <xf borderId="0" fillId="0" fontId="98" numFmtId="0" xfId="0" applyAlignment="1" applyFont="1">
      <alignment horizontal="right" readingOrder="0" shrinkToFit="0" vertical="bottom" wrapText="0"/>
    </xf>
    <xf borderId="19" fillId="0" fontId="98" numFmtId="0" xfId="0" applyAlignment="1" applyBorder="1" applyFont="1">
      <alignment horizontal="right" readingOrder="0" shrinkToFit="0" vertical="bottom" wrapText="0"/>
    </xf>
    <xf borderId="1" fillId="0" fontId="98" numFmtId="0" xfId="0" applyAlignment="1" applyBorder="1" applyFont="1">
      <alignment horizontal="right" readingOrder="0" shrinkToFit="0" vertical="bottom" wrapText="0"/>
    </xf>
    <xf borderId="20" fillId="0" fontId="98" numFmtId="0" xfId="0" applyAlignment="1" applyBorder="1" applyFont="1">
      <alignment horizontal="right" readingOrder="0" shrinkToFit="0" vertical="bottom" wrapText="0"/>
    </xf>
    <xf borderId="34" fillId="0" fontId="1" numFmtId="0" xfId="0" applyAlignment="1" applyBorder="1" applyFont="1">
      <alignment readingOrder="0"/>
    </xf>
    <xf borderId="36" fillId="0" fontId="1" numFmtId="0" xfId="0" applyAlignment="1" applyBorder="1" applyFont="1">
      <alignment readingOrder="0"/>
    </xf>
    <xf borderId="35" fillId="0" fontId="1" numFmtId="0" xfId="0" applyAlignment="1" applyBorder="1" applyFont="1">
      <alignment readingOrder="0"/>
    </xf>
    <xf borderId="17" fillId="0" fontId="1" numFmtId="0" xfId="0" applyAlignment="1" applyBorder="1" applyFont="1">
      <alignment horizontal="center" readingOrder="0"/>
    </xf>
    <xf borderId="37" fillId="0" fontId="1" numFmtId="164" xfId="0" applyAlignment="1" applyBorder="1" applyFont="1" applyNumberFormat="1">
      <alignment horizontal="center" readingOrder="0"/>
    </xf>
    <xf borderId="37" fillId="5" fontId="86" numFmtId="164" xfId="0" applyBorder="1" applyFont="1" applyNumberFormat="1"/>
    <xf borderId="37" fillId="5" fontId="86" numFmtId="164" xfId="0" applyAlignment="1" applyBorder="1" applyFont="1" applyNumberFormat="1">
      <alignment horizontal="center"/>
    </xf>
    <xf borderId="37" fillId="0" fontId="1" numFmtId="0" xfId="0" applyAlignment="1" applyBorder="1" applyFont="1">
      <alignment readingOrder="0"/>
    </xf>
    <xf borderId="75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5" fontId="86" numFmtId="164" xfId="0" applyBorder="1" applyFont="1" applyNumberFormat="1"/>
    <xf borderId="1" fillId="5" fontId="86" numFmtId="164" xfId="0" applyAlignment="1" applyBorder="1" applyFont="1" applyNumberFormat="1">
      <alignment horizontal="center"/>
    </xf>
    <xf borderId="9" fillId="0" fontId="1" numFmtId="0" xfId="0" applyAlignment="1" applyBorder="1" applyFont="1">
      <alignment horizontal="center" readingOrder="0"/>
    </xf>
    <xf borderId="66" fillId="0" fontId="1" numFmtId="0" xfId="0" applyAlignment="1" applyBorder="1" applyFont="1">
      <alignment horizontal="center" readingOrder="0"/>
    </xf>
    <xf borderId="9" fillId="0" fontId="1" numFmtId="164" xfId="0" applyAlignment="1" applyBorder="1" applyFont="1" applyNumberFormat="1">
      <alignment horizontal="center" readingOrder="0"/>
    </xf>
    <xf borderId="9" fillId="5" fontId="86" numFmtId="164" xfId="0" applyBorder="1" applyFont="1" applyNumberFormat="1"/>
    <xf borderId="9" fillId="5" fontId="86" numFmtId="164" xfId="0" applyAlignment="1" applyBorder="1" applyFont="1" applyNumberFormat="1">
      <alignment horizontal="center"/>
    </xf>
    <xf borderId="15" fillId="0" fontId="4" numFmtId="0" xfId="0" applyAlignment="1" applyBorder="1" applyFont="1">
      <alignment horizontal="right" vertical="bottom"/>
    </xf>
    <xf borderId="18" fillId="23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19" fillId="23" fontId="4" numFmtId="0" xfId="0" applyAlignment="1" applyBorder="1" applyFont="1">
      <alignment horizontal="right" vertical="bottom"/>
    </xf>
    <xf borderId="19" fillId="18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right" vertical="bottom"/>
    </xf>
    <xf borderId="20" fillId="18" fontId="4" numFmtId="0" xfId="0" applyAlignment="1" applyBorder="1" applyFont="1">
      <alignment horizontal="right" vertical="bottom"/>
    </xf>
    <xf borderId="0" fillId="18" fontId="4" numFmtId="0" xfId="0" applyAlignment="1" applyFont="1">
      <alignment horizontal="right" vertical="bottom"/>
    </xf>
    <xf borderId="0" fillId="23" fontId="4" numFmtId="0" xfId="0" applyAlignment="1" applyFont="1">
      <alignment horizontal="right" vertical="bottom"/>
    </xf>
    <xf borderId="1" fillId="23" fontId="4" numFmtId="0" xfId="0" applyAlignment="1" applyBorder="1" applyFont="1">
      <alignment horizontal="right" vertical="bottom"/>
    </xf>
    <xf borderId="13" fillId="0" fontId="1" numFmtId="0" xfId="0" applyAlignment="1" applyBorder="1" applyFont="1">
      <alignment horizontal="center"/>
    </xf>
    <xf borderId="0" fillId="0" fontId="23" numFmtId="0" xfId="0" applyAlignment="1" applyFont="1">
      <alignment horizontal="center" readingOrder="0"/>
    </xf>
    <xf borderId="0" fillId="0" fontId="23" numFmtId="0" xfId="0" applyAlignment="1" applyFont="1">
      <alignment horizontal="center"/>
    </xf>
    <xf borderId="0" fillId="0" fontId="23" numFmtId="49" xfId="0" applyAlignment="1" applyFont="1" applyNumberFormat="1">
      <alignment horizontal="center"/>
    </xf>
    <xf borderId="0" fillId="0" fontId="23" numFmtId="49" xfId="0" applyAlignment="1" applyFont="1" applyNumberFormat="1">
      <alignment horizontal="center" readingOrder="0"/>
    </xf>
    <xf borderId="0" fillId="34" fontId="11" numFmtId="49" xfId="0" applyAlignment="1" applyFont="1" applyNumberFormat="1">
      <alignment horizontal="center"/>
    </xf>
    <xf borderId="0" fillId="0" fontId="1" numFmtId="49" xfId="0" applyAlignment="1" applyFont="1" applyNumberFormat="1">
      <alignment horizontal="center"/>
    </xf>
    <xf borderId="0" fillId="27" fontId="90" numFmtId="0" xfId="0" applyAlignment="1" applyFont="1">
      <alignment horizontal="center" readingOrder="0" vertical="bottom"/>
    </xf>
    <xf borderId="0" fillId="27" fontId="11" numFmtId="49" xfId="0" applyAlignment="1" applyFont="1" applyNumberFormat="1">
      <alignment horizontal="center"/>
    </xf>
    <xf borderId="0" fillId="27" fontId="8" numFmtId="0" xfId="0" applyAlignment="1" applyFont="1">
      <alignment horizontal="center" readingOrder="0" vertical="bottom"/>
    </xf>
    <xf borderId="48" fillId="27" fontId="90" numFmtId="0" xfId="0" applyAlignment="1" applyBorder="1" applyFont="1">
      <alignment horizontal="center" readingOrder="0" vertical="bottom"/>
    </xf>
    <xf borderId="0" fillId="19" fontId="90" numFmtId="0" xfId="0" applyAlignment="1" applyFont="1">
      <alignment horizontal="center" readingOrder="0" vertical="bottom"/>
    </xf>
    <xf borderId="0" fillId="19" fontId="11" numFmtId="49" xfId="0" applyAlignment="1" applyFont="1" applyNumberFormat="1">
      <alignment horizontal="center"/>
    </xf>
    <xf borderId="0" fillId="19" fontId="8" numFmtId="0" xfId="0" applyAlignment="1" applyFont="1">
      <alignment horizontal="center" readingOrder="0" vertical="bottom"/>
    </xf>
    <xf borderId="48" fillId="19" fontId="90" numFmtId="0" xfId="0" applyAlignment="1" applyBorder="1" applyFont="1">
      <alignment horizontal="center" readingOrder="0" vertical="bottom"/>
    </xf>
    <xf borderId="0" fillId="31" fontId="90" numFmtId="0" xfId="0" applyAlignment="1" applyFont="1">
      <alignment horizontal="center" readingOrder="0" vertical="bottom"/>
    </xf>
    <xf borderId="0" fillId="31" fontId="11" numFmtId="49" xfId="0" applyAlignment="1" applyFont="1" applyNumberFormat="1">
      <alignment horizontal="center"/>
    </xf>
    <xf borderId="0" fillId="31" fontId="8" numFmtId="0" xfId="0" applyAlignment="1" applyFont="1">
      <alignment horizontal="center" readingOrder="0" vertical="bottom"/>
    </xf>
    <xf borderId="48" fillId="31" fontId="90" numFmtId="0" xfId="0" applyAlignment="1" applyBorder="1" applyFont="1">
      <alignment horizontal="center" readingOrder="0" vertical="bottom"/>
    </xf>
    <xf borderId="0" fillId="35" fontId="91" numFmtId="0" xfId="0" applyAlignment="1" applyFont="1">
      <alignment horizontal="center" readingOrder="0" vertical="bottom"/>
    </xf>
    <xf borderId="0" fillId="35" fontId="11" numFmtId="49" xfId="0" applyAlignment="1" applyFont="1" applyNumberFormat="1">
      <alignment horizontal="center"/>
    </xf>
    <xf borderId="0" fillId="35" fontId="8" numFmtId="0" xfId="0" applyAlignment="1" applyFont="1">
      <alignment horizontal="center" readingOrder="0" vertical="bottom"/>
    </xf>
    <xf borderId="48" fillId="35" fontId="90" numFmtId="0" xfId="0" applyAlignment="1" applyBorder="1" applyFont="1">
      <alignment horizontal="center" readingOrder="0" vertical="bottom"/>
    </xf>
    <xf borderId="0" fillId="36" fontId="91" numFmtId="11" xfId="0" applyAlignment="1" applyFont="1" applyNumberFormat="1">
      <alignment horizontal="center" readingOrder="0" vertical="bottom"/>
    </xf>
    <xf borderId="0" fillId="36" fontId="11" numFmtId="49" xfId="0" applyAlignment="1" applyFont="1" applyNumberFormat="1">
      <alignment horizontal="center"/>
    </xf>
    <xf borderId="0" fillId="36" fontId="8" numFmtId="0" xfId="0" applyAlignment="1" applyFont="1">
      <alignment horizontal="center" readingOrder="0" vertical="bottom"/>
    </xf>
    <xf borderId="48" fillId="36" fontId="90" numFmtId="0" xfId="0" applyAlignment="1" applyBorder="1" applyFont="1">
      <alignment horizontal="center" readingOrder="0" vertical="bottom"/>
    </xf>
    <xf borderId="48" fillId="37" fontId="8" numFmtId="0" xfId="0" applyAlignment="1" applyBorder="1" applyFont="1">
      <alignment horizontal="center" readingOrder="0" vertical="bottom"/>
    </xf>
    <xf borderId="0" fillId="37" fontId="11" numFmtId="49" xfId="0" applyAlignment="1" applyFont="1" applyNumberFormat="1">
      <alignment horizontal="center"/>
    </xf>
    <xf borderId="0" fillId="27" fontId="1" numFmtId="164" xfId="0" applyAlignment="1" applyFont="1" applyNumberFormat="1">
      <alignment horizontal="center" readingOrder="0"/>
    </xf>
    <xf borderId="0" fillId="21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21" fillId="0" fontId="5" numFmtId="0" xfId="0" applyAlignment="1" applyBorder="1" applyFont="1">
      <alignment horizontal="center" readingOrder="0"/>
    </xf>
    <xf borderId="22" fillId="0" fontId="5" numFmtId="0" xfId="0" applyAlignment="1" applyBorder="1" applyFont="1">
      <alignment horizontal="left" readingOrder="0" shrinkToFit="0" vertical="center" wrapText="0"/>
    </xf>
    <xf borderId="23" fillId="0" fontId="5" numFmtId="0" xfId="0" applyAlignment="1" applyBorder="1" applyFont="1">
      <alignment horizontal="left" readingOrder="0"/>
    </xf>
    <xf borderId="23" fillId="10" fontId="5" numFmtId="0" xfId="0" applyAlignment="1" applyBorder="1" applyFont="1">
      <alignment horizontal="center" readingOrder="0"/>
    </xf>
    <xf borderId="22" fillId="10" fontId="5" numFmtId="0" xfId="0" applyAlignment="1" applyBorder="1" applyFont="1">
      <alignment horizontal="center" readingOrder="0"/>
    </xf>
    <xf borderId="25" fillId="40" fontId="5" numFmtId="10" xfId="0" applyAlignment="1" applyBorder="1" applyFill="1" applyFont="1" applyNumberFormat="1">
      <alignment horizontal="center"/>
    </xf>
    <xf borderId="0" fillId="40" fontId="5" numFmtId="10" xfId="0" applyAlignment="1" applyFont="1" applyNumberFormat="1">
      <alignment horizontal="center"/>
    </xf>
    <xf borderId="0" fillId="40" fontId="1" numFmtId="10" xfId="0" applyAlignment="1" applyFont="1" applyNumberFormat="1">
      <alignment horizontal="center"/>
    </xf>
    <xf borderId="25" fillId="0" fontId="5" numFmtId="10" xfId="0" applyAlignment="1" applyBorder="1" applyFont="1" applyNumberFormat="1">
      <alignment horizontal="center"/>
    </xf>
    <xf borderId="0" fillId="0" fontId="5" numFmtId="10" xfId="0" applyAlignment="1" applyFont="1" applyNumberFormat="1">
      <alignment horizontal="center"/>
    </xf>
    <xf borderId="0" fillId="14" fontId="94" numFmtId="0" xfId="0" applyAlignment="1" applyFont="1">
      <alignment readingOrder="0" vertical="bottom"/>
    </xf>
    <xf borderId="0" fillId="14" fontId="8" numFmtId="0" xfId="0" applyAlignment="1" applyFont="1">
      <alignment readingOrder="0" vertical="bottom"/>
    </xf>
    <xf borderId="0" fillId="6" fontId="99" numFmtId="0" xfId="0" applyAlignment="1" applyFont="1">
      <alignment horizontal="center" readingOrder="0" vertical="center"/>
    </xf>
    <xf borderId="0" fillId="32" fontId="1" numFmtId="0" xfId="0" applyAlignment="1" applyFont="1">
      <alignment horizontal="center" vertical="center"/>
    </xf>
    <xf borderId="0" fillId="32" fontId="100" numFmtId="0" xfId="0" applyAlignment="1" applyFont="1">
      <alignment horizontal="center" readingOrder="0" vertical="center"/>
    </xf>
    <xf borderId="0" fillId="32" fontId="100" numFmtId="0" xfId="0" applyAlignment="1" applyFont="1">
      <alignment horizontal="center" vertical="center"/>
    </xf>
    <xf borderId="0" fillId="32" fontId="101" numFmtId="0" xfId="0" applyAlignment="1" applyFont="1">
      <alignment horizontal="center" readingOrder="0" vertical="center"/>
    </xf>
    <xf borderId="49" fillId="32" fontId="1" numFmtId="0" xfId="0" applyAlignment="1" applyBorder="1" applyFont="1">
      <alignment horizontal="center" vertical="center"/>
    </xf>
    <xf borderId="15" fillId="32" fontId="102" numFmtId="0" xfId="0" applyAlignment="1" applyBorder="1" applyFont="1">
      <alignment horizontal="center" readingOrder="0" vertical="center"/>
    </xf>
    <xf borderId="15" fillId="32" fontId="102" numFmtId="0" xfId="0" applyAlignment="1" applyBorder="1" applyFont="1">
      <alignment horizontal="center" vertical="center"/>
    </xf>
    <xf borderId="15" fillId="0" fontId="17" numFmtId="0" xfId="0" applyBorder="1" applyFont="1"/>
    <xf borderId="74" fillId="0" fontId="17" numFmtId="0" xfId="0" applyBorder="1" applyFont="1"/>
    <xf borderId="1" fillId="0" fontId="17" numFmtId="0" xfId="0" applyBorder="1" applyFont="1"/>
    <xf borderId="0" fillId="0" fontId="101" numFmtId="0" xfId="0" applyAlignment="1" applyFont="1">
      <alignment horizontal="center" vertical="center"/>
    </xf>
    <xf borderId="0" fillId="0" fontId="101" numFmtId="0" xfId="0" applyAlignment="1" applyFont="1">
      <alignment horizontal="center" readingOrder="0" vertical="center"/>
    </xf>
    <xf borderId="0" fillId="0" fontId="101" numFmtId="0" xfId="0" applyAlignment="1" applyFont="1">
      <alignment horizontal="center" vertical="center"/>
    </xf>
    <xf borderId="34" fillId="41" fontId="103" numFmtId="0" xfId="0" applyAlignment="1" applyBorder="1" applyFill="1" applyFont="1">
      <alignment horizontal="center" readingOrder="0" vertical="center"/>
    </xf>
    <xf borderId="1" fillId="0" fontId="101" numFmtId="0" xfId="0" applyAlignment="1" applyBorder="1" applyFont="1">
      <alignment horizontal="center" vertical="center"/>
    </xf>
    <xf borderId="72" fillId="0" fontId="101" numFmtId="0" xfId="0" applyAlignment="1" applyBorder="1" applyFont="1">
      <alignment horizontal="center" vertical="center"/>
    </xf>
    <xf borderId="36" fillId="0" fontId="104" numFmtId="0" xfId="0" applyAlignment="1" applyBorder="1" applyFont="1">
      <alignment horizontal="center" readingOrder="0" vertical="center"/>
    </xf>
    <xf borderId="36" fillId="0" fontId="17" numFmtId="0" xfId="0" applyBorder="1" applyFont="1"/>
    <xf borderId="74" fillId="0" fontId="101" numFmtId="0" xfId="0" applyAlignment="1" applyBorder="1" applyFont="1">
      <alignment horizontal="center" vertical="center"/>
    </xf>
    <xf borderId="36" fillId="41" fontId="101" numFmtId="0" xfId="0" applyAlignment="1" applyBorder="1" applyFont="1">
      <alignment horizontal="center" readingOrder="0" vertical="center"/>
    </xf>
    <xf borderId="36" fillId="0" fontId="105" numFmtId="0" xfId="0" applyAlignment="1" applyBorder="1" applyFont="1">
      <alignment horizontal="center" readingOrder="0" vertical="center"/>
    </xf>
    <xf borderId="34" fillId="18" fontId="101" numFmtId="0" xfId="0" applyAlignment="1" applyBorder="1" applyFont="1">
      <alignment horizontal="center" readingOrder="0" vertical="center"/>
    </xf>
    <xf borderId="36" fillId="18" fontId="106" numFmtId="0" xfId="0" applyAlignment="1" applyBorder="1" applyFont="1">
      <alignment horizontal="center" readingOrder="0" vertical="center"/>
    </xf>
    <xf borderId="49" fillId="0" fontId="104" numFmtId="0" xfId="0" applyAlignment="1" applyBorder="1" applyFont="1">
      <alignment horizontal="center" readingOrder="0" vertical="center"/>
    </xf>
    <xf borderId="34" fillId="31" fontId="107" numFmtId="0" xfId="0" applyAlignment="1" applyBorder="1" applyFont="1">
      <alignment horizontal="center" readingOrder="0" vertical="center"/>
    </xf>
    <xf borderId="36" fillId="41" fontId="103" numFmtId="0" xfId="0" applyAlignment="1" applyBorder="1" applyFont="1">
      <alignment horizontal="center" readingOrder="0" vertical="center"/>
    </xf>
    <xf borderId="36" fillId="18" fontId="101" numFmtId="0" xfId="0" applyAlignment="1" applyBorder="1" applyFont="1">
      <alignment horizontal="center" readingOrder="0" vertical="center"/>
    </xf>
    <xf borderId="0" fillId="0" fontId="101" numFmtId="0" xfId="0" applyAlignment="1" applyFont="1">
      <alignment vertical="bottom"/>
    </xf>
    <xf borderId="0" fillId="0" fontId="101" numFmtId="0" xfId="0" applyFont="1"/>
    <xf borderId="0" fillId="6" fontId="108" numFmtId="0" xfId="0" applyAlignment="1" applyFont="1">
      <alignment horizontal="center" readingOrder="0" shrinkToFit="0" textRotation="255" vertical="center" wrapText="0"/>
    </xf>
    <xf borderId="0" fillId="19" fontId="23" numFmtId="0" xfId="0" applyAlignment="1" applyFont="1">
      <alignment horizontal="center" readingOrder="0"/>
    </xf>
    <xf borderId="0" fillId="19" fontId="109" numFmtId="49" xfId="0" applyAlignment="1" applyFont="1" applyNumberFormat="1">
      <alignment horizontal="center" readingOrder="0"/>
    </xf>
    <xf borderId="37" fillId="6" fontId="23" numFmtId="0" xfId="0" applyAlignment="1" applyBorder="1" applyFont="1">
      <alignment horizontal="center" readingOrder="0"/>
    </xf>
    <xf borderId="0" fillId="32" fontId="94" numFmtId="0" xfId="0" applyAlignment="1" applyFont="1">
      <alignment horizontal="center" readingOrder="0"/>
    </xf>
    <xf borderId="0" fillId="6" fontId="110" numFmtId="0" xfId="0" applyAlignment="1" applyFont="1">
      <alignment horizontal="left" readingOrder="0" shrinkToFit="0" vertical="center" wrapText="1"/>
    </xf>
    <xf borderId="0" fillId="6" fontId="108" numFmtId="0" xfId="0" applyAlignment="1" applyFont="1">
      <alignment horizontal="center" readingOrder="0" shrinkToFit="0" textRotation="255" vertical="top" wrapText="0"/>
    </xf>
    <xf borderId="0" fillId="13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6" fontId="111" numFmtId="0" xfId="0" applyAlignment="1" applyFont="1">
      <alignment horizontal="center" readingOrder="0" shrinkToFit="0" textRotation="255" vertical="top" wrapText="0"/>
    </xf>
    <xf borderId="0" fillId="6" fontId="112" numFmtId="0" xfId="0" applyAlignment="1" applyFont="1">
      <alignment horizontal="left" readingOrder="0" shrinkToFit="0" vertical="center" wrapText="1"/>
    </xf>
    <xf borderId="0" fillId="0" fontId="1" numFmtId="166" xfId="0" applyAlignment="1" applyFont="1" applyNumberFormat="1">
      <alignment horizontal="center" readingOrder="0"/>
    </xf>
    <xf borderId="0" fillId="6" fontId="113" numFmtId="0" xfId="0" applyAlignment="1" applyFont="1">
      <alignment readingOrder="0"/>
    </xf>
    <xf borderId="0" fillId="0" fontId="45" numFmtId="49" xfId="0" applyAlignment="1" applyFont="1" applyNumberFormat="1">
      <alignment horizontal="center" readingOrder="0"/>
    </xf>
    <xf borderId="0" fillId="6" fontId="1" numFmtId="0" xfId="0" applyAlignment="1" applyFont="1">
      <alignment readingOrder="0"/>
    </xf>
    <xf borderId="0" fillId="0" fontId="1" numFmtId="49" xfId="0" applyAlignment="1" applyFont="1" applyNumberFormat="1">
      <alignment horizontal="center" readingOrder="0"/>
    </xf>
    <xf borderId="0" fillId="20" fontId="94" numFmtId="0" xfId="0" applyAlignment="1" applyFont="1">
      <alignment horizontal="center" readingOrder="0"/>
    </xf>
    <xf borderId="0" fillId="6" fontId="114" numFmtId="0" xfId="0" applyAlignment="1" applyFont="1">
      <alignment readingOrder="0"/>
    </xf>
    <xf borderId="0" fillId="5" fontId="0" numFmtId="0" xfId="0" applyAlignment="1" applyFont="1">
      <alignment horizontal="center" readingOrder="0"/>
    </xf>
    <xf borderId="0" fillId="13" fontId="0" numFmtId="0" xfId="0" applyAlignment="1" applyFont="1">
      <alignment horizontal="center" readingOrder="0"/>
    </xf>
    <xf borderId="0" fillId="5" fontId="0" numFmtId="166" xfId="0" applyAlignment="1" applyFont="1" applyNumberFormat="1">
      <alignment horizontal="center" readingOrder="0"/>
    </xf>
    <xf borderId="0" fillId="5" fontId="0" numFmtId="49" xfId="0" applyAlignment="1" applyFont="1" applyNumberFormat="1">
      <alignment horizontal="center" readingOrder="0"/>
    </xf>
    <xf borderId="0" fillId="13" fontId="0" numFmtId="49" xfId="0" applyAlignment="1" applyFont="1" applyNumberFormat="1">
      <alignment horizontal="center" readingOrder="0"/>
    </xf>
    <xf borderId="0" fillId="5" fontId="115" numFmtId="0" xfId="0" applyAlignment="1" applyFont="1">
      <alignment horizontal="center" readingOrder="0" vertical="bottom"/>
    </xf>
    <xf borderId="0" fillId="13" fontId="115" numFmtId="49" xfId="0" applyAlignment="1" applyFont="1" applyNumberFormat="1">
      <alignment horizontal="center" readingOrder="0" vertical="bottom"/>
    </xf>
    <xf borderId="0" fillId="5" fontId="115" numFmtId="166" xfId="0" applyAlignment="1" applyFont="1" applyNumberFormat="1">
      <alignment horizontal="center" readingOrder="0" vertical="bottom"/>
    </xf>
    <xf borderId="0" fillId="42" fontId="94" numFmtId="0" xfId="0" applyAlignment="1" applyFill="1" applyFont="1">
      <alignment horizontal="center" readingOrder="0"/>
    </xf>
    <xf borderId="0" fillId="5" fontId="4" numFmtId="0" xfId="0" applyAlignment="1" applyFont="1">
      <alignment horizontal="center" readingOrder="0" vertical="bottom"/>
    </xf>
    <xf borderId="0" fillId="5" fontId="1" numFmtId="49" xfId="0" applyAlignment="1" applyFont="1" applyNumberFormat="1">
      <alignment horizontal="center" readingOrder="0"/>
    </xf>
    <xf borderId="0" fillId="5" fontId="1" numFmtId="0" xfId="0" applyAlignment="1" applyFont="1">
      <alignment horizontal="center" readingOrder="0"/>
    </xf>
    <xf borderId="0" fillId="5" fontId="1" numFmtId="166" xfId="0" applyAlignment="1" applyFont="1" applyNumberFormat="1">
      <alignment horizontal="center" readingOrder="0"/>
    </xf>
    <xf borderId="0" fillId="43" fontId="116" numFmtId="0" xfId="0" applyAlignment="1" applyFill="1" applyFont="1">
      <alignment readingOrder="0"/>
    </xf>
    <xf borderId="1" fillId="6" fontId="1" numFmtId="0" xfId="0" applyAlignment="1" applyBorder="1" applyFont="1">
      <alignment horizontal="center" readingOrder="0"/>
    </xf>
    <xf borderId="65" fillId="6" fontId="1" numFmtId="49" xfId="0" applyAlignment="1" applyBorder="1" applyFont="1" applyNumberFormat="1">
      <alignment horizontal="center" readingOrder="0"/>
    </xf>
    <xf borderId="19" fillId="6" fontId="1" numFmtId="0" xfId="0" applyAlignment="1" applyBorder="1" applyFont="1">
      <alignment horizontal="center" readingOrder="0"/>
    </xf>
    <xf borderId="66" fillId="6" fontId="1" numFmtId="0" xfId="0" applyAlignment="1" applyBorder="1" applyFont="1">
      <alignment horizontal="center" readingOrder="0"/>
    </xf>
    <xf borderId="76" fillId="6" fontId="1" numFmtId="49" xfId="0" applyAlignment="1" applyBorder="1" applyFont="1" applyNumberFormat="1">
      <alignment horizontal="center" readingOrder="0"/>
    </xf>
    <xf borderId="59" fillId="6" fontId="1" numFmtId="0" xfId="0" applyAlignment="1" applyBorder="1" applyFont="1">
      <alignment horizontal="center" readingOrder="0"/>
    </xf>
    <xf borderId="15" fillId="6" fontId="1" numFmtId="0" xfId="0" applyAlignment="1" applyBorder="1" applyFont="1">
      <alignment horizontal="center" readingOrder="0"/>
    </xf>
    <xf borderId="13" fillId="6" fontId="1" numFmtId="0" xfId="0" applyAlignment="1" applyBorder="1" applyFont="1">
      <alignment horizontal="center" readingOrder="0"/>
    </xf>
    <xf borderId="0" fillId="6" fontId="62" numFmtId="0" xfId="0" applyAlignment="1" applyFont="1">
      <alignment horizontal="center" readingOrder="0"/>
    </xf>
    <xf borderId="0" fillId="6" fontId="117" numFmtId="0" xfId="0" applyAlignment="1" applyFont="1">
      <alignment horizontal="center" readingOrder="0"/>
    </xf>
    <xf borderId="75" fillId="6" fontId="1" numFmtId="0" xfId="0" applyAlignment="1" applyBorder="1" applyFont="1">
      <alignment horizontal="center" readingOrder="0"/>
    </xf>
    <xf borderId="69" fillId="6" fontId="1" numFmtId="49" xfId="0" applyAlignment="1" applyBorder="1" applyFont="1" applyNumberFormat="1">
      <alignment horizontal="center" readingOrder="0"/>
    </xf>
    <xf borderId="9" fillId="6" fontId="1" numFmtId="0" xfId="0" applyAlignment="1" applyBorder="1" applyFont="1">
      <alignment horizontal="center" readingOrder="0"/>
    </xf>
    <xf borderId="0" fillId="6" fontId="1" numFmtId="166" xfId="0" applyAlignment="1" applyFont="1" applyNumberFormat="1">
      <alignment horizontal="center" readingOrder="0"/>
    </xf>
    <xf borderId="15" fillId="6" fontId="96" numFmtId="0" xfId="0" applyAlignment="1" applyBorder="1" applyFont="1">
      <alignment horizontal="center" readingOrder="0"/>
    </xf>
    <xf borderId="0" fillId="43" fontId="1" numFmtId="0" xfId="0" applyFont="1"/>
    <xf borderId="0" fillId="43" fontId="1" numFmtId="0" xfId="0" applyAlignment="1" applyFont="1">
      <alignment readingOrder="0"/>
    </xf>
    <xf borderId="15" fillId="6" fontId="4" numFmtId="0" xfId="0" applyAlignment="1" applyBorder="1" applyFont="1">
      <alignment horizontal="center" readingOrder="0" vertical="bottom"/>
    </xf>
    <xf borderId="77" fillId="6" fontId="4" numFmtId="0" xfId="0" applyAlignment="1" applyBorder="1" applyFont="1">
      <alignment horizontal="center" readingOrder="0" vertical="bottom"/>
    </xf>
    <xf borderId="77" fillId="6" fontId="4" numFmtId="49" xfId="0" applyAlignment="1" applyBorder="1" applyFont="1" applyNumberFormat="1">
      <alignment horizontal="center" readingOrder="0" vertical="bottom"/>
    </xf>
    <xf borderId="0" fillId="6" fontId="4" numFmtId="0" xfId="0" applyAlignment="1" applyFont="1">
      <alignment horizontal="center" readingOrder="0" vertical="bottom"/>
    </xf>
    <xf borderId="1" fillId="6" fontId="4" numFmtId="0" xfId="0" applyAlignment="1" applyBorder="1" applyFont="1">
      <alignment horizontal="center" readingOrder="0" vertical="bottom"/>
    </xf>
    <xf borderId="75" fillId="6" fontId="4" numFmtId="0" xfId="0" applyAlignment="1" applyBorder="1" applyFont="1">
      <alignment horizontal="center" readingOrder="0" vertical="bottom"/>
    </xf>
    <xf borderId="75" fillId="6" fontId="4" numFmtId="49" xfId="0" applyAlignment="1" applyBorder="1" applyFont="1" applyNumberFormat="1">
      <alignment horizontal="center" readingOrder="0" vertical="bottom"/>
    </xf>
    <xf borderId="78" fillId="6" fontId="4" numFmtId="49" xfId="0" applyAlignment="1" applyBorder="1" applyFont="1" applyNumberFormat="1">
      <alignment horizontal="center" readingOrder="0" vertical="bottom"/>
    </xf>
    <xf borderId="65" fillId="6" fontId="4" numFmtId="49" xfId="0" applyAlignment="1" applyBorder="1" applyFont="1" applyNumberFormat="1">
      <alignment horizontal="center" readingOrder="0" vertical="bottom"/>
    </xf>
    <xf borderId="13" fillId="6" fontId="4" numFmtId="49" xfId="0" applyAlignment="1" applyBorder="1" applyFont="1" applyNumberFormat="1">
      <alignment horizontal="center" readingOrder="0" vertical="bottom"/>
    </xf>
    <xf borderId="0" fillId="6" fontId="4" numFmtId="166" xfId="0" applyAlignment="1" applyFont="1" applyNumberFormat="1">
      <alignment horizontal="center" readingOrder="0" vertical="bottom"/>
    </xf>
    <xf borderId="0" fillId="0" fontId="118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/>
    </xf>
    <xf borderId="0" fillId="6" fontId="1" numFmtId="49" xfId="0" applyAlignment="1" applyFont="1" applyNumberFormat="1">
      <alignment horizontal="center"/>
    </xf>
    <xf borderId="0" fillId="28" fontId="1" numFmtId="0" xfId="0" applyAlignment="1" applyFont="1">
      <alignment horizontal="center" readingOrder="0"/>
    </xf>
    <xf borderId="0" fillId="28" fontId="1" numFmtId="0" xfId="0" applyAlignment="1" applyFont="1">
      <alignment readingOrder="0"/>
    </xf>
    <xf borderId="0" fillId="28" fontId="1" numFmtId="0" xfId="0" applyAlignment="1" applyFont="1">
      <alignment readingOrder="0"/>
    </xf>
    <xf borderId="0" fillId="27" fontId="1" numFmtId="0" xfId="0" applyAlignment="1" applyFont="1">
      <alignment horizontal="center" readingOrder="0"/>
    </xf>
    <xf borderId="0" fillId="27" fontId="1" numFmtId="0" xfId="0" applyFont="1"/>
    <xf borderId="37" fillId="28" fontId="1" numFmtId="0" xfId="0" applyAlignment="1" applyBorder="1" applyFont="1">
      <alignment readingOrder="0"/>
    </xf>
    <xf borderId="7" fillId="27" fontId="1" numFmtId="0" xfId="0" applyAlignment="1" applyBorder="1" applyFont="1">
      <alignment readingOrder="0"/>
    </xf>
    <xf borderId="0" fillId="28" fontId="93" numFmtId="0" xfId="0" applyAlignment="1" applyFont="1">
      <alignment readingOrder="0" vertical="bottom"/>
    </xf>
    <xf borderId="0" fillId="28" fontId="93" numFmtId="0" xfId="0" applyAlignment="1" applyFont="1">
      <alignment horizontal="right" readingOrder="0" vertical="bottom"/>
    </xf>
    <xf borderId="0" fillId="27" fontId="93" numFmtId="0" xfId="0" applyAlignment="1" applyFont="1">
      <alignment readingOrder="0" vertical="bottom"/>
    </xf>
    <xf borderId="0" fillId="27" fontId="4" numFmtId="0" xfId="0" applyAlignment="1" applyFont="1">
      <alignment vertical="bottom"/>
    </xf>
    <xf borderId="0" fillId="27" fontId="4" numFmtId="0" xfId="0" applyAlignment="1" applyFont="1">
      <alignment vertical="bottom"/>
    </xf>
    <xf borderId="0" fillId="6" fontId="56" numFmtId="0" xfId="0" applyAlignment="1" applyFont="1">
      <alignment horizontal="left" readingOrder="0"/>
    </xf>
    <xf borderId="0" fillId="6" fontId="56" numFmtId="0" xfId="0" applyAlignment="1" applyFont="1">
      <alignment horizontal="center" readingOrder="0"/>
    </xf>
    <xf borderId="0" fillId="6" fontId="119" numFmtId="0" xfId="0" applyAlignment="1" applyFont="1">
      <alignment horizontal="left" readingOrder="0"/>
    </xf>
    <xf borderId="0" fillId="4" fontId="119" numFmtId="0" xfId="0" applyAlignment="1" applyFont="1">
      <alignment horizontal="left" readingOrder="0"/>
    </xf>
    <xf borderId="0" fillId="27" fontId="4" numFmtId="0" xfId="0" applyAlignment="1" applyFont="1">
      <alignment horizontal="center" vertical="bottom"/>
    </xf>
    <xf borderId="0" fillId="28" fontId="4" numFmtId="0" xfId="0" applyAlignment="1" applyFont="1">
      <alignment vertical="bottom"/>
    </xf>
    <xf borderId="0" fillId="28" fontId="4" numFmtId="0" xfId="0" applyAlignment="1" applyFont="1">
      <alignment horizontal="center" vertical="bottom"/>
    </xf>
    <xf borderId="10" fillId="27" fontId="4" numFmtId="0" xfId="0" applyAlignment="1" applyBorder="1" applyFont="1">
      <alignment vertical="bottom"/>
    </xf>
    <xf borderId="7" fillId="27" fontId="4" numFmtId="0" xfId="0" applyAlignment="1" applyBorder="1" applyFont="1">
      <alignment horizontal="center" vertical="bottom"/>
    </xf>
    <xf borderId="7" fillId="27" fontId="1" numFmtId="0" xfId="0" applyAlignment="1" applyBorder="1" applyFont="1">
      <alignment readingOrder="0"/>
    </xf>
    <xf borderId="7" fillId="27" fontId="4" numFmtId="0" xfId="0" applyAlignment="1" applyBorder="1" applyFont="1">
      <alignment vertical="bottom"/>
    </xf>
    <xf borderId="11" fillId="27" fontId="4" numFmtId="0" xfId="0" applyAlignment="1" applyBorder="1" applyFont="1">
      <alignment vertical="bottom"/>
    </xf>
    <xf borderId="12" fillId="27" fontId="4" numFmtId="0" xfId="0" applyAlignment="1" applyBorder="1" applyFont="1">
      <alignment vertical="bottom"/>
    </xf>
    <xf borderId="13" fillId="27" fontId="4" numFmtId="0" xfId="0" applyAlignment="1" applyBorder="1" applyFont="1">
      <alignment vertical="bottom"/>
    </xf>
    <xf borderId="12" fillId="28" fontId="4" numFmtId="0" xfId="0" applyAlignment="1" applyBorder="1" applyFont="1">
      <alignment vertical="bottom"/>
    </xf>
    <xf borderId="13" fillId="28" fontId="1" numFmtId="0" xfId="0" applyBorder="1" applyFont="1"/>
    <xf borderId="16" fillId="28" fontId="4" numFmtId="0" xfId="0" applyAlignment="1" applyBorder="1" applyFont="1">
      <alignment vertical="bottom"/>
    </xf>
    <xf borderId="37" fillId="28" fontId="4" numFmtId="0" xfId="0" applyAlignment="1" applyBorder="1" applyFont="1">
      <alignment horizontal="center" vertical="bottom"/>
    </xf>
    <xf borderId="37" fillId="28" fontId="1" numFmtId="0" xfId="0" applyAlignment="1" applyBorder="1" applyFont="1">
      <alignment readingOrder="0"/>
    </xf>
    <xf borderId="17" fillId="28" fontId="1" numFmtId="0" xfId="0" applyBorder="1" applyFont="1"/>
    <xf borderId="10" fillId="28" fontId="4" numFmtId="0" xfId="0" applyAlignment="1" applyBorder="1" applyFont="1">
      <alignment vertical="bottom"/>
    </xf>
    <xf borderId="7" fillId="28" fontId="4" numFmtId="0" xfId="0" applyAlignment="1" applyBorder="1" applyFont="1">
      <alignment horizontal="center" vertical="bottom"/>
    </xf>
    <xf borderId="7" fillId="28" fontId="1" numFmtId="0" xfId="0" applyAlignment="1" applyBorder="1" applyFont="1">
      <alignment readingOrder="0"/>
    </xf>
    <xf borderId="7" fillId="28" fontId="1" numFmtId="0" xfId="0" applyAlignment="1" applyBorder="1" applyFont="1">
      <alignment readingOrder="0"/>
    </xf>
    <xf borderId="11" fillId="28" fontId="1" numFmtId="0" xfId="0" applyBorder="1" applyFont="1"/>
    <xf borderId="16" fillId="27" fontId="4" numFmtId="0" xfId="0" applyAlignment="1" applyBorder="1" applyFont="1">
      <alignment vertical="bottom"/>
    </xf>
    <xf borderId="37" fillId="27" fontId="4" numFmtId="0" xfId="0" applyAlignment="1" applyBorder="1" applyFont="1">
      <alignment horizontal="center" vertical="bottom"/>
    </xf>
    <xf borderId="37" fillId="27" fontId="1" numFmtId="0" xfId="0" applyAlignment="1" applyBorder="1" applyFont="1">
      <alignment readingOrder="0"/>
    </xf>
    <xf borderId="37" fillId="27" fontId="4" numFmtId="0" xfId="0" applyAlignment="1" applyBorder="1" applyFont="1">
      <alignment vertical="bottom"/>
    </xf>
    <xf borderId="37" fillId="27" fontId="1" numFmtId="0" xfId="0" applyAlignment="1" applyBorder="1" applyFont="1">
      <alignment readingOrder="0"/>
    </xf>
    <xf borderId="17" fillId="27" fontId="4" numFmtId="0" xfId="0" applyAlignment="1" applyBorder="1" applyFont="1">
      <alignment vertical="bottom"/>
    </xf>
    <xf borderId="10" fillId="27" fontId="1" numFmtId="0" xfId="0" applyAlignment="1" applyBorder="1" applyFont="1">
      <alignment horizontal="center" readingOrder="0"/>
    </xf>
    <xf borderId="7" fillId="27" fontId="1" numFmtId="0" xfId="0" applyAlignment="1" applyBorder="1" applyFont="1">
      <alignment horizontal="center" readingOrder="0"/>
    </xf>
    <xf borderId="10" fillId="18" fontId="1" numFmtId="0" xfId="0" applyAlignment="1" applyBorder="1" applyFont="1">
      <alignment readingOrder="0"/>
    </xf>
    <xf borderId="7" fillId="18" fontId="1" numFmtId="0" xfId="0" applyAlignment="1" applyBorder="1" applyFont="1">
      <alignment readingOrder="0"/>
    </xf>
    <xf borderId="7" fillId="18" fontId="1" numFmtId="0" xfId="0" applyAlignment="1" applyBorder="1" applyFont="1">
      <alignment readingOrder="0"/>
    </xf>
    <xf borderId="11" fillId="18" fontId="1" numFmtId="0" xfId="0" applyAlignment="1" applyBorder="1" applyFont="1">
      <alignment readingOrder="0"/>
    </xf>
    <xf borderId="0" fillId="18" fontId="1" numFmtId="0" xfId="0" applyAlignment="1" applyFont="1">
      <alignment readingOrder="0"/>
    </xf>
    <xf borderId="12" fillId="27" fontId="1" numFmtId="0" xfId="0" applyAlignment="1" applyBorder="1" applyFont="1">
      <alignment horizontal="center" readingOrder="0"/>
    </xf>
    <xf borderId="12" fillId="18" fontId="1" numFmtId="0" xfId="0" applyAlignment="1" applyBorder="1" applyFont="1">
      <alignment readingOrder="0"/>
    </xf>
    <xf borderId="0" fillId="18" fontId="1" numFmtId="0" xfId="0" applyAlignment="1" applyFont="1">
      <alignment readingOrder="0"/>
    </xf>
    <xf borderId="13" fillId="18" fontId="1" numFmtId="0" xfId="0" applyAlignment="1" applyBorder="1" applyFont="1">
      <alignment readingOrder="0"/>
    </xf>
    <xf borderId="12" fillId="28" fontId="1" numFmtId="0" xfId="0" applyAlignment="1" applyBorder="1" applyFont="1">
      <alignment horizontal="center" readingOrder="0"/>
    </xf>
    <xf borderId="12" fillId="23" fontId="1" numFmtId="0" xfId="0" applyAlignment="1" applyBorder="1" applyFont="1">
      <alignment readingOrder="0"/>
    </xf>
    <xf borderId="0" fillId="23" fontId="1" numFmtId="0" xfId="0" applyAlignment="1" applyFont="1">
      <alignment readingOrder="0"/>
    </xf>
    <xf borderId="0" fillId="23" fontId="1" numFmtId="0" xfId="0" applyAlignment="1" applyFont="1">
      <alignment readingOrder="0"/>
    </xf>
    <xf borderId="13" fillId="23" fontId="1" numFmtId="0" xfId="0" applyAlignment="1" applyBorder="1" applyFont="1">
      <alignment readingOrder="0"/>
    </xf>
    <xf borderId="16" fillId="28" fontId="1" numFmtId="0" xfId="0" applyAlignment="1" applyBorder="1" applyFont="1">
      <alignment horizontal="center" readingOrder="0"/>
    </xf>
    <xf borderId="37" fillId="28" fontId="1" numFmtId="0" xfId="0" applyAlignment="1" applyBorder="1" applyFont="1">
      <alignment horizontal="center" readingOrder="0"/>
    </xf>
    <xf borderId="37" fillId="23" fontId="1" numFmtId="0" xfId="0" applyAlignment="1" applyBorder="1" applyFont="1">
      <alignment readingOrder="0"/>
    </xf>
    <xf borderId="37" fillId="23" fontId="1" numFmtId="0" xfId="0" applyAlignment="1" applyBorder="1" applyFont="1">
      <alignment readingOrder="0"/>
    </xf>
    <xf borderId="17" fillId="23" fontId="1" numFmtId="0" xfId="0" applyAlignment="1" applyBorder="1" applyFont="1">
      <alignment readingOrder="0"/>
    </xf>
    <xf borderId="10" fillId="28" fontId="1" numFmtId="0" xfId="0" applyAlignment="1" applyBorder="1" applyFont="1">
      <alignment horizontal="center" readingOrder="0"/>
    </xf>
    <xf borderId="7" fillId="28" fontId="1" numFmtId="0" xfId="0" applyAlignment="1" applyBorder="1" applyFont="1">
      <alignment horizontal="center" readingOrder="0"/>
    </xf>
    <xf borderId="16" fillId="27" fontId="1" numFmtId="0" xfId="0" applyAlignment="1" applyBorder="1" applyFont="1">
      <alignment horizontal="center" readingOrder="0"/>
    </xf>
    <xf borderId="37" fillId="27" fontId="1" numFmtId="0" xfId="0" applyAlignment="1" applyBorder="1" applyFont="1">
      <alignment horizontal="center" readingOrder="0"/>
    </xf>
    <xf borderId="37" fillId="27" fontId="4" numFmtId="0" xfId="0" applyAlignment="1" applyBorder="1" applyFont="1">
      <alignment vertical="bottom"/>
    </xf>
    <xf borderId="11" fillId="27" fontId="1" numFmtId="0" xfId="0" applyBorder="1" applyFont="1"/>
    <xf borderId="13" fillId="27" fontId="1" numFmtId="0" xfId="0" applyBorder="1" applyFont="1"/>
    <xf borderId="17" fillId="27" fontId="1" numFmtId="0" xfId="0" applyBorder="1" applyFont="1"/>
    <xf borderId="0" fillId="10" fontId="4" numFmtId="164" xfId="0" applyAlignment="1" applyFont="1" applyNumberFormat="1">
      <alignment horizontal="center" vertical="bottom"/>
    </xf>
    <xf borderId="0" fillId="5" fontId="11" numFmtId="164" xfId="0" applyFont="1" applyNumberFormat="1"/>
    <xf borderId="10" fillId="23" fontId="1" numFmtId="0" xfId="0" applyAlignment="1" applyBorder="1" applyFont="1">
      <alignment readingOrder="0"/>
    </xf>
    <xf borderId="7" fillId="23" fontId="1" numFmtId="0" xfId="0" applyAlignment="1" applyBorder="1" applyFont="1">
      <alignment readingOrder="0"/>
    </xf>
    <xf borderId="7" fillId="23" fontId="1" numFmtId="0" xfId="0" applyAlignment="1" applyBorder="1" applyFont="1">
      <alignment readingOrder="0"/>
    </xf>
    <xf borderId="11" fillId="23" fontId="1" numFmtId="0" xfId="0" applyAlignment="1" applyBorder="1" applyFont="1">
      <alignment readingOrder="0"/>
    </xf>
    <xf borderId="15" fillId="23" fontId="1" numFmtId="0" xfId="0" applyAlignment="1" applyBorder="1" applyFont="1">
      <alignment readingOrder="0"/>
    </xf>
    <xf borderId="18" fillId="23" fontId="1" numFmtId="0" xfId="0" applyAlignment="1" applyBorder="1" applyFont="1">
      <alignment readingOrder="0"/>
    </xf>
    <xf borderId="19" fillId="23" fontId="1" numFmtId="0" xfId="0" applyAlignment="1" applyBorder="1" applyFont="1">
      <alignment readingOrder="0"/>
    </xf>
    <xf borderId="19" fillId="18" fontId="1" numFmtId="0" xfId="0" applyAlignment="1" applyBorder="1" applyFont="1">
      <alignment readingOrder="0"/>
    </xf>
    <xf borderId="16" fillId="18" fontId="1" numFmtId="0" xfId="0" applyAlignment="1" applyBorder="1" applyFont="1">
      <alignment readingOrder="0"/>
    </xf>
    <xf borderId="37" fillId="18" fontId="1" numFmtId="0" xfId="0" applyAlignment="1" applyBorder="1" applyFont="1">
      <alignment readingOrder="0"/>
    </xf>
    <xf borderId="37" fillId="18" fontId="1" numFmtId="0" xfId="0" applyAlignment="1" applyBorder="1" applyFont="1">
      <alignment readingOrder="0"/>
    </xf>
    <xf borderId="17" fillId="18" fontId="1" numFmtId="0" xfId="0" applyAlignment="1" applyBorder="1" applyFont="1">
      <alignment readingOrder="0"/>
    </xf>
    <xf borderId="11" fillId="28" fontId="1" numFmtId="0" xfId="0" applyAlignment="1" applyBorder="1" applyFont="1">
      <alignment readingOrder="0"/>
    </xf>
    <xf borderId="13" fillId="28" fontId="1" numFmtId="0" xfId="0" applyAlignment="1" applyBorder="1" applyFont="1">
      <alignment readingOrder="0"/>
    </xf>
    <xf borderId="13" fillId="27" fontId="1" numFmtId="0" xfId="0" applyAlignment="1" applyBorder="1" applyFont="1">
      <alignment readingOrder="0"/>
    </xf>
    <xf borderId="17" fillId="27" fontId="1" numFmtId="0" xfId="0" applyAlignment="1" applyBorder="1" applyFont="1">
      <alignment readingOrder="0"/>
    </xf>
    <xf borderId="2" fillId="6" fontId="56" numFmtId="0" xfId="0" applyAlignment="1" applyBorder="1" applyFont="1">
      <alignment horizontal="left" readingOrder="0"/>
    </xf>
    <xf borderId="3" fillId="6" fontId="56" numFmtId="0" xfId="0" applyAlignment="1" applyBorder="1" applyFont="1">
      <alignment horizontal="left" readingOrder="0"/>
    </xf>
    <xf borderId="3" fillId="6" fontId="119" numFmtId="0" xfId="0" applyAlignment="1" applyBorder="1" applyFont="1">
      <alignment horizontal="left" readingOrder="0"/>
    </xf>
    <xf borderId="4" fillId="6" fontId="119" numFmtId="0" xfId="0" applyAlignment="1" applyBorder="1" applyFont="1">
      <alignment horizontal="left" readingOrder="0"/>
    </xf>
    <xf borderId="11" fillId="27" fontId="1" numFmtId="0" xfId="0" applyAlignment="1" applyBorder="1" applyFont="1">
      <alignment readingOrder="0"/>
    </xf>
    <xf borderId="13" fillId="28" fontId="1" numFmtId="0" xfId="0" applyAlignment="1" applyBorder="1" applyFont="1">
      <alignment readingOrder="0"/>
    </xf>
    <xf borderId="16" fillId="23" fontId="1" numFmtId="0" xfId="0" applyAlignment="1" applyBorder="1" applyFont="1">
      <alignment readingOrder="0"/>
    </xf>
    <xf borderId="17" fillId="28" fontId="1" numFmtId="0" xfId="0" applyAlignment="1" applyBorder="1" applyFont="1">
      <alignment readingOrder="0"/>
    </xf>
    <xf borderId="19" fillId="27" fontId="1" numFmtId="0" xfId="0" applyAlignment="1" applyBorder="1" applyFont="1">
      <alignment readingOrder="0"/>
    </xf>
    <xf borderId="19" fillId="23" fontId="1" numFmtId="0" xfId="0" applyAlignment="1" applyBorder="1" applyFont="1">
      <alignment readingOrder="0"/>
    </xf>
    <xf borderId="1" fillId="23" fontId="1" numFmtId="0" xfId="0" applyAlignment="1" applyBorder="1" applyFont="1">
      <alignment readingOrder="0"/>
    </xf>
    <xf borderId="20" fillId="23" fontId="1" numFmtId="0" xfId="0" applyAlignment="1" applyBorder="1" applyFont="1">
      <alignment readingOrder="0"/>
    </xf>
    <xf borderId="7" fillId="23" fontId="93" numFmtId="0" xfId="0" applyAlignment="1" applyBorder="1" applyFont="1">
      <alignment horizontal="right" readingOrder="0" vertical="bottom"/>
    </xf>
    <xf borderId="11" fillId="23" fontId="1" numFmtId="0" xfId="0" applyBorder="1" applyFont="1"/>
    <xf borderId="0" fillId="23" fontId="93" numFmtId="0" xfId="0" applyAlignment="1" applyFont="1">
      <alignment horizontal="right" readingOrder="0" vertical="bottom"/>
    </xf>
    <xf borderId="13" fillId="23" fontId="1" numFmtId="0" xfId="0" applyBorder="1" applyFont="1"/>
    <xf borderId="12" fillId="18" fontId="1" numFmtId="0" xfId="0" applyAlignment="1" applyBorder="1" applyFont="1">
      <alignment horizontal="center" readingOrder="0"/>
    </xf>
    <xf borderId="0" fillId="18" fontId="1" numFmtId="0" xfId="0" applyAlignment="1" applyFont="1">
      <alignment horizontal="center" readingOrder="0"/>
    </xf>
    <xf borderId="0" fillId="18" fontId="93" numFmtId="0" xfId="0" applyAlignment="1" applyFont="1">
      <alignment horizontal="right" readingOrder="0" vertical="bottom"/>
    </xf>
    <xf borderId="13" fillId="18" fontId="1" numFmtId="0" xfId="0" applyBorder="1" applyFont="1"/>
    <xf borderId="16" fillId="18" fontId="1" numFmtId="0" xfId="0" applyAlignment="1" applyBorder="1" applyFont="1">
      <alignment horizontal="center" readingOrder="0"/>
    </xf>
    <xf borderId="37" fillId="18" fontId="1" numFmtId="0" xfId="0" applyAlignment="1" applyBorder="1" applyFont="1">
      <alignment horizontal="center" readingOrder="0"/>
    </xf>
    <xf borderId="37" fillId="18" fontId="93" numFmtId="0" xfId="0" applyAlignment="1" applyBorder="1" applyFont="1">
      <alignment horizontal="right" readingOrder="0" vertical="bottom"/>
    </xf>
    <xf borderId="17" fillId="18" fontId="1" numFmtId="0" xfId="0" applyBorder="1" applyFont="1"/>
    <xf borderId="7" fillId="18" fontId="93" numFmtId="0" xfId="0" applyAlignment="1" applyBorder="1" applyFont="1">
      <alignment horizontal="right" readingOrder="0" vertical="bottom"/>
    </xf>
    <xf borderId="11" fillId="18" fontId="1" numFmtId="0" xfId="0" applyBorder="1" applyFont="1"/>
    <xf borderId="12" fillId="23" fontId="1" numFmtId="0" xfId="0" applyAlignment="1" applyBorder="1" applyFont="1">
      <alignment horizontal="center" readingOrder="0"/>
    </xf>
    <xf borderId="0" fillId="23" fontId="1" numFmtId="0" xfId="0" applyAlignment="1" applyFont="1">
      <alignment horizontal="center" readingOrder="0"/>
    </xf>
    <xf borderId="16" fillId="23" fontId="1" numFmtId="0" xfId="0" applyAlignment="1" applyBorder="1" applyFont="1">
      <alignment horizontal="center" readingOrder="0"/>
    </xf>
    <xf borderId="37" fillId="23" fontId="1" numFmtId="0" xfId="0" applyAlignment="1" applyBorder="1" applyFont="1">
      <alignment horizontal="center" readingOrder="0"/>
    </xf>
    <xf borderId="37" fillId="23" fontId="93" numFmtId="0" xfId="0" applyAlignment="1" applyBorder="1" applyFont="1">
      <alignment horizontal="right" readingOrder="0" vertical="bottom"/>
    </xf>
    <xf borderId="17" fillId="23" fontId="1" numFmtId="0" xfId="0" applyBorder="1" applyFont="1"/>
    <xf borderId="10" fillId="23" fontId="1" numFmtId="0" xfId="0" applyAlignment="1" applyBorder="1" applyFont="1">
      <alignment horizontal="center" readingOrder="0"/>
    </xf>
    <xf borderId="7" fillId="23" fontId="1" numFmtId="0" xfId="0" applyAlignment="1" applyBorder="1" applyFont="1">
      <alignment horizontal="center" readingOrder="0"/>
    </xf>
    <xf borderId="37" fillId="19" fontId="23" numFmtId="0" xfId="0" applyAlignment="1" applyBorder="1" applyFont="1">
      <alignment horizontal="center" readingOrder="0"/>
    </xf>
    <xf borderId="17" fillId="19" fontId="23" numFmtId="0" xfId="0" applyAlignment="1" applyBorder="1" applyFont="1">
      <alignment horizontal="center" readingOrder="0"/>
    </xf>
    <xf borderId="79" fillId="19" fontId="23" numFmtId="49" xfId="0" applyAlignment="1" applyBorder="1" applyFont="1" applyNumberFormat="1">
      <alignment horizontal="center" readingOrder="0"/>
    </xf>
    <xf borderId="13" fillId="38" fontId="2" numFmtId="0" xfId="0" applyAlignment="1" applyBorder="1" applyFont="1">
      <alignment horizontal="center" readingOrder="0"/>
    </xf>
    <xf borderId="65" fillId="0" fontId="1" numFmtId="49" xfId="0" applyAlignment="1" applyBorder="1" applyFont="1" applyNumberFormat="1">
      <alignment horizontal="center" readingOrder="0"/>
    </xf>
    <xf borderId="19" fillId="0" fontId="1" numFmtId="0" xfId="0" applyAlignment="1" applyBorder="1" applyFont="1">
      <alignment horizontal="center" readingOrder="0"/>
    </xf>
    <xf borderId="0" fillId="43" fontId="120" numFmtId="0" xfId="0" applyAlignment="1" applyFont="1">
      <alignment horizontal="left" readingOrder="0" shrinkToFit="0" vertical="center" wrapText="1"/>
    </xf>
    <xf borderId="9" fillId="38" fontId="2" numFmtId="0" xfId="0" applyAlignment="1" applyBorder="1" applyFont="1">
      <alignment horizontal="center" readingOrder="0"/>
    </xf>
    <xf borderId="66" fillId="13" fontId="1" numFmtId="0" xfId="0" applyAlignment="1" applyBorder="1" applyFont="1">
      <alignment horizontal="center" readingOrder="0"/>
    </xf>
    <xf borderId="76" fillId="0" fontId="1" numFmtId="49" xfId="0" applyAlignment="1" applyBorder="1" applyFont="1" applyNumberFormat="1">
      <alignment horizontal="center" readingOrder="0"/>
    </xf>
    <xf borderId="75" fillId="27" fontId="1" numFmtId="0" xfId="0" applyAlignment="1" applyBorder="1" applyFont="1">
      <alignment horizontal="center" readingOrder="0"/>
    </xf>
    <xf borderId="69" fillId="23" fontId="1" numFmtId="49" xfId="0" applyAlignment="1" applyBorder="1" applyFont="1" applyNumberFormat="1">
      <alignment horizontal="center" readingOrder="0"/>
    </xf>
    <xf borderId="20" fillId="0" fontId="1" numFmtId="0" xfId="0" applyAlignment="1" applyBorder="1" applyFont="1">
      <alignment horizontal="center" readingOrder="0"/>
    </xf>
    <xf borderId="0" fillId="43" fontId="121" numFmtId="0" xfId="0" applyAlignment="1" applyFont="1">
      <alignment readingOrder="0"/>
    </xf>
    <xf borderId="15" fillId="27" fontId="1" numFmtId="0" xfId="0" applyAlignment="1" applyBorder="1" applyFont="1">
      <alignment horizontal="center" readingOrder="0"/>
    </xf>
    <xf borderId="65" fillId="23" fontId="1" numFmtId="49" xfId="0" applyAlignment="1" applyBorder="1" applyFont="1" applyNumberFormat="1">
      <alignment horizontal="center" readingOrder="0"/>
    </xf>
    <xf borderId="9" fillId="27" fontId="1" numFmtId="0" xfId="0" applyAlignment="1" applyBorder="1" applyFont="1">
      <alignment horizontal="center" readingOrder="0"/>
    </xf>
    <xf borderId="9" fillId="23" fontId="1" numFmtId="0" xfId="0" applyAlignment="1" applyBorder="1" applyFont="1">
      <alignment horizontal="center" readingOrder="0"/>
    </xf>
    <xf borderId="76" fillId="23" fontId="1" numFmtId="49" xfId="0" applyAlignment="1" applyBorder="1" applyFont="1" applyNumberFormat="1">
      <alignment horizontal="center" readingOrder="0"/>
    </xf>
    <xf borderId="59" fillId="0" fontId="1" numFmtId="0" xfId="0" applyAlignment="1" applyBorder="1" applyFont="1">
      <alignment horizontal="center" readingOrder="0"/>
    </xf>
    <xf borderId="1" fillId="23" fontId="1" numFmtId="0" xfId="0" applyAlignment="1" applyBorder="1" applyFont="1">
      <alignment horizontal="center" readingOrder="0"/>
    </xf>
    <xf borderId="13" fillId="27" fontId="1" numFmtId="0" xfId="0" applyAlignment="1" applyBorder="1" applyFont="1">
      <alignment horizontal="center" readingOrder="0"/>
    </xf>
    <xf borderId="1" fillId="27" fontId="1" numFmtId="0" xfId="0" applyAlignment="1" applyBorder="1" applyFont="1">
      <alignment horizontal="center" readingOrder="0"/>
    </xf>
    <xf borderId="77" fillId="23" fontId="1" numFmtId="0" xfId="0" applyAlignment="1" applyBorder="1" applyFont="1">
      <alignment horizontal="center" readingOrder="0"/>
    </xf>
    <xf borderId="75" fillId="27" fontId="1" numFmtId="49" xfId="0" applyAlignment="1" applyBorder="1" applyFont="1" applyNumberFormat="1">
      <alignment horizontal="center" readingOrder="0"/>
    </xf>
    <xf borderId="15" fillId="23" fontId="1" numFmtId="0" xfId="0" applyAlignment="1" applyBorder="1" applyFont="1">
      <alignment horizontal="center" readingOrder="0"/>
    </xf>
    <xf borderId="48" fillId="27" fontId="1" numFmtId="0" xfId="0" applyAlignment="1" applyBorder="1" applyFont="1">
      <alignment horizontal="center" readingOrder="0"/>
    </xf>
    <xf borderId="75" fillId="23" fontId="1" numFmtId="49" xfId="0" applyAlignment="1" applyBorder="1" applyFont="1" applyNumberFormat="1">
      <alignment horizontal="center" readingOrder="0"/>
    </xf>
    <xf borderId="75" fillId="18" fontId="1" numFmtId="0" xfId="0" applyAlignment="1" applyBorder="1" applyFont="1">
      <alignment horizontal="center" readingOrder="0"/>
    </xf>
    <xf borderId="15" fillId="6" fontId="122" numFmtId="0" xfId="0" applyAlignment="1" applyBorder="1" applyFont="1">
      <alignment horizontal="center" readingOrder="0" vertical="bottom"/>
    </xf>
    <xf borderId="0" fillId="43" fontId="123" numFmtId="0" xfId="0" applyAlignment="1" applyFont="1">
      <alignment readingOrder="0"/>
    </xf>
    <xf borderId="45" fillId="6" fontId="1" numFmtId="0" xfId="0" applyAlignment="1" applyBorder="1" applyFont="1">
      <alignment horizontal="center"/>
    </xf>
    <xf borderId="9" fillId="6" fontId="62" numFmtId="0" xfId="0" applyAlignment="1" applyBorder="1" applyFont="1">
      <alignment horizontal="center" readingOrder="0"/>
    </xf>
    <xf borderId="66" fillId="0" fontId="17" numFmtId="0" xfId="0" applyBorder="1" applyFont="1"/>
    <xf borderId="9" fillId="6" fontId="117" numFmtId="0" xfId="0" applyAlignment="1" applyBorder="1" applyFont="1">
      <alignment horizontal="center" readingOrder="0"/>
    </xf>
    <xf borderId="59" fillId="6" fontId="117" numFmtId="0" xfId="0" applyAlignment="1" applyBorder="1" applyFont="1">
      <alignment horizontal="center" readingOrder="0"/>
    </xf>
    <xf borderId="13" fillId="13" fontId="1" numFmtId="0" xfId="0" applyAlignment="1" applyBorder="1" applyFont="1">
      <alignment horizontal="center" readingOrder="0"/>
    </xf>
    <xf borderId="1" fillId="13" fontId="1" numFmtId="0" xfId="0" applyAlignment="1" applyBorder="1" applyFont="1">
      <alignment horizontal="center" readingOrder="0"/>
    </xf>
    <xf borderId="13" fillId="0" fontId="1" numFmtId="49" xfId="0" applyAlignment="1" applyBorder="1" applyFont="1" applyNumberFormat="1">
      <alignment horizontal="center" readingOrder="0"/>
    </xf>
    <xf borderId="9" fillId="23" fontId="4" numFmtId="0" xfId="0" applyAlignment="1" applyBorder="1" applyFont="1">
      <alignment horizontal="center" vertical="bottom"/>
    </xf>
    <xf borderId="66" fillId="27" fontId="4" numFmtId="0" xfId="0" applyAlignment="1" applyBorder="1" applyFont="1">
      <alignment horizontal="center" vertical="bottom"/>
    </xf>
    <xf borderId="66" fillId="27" fontId="4" numFmtId="49" xfId="0" applyAlignment="1" applyBorder="1" applyFont="1" applyNumberFormat="1">
      <alignment horizontal="center" readingOrder="0" vertical="bottom"/>
    </xf>
    <xf borderId="59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66" fillId="23" fontId="1" numFmtId="0" xfId="0" applyAlignment="1" applyBorder="1" applyFont="1">
      <alignment horizontal="center" readingOrder="0"/>
    </xf>
    <xf borderId="76" fillId="27" fontId="1" numFmtId="49" xfId="0" applyAlignment="1" applyBorder="1" applyFont="1" applyNumberFormat="1">
      <alignment horizontal="center" readingOrder="0"/>
    </xf>
    <xf borderId="15" fillId="0" fontId="1" numFmtId="0" xfId="0" applyAlignment="1" applyBorder="1" applyFont="1">
      <alignment horizontal="center" readingOrder="0"/>
    </xf>
    <xf borderId="0" fillId="23" fontId="4" numFmtId="0" xfId="0" applyAlignment="1" applyFont="1">
      <alignment horizontal="center" readingOrder="0" vertical="bottom"/>
    </xf>
    <xf borderId="9" fillId="23" fontId="4" numFmtId="0" xfId="0" applyAlignment="1" applyBorder="1" applyFont="1">
      <alignment horizontal="center" readingOrder="0" vertical="bottom"/>
    </xf>
    <xf borderId="66" fillId="27" fontId="1" numFmtId="0" xfId="0" applyAlignment="1" applyBorder="1" applyFont="1">
      <alignment horizontal="center" readingOrder="0"/>
    </xf>
    <xf borderId="15" fillId="0" fontId="96" numFmtId="0" xfId="0" applyAlignment="1" applyBorder="1" applyFont="1">
      <alignment horizontal="center" readingOrder="0"/>
    </xf>
    <xf borderId="18" fillId="0" fontId="1" numFmtId="0" xfId="0" applyAlignment="1" applyBorder="1" applyFont="1">
      <alignment horizontal="center" readingOrder="0"/>
    </xf>
    <xf borderId="65" fillId="27" fontId="1" numFmtId="49" xfId="0" applyAlignment="1" applyBorder="1" applyFont="1" applyNumberFormat="1">
      <alignment horizontal="center" readingOrder="0"/>
    </xf>
    <xf borderId="69" fillId="0" fontId="1" numFmtId="49" xfId="0" applyAlignment="1" applyBorder="1" applyFont="1" applyNumberFormat="1">
      <alignment horizontal="center" readingOrder="0"/>
    </xf>
    <xf borderId="69" fillId="27" fontId="1" numFmtId="49" xfId="0" applyAlignment="1" applyBorder="1" applyFont="1" applyNumberFormat="1">
      <alignment horizontal="center" readingOrder="0"/>
    </xf>
    <xf borderId="75" fillId="13" fontId="1" numFmtId="0" xfId="0" applyAlignment="1" applyBorder="1" applyFont="1">
      <alignment horizontal="center" readingOrder="0"/>
    </xf>
    <xf borderId="1" fillId="18" fontId="1" numFmtId="0" xfId="0" applyAlignment="1" applyBorder="1" applyFont="1">
      <alignment horizontal="center" readingOrder="0"/>
    </xf>
    <xf borderId="75" fillId="23" fontId="1" numFmtId="0" xfId="0" applyAlignment="1" applyBorder="1" applyFont="1">
      <alignment horizontal="center" readingOrder="0"/>
    </xf>
    <xf borderId="69" fillId="18" fontId="1" numFmtId="49" xfId="0" applyAlignment="1" applyBorder="1" applyFont="1" applyNumberFormat="1">
      <alignment horizontal="center" readingOrder="0"/>
    </xf>
    <xf borderId="15" fillId="0" fontId="4" numFmtId="0" xfId="0" applyAlignment="1" applyBorder="1" applyFont="1">
      <alignment horizontal="center" readingOrder="0" vertical="bottom"/>
    </xf>
    <xf borderId="77" fillId="0" fontId="4" numFmtId="0" xfId="0" applyAlignment="1" applyBorder="1" applyFont="1">
      <alignment horizontal="center" readingOrder="0" vertical="bottom"/>
    </xf>
    <xf borderId="77" fillId="0" fontId="4" numFmtId="49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75" fillId="0" fontId="4" numFmtId="0" xfId="0" applyAlignment="1" applyBorder="1" applyFont="1">
      <alignment horizontal="center" readingOrder="0" vertical="bottom"/>
    </xf>
    <xf borderId="75" fillId="0" fontId="4" numFmtId="49" xfId="0" applyAlignment="1" applyBorder="1" applyFont="1" applyNumberFormat="1">
      <alignment horizontal="center" readingOrder="0" vertical="bottom"/>
    </xf>
    <xf borderId="78" fillId="0" fontId="4" numFmtId="49" xfId="0" applyAlignment="1" applyBorder="1" applyFont="1" applyNumberFormat="1">
      <alignment horizontal="center" readingOrder="0" vertical="bottom"/>
    </xf>
    <xf borderId="65" fillId="0" fontId="4" numFmtId="49" xfId="0" applyAlignment="1" applyBorder="1" applyFont="1" applyNumberFormat="1">
      <alignment horizontal="center" readingOrder="0" vertical="bottom"/>
    </xf>
    <xf borderId="15" fillId="18" fontId="4" numFmtId="0" xfId="0" applyAlignment="1" applyBorder="1" applyFont="1">
      <alignment horizontal="center" readingOrder="0" vertical="bottom"/>
    </xf>
    <xf borderId="77" fillId="23" fontId="4" numFmtId="0" xfId="0" applyAlignment="1" applyBorder="1" applyFont="1">
      <alignment horizontal="center" readingOrder="0" vertical="bottom"/>
    </xf>
    <xf borderId="13" fillId="23" fontId="4" numFmtId="49" xfId="0" applyAlignment="1" applyBorder="1" applyFont="1" applyNumberFormat="1">
      <alignment horizontal="center" readingOrder="0" vertical="bottom"/>
    </xf>
    <xf borderId="1" fillId="23" fontId="4" numFmtId="0" xfId="0" applyAlignment="1" applyBorder="1" applyFont="1">
      <alignment horizontal="center" readingOrder="0" vertical="bottom"/>
    </xf>
    <xf borderId="15" fillId="27" fontId="4" numFmtId="0" xfId="0" applyAlignment="1" applyBorder="1" applyFont="1">
      <alignment horizontal="center" readingOrder="0" vertical="bottom"/>
    </xf>
    <xf borderId="75" fillId="27" fontId="4" numFmtId="49" xfId="0" applyAlignment="1" applyBorder="1" applyFont="1" applyNumberFormat="1">
      <alignment horizontal="center" readingOrder="0" vertical="bottom"/>
    </xf>
    <xf borderId="77" fillId="23" fontId="4" numFmtId="49" xfId="0" applyAlignment="1" applyBorder="1" applyFont="1" applyNumberFormat="1">
      <alignment horizontal="center" readingOrder="0" vertical="bottom"/>
    </xf>
    <xf borderId="0" fillId="0" fontId="4" numFmtId="166" xfId="0" applyAlignment="1" applyFont="1" applyNumberFormat="1">
      <alignment horizontal="center" readingOrder="0" vertical="bottom"/>
    </xf>
    <xf borderId="0" fillId="44" fontId="117" numFmtId="0" xfId="0" applyAlignment="1" applyFill="1" applyFont="1">
      <alignment horizontal="center" readingOrder="0" vertical="center"/>
    </xf>
    <xf borderId="0" fillId="6" fontId="124" numFmtId="0" xfId="0" applyAlignment="1" applyFont="1">
      <alignment horizontal="center" readingOrder="0"/>
    </xf>
    <xf borderId="0" fillId="6" fontId="125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/>
    </xf>
    <xf borderId="0" fillId="29" fontId="5" numFmtId="0" xfId="0" applyAlignment="1" applyFont="1">
      <alignment horizontal="center" readingOrder="0"/>
    </xf>
    <xf borderId="0" fillId="31" fontId="5" numFmtId="0" xfId="0" applyAlignment="1" applyFont="1">
      <alignment horizontal="center" readingOrder="0"/>
    </xf>
    <xf borderId="0" fillId="41" fontId="5" numFmtId="0" xfId="0" applyAlignment="1" applyFont="1">
      <alignment horizontal="center" readingOrder="0"/>
    </xf>
    <xf borderId="0" fillId="35" fontId="5" numFmtId="0" xfId="0" applyAlignment="1" applyFont="1">
      <alignment horizontal="center" readingOrder="0"/>
    </xf>
    <xf borderId="0" fillId="43" fontId="5" numFmtId="0" xfId="0" applyAlignment="1" applyFont="1">
      <alignment horizontal="center" readingOrder="0"/>
    </xf>
    <xf borderId="0" fillId="30" fontId="5" numFmtId="0" xfId="0" applyAlignment="1" applyFont="1">
      <alignment horizontal="center" readingOrder="0"/>
    </xf>
    <xf borderId="0" fillId="45" fontId="126" numFmtId="0" xfId="0" applyAlignment="1" applyFill="1" applyFont="1">
      <alignment horizontal="center" readingOrder="0" shrinkToFit="0" vertical="center" wrapText="1"/>
    </xf>
    <xf borderId="80" fillId="46" fontId="127" numFmtId="0" xfId="0" applyAlignment="1" applyBorder="1" applyFill="1" applyFont="1">
      <alignment horizontal="center" readingOrder="0" shrinkToFit="0" vertical="center" wrapText="1"/>
    </xf>
    <xf borderId="80" fillId="46" fontId="128" numFmtId="0" xfId="0" applyAlignment="1" applyBorder="1" applyFont="1">
      <alignment horizontal="center" readingOrder="0" shrinkToFit="0" vertical="center" wrapText="1"/>
    </xf>
    <xf borderId="80" fillId="46" fontId="129" numFmtId="0" xfId="0" applyAlignment="1" applyBorder="1" applyFont="1">
      <alignment horizontal="center" readingOrder="0" shrinkToFit="0" vertical="center" wrapText="1"/>
    </xf>
    <xf borderId="0" fillId="6" fontId="130" numFmtId="0" xfId="0" applyAlignment="1" applyFont="1">
      <alignment horizontal="center" readingOrder="0" shrinkToFit="0" vertical="center" wrapText="1"/>
    </xf>
    <xf borderId="80" fillId="46" fontId="131" numFmtId="0" xfId="0" applyAlignment="1" applyBorder="1" applyFont="1">
      <alignment horizontal="center" readingOrder="0" shrinkToFit="0" vertical="center" wrapText="1"/>
    </xf>
    <xf borderId="80" fillId="46" fontId="132" numFmtId="0" xfId="0" applyAlignment="1" applyBorder="1" applyFont="1">
      <alignment horizontal="center" readingOrder="0" shrinkToFit="0" vertical="center" wrapText="1"/>
    </xf>
    <xf borderId="80" fillId="46" fontId="133" numFmtId="0" xfId="0" applyAlignment="1" applyBorder="1" applyFont="1">
      <alignment horizontal="center" readingOrder="0" shrinkToFit="0" vertical="center" wrapText="1"/>
    </xf>
    <xf borderId="80" fillId="46" fontId="134" numFmtId="0" xfId="0" applyAlignment="1" applyBorder="1" applyFont="1">
      <alignment horizontal="center" readingOrder="0" shrinkToFit="0" vertical="center" wrapText="1"/>
    </xf>
    <xf borderId="80" fillId="46" fontId="129" numFmtId="0" xfId="0" applyAlignment="1" applyBorder="1" applyFont="1">
      <alignment horizontal="center" readingOrder="0" shrinkToFit="0" vertical="center" wrapText="1"/>
    </xf>
    <xf borderId="0" fillId="6" fontId="117" numFmtId="0" xfId="0" applyAlignment="1" applyFont="1">
      <alignment horizontal="center" readingOrder="0" shrinkToFit="0" vertical="center" wrapText="1"/>
    </xf>
    <xf borderId="0" fillId="13" fontId="135" numFmtId="0" xfId="0" applyAlignment="1" applyFont="1">
      <alignment horizontal="center" readingOrder="0" shrinkToFit="0" vertical="center" wrapText="1"/>
    </xf>
    <xf borderId="0" fillId="6" fontId="1" numFmtId="0" xfId="0" applyAlignment="1" applyFont="1">
      <alignment horizontal="center" readingOrder="0" vertical="center"/>
    </xf>
    <xf borderId="0" fillId="0" fontId="135" numFmtId="0" xfId="0" applyFont="1"/>
    <xf borderId="0" fillId="0" fontId="135" numFmtId="167" xfId="0" applyAlignment="1" applyFont="1" applyNumberFormat="1">
      <alignment horizontal="center" readingOrder="0" shrinkToFit="0" vertical="center" wrapText="1"/>
    </xf>
    <xf borderId="0" fillId="0" fontId="135" numFmtId="0" xfId="0" applyAlignment="1" applyFont="1">
      <alignment horizontal="center" readingOrder="0" shrinkToFit="0" vertical="center" wrapText="1"/>
    </xf>
    <xf borderId="0" fillId="0" fontId="136" numFmtId="167" xfId="0" applyAlignment="1" applyFont="1" applyNumberFormat="1">
      <alignment horizontal="center" readingOrder="0" shrinkToFit="0" vertical="center" wrapText="1"/>
    </xf>
    <xf borderId="0" fillId="0" fontId="137" numFmtId="0" xfId="0" applyFont="1"/>
    <xf borderId="0" fillId="47" fontId="126" numFmtId="0" xfId="0" applyAlignment="1" applyFill="1" applyFont="1">
      <alignment horizontal="center" readingOrder="0" shrinkToFit="0" vertical="center" wrapText="1"/>
    </xf>
    <xf borderId="80" fillId="46" fontId="138" numFmtId="0" xfId="0" applyAlignment="1" applyBorder="1" applyFont="1">
      <alignment horizontal="center" readingOrder="0" shrinkToFit="0" vertical="center" wrapText="1"/>
    </xf>
    <xf borderId="80" fillId="46" fontId="139" numFmtId="0" xfId="0" applyAlignment="1" applyBorder="1" applyFont="1">
      <alignment horizontal="center" readingOrder="0" shrinkToFit="0" vertical="center" wrapText="1"/>
    </xf>
    <xf borderId="80" fillId="46" fontId="140" numFmtId="0" xfId="0" applyAlignment="1" applyBorder="1" applyFont="1">
      <alignment horizontal="center" readingOrder="0" shrinkToFit="0" vertical="center" wrapText="1"/>
    </xf>
    <xf borderId="0" fillId="6" fontId="117" numFmtId="167" xfId="0" applyAlignment="1" applyFont="1" applyNumberFormat="1">
      <alignment horizontal="center" readingOrder="0" shrinkToFit="0" vertical="center" wrapText="1"/>
    </xf>
    <xf borderId="0" fillId="48" fontId="141" numFmtId="0" xfId="0" applyAlignment="1" applyFill="1" applyFont="1">
      <alignment horizontal="center" readingOrder="0" vertical="center"/>
    </xf>
    <xf borderId="0" fillId="6" fontId="14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26"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CA6D8C"/>
          <bgColor rgb="FFCA6D8C"/>
        </patternFill>
      </fill>
      <border/>
    </dxf>
    <dxf>
      <font/>
      <fill>
        <patternFill patternType="solid">
          <fgColor rgb="FFD7CFE9"/>
          <bgColor rgb="FFD7CFE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A61C00"/>
          <bgColor rgb="FFA61C00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FD700"/>
          <bgColor rgb="FFFFD700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</dxfs>
  <tableStyles count="1">
    <tableStyle count="3" pivot="0" name="TotalAverages-style">
      <tableStyleElement dxfId="20" type="headerRow"/>
      <tableStyleElement dxfId="21" type="firstRowStripe"/>
      <tableStyleElement dxfId="20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38" Type="http://schemas.openxmlformats.org/officeDocument/2006/relationships/pivotCacheDefinition" Target="pivotCache/pivotCacheDefinition2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J47" sheet="Halo Reach Stats"/>
  </cacheSource>
  <cacheFields>
    <cacheField name="Player" numFmtId="0">
      <sharedItems containsBlank="1">
        <s v="ActiveHate"/>
        <s v="ADhillyy"/>
        <s v="Almighty Tycoon"/>
        <s v="ASpence501"/>
        <s v="AwareMosquito"/>
        <s v="Beautytism"/>
        <s v="CaptainSev004"/>
        <s v="Cell x2"/>
        <s v="Dhlyn"/>
        <s v="Dior Glori"/>
        <s v="DlGITAL PAIN"/>
        <s v="Doerstopper"/>
        <s v="EllisGotMyPills"/>
        <s v="Finesse God24"/>
        <s v="GodSnipezX"/>
        <s v="Hells Angel cx"/>
        <s v="InfiniteRainge"/>
        <s v="Itzreelz"/>
        <s v="ixGingy"/>
        <s v="Judasey"/>
        <s v="L0RNA SHORE"/>
        <s v="L1ght5aber"/>
        <s v="Lane Uppy"/>
        <s v="Laser Wins"/>
        <s v="Luner Panda"/>
        <s v="Mavbrid"/>
        <s v="MealyKitten0"/>
        <s v="Mhurcy"/>
        <s v="MoldyVolts"/>
        <s v="MuNgO PuNgO"/>
        <s v="MysticalNovice"/>
        <s v="oDhmon"/>
        <s v="oh zilly"/>
        <s v="Scullen cx"/>
        <s v="Solace VIII"/>
        <s v="SPANKTR0N"/>
        <s v="TommyWstSide"/>
        <s v="yLuxe"/>
        <m/>
      </sharedItems>
    </cacheField>
    <cacheField name="Games Played" numFmtId="0">
      <sharedItems containsString="0" containsBlank="1" containsNumber="1" containsInteger="1">
        <n v="19.0"/>
        <n v="13.0"/>
        <n v="15.0"/>
        <n v="31.0"/>
        <n v="8.0"/>
        <n v="20.0"/>
        <n v="10.0"/>
        <n v="17.0"/>
        <n v="14.0"/>
        <n v="30.0"/>
        <n v="5.0"/>
        <n v="22.0"/>
        <n v="39.0"/>
        <n v="3.0"/>
        <n v="21.0"/>
        <n v="28.0"/>
        <n v="2.0"/>
        <n v="27.0"/>
        <n v="16.0"/>
        <n v="24.0"/>
        <m/>
      </sharedItems>
    </cacheField>
    <cacheField name="Wins" numFmtId="0">
      <sharedItems containsString="0" containsBlank="1" containsNumber="1" containsInteger="1">
        <n v="14.0"/>
        <n v="1.0"/>
        <n v="12.0"/>
        <n v="22.0"/>
        <n v="5.0"/>
        <n v="9.0"/>
        <n v="3.0"/>
        <n v="8.0"/>
        <n v="18.0"/>
        <n v="15.0"/>
        <n v="6.0"/>
        <n v="19.0"/>
        <n v="11.0"/>
        <n v="0.0"/>
        <n v="13.0"/>
        <n v="10.0"/>
        <n v="17.0"/>
        <m/>
      </sharedItems>
    </cacheField>
    <cacheField name="Losses" numFmtId="0">
      <sharedItems containsString="0" containsBlank="1" containsNumber="1" containsInteger="1">
        <n v="5.0"/>
        <n v="12.0"/>
        <n v="2.0"/>
        <n v="8.0"/>
        <n v="3.0"/>
        <n v="11.0"/>
        <n v="7.0"/>
        <n v="9.0"/>
        <n v="4.0"/>
        <n v="6.0"/>
        <n v="13.0"/>
        <n v="20.0"/>
        <n v="16.0"/>
        <n v="10.0"/>
        <n v="14.0"/>
        <m/>
      </sharedItems>
    </cacheField>
    <cacheField name="Goals" numFmtId="0">
      <sharedItems containsString="0" containsBlank="1" containsNumber="1" containsInteger="1">
        <n v="0.0"/>
        <n v="1.0"/>
        <n v="4.0"/>
        <n v="8.0"/>
        <n v="3.0"/>
        <n v="2.0"/>
        <n v="14.0"/>
        <n v="38.0"/>
        <n v="9.0"/>
        <n v="7.0"/>
        <n v="45.0"/>
        <n v="59.0"/>
        <n v="16.0"/>
        <n v="54.0"/>
        <n v="48.0"/>
        <n v="27.0"/>
        <n v="5.0"/>
        <n v="39.0"/>
        <n v="10.0"/>
        <n v="50.0"/>
        <n v="6.0"/>
        <n v="12.0"/>
        <n v="73.0"/>
        <m/>
      </sharedItems>
    </cacheField>
    <cacheField name="Bomb Kills" numFmtId="0">
      <sharedItems containsString="0" containsBlank="1" containsNumber="1" containsInteger="1">
        <n v="1.0"/>
        <n v="7.0"/>
        <n v="18.0"/>
        <n v="5.0"/>
        <n v="4.0"/>
        <n v="23.0"/>
        <n v="271.0"/>
        <n v="42.0"/>
        <n v="145.0"/>
        <n v="337.0"/>
        <n v="3.0"/>
        <n v="278.0"/>
        <n v="40.0"/>
        <n v="290.0"/>
        <n v="2.0"/>
        <n v="142.0"/>
        <n v="112.0"/>
        <n v="56.0"/>
        <n v="345.0"/>
        <n v="6.0"/>
        <n v="13.0"/>
        <n v="10.0"/>
        <n v="26.0"/>
        <n v="11.0"/>
        <n v="17.0"/>
        <n v="14.0"/>
        <n v="455.0"/>
        <m/>
      </sharedItems>
    </cacheField>
    <cacheField name="Kills" numFmtId="0">
      <sharedItems containsString="0" containsBlank="1" containsNumber="1" containsInteger="1">
        <n v="2097.0"/>
        <n v="813.0"/>
        <n v="1214.0"/>
        <n v="3111.0"/>
        <n v="680.0"/>
        <n v="1598.0"/>
        <n v="860.0"/>
        <n v="962.0"/>
        <n v="1232.0"/>
        <n v="886.0"/>
        <n v="3704.0"/>
        <n v="1169.0"/>
        <n v="1114.0"/>
        <n v="289.0"/>
        <n v="1955.0"/>
        <n v="1387.0"/>
        <n v="1758.0"/>
        <n v="2386.0"/>
        <n v="4156.0"/>
        <n v="481.0"/>
        <n v="1035.0"/>
        <n v="1396.0"/>
        <n v="1294.0"/>
        <n v="1125.0"/>
        <n v="869.0"/>
        <n v="2015.0"/>
        <n v="1132.0"/>
        <n v="861.0"/>
        <n v="2269.0"/>
        <n v="109.0"/>
        <n v="3306.0"/>
        <n v="2828.0"/>
        <n v="2234.0"/>
        <n v="1529.0"/>
        <n v="2781.0"/>
        <n v="1351.0"/>
        <n v="1637.0"/>
        <n v="1755.0"/>
        <m/>
      </sharedItems>
    </cacheField>
    <cacheField name="Deaths" numFmtId="0">
      <sharedItems containsString="0" containsBlank="1" containsNumber="1" containsInteger="1">
        <n v="2764.0"/>
        <n v="1157.0"/>
        <n v="1481.0"/>
        <n v="3132.0"/>
        <n v="860.0"/>
        <n v="1361.0"/>
        <n v="1053.0"/>
        <n v="1031.0"/>
        <n v="1094.0"/>
        <n v="1014.0"/>
        <n v="2930.0"/>
        <n v="1778.0"/>
        <n v="846.0"/>
        <n v="344.0"/>
        <n v="2003.0"/>
        <n v="1391.0"/>
        <n v="1574.0"/>
        <n v="1944.0"/>
        <n v="3797.0"/>
        <n v="404.0"/>
        <n v="942.0"/>
        <n v="1545.0"/>
        <n v="1459.0"/>
        <n v="1640.0"/>
        <n v="1168.0"/>
        <n v="1948.0"/>
        <n v="1262.0"/>
        <n v="979.0"/>
        <n v="3015.0"/>
        <n v="198.0"/>
        <n v="3584.0"/>
        <n v="2136.0"/>
        <n v="2632.0"/>
        <n v="2040.0"/>
        <n v="2488.0"/>
        <n v="1413.0"/>
        <n v="2177.0"/>
        <n v="1331.0"/>
        <m/>
      </sharedItems>
    </cacheField>
    <cacheField name="Spread" numFmtId="0">
      <sharedItems containsString="0" containsBlank="1" containsNumber="1" containsInteger="1">
        <n v="-667.0"/>
        <n v="-344.0"/>
        <n v="-267.0"/>
        <n v="-21.0"/>
        <n v="-180.0"/>
        <n v="237.0"/>
        <n v="-193.0"/>
        <n v="-69.0"/>
        <n v="138.0"/>
        <n v="-128.0"/>
        <n v="774.0"/>
        <n v="-609.0"/>
        <n v="268.0"/>
        <n v="-55.0"/>
        <n v="-48.0"/>
        <n v="-4.0"/>
        <n v="184.0"/>
        <n v="442.0"/>
        <n v="359.0"/>
        <n v="77.0"/>
        <n v="93.0"/>
        <n v="-149.0"/>
        <n v="-165.0"/>
        <n v="-515.0"/>
        <n v="-299.0"/>
        <n v="67.0"/>
        <n v="-130.0"/>
        <n v="-118.0"/>
        <n v="-746.0"/>
        <n v="-89.0"/>
        <n v="-278.0"/>
        <n v="692.0"/>
        <n v="-398.0"/>
        <n v="-511.0"/>
        <n v="293.0"/>
        <n v="-62.0"/>
        <n v="-540.0"/>
        <n v="424.0"/>
        <m/>
      </sharedItems>
    </cacheField>
    <cacheField name="Assists" numFmtId="0">
      <sharedItems containsString="0" containsBlank="1" containsNumber="1" containsInteger="1">
        <n v="156.0"/>
        <n v="64.0"/>
        <n v="76.0"/>
        <n v="253.0"/>
        <n v="31.0"/>
        <n v="146.0"/>
        <n v="53.0"/>
        <n v="62.0"/>
        <n v="58.0"/>
        <n v="68.0"/>
        <n v="222.0"/>
        <n v="26.0"/>
        <n v="47.0"/>
        <n v="15.0"/>
        <n v="121.0"/>
        <n v="99.0"/>
        <n v="122.0"/>
        <n v="145.0"/>
        <n v="273.0"/>
        <n v="35.0"/>
        <n v="98.0"/>
        <n v="119.0"/>
        <n v="36.0"/>
        <n v="135.0"/>
        <n v="77.0"/>
        <n v="61.0"/>
        <n v="206.0"/>
        <n v="6.0"/>
        <n v="157.0"/>
        <n v="147.0"/>
        <n v="160.0"/>
        <n v="117.0"/>
        <n v="189.0"/>
        <n v="100.0"/>
        <n v="57.0"/>
        <m/>
      </sharedItems>
    </cacheField>
    <cacheField name="Streak" numFmtId="0">
      <sharedItems containsString="0" containsBlank="1" containsNumber="1" containsInteger="1">
        <n v="6.0"/>
        <n v="8.0"/>
        <n v="5.0"/>
        <n v="9.0"/>
        <n v="7.0"/>
        <n v="15.0"/>
        <n v="11.0"/>
        <n v="10.0"/>
        <n v="4.0"/>
        <n v="12.0"/>
        <n v="14.0"/>
        <n v="13.0"/>
        <n v="22.0"/>
        <m/>
      </sharedItems>
    </cacheField>
    <cacheField name="Betrayals" numFmtId="0">
      <sharedItems containsString="0" containsBlank="1" containsNumber="1" containsInteger="1">
        <n v="22.0"/>
        <n v="16.0"/>
        <n v="36.0"/>
        <n v="2.0"/>
        <n v="82.0"/>
        <n v="15.0"/>
        <n v="18.0"/>
        <n v="32.0"/>
        <n v="52.0"/>
        <n v="11.0"/>
        <n v="13.0"/>
        <n v="6.0"/>
        <n v="44.0"/>
        <n v="28.0"/>
        <n v="26.0"/>
        <n v="74.0"/>
        <n v="20.0"/>
        <n v="41.0"/>
        <n v="24.0"/>
        <n v="14.0"/>
        <n v="10.0"/>
        <n v="25.0"/>
        <n v="49.0"/>
        <n v="58.0"/>
        <n v="37.0"/>
        <n v="47.0"/>
        <n v="23.0"/>
        <n v="17.0"/>
        <n v="35.0"/>
        <m/>
      </sharedItems>
    </cacheField>
    <cacheField name="Time Alive" numFmtId="0">
      <sharedItems containsString="0" containsBlank="1" containsNumber="1" containsInteger="1">
        <n v="30763.0"/>
        <n v="12414.0"/>
        <n v="19621.0"/>
        <n v="38513.0"/>
        <n v="9692.0"/>
        <n v="25358.0"/>
        <n v="14456.0"/>
        <n v="13666.0"/>
        <n v="22743.0"/>
        <n v="15115.0"/>
        <n v="46434.0"/>
        <n v="26620.0"/>
        <n v="31839.0"/>
        <n v="3991.0"/>
        <n v="26123.0"/>
        <n v="25307.0"/>
        <n v="22674.0"/>
        <n v="29845.0"/>
        <n v="57927.0"/>
        <n v="5599.0"/>
        <n v="21202.0"/>
        <n v="21812.0"/>
        <n v="21659.0"/>
        <n v="33543.0"/>
        <n v="14646.0"/>
        <n v="42949.0"/>
        <n v="14387.0"/>
        <n v="12984.0"/>
        <n v="39842.0"/>
        <n v="1791.0"/>
        <n v="36376.0"/>
        <n v="35914.0"/>
        <n v="27716.0"/>
        <n v="23344.0"/>
        <n v="33503.0"/>
        <n v="20678.0"/>
        <n v="25821.0"/>
        <n v="31631.0"/>
        <m/>
      </sharedItems>
    </cacheField>
    <cacheField name="Game Time" numFmtId="0">
      <sharedItems containsString="0" containsBlank="1" containsNumber="1" containsInteger="1">
        <n v="40842.0"/>
        <n v="17077.0"/>
        <n v="25265.0"/>
        <n v="50525.0"/>
        <n v="13038.0"/>
        <n v="31403.0"/>
        <n v="18500.0"/>
        <n v="17877.0"/>
        <n v="27667.0"/>
        <n v="19374.0"/>
        <n v="58027.0"/>
        <n v="33421.0"/>
        <n v="36051.0"/>
        <n v="5447.0"/>
        <n v="34084.0"/>
        <n v="28735.0"/>
        <n v="37748.0"/>
        <n v="72805.0"/>
        <n v="7072.0"/>
        <n v="25596.0"/>
        <n v="27738.0"/>
        <n v="40284.0"/>
        <n v="51364.0"/>
        <n v="51435.0"/>
        <n v="2536.0"/>
        <n v="49586.0"/>
        <n v="44233.0"/>
        <n v="37296.0"/>
        <n v="42753.0"/>
        <n v="26392.0"/>
        <n v="34465.0"/>
        <n v="37582.0"/>
        <m/>
      </sharedItems>
    </cacheField>
    <cacheField name="Average Life" numFmtId="0">
      <sharedItems containsString="0" containsBlank="1" containsNumber="1" containsInteger="1">
        <n v="11.0"/>
        <n v="10.0"/>
        <n v="13.0"/>
        <n v="12.0"/>
        <n v="18.0"/>
        <n v="20.0"/>
        <n v="14.0"/>
        <n v="15.0"/>
        <n v="37.0"/>
        <n v="22.0"/>
        <n v="9.0"/>
        <n v="16.0"/>
        <n v="23.0"/>
        <m/>
      </sharedItems>
    </cacheField>
    <cacheField name="Carry Time" numFmtId="0">
      <sharedItems containsString="0" containsBlank="1" containsNumber="1" containsInteger="1">
        <n v="53.0"/>
        <n v="70.0"/>
        <n v="199.0"/>
        <n v="452.0"/>
        <n v="832.0"/>
        <n v="219.0"/>
        <n v="148.0"/>
        <n v="1593.0"/>
        <n v="10537.0"/>
        <n v="2011.0"/>
        <n v="795.0"/>
        <n v="10839.0"/>
        <n v="19443.0"/>
        <n v="21.0"/>
        <n v="353.0"/>
        <n v="9125.0"/>
        <n v="109.0"/>
        <n v="1796.0"/>
        <n v="10023.0"/>
        <n v="45.0"/>
        <n v="7914.0"/>
        <n v="216.0"/>
        <n v="274.0"/>
        <n v="14865.0"/>
        <n v="2317.0"/>
        <n v="16378.0"/>
        <n v="358.0"/>
        <n v="437.0"/>
        <n v="449.0"/>
        <n v="19.0"/>
        <n v="450.0"/>
        <n v="1605.0"/>
        <n v="1105.0"/>
        <n v="575.0"/>
        <n v="404.0"/>
        <n v="166.0"/>
        <n v="15028.0"/>
        <m/>
      </sharedItems>
    </cacheField>
    <cacheField name="Bomb Stops" numFmtId="0">
      <sharedItems containsString="0" containsBlank="1" containsNumber="1" containsInteger="1">
        <n v="0.0"/>
        <m/>
      </sharedItems>
    </cacheField>
    <cacheField name="Killing Sprees" numFmtId="0">
      <sharedItems containsString="0" containsBlank="1" containsNumber="1" containsInteger="1">
        <n v="19.0"/>
        <n v="2.0"/>
        <n v="8.0"/>
        <n v="43.0"/>
        <n v="37.0"/>
        <n v="7.0"/>
        <n v="9.0"/>
        <n v="92.0"/>
        <n v="6.0"/>
        <n v="36.0"/>
        <n v="0.0"/>
        <n v="24.0"/>
        <n v="34.0"/>
        <n v="65.0"/>
        <n v="84.0"/>
        <n v="12.0"/>
        <n v="16.0"/>
        <n v="4.0"/>
        <n v="17.0"/>
        <n v="23.0"/>
        <n v="68.0"/>
        <n v="18.0"/>
        <n v="11.0"/>
        <n v="56.0"/>
        <n v="27.0"/>
        <n v="3.0"/>
        <n v="60.0"/>
        <m/>
      </sharedItems>
    </cacheField>
    <cacheField name="Killing Frenzies" numFmtId="0">
      <sharedItems containsString="0" containsBlank="1" containsNumber="1" containsInteger="1">
        <n v="0.0"/>
        <n v="5.0"/>
        <n v="2.0"/>
        <n v="3.0"/>
        <n v="1.0"/>
        <n v="4.0"/>
        <n v="6.0"/>
        <m/>
      </sharedItems>
    </cacheField>
    <cacheField name="Running Riots" numFmtId="0">
      <sharedItems containsString="0" containsBlank="1" containsNumber="1" containsInteger="1">
        <n v="0.0"/>
        <n v="1.0"/>
        <n v="2.0"/>
        <m/>
      </sharedItems>
    </cacheField>
    <cacheField name="Rampages" numFmtId="0">
      <sharedItems containsString="0" containsBlank="1" containsNumber="1" containsInteger="1">
        <n v="0.0"/>
        <n v="1.0"/>
        <m/>
      </sharedItems>
    </cacheField>
    <cacheField name="Hammer Sprees" numFmtId="0">
      <sharedItems containsString="0" containsBlank="1" containsNumber="1" containsInteger="1">
        <n v="17.0"/>
        <n v="2.0"/>
        <n v="7.0"/>
        <n v="35.0"/>
        <n v="34.0"/>
        <n v="6.0"/>
        <n v="8.0"/>
        <n v="5.0"/>
        <n v="83.0"/>
        <n v="0.0"/>
        <n v="22.0"/>
        <n v="3.0"/>
        <n v="29.0"/>
        <n v="55.0"/>
        <n v="46.0"/>
        <n v="12.0"/>
        <n v="16.0"/>
        <n v="14.0"/>
        <n v="15.0"/>
        <n v="19.0"/>
        <n v="61.0"/>
        <n v="10.0"/>
        <n v="49.0"/>
        <n v="27.0"/>
        <n v="11.0"/>
        <m/>
      </sharedItems>
    </cacheField>
    <cacheField name="Sword Sprees" numFmtId="0">
      <sharedItems containsString="0" containsBlank="1" containsNumber="1" containsInteger="1">
        <n v="0.0"/>
        <n v="1.0"/>
        <m/>
      </sharedItems>
    </cacheField>
    <cacheField name="Double Kills" numFmtId="0">
      <sharedItems containsString="0" containsBlank="1" containsNumber="1" containsInteger="1">
        <n v="286.0"/>
        <n v="103.0"/>
        <n v="130.0"/>
        <n v="490.0"/>
        <n v="69.0"/>
        <n v="191.0"/>
        <n v="101.0"/>
        <n v="132.0"/>
        <n v="175.0"/>
        <n v="107.0"/>
        <n v="634.0"/>
        <n v="97.0"/>
        <n v="115.0"/>
        <n v="37.0"/>
        <n v="279.0"/>
        <n v="192.0"/>
        <n v="282.0"/>
        <n v="389.0"/>
        <n v="608.0"/>
        <n v="83.0"/>
        <n v="142.0"/>
        <n v="162.0"/>
        <n v="183.0"/>
        <n v="90.0"/>
        <n v="91.0"/>
        <n v="249.0"/>
        <n v="152.0"/>
        <n v="124.0"/>
        <n v="264.0"/>
        <n v="11.0"/>
        <n v="583.0"/>
        <n v="472.0"/>
        <n v="342.0"/>
        <n v="230.0"/>
        <n v="429.0"/>
        <n v="188.0"/>
        <n v="222.0"/>
        <m/>
      </sharedItems>
    </cacheField>
    <cacheField name="Triple Kills" numFmtId="0">
      <sharedItems containsString="0" containsBlank="1" containsNumber="1" containsInteger="1">
        <n v="57.0"/>
        <n v="20.0"/>
        <n v="22.0"/>
        <n v="87.0"/>
        <n v="9.0"/>
        <n v="25.0"/>
        <n v="11.0"/>
        <n v="26.0"/>
        <n v="31.0"/>
        <n v="13.0"/>
        <n v="114.0"/>
        <n v="6.0"/>
        <n v="15.0"/>
        <n v="4.0"/>
        <n v="44.0"/>
        <n v="29.0"/>
        <n v="52.0"/>
        <n v="92.0"/>
        <n v="111.0"/>
        <n v="19.0"/>
        <n v="28.0"/>
        <n v="34.0"/>
        <n v="37.0"/>
        <n v="3.0"/>
        <n v="118.0"/>
        <n v="73.0"/>
        <n v="63.0"/>
        <n v="43.0"/>
        <n v="18.0"/>
        <n v="55.0"/>
        <m/>
      </sharedItems>
    </cacheField>
    <cacheField name="Overkills" numFmtId="0">
      <sharedItems containsString="0" containsBlank="1" containsNumber="1" containsInteger="1">
        <n v="10.0"/>
        <n v="2.0"/>
        <n v="6.0"/>
        <n v="14.0"/>
        <n v="1.0"/>
        <n v="5.0"/>
        <n v="0.0"/>
        <n v="8.0"/>
        <n v="23.0"/>
        <n v="3.0"/>
        <n v="27.0"/>
        <n v="26.0"/>
        <n v="4.0"/>
        <n v="21.0"/>
        <n v="13.0"/>
        <n v="16.0"/>
        <n v="17.0"/>
        <m/>
      </sharedItems>
    </cacheField>
    <cacheField name="Killtaculars" numFmtId="0">
      <sharedItems containsString="0" containsBlank="1" containsNumber="1" containsInteger="1">
        <n v="0.0"/>
        <n v="1.0"/>
        <n v="6.0"/>
        <n v="2.0"/>
        <n v="3.0"/>
        <n v="10.0"/>
        <n v="4.0"/>
        <n v="11.0"/>
        <n v="5.0"/>
        <m/>
      </sharedItems>
    </cacheField>
    <cacheField name="Killtrocities" numFmtId="0">
      <sharedItems containsString="0" containsBlank="1" containsNumber="1" containsInteger="1">
        <n v="0.0"/>
        <n v="1.0"/>
        <n v="2.0"/>
        <n v="6.0"/>
        <m/>
      </sharedItems>
    </cacheField>
    <cacheField name="Killamanjaros" numFmtId="0">
      <sharedItems containsString="0" containsBlank="1" containsNumber="1" containsInteger="1">
        <n v="0.0"/>
        <n v="1.0"/>
        <n v="3.0"/>
        <m/>
      </sharedItems>
    </cacheField>
    <cacheField name="Killtastrophe" numFmtId="0">
      <sharedItems containsString="0" containsBlank="1" containsNumber="1" containsInteger="1">
        <n v="0.0"/>
        <n v="1.0"/>
        <m/>
      </sharedItems>
    </cacheField>
    <cacheField name="Killpocalypses" numFmtId="0">
      <sharedItems containsString="0" containsBlank="1" containsNumber="1" containsInteger="1">
        <n v="0.0"/>
        <n v="1.0"/>
        <m/>
      </sharedItems>
    </cacheField>
    <cacheField name="Killionaire" numFmtId="0">
      <sharedItems containsString="0" containsBlank="1" containsNumber="1" containsInteger="1">
        <n v="0.0"/>
        <m/>
      </sharedItems>
    </cacheField>
    <cacheField name="Exterms" numFmtId="0">
      <sharedItems containsString="0" containsBlank="1" containsNumber="1" containsInteger="1">
        <n v="0.0"/>
        <n v="2.0"/>
        <n v="1.0"/>
        <m/>
      </sharedItems>
    </cacheField>
    <cacheField name="Bulltrues" numFmtId="0">
      <sharedItems containsString="0" containsBlank="1" containsNumber="1" containsInteger="1">
        <n v="51.0"/>
        <n v="26.0"/>
        <n v="33.0"/>
        <n v="137.0"/>
        <n v="20.0"/>
        <n v="74.0"/>
        <n v="30.0"/>
        <n v="37.0"/>
        <n v="43.0"/>
        <n v="127.0"/>
        <n v="14.0"/>
        <n v="17.0"/>
        <n v="11.0"/>
        <n v="112.0"/>
        <n v="18.0"/>
        <n v="54.0"/>
        <n v="109.0"/>
        <n v="193.0"/>
        <n v="21.0"/>
        <n v="41.0"/>
        <n v="64.0"/>
        <n v="38.0"/>
        <n v="25.0"/>
        <n v="29.0"/>
        <n v="115.0"/>
        <n v="5.0"/>
        <n v="99.0"/>
        <n v="221.0"/>
        <n v="101.0"/>
        <n v="48.0"/>
        <n v="50.0"/>
        <m/>
      </sharedItems>
    </cacheField>
    <cacheField name="Assassinations" numFmtId="0">
      <sharedItems containsString="0" containsBlank="1" containsNumber="1" containsInteger="1">
        <n v="0.0"/>
        <n v="1.0"/>
        <n v="2.0"/>
        <n v="4.0"/>
        <m/>
      </sharedItems>
    </cacheField>
    <cacheField name="Avengers" numFmtId="0">
      <sharedItems containsString="0" containsBlank="1" containsNumber="1" containsInteger="1">
        <n v="160.0"/>
        <n v="71.0"/>
        <n v="138.0"/>
        <n v="377.0"/>
        <n v="38.0"/>
        <n v="213.0"/>
        <n v="108.0"/>
        <n v="120.0"/>
        <n v="182.0"/>
        <n v="105.0"/>
        <n v="510.0"/>
        <n v="151.0"/>
        <n v="235.0"/>
        <n v="23.0"/>
        <n v="146.0"/>
        <n v="211.0"/>
        <n v="215.0"/>
        <n v="266.0"/>
        <n v="489.0"/>
        <n v="45.0"/>
        <n v="175.0"/>
        <n v="148.0"/>
        <n v="113.0"/>
        <n v="136.0"/>
        <n v="93.0"/>
        <n v="318.0"/>
        <n v="101.0"/>
        <n v="80.0"/>
        <n v="236.0"/>
        <n v="10.0"/>
        <n v="324.0"/>
        <n v="164.0"/>
        <n v="278.0"/>
        <n v="126.0"/>
        <n v="183.0"/>
        <n v="298.0"/>
        <m/>
      </sharedItems>
    </cacheField>
    <cacheField name="k-d whores" formula="(Kills+Assists-Deaths)/('Game Time'/60)" databaseField="0"/>
    <cacheField name="w key warrior" formula="(Kills+Assists+Deaths)/('Game Time'/60)" databaseField="0"/>
    <cacheField name="Spree King" formula="'Killing Sprees'/('Game Time'/60)" databaseField="0"/>
    <cacheField name="Sugar Daddies" formula="('Killing Sprees'+'Killing Frenzies')/('Game Time'/60)" databaseField="0"/>
    <cacheField name="Helping Hands" formula="(Assists+Avengers)/('Game Time'/60)" databaseField="0"/>
    <cacheField name="Running Wild" formula="('Double Kills'+'Triple Kills'+Overkills+Killtaculars+Killtrocities+Killamanjaros+Killtastrophe)/('Game Time'/60)" databaseField="0"/>
    <cacheField name="Overrated" formula="('Triple Kills'+Overkills+Killtaculars+Killtrocities+Killamanjaros+Killtastrophe)/Kills" databaseField="0"/>
    <cacheField name="Ball God" formula="('Bomb Kills'+Goals)/((('Carry Time'+'Game Time')/2)/60)" databaseField="0"/>
    <cacheField name="avengers2" formula="Avengers/('Game Time'/60)" databaseField="0"/>
    <cacheField name="Betrayal Master" formula="Betrayals/('Game Time'/60)" databaseField="0"/>
    <cacheField name="Kills Per Betrayal" formula="IFERROR(Kills/Betrayals, Kills)" databaseField="0"/>
    <cacheField name="6-S HEXAS" formula="(Goals/'Games Played'/5)+(Kills+Assists-Deaths+'Double Kills'+'Triple Kills'+Overkills+Killtaculars+Killtrocities+Killamanjaros)/('Game Time'/60)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L1177" sheet="HR_MatchH"/>
  </cacheSource>
  <cacheFields>
    <cacheField name="Player" numFmtId="0">
      <sharedItems containsBlank="1">
        <s v="MuNgO PuNgO"/>
        <s v="yLuxe"/>
        <s v="ASpence501"/>
        <s v="GodSnipezX"/>
        <s v="SPANKTR0N"/>
        <s v="Lane Uppy"/>
        <s v="Itzreelz"/>
        <s v="Dhlyn"/>
        <s v="ADhillyy"/>
        <s v="Finesse God24"/>
        <s v="L0RNA SHORE"/>
        <s v="Mhurcy"/>
        <s v="TommyWstSide"/>
        <s v="Scullen cx"/>
        <s v="Hells Angel cx"/>
        <s v="Beautytism"/>
        <s v="Dior Glori"/>
        <s v="Luner Panda"/>
        <s v="MealyKitten0"/>
        <s v="Cell x2"/>
        <s v="MysticalNovice"/>
        <s v="MoldyVolts"/>
        <s v="Judasey"/>
        <s v="Mavbrid"/>
        <s v="Laser Wins"/>
        <s v="oh zilly"/>
        <s v="ixGingy"/>
        <s v="oDhmon"/>
        <s v="ActiveHate"/>
        <s v="DlGITAL PAIN"/>
        <s v="Solace VIII"/>
        <s v="EllisGotMyPills"/>
        <s v="L1ght5aber"/>
        <s v="CaptainSev004"/>
        <s v="InfiniteRainge"/>
        <s v="Doerstopper"/>
        <s v="Almighty Tycoon"/>
        <s v="AwareMosquito"/>
        <m/>
      </sharedItems>
    </cacheField>
    <cacheField name="Games Played" numFmtId="0">
      <sharedItems containsString="0" containsBlank="1" containsNumber="1" containsInteger="1">
        <n v="1.0"/>
        <n v="0.0"/>
        <m/>
      </sharedItems>
    </cacheField>
    <cacheField name="Wins" numFmtId="0">
      <sharedItems containsString="0" containsBlank="1" containsNumber="1" containsInteger="1">
        <n v="0.0"/>
        <n v="1.0"/>
        <m/>
      </sharedItems>
    </cacheField>
    <cacheField name="Losses" numFmtId="0">
      <sharedItems containsString="0" containsBlank="1" containsNumber="1" containsInteger="1">
        <n v="1.0"/>
        <n v="0.0"/>
        <m/>
      </sharedItems>
    </cacheField>
    <cacheField name="Goals" numFmtId="0">
      <sharedItems containsString="0" containsBlank="1" containsNumber="1" containsInteger="1">
        <n v="0.0"/>
        <n v="1.0"/>
        <n v="2.0"/>
        <n v="5.0"/>
        <n v="3.0"/>
        <n v="4.0"/>
        <m/>
      </sharedItems>
    </cacheField>
    <cacheField name="Bomb Kills" numFmtId="0">
      <sharedItems containsString="0" containsBlank="1" containsNumber="1" containsInteger="1">
        <n v="0.0"/>
        <n v="13.0"/>
        <n v="1.0"/>
        <n v="6.0"/>
        <n v="2.0"/>
        <n v="4.0"/>
        <n v="7.0"/>
        <n v="11.0"/>
        <n v="20.0"/>
        <n v="8.0"/>
        <n v="3.0"/>
        <n v="14.0"/>
        <n v="24.0"/>
        <n v="9.0"/>
        <n v="5.0"/>
        <n v="17.0"/>
        <n v="15.0"/>
        <n v="10.0"/>
        <n v="18.0"/>
        <n v="19.0"/>
        <n v="16.0"/>
        <n v="27.0"/>
        <n v="26.0"/>
        <n v="28.0"/>
        <n v="30.0"/>
        <n v="29.0"/>
        <n v="35.0"/>
        <n v="12.0"/>
        <n v="22.0"/>
        <n v="63.0"/>
        <n v="25.0"/>
        <n v="23.0"/>
        <n v="38.0"/>
        <n v="21.0"/>
        <n v="34.0"/>
        <n v="47.0"/>
        <m/>
      </sharedItems>
    </cacheField>
    <cacheField name="Kills" numFmtId="0">
      <sharedItems containsString="0" containsBlank="1" containsNumber="1" containsInteger="1">
        <n v="35.0"/>
        <n v="57.0"/>
        <n v="56.0"/>
        <n v="61.0"/>
        <n v="67.0"/>
        <n v="55.0"/>
        <n v="85.0"/>
        <n v="40.0"/>
        <n v="22.0"/>
        <n v="32.0"/>
        <n v="39.0"/>
        <n v="24.0"/>
        <n v="25.0"/>
        <n v="33.0"/>
        <n v="36.0"/>
        <n v="16.0"/>
        <n v="27.0"/>
        <n v="30.0"/>
        <n v="21.0"/>
        <n v="88.0"/>
        <n v="101.0"/>
        <n v="121.0"/>
        <n v="84.0"/>
        <n v="152.0"/>
        <n v="91.0"/>
        <n v="158.0"/>
        <n v="53.0"/>
        <n v="83.0"/>
        <n v="81.0"/>
        <n v="45.0"/>
        <n v="62.0"/>
        <n v="73.0"/>
        <n v="52.0"/>
        <n v="68.0"/>
        <n v="51.0"/>
        <n v="66.0"/>
        <n v="98.0"/>
        <n v="76.0"/>
        <n v="77.0"/>
        <n v="109.0"/>
        <n v="115.0"/>
        <n v="69.0"/>
        <n v="124.0"/>
        <n v="100.0"/>
        <n v="133.0"/>
        <n v="80.0"/>
        <n v="113.0"/>
        <n v="126.0"/>
        <n v="130.0"/>
        <n v="108.0"/>
        <n v="29.0"/>
        <n v="37.0"/>
        <n v="41.0"/>
        <n v="60.0"/>
        <n v="93.0"/>
        <n v="90.0"/>
        <n v="82.0"/>
        <n v="63.0"/>
        <n v="79.0"/>
        <n v="111.0"/>
        <n v="58.0"/>
        <n v="325.0"/>
        <n v="277.0"/>
        <n v="350.0"/>
        <n v="234.0"/>
        <n v="388.0"/>
        <n v="431.0"/>
        <n v="341.0"/>
        <n v="99.0"/>
        <n v="71.0"/>
        <n v="42.0"/>
        <n v="70.0"/>
        <n v="116.0"/>
        <n v="137.0"/>
        <n v="64.0"/>
        <n v="102.0"/>
        <n v="138.0"/>
        <n v="120.0"/>
        <n v="46.0"/>
        <n v="48.0"/>
        <n v="38.0"/>
        <n v="96.0"/>
        <n v="129.0"/>
        <n v="134.0"/>
        <n v="117.0"/>
        <n v="205.0"/>
        <n v="181.0"/>
        <n v="141.0"/>
        <n v="105.0"/>
        <n v="92.0"/>
        <n v="119.0"/>
        <n v="34.0"/>
        <n v="31.0"/>
        <n v="75.0"/>
        <n v="65.0"/>
        <n v="43.0"/>
        <n v="95.0"/>
        <n v="147.0"/>
        <n v="160.0"/>
        <n v="118.0"/>
        <n v="155.0"/>
        <n v="208.0"/>
        <n v="204.0"/>
        <n v="159.0"/>
        <n v="89.0"/>
        <n v="139.0"/>
        <n v="156.0"/>
        <n v="106.0"/>
        <n v="125.0"/>
        <n v="78.0"/>
        <n v="26.0"/>
        <n v="54.0"/>
        <n v="49.0"/>
        <n v="44.0"/>
        <n v="74.0"/>
        <n v="59.0"/>
        <n v="123.0"/>
        <n v="110.0"/>
        <n v="17.0"/>
        <n v="122.0"/>
        <n v="86.0"/>
        <n v="167.0"/>
        <n v="196.0"/>
        <n v="140.0"/>
        <n v="132.0"/>
        <n v="104.0"/>
        <n v="151.0"/>
        <n v="94.0"/>
        <n v="87.0"/>
        <n v="112.0"/>
        <n v="242.0"/>
        <n v="174.0"/>
        <n v="175.0"/>
        <n v="161.0"/>
        <n v="128.0"/>
        <n v="145.0"/>
        <n v="199.0"/>
        <n v="127.0"/>
        <n v="195.0"/>
        <n v="162.0"/>
        <n v="28.0"/>
        <n v="23.0"/>
        <n v="19.0"/>
        <n v="50.0"/>
        <n v="72.0"/>
        <n v="131.0"/>
        <n v="194.0"/>
        <n v="176.0"/>
        <n v="107.0"/>
        <n v="20.0"/>
        <n v="47.0"/>
        <n v="18.0"/>
        <n v="97.0"/>
        <n v="157.0"/>
        <n v="144.0"/>
        <n v="197.0"/>
        <n v="212.0"/>
        <n v="188.0"/>
        <n v="248.0"/>
        <n v="232.0"/>
        <n v="187.0"/>
        <n v="193.0"/>
        <n v="201.0"/>
        <n v="192.0"/>
        <n v="221.0"/>
        <n v="170.0"/>
        <n v="184.0"/>
        <n v="238.0"/>
        <n v="173.0"/>
        <n v="215.0"/>
        <n v="185.0"/>
        <n v="226.0"/>
        <n v="148.0"/>
        <n v="8.0"/>
        <n v="136.0"/>
        <n v="150.0"/>
        <n v="169.0"/>
        <n v="103.0"/>
        <n v="154.0"/>
        <n v="189.0"/>
        <n v="163.0"/>
        <n v="146.0"/>
        <n v="114.0"/>
        <n v="210.0"/>
        <n v="219.0"/>
        <n v="165.0"/>
        <n v="143.0"/>
        <n v="200.0"/>
        <n v="171.0"/>
        <n v="153.0"/>
        <m/>
      </sharedItems>
    </cacheField>
    <cacheField name="Deaths" numFmtId="0">
      <sharedItems containsString="0" containsBlank="1" containsNumber="1" containsInteger="1">
        <n v="77.0"/>
        <n v="38.0"/>
        <n v="66.0"/>
        <n v="62.0"/>
        <n v="55.0"/>
        <n v="34.0"/>
        <n v="42.0"/>
        <n v="43.0"/>
        <n v="31.0"/>
        <n v="29.0"/>
        <n v="33.0"/>
        <n v="28.0"/>
        <n v="19.0"/>
        <n v="47.0"/>
        <n v="40.0"/>
        <n v="37.0"/>
        <n v="30.0"/>
        <n v="16.0"/>
        <n v="104.0"/>
        <n v="153.0"/>
        <n v="137.0"/>
        <n v="84.0"/>
        <n v="146.0"/>
        <n v="102.0"/>
        <n v="107.0"/>
        <n v="57.0"/>
        <n v="85.0"/>
        <n v="87.0"/>
        <n v="86.0"/>
        <n v="75.0"/>
        <n v="59.0"/>
        <n v="56.0"/>
        <n v="67.0"/>
        <n v="76.0"/>
        <n v="50.0"/>
        <n v="68.0"/>
        <n v="61.0"/>
        <n v="134.0"/>
        <n v="95.0"/>
        <n v="99.0"/>
        <n v="110.0"/>
        <n v="139.0"/>
        <n v="120.0"/>
        <n v="103.0"/>
        <n v="150.0"/>
        <n v="151.0"/>
        <n v="79.0"/>
        <n v="105.0"/>
        <n v="147.0"/>
        <n v="132.0"/>
        <n v="91.0"/>
        <n v="58.0"/>
        <n v="41.0"/>
        <n v="60.0"/>
        <n v="52.0"/>
        <n v="20.0"/>
        <n v="92.0"/>
        <n v="98.0"/>
        <n v="121.0"/>
        <n v="94.0"/>
        <n v="82.0"/>
        <n v="336.0"/>
        <n v="320.0"/>
        <n v="266.0"/>
        <n v="365.0"/>
        <n v="436.0"/>
        <n v="361.0"/>
        <n v="292.0"/>
        <n v="125.0"/>
        <n v="74.0"/>
        <n v="72.0"/>
        <n v="80.0"/>
        <n v="44.0"/>
        <n v="49.0"/>
        <n v="111.0"/>
        <n v="128.0"/>
        <n v="115.0"/>
        <n v="140.0"/>
        <n v="70.0"/>
        <n v="53.0"/>
        <n v="119.0"/>
        <n v="96.0"/>
        <n v="69.0"/>
        <n v="189.0"/>
        <n v="179.0"/>
        <n v="117.0"/>
        <n v="124.0"/>
        <n v="186.0"/>
        <n v="54.0"/>
        <n v="113.0"/>
        <n v="126.0"/>
        <n v="73.0"/>
        <n v="15.0"/>
        <n v="39.0"/>
        <n v="35.0"/>
        <n v="65.0"/>
        <n v="71.0"/>
        <n v="26.0"/>
        <n v="45.0"/>
        <n v="135.0"/>
        <n v="175.0"/>
        <n v="185.0"/>
        <n v="97.0"/>
        <n v="173.0"/>
        <n v="223.0"/>
        <n v="190.0"/>
        <n v="133.0"/>
        <n v="109.0"/>
        <n v="172.0"/>
        <n v="138.0"/>
        <n v="171.0"/>
        <n v="100.0"/>
        <n v="129.0"/>
        <n v="142.0"/>
        <n v="63.0"/>
        <n v="51.0"/>
        <n v="93.0"/>
        <n v="114.0"/>
        <n v="112.0"/>
        <n v="130.0"/>
        <n v="101.0"/>
        <n v="64.0"/>
        <n v="81.0"/>
        <n v="83.0"/>
        <n v="136.0"/>
        <n v="180.0"/>
        <n v="148.0"/>
        <n v="198.0"/>
        <n v="123.0"/>
        <n v="90.0"/>
        <n v="88.0"/>
        <n v="131.0"/>
        <n v="89.0"/>
        <n v="32.0"/>
        <n v="225.0"/>
        <n v="183.0"/>
        <n v="160.0"/>
        <n v="273.0"/>
        <n v="220.0"/>
        <n v="12.0"/>
        <n v="182.0"/>
        <n v="196.0"/>
        <n v="141.0"/>
        <n v="162.0"/>
        <n v="212.0"/>
        <n v="27.0"/>
        <n v="155.0"/>
        <n v="118.0"/>
        <n v="17.0"/>
        <n v="21.0"/>
        <n v="22.0"/>
        <n v="25.0"/>
        <n v="23.0"/>
        <n v="78.0"/>
        <n v="192.0"/>
        <n v="108.0"/>
        <n v="152.0"/>
        <n v="18.0"/>
        <n v="36.0"/>
        <n v="48.0"/>
        <n v="46.0"/>
        <n v="163.0"/>
        <n v="197.0"/>
        <n v="174.0"/>
        <n v="159.0"/>
        <n v="158.0"/>
        <n v="188.0"/>
        <n v="216.0"/>
        <n v="164.0"/>
        <n v="209.0"/>
        <n v="205.0"/>
        <n v="213.0"/>
        <n v="191.0"/>
        <n v="264.0"/>
        <n v="214.0"/>
        <n v="24.0"/>
        <n v="145.0"/>
        <n v="116.0"/>
        <n v="251.0"/>
        <n v="228.0"/>
        <n v="169.0"/>
        <n v="285.0"/>
        <n v="249.0"/>
        <n v="122.0"/>
        <n v="143.0"/>
        <n v="167.0"/>
        <n v="149.0"/>
        <n v="201.0"/>
        <n v="168.0"/>
        <n v="166.0"/>
        <n v="154.0"/>
        <m/>
      </sharedItems>
    </cacheField>
    <cacheField name="Spread" numFmtId="0">
      <sharedItems containsString="0" containsBlank="1" containsNumber="1" containsInteger="1">
        <n v="-42.0"/>
        <n v="19.0"/>
        <n v="-21.0"/>
        <n v="-5.0"/>
        <n v="5.0"/>
        <n v="0.0"/>
        <n v="6.0"/>
        <n v="-20.0"/>
        <n v="-11.0"/>
        <n v="8.0"/>
        <n v="2.0"/>
        <n v="-18.0"/>
        <n v="17.0"/>
        <n v="-31.0"/>
        <n v="-16.0"/>
        <n v="-2.0"/>
        <n v="1.0"/>
        <n v="-13.0"/>
        <n v="27.0"/>
        <n v="-52.0"/>
        <n v="51.0"/>
        <n v="4.0"/>
        <n v="-32.0"/>
        <n v="-4.0"/>
        <n v="24.0"/>
        <n v="3.0"/>
        <n v="-24.0"/>
        <n v="-7.0"/>
        <n v="12.0"/>
        <n v="-27.0"/>
        <n v="-10.0"/>
        <n v="48.0"/>
        <n v="16.0"/>
        <n v="-25.0"/>
        <n v="20.0"/>
        <n v="-33.0"/>
        <n v="25.0"/>
        <n v="-12.0"/>
        <n v="-39.0"/>
        <n v="13.0"/>
        <n v="18.0"/>
        <n v="10.0"/>
        <n v="9.0"/>
        <n v="-8.0"/>
        <n v="-19.0"/>
        <n v="14.0"/>
        <n v="-35.0"/>
        <n v="29.0"/>
        <n v="-43.0"/>
        <n v="84.0"/>
        <n v="-131.0"/>
        <n v="-48.0"/>
        <n v="70.0"/>
        <n v="49.0"/>
        <n v="-26.0"/>
        <n v="-15.0"/>
        <n v="-3.0"/>
        <n v="23.0"/>
        <n v="-23.0"/>
        <n v="-6.0"/>
        <n v="7.0"/>
        <n v="-38.0"/>
        <n v="-36.0"/>
        <n v="32.0"/>
        <n v="-60.0"/>
        <n v="-55.0"/>
        <n v="59.0"/>
        <n v="44.0"/>
        <n v="-45.0"/>
        <n v="-9.0"/>
        <n v="15.0"/>
        <n v="11.0"/>
        <n v="-1.0"/>
        <n v="26.0"/>
        <n v="-47.0"/>
        <n v="-30.0"/>
        <n v="-71.0"/>
        <n v="21.0"/>
        <n v="-49.0"/>
        <n v="-17.0"/>
        <n v="-51.0"/>
        <n v="-29.0"/>
        <n v="-14.0"/>
        <n v="39.0"/>
        <n v="41.0"/>
        <n v="36.0"/>
        <n v="38.0"/>
        <n v="-46.0"/>
        <n v="-66.0"/>
        <n v="-22.0"/>
        <n v="61.0"/>
        <n v="34.0"/>
        <n v="-62.0"/>
        <n v="-61.0"/>
        <n v="35.0"/>
        <n v="-99.0"/>
        <n v="-59.0"/>
        <n v="50.0"/>
        <n v="-73.0"/>
        <n v="54.0"/>
        <n v="-50.0"/>
        <n v="68.0"/>
        <n v="31.0"/>
        <n v="40.0"/>
        <n v="28.0"/>
        <n v="-41.0"/>
        <n v="22.0"/>
        <n v="-28.0"/>
        <n v="57.0"/>
        <n v="-67.0"/>
        <n v="-40.0"/>
        <n v="53.0"/>
        <n v="90.0"/>
        <n v="-90.0"/>
        <n v="46.0"/>
        <n v="42.0"/>
        <n v="-63.0"/>
        <n v="-70.0"/>
        <n v="-64.0"/>
        <n v="66.0"/>
        <n v="30.0"/>
        <n v="33.0"/>
        <n v="-44.0"/>
        <m/>
      </sharedItems>
    </cacheField>
    <cacheField name="Assists" numFmtId="0">
      <sharedItems containsString="0" containsBlank="1" containsNumber="1" containsInteger="1">
        <n v="4.0"/>
        <n v="0.0"/>
        <n v="3.0"/>
        <n v="1.0"/>
        <n v="7.0"/>
        <n v="5.0"/>
        <n v="2.0"/>
        <n v="6.0"/>
        <n v="8.0"/>
        <n v="10.0"/>
        <n v="9.0"/>
        <n v="13.0"/>
        <n v="18.0"/>
        <n v="17.0"/>
        <n v="21.0"/>
        <n v="23.0"/>
        <n v="24.0"/>
        <n v="26.0"/>
        <n v="16.0"/>
        <n v="11.0"/>
        <n v="15.0"/>
        <n v="14.0"/>
        <n v="22.0"/>
        <n v="12.0"/>
        <n v="19.0"/>
        <m/>
      </sharedItems>
    </cacheField>
    <cacheField name="Streak" numFmtId="0">
      <sharedItems containsString="0" containsBlank="1" containsNumber="1" containsInteger="1">
        <n v="2.0"/>
        <n v="10.0"/>
        <n v="4.0"/>
        <n v="5.0"/>
        <n v="3.0"/>
        <n v="7.0"/>
        <n v="6.0"/>
        <n v="9.0"/>
        <n v="8.0"/>
        <n v="12.0"/>
        <n v="11.0"/>
        <n v="15.0"/>
        <n v="13.0"/>
        <n v="22.0"/>
        <n v="14.0"/>
        <n v="1.0"/>
        <m/>
      </sharedItems>
    </cacheField>
    <cacheField name="Betrayals" numFmtId="0">
      <sharedItems containsString="0" containsBlank="1" containsNumber="1" containsInteger="1">
        <n v="0.0"/>
        <n v="2.0"/>
        <n v="1.0"/>
        <n v="3.0"/>
        <n v="4.0"/>
        <n v="7.0"/>
        <n v="5.0"/>
        <n v="8.0"/>
        <n v="6.0"/>
        <n v="10.0"/>
        <n v="11.0"/>
        <m/>
      </sharedItems>
    </cacheField>
    <cacheField name="Time Alive" numFmtId="0">
      <sharedItems containsString="0" containsBlank="1" containsNumber="1" containsInteger="1">
        <n v="748.0"/>
        <n v="863.0"/>
        <n v="742.0"/>
        <n v="776.0"/>
        <n v="781.0"/>
        <n v="809.0"/>
        <n v="775.0"/>
        <n v="871.0"/>
        <n v="500.0"/>
        <n v="496.0"/>
        <n v="534.0"/>
        <n v="535.0"/>
        <n v="517.0"/>
        <n v="492.0"/>
        <n v="536.0"/>
        <n v="561.0"/>
        <n v="547.0"/>
        <n v="597.0"/>
        <n v="587.0"/>
        <n v="571.0"/>
        <n v="595.0"/>
        <n v="631.0"/>
        <n v="1476.0"/>
        <n v="1331.0"/>
        <n v="1372.0"/>
        <n v="1544.0"/>
        <n v="1348.0"/>
        <n v="1477.0"/>
        <n v="1466.0"/>
        <n v="1620.0"/>
        <n v="800.0"/>
        <n v="802.0"/>
        <n v="892.0"/>
        <n v="938.0"/>
        <n v="833.0"/>
        <n v="876.0"/>
        <n v="889.0"/>
        <n v="745.0"/>
        <n v="769.0"/>
        <n v="747.0"/>
        <n v="821.0"/>
        <n v="765.0"/>
        <n v="785.0"/>
        <n v="856.0"/>
        <n v="1352.0"/>
        <n v="1461.0"/>
        <n v="1446.0"/>
        <n v="1451.0"/>
        <n v="1426.0"/>
        <n v="1329.0"/>
        <n v="1395.0"/>
        <n v="1558.0"/>
        <n v="1781.0"/>
        <n v="1649.0"/>
        <n v="1642.0"/>
        <n v="1857.0"/>
        <n v="1776.0"/>
        <n v="1644.0"/>
        <n v="1696.0"/>
        <n v="1815.0"/>
        <n v="614.0"/>
        <n v="607.0"/>
        <n v="627.0"/>
        <n v="671.0"/>
        <n v="610.0"/>
        <n v="675.0"/>
        <n v="640.0"/>
        <n v="726.0"/>
        <n v="1198.0"/>
        <n v="1162.0"/>
        <n v="1146.0"/>
        <n v="1140.0"/>
        <n v="1071.0"/>
        <n v="1147.0"/>
        <n v="1182.0"/>
        <n v="1300.0"/>
        <n v="4902.0"/>
        <n v="4956.0"/>
        <n v="5118.0"/>
        <n v="4829.0"/>
        <n v="4237.0"/>
        <n v="4835.0"/>
        <n v="5032.0"/>
        <n v="5532.0"/>
        <n v="825.0"/>
        <n v="874.0"/>
        <n v="883.0"/>
        <n v="946.0"/>
        <n v="852.0"/>
        <n v="960.0"/>
        <n v="835.0"/>
        <n v="1736.0"/>
        <n v="1673.0"/>
        <n v="1660.0"/>
        <n v="1821.0"/>
        <n v="1718.0"/>
        <n v="1641.0"/>
        <n v="1663.0"/>
        <n v="1849.0"/>
        <n v="574.0"/>
        <n v="563.0"/>
        <n v="674.0"/>
        <n v="565.0"/>
        <n v="575.0"/>
        <n v="564.0"/>
        <n v="600.0"/>
        <n v="613.0"/>
        <n v="1254.0"/>
        <n v="1273.0"/>
        <n v="1214.0"/>
        <n v="1391.0"/>
        <n v="1282.0"/>
        <n v="1327.0"/>
        <n v="1362.0"/>
        <n v="1319.0"/>
        <n v="1902.0"/>
        <n v="1937.0"/>
        <n v="2122.0"/>
        <n v="2106.0"/>
        <n v="2040.0"/>
        <n v="2058.0"/>
        <n v="1916.0"/>
        <n v="2302.0"/>
        <n v="1283.0"/>
        <n v="1365.0"/>
        <n v="1252.0"/>
        <n v="1397.0"/>
        <n v="1235.0"/>
        <n v="1402.0"/>
        <n v="1309.0"/>
        <n v="1465.0"/>
        <n v="770.0"/>
        <n v="650.0"/>
        <n v="672.0"/>
        <n v="639.0"/>
        <n v="659.0"/>
        <n v="703.0"/>
        <n v="623.0"/>
        <n v="655.0"/>
        <n v="1000.0"/>
        <n v="910.0"/>
        <n v="917.0"/>
        <n v="927.0"/>
        <n v="955.0"/>
        <n v="890.0"/>
        <n v="868.0"/>
        <n v="568.0"/>
        <n v="524.0"/>
        <n v="529.0"/>
        <n v="514.0"/>
        <n v="526.0"/>
        <n v="505.0"/>
        <n v="1939.0"/>
        <n v="1816.0"/>
        <n v="1771.0"/>
        <n v="1817.0"/>
        <n v="1738.0"/>
        <n v="1841.0"/>
        <n v="1760.0"/>
        <n v="1734.0"/>
        <n v="2466.0"/>
        <n v="2299.0"/>
        <n v="2370.0"/>
        <n v="2262.0"/>
        <n v="2528.0"/>
        <n v="2305.0"/>
        <n v="2147.0"/>
        <n v="2255.0"/>
        <n v="2072.0"/>
        <n v="1801.0"/>
        <n v="1871.0"/>
        <n v="1680.0"/>
        <n v="1791.0"/>
        <n v="1685.0"/>
        <n v="1828.0"/>
        <n v="1901.0"/>
        <n v="1957.0"/>
        <n v="1682.0"/>
        <n v="1643.0"/>
        <n v="1775.0"/>
        <n v="1802.0"/>
        <n v="1709.0"/>
        <n v="1679.0"/>
        <n v="1666.0"/>
        <n v="861.0"/>
        <n v="836.0"/>
        <n v="864.0"/>
        <n v="915.0"/>
        <n v="788.0"/>
        <n v="767.0"/>
        <n v="725.0"/>
        <n v="654.0"/>
        <n v="738.0"/>
        <n v="700.0"/>
        <n v="683.0"/>
        <n v="699.0"/>
        <n v="1400.0"/>
        <n v="1262.0"/>
        <n v="1299.0"/>
        <n v="1272.0"/>
        <n v="1277.0"/>
        <n v="1207.0"/>
        <n v="1499.0"/>
        <n v="1444.0"/>
        <n v="1617.0"/>
        <n v="1531.0"/>
        <n v="1501.0"/>
        <n v="1450.0"/>
        <n v="653.0"/>
        <n v="586.0"/>
        <n v="551.0"/>
        <n v="553.0"/>
        <n v="592.0"/>
        <n v="615.0"/>
        <n v="1077.0"/>
        <n v="969.0"/>
        <n v="952.0"/>
        <n v="948.0"/>
        <n v="950.0"/>
        <n v="976.0"/>
        <n v="1166.0"/>
        <n v="1161.0"/>
        <n v="1164.0"/>
        <n v="1195.0"/>
        <n v="1200.0"/>
        <n v="1156.0"/>
        <n v="1043.0"/>
        <n v="1120.0"/>
        <n v="2447.0"/>
        <n v="2188.0"/>
        <n v="2124.0"/>
        <n v="2047.0"/>
        <n v="2182.0"/>
        <n v="2247.0"/>
        <n v="2150.0"/>
        <n v="2001.0"/>
        <n v="1615.0"/>
        <n v="1502.0"/>
        <n v="1442.0"/>
        <n v="1375.0"/>
        <n v="1529.0"/>
        <n v="1443.0"/>
        <n v="1714.0"/>
        <n v="1596.0"/>
        <n v="1574.0"/>
        <n v="1534.0"/>
        <n v="1624.0"/>
        <n v="1548.0"/>
        <n v="1566.0"/>
        <n v="1599.0"/>
        <n v="1835.0"/>
        <n v="1768.0"/>
        <n v="1797.0"/>
        <n v="1765.0"/>
        <n v="1662.0"/>
        <n v="1639.0"/>
        <n v="1953.0"/>
        <n v="1954.0"/>
        <n v="1824.0"/>
        <n v="1889.0"/>
        <n v="2100.0"/>
        <n v="1859.0"/>
        <n v="1936.0"/>
        <n v="737.0"/>
        <n v="762.0"/>
        <n v="768.0"/>
        <n v="837.0"/>
        <n v="755.0"/>
        <n v="687.0"/>
        <n v="2891.0"/>
        <n v="2511.0"/>
        <n v="2642.0"/>
        <n v="2660.0"/>
        <n v="2722.0"/>
        <n v="2762.0"/>
        <n v="2532.0"/>
        <n v="502.0"/>
        <n v="508.0"/>
        <n v="531.0"/>
        <n v="507.0"/>
        <n v="513.0"/>
        <n v="480.0"/>
        <n v="493.0"/>
        <n v="1528.0"/>
        <n v="1494.0"/>
        <n v="1452.0"/>
        <n v="1386.0"/>
        <n v="2612.0"/>
        <n v="2230.0"/>
        <n v="2197.0"/>
        <n v="2294.0"/>
        <n v="2343.0"/>
        <n v="2349.0"/>
        <n v="2291.0"/>
        <n v="2140.0"/>
        <n v="812.0"/>
        <n v="780.0"/>
        <n v="746.0"/>
        <n v="786.0"/>
        <n v="772.0"/>
        <n v="796.0"/>
        <n v="1711.0"/>
        <n v="1607.0"/>
        <n v="1557.0"/>
        <n v="1606.0"/>
        <n v="1774.0"/>
        <n v="1511.0"/>
        <n v="1627.0"/>
        <n v="1579.0"/>
        <n v="287.0"/>
        <n v="263.0"/>
        <n v="266.0"/>
        <n v="249.0"/>
        <n v="247.0"/>
        <n v="260.0"/>
        <n v="230.0"/>
        <n v="604.0"/>
        <n v="643.0"/>
        <n v="649.0"/>
        <n v="1066.0"/>
        <n v="980.0"/>
        <n v="1014.0"/>
        <n v="977.0"/>
        <n v="1141.0"/>
        <n v="997.0"/>
        <n v="998.0"/>
        <n v="936.0"/>
        <n v="1974.0"/>
        <n v="1862.0"/>
        <n v="2111.0"/>
        <n v="2042.0"/>
        <n v="2016.0"/>
        <n v="1981.0"/>
        <n v="1980.0"/>
        <n v="473.0"/>
        <n v="435.0"/>
        <n v="447.0"/>
        <n v="420.0"/>
        <n v="389.0"/>
        <n v="432.0"/>
        <n v="476.0"/>
        <n v="472.0"/>
        <n v="423.0"/>
        <n v="449.0"/>
        <n v="419.0"/>
        <n v="445.0"/>
        <n v="406.0"/>
        <n v="417.0"/>
        <n v="384.0"/>
        <n v="956.0"/>
        <n v="834.0"/>
        <n v="870.0"/>
        <n v="916.0"/>
        <n v="906.0"/>
        <n v="859.0"/>
        <n v="954.0"/>
        <n v="989.0"/>
        <n v="942.0"/>
        <n v="964.0"/>
        <n v="913.0"/>
        <n v="934.0"/>
        <n v="926.0"/>
        <n v="1039.0"/>
        <n v="978.0"/>
        <n v="1100.0"/>
        <n v="1003.0"/>
        <n v="945.0"/>
        <n v="1047.0"/>
        <n v="1419.0"/>
        <n v="1430.0"/>
        <n v="1422.0"/>
        <n v="1356.0"/>
        <n v="1454.0"/>
        <n v="2246.0"/>
        <n v="2314.0"/>
        <n v="2194.0"/>
        <n v="2344.0"/>
        <n v="2512.0"/>
        <n v="2271.0"/>
        <n v="2310.0"/>
        <n v="2306.0"/>
        <n v="2967.0"/>
        <n v="2621.0"/>
        <n v="2525.0"/>
        <n v="2439.0"/>
        <n v="2592.0"/>
        <n v="2470.0"/>
        <n v="2478.0"/>
        <n v="2571.0"/>
        <n v="3018.0"/>
        <n v="2758.0"/>
        <n v="2637.0"/>
        <n v="2707.0"/>
        <n v="3013.0"/>
        <n v="2831.0"/>
        <n v="2487.0"/>
        <n v="847.0"/>
        <n v="804.0"/>
        <n v="736.0"/>
        <n v="756.0"/>
        <n v="771.0"/>
        <n v="724.0"/>
        <n v="749.0"/>
        <n v="777.0"/>
        <n v="961.0"/>
        <n v="884.0"/>
        <n v="828.0"/>
        <n v="857.0"/>
        <n v="817.0"/>
        <n v="787.0"/>
        <n v="1041.0"/>
        <n v="1004.0"/>
        <n v="974.0"/>
        <n v="1002.0"/>
        <n v="1051.0"/>
        <n v="921.0"/>
        <n v="792.0"/>
        <n v="845.0"/>
        <n v="799.0"/>
        <n v="803.0"/>
        <n v="782.0"/>
        <n v="1364.0"/>
        <n v="1293.0"/>
        <n v="1286.0"/>
        <n v="1370.0"/>
        <n v="1374.0"/>
        <n v="1314.0"/>
        <n v="1573.0"/>
        <n v="1366.0"/>
        <n v="1347.0"/>
        <n v="1423.0"/>
        <n v="1350.0"/>
        <n v="2029.0"/>
        <n v="2015.0"/>
        <n v="2127.0"/>
        <n v="2030.0"/>
        <n v="2265.0"/>
        <n v="2041.0"/>
        <n v="3482.0"/>
        <n v="3160.0"/>
        <n v="3077.0"/>
        <n v="3069.0"/>
        <n v="3322.0"/>
        <n v="2973.0"/>
        <n v="3078.0"/>
        <n v="3348.0"/>
        <n v="1930.0"/>
        <n v="1733.0"/>
        <n v="1731.0"/>
        <n v="1602.0"/>
        <n v="1830.0"/>
        <n v="1704.0"/>
        <n v="1727.0"/>
        <n v="751.0"/>
        <n v="734.0"/>
        <n v="811.0"/>
        <n v="872.0"/>
        <n v="855.0"/>
        <n v="848.0"/>
        <n v="935.0"/>
        <n v="822.0"/>
        <n v="570.0"/>
        <n v="511.0"/>
        <n v="516.0"/>
        <n v="474.0"/>
        <n v="475.0"/>
        <n v="1324.0"/>
        <n v="1202.0"/>
        <n v="1298.0"/>
        <n v="1304.0"/>
        <n v="1240.0"/>
        <n v="1281.0"/>
        <n v="1244.0"/>
        <n v="1292.0"/>
        <n v="670.0"/>
        <n v="714.0"/>
        <n v="705.0"/>
        <n v="321.0"/>
        <n v="310.0"/>
        <n v="290.0"/>
        <n v="308.0"/>
        <n v="298.0"/>
        <n v="282.0"/>
        <n v="279.0"/>
        <n v="1571.0"/>
        <n v="1593.0"/>
        <n v="1441.0"/>
        <n v="1493.0"/>
        <n v="1623.0"/>
        <n v="1584.0"/>
        <n v="1495.0"/>
        <n v="1404.0"/>
        <n v="1320.0"/>
        <n v="1159.0"/>
        <n v="1210.0"/>
        <n v="1206.0"/>
        <n v="1258.0"/>
        <n v="1175.0"/>
        <n v="1189.0"/>
        <n v="1384.0"/>
        <n v="1403.0"/>
        <n v="1549.0"/>
        <n v="1343.0"/>
        <n v="1054.0"/>
        <n v="1108.0"/>
        <n v="1157.0"/>
        <n v="1030.0"/>
        <n v="1061.0"/>
        <n v="1097.0"/>
        <n v="1088.0"/>
        <n v="1268.0"/>
        <n v="1191.0"/>
        <n v="1151.0"/>
        <n v="1170.0"/>
        <n v="1218.0"/>
        <n v="1163.0"/>
        <n v="1217.0"/>
        <n v="1091.0"/>
        <n v="1807.0"/>
        <n v="1715.0"/>
        <n v="1640.0"/>
        <n v="1795.0"/>
        <n v="2013.0"/>
        <n v="1885.0"/>
        <n v="1932.0"/>
        <n v="2048.0"/>
        <n v="1997.0"/>
        <n v="1934.0"/>
        <n v="1860.0"/>
        <n v="2115.0"/>
        <n v="662.0"/>
        <n v="625.0"/>
        <n v="606.0"/>
        <n v="608.0"/>
        <n v="668.0"/>
        <n v="646.0"/>
        <n v="562.0"/>
        <n v="559.0"/>
        <n v="1018.0"/>
        <n v="1145.0"/>
        <n v="965.0"/>
        <n v="1053.0"/>
        <n v="1024.0"/>
        <n v="1017.0"/>
        <n v="2345.0"/>
        <n v="2151.0"/>
        <n v="1958.0"/>
        <n v="2132.0"/>
        <n v="2053.0"/>
        <n v="2043.0"/>
        <n v="1978.0"/>
        <n v="1462.0"/>
        <n v="1411.0"/>
        <n v="1325.0"/>
        <n v="1396.0"/>
        <n v="1576.0"/>
        <n v="1427.0"/>
        <n v="1385.0"/>
        <n v="2353.0"/>
        <n v="2376.0"/>
        <n v="2257.0"/>
        <n v="2158.0"/>
        <n v="2547.0"/>
        <n v="2250.0"/>
        <n v="2234.0"/>
        <n v="2172.0"/>
        <n v="2014.0"/>
        <n v="1986.0"/>
        <n v="1965.0"/>
        <n v="1994.0"/>
        <n v="2046.0"/>
        <n v="2075.0"/>
        <n v="2068.0"/>
        <n v="1186.0"/>
        <n v="1089.0"/>
        <n v="1092.0"/>
        <n v="1104.0"/>
        <n v="1094.0"/>
        <n v="582.0"/>
        <n v="518.0"/>
        <n v="521.0"/>
        <n v="523.0"/>
        <n v="546.0"/>
        <n v="794.0"/>
        <n v="696.0"/>
        <n v="779.0"/>
        <n v="721.0"/>
        <n v="716.0"/>
        <n v="704.0"/>
        <n v="2119.0"/>
        <n v="2097.0"/>
        <n v="2289.0"/>
        <n v="2034.0"/>
        <n v="2173.0"/>
        <n v="2180.0"/>
        <m/>
      </sharedItems>
    </cacheField>
    <cacheField name="Game Time" numFmtId="0">
      <sharedItems containsString="0" containsBlank="1" containsNumber="1" containsInteger="1">
        <n v="1039.0"/>
        <n v="702.0"/>
        <n v="765.0"/>
        <n v="1897.0"/>
        <n v="1137.0"/>
        <n v="1081.0"/>
        <n v="1871.0"/>
        <n v="2213.0"/>
        <n v="884.0"/>
        <n v="1497.0"/>
        <n v="6030.0"/>
        <n v="5695.0"/>
        <n v="1173.0"/>
        <n v="2141.0"/>
        <n v="787.0"/>
        <n v="1677.0"/>
        <n v="2579.0"/>
        <n v="1711.0"/>
        <n v="1185.0"/>
        <n v="675.0"/>
        <n v="2285.0"/>
        <n v="2913.0"/>
        <n v="2262.0"/>
        <n v="2189.0"/>
        <n v="1117.0"/>
        <n v="950.0"/>
        <n v="1645.0"/>
        <n v="1928.0"/>
        <n v="796.0"/>
        <n v="1245.0"/>
        <n v="2687.0"/>
        <n v="2603.0"/>
        <n v="1860.0"/>
        <n v="2003.0"/>
        <n v="2130.0"/>
        <n v="2342.0"/>
        <n v="997.0"/>
        <n v="3284.0"/>
        <n v="700.0"/>
        <n v="1916.0"/>
        <n v="2798.0"/>
        <n v="1035.0"/>
        <n v="2026.0"/>
        <n v="426.0"/>
        <n v="931.0"/>
        <n v="1335.0"/>
        <n v="2555.0"/>
        <n v="596.0"/>
        <n v="608.0"/>
        <n v="1174.0"/>
        <n v="1238.0"/>
        <n v="1311.0"/>
        <n v="1800.0"/>
        <n v="2886.0"/>
        <n v="3212.0"/>
        <n v="3357.0"/>
        <n v="998.0"/>
        <n v="1127.0"/>
        <n v="1320.0"/>
        <n v="1092.0"/>
        <n v="1675.0"/>
        <n v="1778.0"/>
        <n v="2513.0"/>
        <n v="3949.0"/>
        <n v="3881.0"/>
        <n v="2199.0"/>
        <n v="999.0"/>
        <n v="965.0"/>
        <n v="1119.0"/>
        <n v="713.0"/>
        <n v="1576.0"/>
        <n v="925.0"/>
        <n v="451.0"/>
        <n v="1929.0"/>
        <n v="1582.0"/>
        <n v="1839.0"/>
        <n v="1438.0"/>
        <n v="1408.0"/>
        <n v="2219.0"/>
        <n v="2438.0"/>
        <n v="768.0"/>
        <n v="839.0"/>
        <n v="1341.0"/>
        <n v="2591.0"/>
        <n v="1787.0"/>
        <n v="2855.0"/>
        <n v="2620.0"/>
        <n v="1388.0"/>
        <n v="773.0"/>
        <n v="991.0"/>
        <n v="2740.0"/>
        <m/>
      </sharedItems>
    </cacheField>
    <cacheField name="Average Life" numFmtId="0">
      <sharedItems containsString="0" containsBlank="1" containsNumber="1" containsInteger="1">
        <n v="9.0"/>
        <n v="22.0"/>
        <n v="11.0"/>
        <n v="12.0"/>
        <n v="14.0"/>
        <n v="25.0"/>
        <n v="17.0"/>
        <n v="18.0"/>
        <n v="15.0"/>
        <n v="19.0"/>
        <n v="29.0"/>
        <n v="20.0"/>
        <n v="39.0"/>
        <n v="8.0"/>
        <n v="10.0"/>
        <n v="13.0"/>
        <n v="28.0"/>
        <n v="16.0"/>
        <n v="23.0"/>
        <n v="36.0"/>
        <n v="30.0"/>
        <n v="44.0"/>
        <n v="21.0"/>
        <n v="26.0"/>
        <n v="35.0"/>
        <n v="42.0"/>
        <n v="51.0"/>
        <n v="31.0"/>
        <n v="24.0"/>
        <n v="34.0"/>
        <n v="37.0"/>
        <n v="52.0"/>
        <n v="27.0"/>
        <n v="55.0"/>
        <n v="49.0"/>
        <n v="46.0"/>
        <n v="32.0"/>
        <n v="6.0"/>
        <n v="53.0"/>
        <n v="41.0"/>
        <n v="74.0"/>
        <n v="38.0"/>
        <n v="43.0"/>
        <n v="56.0"/>
        <n v="45.0"/>
        <m/>
      </sharedItems>
    </cacheField>
    <cacheField name="Carry Time" numFmtId="0">
      <sharedItems containsString="0" containsBlank="1" containsNumber="1" containsInteger="1">
        <n v="0.0"/>
        <n v="413.0"/>
        <n v="41.0"/>
        <n v="4.0"/>
        <n v="431.0"/>
        <n v="40.0"/>
        <n v="2.0"/>
        <n v="67.0"/>
        <n v="84.0"/>
        <n v="12.0"/>
        <n v="39.0"/>
        <n v="232.0"/>
        <n v="58.0"/>
        <n v="7.0"/>
        <n v="132.0"/>
        <n v="3.0"/>
        <n v="10.0"/>
        <n v="14.0"/>
        <n v="441.0"/>
        <n v="44.0"/>
        <n v="60.0"/>
        <n v="9.0"/>
        <n v="579.0"/>
        <n v="15.0"/>
        <n v="909.0"/>
        <n v="238.0"/>
        <n v="363.0"/>
        <n v="19.0"/>
        <n v="153.0"/>
        <n v="167.0"/>
        <n v="133.0"/>
        <n v="86.0"/>
        <n v="43.0"/>
        <n v="42.0"/>
        <n v="65.0"/>
        <n v="493.0"/>
        <n v="5.0"/>
        <n v="310.0"/>
        <n v="382.0"/>
        <n v="18.0"/>
        <n v="13.0"/>
        <n v="32.0"/>
        <n v="847.0"/>
        <n v="1013.0"/>
        <n v="273.0"/>
        <n v="35.0"/>
        <n v="64.0"/>
        <n v="475.0"/>
        <n v="185.0"/>
        <n v="501.0"/>
        <n v="217.0"/>
        <n v="143.0"/>
        <n v="23.0"/>
        <n v="73.0"/>
        <n v="20.0"/>
        <n v="848.0"/>
        <n v="29.0"/>
        <n v="988.0"/>
        <n v="106.0"/>
        <n v="568.0"/>
        <n v="3951.0"/>
        <n v="24.0"/>
        <n v="577.0"/>
        <n v="26.0"/>
        <n v="1.0"/>
        <n v="46.0"/>
        <n v="287.0"/>
        <n v="22.0"/>
        <n v="715.0"/>
        <n v="11.0"/>
        <n v="8.0"/>
        <n v="862.0"/>
        <n v="492.0"/>
        <n v="25.0"/>
        <n v="119.0"/>
        <n v="600.0"/>
        <n v="505.0"/>
        <n v="683.0"/>
        <n v="6.0"/>
        <n v="30.0"/>
        <n v="1550.0"/>
        <n v="605.0"/>
        <n v="37.0"/>
        <n v="524.0"/>
        <n v="194.0"/>
        <n v="708.0"/>
        <n v="27.0"/>
        <n v="268.0"/>
        <n v="124.0"/>
        <n v="451.0"/>
        <n v="1169.0"/>
        <n v="229.0"/>
        <n v="57.0"/>
        <n v="521.0"/>
        <n v="21.0"/>
        <n v="1189.0"/>
        <n v="38.0"/>
        <n v="1301.0"/>
        <n v="1512.0"/>
        <n v="518.0"/>
        <n v="1289.0"/>
        <n v="637.0"/>
        <n v="117.0"/>
        <n v="589.0"/>
        <n v="261.0"/>
        <n v="807.0"/>
        <n v="33.0"/>
        <n v="1136.0"/>
        <n v="36.0"/>
        <n v="54.0"/>
        <n v="453.0"/>
        <n v="385.0"/>
        <n v="247.0"/>
        <n v="587.0"/>
        <n v="421.0"/>
        <n v="477.0"/>
        <n v="28.0"/>
        <n v="407.0"/>
        <n v="326.0"/>
        <n v="1572.0"/>
        <n v="797.0"/>
        <n v="31.0"/>
        <n v="646.0"/>
        <n v="617.0"/>
        <n v="727.0"/>
        <n v="386.0"/>
        <n v="963.0"/>
        <n v="177.0"/>
        <n v="61.0"/>
        <n v="640.0"/>
        <n v="17.0"/>
        <n v="331.0"/>
        <n v="1701.0"/>
        <n v="428.0"/>
        <n v="402.0"/>
        <n v="2055.0"/>
        <n v="66.0"/>
        <n v="750.0"/>
        <n v="50.0"/>
        <n v="478.0"/>
        <n v="70.0"/>
        <n v="1011.0"/>
        <n v="108.0"/>
        <n v="113.0"/>
        <n v="494.0"/>
        <n v="1900.0"/>
        <n v="539.0"/>
        <n v="575.0"/>
        <n v="271.0"/>
        <n v="903.0"/>
        <n v="853.0"/>
        <n v="136.0"/>
        <n v="79.0"/>
        <n v="213.0"/>
        <n v="99.0"/>
        <n v="355.0"/>
        <n v="466.0"/>
        <n v="652.0"/>
        <n v="1681.0"/>
        <n v="45.0"/>
        <n v="528.0"/>
        <n v="230.0"/>
        <n v="204.0"/>
        <n v="316.0"/>
        <n v="126.0"/>
        <n v="405.0"/>
        <n v="776.0"/>
        <n v="159.0"/>
        <n v="224.0"/>
        <n v="47.0"/>
        <n v="514.0"/>
        <n v="243.0"/>
        <n v="436.0"/>
        <n v="1106.0"/>
        <n v="659.0"/>
        <n v="1432.0"/>
        <n v="442.0"/>
        <n v="48.0"/>
        <n v="2382.0"/>
        <n v="63.0"/>
        <n v="422.0"/>
        <n v="1198.0"/>
        <n v="1804.0"/>
        <n v="608.0"/>
        <n v="98.0"/>
        <n v="702.0"/>
        <n v="183.0"/>
        <n v="538.0"/>
        <n v="481.0"/>
        <n v="220.0"/>
        <n v="564.0"/>
        <n v="205.0"/>
        <n v="1088.0"/>
        <n v="175.0"/>
        <n v="157.0"/>
        <n v="89.0"/>
        <n v="434.0"/>
        <n v="1737.0"/>
        <n v="1898.0"/>
        <n v="993.0"/>
        <n v="537.0"/>
        <n v="59.0"/>
        <n v="1312.0"/>
        <n v="485.0"/>
        <n v="370.0"/>
        <n v="122.0"/>
        <n v="307.0"/>
        <n v="198.0"/>
        <n v="629.0"/>
        <n v="387.0"/>
        <n v="68.0"/>
        <n v="78.0"/>
        <n v="474.0"/>
        <n v="77.0"/>
        <n v="340.0"/>
        <n v="502.0"/>
        <n v="611.0"/>
        <n v="111.0"/>
        <n v="16.0"/>
        <n v="142.0"/>
        <n v="668.0"/>
        <n v="738.0"/>
        <n v="619.0"/>
        <n v="155.0"/>
        <n v="515.0"/>
        <n v="956.0"/>
        <n v="203.0"/>
        <n v="541.0"/>
        <n v="588.0"/>
        <n v="433.0"/>
        <n v="216.0"/>
        <n v="461.0"/>
        <n v="80.0"/>
        <n v="1377.0"/>
        <n v="55.0"/>
        <n v="457.0"/>
        <n v="691.0"/>
        <n v="1006.0"/>
        <n v="214.0"/>
        <n v="663.0"/>
        <n v="418.0"/>
        <n v="1710.0"/>
        <n v="325.0"/>
        <n v="1084.0"/>
        <n v="535.0"/>
        <n v="426.0"/>
        <n v="1573.0"/>
        <n v="680.0"/>
        <n v="200.0"/>
        <n v="622.0"/>
        <n v="759.0"/>
        <n v="532.0"/>
        <n v="339.0"/>
        <n v="251.0"/>
        <n v="368.0"/>
        <n v="116.0"/>
        <n v="450.0"/>
        <n v="234.0"/>
        <n v="74.0"/>
        <n v="1123.0"/>
        <n v="705.0"/>
        <n v="181.0"/>
        <m/>
      </sharedItems>
    </cacheField>
    <cacheField name="Bomb Stops" numFmtId="0">
      <sharedItems containsString="0" containsBlank="1" containsNumber="1" containsInteger="1">
        <n v="0.0"/>
        <m/>
      </sharedItems>
    </cacheField>
    <cacheField name="Killing Sprees" numFmtId="0">
      <sharedItems containsString="0" containsBlank="1" containsNumber="1" containsInteger="1">
        <n v="0.0"/>
        <n v="2.0"/>
        <n v="1.0"/>
        <n v="5.0"/>
        <n v="4.0"/>
        <n v="3.0"/>
        <n v="7.0"/>
        <n v="6.0"/>
        <n v="8.0"/>
        <n v="10.0"/>
        <n v="9.0"/>
        <m/>
      </sharedItems>
    </cacheField>
    <cacheField name="Killing Frenzies" numFmtId="0">
      <sharedItems containsString="0" containsBlank="1" containsNumber="1" containsInteger="1">
        <n v="0.0"/>
        <n v="1.0"/>
        <n v="3.0"/>
        <m/>
      </sharedItems>
    </cacheField>
    <cacheField name="Running Riots" numFmtId="0">
      <sharedItems containsString="0" containsBlank="1" containsNumber="1" containsInteger="1">
        <n v="0.0"/>
        <n v="1.0"/>
        <n v="2.0"/>
        <m/>
      </sharedItems>
    </cacheField>
    <cacheField name="Rampages" numFmtId="0">
      <sharedItems containsString="0" containsBlank="1" containsNumber="1" containsInteger="1">
        <n v="0.0"/>
        <n v="1.0"/>
        <m/>
      </sharedItems>
    </cacheField>
    <cacheField name="Hammer Sprees" numFmtId="0">
      <sharedItems containsString="0" containsBlank="1" containsNumber="1" containsInteger="1">
        <n v="0.0"/>
        <n v="1.0"/>
        <n v="5.0"/>
        <n v="2.0"/>
        <n v="4.0"/>
        <n v="3.0"/>
        <n v="6.0"/>
        <n v="8.0"/>
        <n v="9.0"/>
        <n v="7.0"/>
        <m/>
      </sharedItems>
    </cacheField>
    <cacheField name="Sword Sprees" numFmtId="0">
      <sharedItems containsString="0" containsBlank="1" containsNumber="1" containsInteger="1">
        <n v="0.0"/>
        <n v="1.0"/>
        <m/>
      </sharedItems>
    </cacheField>
    <cacheField name="Double Kills" numFmtId="0">
      <sharedItems containsString="0" containsBlank="1" containsNumber="1" containsInteger="1">
        <n v="1.0"/>
        <n v="5.0"/>
        <n v="7.0"/>
        <n v="8.0"/>
        <n v="12.0"/>
        <n v="14.0"/>
        <n v="2.0"/>
        <n v="4.0"/>
        <n v="6.0"/>
        <n v="3.0"/>
        <n v="15.0"/>
        <n v="13.0"/>
        <n v="9.0"/>
        <n v="11.0"/>
        <n v="25.0"/>
        <n v="33.0"/>
        <n v="10.0"/>
        <n v="24.0"/>
        <n v="18.0"/>
        <n v="19.0"/>
        <n v="23.0"/>
        <n v="17.0"/>
        <n v="20.0"/>
        <n v="16.0"/>
        <n v="42.0"/>
        <n v="34.0"/>
        <n v="58.0"/>
        <n v="59.0"/>
        <n v="71.0"/>
        <n v="46.0"/>
        <n v="21.0"/>
        <n v="36.0"/>
        <n v="27.0"/>
        <n v="26.0"/>
        <n v="22.0"/>
        <n v="40.0"/>
        <n v="35.0"/>
        <n v="31.0"/>
        <n v="29.0"/>
        <n v="28.0"/>
        <n v="38.0"/>
        <n v="32.0"/>
        <n v="37.0"/>
        <n v="0.0"/>
        <n v="30.0"/>
        <n v="43.0"/>
        <n v="41.0"/>
        <m/>
      </sharedItems>
    </cacheField>
    <cacheField name="Triple Kills" numFmtId="0">
      <sharedItems containsString="0" containsBlank="1" containsNumber="1" containsInteger="1">
        <n v="0.0"/>
        <n v="1.0"/>
        <n v="5.0"/>
        <n v="2.0"/>
        <n v="7.0"/>
        <n v="3.0"/>
        <n v="9.0"/>
        <n v="4.0"/>
        <n v="10.0"/>
        <n v="8.0"/>
        <n v="12.0"/>
        <n v="17.0"/>
        <n v="6.0"/>
        <n v="11.0"/>
        <m/>
      </sharedItems>
    </cacheField>
    <cacheField name="Overkills" numFmtId="0">
      <sharedItems containsString="0" containsBlank="1" containsNumber="1" containsInteger="1">
        <n v="0.0"/>
        <n v="1.0"/>
        <n v="3.0"/>
        <n v="2.0"/>
        <n v="4.0"/>
        <n v="6.0"/>
        <n v="7.0"/>
        <m/>
      </sharedItems>
    </cacheField>
    <cacheField name="Killtaculars" numFmtId="0">
      <sharedItems containsString="0" containsBlank="1" containsNumber="1" containsInteger="1">
        <n v="0.0"/>
        <n v="1.0"/>
        <n v="3.0"/>
        <n v="2.0"/>
        <n v="4.0"/>
        <m/>
      </sharedItems>
    </cacheField>
    <cacheField name="Killtrocities" numFmtId="0">
      <sharedItems containsString="0" containsBlank="1" containsNumber="1" containsInteger="1">
        <n v="0.0"/>
        <n v="1.0"/>
        <n v="2.0"/>
        <m/>
      </sharedItems>
    </cacheField>
    <cacheField name="Killamanjaros" numFmtId="0">
      <sharedItems containsString="0" containsBlank="1" containsNumber="1" containsInteger="1">
        <n v="0.0"/>
        <n v="1.0"/>
        <m/>
      </sharedItems>
    </cacheField>
    <cacheField name="Killtastrophe" numFmtId="0">
      <sharedItems containsString="0" containsBlank="1" containsNumber="1" containsInteger="1">
        <n v="0.0"/>
        <n v="1.0"/>
        <m/>
      </sharedItems>
    </cacheField>
    <cacheField name="Killpocalypses" numFmtId="0">
      <sharedItems containsString="0" containsBlank="1" containsNumber="1" containsInteger="1">
        <n v="0.0"/>
        <n v="1.0"/>
        <m/>
      </sharedItems>
    </cacheField>
    <cacheField name="Killionaire" numFmtId="0">
      <sharedItems containsString="0" containsBlank="1" containsNumber="1" containsInteger="1">
        <n v="0.0"/>
        <m/>
      </sharedItems>
    </cacheField>
    <cacheField name="Exterms" numFmtId="0">
      <sharedItems containsString="0" containsBlank="1" containsNumber="1" containsInteger="1">
        <n v="0.0"/>
        <n v="1.0"/>
        <n v="2.0"/>
        <m/>
      </sharedItems>
    </cacheField>
    <cacheField name="Bulltrues" numFmtId="0">
      <sharedItems containsString="0" containsBlank="1" containsNumber="1" containsInteger="1">
        <n v="3.0"/>
        <n v="1.0"/>
        <n v="5.0"/>
        <n v="8.0"/>
        <n v="0.0"/>
        <n v="2.0"/>
        <n v="12.0"/>
        <n v="9.0"/>
        <n v="10.0"/>
        <n v="6.0"/>
        <n v="7.0"/>
        <n v="16.0"/>
        <n v="4.0"/>
        <n v="11.0"/>
        <n v="33.0"/>
        <n v="51.0"/>
        <n v="13.0"/>
        <n v="14.0"/>
        <n v="22.0"/>
        <n v="15.0"/>
        <n v="17.0"/>
        <n v="28.0"/>
        <n v="23.0"/>
        <n v="25.0"/>
        <n v="21.0"/>
        <m/>
      </sharedItems>
    </cacheField>
    <cacheField name="Assassinations" numFmtId="0">
      <sharedItems containsString="0" containsBlank="1" containsNumber="1" containsInteger="1">
        <n v="0.0"/>
        <n v="1.0"/>
        <n v="4.0"/>
        <m/>
      </sharedItems>
    </cacheField>
    <cacheField name="Avengers" numFmtId="0">
      <sharedItems containsString="0" containsBlank="1" containsNumber="1" containsInteger="1">
        <n v="4.0"/>
        <n v="9.0"/>
        <n v="6.0"/>
        <n v="5.0"/>
        <n v="3.0"/>
        <n v="7.0"/>
        <n v="1.0"/>
        <n v="8.0"/>
        <n v="0.0"/>
        <n v="10.0"/>
        <n v="22.0"/>
        <n v="12.0"/>
        <n v="18.0"/>
        <n v="11.0"/>
        <n v="17.0"/>
        <n v="2.0"/>
        <n v="14.0"/>
        <n v="20.0"/>
        <n v="13.0"/>
        <n v="15.0"/>
        <n v="16.0"/>
        <n v="38.0"/>
        <n v="39.0"/>
        <n v="43.0"/>
        <n v="25.0"/>
        <n v="50.0"/>
        <n v="37.0"/>
        <n v="26.0"/>
        <n v="19.0"/>
        <n v="24.0"/>
        <n v="23.0"/>
        <n v="21.0"/>
        <n v="33.0"/>
        <n v="30.0"/>
        <n v="27.0"/>
        <n v="31.0"/>
        <n v="29.0"/>
        <n v="32.0"/>
        <n v="28.0"/>
        <m/>
      </sharedItems>
    </cacheField>
    <cacheField name="Revenges" numFmtId="0">
      <sharedItems containsString="0" containsBlank="1" containsNumber="1" containsInteger="1">
        <n v="7.0"/>
        <n v="4.0"/>
        <n v="6.0"/>
        <n v="10.0"/>
        <n v="9.0"/>
        <n v="3.0"/>
        <n v="2.0"/>
        <n v="5.0"/>
        <n v="1.0"/>
        <n v="16.0"/>
        <n v="13.0"/>
        <n v="18.0"/>
        <n v="8.0"/>
        <n v="24.0"/>
        <n v="11.0"/>
        <n v="17.0"/>
        <n v="12.0"/>
        <n v="14.0"/>
        <n v="20.0"/>
        <n v="15.0"/>
        <n v="51.0"/>
        <n v="40.0"/>
        <n v="50.0"/>
        <n v="32.0"/>
        <n v="45.0"/>
        <n v="36.0"/>
        <n v="22.0"/>
        <n v="23.0"/>
        <n v="19.0"/>
        <n v="27.0"/>
        <n v="28.0"/>
        <n v="21.0"/>
        <n v="26.0"/>
        <n v="31.0"/>
        <n v="0.0"/>
        <n v="34.0"/>
        <n v="39.0"/>
        <n v="30.0"/>
        <n v="25.0"/>
        <n v="29.0"/>
        <n v="35.0"/>
        <n v="33.0"/>
        <n v="41.0"/>
        <m/>
      </sharedItems>
    </cacheField>
    <cacheField name="First Strike" numFmtId="0">
      <sharedItems containsString="0" containsBlank="1" containsNumber="1" containsInteger="1">
        <n v="0.0"/>
        <n v="2.0"/>
        <n v="1.0"/>
        <n v="3.0"/>
        <n v="4.0"/>
        <n v="5.0"/>
        <m/>
      </sharedItems>
    </cacheField>
    <cacheField name="RPM" formula="(Goals+'Bomb Kills')/('Game Time'/60)" databaseField="0"/>
    <cacheField name="KDPM" formula="Spread/('Game Time'/60)" databaseField="0"/>
    <cacheField name="BTPM" formula="Bulltrues/('Game Time'/60)" databaseField="0"/>
    <cacheField name="SPM" formula="'Killing Sprees'/('Game Time'/60)" databaseField="0"/>
    <cacheField name="DPM" formula="'Double Kills'/('Game Time'/60)" databaseField="0"/>
    <cacheField name="TPM" formula="'Triple Kills'/('Game Time'/60)" databaseField="0"/>
    <cacheField name="HSPM" formula="'Hammer Sprees'/('Game Time'/60)" databaseField="0"/>
    <cacheField name="APM" formula="(Avengers+Assists)/('Game Time'/60)" databaseField="0"/>
    <cacheField name="X Factor" formula="(('First Strike'+'Sword Sprees')/'Games Played')+(Revenges/('Game Time'/60))" databaseField="0"/>
    <cacheField name="Range" formula="Assists/('Game Time'/60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HEXASbaseINFO" cacheId="0" dataCaption="" rowGrandTotals="0" compact="0" compactData="0">
  <location ref="A1:AF36" firstHeaderRow="0" firstDataRow="2" firstDataCol="0"/>
  <pivotFields>
    <pivotField name="Player" axis="axisRow" compact="0" outline="0" multipleItemSelectionAllowed="1" showAll="0" sortType="ascending">
      <items>
        <item x="38"/>
        <item x="0"/>
        <item x="1"/>
        <item x="2"/>
        <item x="3"/>
        <item x="4"/>
        <item h="1"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h="1"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h="1" x="32"/>
        <item x="33"/>
        <item x="34"/>
        <item h="1" x="35"/>
        <item x="36"/>
        <item x="37"/>
        <item t="default"/>
      </items>
    </pivotField>
    <pivotField name="Games Play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W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Los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Goa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Bomb 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Death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pre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Assi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tre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Betraya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ime Al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Game 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Average Lif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arry 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Bomb Stops" compact="0" outline="0" multipleItemSelectionAllowed="1" showAll="0">
      <items>
        <item x="0"/>
        <item x="1"/>
        <item t="default"/>
      </items>
    </pivotField>
    <pivotField name="Killing Spr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Killing Frenzi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unning Riots" compact="0" outline="0" multipleItemSelectionAllowed="1" showAll="0">
      <items>
        <item x="0"/>
        <item x="1"/>
        <item x="2"/>
        <item x="3"/>
        <item t="default"/>
      </items>
    </pivotField>
    <pivotField name="Rampages" compact="0" outline="0" multipleItemSelectionAllowed="1" showAll="0">
      <items>
        <item x="0"/>
        <item x="1"/>
        <item x="2"/>
        <item t="default"/>
      </items>
    </pivotField>
    <pivotField name="Hammer Spre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word Sprees" compact="0" outline="0" multipleItemSelectionAllowed="1" showAll="0">
      <items>
        <item x="0"/>
        <item x="1"/>
        <item x="2"/>
        <item t="default"/>
      </items>
    </pivotField>
    <pivotField name="Double 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Triple 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Over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Killtacula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illtrocitie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illamanjaros" dataField="1" compact="0" outline="0" multipleItemSelectionAllowed="1" showAll="0">
      <items>
        <item x="0"/>
        <item x="1"/>
        <item x="2"/>
        <item x="3"/>
        <item t="default"/>
      </items>
    </pivotField>
    <pivotField name="Killtastrophe" dataField="1" compact="0" outline="0" multipleItemSelectionAllowed="1" showAll="0">
      <items>
        <item x="0"/>
        <item x="1"/>
        <item x="2"/>
        <item t="default"/>
      </items>
    </pivotField>
    <pivotField name="Killpocalypses" compact="0" outline="0" multipleItemSelectionAllowed="1" showAll="0">
      <items>
        <item x="0"/>
        <item x="1"/>
        <item x="2"/>
        <item t="default"/>
      </items>
    </pivotField>
    <pivotField name="Killionaire" compact="0" outline="0" multipleItemSelectionAllowed="1" showAll="0">
      <items>
        <item x="0"/>
        <item x="1"/>
        <item t="default"/>
      </items>
    </pivotField>
    <pivotField name="Exterms" compact="0" outline="0" multipleItemSelectionAllowed="1" showAll="0">
      <items>
        <item x="0"/>
        <item x="1"/>
        <item x="2"/>
        <item x="3"/>
        <item t="default"/>
      </items>
    </pivotField>
    <pivotField name="Bulltru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Assassination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veng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SUM of k-d whores" fld="36" baseField="0"/>
    <dataField name="SUM of w key warrior" fld="37" baseField="0"/>
    <dataField name="SUM of Spree King" fld="38" baseField="0"/>
    <dataField name="SUM of Sugar Daddies" fld="39" baseField="0"/>
    <dataField name="SUM of Helping Hands" fld="40" baseField="0"/>
    <dataField name="SUM of Running Wild" fld="41" baseField="0"/>
    <dataField name="SUM of Overrated" fld="42" baseField="0"/>
    <dataField name="SUM of Ball God" fld="43" baseField="0"/>
    <dataField name="SUM of avengers2" fld="44" baseField="0"/>
    <dataField name="SUM of Betrayal Master" fld="45" baseField="0"/>
    <dataField name="SUM of Kills Per Betrayal" fld="46" baseField="0"/>
    <dataField name="SUM of 6-S HEXAS" fld="47" baseField="0"/>
    <dataField name="SUM of Game Time" fld="13" baseField="0"/>
    <dataField name="SUM of Kills" fld="6" baseField="0"/>
    <dataField name="SUM of Assists" fld="9" baseField="0"/>
    <dataField name="SUM of Deaths" fld="7" baseField="0"/>
    <dataField name="SUM of Avengers" fld="35" baseField="0"/>
    <dataField name="SUM of Killing Sprees" fld="17" baseField="0"/>
    <dataField name="SUM of Killing Frenzies" fld="18" baseField="0"/>
    <dataField name="SUM of Double Kills" fld="23" baseField="0"/>
    <dataField name="SUM of Triple Kills" fld="24" baseField="0"/>
    <dataField name="SUM of Overkills" fld="25" baseField="0"/>
    <dataField name="SUM of Killtaculars" fld="26" baseField="0"/>
    <dataField name="SUM of Killtrocities" fld="27" baseField="0"/>
    <dataField name="SUM of Killamanjaros" fld="28" baseField="0"/>
    <dataField name="SUM of Killtastrophe" fld="29" baseField="0"/>
    <dataField name="SUM of Betrayals" fld="11" baseField="0"/>
    <dataField name="SUM of Bomb Kills" fld="5" baseField="0"/>
    <dataField name="SUM of Goals" fld="4" baseField="0"/>
    <dataField name="SUM of Carry Time" fld="15" baseField="0"/>
    <dataField name="SUM of Games Played" fld="1" baseField="0"/>
  </dataFields>
</pivotTableDefinition>
</file>

<file path=xl/pivotTables/pivotTable2.xml><?xml version="1.0" encoding="utf-8"?>
<pivotTableDefinition xmlns="http://schemas.openxmlformats.org/spreadsheetml/2006/main" name="PG Stats" cacheId="1" dataCaption="" rowGrandTotals="0" compact="0" compactData="0">
  <location ref="A1:Z38" firstHeaderRow="0" firstDataRow="2" firstDataCol="0"/>
  <pivotFields>
    <pivotField name="Player" axis="axisRow" compact="0" outline="0" multipleItemSelectionAllowed="1" showAll="0" sortType="ascending">
      <items>
        <item h="1" x="38"/>
        <item x="28"/>
        <item x="8"/>
        <item x="36"/>
        <item x="2"/>
        <item x="37"/>
        <item x="15"/>
        <item x="33"/>
        <item x="19"/>
        <item x="7"/>
        <item x="16"/>
        <item x="29"/>
        <item x="35"/>
        <item x="31"/>
        <item x="9"/>
        <item x="3"/>
        <item x="14"/>
        <item x="34"/>
        <item x="6"/>
        <item x="26"/>
        <item h="1" x="22"/>
        <item x="10"/>
        <item x="32"/>
        <item x="5"/>
        <item x="24"/>
        <item x="17"/>
        <item x="23"/>
        <item x="18"/>
        <item x="11"/>
        <item x="21"/>
        <item x="0"/>
        <item x="20"/>
        <item x="27"/>
        <item x="25"/>
        <item x="13"/>
        <item x="30"/>
        <item x="4"/>
        <item x="12"/>
        <item x="1"/>
        <item t="default"/>
      </items>
    </pivotField>
    <pivotField name="Games Played" dataField="1" compact="0" outline="0" multipleItemSelectionAllowed="1" showAll="0">
      <items>
        <item x="0"/>
        <item x="1"/>
        <item x="2"/>
        <item t="default"/>
      </items>
    </pivotField>
    <pivotField name="Wins" compact="0" outline="0" multipleItemSelectionAllowed="1" showAll="0">
      <items>
        <item x="0"/>
        <item x="1"/>
        <item x="2"/>
        <item t="default"/>
      </items>
    </pivotField>
    <pivotField name="Losses" compact="0" outline="0" multipleItemSelectionAllowed="1" showAll="0">
      <items>
        <item x="0"/>
        <item x="1"/>
        <item x="2"/>
        <item t="default"/>
      </items>
    </pivotField>
    <pivotField name="Goal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Bomb 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Sprea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Assi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tre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Betray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ime Al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t="default"/>
      </items>
    </pivotField>
    <pivotField name="Game 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Average Lif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arry 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Bomb Stops" compact="0" outline="0" multipleItemSelectionAllowed="1" showAll="0">
      <items>
        <item x="0"/>
        <item x="1"/>
        <item t="default"/>
      </items>
    </pivotField>
    <pivotField name="Killing Spr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illing Frenzies" compact="0" outline="0" multipleItemSelectionAllowed="1" showAll="0">
      <items>
        <item x="0"/>
        <item x="1"/>
        <item x="2"/>
        <item x="3"/>
        <item t="default"/>
      </items>
    </pivotField>
    <pivotField name="Running Riots" compact="0" outline="0" multipleItemSelectionAllowed="1" showAll="0">
      <items>
        <item x="0"/>
        <item x="1"/>
        <item x="2"/>
        <item x="3"/>
        <item t="default"/>
      </items>
    </pivotField>
    <pivotField name="Rampages" compact="0" outline="0" multipleItemSelectionAllowed="1" showAll="0">
      <items>
        <item x="0"/>
        <item x="1"/>
        <item x="2"/>
        <item t="default"/>
      </items>
    </pivotField>
    <pivotField name="Hammer Spr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word Sprees" dataField="1" compact="0" outline="0" multipleItemSelectionAllowed="1" showAll="0">
      <items>
        <item x="0"/>
        <item x="1"/>
        <item x="2"/>
        <item t="default"/>
      </items>
    </pivotField>
    <pivotField name="Double 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riple 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ver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illtacular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illtrocities" compact="0" outline="0" multipleItemSelectionAllowed="1" showAll="0">
      <items>
        <item x="0"/>
        <item x="1"/>
        <item x="2"/>
        <item x="3"/>
        <item t="default"/>
      </items>
    </pivotField>
    <pivotField name="Killamanjaros" compact="0" outline="0" multipleItemSelectionAllowed="1" showAll="0">
      <items>
        <item x="0"/>
        <item x="1"/>
        <item x="2"/>
        <item t="default"/>
      </items>
    </pivotField>
    <pivotField name="Killtastrophe" compact="0" outline="0" multipleItemSelectionAllowed="1" showAll="0">
      <items>
        <item x="0"/>
        <item x="1"/>
        <item x="2"/>
        <item t="default"/>
      </items>
    </pivotField>
    <pivotField name="Killpocalypses" compact="0" outline="0" multipleItemSelectionAllowed="1" showAll="0">
      <items>
        <item x="0"/>
        <item x="1"/>
        <item x="2"/>
        <item t="default"/>
      </items>
    </pivotField>
    <pivotField name="Killionaire" compact="0" outline="0" multipleItemSelectionAllowed="1" showAll="0">
      <items>
        <item x="0"/>
        <item x="1"/>
        <item t="default"/>
      </items>
    </pivotField>
    <pivotField name="Exterms" compact="0" outline="0" multipleItemSelectionAllowed="1" showAll="0">
      <items>
        <item x="0"/>
        <item x="1"/>
        <item x="2"/>
        <item x="3"/>
        <item t="default"/>
      </items>
    </pivotField>
    <pivotField name="Bulltru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Assassinations" compact="0" outline="0" multipleItemSelectionAllowed="1" showAll="0">
      <items>
        <item x="0"/>
        <item x="1"/>
        <item x="2"/>
        <item x="3"/>
        <item t="default"/>
      </items>
    </pivotField>
    <pivotField name="Aveng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Reveng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First Strike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SUM of Game Time" fld="13" baseField="0"/>
    <dataField name="Goals" fld="4" baseField="0"/>
    <dataField name="SUM of Spread" fld="8" baseField="0"/>
    <dataField name="SUM of Bulltrues" fld="33" baseField="0"/>
    <dataField name="SUM of Killing Sprees" fld="17" baseField="0"/>
    <dataField name="SUM of Double Kills" fld="23" baseField="0"/>
    <dataField name="SUM of Triple Kills" fld="24" baseField="0"/>
    <dataField name="SUM of Hammer Sprees" fld="21" baseField="0"/>
    <dataField name="SUM of RPM" fld="38" baseField="0"/>
    <dataField name="SUM of KDPM" fld="39" baseField="0"/>
    <dataField name="SUM of BTPM" fld="40" baseField="0"/>
    <dataField name="SUM of SPM" fld="41" baseField="0"/>
    <dataField name="SUM of DPM" fld="42" baseField="0"/>
    <dataField name="SUM of TPM" fld="43" baseField="0"/>
    <dataField name="SUM of HSPM" fld="44" baseField="0"/>
    <dataField name="SUM of APM" fld="45" baseField="0"/>
    <dataField name="SUM of X Factor" fld="46" baseField="0"/>
    <dataField name="SUM of Range" fld="47" baseField="0"/>
    <dataField name="SUM of Bomb Kills" fld="5" baseField="0"/>
    <dataField name="SUM of Avengers" fld="35" baseField="0"/>
    <dataField name="SUM of Revenges" fld="36" baseField="0"/>
    <dataField name="SUM of First Strike" fld="37" baseField="0"/>
    <dataField name="SUM of Sword Sprees" fld="22" baseField="0"/>
    <dataField name="SUM of Games Played" fld="1" baseField="0"/>
    <dataField name="SUM of Assists" fld="9" baseField="0"/>
  </dataFields>
</pivotTableDefinition>
</file>

<file path=xl/tables/table1.xml><?xml version="1.0" encoding="utf-8"?>
<table xmlns="http://schemas.openxmlformats.org/spreadsheetml/2006/main" headerRowCount="0" ref="A5:AX51" displayName="Table_1" name="Table_1" id="1">
  <tableColumns count="5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</tableColumns>
  <tableStyleInfo name="TotalAverag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allonge.com/Halo4FallSeriesEventTw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witch.tv/yluxe" TargetMode="External"/><Relationship Id="rId22" Type="http://schemas.openxmlformats.org/officeDocument/2006/relationships/hyperlink" Target="https://www.twitch.tv/yluxe" TargetMode="External"/><Relationship Id="rId21" Type="http://schemas.openxmlformats.org/officeDocument/2006/relationships/hyperlink" Target="https://www.twitch.tv/yluxe" TargetMode="External"/><Relationship Id="rId24" Type="http://schemas.openxmlformats.org/officeDocument/2006/relationships/hyperlink" Target="https://www.twitch.tv/yluxe" TargetMode="External"/><Relationship Id="rId23" Type="http://schemas.openxmlformats.org/officeDocument/2006/relationships/hyperlink" Target="https://www.twitch.tv/yluxe" TargetMode="External"/><Relationship Id="rId1" Type="http://schemas.openxmlformats.org/officeDocument/2006/relationships/hyperlink" Target="https://www.twitch.tv/yluxe" TargetMode="External"/><Relationship Id="rId2" Type="http://schemas.openxmlformats.org/officeDocument/2006/relationships/hyperlink" Target="https://www.twitch.tv/yluxe" TargetMode="External"/><Relationship Id="rId3" Type="http://schemas.openxmlformats.org/officeDocument/2006/relationships/hyperlink" Target="https://www.twitch.tv/yluxe" TargetMode="External"/><Relationship Id="rId4" Type="http://schemas.openxmlformats.org/officeDocument/2006/relationships/hyperlink" Target="https://www.twitch.tv/yluxe" TargetMode="External"/><Relationship Id="rId9" Type="http://schemas.openxmlformats.org/officeDocument/2006/relationships/hyperlink" Target="https://www.twitch.tv/yluxe" TargetMode="External"/><Relationship Id="rId26" Type="http://schemas.openxmlformats.org/officeDocument/2006/relationships/hyperlink" Target="https://www.twitch.tv/yluxe" TargetMode="External"/><Relationship Id="rId25" Type="http://schemas.openxmlformats.org/officeDocument/2006/relationships/hyperlink" Target="https://www.twitch.tv/yluxe" TargetMode="External"/><Relationship Id="rId28" Type="http://schemas.openxmlformats.org/officeDocument/2006/relationships/hyperlink" Target="https://www.twitch.tv/yluxe" TargetMode="External"/><Relationship Id="rId27" Type="http://schemas.openxmlformats.org/officeDocument/2006/relationships/hyperlink" Target="https://www.twitch.tv/yluxe" TargetMode="External"/><Relationship Id="rId5" Type="http://schemas.openxmlformats.org/officeDocument/2006/relationships/hyperlink" Target="https://www.twitch.tv/yluxe" TargetMode="External"/><Relationship Id="rId6" Type="http://schemas.openxmlformats.org/officeDocument/2006/relationships/hyperlink" Target="https://www.twitch.tv/yluxe" TargetMode="External"/><Relationship Id="rId29" Type="http://schemas.openxmlformats.org/officeDocument/2006/relationships/hyperlink" Target="https://www.twitch.tv/yluxe" TargetMode="External"/><Relationship Id="rId7" Type="http://schemas.openxmlformats.org/officeDocument/2006/relationships/hyperlink" Target="https://www.twitch.tv/yluxe" TargetMode="External"/><Relationship Id="rId8" Type="http://schemas.openxmlformats.org/officeDocument/2006/relationships/hyperlink" Target="https://www.twitch.tv/yluxe" TargetMode="External"/><Relationship Id="rId31" Type="http://schemas.openxmlformats.org/officeDocument/2006/relationships/hyperlink" Target="https://www.twitch.tv/yluxe" TargetMode="External"/><Relationship Id="rId30" Type="http://schemas.openxmlformats.org/officeDocument/2006/relationships/hyperlink" Target="https://www.twitch.tv/yluxe" TargetMode="External"/><Relationship Id="rId11" Type="http://schemas.openxmlformats.org/officeDocument/2006/relationships/hyperlink" Target="https://www.twitch.tv/yluxe" TargetMode="External"/><Relationship Id="rId33" Type="http://schemas.openxmlformats.org/officeDocument/2006/relationships/drawing" Target="../drawings/drawing32.xml"/><Relationship Id="rId10" Type="http://schemas.openxmlformats.org/officeDocument/2006/relationships/hyperlink" Target="https://www.twitch.tv/yluxe" TargetMode="External"/><Relationship Id="rId32" Type="http://schemas.openxmlformats.org/officeDocument/2006/relationships/hyperlink" Target="https://www.twitch.tv/yluxe" TargetMode="External"/><Relationship Id="rId13" Type="http://schemas.openxmlformats.org/officeDocument/2006/relationships/hyperlink" Target="https://www.twitch.tv/yluxe" TargetMode="External"/><Relationship Id="rId12" Type="http://schemas.openxmlformats.org/officeDocument/2006/relationships/hyperlink" Target="https://www.twitch.tv/yluxe" TargetMode="External"/><Relationship Id="rId15" Type="http://schemas.openxmlformats.org/officeDocument/2006/relationships/hyperlink" Target="https://www.twitch.tv/yluxe" TargetMode="External"/><Relationship Id="rId14" Type="http://schemas.openxmlformats.org/officeDocument/2006/relationships/hyperlink" Target="https://www.twitch.tv/yluxe" TargetMode="External"/><Relationship Id="rId17" Type="http://schemas.openxmlformats.org/officeDocument/2006/relationships/hyperlink" Target="https://www.twitch.tv/videos/1768265235" TargetMode="External"/><Relationship Id="rId16" Type="http://schemas.openxmlformats.org/officeDocument/2006/relationships/hyperlink" Target="https://www.twitch.tv/yluxe" TargetMode="External"/><Relationship Id="rId19" Type="http://schemas.openxmlformats.org/officeDocument/2006/relationships/hyperlink" Target="https://www.twitch.tv/yluxe" TargetMode="External"/><Relationship Id="rId18" Type="http://schemas.openxmlformats.org/officeDocument/2006/relationships/hyperlink" Target="https://www.twitch.tv/videos/1768265235" TargetMode="Externa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2" t="s">
        <v>2</v>
      </c>
    </row>
    <row r="3">
      <c r="B3" s="2" t="s">
        <v>3</v>
      </c>
    </row>
    <row r="4">
      <c r="B4" s="3" t="s">
        <v>4</v>
      </c>
    </row>
    <row r="6">
      <c r="A6" s="1" t="s">
        <v>5</v>
      </c>
      <c r="B6" s="3" t="s">
        <v>6</v>
      </c>
    </row>
    <row r="7">
      <c r="B7" s="4" t="s">
        <v>7</v>
      </c>
    </row>
    <row r="9">
      <c r="A9" s="1" t="s">
        <v>8</v>
      </c>
      <c r="B9" s="2" t="s">
        <v>9</v>
      </c>
    </row>
    <row r="10">
      <c r="B10" s="2" t="s">
        <v>10</v>
      </c>
    </row>
    <row r="11">
      <c r="B11" s="1" t="s">
        <v>11</v>
      </c>
    </row>
    <row r="12">
      <c r="B12" s="2" t="s">
        <v>12</v>
      </c>
    </row>
    <row r="13">
      <c r="B13" s="4" t="s">
        <v>13</v>
      </c>
    </row>
    <row r="14">
      <c r="B14" s="1" t="s">
        <v>14</v>
      </c>
    </row>
    <row r="15">
      <c r="B15" s="2" t="s">
        <v>15</v>
      </c>
    </row>
    <row r="17">
      <c r="A17" s="5" t="s">
        <v>16</v>
      </c>
    </row>
    <row r="20">
      <c r="A20" s="1" t="s">
        <v>17</v>
      </c>
      <c r="B20" s="6"/>
    </row>
  </sheetData>
  <hyperlinks>
    <hyperlink r:id="rId1" ref="A1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5.75"/>
    <col customWidth="1" min="3" max="3" width="8.63"/>
    <col customWidth="1" min="4" max="4" width="8.5"/>
    <col customWidth="1" min="5" max="5" width="14.63"/>
    <col customWidth="1" min="6" max="6" width="8.5"/>
    <col customWidth="1" min="7" max="8" width="6.63"/>
    <col customWidth="1" min="9" max="9" width="8.5"/>
    <col customWidth="1" min="10" max="10" width="8.88"/>
    <col customWidth="1" min="11" max="11" width="9.5"/>
    <col customWidth="1" min="12" max="12" width="10.5"/>
    <col customWidth="1" min="13" max="13" width="10.38"/>
    <col customWidth="1" min="14" max="14" width="11.63"/>
    <col customWidth="1" min="15" max="15" width="12.88"/>
    <col customWidth="1" min="16" max="16" width="10.5"/>
    <col customWidth="1" min="17" max="17" width="10.38"/>
    <col customWidth="1" min="18" max="18" width="11.63"/>
    <col customWidth="1" min="19" max="19" width="12.88"/>
    <col customWidth="1" min="20" max="20" width="10.13"/>
    <col customWidth="1" min="21" max="21" width="11.88"/>
    <col customWidth="1" min="22" max="22" width="11.13"/>
    <col customWidth="1" min="23" max="23" width="10.0"/>
    <col customWidth="1" min="24" max="24" width="10.13"/>
    <col customWidth="1" min="25" max="25" width="11.88"/>
    <col customWidth="1" min="26" max="26" width="15.0"/>
    <col customWidth="1" min="27" max="27" width="8.25"/>
    <col customWidth="1" min="28" max="28" width="10.0"/>
    <col customWidth="1" min="29" max="29" width="10.13"/>
    <col customWidth="1" min="30" max="30" width="15.0"/>
    <col customWidth="1" min="31" max="31" width="12.13"/>
    <col customWidth="1" min="32" max="32" width="11.25"/>
    <col customWidth="1" min="33" max="33" width="11.13"/>
    <col customWidth="1" min="34" max="34" width="11.5"/>
    <col customWidth="1" min="35" max="35" width="12.13"/>
    <col customWidth="1" min="36" max="36" width="11.25"/>
    <col customWidth="1" min="37" max="37" width="11.13"/>
    <col customWidth="1" min="38" max="38" width="11.5"/>
    <col customWidth="1" min="39" max="39" width="10.75"/>
    <col customWidth="1" min="40" max="40" width="11.0"/>
    <col customWidth="1" min="41" max="41" width="9.38"/>
    <col customWidth="1" min="42" max="42" width="9.63"/>
    <col customWidth="1" min="43" max="43" width="13.63"/>
  </cols>
  <sheetData>
    <row r="1">
      <c r="E1" s="1" t="s">
        <v>18</v>
      </c>
      <c r="AQ1" s="7"/>
    </row>
    <row r="2">
      <c r="AM2" s="8"/>
      <c r="AN2" s="8"/>
      <c r="AO2" s="8"/>
      <c r="AP2" s="8"/>
      <c r="AQ2" s="9"/>
    </row>
    <row r="3">
      <c r="AQ3" s="7"/>
    </row>
    <row r="4">
      <c r="B4" s="10"/>
      <c r="C4" s="11">
        <v>0.03</v>
      </c>
      <c r="D4" s="11">
        <v>0.05</v>
      </c>
      <c r="E4" s="11">
        <v>0.02</v>
      </c>
      <c r="F4" s="11">
        <v>0.05</v>
      </c>
      <c r="G4" s="11">
        <v>0.05</v>
      </c>
      <c r="H4" s="11">
        <v>0.04</v>
      </c>
      <c r="I4" s="11">
        <v>0.05</v>
      </c>
      <c r="J4" s="12">
        <v>0.0</v>
      </c>
      <c r="K4" s="11">
        <v>0.0</v>
      </c>
      <c r="L4" s="11">
        <v>0.05</v>
      </c>
      <c r="M4" s="11">
        <v>0.05</v>
      </c>
      <c r="N4" s="11">
        <v>0.05</v>
      </c>
      <c r="O4" s="12">
        <v>6.0</v>
      </c>
      <c r="P4" s="11">
        <v>0.05</v>
      </c>
      <c r="Q4" s="11">
        <v>0.05</v>
      </c>
      <c r="R4" s="11">
        <v>0.06</v>
      </c>
      <c r="S4" s="11">
        <v>0.07</v>
      </c>
      <c r="T4" s="11">
        <v>0.08</v>
      </c>
      <c r="U4" s="11">
        <v>0.09</v>
      </c>
      <c r="V4" s="11">
        <v>0.1</v>
      </c>
      <c r="W4" s="11">
        <v>0.04</v>
      </c>
      <c r="X4" s="11">
        <v>0.03</v>
      </c>
      <c r="Y4" s="11">
        <v>0.06</v>
      </c>
      <c r="Z4" s="11">
        <v>0.02</v>
      </c>
      <c r="AA4" s="11">
        <v>0.04</v>
      </c>
      <c r="AB4" s="11">
        <v>0.015</v>
      </c>
      <c r="AC4" s="11">
        <v>0.015</v>
      </c>
      <c r="AD4" s="11">
        <v>0.015</v>
      </c>
      <c r="AE4" s="11">
        <v>0.05</v>
      </c>
      <c r="AF4" s="11">
        <v>0.05</v>
      </c>
      <c r="AG4" s="11">
        <v>0.01</v>
      </c>
      <c r="AH4" s="11">
        <v>0.05</v>
      </c>
      <c r="AI4" s="11">
        <v>0.05</v>
      </c>
      <c r="AJ4" s="11">
        <v>0.05</v>
      </c>
      <c r="AK4" s="11">
        <v>0.06</v>
      </c>
      <c r="AL4" s="11">
        <v>0.02</v>
      </c>
      <c r="AQ4" s="7"/>
    </row>
    <row r="5">
      <c r="B5" s="10"/>
      <c r="C5" s="13"/>
      <c r="D5" s="13"/>
      <c r="E5" s="13"/>
      <c r="F5" s="14"/>
      <c r="G5" s="13"/>
      <c r="H5" s="13"/>
      <c r="I5" s="13"/>
      <c r="J5" s="13"/>
      <c r="K5" s="13"/>
      <c r="L5" s="13"/>
      <c r="M5" s="15">
        <f>98-(((TotalAverages!J6/MassFormulaTesting!$B$28)*0.68)+0.3)</f>
        <v>97.37692496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Q5" s="7"/>
    </row>
    <row r="6">
      <c r="B6" s="10"/>
      <c r="C6" s="14">
        <v>0.1</v>
      </c>
      <c r="D6" s="14">
        <v>0.04</v>
      </c>
      <c r="E6" s="14">
        <v>0.03</v>
      </c>
      <c r="F6" s="14">
        <v>0.02</v>
      </c>
      <c r="G6" s="14">
        <v>0.06</v>
      </c>
      <c r="H6" s="14">
        <v>0.03</v>
      </c>
      <c r="I6" s="16">
        <v>5.0</v>
      </c>
      <c r="J6" s="14">
        <v>0.0</v>
      </c>
      <c r="K6" s="14">
        <v>0.0</v>
      </c>
      <c r="L6" s="14">
        <v>0.01</v>
      </c>
      <c r="M6" s="14">
        <v>0.08</v>
      </c>
      <c r="N6" s="14">
        <v>0.06</v>
      </c>
      <c r="O6" s="14">
        <v>0.03</v>
      </c>
      <c r="P6" s="14">
        <v>0.07</v>
      </c>
      <c r="Q6" s="14">
        <v>0.08</v>
      </c>
      <c r="R6" s="14">
        <v>0.05</v>
      </c>
      <c r="S6" s="14">
        <v>0.03</v>
      </c>
      <c r="T6" s="14">
        <v>0.02</v>
      </c>
      <c r="U6" s="14">
        <v>0.02</v>
      </c>
      <c r="V6" s="14">
        <v>0.02</v>
      </c>
      <c r="W6" s="14">
        <v>0.04</v>
      </c>
      <c r="X6" s="14">
        <v>0.02</v>
      </c>
      <c r="Y6" s="14">
        <v>0.02</v>
      </c>
      <c r="Z6" s="14">
        <v>0.04</v>
      </c>
      <c r="AA6" s="14">
        <v>0.05</v>
      </c>
      <c r="AB6" s="14">
        <v>0.02</v>
      </c>
      <c r="AC6" s="14">
        <v>0.01</v>
      </c>
      <c r="AD6" s="14">
        <v>0.01</v>
      </c>
      <c r="AE6" s="14">
        <v>0.05</v>
      </c>
      <c r="AF6" s="14">
        <v>0.05</v>
      </c>
      <c r="AG6" s="14">
        <v>0.01</v>
      </c>
      <c r="AH6" s="14">
        <v>0.05</v>
      </c>
      <c r="AI6" s="14">
        <v>0.04</v>
      </c>
      <c r="AJ6" s="14">
        <v>0.02</v>
      </c>
      <c r="AK6" s="14">
        <v>0.03</v>
      </c>
      <c r="AL6" s="14">
        <v>0.01</v>
      </c>
      <c r="AQ6" s="7"/>
    </row>
    <row r="7">
      <c r="A7" s="17"/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7"/>
      <c r="AN7" s="17"/>
      <c r="AO7" s="17"/>
      <c r="AP7" s="17"/>
      <c r="AQ7" s="7"/>
    </row>
    <row r="8">
      <c r="A8" s="17"/>
      <c r="B8" s="18"/>
      <c r="C8" s="19"/>
      <c r="D8" s="20"/>
      <c r="E8" s="20"/>
      <c r="F8" s="20"/>
      <c r="G8" s="20"/>
      <c r="H8" s="20"/>
      <c r="I8" s="20"/>
      <c r="J8" s="19"/>
      <c r="K8" s="21" t="s">
        <v>19</v>
      </c>
      <c r="L8" s="19"/>
      <c r="M8" s="19"/>
      <c r="N8" s="22"/>
      <c r="O8" s="22"/>
      <c r="P8" s="22"/>
      <c r="Q8" s="22"/>
      <c r="R8" s="22"/>
      <c r="S8" s="22"/>
      <c r="T8" s="22"/>
      <c r="U8" s="22"/>
      <c r="V8" s="22"/>
      <c r="W8" s="19"/>
      <c r="X8" s="19"/>
      <c r="Y8" s="19"/>
      <c r="Z8" s="19"/>
      <c r="AA8" s="19"/>
      <c r="AB8" s="23"/>
      <c r="AC8" s="19"/>
      <c r="AD8" s="19"/>
      <c r="AE8" s="23"/>
      <c r="AF8" s="23"/>
      <c r="AG8" s="19"/>
      <c r="AH8" s="23"/>
      <c r="AI8" s="23"/>
      <c r="AJ8" s="23"/>
      <c r="AK8" s="23"/>
      <c r="AL8" s="19"/>
      <c r="AM8" s="17"/>
      <c r="AN8" s="17"/>
      <c r="AO8" s="17"/>
      <c r="AP8" s="17"/>
      <c r="AQ8" s="7"/>
    </row>
    <row r="9">
      <c r="A9" s="17"/>
      <c r="B9" s="21" t="s">
        <v>19</v>
      </c>
      <c r="C9" s="24" t="s">
        <v>20</v>
      </c>
      <c r="D9" s="24" t="s">
        <v>21</v>
      </c>
      <c r="E9" s="24" t="s">
        <v>22</v>
      </c>
      <c r="F9" s="24" t="s">
        <v>23</v>
      </c>
      <c r="G9" s="24" t="s">
        <v>24</v>
      </c>
      <c r="H9" s="24" t="s">
        <v>25</v>
      </c>
      <c r="I9" s="24" t="s">
        <v>26</v>
      </c>
      <c r="J9" s="24" t="s">
        <v>27</v>
      </c>
      <c r="K9" s="24" t="s">
        <v>28</v>
      </c>
      <c r="L9" s="24" t="s">
        <v>29</v>
      </c>
      <c r="M9" s="24" t="s">
        <v>30</v>
      </c>
      <c r="N9" s="24" t="s">
        <v>31</v>
      </c>
      <c r="O9" s="24" t="s">
        <v>32</v>
      </c>
      <c r="P9" s="24" t="s">
        <v>33</v>
      </c>
      <c r="Q9" s="24" t="s">
        <v>34</v>
      </c>
      <c r="R9" s="24" t="s">
        <v>35</v>
      </c>
      <c r="S9" s="24" t="s">
        <v>36</v>
      </c>
      <c r="T9" s="24" t="s">
        <v>37</v>
      </c>
      <c r="U9" s="24" t="s">
        <v>38</v>
      </c>
      <c r="V9" s="24" t="s">
        <v>39</v>
      </c>
      <c r="W9" s="24" t="s">
        <v>40</v>
      </c>
      <c r="X9" s="24" t="s">
        <v>41</v>
      </c>
      <c r="Y9" s="24" t="s">
        <v>42</v>
      </c>
      <c r="Z9" s="24" t="s">
        <v>43</v>
      </c>
      <c r="AA9" s="24" t="s">
        <v>44</v>
      </c>
      <c r="AB9" s="24" t="s">
        <v>45</v>
      </c>
      <c r="AC9" s="24" t="s">
        <v>46</v>
      </c>
      <c r="AD9" s="24" t="s">
        <v>47</v>
      </c>
      <c r="AE9" s="24" t="s">
        <v>48</v>
      </c>
      <c r="AF9" s="24" t="s">
        <v>49</v>
      </c>
      <c r="AG9" s="24" t="s">
        <v>50</v>
      </c>
      <c r="AH9" s="24" t="s">
        <v>51</v>
      </c>
      <c r="AI9" s="24" t="s">
        <v>52</v>
      </c>
      <c r="AJ9" s="24" t="s">
        <v>53</v>
      </c>
      <c r="AK9" s="24" t="s">
        <v>54</v>
      </c>
      <c r="AL9" s="24" t="s">
        <v>55</v>
      </c>
      <c r="AM9" s="7"/>
      <c r="AN9" s="7"/>
      <c r="AO9" s="7"/>
      <c r="AP9" s="7"/>
      <c r="AQ9" s="7"/>
    </row>
    <row r="10">
      <c r="A10" s="25" t="s">
        <v>56</v>
      </c>
      <c r="B10" s="26">
        <f>SUM(C10:AL10)</f>
        <v>127</v>
      </c>
      <c r="C10" s="26">
        <v>10.0</v>
      </c>
      <c r="D10" s="26">
        <v>4.0</v>
      </c>
      <c r="E10" s="26">
        <v>3.0</v>
      </c>
      <c r="F10" s="26">
        <v>2.0</v>
      </c>
      <c r="G10" s="26">
        <v>3.0</v>
      </c>
      <c r="H10" s="26">
        <v>6.0</v>
      </c>
      <c r="I10" s="26">
        <v>5.0</v>
      </c>
      <c r="J10" s="26">
        <v>0.0</v>
      </c>
      <c r="K10" s="26">
        <v>0.0</v>
      </c>
      <c r="L10" s="26">
        <v>1.0</v>
      </c>
      <c r="M10" s="26">
        <v>8.0</v>
      </c>
      <c r="N10" s="26">
        <v>6.0</v>
      </c>
      <c r="O10" s="26">
        <v>3.0</v>
      </c>
      <c r="P10" s="26">
        <v>7.0</v>
      </c>
      <c r="Q10" s="26">
        <v>8.0</v>
      </c>
      <c r="R10" s="26">
        <v>5.0</v>
      </c>
      <c r="S10" s="26">
        <v>3.0</v>
      </c>
      <c r="T10" s="26">
        <v>2.0</v>
      </c>
      <c r="U10" s="26">
        <v>2.0</v>
      </c>
      <c r="V10" s="26">
        <v>2.0</v>
      </c>
      <c r="W10" s="26">
        <v>4.0</v>
      </c>
      <c r="X10" s="26">
        <v>2.0</v>
      </c>
      <c r="Y10" s="26">
        <v>2.0</v>
      </c>
      <c r="Z10" s="26">
        <v>4.0</v>
      </c>
      <c r="AA10" s="26">
        <v>5.0</v>
      </c>
      <c r="AB10" s="26">
        <v>2.0</v>
      </c>
      <c r="AC10" s="26">
        <v>1.0</v>
      </c>
      <c r="AD10" s="26">
        <v>1.0</v>
      </c>
      <c r="AE10" s="26">
        <v>5.0</v>
      </c>
      <c r="AF10" s="26">
        <v>5.0</v>
      </c>
      <c r="AG10" s="26">
        <v>1.0</v>
      </c>
      <c r="AH10" s="26">
        <v>5.0</v>
      </c>
      <c r="AI10" s="26">
        <v>4.0</v>
      </c>
      <c r="AJ10" s="26">
        <v>2.0</v>
      </c>
      <c r="AK10" s="26">
        <v>3.0</v>
      </c>
      <c r="AL10" s="27">
        <v>1.0</v>
      </c>
      <c r="AM10" s="28"/>
      <c r="AN10" s="28"/>
      <c r="AO10" s="28"/>
      <c r="AP10" s="28"/>
      <c r="AQ10" s="29"/>
    </row>
    <row r="11">
      <c r="A11" s="17"/>
      <c r="B11" s="1" t="s">
        <v>57</v>
      </c>
      <c r="C11" s="17"/>
      <c r="D11" s="7"/>
      <c r="E11" s="9"/>
      <c r="F11" s="9"/>
      <c r="G11" s="30" t="s">
        <v>20</v>
      </c>
      <c r="H11" s="30" t="s">
        <v>21</v>
      </c>
      <c r="I11" s="30" t="s">
        <v>22</v>
      </c>
      <c r="J11" s="30" t="s">
        <v>23</v>
      </c>
      <c r="K11" s="30" t="s">
        <v>24</v>
      </c>
      <c r="L11" s="30" t="s">
        <v>25</v>
      </c>
      <c r="M11" s="30" t="s">
        <v>26</v>
      </c>
      <c r="N11" s="30" t="s">
        <v>27</v>
      </c>
      <c r="O11" s="30" t="s">
        <v>28</v>
      </c>
      <c r="P11" s="30" t="s">
        <v>29</v>
      </c>
      <c r="Q11" s="30" t="s">
        <v>30</v>
      </c>
      <c r="R11" s="30" t="s">
        <v>31</v>
      </c>
      <c r="S11" s="30" t="s">
        <v>32</v>
      </c>
      <c r="T11" s="30" t="s">
        <v>33</v>
      </c>
      <c r="U11" s="30" t="s">
        <v>34</v>
      </c>
      <c r="V11" s="30" t="s">
        <v>35</v>
      </c>
      <c r="W11" s="30" t="s">
        <v>36</v>
      </c>
      <c r="X11" s="30" t="s">
        <v>37</v>
      </c>
      <c r="Y11" s="30" t="s">
        <v>38</v>
      </c>
      <c r="Z11" s="30" t="s">
        <v>39</v>
      </c>
      <c r="AA11" s="30" t="s">
        <v>40</v>
      </c>
      <c r="AB11" s="30" t="s">
        <v>41</v>
      </c>
      <c r="AC11" s="30" t="s">
        <v>42</v>
      </c>
      <c r="AD11" s="30" t="s">
        <v>43</v>
      </c>
      <c r="AE11" s="30" t="s">
        <v>44</v>
      </c>
      <c r="AF11" s="30" t="s">
        <v>45</v>
      </c>
      <c r="AG11" s="30" t="s">
        <v>46</v>
      </c>
      <c r="AH11" s="30" t="s">
        <v>47</v>
      </c>
      <c r="AI11" s="30" t="s">
        <v>48</v>
      </c>
      <c r="AJ11" s="30" t="s">
        <v>49</v>
      </c>
      <c r="AK11" s="30" t="s">
        <v>50</v>
      </c>
      <c r="AL11" s="30" t="s">
        <v>51</v>
      </c>
      <c r="AM11" s="30" t="s">
        <v>52</v>
      </c>
      <c r="AN11" s="30" t="s">
        <v>53</v>
      </c>
      <c r="AO11" s="30" t="s">
        <v>54</v>
      </c>
      <c r="AP11" s="30" t="s">
        <v>55</v>
      </c>
      <c r="AQ11" s="7"/>
    </row>
    <row r="12">
      <c r="A12" s="17"/>
      <c r="B12" s="31"/>
      <c r="C12" s="32" t="s">
        <v>58</v>
      </c>
      <c r="D12" s="33">
        <f>(MAX(F13:F57)-MIN(F13:F57))</f>
        <v>0</v>
      </c>
      <c r="E12" s="34" t="s">
        <v>59</v>
      </c>
      <c r="F12" s="35">
        <f>((((G12*C$10)+(H12*D$10)+(I12*E$10)+(J12*F$10)+(K12*G$10)+(L12*H$10)+(M12*I$10)+(N12*J$10)+(O12*K$10)+(P12*L$10)+(Q12*M$10)+(R12*N$10)+(S12*O$10)+(T12*P$10)+(U12*Q$10)+(V12*R$10)+(W12*S$10)+(X12*T$10)+(Y12*U$10)+(Z12*V$10)+(AA12*W$10)+(AB12*X$10)+(AC12*Y$10)+(AD12*Z$10)+(AE12*AA$10)+(AF12*AB$10)+(AG12*AC$10)+(AH12*AD$10)+(AI12*AE$10)+(AJ12*AF$10)+(AK12*AG$10)+(AL12*AH$10)+(AM12*AI$10)+(AN12*AJ$10)+(AO12*AK$10)+(AP12*AL$10))))</f>
        <v>117.8041996</v>
      </c>
      <c r="G12" s="36">
        <f>((3.4/MassFormulaTesting!$B$16)*0.68)+0.3</f>
        <v>0.3144199584</v>
      </c>
      <c r="H12" s="37">
        <v>0.98</v>
      </c>
      <c r="I12" s="37">
        <v>0.98</v>
      </c>
      <c r="J12" s="37">
        <v>0.98</v>
      </c>
      <c r="K12" s="37">
        <v>0.98</v>
      </c>
      <c r="L12" s="37">
        <v>0.98</v>
      </c>
      <c r="M12" s="37">
        <v>0.98</v>
      </c>
      <c r="N12" s="37">
        <v>0.98</v>
      </c>
      <c r="O12" s="37">
        <v>0.98</v>
      </c>
      <c r="P12" s="37">
        <v>0.98</v>
      </c>
      <c r="Q12" s="37">
        <v>0.98</v>
      </c>
      <c r="R12" s="37">
        <v>0.98</v>
      </c>
      <c r="S12" s="37">
        <v>0.98</v>
      </c>
      <c r="T12" s="37">
        <v>0.98</v>
      </c>
      <c r="U12" s="37">
        <v>0.98</v>
      </c>
      <c r="V12" s="37">
        <v>0.98</v>
      </c>
      <c r="W12" s="37">
        <v>0.98</v>
      </c>
      <c r="X12" s="37">
        <v>0.98</v>
      </c>
      <c r="Y12" s="37">
        <v>0.98</v>
      </c>
      <c r="Z12" s="37">
        <v>0.98</v>
      </c>
      <c r="AA12" s="37">
        <v>0.98</v>
      </c>
      <c r="AB12" s="37">
        <v>0.98</v>
      </c>
      <c r="AC12" s="37">
        <v>0.98</v>
      </c>
      <c r="AD12" s="37">
        <v>0.98</v>
      </c>
      <c r="AE12" s="37">
        <v>0.98</v>
      </c>
      <c r="AF12" s="37">
        <v>0.98</v>
      </c>
      <c r="AG12" s="37">
        <v>0.98</v>
      </c>
      <c r="AH12" s="37">
        <v>0.98</v>
      </c>
      <c r="AI12" s="37">
        <v>0.98</v>
      </c>
      <c r="AJ12" s="37">
        <v>0.98</v>
      </c>
      <c r="AK12" s="37">
        <v>0.98</v>
      </c>
      <c r="AL12" s="37">
        <v>0.98</v>
      </c>
      <c r="AM12" s="37">
        <v>0.98</v>
      </c>
      <c r="AN12" s="37">
        <v>0.98</v>
      </c>
      <c r="AO12" s="37">
        <v>0.98</v>
      </c>
      <c r="AP12" s="38">
        <v>0.98</v>
      </c>
      <c r="AQ12" s="7"/>
    </row>
    <row r="13">
      <c r="A13" s="7"/>
      <c r="B13" s="7"/>
      <c r="C13" s="39">
        <f>MIN(F13:F57)</f>
        <v>0.3</v>
      </c>
      <c r="D13" s="40" t="str">
        <f t="shared" ref="D13:D56" si="1">(((F13-$C$13)/$D$12)*0.68)+0.3</f>
        <v>#DIV/0!</v>
      </c>
      <c r="E13" s="41" t="str">
        <f>TotalAverages!A5</f>
        <v/>
      </c>
      <c r="F13" s="42">
        <f>(IFERROR(((G13*C$10)+(H13*D$10)+(I13*E$10)+(J13*F$10)+(K13*G$10)+(L13*H$10)+(M13*I$10)+(N13*J$10)+(O13*K$10)+(P13*L$10)+(Q13*M$10)+(R13*N$10)+(S13*O$10)+(T13*P$10)+(U13*Q$10)+(V13*R$10)+(W13*S$10)+(X13*T$10)+(Y13*U$10)+(Z13*V$10)+(AA13*W$10)+(AB13*X$10)+(AC13*Y$10)+(AD13*Z$10)+(AE13*AA$10)+(AF13*AB$10)+(AG13*AC$10)+(AH13*AD$10)+(AI13*AE$10)+(AJ13*AF$10)+(AK13*AG$10)+(AL13*AH$10)+(AM13*AI$10)+(AN13*AJ$10)+(AO13*AK$10)+(AP13*AL$10))/F$12,"")*0.68)+0.3</f>
        <v>0.3</v>
      </c>
      <c r="G13" s="43">
        <f>((TotalAverages!D5/MassFormulaTesting!$B$16)*0.68)+0.3</f>
        <v>0.3</v>
      </c>
      <c r="H13" s="43">
        <f>((TotalAverages!E5/MassFormulaTesting!$B$18)*0.68)+0.3</f>
        <v>0.3</v>
      </c>
      <c r="I13" s="43">
        <f>((TotalAverages!F5/MassFormulaTesting!$B$20)*0.68)+0.3</f>
        <v>0.3</v>
      </c>
      <c r="J13" s="43">
        <f>(IFERROR(MassFormulaTesting!$C$22/TotalAverages!G5,"")*0.68)+0.3</f>
        <v>0.3</v>
      </c>
      <c r="K13" s="44">
        <f>(((TotalAverages!H5+118)/(MassFormulaTesting!$B$24+118))*0.68)+0.3</f>
        <v>0.9376688742</v>
      </c>
      <c r="L13" s="43">
        <f>((TotalAverages!I5/MassFormulaTesting!$B$26)*0.68)+0.3</f>
        <v>0.3</v>
      </c>
      <c r="M13" s="43">
        <f>((0.98-(TotalAverages!J5/MassFormulaTesting!$B$28)*0.68))</f>
        <v>0.98</v>
      </c>
      <c r="N13" s="43">
        <f>((TotalAverages!K5/MassFormulaTesting!$B$30)*0.68)+0.3</f>
        <v>0.3</v>
      </c>
      <c r="O13" s="43">
        <f>((TotalAverages!L5/MassFormulaTesting!$B$32)*0.68)+0.3</f>
        <v>0.3</v>
      </c>
      <c r="P13" s="43">
        <f>((TotalAverages!M5/MassFormulaTesting!$B$34)*0.68)+0.3</f>
        <v>0.3</v>
      </c>
      <c r="Q13" s="43" t="str">
        <f>((TotalAverages!N5/MassFormulaTesting!$B$36)*0.68)+0.3</f>
        <v>#DIV/0!</v>
      </c>
      <c r="R13" s="43">
        <f>((TotalAverages!O5/MassFormulaTesting!$B$38)*0.68)+0.3</f>
        <v>0.3</v>
      </c>
      <c r="S13" s="43">
        <f>(IFERROR(TotalAverages!P5/MassFormulaTesting!$B$40,"")*0.68)+0.3</f>
        <v>0.3</v>
      </c>
      <c r="T13" s="43">
        <f>((TotalAverages!T5/MassFormulaTesting!$B$48)*0.68)+0.3</f>
        <v>0.3</v>
      </c>
      <c r="U13" s="43">
        <f>((TotalAverages!U5/MassFormulaTesting!$B$50)*0.68)+0.3</f>
        <v>0.3</v>
      </c>
      <c r="V13" s="43">
        <f>((TotalAverages!V5/MassFormulaTesting!$B$52)*0.68)+0.3</f>
        <v>0.3</v>
      </c>
      <c r="W13" s="43">
        <f>(IFERROR(TotalAverages!W5/MassFormulaTesting!$B$54,"")*0.68)+0.3</f>
        <v>0.3</v>
      </c>
      <c r="X13" s="43">
        <f>(IFERROR(TotalAverages!X5/MassFormulaTesting!$B$56,"")*0.68)+0.3</f>
        <v>0.3</v>
      </c>
      <c r="Y13" s="43">
        <f>(IFERROR(TotalAverages!Y5/MassFormulaTesting!$B$58,"")*0.68)+0.3</f>
        <v>0.3</v>
      </c>
      <c r="Z13" s="43">
        <f>(IFERROR(TotalAverages!Z5/MassFormulaTesting!$B$60,"")*0.68)+0.3</f>
        <v>0.3</v>
      </c>
      <c r="AA13" s="43">
        <f>((TotalAverages!AD5/MassFormulaTesting!$B$68)*0.68)+0.3</f>
        <v>0.3</v>
      </c>
      <c r="AB13" s="43" t="str">
        <f>((TotalAverages!AG5/MassFormulaTesting!$B$74)*0.68)+0.3</f>
        <v>#DIV/0!</v>
      </c>
      <c r="AC13" s="43" t="str">
        <f>((TotalAverages!AH5/MassFormulaTesting!$B$76)*0.68)+0.3</f>
        <v>#DIV/0!</v>
      </c>
      <c r="AD13" s="43" t="str">
        <f>((TotalAverages!AK5/MassFormulaTesting!$B$82)*0.68)+0.3</f>
        <v>#DIV/0!</v>
      </c>
      <c r="AE13" s="43" t="str">
        <f>((TotalAverages!AL5/MassFormulaTesting!$B$84)*0.68)+0.3</f>
        <v>#DIV/0!</v>
      </c>
      <c r="AF13" s="43" t="str">
        <f>((TotalAverages!AM5/MassFormulaTesting!$B$86)*0.68)+0.3</f>
        <v>#DIV/0!</v>
      </c>
      <c r="AG13" s="43" t="str">
        <f>((TotalAverages!AN5/MassFormulaTesting!$B$88)*0.68)+0.3</f>
        <v>#DIV/0!</v>
      </c>
      <c r="AH13" s="43" t="str">
        <f>((TotalAverages!AO5/MassFormulaTesting!$B$90)*0.68)+0.3</f>
        <v>#DIV/0!</v>
      </c>
      <c r="AI13" s="43" t="str">
        <f>((TotalAverages!AP5/MassFormulaTesting!$B$92)*0.68)+0.3</f>
        <v>#DIV/0!</v>
      </c>
      <c r="AJ13" s="43" t="str">
        <f>((TotalAverages!AQ5/MassFormulaTesting!$B$94)*0.68)+0.3</f>
        <v>#DIV/0!</v>
      </c>
      <c r="AK13" s="43" t="str">
        <f>((TotalAverages!AR5/MassFormulaTesting!$B$96)*0.68)+0.3</f>
        <v>#DIV/0!</v>
      </c>
      <c r="AL13" s="43" t="str">
        <f>((TotalAverages!AS5/MassFormulaTesting!$B$98)*0.68)+0.3</f>
        <v>#DIV/0!</v>
      </c>
      <c r="AM13" s="43" t="str">
        <f>((TotalAverages!AT5/MassFormulaTesting!$B$100)*0.68)+0.3</f>
        <v>#DIV/0!</v>
      </c>
      <c r="AN13" s="43" t="str">
        <f>((TotalAverages!AV5/MassFormulaTesting!$B$104)*0.68)+0.3</f>
        <v>#DIV/0!</v>
      </c>
      <c r="AO13" s="43" t="str">
        <f>((TotalAverages!AW5/MassFormulaTesting!$B$106)*0.68)+0.3</f>
        <v>#DIV/0!</v>
      </c>
      <c r="AP13" s="43" t="str">
        <f>((TotalAverages!AX5/MassFormulaTesting!$B$108)*0.68)+0.3</f>
        <v>#DIV/0!</v>
      </c>
      <c r="AQ13" s="7"/>
    </row>
    <row r="14">
      <c r="A14" s="16" t="s">
        <v>60</v>
      </c>
      <c r="C14" s="7"/>
      <c r="D14" s="40" t="str">
        <f t="shared" si="1"/>
        <v>#DIV/0!</v>
      </c>
      <c r="E14" s="45" t="str">
        <f>TotalAverages!A6</f>
        <v>ADhillyy</v>
      </c>
      <c r="F14" s="46">
        <f t="shared" ref="F14:F56" si="2">((IFERROR((G14*C$10)+(H14*D$10)+(I14*E$10)+(J14*F$10)+(K14*G$10)+(L14*H$10)+(M14*I$10)+(N14*J$10)+(O14*K$10)+(P14*L$10)+(Q14*M$10)+(R14*N$10)+(S14*O$10)+(T14*P$10)+(U14*Q$10)+(V14*R$10)+(W14*S$10)+(X14*T$10)+(Y14*U$10)+(Z14*V$10)+(AA14*W$10)+(AB14*X$10)+(AC14*Y$10)+(AD14*Z$10)+(AE14*AA$10)+(AF14*AB$10)+(AG14*AC$10)+(AH14*AD$10)+(AI14*AE$10)+(AJ14*AF$10)+(AK14*AG$10)+(AL14*AH$10)+(AM14*AI$10)+(AN14*AJ$10)+(AO14*AK$10)+(AP14*AL$10),"")/F$12)*0.68)+0.3</f>
        <v>0.3</v>
      </c>
      <c r="G14" s="47">
        <f>((TotalAverages!D6/MassFormulaTesting!$B$16)*0.68)+0.3</f>
        <v>0.5462904663</v>
      </c>
      <c r="H14" s="47">
        <f>((TotalAverages!E6/MassFormulaTesting!$B$18)*0.68)+0.3</f>
        <v>0.7056784629</v>
      </c>
      <c r="I14" s="47">
        <f>((TotalAverages!F6/MassFormulaTesting!$B$20)*0.68)+0.3</f>
        <v>-0.2311973576</v>
      </c>
      <c r="J14" s="47">
        <f>(IFERROR(MassFormulaTesting!$C$22/TotalAverages!G6,"")*0.68)+0.3</f>
        <v>4.01875</v>
      </c>
      <c r="K14" s="13">
        <f>(((TotalAverages!H6+118)/(MassFormulaTesting!$B$24+118))*0.68)+0.3</f>
        <v>0.9561967833</v>
      </c>
      <c r="L14" s="47">
        <f>((TotalAverages!I6/MassFormulaTesting!$B$26)*0.68)+0.3</f>
        <v>0.4165714286</v>
      </c>
      <c r="M14" s="47">
        <f>((0.98-(TotalAverages!J6/MassFormulaTesting!$B$28)*0.68))</f>
        <v>0.6569249611</v>
      </c>
      <c r="N14" s="47">
        <f>((TotalAverages!K6/MassFormulaTesting!$B$30)*0.68)+0.3</f>
        <v>0.6518612637</v>
      </c>
      <c r="O14" s="47">
        <f>((TotalAverages!L6/MassFormulaTesting!$B$32)*0.68)+0.3</f>
        <v>0.4771345876</v>
      </c>
      <c r="P14" s="47">
        <f>((TotalAverages!M6/MassFormulaTesting!$B$34)*0.68)+0.3</f>
        <v>0.3031476624</v>
      </c>
      <c r="Q14" s="47" t="str">
        <f>((TotalAverages!N6/MassFormulaTesting!$B$36)*0.68)+0.3</f>
        <v>#DIV/0!</v>
      </c>
      <c r="R14" s="47">
        <f>((TotalAverages!O6/MassFormulaTesting!$B$38)*0.68)+0.3</f>
        <v>0.3242857143</v>
      </c>
      <c r="S14" s="47">
        <f>(IFERROR(TotalAverages!P6/MassFormulaTesting!$B$40,"")*0.68)+0.3</f>
        <v>0.3</v>
      </c>
      <c r="T14" s="47">
        <f>((TotalAverages!T6/MassFormulaTesting!$B$48)*0.68)+0.3</f>
        <v>0.3</v>
      </c>
      <c r="U14" s="47">
        <f>((TotalAverages!U6/MassFormulaTesting!$B$50)*0.68)+0.3</f>
        <v>0.4808261618</v>
      </c>
      <c r="V14" s="47">
        <f>((TotalAverages!V6/MassFormulaTesting!$B$52)*0.68)+0.3</f>
        <v>0.4533834586</v>
      </c>
      <c r="W14" s="47">
        <f>(IFERROR(TotalAverages!W6/MassFormulaTesting!$B$54,"")*0.68)+0.3</f>
        <v>0.3791534392</v>
      </c>
      <c r="X14" s="47">
        <f>(IFERROR(TotalAverages!X6/MassFormulaTesting!$B$56,"")*0.68)+0.3</f>
        <v>0.3</v>
      </c>
      <c r="Y14" s="47">
        <f>(IFERROR(TotalAverages!Y6/MassFormulaTesting!$B$58,"")*0.68)+0.3</f>
        <v>0.3</v>
      </c>
      <c r="Z14" s="43">
        <f>(IFERROR(TotalAverages!Z6/MassFormulaTesting!$B$60,"")*0.68)+0.3</f>
        <v>0.3</v>
      </c>
      <c r="AA14" s="43">
        <f>((TotalAverages!AD6/MassFormulaTesting!$B$68)*0.68)+0.3</f>
        <v>0.3</v>
      </c>
      <c r="AB14" s="43" t="str">
        <f>((TotalAverages!AG6/MassFormulaTesting!$B$74)*0.68)+0.3</f>
        <v>#DIV/0!</v>
      </c>
      <c r="AC14" s="43" t="str">
        <f>((TotalAverages!AH6/MassFormulaTesting!$B$76)*0.68)+0.3</f>
        <v>#DIV/0!</v>
      </c>
      <c r="AD14" s="43" t="str">
        <f>((TotalAverages!AK6/MassFormulaTesting!$B$82)*0.68)+0.3</f>
        <v>#DIV/0!</v>
      </c>
      <c r="AE14" s="43" t="str">
        <f>((TotalAverages!AL6/MassFormulaTesting!$B$84)*0.68)+0.3</f>
        <v>#DIV/0!</v>
      </c>
      <c r="AF14" s="43" t="str">
        <f>((TotalAverages!AM6/MassFormulaTesting!$B$86)*0.68)+0.3</f>
        <v>#DIV/0!</v>
      </c>
      <c r="AG14" s="43" t="str">
        <f>((TotalAverages!AN6/MassFormulaTesting!$B$88)*0.68)+0.3</f>
        <v>#DIV/0!</v>
      </c>
      <c r="AH14" s="43" t="str">
        <f>((TotalAverages!AO6/MassFormulaTesting!$B$90)*0.68)+0.3</f>
        <v>#DIV/0!</v>
      </c>
      <c r="AI14" s="43" t="str">
        <f>((TotalAverages!AP6/MassFormulaTesting!$B$92)*0.68)+0.3</f>
        <v>#DIV/0!</v>
      </c>
      <c r="AJ14" s="43" t="str">
        <f>((TotalAverages!AQ6/MassFormulaTesting!$B$94)*0.68)+0.3</f>
        <v>#DIV/0!</v>
      </c>
      <c r="AK14" s="43" t="str">
        <f>((TotalAverages!AR6/MassFormulaTesting!$B$96)*0.68)+0.3</f>
        <v>#DIV/0!</v>
      </c>
      <c r="AL14" s="43" t="str">
        <f>((TotalAverages!AS6/MassFormulaTesting!$B$98)*0.68)+0.3</f>
        <v>#DIV/0!</v>
      </c>
      <c r="AM14" s="43" t="str">
        <f>((TotalAverages!AT6/MassFormulaTesting!$B$100)*0.68)+0.3</f>
        <v>#DIV/0!</v>
      </c>
      <c r="AN14" s="43" t="str">
        <f>((TotalAverages!AV6/MassFormulaTesting!$B$104)*0.68)+0.3</f>
        <v>#DIV/0!</v>
      </c>
      <c r="AO14" s="43" t="str">
        <f>((TotalAverages!AW6/MassFormulaTesting!$B$106)*0.68)+0.3</f>
        <v>#DIV/0!</v>
      </c>
      <c r="AP14" s="43" t="str">
        <f>((TotalAverages!AX6/MassFormulaTesting!$B$108)*0.68)+0.3</f>
        <v>#DIV/0!</v>
      </c>
      <c r="AQ14" s="7"/>
    </row>
    <row r="15">
      <c r="A15" s="48" t="str">
        <f>IFERROR(__xludf.DUMMYFUNCTION("Query(TotalAverages!A:AV,""Select A,D where A&lt;&gt;'' Order by D Desc Limit 1"")"),"OVERALL")</f>
        <v>OVERALL</v>
      </c>
      <c r="B15" s="49" t="str">
        <f>IFERROR(__xludf.DUMMYFUNCTION("""COMPUTED_VALUE"""),"avg Kills")</f>
        <v>avg Kills</v>
      </c>
      <c r="C15" s="7"/>
      <c r="D15" s="40" t="str">
        <f t="shared" si="1"/>
        <v>#DIV/0!</v>
      </c>
      <c r="E15" s="45" t="str">
        <f>TotalAverages!A7</f>
        <v>ASpence501</v>
      </c>
      <c r="F15" s="46">
        <f t="shared" si="2"/>
        <v>0.3</v>
      </c>
      <c r="G15" s="47">
        <f>((TotalAverages!D7/MassFormulaTesting!$B$16)*0.68)+0.3</f>
        <v>0.7256213534</v>
      </c>
      <c r="H15" s="47">
        <f>((TotalAverages!E7/MassFormulaTesting!$B$18)*0.68)+0.3</f>
        <v>0.7959486224</v>
      </c>
      <c r="I15" s="47">
        <f>((TotalAverages!F7/MassFormulaTesting!$B$20)*0.68)+0.3</f>
        <v>0.2853552116</v>
      </c>
      <c r="J15" s="47">
        <f>(IFERROR(MassFormulaTesting!$C$22/TotalAverages!G7,"")*0.68)+0.3</f>
        <v>2.383003953</v>
      </c>
      <c r="K15" s="13">
        <f>(((TotalAverages!H7+118)/(MassFormulaTesting!$B$24+118))*0.68)+0.3</f>
        <v>0.9657346721</v>
      </c>
      <c r="L15" s="47">
        <f>((TotalAverages!I7/MassFormulaTesting!$B$26)*0.68)+0.3</f>
        <v>0.4184516129</v>
      </c>
      <c r="M15" s="47">
        <f>((0.98-(TotalAverages!J7/MassFormulaTesting!$B$28)*0.68))</f>
        <v>0.5273470493</v>
      </c>
      <c r="N15" s="47">
        <f>((TotalAverages!K7/MassFormulaTesting!$B$30)*0.68)+0.3</f>
        <v>0.7701457816</v>
      </c>
      <c r="O15" s="47">
        <f>((TotalAverages!L7/MassFormulaTesting!$B$32)*0.68)+0.3</f>
        <v>0.5108472994</v>
      </c>
      <c r="P15" s="47">
        <f>((TotalAverages!M7/MassFormulaTesting!$B$34)*0.68)+0.3</f>
        <v>0.3091789897</v>
      </c>
      <c r="Q15" s="47" t="str">
        <f>((TotalAverages!N7/MassFormulaTesting!$B$36)*0.68)+0.3</f>
        <v>#DIV/0!</v>
      </c>
      <c r="R15" s="47">
        <f>((TotalAverages!O7/MassFormulaTesting!$B$38)*0.68)+0.3</f>
        <v>0.5358064516</v>
      </c>
      <c r="S15" s="47">
        <f>(IFERROR(TotalAverages!P7/MassFormulaTesting!$B$40,"")*0.68)+0.3</f>
        <v>0.3</v>
      </c>
      <c r="T15" s="47">
        <f>((TotalAverages!T7/MassFormulaTesting!$B$48)*0.68)+0.3</f>
        <v>0.3</v>
      </c>
      <c r="U15" s="47">
        <f>((TotalAverages!U7/MassFormulaTesting!$B$50)*0.68)+0.3</f>
        <v>0.6884959192</v>
      </c>
      <c r="V15" s="47">
        <f>((TotalAverages!V7/MassFormulaTesting!$B$52)*0.68)+0.3</f>
        <v>0.6013242784</v>
      </c>
      <c r="W15" s="47">
        <f>(IFERROR(TotalAverages!W7/MassFormulaTesting!$B$54,"")*0.68)+0.3</f>
        <v>0.5502270012</v>
      </c>
      <c r="X15" s="47">
        <f>(IFERROR(TotalAverages!X7/MassFormulaTesting!$B$56,"")*0.68)+0.3</f>
        <v>0.5632258065</v>
      </c>
      <c r="Y15" s="47">
        <f>(IFERROR(TotalAverages!Y7/MassFormulaTesting!$B$58,"")*0.68)+0.3</f>
        <v>0.3658064516</v>
      </c>
      <c r="Z15" s="43">
        <f>(IFERROR(TotalAverages!Z7/MassFormulaTesting!$B$60,"")*0.68)+0.3</f>
        <v>0.5266666667</v>
      </c>
      <c r="AA15" s="43">
        <f>((TotalAverages!AD7/MassFormulaTesting!$B$68)*0.68)+0.3</f>
        <v>0.3</v>
      </c>
      <c r="AB15" s="43" t="str">
        <f>((TotalAverages!AG7/MassFormulaTesting!$B$74)*0.68)+0.3</f>
        <v>#DIV/0!</v>
      </c>
      <c r="AC15" s="43" t="str">
        <f>((TotalAverages!AH7/MassFormulaTesting!$B$76)*0.68)+0.3</f>
        <v>#DIV/0!</v>
      </c>
      <c r="AD15" s="43" t="str">
        <f>((TotalAverages!AK7/MassFormulaTesting!$B$82)*0.68)+0.3</f>
        <v>#DIV/0!</v>
      </c>
      <c r="AE15" s="43" t="str">
        <f>((TotalAverages!AL7/MassFormulaTesting!$B$84)*0.68)+0.3</f>
        <v>#DIV/0!</v>
      </c>
      <c r="AF15" s="43" t="str">
        <f>((TotalAverages!AM7/MassFormulaTesting!$B$86)*0.68)+0.3</f>
        <v>#DIV/0!</v>
      </c>
      <c r="AG15" s="43" t="str">
        <f>((TotalAverages!AN7/MassFormulaTesting!$B$88)*0.68)+0.3</f>
        <v>#DIV/0!</v>
      </c>
      <c r="AH15" s="43" t="str">
        <f>((TotalAverages!AO7/MassFormulaTesting!$B$90)*0.68)+0.3</f>
        <v>#DIV/0!</v>
      </c>
      <c r="AI15" s="43" t="str">
        <f>((TotalAverages!AP7/MassFormulaTesting!$B$92)*0.68)+0.3</f>
        <v>#DIV/0!</v>
      </c>
      <c r="AJ15" s="43" t="str">
        <f>((TotalAverages!AQ7/MassFormulaTesting!$B$94)*0.68)+0.3</f>
        <v>#DIV/0!</v>
      </c>
      <c r="AK15" s="43" t="str">
        <f>((TotalAverages!AR7/MassFormulaTesting!$B$96)*0.68)+0.3</f>
        <v>#DIV/0!</v>
      </c>
      <c r="AL15" s="43" t="str">
        <f>((TotalAverages!AS7/MassFormulaTesting!$B$98)*0.68)+0.3</f>
        <v>#DIV/0!</v>
      </c>
      <c r="AM15" s="43" t="str">
        <f>((TotalAverages!AT7/MassFormulaTesting!$B$100)*0.68)+0.3</f>
        <v>#DIV/0!</v>
      </c>
      <c r="AN15" s="43" t="str">
        <f>((TotalAverages!AV7/MassFormulaTesting!$B$104)*0.68)+0.3</f>
        <v>#DIV/0!</v>
      </c>
      <c r="AO15" s="43" t="str">
        <f>((TotalAverages!AW7/MassFormulaTesting!$B$106)*0.68)+0.3</f>
        <v>#DIV/0!</v>
      </c>
      <c r="AP15" s="43" t="str">
        <f>((TotalAverages!AX7/MassFormulaTesting!$B$108)*0.68)+0.3</f>
        <v>#DIV/0!</v>
      </c>
      <c r="AQ15" s="7"/>
    </row>
    <row r="16">
      <c r="A16" s="50" t="str">
        <f>IFERROR(__xludf.DUMMYFUNCTION("""COMPUTED_VALUE"""),"Judasey")</f>
        <v>Judasey</v>
      </c>
      <c r="B16" s="51">
        <f>IFERROR(__xludf.DUMMYFUNCTION("""COMPUTED_VALUE"""),160.33333333333334)</f>
        <v>160.3333333</v>
      </c>
      <c r="C16" s="52"/>
      <c r="D16" s="40" t="str">
        <f t="shared" si="1"/>
        <v>#DIV/0!</v>
      </c>
      <c r="E16" s="45" t="str">
        <f>TotalAverages!A8</f>
        <v>ActiveHate</v>
      </c>
      <c r="F16" s="46">
        <f t="shared" si="2"/>
        <v>0.3</v>
      </c>
      <c r="G16" s="47">
        <f>((TotalAverages!D8/MassFormulaTesting!$B$16)*0.68)+0.3</f>
        <v>0.7446860707</v>
      </c>
      <c r="H16" s="47">
        <f>((TotalAverages!E8/MassFormulaTesting!$B$18)*0.68)+0.3</f>
        <v>0.9783981763</v>
      </c>
      <c r="I16" s="47">
        <f>((TotalAverages!F8/MassFormulaTesting!$B$20)*0.68)+0.3</f>
        <v>-0.4209768786</v>
      </c>
      <c r="J16" s="47">
        <f>(IFERROR(MassFormulaTesting!$C$22/TotalAverages!G8,"")*0.68)+0.3</f>
        <v>2.479487179</v>
      </c>
      <c r="K16" s="13">
        <f>(((TotalAverages!H8+118)/(MassFormulaTesting!$B$24+118))*0.68)+0.3</f>
        <v>0.9630675497</v>
      </c>
      <c r="L16" s="47">
        <f>((TotalAverages!I8/MassFormulaTesting!$B$26)*0.68)+0.3</f>
        <v>0.4122</v>
      </c>
      <c r="M16" s="47">
        <f>((0.98-(TotalAverages!J8/MassFormulaTesting!$B$28)*0.68))</f>
        <v>0.4195738525</v>
      </c>
      <c r="N16" s="47">
        <f>((TotalAverages!K8/MassFormulaTesting!$B$30)*0.68)+0.3</f>
        <v>0.8890673077</v>
      </c>
      <c r="O16" s="47">
        <f>((TotalAverages!L8/MassFormulaTesting!$B$32)*0.68)+0.3</f>
        <v>0.4886483357</v>
      </c>
      <c r="P16" s="47">
        <f>((TotalAverages!M8/MassFormulaTesting!$B$34)*0.68)+0.3</f>
        <v>0.3016682611</v>
      </c>
      <c r="Q16" s="47" t="str">
        <f>((TotalAverages!N8/MassFormulaTesting!$B$36)*0.68)+0.3</f>
        <v>#DIV/0!</v>
      </c>
      <c r="R16" s="47">
        <f>((TotalAverages!O8/MassFormulaTesting!$B$38)*0.68)+0.3</f>
        <v>0.4615</v>
      </c>
      <c r="S16" s="47">
        <f>(IFERROR(TotalAverages!P8/MassFormulaTesting!$B$40,"")*0.68)+0.3</f>
        <v>0.3</v>
      </c>
      <c r="T16" s="47">
        <f>((TotalAverages!T8/MassFormulaTesting!$B$48)*0.68)+0.3</f>
        <v>0.3</v>
      </c>
      <c r="U16" s="47">
        <f>((TotalAverages!U8/MassFormulaTesting!$B$50)*0.68)+0.3</f>
        <v>0.6514698795</v>
      </c>
      <c r="V16" s="47">
        <f>((TotalAverages!V8/MassFormulaTesting!$B$52)*0.68)+0.3</f>
        <v>0.606</v>
      </c>
      <c r="W16" s="47">
        <f>(IFERROR(TotalAverages!W8/MassFormulaTesting!$B$54,"")*0.68)+0.3</f>
        <v>0.577037037</v>
      </c>
      <c r="X16" s="47">
        <f>(IFERROR(TotalAverages!X8/MassFormulaTesting!$B$56,"")*0.68)+0.3</f>
        <v>0.3</v>
      </c>
      <c r="Y16" s="47">
        <f>(IFERROR(TotalAverages!Y8/MassFormulaTesting!$B$58,"")*0.68)+0.3</f>
        <v>0.3</v>
      </c>
      <c r="Z16" s="43">
        <f>(IFERROR(TotalAverages!Z8/MassFormulaTesting!$B$60,"")*0.68)+0.3</f>
        <v>0.3</v>
      </c>
      <c r="AA16" s="43">
        <f>((TotalAverages!AD8/MassFormulaTesting!$B$68)*0.68)+0.3</f>
        <v>0.3</v>
      </c>
      <c r="AB16" s="43" t="str">
        <f>((TotalAverages!AG8/MassFormulaTesting!$B$74)*0.68)+0.3</f>
        <v>#DIV/0!</v>
      </c>
      <c r="AC16" s="43" t="str">
        <f>((TotalAverages!AH8/MassFormulaTesting!$B$76)*0.68)+0.3</f>
        <v>#DIV/0!</v>
      </c>
      <c r="AD16" s="43" t="str">
        <f>((TotalAverages!AK8/MassFormulaTesting!$B$82)*0.68)+0.3</f>
        <v>#DIV/0!</v>
      </c>
      <c r="AE16" s="43" t="str">
        <f>((TotalAverages!AL8/MassFormulaTesting!$B$84)*0.68)+0.3</f>
        <v>#DIV/0!</v>
      </c>
      <c r="AF16" s="43" t="str">
        <f>((TotalAverages!AM8/MassFormulaTesting!$B$86)*0.68)+0.3</f>
        <v>#DIV/0!</v>
      </c>
      <c r="AG16" s="43" t="str">
        <f>((TotalAverages!AN8/MassFormulaTesting!$B$88)*0.68)+0.3</f>
        <v>#DIV/0!</v>
      </c>
      <c r="AH16" s="43" t="str">
        <f>((TotalAverages!AO8/MassFormulaTesting!$B$90)*0.68)+0.3</f>
        <v>#DIV/0!</v>
      </c>
      <c r="AI16" s="43" t="str">
        <f>((TotalAverages!AP8/MassFormulaTesting!$B$92)*0.68)+0.3</f>
        <v>#DIV/0!</v>
      </c>
      <c r="AJ16" s="43" t="str">
        <f>((TotalAverages!AQ8/MassFormulaTesting!$B$94)*0.68)+0.3</f>
        <v>#DIV/0!</v>
      </c>
      <c r="AK16" s="43" t="str">
        <f>((TotalAverages!AR8/MassFormulaTesting!$B$96)*0.68)+0.3</f>
        <v>#DIV/0!</v>
      </c>
      <c r="AL16" s="43" t="str">
        <f>((TotalAverages!AS8/MassFormulaTesting!$B$98)*0.68)+0.3</f>
        <v>#DIV/0!</v>
      </c>
      <c r="AM16" s="43" t="str">
        <f>((TotalAverages!AT8/MassFormulaTesting!$B$100)*0.68)+0.3</f>
        <v>#DIV/0!</v>
      </c>
      <c r="AN16" s="43" t="str">
        <f>((TotalAverages!AV8/MassFormulaTesting!$B$104)*0.68)+0.3</f>
        <v>#DIV/0!</v>
      </c>
      <c r="AO16" s="43" t="str">
        <f>((TotalAverages!AW8/MassFormulaTesting!$B$106)*0.68)+0.3</f>
        <v>#DIV/0!</v>
      </c>
      <c r="AP16" s="43" t="str">
        <f>((TotalAverages!AX8/MassFormulaTesting!$B$108)*0.68)+0.3</f>
        <v>#DIV/0!</v>
      </c>
      <c r="AQ16" s="7"/>
    </row>
    <row r="17">
      <c r="A17" s="53" t="str">
        <f>IFERROR(__xludf.DUMMYFUNCTION("Query(TotalAverages!A:AV,""Select A,E where A&lt;&gt;'' Order by E Desc Limit 1"")"),"OVERALL")</f>
        <v>OVERALL</v>
      </c>
      <c r="B17" s="54" t="str">
        <f>IFERROR(__xludf.DUMMYFUNCTION("""COMPUTED_VALUE"""),"avg Deaths")</f>
        <v>avg Deaths</v>
      </c>
      <c r="C17" s="52"/>
      <c r="D17" s="40" t="str">
        <f t="shared" si="1"/>
        <v>#DIV/0!</v>
      </c>
      <c r="E17" s="45" t="str">
        <f>TotalAverages!A9</f>
        <v>Almighty Tycoon</v>
      </c>
      <c r="F17" s="46">
        <f t="shared" si="2"/>
        <v>0.3</v>
      </c>
      <c r="G17" s="47">
        <f>((TotalAverages!D9/MassFormulaTesting!$B$16)*0.68)+0.3</f>
        <v>0.6432515593</v>
      </c>
      <c r="H17" s="47">
        <f>((TotalAverages!E9/MassFormulaTesting!$B$18)*0.68)+0.3</f>
        <v>0.7846636272</v>
      </c>
      <c r="I17" s="47">
        <f>((TotalAverages!F9/MassFormulaTesting!$B$20)*0.68)+0.3</f>
        <v>-0.08480924855</v>
      </c>
      <c r="J17" s="47">
        <f>(IFERROR(MassFormulaTesting!$C$22/TotalAverages!G9,"")*0.68)+0.3</f>
        <v>3.655263158</v>
      </c>
      <c r="K17" s="13">
        <f>(((TotalAverages!H9+118)/(MassFormulaTesting!$B$24+118))*0.68)+0.3</f>
        <v>0.9628874172</v>
      </c>
      <c r="L17" s="47">
        <f>((TotalAverages!I9/MassFormulaTesting!$B$26)*0.68)+0.3</f>
        <v>0.4496</v>
      </c>
      <c r="M17" s="47">
        <f>((0.98-(TotalAverages!J9/MassFormulaTesting!$B$28)*0.68))</f>
        <v>0.5034048937</v>
      </c>
      <c r="N17" s="47">
        <f>((TotalAverages!K9/MassFormulaTesting!$B$30)*0.68)+0.3</f>
        <v>0.7858653846</v>
      </c>
      <c r="O17" s="47">
        <f>((TotalAverages!L9/MassFormulaTesting!$B$32)*0.68)+0.3</f>
        <v>0.5255513748</v>
      </c>
      <c r="P17" s="47">
        <f>((TotalAverages!M9/MassFormulaTesting!$B$34)*0.68)+0.3</f>
        <v>0.3083517976</v>
      </c>
      <c r="Q17" s="47" t="str">
        <f>((TotalAverages!N9/MassFormulaTesting!$B$36)*0.68)+0.3</f>
        <v>#DIV/0!</v>
      </c>
      <c r="R17" s="47">
        <f>((TotalAverages!O9/MassFormulaTesting!$B$38)*0.68)+0.3</f>
        <v>0.3906666667</v>
      </c>
      <c r="S17" s="47">
        <f>(IFERROR(TotalAverages!P9/MassFormulaTesting!$B$40,"")*0.68)+0.3</f>
        <v>0.3</v>
      </c>
      <c r="T17" s="47">
        <f>((TotalAverages!T9/MassFormulaTesting!$B$48)*0.68)+0.3</f>
        <v>0.3</v>
      </c>
      <c r="U17" s="47">
        <f>((TotalAverages!U9/MassFormulaTesting!$B$50)*0.68)+0.3</f>
        <v>0.5130120482</v>
      </c>
      <c r="V17" s="47">
        <f>((TotalAverages!V9/MassFormulaTesting!$B$52)*0.68)+0.3</f>
        <v>0.4574736842</v>
      </c>
      <c r="W17" s="47">
        <f>(IFERROR(TotalAverages!W9/MassFormulaTesting!$B$54,"")*0.68)+0.3</f>
        <v>0.5216296296</v>
      </c>
      <c r="X17" s="47">
        <f>(IFERROR(TotalAverages!X9/MassFormulaTesting!$B$56,"")*0.68)+0.3</f>
        <v>0.3906666667</v>
      </c>
      <c r="Y17" s="47">
        <f>(IFERROR(TotalAverages!Y9/MassFormulaTesting!$B$58,"")*0.68)+0.3</f>
        <v>0.436</v>
      </c>
      <c r="Z17" s="43">
        <f>(IFERROR(TotalAverages!Z9/MassFormulaTesting!$B$60,"")*0.68)+0.3</f>
        <v>0.3</v>
      </c>
      <c r="AA17" s="43">
        <f>((TotalAverages!AD9/MassFormulaTesting!$B$68)*0.68)+0.3</f>
        <v>0.3</v>
      </c>
      <c r="AB17" s="43" t="str">
        <f>((TotalAverages!AG9/MassFormulaTesting!$B$74)*0.68)+0.3</f>
        <v>#DIV/0!</v>
      </c>
      <c r="AC17" s="43" t="str">
        <f>((TotalAverages!AH9/MassFormulaTesting!$B$76)*0.68)+0.3</f>
        <v>#DIV/0!</v>
      </c>
      <c r="AD17" s="43" t="str">
        <f>((TotalAverages!AK9/MassFormulaTesting!$B$82)*0.68)+0.3</f>
        <v>#DIV/0!</v>
      </c>
      <c r="AE17" s="43" t="str">
        <f>((TotalAverages!AL9/MassFormulaTesting!$B$84)*0.68)+0.3</f>
        <v>#DIV/0!</v>
      </c>
      <c r="AF17" s="43" t="str">
        <f>((TotalAverages!AM9/MassFormulaTesting!$B$86)*0.68)+0.3</f>
        <v>#DIV/0!</v>
      </c>
      <c r="AG17" s="43" t="str">
        <f>((TotalAverages!AN9/MassFormulaTesting!$B$88)*0.68)+0.3</f>
        <v>#DIV/0!</v>
      </c>
      <c r="AH17" s="43" t="str">
        <f>((TotalAverages!AO9/MassFormulaTesting!$B$90)*0.68)+0.3</f>
        <v>#DIV/0!</v>
      </c>
      <c r="AI17" s="43" t="str">
        <f>((TotalAverages!AP9/MassFormulaTesting!$B$92)*0.68)+0.3</f>
        <v>#DIV/0!</v>
      </c>
      <c r="AJ17" s="43" t="str">
        <f>((TotalAverages!AQ9/MassFormulaTesting!$B$94)*0.68)+0.3</f>
        <v>#DIV/0!</v>
      </c>
      <c r="AK17" s="43" t="str">
        <f>((TotalAverages!AR9/MassFormulaTesting!$B$96)*0.68)+0.3</f>
        <v>#DIV/0!</v>
      </c>
      <c r="AL17" s="43" t="str">
        <f>((TotalAverages!AS9/MassFormulaTesting!$B$98)*0.68)+0.3</f>
        <v>#DIV/0!</v>
      </c>
      <c r="AM17" s="43" t="str">
        <f>((TotalAverages!AT9/MassFormulaTesting!$B$100)*0.68)+0.3</f>
        <v>#DIV/0!</v>
      </c>
      <c r="AN17" s="43" t="str">
        <f>((TotalAverages!AV9/MassFormulaTesting!$B$104)*0.68)+0.3</f>
        <v>#DIV/0!</v>
      </c>
      <c r="AO17" s="43" t="str">
        <f>((TotalAverages!AW9/MassFormulaTesting!$B$106)*0.68)+0.3</f>
        <v>#DIV/0!</v>
      </c>
      <c r="AP17" s="43" t="str">
        <f>((TotalAverages!AX9/MassFormulaTesting!$B$108)*0.68)+0.3</f>
        <v>#DIV/0!</v>
      </c>
      <c r="AQ17" s="7"/>
    </row>
    <row r="18">
      <c r="A18" s="50" t="str">
        <f>IFERROR(__xludf.DUMMYFUNCTION("""COMPUTED_VALUE"""),"oh zilly")</f>
        <v>oh zilly</v>
      </c>
      <c r="B18" s="51">
        <f>IFERROR(__xludf.DUMMYFUNCTION("""COMPUTED_VALUE"""),138.52631578947367)</f>
        <v>138.5263158</v>
      </c>
      <c r="C18" s="55"/>
      <c r="D18" s="40" t="str">
        <f t="shared" si="1"/>
        <v>#DIV/0!</v>
      </c>
      <c r="E18" s="45" t="str">
        <f>TotalAverages!A10</f>
        <v>AwareMosquito</v>
      </c>
      <c r="F18" s="46">
        <f t="shared" si="2"/>
        <v>0.3</v>
      </c>
      <c r="G18" s="47">
        <f>((TotalAverages!D10/MassFormulaTesting!$B$16)*0.68)+0.3</f>
        <v>0.6604989605</v>
      </c>
      <c r="H18" s="47">
        <f>((TotalAverages!E10/MassFormulaTesting!$B$18)*0.68)+0.3</f>
        <v>0.8276975684</v>
      </c>
      <c r="I18" s="47">
        <f>((TotalAverages!F10/MassFormulaTesting!$B$20)*0.68)+0.3</f>
        <v>-0.186416185</v>
      </c>
      <c r="J18" s="47">
        <f>(IFERROR(MassFormulaTesting!$C$22/TotalAverages!G10,"")*0.68)+0.3</f>
        <v>4.687096774</v>
      </c>
      <c r="K18" s="13">
        <f>(((TotalAverages!H10+118)/(MassFormulaTesting!$B$24+118))*0.68)+0.3</f>
        <v>0.9592847682</v>
      </c>
      <c r="L18" s="47">
        <f>((TotalAverages!I10/MassFormulaTesting!$B$26)*0.68)+0.3</f>
        <v>0.3255</v>
      </c>
      <c r="M18" s="47">
        <f>((0.98-(TotalAverages!J10/MassFormulaTesting!$B$28)*0.68))</f>
        <v>0.5385890338</v>
      </c>
      <c r="N18" s="47">
        <f>((TotalAverages!K10/MassFormulaTesting!$B$30)*0.68)+0.3</f>
        <v>0.7701201923</v>
      </c>
      <c r="O18" s="47">
        <f>((TotalAverages!L10/MassFormulaTesting!$B$32)*0.68)+0.3</f>
        <v>0.4815629522</v>
      </c>
      <c r="P18" s="47">
        <f>((TotalAverages!M10/MassFormulaTesting!$B$34)*0.68)+0.3</f>
        <v>0.3654713779</v>
      </c>
      <c r="Q18" s="47" t="str">
        <f>((TotalAverages!N10/MassFormulaTesting!$B$36)*0.68)+0.3</f>
        <v>#DIV/0!</v>
      </c>
      <c r="R18" s="47">
        <f>((TotalAverages!O10/MassFormulaTesting!$B$38)*0.68)+0.3</f>
        <v>0.3425</v>
      </c>
      <c r="S18" s="47">
        <f>(IFERROR(TotalAverages!P10/MassFormulaTesting!$B$40,"")*0.68)+0.3</f>
        <v>0.3</v>
      </c>
      <c r="T18" s="47">
        <f>((TotalAverages!T10/MassFormulaTesting!$B$48)*0.68)+0.3</f>
        <v>0.3</v>
      </c>
      <c r="U18" s="47">
        <f>((TotalAverages!U10/MassFormulaTesting!$B$50)*0.68)+0.3</f>
        <v>0.5119879518</v>
      </c>
      <c r="V18" s="47">
        <f>((TotalAverages!V10/MassFormulaTesting!$B$52)*0.68)+0.3</f>
        <v>0.4207894737</v>
      </c>
      <c r="W18" s="47">
        <f>(IFERROR(TotalAverages!W10/MassFormulaTesting!$B$54,"")*0.68)+0.3</f>
        <v>0.3692592593</v>
      </c>
      <c r="X18" s="47">
        <f>(IFERROR(TotalAverages!X10/MassFormulaTesting!$B$56,"")*0.68)+0.3</f>
        <v>0.3</v>
      </c>
      <c r="Y18" s="47">
        <f>(IFERROR(TotalAverages!Y10/MassFormulaTesting!$B$58,"")*0.68)+0.3</f>
        <v>0.3</v>
      </c>
      <c r="Z18" s="43">
        <f>(IFERROR(TotalAverages!Z10/MassFormulaTesting!$B$60,"")*0.68)+0.3</f>
        <v>0.3</v>
      </c>
      <c r="AA18" s="43">
        <f>((TotalAverages!AD10/MassFormulaTesting!$B$68)*0.68)+0.3</f>
        <v>0.3</v>
      </c>
      <c r="AB18" s="43" t="str">
        <f>((TotalAverages!AG10/MassFormulaTesting!$B$74)*0.68)+0.3</f>
        <v>#DIV/0!</v>
      </c>
      <c r="AC18" s="43" t="str">
        <f>((TotalAverages!AH10/MassFormulaTesting!$B$76)*0.68)+0.3</f>
        <v>#DIV/0!</v>
      </c>
      <c r="AD18" s="43" t="str">
        <f>((TotalAverages!AK10/MassFormulaTesting!$B$82)*0.68)+0.3</f>
        <v>#DIV/0!</v>
      </c>
      <c r="AE18" s="43" t="str">
        <f>((TotalAverages!AL10/MassFormulaTesting!$B$84)*0.68)+0.3</f>
        <v>#DIV/0!</v>
      </c>
      <c r="AF18" s="43" t="str">
        <f>((TotalAverages!AM10/MassFormulaTesting!$B$86)*0.68)+0.3</f>
        <v>#DIV/0!</v>
      </c>
      <c r="AG18" s="43" t="str">
        <f>((TotalAverages!AN10/MassFormulaTesting!$B$88)*0.68)+0.3</f>
        <v>#DIV/0!</v>
      </c>
      <c r="AH18" s="43" t="str">
        <f>((TotalAverages!AO10/MassFormulaTesting!$B$90)*0.68)+0.3</f>
        <v>#DIV/0!</v>
      </c>
      <c r="AI18" s="43" t="str">
        <f>((TotalAverages!AP10/MassFormulaTesting!$B$92)*0.68)+0.3</f>
        <v>#DIV/0!</v>
      </c>
      <c r="AJ18" s="43" t="str">
        <f>((TotalAverages!AQ10/MassFormulaTesting!$B$94)*0.68)+0.3</f>
        <v>#DIV/0!</v>
      </c>
      <c r="AK18" s="43" t="str">
        <f>((TotalAverages!AR10/MassFormulaTesting!$B$96)*0.68)+0.3</f>
        <v>#DIV/0!</v>
      </c>
      <c r="AL18" s="43" t="str">
        <f>((TotalAverages!AS10/MassFormulaTesting!$B$98)*0.68)+0.3</f>
        <v>#DIV/0!</v>
      </c>
      <c r="AM18" s="43" t="str">
        <f>((TotalAverages!AT10/MassFormulaTesting!$B$100)*0.68)+0.3</f>
        <v>#DIV/0!</v>
      </c>
      <c r="AN18" s="43" t="str">
        <f>((TotalAverages!AV10/MassFormulaTesting!$B$104)*0.68)+0.3</f>
        <v>#DIV/0!</v>
      </c>
      <c r="AO18" s="43" t="str">
        <f>((TotalAverages!AW10/MassFormulaTesting!$B$106)*0.68)+0.3</f>
        <v>#DIV/0!</v>
      </c>
      <c r="AP18" s="43" t="str">
        <f>((TotalAverages!AX10/MassFormulaTesting!$B$108)*0.68)+0.3</f>
        <v>#DIV/0!</v>
      </c>
      <c r="AQ18" s="7"/>
    </row>
    <row r="19">
      <c r="A19" s="56" t="str">
        <f>IFERROR(__xludf.DUMMYFUNCTION("Query(TotalAverages!A:AV,""Select A,F where A&lt;&gt;'' Order by F Desc Limit 1"")"),"OVERALL")</f>
        <v>OVERALL</v>
      </c>
      <c r="B19" s="54" t="str">
        <f>IFERROR(__xludf.DUMMYFUNCTION("""COMPUTED_VALUE"""),"avg Spread")</f>
        <v>avg Spread</v>
      </c>
      <c r="C19" s="52"/>
      <c r="D19" s="40" t="str">
        <f t="shared" si="1"/>
        <v>#DIV/0!</v>
      </c>
      <c r="E19" s="45" t="str">
        <f>TotalAverages!A11</f>
        <v>Beautytism</v>
      </c>
      <c r="F19" s="46">
        <f t="shared" si="2"/>
        <v>0.3</v>
      </c>
      <c r="G19" s="47">
        <f>((TotalAverages!D11/MassFormulaTesting!$B$16)*0.68)+0.3</f>
        <v>0.6388690229</v>
      </c>
      <c r="H19" s="47">
        <f>((TotalAverages!E11/MassFormulaTesting!$B$18)*0.68)+0.3</f>
        <v>0.6340448328</v>
      </c>
      <c r="I19" s="47">
        <f>((TotalAverages!F11/MassFormulaTesting!$B$20)*0.68)+0.3</f>
        <v>0.5561791908</v>
      </c>
      <c r="J19" s="47">
        <f>(IFERROR(MassFormulaTesting!$C$22/TotalAverages!G11,"")*0.68)+0.3</f>
        <v>2.628767123</v>
      </c>
      <c r="K19" s="13">
        <f>(((TotalAverages!H11+118)/(MassFormulaTesting!$B$24+118))*0.68)+0.3</f>
        <v>0.9690119205</v>
      </c>
      <c r="L19" s="47">
        <f>((TotalAverages!I11/MassFormulaTesting!$B$26)*0.68)+0.3</f>
        <v>0.7182</v>
      </c>
      <c r="M19" s="47">
        <f>((0.98-(TotalAverages!J11/MassFormulaTesting!$B$28)*0.68))</f>
        <v>0.5180396499</v>
      </c>
      <c r="N19" s="47">
        <f>((TotalAverages!K11/MassFormulaTesting!$B$30)*0.68)+0.3</f>
        <v>0.7529278846</v>
      </c>
      <c r="O19" s="47">
        <f>((TotalAverages!L11/MassFormulaTesting!$B$32)*0.68)+0.3</f>
        <v>0.6259276411</v>
      </c>
      <c r="P19" s="47">
        <f>((TotalAverages!M11/MassFormulaTesting!$B$34)*0.68)+0.3</f>
        <v>0.3068933807</v>
      </c>
      <c r="Q19" s="47" t="str">
        <f>((TotalAverages!N11/MassFormulaTesting!$B$36)*0.68)+0.3</f>
        <v>#DIV/0!</v>
      </c>
      <c r="R19" s="47">
        <f>((TotalAverages!O11/MassFormulaTesting!$B$38)*0.68)+0.3</f>
        <v>0.6145</v>
      </c>
      <c r="S19" s="47">
        <f>(IFERROR(TotalAverages!P11/MassFormulaTesting!$B$40,"")*0.68)+0.3</f>
        <v>0.3</v>
      </c>
      <c r="T19" s="47">
        <f>((TotalAverages!T11/MassFormulaTesting!$B$48)*0.68)+0.3</f>
        <v>0.3</v>
      </c>
      <c r="U19" s="47">
        <f>((TotalAverages!U11/MassFormulaTesting!$B$50)*0.68)+0.3</f>
        <v>0.5347228916</v>
      </c>
      <c r="V19" s="47">
        <f>((TotalAverages!V11/MassFormulaTesting!$B$52)*0.68)+0.3</f>
        <v>0.4342105263</v>
      </c>
      <c r="W19" s="47">
        <f>(IFERROR(TotalAverages!W11/MassFormulaTesting!$B$54,"")*0.68)+0.3</f>
        <v>0.4385185185</v>
      </c>
      <c r="X19" s="47">
        <f>(IFERROR(TotalAverages!X11/MassFormulaTesting!$B$56,"")*0.68)+0.3</f>
        <v>0.436</v>
      </c>
      <c r="Y19" s="47">
        <f>(IFERROR(TotalAverages!Y11/MassFormulaTesting!$B$58,"")*0.68)+0.3</f>
        <v>0.504</v>
      </c>
      <c r="Z19" s="43">
        <f>(IFERROR(TotalAverages!Z11/MassFormulaTesting!$B$60,"")*0.68)+0.3</f>
        <v>0.3</v>
      </c>
      <c r="AA19" s="43">
        <f>((TotalAverages!AD11/MassFormulaTesting!$B$68)*0.68)+0.3</f>
        <v>0.3</v>
      </c>
      <c r="AB19" s="43" t="str">
        <f>((TotalAverages!AG11/MassFormulaTesting!$B$74)*0.68)+0.3</f>
        <v>#DIV/0!</v>
      </c>
      <c r="AC19" s="43" t="str">
        <f>((TotalAverages!AH11/MassFormulaTesting!$B$76)*0.68)+0.3</f>
        <v>#DIV/0!</v>
      </c>
      <c r="AD19" s="43" t="str">
        <f>((TotalAverages!AK11/MassFormulaTesting!$B$82)*0.68)+0.3</f>
        <v>#DIV/0!</v>
      </c>
      <c r="AE19" s="43" t="str">
        <f>((TotalAverages!AL11/MassFormulaTesting!$B$84)*0.68)+0.3</f>
        <v>#DIV/0!</v>
      </c>
      <c r="AF19" s="43" t="str">
        <f>((TotalAverages!AM11/MassFormulaTesting!$B$86)*0.68)+0.3</f>
        <v>#DIV/0!</v>
      </c>
      <c r="AG19" s="43" t="str">
        <f>((TotalAverages!AN11/MassFormulaTesting!$B$88)*0.68)+0.3</f>
        <v>#DIV/0!</v>
      </c>
      <c r="AH19" s="43" t="str">
        <f>((TotalAverages!AO11/MassFormulaTesting!$B$90)*0.68)+0.3</f>
        <v>#DIV/0!</v>
      </c>
      <c r="AI19" s="43" t="str">
        <f>((TotalAverages!AP11/MassFormulaTesting!$B$92)*0.68)+0.3</f>
        <v>#DIV/0!</v>
      </c>
      <c r="AJ19" s="43" t="str">
        <f>((TotalAverages!AQ11/MassFormulaTesting!$B$94)*0.68)+0.3</f>
        <v>#DIV/0!</v>
      </c>
      <c r="AK19" s="43" t="str">
        <f>((TotalAverages!AR11/MassFormulaTesting!$B$96)*0.68)+0.3</f>
        <v>#DIV/0!</v>
      </c>
      <c r="AL19" s="43" t="str">
        <f>((TotalAverages!AS11/MassFormulaTesting!$B$98)*0.68)+0.3</f>
        <v>#DIV/0!</v>
      </c>
      <c r="AM19" s="43" t="str">
        <f>((TotalAverages!AT11/MassFormulaTesting!$B$100)*0.68)+0.3</f>
        <v>#DIV/0!</v>
      </c>
      <c r="AN19" s="43" t="str">
        <f>((TotalAverages!AV11/MassFormulaTesting!$B$104)*0.68)+0.3</f>
        <v>#DIV/0!</v>
      </c>
      <c r="AO19" s="43" t="str">
        <f>((TotalAverages!AW11/MassFormulaTesting!$B$106)*0.68)+0.3</f>
        <v>#DIV/0!</v>
      </c>
      <c r="AP19" s="43" t="str">
        <f>((TotalAverages!AX11/MassFormulaTesting!$B$108)*0.68)+0.3</f>
        <v>#DIV/0!</v>
      </c>
      <c r="AQ19" s="7"/>
    </row>
    <row r="20">
      <c r="A20" s="50" t="str">
        <f>IFERROR(__xludf.DUMMYFUNCTION("""COMPUTED_VALUE"""),"oDhmon")</f>
        <v>oDhmon</v>
      </c>
      <c r="B20" s="51">
        <f>IFERROR(__xludf.DUMMYFUNCTION("""COMPUTED_VALUE"""),31.454545454545453)</f>
        <v>31.45454545</v>
      </c>
      <c r="C20" s="52"/>
      <c r="D20" s="40" t="str">
        <f t="shared" si="1"/>
        <v>#DIV/0!</v>
      </c>
      <c r="E20" s="45" t="str">
        <f>TotalAverages!A12</f>
        <v>CaptainSev004</v>
      </c>
      <c r="F20" s="46">
        <f t="shared" si="2"/>
        <v>0.3</v>
      </c>
      <c r="G20" s="47">
        <f>((TotalAverages!D12/MassFormulaTesting!$B$16)*0.68)+0.3</f>
        <v>0.6315819316</v>
      </c>
      <c r="H20" s="47">
        <f>((TotalAverages!E12/MassFormulaTesting!$B$18)*0.68)+0.3</f>
        <v>0.769907433</v>
      </c>
      <c r="I20" s="47">
        <f>((TotalAverages!F12/MassFormulaTesting!$B$20)*0.68)+0.3</f>
        <v>-0.07930635838</v>
      </c>
      <c r="J20" s="47">
        <f>(IFERROR(MassFormulaTesting!$C$22/TotalAverages!G12,"")*0.68)+0.3</f>
        <v>3.828301887</v>
      </c>
      <c r="K20" s="13">
        <f>(((TotalAverages!H12+118)/(MassFormulaTesting!$B$24+118))*0.68)+0.3</f>
        <v>0.9597760385</v>
      </c>
      <c r="L20" s="47">
        <f>((TotalAverages!I12/MassFormulaTesting!$B$26)*0.68)+0.3</f>
        <v>0.4390909091</v>
      </c>
      <c r="M20" s="47">
        <f>((0.98-(TotalAverages!J12/MassFormulaTesting!$B$28)*0.68))</f>
        <v>0.5011768335</v>
      </c>
      <c r="N20" s="47">
        <f>((TotalAverages!K12/MassFormulaTesting!$B$30)*0.68)+0.3</f>
        <v>0.7851398601</v>
      </c>
      <c r="O20" s="47">
        <f>((TotalAverages!L12/MassFormulaTesting!$B$32)*0.68)+0.3</f>
        <v>0.5318852783</v>
      </c>
      <c r="P20" s="47">
        <f>((TotalAverages!M12/MassFormulaTesting!$B$34)*0.68)+0.3</f>
        <v>0.3084700734</v>
      </c>
      <c r="Q20" s="47" t="str">
        <f>((TotalAverages!N12/MassFormulaTesting!$B$36)*0.68)+0.3</f>
        <v>#DIV/0!</v>
      </c>
      <c r="R20" s="47">
        <f>((TotalAverages!O12/MassFormulaTesting!$B$38)*0.68)+0.3</f>
        <v>0.4081818182</v>
      </c>
      <c r="S20" s="47">
        <f>(IFERROR(TotalAverages!P12/MassFormulaTesting!$B$40,"")*0.68)+0.3</f>
        <v>0.3</v>
      </c>
      <c r="T20" s="47">
        <f>((TotalAverages!T12/MassFormulaTesting!$B$48)*0.68)+0.3</f>
        <v>0.3</v>
      </c>
      <c r="U20" s="47">
        <f>((TotalAverages!U12/MassFormulaTesting!$B$50)*0.68)+0.3</f>
        <v>0.5256736035</v>
      </c>
      <c r="V20" s="47">
        <f>((TotalAverages!V12/MassFormulaTesting!$B$52)*0.68)+0.3</f>
        <v>0.4073684211</v>
      </c>
      <c r="W20" s="47">
        <f>(IFERROR(TotalAverages!W12/MassFormulaTesting!$B$54,"")*0.68)+0.3</f>
        <v>0.3</v>
      </c>
      <c r="X20" s="47">
        <f>(IFERROR(TotalAverages!X12/MassFormulaTesting!$B$56,"")*0.68)+0.3</f>
        <v>0.3</v>
      </c>
      <c r="Y20" s="47">
        <f>(IFERROR(TotalAverages!Y12/MassFormulaTesting!$B$58,"")*0.68)+0.3</f>
        <v>0.3</v>
      </c>
      <c r="Z20" s="43">
        <f>(IFERROR(TotalAverages!Z12/MassFormulaTesting!$B$60,"")*0.68)+0.3</f>
        <v>0.3</v>
      </c>
      <c r="AA20" s="43">
        <f>((TotalAverages!AD12/MassFormulaTesting!$B$68)*0.68)+0.3</f>
        <v>0.3</v>
      </c>
      <c r="AB20" s="43" t="str">
        <f>((TotalAverages!AG12/MassFormulaTesting!$B$74)*0.68)+0.3</f>
        <v>#DIV/0!</v>
      </c>
      <c r="AC20" s="43" t="str">
        <f>((TotalAverages!AH12/MassFormulaTesting!$B$76)*0.68)+0.3</f>
        <v>#DIV/0!</v>
      </c>
      <c r="AD20" s="43" t="str">
        <f>((TotalAverages!AK12/MassFormulaTesting!$B$82)*0.68)+0.3</f>
        <v>#DIV/0!</v>
      </c>
      <c r="AE20" s="43" t="str">
        <f>((TotalAverages!AL12/MassFormulaTesting!$B$84)*0.68)+0.3</f>
        <v>#DIV/0!</v>
      </c>
      <c r="AF20" s="43" t="str">
        <f>((TotalAverages!AM12/MassFormulaTesting!$B$86)*0.68)+0.3</f>
        <v>#DIV/0!</v>
      </c>
      <c r="AG20" s="43" t="str">
        <f>((TotalAverages!AN12/MassFormulaTesting!$B$88)*0.68)+0.3</f>
        <v>#DIV/0!</v>
      </c>
      <c r="AH20" s="43" t="str">
        <f>((TotalAverages!AO12/MassFormulaTesting!$B$90)*0.68)+0.3</f>
        <v>#DIV/0!</v>
      </c>
      <c r="AI20" s="43" t="str">
        <f>((TotalAverages!AP12/MassFormulaTesting!$B$92)*0.68)+0.3</f>
        <v>#DIV/0!</v>
      </c>
      <c r="AJ20" s="43" t="str">
        <f>((TotalAverages!AQ12/MassFormulaTesting!$B$94)*0.68)+0.3</f>
        <v>#DIV/0!</v>
      </c>
      <c r="AK20" s="43" t="str">
        <f>((TotalAverages!AR12/MassFormulaTesting!$B$96)*0.68)+0.3</f>
        <v>#DIV/0!</v>
      </c>
      <c r="AL20" s="43" t="str">
        <f>((TotalAverages!AS12/MassFormulaTesting!$B$98)*0.68)+0.3</f>
        <v>#DIV/0!</v>
      </c>
      <c r="AM20" s="43" t="str">
        <f>((TotalAverages!AT12/MassFormulaTesting!$B$100)*0.68)+0.3</f>
        <v>#DIV/0!</v>
      </c>
      <c r="AN20" s="43" t="str">
        <f>((TotalAverages!AV12/MassFormulaTesting!$B$104)*0.68)+0.3</f>
        <v>#DIV/0!</v>
      </c>
      <c r="AO20" s="43" t="str">
        <f>((TotalAverages!AW12/MassFormulaTesting!$B$106)*0.68)+0.3</f>
        <v>#DIV/0!</v>
      </c>
      <c r="AP20" s="43" t="str">
        <f>((TotalAverages!AX12/MassFormulaTesting!$B$108)*0.68)+0.3</f>
        <v>#DIV/0!</v>
      </c>
      <c r="AQ20" s="7"/>
    </row>
    <row r="21">
      <c r="A21" s="56" t="str">
        <f>IFERROR(__xludf.DUMMYFUNCTION("Query(TotalAverages!A:AV,""Select A,G where A&lt;&gt;'' Order by G Desc Limit 1"")"),"OVERALL")</f>
        <v>OVERALL</v>
      </c>
      <c r="B21" s="54" t="str">
        <f>IFERROR(__xludf.DUMMYFUNCTION("""COMPUTED_VALUE"""),"avg Assists")</f>
        <v>avg Assists</v>
      </c>
      <c r="C21" s="1" t="s">
        <v>61</v>
      </c>
      <c r="D21" s="40" t="str">
        <f t="shared" si="1"/>
        <v>#DIV/0!</v>
      </c>
      <c r="E21" s="45" t="str">
        <f>TotalAverages!A13</f>
        <v>Cell x2</v>
      </c>
      <c r="F21" s="46">
        <f t="shared" si="2"/>
        <v>0.3</v>
      </c>
      <c r="G21" s="47">
        <f>((TotalAverages!D13/MassFormulaTesting!$B$16)*0.68)+0.3</f>
        <v>0.6138461538</v>
      </c>
      <c r="H21" s="47">
        <f>((TotalAverages!E13/MassFormulaTesting!$B$18)*0.68)+0.3</f>
        <v>0.6893067571</v>
      </c>
      <c r="I21" s="47">
        <f>((TotalAverages!F13/MassFormulaTesting!$B$20)*0.68)+0.3</f>
        <v>0.1852556692</v>
      </c>
      <c r="J21" s="47">
        <f>(IFERROR(MassFormulaTesting!$C$22/TotalAverages!G13,"")*0.68)+0.3</f>
        <v>3.864516129</v>
      </c>
      <c r="K21" s="13">
        <f>(((TotalAverages!H13+118)/(MassFormulaTesting!$B$24+118))*0.68)+0.3</f>
        <v>0.9626102904</v>
      </c>
      <c r="L21" s="47">
        <f>((TotalAverages!I13/MassFormulaTesting!$B$26)*0.68)+0.3</f>
        <v>0.4255384615</v>
      </c>
      <c r="M21" s="47">
        <f>((0.98-(TotalAverages!J13/MassFormulaTesting!$B$28)*0.68))</f>
        <v>0.5969832525</v>
      </c>
      <c r="N21" s="47">
        <f>((TotalAverages!K13/MassFormulaTesting!$B$30)*0.68)+0.3</f>
        <v>0.6966789941</v>
      </c>
      <c r="O21" s="47">
        <f>((TotalAverages!L13/MassFormulaTesting!$B$32)*0.68)+0.3</f>
        <v>0.5248246688</v>
      </c>
      <c r="P21" s="47">
        <f>((TotalAverages!M13/MassFormulaTesting!$B$34)*0.68)+0.3</f>
        <v>0.3771419415</v>
      </c>
      <c r="Q21" s="47" t="str">
        <f>((TotalAverages!N13/MassFormulaTesting!$B$36)*0.68)+0.3</f>
        <v>#DIV/0!</v>
      </c>
      <c r="R21" s="47">
        <f>((TotalAverages!O13/MassFormulaTesting!$B$38)*0.68)+0.3</f>
        <v>0.4176923077</v>
      </c>
      <c r="S21" s="47">
        <f>(IFERROR(TotalAverages!P13/MassFormulaTesting!$B$40,"")*0.68)+0.3</f>
        <v>0.3</v>
      </c>
      <c r="T21" s="47">
        <f>((TotalAverages!T13/MassFormulaTesting!$B$48)*0.68)+0.3</f>
        <v>0.3</v>
      </c>
      <c r="U21" s="47">
        <f>((TotalAverages!U13/MassFormulaTesting!$B$50)*0.68)+0.3</f>
        <v>0.5495644115</v>
      </c>
      <c r="V21" s="47">
        <f>((TotalAverages!V13/MassFormulaTesting!$B$52)*0.68)+0.3</f>
        <v>0.5147368421</v>
      </c>
      <c r="W21" s="47">
        <f>(IFERROR(TotalAverages!W13/MassFormulaTesting!$B$54,"")*0.68)+0.3</f>
        <v>0.5131054131</v>
      </c>
      <c r="X21" s="47">
        <f>(IFERROR(TotalAverages!X13/MassFormulaTesting!$B$56,"")*0.68)+0.3</f>
        <v>0.3</v>
      </c>
      <c r="Y21" s="47">
        <f>(IFERROR(TotalAverages!Y13/MassFormulaTesting!$B$58,"")*0.68)+0.3</f>
        <v>0.3</v>
      </c>
      <c r="Z21" s="43">
        <f>(IFERROR(TotalAverages!Z13/MassFormulaTesting!$B$60,"")*0.68)+0.3</f>
        <v>0.3</v>
      </c>
      <c r="AA21" s="43">
        <f>((TotalAverages!AD13/MassFormulaTesting!$B$68)*0.68)+0.3</f>
        <v>0.3</v>
      </c>
      <c r="AB21" s="43" t="str">
        <f>((TotalAverages!AG13/MassFormulaTesting!$B$74)*0.68)+0.3</f>
        <v>#DIV/0!</v>
      </c>
      <c r="AC21" s="43" t="str">
        <f>((TotalAverages!AH13/MassFormulaTesting!$B$76)*0.68)+0.3</f>
        <v>#DIV/0!</v>
      </c>
      <c r="AD21" s="43" t="str">
        <f>((TotalAverages!AK13/MassFormulaTesting!$B$82)*0.68)+0.3</f>
        <v>#DIV/0!</v>
      </c>
      <c r="AE21" s="43" t="str">
        <f>((TotalAverages!AL13/MassFormulaTesting!$B$84)*0.68)+0.3</f>
        <v>#DIV/0!</v>
      </c>
      <c r="AF21" s="43" t="str">
        <f>((TotalAverages!AM13/MassFormulaTesting!$B$86)*0.68)+0.3</f>
        <v>#DIV/0!</v>
      </c>
      <c r="AG21" s="43" t="str">
        <f>((TotalAverages!AN13/MassFormulaTesting!$B$88)*0.68)+0.3</f>
        <v>#DIV/0!</v>
      </c>
      <c r="AH21" s="43" t="str">
        <f>((TotalAverages!AO13/MassFormulaTesting!$B$90)*0.68)+0.3</f>
        <v>#DIV/0!</v>
      </c>
      <c r="AI21" s="43" t="str">
        <f>((TotalAverages!AP13/MassFormulaTesting!$B$92)*0.68)+0.3</f>
        <v>#DIV/0!</v>
      </c>
      <c r="AJ21" s="43" t="str">
        <f>((TotalAverages!AQ13/MassFormulaTesting!$B$94)*0.68)+0.3</f>
        <v>#DIV/0!</v>
      </c>
      <c r="AK21" s="43" t="str">
        <f>((TotalAverages!AR13/MassFormulaTesting!$B$96)*0.68)+0.3</f>
        <v>#DIV/0!</v>
      </c>
      <c r="AL21" s="43" t="str">
        <f>((TotalAverages!AS13/MassFormulaTesting!$B$98)*0.68)+0.3</f>
        <v>#DIV/0!</v>
      </c>
      <c r="AM21" s="43" t="str">
        <f>((TotalAverages!AT13/MassFormulaTesting!$B$100)*0.68)+0.3</f>
        <v>#DIV/0!</v>
      </c>
      <c r="AN21" s="43" t="str">
        <f>((TotalAverages!AV13/MassFormulaTesting!$B$104)*0.68)+0.3</f>
        <v>#DIV/0!</v>
      </c>
      <c r="AO21" s="43" t="str">
        <f>((TotalAverages!AW13/MassFormulaTesting!$B$106)*0.68)+0.3</f>
        <v>#DIV/0!</v>
      </c>
      <c r="AP21" s="43" t="str">
        <f>((TotalAverages!AX13/MassFormulaTesting!$B$108)*0.68)+0.3</f>
        <v>#DIV/0!</v>
      </c>
      <c r="AQ21" s="7"/>
    </row>
    <row r="22">
      <c r="A22" s="50" t="str">
        <f>IFERROR(__xludf.DUMMYFUNCTION("""COMPUTED_VALUE"""),"Judasey")</f>
        <v>Judasey</v>
      </c>
      <c r="B22" s="51">
        <f>IFERROR(__xludf.DUMMYFUNCTION("""COMPUTED_VALUE"""),11.666666666666666)</f>
        <v>11.66666667</v>
      </c>
      <c r="C22" s="57">
        <v>25.0</v>
      </c>
      <c r="D22" s="40" t="str">
        <f t="shared" si="1"/>
        <v>#DIV/0!</v>
      </c>
      <c r="E22" s="45" t="str">
        <f>TotalAverages!A14</f>
        <v>Dhlyn</v>
      </c>
      <c r="F22" s="46">
        <f t="shared" si="2"/>
        <v>0.3</v>
      </c>
      <c r="G22" s="47">
        <f>((TotalAverages!D14/MassFormulaTesting!$B$16)*0.68)+0.3</f>
        <v>0.6073596674</v>
      </c>
      <c r="H22" s="47">
        <f>((TotalAverages!E14/MassFormulaTesting!$B$18)*0.68)+0.3</f>
        <v>0.6158966565</v>
      </c>
      <c r="I22" s="47">
        <f>((TotalAverages!F14/MassFormulaTesting!$B$20)*0.68)+0.3</f>
        <v>0.4754913295</v>
      </c>
      <c r="J22" s="47">
        <f>(IFERROR(MassFormulaTesting!$C$22/TotalAverages!G14,"")*0.68)+0.3</f>
        <v>5.282758621</v>
      </c>
      <c r="K22" s="13">
        <f>(((TotalAverages!H14+118)/(MassFormulaTesting!$B$24+118))*0.68)+0.3</f>
        <v>0.9761324503</v>
      </c>
      <c r="L22" s="47">
        <f>((TotalAverages!I14/MassFormulaTesting!$B$26)*0.68)+0.3</f>
        <v>0.408</v>
      </c>
      <c r="M22" s="47">
        <f>((0.98-(TotalAverages!J14/MassFormulaTesting!$B$28)*0.68))</f>
        <v>0.4925629577</v>
      </c>
      <c r="N22" s="47">
        <f>((TotalAverages!K14/MassFormulaTesting!$B$30)*0.68)+0.3</f>
        <v>0.7694626697</v>
      </c>
      <c r="O22" s="47">
        <f>((TotalAverages!L14/MassFormulaTesting!$B$32)*0.68)+0.3</f>
        <v>0.6949059334</v>
      </c>
      <c r="P22" s="47">
        <f>((TotalAverages!M14/MassFormulaTesting!$B$34)*0.68)+0.3</f>
        <v>0.6901990434</v>
      </c>
      <c r="Q22" s="47" t="str">
        <f>((TotalAverages!N14/MassFormulaTesting!$B$36)*0.68)+0.3</f>
        <v>#DIV/0!</v>
      </c>
      <c r="R22" s="47">
        <f>((TotalAverages!O14/MassFormulaTesting!$B$38)*0.68)+0.3</f>
        <v>0.67</v>
      </c>
      <c r="S22" s="47">
        <f>(IFERROR(TotalAverages!P14/MassFormulaTesting!$B$40,"")*0.68)+0.3</f>
        <v>0.98</v>
      </c>
      <c r="T22" s="47">
        <f>((TotalAverages!T14/MassFormulaTesting!$B$48)*0.68)+0.3</f>
        <v>0.3</v>
      </c>
      <c r="U22" s="47">
        <f>((TotalAverages!U14/MassFormulaTesting!$B$50)*0.68)+0.3</f>
        <v>0.5530120482</v>
      </c>
      <c r="V22" s="47">
        <f>((TotalAverages!V14/MassFormulaTesting!$B$52)*0.68)+0.3</f>
        <v>0.4957894737</v>
      </c>
      <c r="W22" s="47">
        <f>(IFERROR(TotalAverages!W14/MassFormulaTesting!$B$54,"")*0.68)+0.3</f>
        <v>0.5607407407</v>
      </c>
      <c r="X22" s="47">
        <f>(IFERROR(TotalAverages!X14/MassFormulaTesting!$B$56,"")*0.68)+0.3</f>
        <v>0.54</v>
      </c>
      <c r="Y22" s="47">
        <f>(IFERROR(TotalAverages!Y14/MassFormulaTesting!$B$58,"")*0.68)+0.3</f>
        <v>0.3</v>
      </c>
      <c r="Z22" s="43">
        <f>(IFERROR(TotalAverages!Z14/MassFormulaTesting!$B$60,"")*0.68)+0.3</f>
        <v>0.3</v>
      </c>
      <c r="AA22" s="43">
        <f>((TotalAverages!AD14/MassFormulaTesting!$B$68)*0.68)+0.3</f>
        <v>0.3</v>
      </c>
      <c r="AB22" s="43" t="str">
        <f>((TotalAverages!AG14/MassFormulaTesting!$B$74)*0.68)+0.3</f>
        <v>#DIV/0!</v>
      </c>
      <c r="AC22" s="43" t="str">
        <f>((TotalAverages!AH14/MassFormulaTesting!$B$76)*0.68)+0.3</f>
        <v>#DIV/0!</v>
      </c>
      <c r="AD22" s="43" t="str">
        <f>((TotalAverages!AK14/MassFormulaTesting!$B$82)*0.68)+0.3</f>
        <v>#DIV/0!</v>
      </c>
      <c r="AE22" s="43" t="str">
        <f>((TotalAverages!AL14/MassFormulaTesting!$B$84)*0.68)+0.3</f>
        <v>#DIV/0!</v>
      </c>
      <c r="AF22" s="43" t="str">
        <f>((TotalAverages!AM14/MassFormulaTesting!$B$86)*0.68)+0.3</f>
        <v>#DIV/0!</v>
      </c>
      <c r="AG22" s="43" t="str">
        <f>((TotalAverages!AN14/MassFormulaTesting!$B$88)*0.68)+0.3</f>
        <v>#DIV/0!</v>
      </c>
      <c r="AH22" s="43" t="str">
        <f>((TotalAverages!AO14/MassFormulaTesting!$B$90)*0.68)+0.3</f>
        <v>#DIV/0!</v>
      </c>
      <c r="AI22" s="43" t="str">
        <f>((TotalAverages!AP14/MassFormulaTesting!$B$92)*0.68)+0.3</f>
        <v>#DIV/0!</v>
      </c>
      <c r="AJ22" s="43" t="str">
        <f>((TotalAverages!AQ14/MassFormulaTesting!$B$94)*0.68)+0.3</f>
        <v>#DIV/0!</v>
      </c>
      <c r="AK22" s="43" t="str">
        <f>((TotalAverages!AR14/MassFormulaTesting!$B$96)*0.68)+0.3</f>
        <v>#DIV/0!</v>
      </c>
      <c r="AL22" s="43" t="str">
        <f>((TotalAverages!AS14/MassFormulaTesting!$B$98)*0.68)+0.3</f>
        <v>#DIV/0!</v>
      </c>
      <c r="AM22" s="43" t="str">
        <f>((TotalAverages!AT14/MassFormulaTesting!$B$100)*0.68)+0.3</f>
        <v>#DIV/0!</v>
      </c>
      <c r="AN22" s="43" t="str">
        <f>((TotalAverages!AV14/MassFormulaTesting!$B$104)*0.68)+0.3</f>
        <v>#DIV/0!</v>
      </c>
      <c r="AO22" s="43" t="str">
        <f>((TotalAverages!AW14/MassFormulaTesting!$B$106)*0.68)+0.3</f>
        <v>#DIV/0!</v>
      </c>
      <c r="AP22" s="43" t="str">
        <f>((TotalAverages!AX14/MassFormulaTesting!$B$108)*0.68)+0.3</f>
        <v>#DIV/0!</v>
      </c>
      <c r="AQ22" s="7"/>
    </row>
    <row r="23">
      <c r="A23" s="56" t="str">
        <f>IFERROR(__xludf.DUMMYFUNCTION("Query(TotalAverages!A:AV,""Select A,H where A&lt;&gt;'' Order by H Desc Limit 1"")"),"OVERALL")</f>
        <v>OVERALL</v>
      </c>
      <c r="B23" s="54" t="str">
        <f>IFERROR(__xludf.DUMMYFUNCTION("""COMPUTED_VALUE"""),"avg Streak")</f>
        <v>avg Streak</v>
      </c>
      <c r="C23" s="1" t="s">
        <v>61</v>
      </c>
      <c r="D23" s="40" t="str">
        <f t="shared" si="1"/>
        <v>#DIV/0!</v>
      </c>
      <c r="E23" s="45" t="str">
        <f>TotalAverages!A15</f>
        <v>Dior Glori</v>
      </c>
      <c r="F23" s="46">
        <f t="shared" si="2"/>
        <v>0.3</v>
      </c>
      <c r="G23" s="47">
        <f>((TotalAverages!D15/MassFormulaTesting!$B$16)*0.68)+0.3</f>
        <v>0.5684051084</v>
      </c>
      <c r="H23" s="47">
        <f>((TotalAverages!E15/MassFormulaTesting!$B$18)*0.68)+0.3</f>
        <v>0.6555384281</v>
      </c>
      <c r="I23" s="47">
        <f>((TotalAverages!F15/MassFormulaTesting!$B$20)*0.68)+0.3</f>
        <v>0.1023451693</v>
      </c>
      <c r="J23" s="47">
        <f>(IFERROR(MassFormulaTesting!$C$22/TotalAverages!G15,"")*0.68)+0.3</f>
        <v>3.8</v>
      </c>
      <c r="K23" s="13">
        <f>(((TotalAverages!H15+118)/(MassFormulaTesting!$B$24+118))*0.68)+0.3</f>
        <v>0.9643027436</v>
      </c>
      <c r="L23" s="47">
        <f>((TotalAverages!I15/MassFormulaTesting!$B$26)*0.68)+0.3</f>
        <v>0.5331428571</v>
      </c>
      <c r="M23" s="47">
        <f>((0.98-(TotalAverages!J15/MassFormulaTesting!$B$28)*0.68))</f>
        <v>0.5866312862</v>
      </c>
      <c r="N23" s="47">
        <f>((TotalAverages!K15/MassFormulaTesting!$B$30)*0.68)+0.3</f>
        <v>0.6991895604</v>
      </c>
      <c r="O23" s="47">
        <f>((TotalAverages!L15/MassFormulaTesting!$B$32)*0.68)+0.3</f>
        <v>0.5530494108</v>
      </c>
      <c r="P23" s="47">
        <f>((TotalAverages!M15/MassFormulaTesting!$B$34)*0.68)+0.3</f>
        <v>0.390427844</v>
      </c>
      <c r="Q23" s="47" t="str">
        <f>((TotalAverages!N15/MassFormulaTesting!$B$36)*0.68)+0.3</f>
        <v>#DIV/0!</v>
      </c>
      <c r="R23" s="47">
        <f>((TotalAverages!O15/MassFormulaTesting!$B$38)*0.68)+0.3</f>
        <v>0.3971428571</v>
      </c>
      <c r="S23" s="47">
        <f>(IFERROR(TotalAverages!P15/MassFormulaTesting!$B$40,"")*0.68)+0.3</f>
        <v>0.3</v>
      </c>
      <c r="T23" s="47">
        <f>((TotalAverages!T15/MassFormulaTesting!$B$48)*0.68)+0.3</f>
        <v>0.3</v>
      </c>
      <c r="U23" s="47">
        <f>((TotalAverages!U15/MassFormulaTesting!$B$50)*0.68)+0.3</f>
        <v>0.487848537</v>
      </c>
      <c r="V23" s="47">
        <f>((TotalAverages!V15/MassFormulaTesting!$B$52)*0.68)+0.3</f>
        <v>0.3996992481</v>
      </c>
      <c r="W23" s="47">
        <f>(IFERROR(TotalAverages!W15/MassFormulaTesting!$B$54,"")*0.68)+0.3</f>
        <v>0.3395767196</v>
      </c>
      <c r="X23" s="47">
        <f>(IFERROR(TotalAverages!X15/MassFormulaTesting!$B$56,"")*0.68)+0.3</f>
        <v>0.3</v>
      </c>
      <c r="Y23" s="47">
        <f>(IFERROR(TotalAverages!Y15/MassFormulaTesting!$B$58,"")*0.68)+0.3</f>
        <v>0.3</v>
      </c>
      <c r="Z23" s="43">
        <f>(IFERROR(TotalAverages!Z15/MassFormulaTesting!$B$60,"")*0.68)+0.3</f>
        <v>0.3</v>
      </c>
      <c r="AA23" s="43">
        <f>((TotalAverages!AD15/MassFormulaTesting!$B$68)*0.68)+0.3</f>
        <v>0.3</v>
      </c>
      <c r="AB23" s="43" t="str">
        <f>((TotalAverages!AG15/MassFormulaTesting!$B$74)*0.68)+0.3</f>
        <v>#DIV/0!</v>
      </c>
      <c r="AC23" s="43" t="str">
        <f>((TotalAverages!AH15/MassFormulaTesting!$B$76)*0.68)+0.3</f>
        <v>#DIV/0!</v>
      </c>
      <c r="AD23" s="43" t="str">
        <f>((TotalAverages!AK15/MassFormulaTesting!$B$82)*0.68)+0.3</f>
        <v>#DIV/0!</v>
      </c>
      <c r="AE23" s="43" t="str">
        <f>((TotalAverages!AL15/MassFormulaTesting!$B$84)*0.68)+0.3</f>
        <v>#DIV/0!</v>
      </c>
      <c r="AF23" s="43" t="str">
        <f>((TotalAverages!AM15/MassFormulaTesting!$B$86)*0.68)+0.3</f>
        <v>#DIV/0!</v>
      </c>
      <c r="AG23" s="43" t="str">
        <f>((TotalAverages!AN15/MassFormulaTesting!$B$88)*0.68)+0.3</f>
        <v>#DIV/0!</v>
      </c>
      <c r="AH23" s="43" t="str">
        <f>((TotalAverages!AO15/MassFormulaTesting!$B$90)*0.68)+0.3</f>
        <v>#DIV/0!</v>
      </c>
      <c r="AI23" s="43" t="str">
        <f>((TotalAverages!AP15/MassFormulaTesting!$B$92)*0.68)+0.3</f>
        <v>#DIV/0!</v>
      </c>
      <c r="AJ23" s="43" t="str">
        <f>((TotalAverages!AQ15/MassFormulaTesting!$B$94)*0.68)+0.3</f>
        <v>#DIV/0!</v>
      </c>
      <c r="AK23" s="43" t="str">
        <f>((TotalAverages!AR15/MassFormulaTesting!$B$96)*0.68)+0.3</f>
        <v>#DIV/0!</v>
      </c>
      <c r="AL23" s="43" t="str">
        <f>((TotalAverages!AS15/MassFormulaTesting!$B$98)*0.68)+0.3</f>
        <v>#DIV/0!</v>
      </c>
      <c r="AM23" s="43" t="str">
        <f>((TotalAverages!AT15/MassFormulaTesting!$B$100)*0.68)+0.3</f>
        <v>#DIV/0!</v>
      </c>
      <c r="AN23" s="43" t="str">
        <f>((TotalAverages!AV15/MassFormulaTesting!$B$104)*0.68)+0.3</f>
        <v>#DIV/0!</v>
      </c>
      <c r="AO23" s="43" t="str">
        <f>((TotalAverages!AW15/MassFormulaTesting!$B$106)*0.68)+0.3</f>
        <v>#DIV/0!</v>
      </c>
      <c r="AP23" s="43" t="str">
        <f>((TotalAverages!AX15/MassFormulaTesting!$B$108)*0.68)+0.3</f>
        <v>#DIV/0!</v>
      </c>
      <c r="AQ23" s="7"/>
    </row>
    <row r="24">
      <c r="A24" s="50" t="str">
        <f>IFERROR(__xludf.DUMMYFUNCTION("""COMPUTED_VALUE"""),"yLuxe")</f>
        <v>yLuxe</v>
      </c>
      <c r="B24" s="51">
        <f>IFERROR(__xludf.DUMMYFUNCTION("""COMPUTED_VALUE"""),7.833333333333333)</f>
        <v>7.833333333</v>
      </c>
      <c r="C24" s="1">
        <v>-118.0</v>
      </c>
      <c r="D24" s="40" t="str">
        <f t="shared" si="1"/>
        <v>#DIV/0!</v>
      </c>
      <c r="E24" s="45" t="str">
        <f>TotalAverages!A16</f>
        <v>DlGITAL PAIN</v>
      </c>
      <c r="F24" s="46">
        <f t="shared" si="2"/>
        <v>0.3</v>
      </c>
      <c r="G24" s="47">
        <f>((TotalAverages!D16/MassFormulaTesting!$B$16)*0.68)+0.3</f>
        <v>0.8067507209</v>
      </c>
      <c r="H24" s="47">
        <f>((TotalAverages!E16/MassFormulaTesting!$B$18)*0.68)+0.3</f>
        <v>0.7639621532</v>
      </c>
      <c r="I24" s="47">
        <f>((TotalAverages!F16/MassFormulaTesting!$B$20)*0.68)+0.3</f>
        <v>0.8397650569</v>
      </c>
      <c r="J24" s="47">
        <f>(IFERROR(MassFormulaTesting!$C$22/TotalAverages!G16,"")*0.68)+0.3</f>
        <v>2.673873874</v>
      </c>
      <c r="K24" s="13">
        <f>(((TotalAverages!H16+118)/(MassFormulaTesting!$B$24+118))*0.68)+0.3</f>
        <v>0.9742764367</v>
      </c>
      <c r="L24" s="47">
        <f>((TotalAverages!I16/MassFormulaTesting!$B$26)*0.68)+0.3</f>
        <v>0.4710967742</v>
      </c>
      <c r="M24" s="47">
        <f>((0.98-(TotalAverages!J16/MassFormulaTesting!$B$28)*0.68))</f>
        <v>0.4342495492</v>
      </c>
      <c r="N24" s="47">
        <f>((TotalAverages!K16/MassFormulaTesting!$B$30)*0.68)+0.3</f>
        <v>0.8399534739</v>
      </c>
      <c r="O24" s="47">
        <f>((TotalAverages!L16/MassFormulaTesting!$B$32)*0.68)+0.3</f>
        <v>0.5748443117</v>
      </c>
      <c r="P24" s="47">
        <f>((TotalAverages!M16/MassFormulaTesting!$B$34)*0.68)+0.3</f>
        <v>0.316144462</v>
      </c>
      <c r="Q24" s="47" t="str">
        <f>((TotalAverages!N16/MassFormulaTesting!$B$36)*0.68)+0.3</f>
        <v>#DIV/0!</v>
      </c>
      <c r="R24" s="47">
        <f>((TotalAverages!O16/MassFormulaTesting!$B$38)*0.68)+0.3</f>
        <v>0.804516129</v>
      </c>
      <c r="S24" s="47">
        <f>(IFERROR(TotalAverages!P16/MassFormulaTesting!$B$40,"")*0.68)+0.3</f>
        <v>0.4491612903</v>
      </c>
      <c r="T24" s="47">
        <f>((TotalAverages!T16/MassFormulaTesting!$B$48)*0.68)+0.3</f>
        <v>0.3</v>
      </c>
      <c r="U24" s="47">
        <f>((TotalAverages!U16/MassFormulaTesting!$B$50)*0.68)+0.3</f>
        <v>0.8026661485</v>
      </c>
      <c r="V24" s="47">
        <f>((TotalAverages!V16/MassFormulaTesting!$B$52)*0.68)+0.3</f>
        <v>0.6948387097</v>
      </c>
      <c r="W24" s="47">
        <f>(IFERROR(TotalAverages!W16/MassFormulaTesting!$B$54,"")*0.68)+0.3</f>
        <v>0.7110872162</v>
      </c>
      <c r="X24" s="47">
        <f>(IFERROR(TotalAverages!X16/MassFormulaTesting!$B$56,"")*0.68)+0.3</f>
        <v>0.7387096774</v>
      </c>
      <c r="Y24" s="47">
        <f>(IFERROR(TotalAverages!Y16/MassFormulaTesting!$B$58,"")*0.68)+0.3</f>
        <v>0.6948387097</v>
      </c>
      <c r="Z24" s="43">
        <f>(IFERROR(TotalAverages!Z16/MassFormulaTesting!$B$60,"")*0.68)+0.3</f>
        <v>0.98</v>
      </c>
      <c r="AA24" s="43">
        <f>((TotalAverages!AD16/MassFormulaTesting!$B$68)*0.68)+0.3</f>
        <v>0.98</v>
      </c>
      <c r="AB24" s="43" t="str">
        <f>((TotalAverages!AG16/MassFormulaTesting!$B$74)*0.68)+0.3</f>
        <v>#DIV/0!</v>
      </c>
      <c r="AC24" s="43" t="str">
        <f>((TotalAverages!AH16/MassFormulaTesting!$B$76)*0.68)+0.3</f>
        <v>#DIV/0!</v>
      </c>
      <c r="AD24" s="43" t="str">
        <f>((TotalAverages!AK16/MassFormulaTesting!$B$82)*0.68)+0.3</f>
        <v>#DIV/0!</v>
      </c>
      <c r="AE24" s="43" t="str">
        <f>((TotalAverages!AL16/MassFormulaTesting!$B$84)*0.68)+0.3</f>
        <v>#DIV/0!</v>
      </c>
      <c r="AF24" s="43" t="str">
        <f>((TotalAverages!AM16/MassFormulaTesting!$B$86)*0.68)+0.3</f>
        <v>#DIV/0!</v>
      </c>
      <c r="AG24" s="43" t="str">
        <f>((TotalAverages!AN16/MassFormulaTesting!$B$88)*0.68)+0.3</f>
        <v>#DIV/0!</v>
      </c>
      <c r="AH24" s="43" t="str">
        <f>((TotalAverages!AO16/MassFormulaTesting!$B$90)*0.68)+0.3</f>
        <v>#DIV/0!</v>
      </c>
      <c r="AI24" s="43" t="str">
        <f>((TotalAverages!AP16/MassFormulaTesting!$B$92)*0.68)+0.3</f>
        <v>#DIV/0!</v>
      </c>
      <c r="AJ24" s="43" t="str">
        <f>((TotalAverages!AQ16/MassFormulaTesting!$B$94)*0.68)+0.3</f>
        <v>#DIV/0!</v>
      </c>
      <c r="AK24" s="43" t="str">
        <f>((TotalAverages!AR16/MassFormulaTesting!$B$96)*0.68)+0.3</f>
        <v>#DIV/0!</v>
      </c>
      <c r="AL24" s="43" t="str">
        <f>((TotalAverages!AS16/MassFormulaTesting!$B$98)*0.68)+0.3</f>
        <v>#DIV/0!</v>
      </c>
      <c r="AM24" s="43" t="str">
        <f>((TotalAverages!AT16/MassFormulaTesting!$B$100)*0.68)+0.3</f>
        <v>#DIV/0!</v>
      </c>
      <c r="AN24" s="43" t="str">
        <f>((TotalAverages!AV16/MassFormulaTesting!$B$104)*0.68)+0.3</f>
        <v>#DIV/0!</v>
      </c>
      <c r="AO24" s="43" t="str">
        <f>((TotalAverages!AW16/MassFormulaTesting!$B$106)*0.68)+0.3</f>
        <v>#DIV/0!</v>
      </c>
      <c r="AP24" s="43" t="str">
        <f>((TotalAverages!AX16/MassFormulaTesting!$B$108)*0.68)+0.3</f>
        <v>#DIV/0!</v>
      </c>
      <c r="AQ24" s="7"/>
    </row>
    <row r="25">
      <c r="A25" s="56" t="str">
        <f>IFERROR(__xludf.DUMMYFUNCTION("Query(TotalAverages!A:AV,""Select A,I where A&lt;&gt;'' Order by I Desc Limit 1"")"),"OVERALL")</f>
        <v>OVERALL</v>
      </c>
      <c r="B25" s="54" t="str">
        <f>IFERROR(__xludf.DUMMYFUNCTION("""COMPUTED_VALUE"""),"avg Betrayals")</f>
        <v>avg Betrayals</v>
      </c>
      <c r="C25" s="52"/>
      <c r="D25" s="40" t="str">
        <f t="shared" si="1"/>
        <v>#DIV/0!</v>
      </c>
      <c r="E25" s="45" t="str">
        <f>TotalAverages!A17</f>
        <v>Doerstopper</v>
      </c>
      <c r="F25" s="46">
        <f t="shared" si="2"/>
        <v>0.3</v>
      </c>
      <c r="G25" s="47">
        <f>((TotalAverages!D17/MassFormulaTesting!$B$16)*0.68)+0.3</f>
        <v>0.5754400554</v>
      </c>
      <c r="H25" s="47">
        <f>((TotalAverages!E17/MassFormulaTesting!$B$18)*0.68)+0.3</f>
        <v>0.7848817967</v>
      </c>
      <c r="I25" s="47">
        <f>((TotalAverages!F17/MassFormulaTesting!$B$20)*0.68)+0.3</f>
        <v>-0.4314258189</v>
      </c>
      <c r="J25" s="47">
        <f>(IFERROR(MassFormulaTesting!$C$22/TotalAverages!G17,"")*0.68)+0.3</f>
        <v>12.06923077</v>
      </c>
      <c r="K25" s="13">
        <f>(((TotalAverages!H17+118)/(MassFormulaTesting!$B$24+118))*0.68)+0.3</f>
        <v>0.9580838852</v>
      </c>
      <c r="L25" s="47">
        <f>((TotalAverages!I17/MassFormulaTesting!$B$26)*0.68)+0.3</f>
        <v>0.3623333333</v>
      </c>
      <c r="M25" s="47">
        <f>((0.98-(TotalAverages!J17/MassFormulaTesting!$B$28)*0.68))</f>
        <v>0.4411656843</v>
      </c>
      <c r="N25" s="47">
        <f>((TotalAverages!K17/MassFormulaTesting!$B$30)*0.68)+0.3</f>
        <v>0.8355929487</v>
      </c>
      <c r="O25" s="47">
        <f>((TotalAverages!L17/MassFormulaTesting!$B$32)*0.68)+0.3</f>
        <v>0.5903039074</v>
      </c>
      <c r="P25" s="47">
        <f>((TotalAverages!M17/MassFormulaTesting!$B$34)*0.68)+0.3</f>
        <v>0.6790834748</v>
      </c>
      <c r="Q25" s="47" t="str">
        <f>((TotalAverages!N17/MassFormulaTesting!$B$36)*0.68)+0.3</f>
        <v>#DIV/0!</v>
      </c>
      <c r="R25" s="47">
        <f>((TotalAverages!O17/MassFormulaTesting!$B$38)*0.68)+0.3</f>
        <v>0.3566666667</v>
      </c>
      <c r="S25" s="47">
        <f>(IFERROR(TotalAverages!P17/MassFormulaTesting!$B$40,"")*0.68)+0.3</f>
        <v>0.3</v>
      </c>
      <c r="T25" s="47">
        <f>((TotalAverages!T17/MassFormulaTesting!$B$48)*0.68)+0.3</f>
        <v>0.98</v>
      </c>
      <c r="U25" s="47">
        <f>((TotalAverages!U17/MassFormulaTesting!$B$50)*0.68)+0.3</f>
        <v>0.4324497992</v>
      </c>
      <c r="V25" s="47">
        <f>((TotalAverages!V17/MassFormulaTesting!$B$52)*0.68)+0.3</f>
        <v>0.3357894737</v>
      </c>
      <c r="W25" s="47">
        <f>(IFERROR(TotalAverages!W17/MassFormulaTesting!$B$54,"")*0.68)+0.3</f>
        <v>0.330781893</v>
      </c>
      <c r="X25" s="47">
        <f>(IFERROR(TotalAverages!X17/MassFormulaTesting!$B$56,"")*0.68)+0.3</f>
        <v>0.3755555556</v>
      </c>
      <c r="Y25" s="47">
        <f>(IFERROR(TotalAverages!Y17/MassFormulaTesting!$B$58,"")*0.68)+0.3</f>
        <v>0.3</v>
      </c>
      <c r="Z25" s="43">
        <f>(IFERROR(TotalAverages!Z17/MassFormulaTesting!$B$60,"")*0.68)+0.3</f>
        <v>0.3</v>
      </c>
      <c r="AA25" s="43">
        <f>((TotalAverages!AD17/MassFormulaTesting!$B$68)*0.68)+0.3</f>
        <v>0.3</v>
      </c>
      <c r="AB25" s="43" t="str">
        <f>((TotalAverages!AG17/MassFormulaTesting!$B$74)*0.68)+0.3</f>
        <v>#DIV/0!</v>
      </c>
      <c r="AC25" s="43" t="str">
        <f>((TotalAverages!AH17/MassFormulaTesting!$B$76)*0.68)+0.3</f>
        <v>#DIV/0!</v>
      </c>
      <c r="AD25" s="43" t="str">
        <f>((TotalAverages!AK17/MassFormulaTesting!$B$82)*0.68)+0.3</f>
        <v>#DIV/0!</v>
      </c>
      <c r="AE25" s="43" t="str">
        <f>((TotalAverages!AL17/MassFormulaTesting!$B$84)*0.68)+0.3</f>
        <v>#DIV/0!</v>
      </c>
      <c r="AF25" s="43" t="str">
        <f>((TotalAverages!AM17/MassFormulaTesting!$B$86)*0.68)+0.3</f>
        <v>#DIV/0!</v>
      </c>
      <c r="AG25" s="43" t="str">
        <f>((TotalAverages!AN17/MassFormulaTesting!$B$88)*0.68)+0.3</f>
        <v>#DIV/0!</v>
      </c>
      <c r="AH25" s="43" t="str">
        <f>((TotalAverages!AO17/MassFormulaTesting!$B$90)*0.68)+0.3</f>
        <v>#DIV/0!</v>
      </c>
      <c r="AI25" s="43" t="str">
        <f>((TotalAverages!AP17/MassFormulaTesting!$B$92)*0.68)+0.3</f>
        <v>#DIV/0!</v>
      </c>
      <c r="AJ25" s="43" t="str">
        <f>((TotalAverages!AQ17/MassFormulaTesting!$B$94)*0.68)+0.3</f>
        <v>#DIV/0!</v>
      </c>
      <c r="AK25" s="43" t="str">
        <f>((TotalAverages!AR17/MassFormulaTesting!$B$96)*0.68)+0.3</f>
        <v>#DIV/0!</v>
      </c>
      <c r="AL25" s="43" t="str">
        <f>((TotalAverages!AS17/MassFormulaTesting!$B$98)*0.68)+0.3</f>
        <v>#DIV/0!</v>
      </c>
      <c r="AM25" s="43" t="str">
        <f>((TotalAverages!AT17/MassFormulaTesting!$B$100)*0.68)+0.3</f>
        <v>#DIV/0!</v>
      </c>
      <c r="AN25" s="43" t="str">
        <f>((TotalAverages!AV17/MassFormulaTesting!$B$104)*0.68)+0.3</f>
        <v>#DIV/0!</v>
      </c>
      <c r="AO25" s="43" t="str">
        <f>((TotalAverages!AW17/MassFormulaTesting!$B$106)*0.68)+0.3</f>
        <v>#DIV/0!</v>
      </c>
      <c r="AP25" s="43" t="str">
        <f>((TotalAverages!AX17/MassFormulaTesting!$B$108)*0.68)+0.3</f>
        <v>#DIV/0!</v>
      </c>
      <c r="AQ25" s="7"/>
    </row>
    <row r="26">
      <c r="A26" s="50" t="str">
        <f>IFERROR(__xludf.DUMMYFUNCTION("""COMPUTED_VALUE"""),"Judasey")</f>
        <v>Judasey</v>
      </c>
      <c r="B26" s="51">
        <f>IFERROR(__xludf.DUMMYFUNCTION("""COMPUTED_VALUE"""),6.666666666666667)</f>
        <v>6.666666667</v>
      </c>
      <c r="C26" s="52"/>
      <c r="D26" s="40" t="str">
        <f t="shared" si="1"/>
        <v>#DIV/0!</v>
      </c>
      <c r="E26" s="45" t="str">
        <f>TotalAverages!A18</f>
        <v>EllisGotMyPills</v>
      </c>
      <c r="F26" s="46">
        <f t="shared" si="2"/>
        <v>0.3</v>
      </c>
      <c r="G26" s="47">
        <f>((TotalAverages!D18/MassFormulaTesting!$B$16)*0.68)+0.3</f>
        <v>0.5624809425</v>
      </c>
      <c r="H26" s="47">
        <f>((TotalAverages!E18/MassFormulaTesting!$B$18)*0.68)+0.3</f>
        <v>0.5307142857</v>
      </c>
      <c r="I26" s="47">
        <f>((TotalAverages!F18/MassFormulaTesting!$B$20)*0.68)+0.3</f>
        <v>0.6218754014</v>
      </c>
      <c r="J26" s="47">
        <f>(IFERROR(MassFormulaTesting!$C$22/TotalAverages!G18,"")*0.68)+0.3</f>
        <v>6.810638298</v>
      </c>
      <c r="K26" s="13">
        <f>(((TotalAverages!H18+118)/(MassFormulaTesting!$B$24+118))*0.68)+0.3</f>
        <v>0.9742958057</v>
      </c>
      <c r="L26" s="47">
        <f>((TotalAverages!I18/MassFormulaTesting!$B$26)*0.68)+0.3</f>
        <v>0.3736666667</v>
      </c>
      <c r="M26" s="47">
        <f>((0.98-(TotalAverages!J18/MassFormulaTesting!$B$28)*0.68))</f>
        <v>0.3355242008</v>
      </c>
      <c r="N26" s="47">
        <f>((TotalAverages!K18/MassFormulaTesting!$B$30)*0.68)+0.3</f>
        <v>0.8777403846</v>
      </c>
      <c r="O26" s="47">
        <f>((TotalAverages!L18/MassFormulaTesting!$B$32)*0.68)+0.3</f>
        <v>0.98</v>
      </c>
      <c r="P26" s="47">
        <f>((TotalAverages!M18/MassFormulaTesting!$B$34)*0.68)+0.3</f>
        <v>0.98</v>
      </c>
      <c r="Q26" s="47" t="str">
        <f>((TotalAverages!N18/MassFormulaTesting!$B$36)*0.68)+0.3</f>
        <v>#DIV/0!</v>
      </c>
      <c r="R26" s="47">
        <f>((TotalAverages!O18/MassFormulaTesting!$B$38)*0.68)+0.3</f>
        <v>0.64</v>
      </c>
      <c r="S26" s="47">
        <f>(IFERROR(TotalAverages!P18/MassFormulaTesting!$B$40,"")*0.68)+0.3</f>
        <v>0.6853333333</v>
      </c>
      <c r="T26" s="47">
        <f>((TotalAverages!T18/MassFormulaTesting!$B$48)*0.68)+0.3</f>
        <v>0.3</v>
      </c>
      <c r="U26" s="47">
        <f>((TotalAverages!U18/MassFormulaTesting!$B$50)*0.68)+0.3</f>
        <v>0.4570281124</v>
      </c>
      <c r="V26" s="47">
        <f>((TotalAverages!V18/MassFormulaTesting!$B$52)*0.68)+0.3</f>
        <v>0.3894736842</v>
      </c>
      <c r="W26" s="47">
        <f>(IFERROR(TotalAverages!W18/MassFormulaTesting!$B$54,"")*0.68)+0.3</f>
        <v>0.392345679</v>
      </c>
      <c r="X26" s="47">
        <f>(IFERROR(TotalAverages!X18/MassFormulaTesting!$B$56,"")*0.68)+0.3</f>
        <v>0.3</v>
      </c>
      <c r="Y26" s="47">
        <f>(IFERROR(TotalAverages!Y18/MassFormulaTesting!$B$58,"")*0.68)+0.3</f>
        <v>0.3</v>
      </c>
      <c r="Z26" s="43">
        <f>(IFERROR(TotalAverages!Z18/MassFormulaTesting!$B$60,"")*0.68)+0.3</f>
        <v>0.3</v>
      </c>
      <c r="AA26" s="43">
        <f>((TotalAverages!AD18/MassFormulaTesting!$B$68)*0.68)+0.3</f>
        <v>0.3</v>
      </c>
      <c r="AB26" s="43" t="str">
        <f>((TotalAverages!AG18/MassFormulaTesting!$B$74)*0.68)+0.3</f>
        <v>#DIV/0!</v>
      </c>
      <c r="AC26" s="43" t="str">
        <f>((TotalAverages!AH18/MassFormulaTesting!$B$76)*0.68)+0.3</f>
        <v>#DIV/0!</v>
      </c>
      <c r="AD26" s="43" t="str">
        <f>((TotalAverages!AK18/MassFormulaTesting!$B$82)*0.68)+0.3</f>
        <v>#DIV/0!</v>
      </c>
      <c r="AE26" s="43" t="str">
        <f>((TotalAverages!AL18/MassFormulaTesting!$B$84)*0.68)+0.3</f>
        <v>#DIV/0!</v>
      </c>
      <c r="AF26" s="43" t="str">
        <f>((TotalAverages!AM18/MassFormulaTesting!$B$86)*0.68)+0.3</f>
        <v>#DIV/0!</v>
      </c>
      <c r="AG26" s="43" t="str">
        <f>((TotalAverages!AN18/MassFormulaTesting!$B$88)*0.68)+0.3</f>
        <v>#DIV/0!</v>
      </c>
      <c r="AH26" s="43" t="str">
        <f>((TotalAverages!AO18/MassFormulaTesting!$B$90)*0.68)+0.3</f>
        <v>#DIV/0!</v>
      </c>
      <c r="AI26" s="43" t="str">
        <f>((TotalAverages!AP18/MassFormulaTesting!$B$92)*0.68)+0.3</f>
        <v>#DIV/0!</v>
      </c>
      <c r="AJ26" s="43" t="str">
        <f>((TotalAverages!AQ18/MassFormulaTesting!$B$94)*0.68)+0.3</f>
        <v>#DIV/0!</v>
      </c>
      <c r="AK26" s="43" t="str">
        <f>((TotalAverages!AR18/MassFormulaTesting!$B$96)*0.68)+0.3</f>
        <v>#DIV/0!</v>
      </c>
      <c r="AL26" s="43" t="str">
        <f>((TotalAverages!AS18/MassFormulaTesting!$B$98)*0.68)+0.3</f>
        <v>#DIV/0!</v>
      </c>
      <c r="AM26" s="43" t="str">
        <f>((TotalAverages!AT18/MassFormulaTesting!$B$100)*0.68)+0.3</f>
        <v>#DIV/0!</v>
      </c>
      <c r="AN26" s="43" t="str">
        <f>((TotalAverages!AV18/MassFormulaTesting!$B$104)*0.68)+0.3</f>
        <v>#DIV/0!</v>
      </c>
      <c r="AO26" s="43" t="str">
        <f>((TotalAverages!AW18/MassFormulaTesting!$B$106)*0.68)+0.3</f>
        <v>#DIV/0!</v>
      </c>
      <c r="AP26" s="43" t="str">
        <f>((TotalAverages!AX18/MassFormulaTesting!$B$108)*0.68)+0.3</f>
        <v>#DIV/0!</v>
      </c>
      <c r="AQ26" s="7"/>
    </row>
    <row r="27">
      <c r="A27" s="56" t="str">
        <f>IFERROR(__xludf.DUMMYFUNCTION("Query(TotalAverages!A:AV,""Select A,J where A&lt;&gt;'' Order by J Desc Limit 1"")"),"OVERALL")</f>
        <v>OVERALL</v>
      </c>
      <c r="B27" s="54" t="str">
        <f>IFERROR(__xludf.DUMMYFUNCTION("""COMPUTED_VALUE"""),"avg Time Alive")</f>
        <v>avg Time Alive</v>
      </c>
      <c r="C27" s="1" t="s">
        <v>61</v>
      </c>
      <c r="D27" s="40" t="str">
        <f t="shared" si="1"/>
        <v>#DIV/0!</v>
      </c>
      <c r="E27" s="45" t="str">
        <f>TotalAverages!A19</f>
        <v>Finesse God24</v>
      </c>
      <c r="F27" s="46">
        <f t="shared" si="2"/>
        <v>0.3</v>
      </c>
      <c r="G27" s="47">
        <f>((TotalAverages!D19/MassFormulaTesting!$B$16)*0.68)+0.3</f>
        <v>0.5042827443</v>
      </c>
      <c r="H27" s="47">
        <f>((TotalAverages!E19/MassFormulaTesting!$B$18)*0.68)+0.3</f>
        <v>0.5814387031</v>
      </c>
      <c r="I27" s="47">
        <f>((TotalAverages!F19/MassFormulaTesting!$B$20)*0.68)+0.3</f>
        <v>0.1018304432</v>
      </c>
      <c r="J27" s="47">
        <f>(IFERROR(MassFormulaTesting!$C$22/TotalAverages!G19,"")*0.68)+0.3</f>
        <v>7.1</v>
      </c>
      <c r="K27" s="13">
        <f>(((TotalAverages!H19+118)/(MassFormulaTesting!$B$24+118))*0.68)+0.3</f>
        <v>0.954781457</v>
      </c>
      <c r="L27" s="47">
        <f>((TotalAverages!I19/MassFormulaTesting!$B$26)*0.68)+0.3</f>
        <v>0.402</v>
      </c>
      <c r="M27" s="47">
        <f>((0.98-(TotalAverages!J19/MassFormulaTesting!$B$28)*0.68))</f>
        <v>0.7376460082</v>
      </c>
      <c r="N27" s="47">
        <f>((TotalAverages!K19/MassFormulaTesting!$B$30)*0.68)+0.3</f>
        <v>0.561875</v>
      </c>
      <c r="O27" s="47">
        <f>((TotalAverages!L19/MassFormulaTesting!$B$32)*0.68)+0.3</f>
        <v>0.4978002894</v>
      </c>
      <c r="P27" s="47">
        <f>((TotalAverages!M19/MassFormulaTesting!$B$34)*0.68)+0.3</f>
        <v>0.3022033637</v>
      </c>
      <c r="Q27" s="47" t="str">
        <f>((TotalAverages!N19/MassFormulaTesting!$B$36)*0.68)+0.3</f>
        <v>#DIV/0!</v>
      </c>
      <c r="R27" s="47">
        <f>((TotalAverages!O19/MassFormulaTesting!$B$38)*0.68)+0.3</f>
        <v>0.3</v>
      </c>
      <c r="S27" s="47">
        <f>(IFERROR(TotalAverages!P19/MassFormulaTesting!$B$40,"")*0.68)+0.3</f>
        <v>0.3</v>
      </c>
      <c r="T27" s="47">
        <f>((TotalAverages!T19/MassFormulaTesting!$B$48)*0.68)+0.3</f>
        <v>0.3</v>
      </c>
      <c r="U27" s="47">
        <f>((TotalAverages!U19/MassFormulaTesting!$B$50)*0.68)+0.3</f>
        <v>0.4515662651</v>
      </c>
      <c r="V27" s="47">
        <f>((TotalAverages!V19/MassFormulaTesting!$B$52)*0.68)+0.3</f>
        <v>0.3715789474</v>
      </c>
      <c r="W27" s="47">
        <f>(IFERROR(TotalAverages!W19/MassFormulaTesting!$B$54,"")*0.68)+0.3</f>
        <v>0.3</v>
      </c>
      <c r="X27" s="47">
        <f>(IFERROR(TotalAverages!X19/MassFormulaTesting!$B$56,"")*0.68)+0.3</f>
        <v>0.3</v>
      </c>
      <c r="Y27" s="47">
        <f>(IFERROR(TotalAverages!Y19/MassFormulaTesting!$B$58,"")*0.68)+0.3</f>
        <v>0.3</v>
      </c>
      <c r="Z27" s="43">
        <f>(IFERROR(TotalAverages!Z19/MassFormulaTesting!$B$60,"")*0.68)+0.3</f>
        <v>0.3</v>
      </c>
      <c r="AA27" s="43">
        <f>((TotalAverages!AD19/MassFormulaTesting!$B$68)*0.68)+0.3</f>
        <v>0.3</v>
      </c>
      <c r="AB27" s="43" t="str">
        <f>((TotalAverages!AG19/MassFormulaTesting!$B$74)*0.68)+0.3</f>
        <v>#DIV/0!</v>
      </c>
      <c r="AC27" s="43" t="str">
        <f>((TotalAverages!AH19/MassFormulaTesting!$B$76)*0.68)+0.3</f>
        <v>#DIV/0!</v>
      </c>
      <c r="AD27" s="43" t="str">
        <f>((TotalAverages!AK19/MassFormulaTesting!$B$82)*0.68)+0.3</f>
        <v>#DIV/0!</v>
      </c>
      <c r="AE27" s="43" t="str">
        <f>((TotalAverages!AL19/MassFormulaTesting!$B$84)*0.68)+0.3</f>
        <v>#DIV/0!</v>
      </c>
      <c r="AF27" s="43" t="str">
        <f>((TotalAverages!AM19/MassFormulaTesting!$B$86)*0.68)+0.3</f>
        <v>#DIV/0!</v>
      </c>
      <c r="AG27" s="43" t="str">
        <f>((TotalAverages!AN19/MassFormulaTesting!$B$88)*0.68)+0.3</f>
        <v>#DIV/0!</v>
      </c>
      <c r="AH27" s="43" t="str">
        <f>((TotalAverages!AO19/MassFormulaTesting!$B$90)*0.68)+0.3</f>
        <v>#DIV/0!</v>
      </c>
      <c r="AI27" s="43" t="str">
        <f>((TotalAverages!AP19/MassFormulaTesting!$B$92)*0.68)+0.3</f>
        <v>#DIV/0!</v>
      </c>
      <c r="AJ27" s="43" t="str">
        <f>((TotalAverages!AQ19/MassFormulaTesting!$B$94)*0.68)+0.3</f>
        <v>#DIV/0!</v>
      </c>
      <c r="AK27" s="43" t="str">
        <f>((TotalAverages!AR19/MassFormulaTesting!$B$96)*0.68)+0.3</f>
        <v>#DIV/0!</v>
      </c>
      <c r="AL27" s="43" t="str">
        <f>((TotalAverages!AS19/MassFormulaTesting!$B$98)*0.68)+0.3</f>
        <v>#DIV/0!</v>
      </c>
      <c r="AM27" s="43" t="str">
        <f>((TotalAverages!AT19/MassFormulaTesting!$B$100)*0.68)+0.3</f>
        <v>#DIV/0!</v>
      </c>
      <c r="AN27" s="43" t="str">
        <f>((TotalAverages!AV19/MassFormulaTesting!$B$104)*0.68)+0.3</f>
        <v>#DIV/0!</v>
      </c>
      <c r="AO27" s="43" t="str">
        <f>((TotalAverages!AW19/MassFormulaTesting!$B$106)*0.68)+0.3</f>
        <v>#DIV/0!</v>
      </c>
      <c r="AP27" s="43" t="str">
        <f>((TotalAverages!AX19/MassFormulaTesting!$B$108)*0.68)+0.3</f>
        <v>#DIV/0!</v>
      </c>
      <c r="AQ27" s="7"/>
    </row>
    <row r="28" ht="17.25" customHeight="1">
      <c r="A28" s="50" t="str">
        <f>IFERROR(__xludf.DUMMYFUNCTION("""COMPUTED_VALUE"""),"Judasey")</f>
        <v>Judasey</v>
      </c>
      <c r="B28" s="51">
        <f>IFERROR(__xludf.DUMMYFUNCTION("""COMPUTED_VALUE"""),1866.3333333333333)</f>
        <v>1866.333333</v>
      </c>
      <c r="C28" s="58">
        <v>0.0</v>
      </c>
      <c r="D28" s="40" t="str">
        <f t="shared" si="1"/>
        <v>#DIV/0!</v>
      </c>
      <c r="E28" s="45" t="str">
        <f>TotalAverages!A20</f>
        <v>GodSnipezX</v>
      </c>
      <c r="F28" s="46">
        <f t="shared" si="2"/>
        <v>0.3</v>
      </c>
      <c r="G28" s="47">
        <f>((TotalAverages!D20/MassFormulaTesting!$B$16)*0.68)+0.3</f>
        <v>0.6768852769</v>
      </c>
      <c r="H28" s="47">
        <f>((TotalAverages!E20/MassFormulaTesting!$B$18)*0.68)+0.3</f>
        <v>0.7469252556</v>
      </c>
      <c r="I28" s="47">
        <f>((TotalAverages!F20/MassFormulaTesting!$B$20)*0.68)+0.3</f>
        <v>0.2528323699</v>
      </c>
      <c r="J28" s="47">
        <f>(IFERROR(MassFormulaTesting!$C$22/TotalAverages!G20,"")*0.68)+0.3</f>
        <v>3.390909091</v>
      </c>
      <c r="K28" s="13">
        <f>(((TotalAverages!H20+118)/(MassFormulaTesting!$B$24+118))*0.68)+0.3</f>
        <v>0.9668994582</v>
      </c>
      <c r="L28" s="47">
        <f>((TotalAverages!I20/MassFormulaTesting!$B$26)*0.68)+0.3</f>
        <v>0.3834545455</v>
      </c>
      <c r="M28" s="47">
        <f>((0.98-(TotalAverages!J20/MassFormulaTesting!$B$28)*0.68))</f>
        <v>0.5473665752</v>
      </c>
      <c r="N28" s="47">
        <f>((TotalAverages!K20/MassFormulaTesting!$B$30)*0.68)+0.3</f>
        <v>0.7469055944</v>
      </c>
      <c r="O28" s="47">
        <f>((TotalAverages!L20/MassFormulaTesting!$B$32)*0.68)+0.3</f>
        <v>0.5238337061</v>
      </c>
      <c r="P28" s="47">
        <f>((TotalAverages!M20/MassFormulaTesting!$B$34)*0.68)+0.3</f>
        <v>0.3101011348</v>
      </c>
      <c r="Q28" s="47" t="str">
        <f>((TotalAverages!N20/MassFormulaTesting!$B$36)*0.68)+0.3</f>
        <v>#DIV/0!</v>
      </c>
      <c r="R28" s="47">
        <f>((TotalAverages!O20/MassFormulaTesting!$B$38)*0.68)+0.3</f>
        <v>0.4854545455</v>
      </c>
      <c r="S28" s="47">
        <f>(IFERROR(TotalAverages!P20/MassFormulaTesting!$B$40,"")*0.68)+0.3</f>
        <v>0.3</v>
      </c>
      <c r="T28" s="47">
        <f>((TotalAverages!T20/MassFormulaTesting!$B$48)*0.68)+0.3</f>
        <v>0.3</v>
      </c>
      <c r="U28" s="47">
        <f>((TotalAverages!U20/MassFormulaTesting!$B$50)*0.68)+0.3</f>
        <v>0.6116976999</v>
      </c>
      <c r="V28" s="47">
        <f>((TotalAverages!V20/MassFormulaTesting!$B$52)*0.68)+0.3</f>
        <v>0.5147368421</v>
      </c>
      <c r="W28" s="47">
        <f>(IFERROR(TotalAverages!W20/MassFormulaTesting!$B$54,"")*0.68)+0.3</f>
        <v>0.5518518519</v>
      </c>
      <c r="X28" s="47">
        <f>(IFERROR(TotalAverages!X20/MassFormulaTesting!$B$56,"")*0.68)+0.3</f>
        <v>0.4236363636</v>
      </c>
      <c r="Y28" s="47">
        <f>(IFERROR(TotalAverages!Y20/MassFormulaTesting!$B$58,"")*0.68)+0.3</f>
        <v>0.3</v>
      </c>
      <c r="Z28" s="43">
        <f>(IFERROR(TotalAverages!Z20/MassFormulaTesting!$B$60,"")*0.68)+0.3</f>
        <v>0.3</v>
      </c>
      <c r="AA28" s="43">
        <f>((TotalAverages!AD20/MassFormulaTesting!$B$68)*0.68)+0.3</f>
        <v>0.7790909091</v>
      </c>
      <c r="AB28" s="43" t="str">
        <f>((TotalAverages!AG20/MassFormulaTesting!$B$74)*0.68)+0.3</f>
        <v>#DIV/0!</v>
      </c>
      <c r="AC28" s="43" t="str">
        <f>((TotalAverages!AH20/MassFormulaTesting!$B$76)*0.68)+0.3</f>
        <v>#DIV/0!</v>
      </c>
      <c r="AD28" s="43" t="str">
        <f>((TotalAverages!AK20/MassFormulaTesting!$B$82)*0.68)+0.3</f>
        <v>#DIV/0!</v>
      </c>
      <c r="AE28" s="43" t="str">
        <f>((TotalAverages!AL20/MassFormulaTesting!$B$84)*0.68)+0.3</f>
        <v>#DIV/0!</v>
      </c>
      <c r="AF28" s="43" t="str">
        <f>((TotalAverages!AM20/MassFormulaTesting!$B$86)*0.68)+0.3</f>
        <v>#DIV/0!</v>
      </c>
      <c r="AG28" s="43" t="str">
        <f>((TotalAverages!AN20/MassFormulaTesting!$B$88)*0.68)+0.3</f>
        <v>#DIV/0!</v>
      </c>
      <c r="AH28" s="43" t="str">
        <f>((TotalAverages!AO20/MassFormulaTesting!$B$90)*0.68)+0.3</f>
        <v>#DIV/0!</v>
      </c>
      <c r="AI28" s="43" t="str">
        <f>((TotalAverages!AP20/MassFormulaTesting!$B$92)*0.68)+0.3</f>
        <v>#DIV/0!</v>
      </c>
      <c r="AJ28" s="43" t="str">
        <f>((TotalAverages!AQ20/MassFormulaTesting!$B$94)*0.68)+0.3</f>
        <v>#DIV/0!</v>
      </c>
      <c r="AK28" s="43" t="str">
        <f>((TotalAverages!AR20/MassFormulaTesting!$B$96)*0.68)+0.3</f>
        <v>#DIV/0!</v>
      </c>
      <c r="AL28" s="43" t="str">
        <f>((TotalAverages!AS20/MassFormulaTesting!$B$98)*0.68)+0.3</f>
        <v>#DIV/0!</v>
      </c>
      <c r="AM28" s="43" t="str">
        <f>((TotalAverages!AT20/MassFormulaTesting!$B$100)*0.68)+0.3</f>
        <v>#DIV/0!</v>
      </c>
      <c r="AN28" s="43" t="str">
        <f>((TotalAverages!AV20/MassFormulaTesting!$B$104)*0.68)+0.3</f>
        <v>#DIV/0!</v>
      </c>
      <c r="AO28" s="43" t="str">
        <f>((TotalAverages!AW20/MassFormulaTesting!$B$106)*0.68)+0.3</f>
        <v>#DIV/0!</v>
      </c>
      <c r="AP28" s="43" t="str">
        <f>((TotalAverages!AX20/MassFormulaTesting!$B$108)*0.68)+0.3</f>
        <v>#DIV/0!</v>
      </c>
      <c r="AQ28" s="7"/>
    </row>
    <row r="29">
      <c r="A29" s="56" t="str">
        <f>IFERROR(__xludf.DUMMYFUNCTION("Query(TotalAverages!A:AV,""Select A,K where A&lt;&gt;'' Order by K Desc Limit 1"")"),"OVERALL")</f>
        <v>OVERALL</v>
      </c>
      <c r="B29" s="54" t="str">
        <f>IFERROR(__xludf.DUMMYFUNCTION("""COMPUTED_VALUE"""),"avg Game Time")</f>
        <v>avg Game Time</v>
      </c>
      <c r="C29" s="52"/>
      <c r="D29" s="40" t="str">
        <f t="shared" si="1"/>
        <v>#DIV/0!</v>
      </c>
      <c r="E29" s="45" t="str">
        <f>TotalAverages!A21</f>
        <v>Hells Angel cx</v>
      </c>
      <c r="F29" s="46">
        <f t="shared" si="2"/>
        <v>0.3</v>
      </c>
      <c r="G29" s="47">
        <f>((TotalAverages!D21/MassFormulaTesting!$B$16)*0.68)+0.3</f>
        <v>0.5941247401</v>
      </c>
      <c r="H29" s="47">
        <f>((TotalAverages!E21/MassFormulaTesting!$B$18)*0.68)+0.3</f>
        <v>0.6414080547</v>
      </c>
      <c r="I29" s="47">
        <f>((TotalAverages!F21/MassFormulaTesting!$B$20)*0.68)+0.3</f>
        <v>0.2956763006</v>
      </c>
      <c r="J29" s="47">
        <f>(IFERROR(MassFormulaTesting!$C$22/TotalAverages!G21,"")*0.68)+0.3</f>
        <v>3.734343434</v>
      </c>
      <c r="K29" s="13">
        <f>(((TotalAverages!H21+118)/(MassFormulaTesting!$B$24+118))*0.68)+0.3</f>
        <v>0.9711735099</v>
      </c>
      <c r="L29" s="47">
        <f>((TotalAverages!I21/MassFormulaTesting!$B$26)*0.68)+0.3</f>
        <v>0.5244</v>
      </c>
      <c r="M29" s="47">
        <f>((0.98-(TotalAverages!J21/MassFormulaTesting!$B$28)*0.68))</f>
        <v>0.5189687444</v>
      </c>
      <c r="N29" s="47">
        <f>((TotalAverages!K21/MassFormulaTesting!$B$30)*0.68)+0.3</f>
        <v>0.7529278846</v>
      </c>
      <c r="O29" s="47">
        <f>((TotalAverages!L21/MassFormulaTesting!$B$32)*0.68)+0.3</f>
        <v>0.6259276411</v>
      </c>
      <c r="P29" s="47">
        <f>((TotalAverages!M21/MassFormulaTesting!$B$34)*0.68)+0.3</f>
        <v>0.5872241938</v>
      </c>
      <c r="Q29" s="47" t="str">
        <f>((TotalAverages!N21/MassFormulaTesting!$B$36)*0.68)+0.3</f>
        <v>#DIV/0!</v>
      </c>
      <c r="R29" s="47">
        <f>((TotalAverages!O21/MassFormulaTesting!$B$38)*0.68)+0.3</f>
        <v>0.504</v>
      </c>
      <c r="S29" s="47">
        <f>(IFERROR(TotalAverages!P21/MassFormulaTesting!$B$40,"")*0.68)+0.3</f>
        <v>0.6468</v>
      </c>
      <c r="T29" s="47">
        <f>((TotalAverages!T21/MassFormulaTesting!$B$48)*0.68)+0.3</f>
        <v>0.3</v>
      </c>
      <c r="U29" s="47">
        <f>((TotalAverages!U21/MassFormulaTesting!$B$50)*0.68)+0.3</f>
        <v>0.5359518072</v>
      </c>
      <c r="V29" s="47">
        <f>((TotalAverages!V21/MassFormulaTesting!$B$52)*0.68)+0.3</f>
        <v>0.4556842105</v>
      </c>
      <c r="W29" s="47">
        <f>(IFERROR(TotalAverages!W21/MassFormulaTesting!$B$54,"")*0.68)+0.3</f>
        <v>0.4385185185</v>
      </c>
      <c r="X29" s="47">
        <f>(IFERROR(TotalAverages!X21/MassFormulaTesting!$B$56,"")*0.68)+0.3</f>
        <v>0.3</v>
      </c>
      <c r="Y29" s="47">
        <f>(IFERROR(TotalAverages!Y21/MassFormulaTesting!$B$58,"")*0.68)+0.3</f>
        <v>0.3</v>
      </c>
      <c r="Z29" s="43">
        <f>(IFERROR(TotalAverages!Z21/MassFormulaTesting!$B$60,"")*0.68)+0.3</f>
        <v>0.3</v>
      </c>
      <c r="AA29" s="43">
        <f>((TotalAverages!AD21/MassFormulaTesting!$B$68)*0.68)+0.3</f>
        <v>0.3</v>
      </c>
      <c r="AB29" s="43" t="str">
        <f>((TotalAverages!AG21/MassFormulaTesting!$B$74)*0.68)+0.3</f>
        <v>#DIV/0!</v>
      </c>
      <c r="AC29" s="43" t="str">
        <f>((TotalAverages!AH21/MassFormulaTesting!$B$76)*0.68)+0.3</f>
        <v>#DIV/0!</v>
      </c>
      <c r="AD29" s="43" t="str">
        <f>((TotalAverages!AK21/MassFormulaTesting!$B$82)*0.68)+0.3</f>
        <v>#DIV/0!</v>
      </c>
      <c r="AE29" s="43" t="str">
        <f>((TotalAverages!AL21/MassFormulaTesting!$B$84)*0.68)+0.3</f>
        <v>#DIV/0!</v>
      </c>
      <c r="AF29" s="43" t="str">
        <f>((TotalAverages!AM21/MassFormulaTesting!$B$86)*0.68)+0.3</f>
        <v>#DIV/0!</v>
      </c>
      <c r="AG29" s="43" t="str">
        <f>((TotalAverages!AN21/MassFormulaTesting!$B$88)*0.68)+0.3</f>
        <v>#DIV/0!</v>
      </c>
      <c r="AH29" s="43" t="str">
        <f>((TotalAverages!AO21/MassFormulaTesting!$B$90)*0.68)+0.3</f>
        <v>#DIV/0!</v>
      </c>
      <c r="AI29" s="43" t="str">
        <f>((TotalAverages!AP21/MassFormulaTesting!$B$92)*0.68)+0.3</f>
        <v>#DIV/0!</v>
      </c>
      <c r="AJ29" s="43" t="str">
        <f>((TotalAverages!AQ21/MassFormulaTesting!$B$94)*0.68)+0.3</f>
        <v>#DIV/0!</v>
      </c>
      <c r="AK29" s="43" t="str">
        <f>((TotalAverages!AR21/MassFormulaTesting!$B$96)*0.68)+0.3</f>
        <v>#DIV/0!</v>
      </c>
      <c r="AL29" s="43" t="str">
        <f>((TotalAverages!AS21/MassFormulaTesting!$B$98)*0.68)+0.3</f>
        <v>#DIV/0!</v>
      </c>
      <c r="AM29" s="43" t="str">
        <f>((TotalAverages!AT21/MassFormulaTesting!$B$100)*0.68)+0.3</f>
        <v>#DIV/0!</v>
      </c>
      <c r="AN29" s="43" t="str">
        <f>((TotalAverages!AV21/MassFormulaTesting!$B$104)*0.68)+0.3</f>
        <v>#DIV/0!</v>
      </c>
      <c r="AO29" s="43" t="str">
        <f>((TotalAverages!AW21/MassFormulaTesting!$B$106)*0.68)+0.3</f>
        <v>#DIV/0!</v>
      </c>
      <c r="AP29" s="43" t="str">
        <f>((TotalAverages!AX21/MassFormulaTesting!$B$108)*0.68)+0.3</f>
        <v>#DIV/0!</v>
      </c>
      <c r="AQ29" s="7"/>
    </row>
    <row r="30">
      <c r="A30" s="50" t="str">
        <f>IFERROR(__xludf.DUMMYFUNCTION("""COMPUTED_VALUE"""),"Judasey")</f>
        <v>Judasey</v>
      </c>
      <c r="B30" s="51">
        <f>IFERROR(__xludf.DUMMYFUNCTION("""COMPUTED_VALUE"""),2357.3333333333335)</f>
        <v>2357.333333</v>
      </c>
      <c r="C30" s="52"/>
      <c r="D30" s="40" t="str">
        <f t="shared" si="1"/>
        <v>#DIV/0!</v>
      </c>
      <c r="E30" s="45" t="str">
        <f>TotalAverages!A22</f>
        <v>InfiniteRainge</v>
      </c>
      <c r="F30" s="46">
        <f t="shared" si="2"/>
        <v>0.3</v>
      </c>
      <c r="G30" s="47">
        <f>((TotalAverages!D22/MassFormulaTesting!$B$16)*0.68)+0.3</f>
        <v>0.765997921</v>
      </c>
      <c r="H30" s="47">
        <f>((TotalAverages!E22/MassFormulaTesting!$B$18)*0.68)+0.3</f>
        <v>0.7829046353</v>
      </c>
      <c r="I30" s="47">
        <f>((TotalAverages!F22/MassFormulaTesting!$B$20)*0.68)+0.3</f>
        <v>0.5486127168</v>
      </c>
      <c r="J30" s="47">
        <f>(IFERROR(MassFormulaTesting!$C$22/TotalAverages!G22,"")*0.68)+0.3</f>
        <v>2.529508197</v>
      </c>
      <c r="K30" s="13">
        <f>(((TotalAverages!H22+118)/(MassFormulaTesting!$B$24+118))*0.68)+0.3</f>
        <v>0.9677284768</v>
      </c>
      <c r="L30" s="47">
        <f>((TotalAverages!I22/MassFormulaTesting!$B$26)*0.68)+0.3</f>
        <v>0.4785</v>
      </c>
      <c r="M30" s="47">
        <f>((0.98-(TotalAverages!J22/MassFormulaTesting!$B$28)*0.68))</f>
        <v>0.4636694053</v>
      </c>
      <c r="N30" s="47">
        <f>((TotalAverages!K22/MassFormulaTesting!$B$30)*0.68)+0.3</f>
        <v>0.8180588942</v>
      </c>
      <c r="O30" s="47">
        <f>((TotalAverages!L22/MassFormulaTesting!$B$32)*0.68)+0.3</f>
        <v>0.5358104197</v>
      </c>
      <c r="P30" s="47">
        <f>((TotalAverages!M22/MassFormulaTesting!$B$34)*0.68)+0.3</f>
        <v>0.30428869</v>
      </c>
      <c r="Q30" s="47" t="str">
        <f>((TotalAverages!N22/MassFormulaTesting!$B$36)*0.68)+0.3</f>
        <v>#DIV/0!</v>
      </c>
      <c r="R30" s="47">
        <f>((TotalAverages!O22/MassFormulaTesting!$B$38)*0.68)+0.3</f>
        <v>0.66125</v>
      </c>
      <c r="S30" s="47">
        <f>(IFERROR(TotalAverages!P22/MassFormulaTesting!$B$40,"")*0.68)+0.3</f>
        <v>0.3</v>
      </c>
      <c r="T30" s="47">
        <f>((TotalAverages!T22/MassFormulaTesting!$B$48)*0.68)+0.3</f>
        <v>0.3</v>
      </c>
      <c r="U30" s="47">
        <f>((TotalAverages!U22/MassFormulaTesting!$B$50)*0.68)+0.3</f>
        <v>0.7331927711</v>
      </c>
      <c r="V30" s="47">
        <f>((TotalAverages!V22/MassFormulaTesting!$B$52)*0.68)+0.3</f>
        <v>0.6489473684</v>
      </c>
      <c r="W30" s="47">
        <f>(IFERROR(TotalAverages!W22/MassFormulaTesting!$B$54,"")*0.68)+0.3</f>
        <v>0.7848148148</v>
      </c>
      <c r="X30" s="47">
        <f>(IFERROR(TotalAverages!X22/MassFormulaTesting!$B$56,"")*0.68)+0.3</f>
        <v>0.64</v>
      </c>
      <c r="Y30" s="47">
        <f>(IFERROR(TotalAverages!Y22/MassFormulaTesting!$B$58,"")*0.68)+0.3</f>
        <v>0.4275</v>
      </c>
      <c r="Z30" s="43">
        <f>(IFERROR(TotalAverages!Z22/MassFormulaTesting!$B$60,"")*0.68)+0.3</f>
        <v>0.3</v>
      </c>
      <c r="AA30" s="43">
        <f>((TotalAverages!AD22/MassFormulaTesting!$B$68)*0.68)+0.3</f>
        <v>0.3</v>
      </c>
      <c r="AB30" s="43" t="str">
        <f>((TotalAverages!AG22/MassFormulaTesting!$B$74)*0.68)+0.3</f>
        <v>#DIV/0!</v>
      </c>
      <c r="AC30" s="43" t="str">
        <f>((TotalAverages!AH22/MassFormulaTesting!$B$76)*0.68)+0.3</f>
        <v>#DIV/0!</v>
      </c>
      <c r="AD30" s="43" t="str">
        <f>((TotalAverages!AK22/MassFormulaTesting!$B$82)*0.68)+0.3</f>
        <v>#DIV/0!</v>
      </c>
      <c r="AE30" s="43" t="str">
        <f>((TotalAverages!AL22/MassFormulaTesting!$B$84)*0.68)+0.3</f>
        <v>#DIV/0!</v>
      </c>
      <c r="AF30" s="43" t="str">
        <f>((TotalAverages!AM22/MassFormulaTesting!$B$86)*0.68)+0.3</f>
        <v>#DIV/0!</v>
      </c>
      <c r="AG30" s="43" t="str">
        <f>((TotalAverages!AN22/MassFormulaTesting!$B$88)*0.68)+0.3</f>
        <v>#DIV/0!</v>
      </c>
      <c r="AH30" s="43" t="str">
        <f>((TotalAverages!AO22/MassFormulaTesting!$B$90)*0.68)+0.3</f>
        <v>#DIV/0!</v>
      </c>
      <c r="AI30" s="43" t="str">
        <f>((TotalAverages!AP22/MassFormulaTesting!$B$92)*0.68)+0.3</f>
        <v>#DIV/0!</v>
      </c>
      <c r="AJ30" s="43" t="str">
        <f>((TotalAverages!AQ22/MassFormulaTesting!$B$94)*0.68)+0.3</f>
        <v>#DIV/0!</v>
      </c>
      <c r="AK30" s="43" t="str">
        <f>((TotalAverages!AR22/MassFormulaTesting!$B$96)*0.68)+0.3</f>
        <v>#DIV/0!</v>
      </c>
      <c r="AL30" s="43" t="str">
        <f>((TotalAverages!AS22/MassFormulaTesting!$B$98)*0.68)+0.3</f>
        <v>#DIV/0!</v>
      </c>
      <c r="AM30" s="43" t="str">
        <f>((TotalAverages!AT22/MassFormulaTesting!$B$100)*0.68)+0.3</f>
        <v>#DIV/0!</v>
      </c>
      <c r="AN30" s="43" t="str">
        <f>((TotalAverages!AV22/MassFormulaTesting!$B$104)*0.68)+0.3</f>
        <v>#DIV/0!</v>
      </c>
      <c r="AO30" s="43" t="str">
        <f>((TotalAverages!AW22/MassFormulaTesting!$B$106)*0.68)+0.3</f>
        <v>#DIV/0!</v>
      </c>
      <c r="AP30" s="43" t="str">
        <f>((TotalAverages!AX22/MassFormulaTesting!$B$108)*0.68)+0.3</f>
        <v>#DIV/0!</v>
      </c>
      <c r="AQ30" s="7"/>
    </row>
    <row r="31">
      <c r="A31" s="56" t="str">
        <f>IFERROR(__xludf.DUMMYFUNCTION("Query(TotalAverages!A:AV,""Select A,L where A&lt;&gt;'' Order by L Desc Limit 1"")"),"OVERALL")</f>
        <v>OVERALL</v>
      </c>
      <c r="B31" s="54" t="str">
        <f>IFERROR(__xludf.DUMMYFUNCTION("""COMPUTED_VALUE"""),"avg Average Life")</f>
        <v>avg Average Life</v>
      </c>
      <c r="C31" s="52"/>
      <c r="D31" s="40" t="str">
        <f t="shared" si="1"/>
        <v>#DIV/0!</v>
      </c>
      <c r="E31" s="45" t="str">
        <f>TotalAverages!A23</f>
        <v>Itzreelz</v>
      </c>
      <c r="F31" s="46">
        <f t="shared" si="2"/>
        <v>0.3</v>
      </c>
      <c r="G31" s="47">
        <f>((TotalAverages!D23/MassFormulaTesting!$B$16)*0.68)+0.3</f>
        <v>0.75997354</v>
      </c>
      <c r="H31" s="47">
        <f>((TotalAverages!E23/MassFormulaTesting!$B$18)*0.68)+0.3</f>
        <v>0.7337607074</v>
      </c>
      <c r="I31" s="47">
        <f>((TotalAverages!F23/MassFormulaTesting!$B$20)*0.68)+0.3</f>
        <v>0.7343352601</v>
      </c>
      <c r="J31" s="47">
        <f>(IFERROR(MassFormulaTesting!$C$22/TotalAverages!G23,"")*0.68)+0.3</f>
        <v>2.879310345</v>
      </c>
      <c r="K31" s="13">
        <f>(((TotalAverages!H23+118)/(MassFormulaTesting!$B$24+118))*0.68)+0.3</f>
        <v>0.9735316075</v>
      </c>
      <c r="L31" s="47">
        <f>((TotalAverages!I23/MassFormulaTesting!$B$26)*0.68)+0.3</f>
        <v>0.4205454545</v>
      </c>
      <c r="M31" s="47">
        <f>((0.98-(TotalAverages!J23/MassFormulaTesting!$B$28)*0.68))</f>
        <v>0.4857250483</v>
      </c>
      <c r="N31" s="47">
        <f>((TotalAverages!K23/MassFormulaTesting!$B$30)*0.68)+0.3</f>
        <v>0.7949475524</v>
      </c>
      <c r="O31" s="47">
        <f>((TotalAverages!L23/MassFormulaTesting!$B$32)*0.68)+0.3</f>
        <v>0.5657018813</v>
      </c>
      <c r="P31" s="47">
        <f>((TotalAverages!M23/MassFormulaTesting!$B$34)*0.68)+0.3</f>
        <v>0.3513927424</v>
      </c>
      <c r="Q31" s="47" t="str">
        <f>((TotalAverages!N23/MassFormulaTesting!$B$36)*0.68)+0.3</f>
        <v>#DIV/0!</v>
      </c>
      <c r="R31" s="47">
        <f>((TotalAverages!O23/MassFormulaTesting!$B$38)*0.68)+0.3</f>
        <v>0.8022727273</v>
      </c>
      <c r="S31" s="47">
        <f>(IFERROR(TotalAverages!P23/MassFormulaTesting!$B$40,"")*0.68)+0.3</f>
        <v>0.5101818182</v>
      </c>
      <c r="T31" s="47">
        <f>((TotalAverages!T23/MassFormulaTesting!$B$48)*0.68)+0.3</f>
        <v>0.3</v>
      </c>
      <c r="U31" s="47">
        <f>((TotalAverages!U23/MassFormulaTesting!$B$50)*0.68)+0.3</f>
        <v>0.7345892662</v>
      </c>
      <c r="V31" s="47">
        <f>((TotalAverages!V23/MassFormulaTesting!$B$52)*0.68)+0.3</f>
        <v>0.7489952153</v>
      </c>
      <c r="W31" s="47">
        <f>(IFERROR(TotalAverages!W23/MassFormulaTesting!$B$54,"")*0.68)+0.3</f>
        <v>0.98</v>
      </c>
      <c r="X31" s="47">
        <f>(IFERROR(TotalAverages!X23/MassFormulaTesting!$B$56,"")*0.68)+0.3</f>
        <v>0.98</v>
      </c>
      <c r="Y31" s="47">
        <f>(IFERROR(TotalAverages!Y23/MassFormulaTesting!$B$58,"")*0.68)+0.3</f>
        <v>0.4854545455</v>
      </c>
      <c r="Z31" s="43">
        <f>(IFERROR(TotalAverages!Z23/MassFormulaTesting!$B$60,"")*0.68)+0.3</f>
        <v>0.3</v>
      </c>
      <c r="AA31" s="43">
        <f>((TotalAverages!AD23/MassFormulaTesting!$B$68)*0.68)+0.3</f>
        <v>0.7790909091</v>
      </c>
      <c r="AB31" s="43" t="str">
        <f>((TotalAverages!AG23/MassFormulaTesting!$B$74)*0.68)+0.3</f>
        <v>#DIV/0!</v>
      </c>
      <c r="AC31" s="43" t="str">
        <f>((TotalAverages!AH23/MassFormulaTesting!$B$76)*0.68)+0.3</f>
        <v>#DIV/0!</v>
      </c>
      <c r="AD31" s="43" t="str">
        <f>((TotalAverages!AK23/MassFormulaTesting!$B$82)*0.68)+0.3</f>
        <v>#DIV/0!</v>
      </c>
      <c r="AE31" s="43" t="str">
        <f>((TotalAverages!AL23/MassFormulaTesting!$B$84)*0.68)+0.3</f>
        <v>#DIV/0!</v>
      </c>
      <c r="AF31" s="43" t="str">
        <f>((TotalAverages!AM23/MassFormulaTesting!$B$86)*0.68)+0.3</f>
        <v>#DIV/0!</v>
      </c>
      <c r="AG31" s="43" t="str">
        <f>((TotalAverages!AN23/MassFormulaTesting!$B$88)*0.68)+0.3</f>
        <v>#DIV/0!</v>
      </c>
      <c r="AH31" s="43" t="str">
        <f>((TotalAverages!AO23/MassFormulaTesting!$B$90)*0.68)+0.3</f>
        <v>#DIV/0!</v>
      </c>
      <c r="AI31" s="43" t="str">
        <f>((TotalAverages!AP23/MassFormulaTesting!$B$92)*0.68)+0.3</f>
        <v>#DIV/0!</v>
      </c>
      <c r="AJ31" s="43" t="str">
        <f>((TotalAverages!AQ23/MassFormulaTesting!$B$94)*0.68)+0.3</f>
        <v>#DIV/0!</v>
      </c>
      <c r="AK31" s="43" t="str">
        <f>((TotalAverages!AR23/MassFormulaTesting!$B$96)*0.68)+0.3</f>
        <v>#DIV/0!</v>
      </c>
      <c r="AL31" s="43" t="str">
        <f>((TotalAverages!AS23/MassFormulaTesting!$B$98)*0.68)+0.3</f>
        <v>#DIV/0!</v>
      </c>
      <c r="AM31" s="43" t="str">
        <f>((TotalAverages!AT23/MassFormulaTesting!$B$100)*0.68)+0.3</f>
        <v>#DIV/0!</v>
      </c>
      <c r="AN31" s="43" t="str">
        <f>((TotalAverages!AV23/MassFormulaTesting!$B$104)*0.68)+0.3</f>
        <v>#DIV/0!</v>
      </c>
      <c r="AO31" s="43" t="str">
        <f>((TotalAverages!AW23/MassFormulaTesting!$B$106)*0.68)+0.3</f>
        <v>#DIV/0!</v>
      </c>
      <c r="AP31" s="43" t="str">
        <f>((TotalAverages!AX23/MassFormulaTesting!$B$108)*0.68)+0.3</f>
        <v>#DIV/0!</v>
      </c>
      <c r="AQ31" s="7"/>
    </row>
    <row r="32">
      <c r="A32" s="50" t="str">
        <f>IFERROR(__xludf.DUMMYFUNCTION("""COMPUTED_VALUE"""),"EllisGotMyPills")</f>
        <v>EllisGotMyPills</v>
      </c>
      <c r="B32" s="51">
        <f>IFERROR(__xludf.DUMMYFUNCTION("""COMPUTED_VALUE"""),38.388888888888886)</f>
        <v>38.38888889</v>
      </c>
      <c r="C32" s="52"/>
      <c r="D32" s="40" t="str">
        <f t="shared" si="1"/>
        <v>#DIV/0!</v>
      </c>
      <c r="E32" s="45" t="str">
        <f>TotalAverages!A24</f>
        <v>Judasey</v>
      </c>
      <c r="F32" s="46">
        <f t="shared" si="2"/>
        <v>0.3</v>
      </c>
      <c r="G32" s="47">
        <f>((TotalAverages!D24/MassFormulaTesting!$B$16)*0.68)+0.3</f>
        <v>0.98</v>
      </c>
      <c r="H32" s="47">
        <f>((TotalAverages!E24/MassFormulaTesting!$B$18)*0.68)+0.3</f>
        <v>0.9610536981</v>
      </c>
      <c r="I32" s="47">
        <f>((TotalAverages!F24/MassFormulaTesting!$B$20)*0.68)+0.3</f>
        <v>0.8548747592</v>
      </c>
      <c r="J32" s="47">
        <f>(IFERROR(MassFormulaTesting!$C$22/TotalAverages!G24,"")*0.68)+0.3</f>
        <v>1.757142857</v>
      </c>
      <c r="K32" s="13">
        <f>(((TotalAverages!H24+118)/(MassFormulaTesting!$B$24+118))*0.68)+0.3</f>
        <v>0.9718940397</v>
      </c>
      <c r="L32" s="47">
        <f>((TotalAverages!I24/MassFormulaTesting!$B$26)*0.68)+0.3</f>
        <v>0.98</v>
      </c>
      <c r="M32" s="47">
        <f>((0.98-(TotalAverages!J24/MassFormulaTesting!$B$28)*0.68))</f>
        <v>0.3</v>
      </c>
      <c r="N32" s="47">
        <f>((TotalAverages!K24/MassFormulaTesting!$B$30)*0.68)+0.3</f>
        <v>0.98</v>
      </c>
      <c r="O32" s="47">
        <f>((TotalAverages!L24/MassFormulaTesting!$B$32)*0.68)+0.3</f>
        <v>0.5361794501</v>
      </c>
      <c r="P32" s="47">
        <f>((TotalAverages!M24/MassFormulaTesting!$B$34)*0.68)+0.3</f>
        <v>0.3094429872</v>
      </c>
      <c r="Q32" s="47" t="str">
        <f>((TotalAverages!N24/MassFormulaTesting!$B$36)*0.68)+0.3</f>
        <v>#DIV/0!</v>
      </c>
      <c r="R32" s="47">
        <f>((TotalAverages!O24/MassFormulaTesting!$B$38)*0.68)+0.3</f>
        <v>0.98</v>
      </c>
      <c r="S32" s="47">
        <f>(IFERROR(TotalAverages!P24/MassFormulaTesting!$B$40,"")*0.68)+0.3</f>
        <v>0.3</v>
      </c>
      <c r="T32" s="47">
        <f>((TotalAverages!T24/MassFormulaTesting!$B$48)*0.68)+0.3</f>
        <v>0.3</v>
      </c>
      <c r="U32" s="47">
        <f>((TotalAverages!U24/MassFormulaTesting!$B$50)*0.68)+0.3</f>
        <v>0.98</v>
      </c>
      <c r="V32" s="47">
        <f>((TotalAverages!V24/MassFormulaTesting!$B$52)*0.68)+0.3</f>
        <v>0.98</v>
      </c>
      <c r="W32" s="47">
        <f>(IFERROR(TotalAverages!W24/MassFormulaTesting!$B$54,"")*0.68)+0.3</f>
        <v>0.8540740741</v>
      </c>
      <c r="X32" s="47">
        <f>(IFERROR(TotalAverages!X24/MassFormulaTesting!$B$56,"")*0.68)+0.3</f>
        <v>0.7533333333</v>
      </c>
      <c r="Y32" s="47">
        <f>(IFERROR(TotalAverages!Y24/MassFormulaTesting!$B$58,"")*0.68)+0.3</f>
        <v>0.98</v>
      </c>
      <c r="Z32" s="43">
        <f>(IFERROR(TotalAverages!Z24/MassFormulaTesting!$B$60,"")*0.68)+0.3</f>
        <v>0.3</v>
      </c>
      <c r="AA32" s="43">
        <f>((TotalAverages!AD24/MassFormulaTesting!$B$68)*0.68)+0.3</f>
        <v>0.3</v>
      </c>
      <c r="AB32" s="43" t="str">
        <f>((TotalAverages!AG24/MassFormulaTesting!$B$74)*0.68)+0.3</f>
        <v>#DIV/0!</v>
      </c>
      <c r="AC32" s="43" t="str">
        <f>((TotalAverages!AH24/MassFormulaTesting!$B$76)*0.68)+0.3</f>
        <v>#DIV/0!</v>
      </c>
      <c r="AD32" s="43" t="str">
        <f>((TotalAverages!AK24/MassFormulaTesting!$B$82)*0.68)+0.3</f>
        <v>#DIV/0!</v>
      </c>
      <c r="AE32" s="43" t="str">
        <f>((TotalAverages!AL24/MassFormulaTesting!$B$84)*0.68)+0.3</f>
        <v>#DIV/0!</v>
      </c>
      <c r="AF32" s="43" t="str">
        <f>((TotalAverages!AM24/MassFormulaTesting!$B$86)*0.68)+0.3</f>
        <v>#DIV/0!</v>
      </c>
      <c r="AG32" s="43" t="str">
        <f>((TotalAverages!AN24/MassFormulaTesting!$B$88)*0.68)+0.3</f>
        <v>#DIV/0!</v>
      </c>
      <c r="AH32" s="43" t="str">
        <f>((TotalAverages!AO24/MassFormulaTesting!$B$90)*0.68)+0.3</f>
        <v>#DIV/0!</v>
      </c>
      <c r="AI32" s="43" t="str">
        <f>((TotalAverages!AP24/MassFormulaTesting!$B$92)*0.68)+0.3</f>
        <v>#DIV/0!</v>
      </c>
      <c r="AJ32" s="43" t="str">
        <f>((TotalAverages!AQ24/MassFormulaTesting!$B$94)*0.68)+0.3</f>
        <v>#DIV/0!</v>
      </c>
      <c r="AK32" s="43" t="str">
        <f>((TotalAverages!AR24/MassFormulaTesting!$B$96)*0.68)+0.3</f>
        <v>#DIV/0!</v>
      </c>
      <c r="AL32" s="43" t="str">
        <f>((TotalAverages!AS24/MassFormulaTesting!$B$98)*0.68)+0.3</f>
        <v>#DIV/0!</v>
      </c>
      <c r="AM32" s="43" t="str">
        <f>((TotalAverages!AT24/MassFormulaTesting!$B$100)*0.68)+0.3</f>
        <v>#DIV/0!</v>
      </c>
      <c r="AN32" s="43" t="str">
        <f>((TotalAverages!AV24/MassFormulaTesting!$B$104)*0.68)+0.3</f>
        <v>#DIV/0!</v>
      </c>
      <c r="AO32" s="43" t="str">
        <f>((TotalAverages!AW24/MassFormulaTesting!$B$106)*0.68)+0.3</f>
        <v>#DIV/0!</v>
      </c>
      <c r="AP32" s="43" t="str">
        <f>((TotalAverages!AX24/MassFormulaTesting!$B$108)*0.68)+0.3</f>
        <v>#DIV/0!</v>
      </c>
      <c r="AQ32" s="7"/>
    </row>
    <row r="33">
      <c r="A33" s="56" t="str">
        <f>IFERROR(__xludf.DUMMYFUNCTION("Query(TotalAverages!A:AV,""Select A,M where A&lt;&gt;'' Order by M Desc Limit 1"")"),"OVERALL")</f>
        <v>OVERALL</v>
      </c>
      <c r="B33" s="54" t="str">
        <f>IFERROR(__xludf.DUMMYFUNCTION("""COMPUTED_VALUE"""),"avg Carry Time")</f>
        <v>avg Carry Time</v>
      </c>
      <c r="C33" s="52"/>
      <c r="D33" s="40" t="str">
        <f t="shared" si="1"/>
        <v>#DIV/0!</v>
      </c>
      <c r="E33" s="45" t="str">
        <f>TotalAverages!A25</f>
        <v>L0RNA SHORE</v>
      </c>
      <c r="F33" s="46">
        <f t="shared" si="2"/>
        <v>0.3</v>
      </c>
      <c r="G33" s="47">
        <f>((TotalAverages!D25/MassFormulaTesting!$B$16)*0.68)+0.3</f>
        <v>0.5438669439</v>
      </c>
      <c r="H33" s="47">
        <f>((TotalAverages!E25/MassFormulaTesting!$B$18)*0.68)+0.3</f>
        <v>0.5568946302</v>
      </c>
      <c r="I33" s="47">
        <f>((TotalAverages!F25/MassFormulaTesting!$B$20)*0.68)+0.3</f>
        <v>0.4116955684</v>
      </c>
      <c r="J33" s="47">
        <f>(IFERROR(MassFormulaTesting!$C$22/TotalAverages!G25,"")*0.68)+0.3</f>
        <v>4.326315789</v>
      </c>
      <c r="K33" s="13">
        <f>(((TotalAverages!H25+118)/(MassFormulaTesting!$B$24+118))*0.68)+0.3</f>
        <v>0.9718940397</v>
      </c>
      <c r="L33" s="47">
        <f>((TotalAverages!I25/MassFormulaTesting!$B$26)*0.68)+0.3</f>
        <v>0.5323333333</v>
      </c>
      <c r="M33" s="47">
        <f>((0.98-(TotalAverages!J25/MassFormulaTesting!$B$28)*0.68))</f>
        <v>0.5508352682</v>
      </c>
      <c r="N33" s="47">
        <f>((TotalAverages!K25/MassFormulaTesting!$B$30)*0.68)+0.3</f>
        <v>0.7101923077</v>
      </c>
      <c r="O33" s="47">
        <f>((TotalAverages!L25/MassFormulaTesting!$B$32)*0.68)+0.3</f>
        <v>0.7575976845</v>
      </c>
      <c r="P33" s="47">
        <f>((TotalAverages!M25/MassFormulaTesting!$B$34)*0.68)+0.3</f>
        <v>0.5767844468</v>
      </c>
      <c r="Q33" s="47" t="str">
        <f>((TotalAverages!N25/MassFormulaTesting!$B$36)*0.68)+0.3</f>
        <v>#DIV/0!</v>
      </c>
      <c r="R33" s="47">
        <f>((TotalAverages!O25/MassFormulaTesting!$B$38)*0.68)+0.3</f>
        <v>0.4794444444</v>
      </c>
      <c r="S33" s="47">
        <f>(IFERROR(TotalAverages!P25/MassFormulaTesting!$B$40,"")*0.68)+0.3</f>
        <v>0.4284444444</v>
      </c>
      <c r="T33" s="47">
        <f>((TotalAverages!T25/MassFormulaTesting!$B$48)*0.68)+0.3</f>
        <v>0.3</v>
      </c>
      <c r="U33" s="47">
        <f>((TotalAverages!U25/MassFormulaTesting!$B$50)*0.68)+0.3</f>
        <v>0.4938955823</v>
      </c>
      <c r="V33" s="47">
        <f>((TotalAverages!V25/MassFormulaTesting!$B$52)*0.68)+0.3</f>
        <v>0.4192982456</v>
      </c>
      <c r="W33" s="47">
        <f>(IFERROR(TotalAverages!W25/MassFormulaTesting!$B$54,"")*0.68)+0.3</f>
        <v>0.361563786</v>
      </c>
      <c r="X33" s="47">
        <f>(IFERROR(TotalAverages!X25/MassFormulaTesting!$B$56,"")*0.68)+0.3</f>
        <v>0.3755555556</v>
      </c>
      <c r="Y33" s="47">
        <f>(IFERROR(TotalAverages!Y25/MassFormulaTesting!$B$58,"")*0.68)+0.3</f>
        <v>0.3</v>
      </c>
      <c r="Z33" s="43">
        <f>(IFERROR(TotalAverages!Z25/MassFormulaTesting!$B$60,"")*0.68)+0.3</f>
        <v>0.3</v>
      </c>
      <c r="AA33" s="43">
        <f>((TotalAverages!AD25/MassFormulaTesting!$B$68)*0.68)+0.3</f>
        <v>0.3</v>
      </c>
      <c r="AB33" s="43" t="str">
        <f>((TotalAverages!AG25/MassFormulaTesting!$B$74)*0.68)+0.3</f>
        <v>#DIV/0!</v>
      </c>
      <c r="AC33" s="43" t="str">
        <f>((TotalAverages!AH25/MassFormulaTesting!$B$76)*0.68)+0.3</f>
        <v>#DIV/0!</v>
      </c>
      <c r="AD33" s="43" t="str">
        <f>((TotalAverages!AK25/MassFormulaTesting!$B$82)*0.68)+0.3</f>
        <v>#DIV/0!</v>
      </c>
      <c r="AE33" s="43" t="str">
        <f>((TotalAverages!AL25/MassFormulaTesting!$B$84)*0.68)+0.3</f>
        <v>#DIV/0!</v>
      </c>
      <c r="AF33" s="43" t="str">
        <f>((TotalAverages!AM25/MassFormulaTesting!$B$86)*0.68)+0.3</f>
        <v>#DIV/0!</v>
      </c>
      <c r="AG33" s="43" t="str">
        <f>((TotalAverages!AN25/MassFormulaTesting!$B$88)*0.68)+0.3</f>
        <v>#DIV/0!</v>
      </c>
      <c r="AH33" s="43" t="str">
        <f>((TotalAverages!AO25/MassFormulaTesting!$B$90)*0.68)+0.3</f>
        <v>#DIV/0!</v>
      </c>
      <c r="AI33" s="43" t="str">
        <f>((TotalAverages!AP25/MassFormulaTesting!$B$92)*0.68)+0.3</f>
        <v>#DIV/0!</v>
      </c>
      <c r="AJ33" s="43" t="str">
        <f>((TotalAverages!AQ25/MassFormulaTesting!$B$94)*0.68)+0.3</f>
        <v>#DIV/0!</v>
      </c>
      <c r="AK33" s="43" t="str">
        <f>((TotalAverages!AR25/MassFormulaTesting!$B$96)*0.68)+0.3</f>
        <v>#DIV/0!</v>
      </c>
      <c r="AL33" s="43" t="str">
        <f>((TotalAverages!AS25/MassFormulaTesting!$B$98)*0.68)+0.3</f>
        <v>#DIV/0!</v>
      </c>
      <c r="AM33" s="43" t="str">
        <f>((TotalAverages!AT25/MassFormulaTesting!$B$100)*0.68)+0.3</f>
        <v>#DIV/0!</v>
      </c>
      <c r="AN33" s="43" t="str">
        <f>((TotalAverages!AV25/MassFormulaTesting!$B$104)*0.68)+0.3</f>
        <v>#DIV/0!</v>
      </c>
      <c r="AO33" s="43" t="str">
        <f>((TotalAverages!AW25/MassFormulaTesting!$B$106)*0.68)+0.3</f>
        <v>#DIV/0!</v>
      </c>
      <c r="AP33" s="43" t="str">
        <f>((TotalAverages!AX25/MassFormulaTesting!$B$108)*0.68)+0.3</f>
        <v>#DIV/0!</v>
      </c>
      <c r="AQ33" s="7"/>
    </row>
    <row r="34">
      <c r="A34" s="50" t="str">
        <f>IFERROR(__xludf.DUMMYFUNCTION("""COMPUTED_VALUE"""),"EllisGotMyPills")</f>
        <v>EllisGotMyPills</v>
      </c>
      <c r="B34" s="51">
        <f>IFERROR(__xludf.DUMMYFUNCTION("""COMPUTED_VALUE"""),1080.1666666666667)</f>
        <v>1080.166667</v>
      </c>
      <c r="C34" s="52"/>
      <c r="D34" s="40" t="str">
        <f t="shared" si="1"/>
        <v>#DIV/0!</v>
      </c>
      <c r="E34" s="45" t="str">
        <f>TotalAverages!A26</f>
        <v>L1ght5aber</v>
      </c>
      <c r="F34" s="46">
        <f t="shared" si="2"/>
        <v>0.3</v>
      </c>
      <c r="G34" s="47">
        <f>((TotalAverages!D26/MassFormulaTesting!$B$16)*0.68)+0.3</f>
        <v>0.6947110187</v>
      </c>
      <c r="H34" s="47">
        <f>((TotalAverages!E26/MassFormulaTesting!$B$18)*0.68)+0.3</f>
        <v>0.8056079027</v>
      </c>
      <c r="I34" s="47">
        <f>((TotalAverages!F26/MassFormulaTesting!$B$20)*0.68)+0.3</f>
        <v>0.08525626204</v>
      </c>
      <c r="J34" s="47">
        <f>(IFERROR(MassFormulaTesting!$C$22/TotalAverages!G26,"")*0.68)+0.3</f>
        <v>2.902040816</v>
      </c>
      <c r="K34" s="13">
        <f>(((TotalAverages!H26+118)/(MassFormulaTesting!$B$24+118))*0.68)+0.3</f>
        <v>0.963607947</v>
      </c>
      <c r="L34" s="47">
        <f>((TotalAverages!I26/MassFormulaTesting!$B$26)*0.68)+0.3</f>
        <v>0.5176</v>
      </c>
      <c r="M34" s="47">
        <f>((0.98-(TotalAverages!J26/MassFormulaTesting!$B$28)*0.68))</f>
        <v>0.4501853902</v>
      </c>
      <c r="N34" s="47">
        <f>((TotalAverages!K26/MassFormulaTesting!$B$30)*0.68)+0.3</f>
        <v>0.8334230769</v>
      </c>
      <c r="O34" s="47">
        <f>((TotalAverages!L26/MassFormulaTesting!$B$32)*0.68)+0.3</f>
        <v>0.5373603473</v>
      </c>
      <c r="P34" s="47">
        <f>((TotalAverages!M26/MassFormulaTesting!$B$34)*0.68)+0.3</f>
        <v>0.3090652677</v>
      </c>
      <c r="Q34" s="47" t="str">
        <f>((TotalAverages!N26/MassFormulaTesting!$B$36)*0.68)+0.3</f>
        <v>#DIV/0!</v>
      </c>
      <c r="R34" s="47">
        <f>((TotalAverages!O26/MassFormulaTesting!$B$38)*0.68)+0.3</f>
        <v>0.5153333333</v>
      </c>
      <c r="S34" s="47">
        <f>(IFERROR(TotalAverages!P26/MassFormulaTesting!$B$40,"")*0.68)+0.3</f>
        <v>0.3</v>
      </c>
      <c r="T34" s="47">
        <f>((TotalAverages!T26/MassFormulaTesting!$B$48)*0.68)+0.3</f>
        <v>0.3</v>
      </c>
      <c r="U34" s="47">
        <f>((TotalAverages!U26/MassFormulaTesting!$B$50)*0.68)+0.3</f>
        <v>0.5654457831</v>
      </c>
      <c r="V34" s="47">
        <f>((TotalAverages!V26/MassFormulaTesting!$B$52)*0.68)+0.3</f>
        <v>0.5004210526</v>
      </c>
      <c r="W34" s="47">
        <f>(IFERROR(TotalAverages!W26/MassFormulaTesting!$B$54,"")*0.68)+0.3</f>
        <v>0.484691358</v>
      </c>
      <c r="X34" s="47">
        <f>(IFERROR(TotalAverages!X26/MassFormulaTesting!$B$56,"")*0.68)+0.3</f>
        <v>0.4813333333</v>
      </c>
      <c r="Y34" s="47">
        <f>(IFERROR(TotalAverages!Y26/MassFormulaTesting!$B$58,"")*0.68)+0.3</f>
        <v>0.436</v>
      </c>
      <c r="Z34" s="43">
        <f>(IFERROR(TotalAverages!Z26/MassFormulaTesting!$B$60,"")*0.68)+0.3</f>
        <v>0.3</v>
      </c>
      <c r="AA34" s="43">
        <f>((TotalAverages!AD26/MassFormulaTesting!$B$68)*0.68)+0.3</f>
        <v>0.3</v>
      </c>
      <c r="AB34" s="43" t="str">
        <f>((TotalAverages!AG26/MassFormulaTesting!$B$74)*0.68)+0.3</f>
        <v>#DIV/0!</v>
      </c>
      <c r="AC34" s="43" t="str">
        <f>((TotalAverages!AH26/MassFormulaTesting!$B$76)*0.68)+0.3</f>
        <v>#DIV/0!</v>
      </c>
      <c r="AD34" s="43" t="str">
        <f>((TotalAverages!AK26/MassFormulaTesting!$B$82)*0.68)+0.3</f>
        <v>#DIV/0!</v>
      </c>
      <c r="AE34" s="43" t="str">
        <f>((TotalAverages!AL26/MassFormulaTesting!$B$84)*0.68)+0.3</f>
        <v>#DIV/0!</v>
      </c>
      <c r="AF34" s="43" t="str">
        <f>((TotalAverages!AM26/MassFormulaTesting!$B$86)*0.68)+0.3</f>
        <v>#DIV/0!</v>
      </c>
      <c r="AG34" s="43" t="str">
        <f>((TotalAverages!AN26/MassFormulaTesting!$B$88)*0.68)+0.3</f>
        <v>#DIV/0!</v>
      </c>
      <c r="AH34" s="43" t="str">
        <f>((TotalAverages!AO26/MassFormulaTesting!$B$90)*0.68)+0.3</f>
        <v>#DIV/0!</v>
      </c>
      <c r="AI34" s="43" t="str">
        <f>((TotalAverages!AP26/MassFormulaTesting!$B$92)*0.68)+0.3</f>
        <v>#DIV/0!</v>
      </c>
      <c r="AJ34" s="43" t="str">
        <f>((TotalAverages!AQ26/MassFormulaTesting!$B$94)*0.68)+0.3</f>
        <v>#DIV/0!</v>
      </c>
      <c r="AK34" s="43" t="str">
        <f>((TotalAverages!AR26/MassFormulaTesting!$B$96)*0.68)+0.3</f>
        <v>#DIV/0!</v>
      </c>
      <c r="AL34" s="43" t="str">
        <f>((TotalAverages!AS26/MassFormulaTesting!$B$98)*0.68)+0.3</f>
        <v>#DIV/0!</v>
      </c>
      <c r="AM34" s="43" t="str">
        <f>((TotalAverages!AT26/MassFormulaTesting!$B$100)*0.68)+0.3</f>
        <v>#DIV/0!</v>
      </c>
      <c r="AN34" s="43" t="str">
        <f>((TotalAverages!AV26/MassFormulaTesting!$B$104)*0.68)+0.3</f>
        <v>#DIV/0!</v>
      </c>
      <c r="AO34" s="43" t="str">
        <f>((TotalAverages!AW26/MassFormulaTesting!$B$106)*0.68)+0.3</f>
        <v>#DIV/0!</v>
      </c>
      <c r="AP34" s="43" t="str">
        <f>((TotalAverages!AX26/MassFormulaTesting!$B$108)*0.68)+0.3</f>
        <v>#DIV/0!</v>
      </c>
      <c r="AQ34" s="7"/>
    </row>
    <row r="35">
      <c r="A35" s="56" t="str">
        <f>IFERROR(__xludf.DUMMYFUNCTION("Query(TotalAverages!A:AV,""Select A,N where A&lt;&gt;'' Order by N Desc Limit 1"")"),"OVERALL")</f>
        <v>OVERALL</v>
      </c>
      <c r="B35" s="54" t="str">
        <f>IFERROR(__xludf.DUMMYFUNCTION("""COMPUTED_VALUE"""),"avg Bomb Stops")</f>
        <v>avg Bomb Stops</v>
      </c>
      <c r="C35" s="52"/>
      <c r="D35" s="40" t="str">
        <f t="shared" si="1"/>
        <v>#DIV/0!</v>
      </c>
      <c r="E35" s="45" t="str">
        <f>TotalAverages!A27</f>
        <v>Lane Uppy</v>
      </c>
      <c r="F35" s="46">
        <f t="shared" si="2"/>
        <v>0.3</v>
      </c>
      <c r="G35" s="47">
        <f>((TotalAverages!D27/MassFormulaTesting!$B$16)*0.68)+0.3</f>
        <v>0.6228274428</v>
      </c>
      <c r="H35" s="47">
        <f>((TotalAverages!E27/MassFormulaTesting!$B$18)*0.68)+0.3</f>
        <v>0.7212917933</v>
      </c>
      <c r="I35" s="47">
        <f>((TotalAverages!F27/MassFormulaTesting!$B$20)*0.68)+0.3</f>
        <v>0.0901734104</v>
      </c>
      <c r="J35" s="47">
        <f>(IFERROR(MassFormulaTesting!$C$22/TotalAverages!G27,"")*0.68)+0.3</f>
        <v>2.728571429</v>
      </c>
      <c r="K35" s="13">
        <f>(((TotalAverages!H27+118)/(MassFormulaTesting!$B$24+118))*0.68)+0.3</f>
        <v>0.9630993377</v>
      </c>
      <c r="L35" s="47">
        <f>((TotalAverages!I27/MassFormulaTesting!$B$26)*0.68)+0.3</f>
        <v>0.444</v>
      </c>
      <c r="M35" s="47">
        <f>((0.98-(TotalAverages!J27/MassFormulaTesting!$B$28)*0.68))</f>
        <v>0.5157956778</v>
      </c>
      <c r="N35" s="47">
        <f>((TotalAverages!K27/MassFormulaTesting!$B$30)*0.68)+0.3</f>
        <v>0.7694626697</v>
      </c>
      <c r="O35" s="47">
        <f>((TotalAverages!L27/MassFormulaTesting!$B$32)*0.68)+0.3</f>
        <v>0.5584081042</v>
      </c>
      <c r="P35" s="47">
        <f>((TotalAverages!M27/MassFormulaTesting!$B$34)*0.68)+0.3</f>
        <v>0.3101465823</v>
      </c>
      <c r="Q35" s="47" t="str">
        <f>((TotalAverages!N27/MassFormulaTesting!$B$36)*0.68)+0.3</f>
        <v>#DIV/0!</v>
      </c>
      <c r="R35" s="47">
        <f>((TotalAverages!O27/MassFormulaTesting!$B$38)*0.68)+0.3</f>
        <v>0.46</v>
      </c>
      <c r="S35" s="47">
        <f>(IFERROR(TotalAverages!P27/MassFormulaTesting!$B$40,"")*0.68)+0.3</f>
        <v>0.3</v>
      </c>
      <c r="T35" s="47">
        <f>((TotalAverages!T27/MassFormulaTesting!$B$48)*0.68)+0.3</f>
        <v>0.3</v>
      </c>
      <c r="U35" s="47">
        <f>((TotalAverages!U27/MassFormulaTesting!$B$50)*0.68)+0.3</f>
        <v>0.5645783133</v>
      </c>
      <c r="V35" s="47">
        <f>((TotalAverages!V27/MassFormulaTesting!$B$52)*0.68)+0.3</f>
        <v>0.4768421053</v>
      </c>
      <c r="W35" s="47">
        <f>(IFERROR(TotalAverages!W27/MassFormulaTesting!$B$54,"")*0.68)+0.3</f>
        <v>0.3651851852</v>
      </c>
      <c r="X35" s="47">
        <f>(IFERROR(TotalAverages!X27/MassFormulaTesting!$B$56,"")*0.68)+0.3</f>
        <v>0.38</v>
      </c>
      <c r="Y35" s="47">
        <f>(IFERROR(TotalAverages!Y27/MassFormulaTesting!$B$58,"")*0.68)+0.3</f>
        <v>0.3</v>
      </c>
      <c r="Z35" s="43">
        <f>(IFERROR(TotalAverages!Z27/MassFormulaTesting!$B$60,"")*0.68)+0.3</f>
        <v>0.3</v>
      </c>
      <c r="AA35" s="43">
        <f>((TotalAverages!AD27/MassFormulaTesting!$B$68)*0.68)+0.3</f>
        <v>0.3</v>
      </c>
      <c r="AB35" s="43" t="str">
        <f>((TotalAverages!AG27/MassFormulaTesting!$B$74)*0.68)+0.3</f>
        <v>#DIV/0!</v>
      </c>
      <c r="AC35" s="43" t="str">
        <f>((TotalAverages!AH27/MassFormulaTesting!$B$76)*0.68)+0.3</f>
        <v>#DIV/0!</v>
      </c>
      <c r="AD35" s="43" t="str">
        <f>((TotalAverages!AK27/MassFormulaTesting!$B$82)*0.68)+0.3</f>
        <v>#DIV/0!</v>
      </c>
      <c r="AE35" s="43" t="str">
        <f>((TotalAverages!AL27/MassFormulaTesting!$B$84)*0.68)+0.3</f>
        <v>#DIV/0!</v>
      </c>
      <c r="AF35" s="43" t="str">
        <f>((TotalAverages!AM27/MassFormulaTesting!$B$86)*0.68)+0.3</f>
        <v>#DIV/0!</v>
      </c>
      <c r="AG35" s="43" t="str">
        <f>((TotalAverages!AN27/MassFormulaTesting!$B$88)*0.68)+0.3</f>
        <v>#DIV/0!</v>
      </c>
      <c r="AH35" s="43" t="str">
        <f>((TotalAverages!AO27/MassFormulaTesting!$B$90)*0.68)+0.3</f>
        <v>#DIV/0!</v>
      </c>
      <c r="AI35" s="43" t="str">
        <f>((TotalAverages!AP27/MassFormulaTesting!$B$92)*0.68)+0.3</f>
        <v>#DIV/0!</v>
      </c>
      <c r="AJ35" s="43" t="str">
        <f>((TotalAverages!AQ27/MassFormulaTesting!$B$94)*0.68)+0.3</f>
        <v>#DIV/0!</v>
      </c>
      <c r="AK35" s="43" t="str">
        <f>((TotalAverages!AR27/MassFormulaTesting!$B$96)*0.68)+0.3</f>
        <v>#DIV/0!</v>
      </c>
      <c r="AL35" s="43" t="str">
        <f>((TotalAverages!AS27/MassFormulaTesting!$B$98)*0.68)+0.3</f>
        <v>#DIV/0!</v>
      </c>
      <c r="AM35" s="43" t="str">
        <f>((TotalAverages!AT27/MassFormulaTesting!$B$100)*0.68)+0.3</f>
        <v>#DIV/0!</v>
      </c>
      <c r="AN35" s="43" t="str">
        <f>((TotalAverages!AV27/MassFormulaTesting!$B$104)*0.68)+0.3</f>
        <v>#DIV/0!</v>
      </c>
      <c r="AO35" s="43" t="str">
        <f>((TotalAverages!AW27/MassFormulaTesting!$B$106)*0.68)+0.3</f>
        <v>#DIV/0!</v>
      </c>
      <c r="AP35" s="43" t="str">
        <f>((TotalAverages!AX27/MassFormulaTesting!$B$108)*0.68)+0.3</f>
        <v>#DIV/0!</v>
      </c>
      <c r="AQ35" s="7"/>
    </row>
    <row r="36">
      <c r="A36" s="50" t="str">
        <f>IFERROR(__xludf.DUMMYFUNCTION("""COMPUTED_VALUE"""),"Avg Player")</f>
        <v>Avg Player</v>
      </c>
      <c r="B36" s="51">
        <f>IFERROR(__xludf.DUMMYFUNCTION("""COMPUTED_VALUE"""),0.0)</f>
        <v>0</v>
      </c>
      <c r="C36" s="52"/>
      <c r="D36" s="40" t="str">
        <f t="shared" si="1"/>
        <v>#DIV/0!</v>
      </c>
      <c r="E36" s="45" t="str">
        <f>TotalAverages!A28</f>
        <v>Laser Wins</v>
      </c>
      <c r="F36" s="46">
        <f t="shared" si="2"/>
        <v>0.3</v>
      </c>
      <c r="G36" s="47">
        <f>((TotalAverages!D28/MassFormulaTesting!$B$16)*0.68)+0.3</f>
        <v>0.5272052272</v>
      </c>
      <c r="H36" s="47">
        <f>((TotalAverages!E28/MassFormulaTesting!$B$18)*0.68)+0.3</f>
        <v>0.6833550441</v>
      </c>
      <c r="I36" s="47">
        <f>((TotalAverages!F28/MassFormulaTesting!$B$20)*0.68)+0.3</f>
        <v>-0.2301679053</v>
      </c>
      <c r="J36" s="47">
        <f>(IFERROR(MassFormulaTesting!$C$22/TotalAverages!G28,"")*0.68)+0.3</f>
        <v>6.455172414</v>
      </c>
      <c r="K36" s="13">
        <f>(((TotalAverages!H28+118)/(MassFormulaTesting!$B$24+118))*0.68)+0.3</f>
        <v>0.9600567644</v>
      </c>
      <c r="L36" s="47">
        <f>((TotalAverages!I28/MassFormulaTesting!$B$26)*0.68)+0.3</f>
        <v>0.368</v>
      </c>
      <c r="M36" s="47">
        <f>((0.98-(TotalAverages!J28/MassFormulaTesting!$B$28)*0.68))</f>
        <v>0.398027709</v>
      </c>
      <c r="N36" s="47">
        <f>((TotalAverages!K28/MassFormulaTesting!$B$30)*0.68)+0.3</f>
        <v>0.8533516484</v>
      </c>
      <c r="O36" s="47">
        <f>((TotalAverages!L28/MassFormulaTesting!$B$32)*0.68)+0.3</f>
        <v>0.6922265867</v>
      </c>
      <c r="P36" s="47">
        <f>((TotalAverages!M28/MassFormulaTesting!$B$34)*0.68)+0.3</f>
        <v>0.7456190623</v>
      </c>
      <c r="Q36" s="47" t="str">
        <f>((TotalAverages!N28/MassFormulaTesting!$B$36)*0.68)+0.3</f>
        <v>#DIV/0!</v>
      </c>
      <c r="R36" s="47">
        <f>((TotalAverages!O28/MassFormulaTesting!$B$38)*0.68)+0.3</f>
        <v>0.3728571429</v>
      </c>
      <c r="S36" s="47">
        <f>(IFERROR(TotalAverages!P28/MassFormulaTesting!$B$40,"")*0.68)+0.3</f>
        <v>0.3</v>
      </c>
      <c r="T36" s="47">
        <f>((TotalAverages!T28/MassFormulaTesting!$B$48)*0.68)+0.3</f>
        <v>0.3</v>
      </c>
      <c r="U36" s="47">
        <f>((TotalAverages!U28/MassFormulaTesting!$B$50)*0.68)+0.3</f>
        <v>0.4053356282</v>
      </c>
      <c r="V36" s="47">
        <f>((TotalAverages!V28/MassFormulaTesting!$B$52)*0.68)+0.3</f>
        <v>0.3460150376</v>
      </c>
      <c r="W36" s="47">
        <f>(IFERROR(TotalAverages!W28/MassFormulaTesting!$B$54,"")*0.68)+0.3</f>
        <v>0.3263844797</v>
      </c>
      <c r="X36" s="47">
        <f>(IFERROR(TotalAverages!X28/MassFormulaTesting!$B$56,"")*0.68)+0.3</f>
        <v>0.3</v>
      </c>
      <c r="Y36" s="47">
        <f>(IFERROR(TotalAverages!Y28/MassFormulaTesting!$B$58,"")*0.68)+0.3</f>
        <v>0.3</v>
      </c>
      <c r="Z36" s="43">
        <f>(IFERROR(TotalAverages!Z28/MassFormulaTesting!$B$60,"")*0.68)+0.3</f>
        <v>0.3</v>
      </c>
      <c r="AA36" s="43">
        <f>((TotalAverages!AD28/MassFormulaTesting!$B$68)*0.68)+0.3</f>
        <v>0.3</v>
      </c>
      <c r="AB36" s="43" t="str">
        <f>((TotalAverages!AG28/MassFormulaTesting!$B$74)*0.68)+0.3</f>
        <v>#DIV/0!</v>
      </c>
      <c r="AC36" s="43" t="str">
        <f>((TotalAverages!AH28/MassFormulaTesting!$B$76)*0.68)+0.3</f>
        <v>#DIV/0!</v>
      </c>
      <c r="AD36" s="43" t="str">
        <f>((TotalAverages!AK28/MassFormulaTesting!$B$82)*0.68)+0.3</f>
        <v>#DIV/0!</v>
      </c>
      <c r="AE36" s="43" t="str">
        <f>((TotalAverages!AL28/MassFormulaTesting!$B$84)*0.68)+0.3</f>
        <v>#DIV/0!</v>
      </c>
      <c r="AF36" s="43" t="str">
        <f>((TotalAverages!AM28/MassFormulaTesting!$B$86)*0.68)+0.3</f>
        <v>#DIV/0!</v>
      </c>
      <c r="AG36" s="43" t="str">
        <f>((TotalAverages!AN28/MassFormulaTesting!$B$88)*0.68)+0.3</f>
        <v>#DIV/0!</v>
      </c>
      <c r="AH36" s="43" t="str">
        <f>((TotalAverages!AO28/MassFormulaTesting!$B$90)*0.68)+0.3</f>
        <v>#DIV/0!</v>
      </c>
      <c r="AI36" s="43" t="str">
        <f>((TotalAverages!AP28/MassFormulaTesting!$B$92)*0.68)+0.3</f>
        <v>#DIV/0!</v>
      </c>
      <c r="AJ36" s="43" t="str">
        <f>((TotalAverages!AQ28/MassFormulaTesting!$B$94)*0.68)+0.3</f>
        <v>#DIV/0!</v>
      </c>
      <c r="AK36" s="43" t="str">
        <f>((TotalAverages!AR28/MassFormulaTesting!$B$96)*0.68)+0.3</f>
        <v>#DIV/0!</v>
      </c>
      <c r="AL36" s="43" t="str">
        <f>((TotalAverages!AS28/MassFormulaTesting!$B$98)*0.68)+0.3</f>
        <v>#DIV/0!</v>
      </c>
      <c r="AM36" s="43" t="str">
        <f>((TotalAverages!AT28/MassFormulaTesting!$B$100)*0.68)+0.3</f>
        <v>#DIV/0!</v>
      </c>
      <c r="AN36" s="43" t="str">
        <f>((TotalAverages!AV28/MassFormulaTesting!$B$104)*0.68)+0.3</f>
        <v>#DIV/0!</v>
      </c>
      <c r="AO36" s="43" t="str">
        <f>((TotalAverages!AW28/MassFormulaTesting!$B$106)*0.68)+0.3</f>
        <v>#DIV/0!</v>
      </c>
      <c r="AP36" s="43" t="str">
        <f>((TotalAverages!AX28/MassFormulaTesting!$B$108)*0.68)+0.3</f>
        <v>#DIV/0!</v>
      </c>
      <c r="AQ36" s="7"/>
    </row>
    <row r="37">
      <c r="A37" s="56" t="str">
        <f>IFERROR(__xludf.DUMMYFUNCTION("Query(TotalAverages!A:AV,""Select A,O where A&lt;&gt;'' Order by O Desc Limit 1"")"),"OVERALL")</f>
        <v>OVERALL</v>
      </c>
      <c r="B37" s="54" t="str">
        <f>IFERROR(__xludf.DUMMYFUNCTION("""COMPUTED_VALUE"""),"avg Killing Sprees")</f>
        <v>avg Killing Sprees</v>
      </c>
      <c r="C37" s="52"/>
      <c r="D37" s="40" t="str">
        <f t="shared" si="1"/>
        <v>#DIV/0!</v>
      </c>
      <c r="E37" s="45" t="str">
        <f>TotalAverages!A29</f>
        <v>Luner Panda</v>
      </c>
      <c r="F37" s="46">
        <f t="shared" si="2"/>
        <v>0.3</v>
      </c>
      <c r="G37" s="47">
        <f>((TotalAverages!D29/MassFormulaTesting!$B$16)*0.68)+0.3</f>
        <v>0.5632551233</v>
      </c>
      <c r="H37" s="47">
        <f>((TotalAverages!E29/MassFormulaTesting!$B$18)*0.68)+0.3</f>
        <v>0.7095353886</v>
      </c>
      <c r="I37" s="47">
        <f>((TotalAverages!F29/MassFormulaTesting!$B$20)*0.68)+0.3</f>
        <v>-0.1617093311</v>
      </c>
      <c r="J37" s="47">
        <f>(IFERROR(MassFormulaTesting!$C$22/TotalAverages!G29,"")*0.68)+0.3</f>
        <v>6.911111111</v>
      </c>
      <c r="K37" s="13">
        <f>(((TotalAverages!H29+118)/(MassFormulaTesting!$B$24+118))*0.68)+0.3</f>
        <v>0.9608287606</v>
      </c>
      <c r="L37" s="47">
        <f>((TotalAverages!I29/MassFormulaTesting!$B$26)*0.68)+0.3</f>
        <v>0.3728571429</v>
      </c>
      <c r="M37" s="47">
        <f>((0.98-(TotalAverages!J29/MassFormulaTesting!$B$28)*0.68))</f>
        <v>0.5988370372</v>
      </c>
      <c r="N37" s="47">
        <f>((TotalAverages!K29/MassFormulaTesting!$B$30)*0.68)+0.3</f>
        <v>0.6991895604</v>
      </c>
      <c r="O37" s="47">
        <f>((TotalAverages!L29/MassFormulaTesting!$B$32)*0.68)+0.3</f>
        <v>0.5188877403</v>
      </c>
      <c r="P37" s="47">
        <f>((TotalAverages!M29/MassFormulaTesting!$B$34)*0.68)+0.3</f>
        <v>0.4041876254</v>
      </c>
      <c r="Q37" s="47" t="str">
        <f>((TotalAverages!N29/MassFormulaTesting!$B$36)*0.68)+0.3</f>
        <v>#DIV/0!</v>
      </c>
      <c r="R37" s="47">
        <f>((TotalAverages!O29/MassFormulaTesting!$B$38)*0.68)+0.3</f>
        <v>0.385</v>
      </c>
      <c r="S37" s="47">
        <f>(IFERROR(TotalAverages!P29/MassFormulaTesting!$B$40,"")*0.68)+0.3</f>
        <v>0.3</v>
      </c>
      <c r="T37" s="47">
        <f>((TotalAverages!T29/MassFormulaTesting!$B$48)*0.68)+0.3</f>
        <v>0.3</v>
      </c>
      <c r="U37" s="47">
        <f>((TotalAverages!U29/MassFormulaTesting!$B$50)*0.68)+0.3</f>
        <v>0.4597590361</v>
      </c>
      <c r="V37" s="47">
        <f>((TotalAverages!V29/MassFormulaTesting!$B$52)*0.68)+0.3</f>
        <v>0.3843609023</v>
      </c>
      <c r="W37" s="47">
        <f>(IFERROR(TotalAverages!W29/MassFormulaTesting!$B$54,"")*0.68)+0.3</f>
        <v>0.3791534392</v>
      </c>
      <c r="X37" s="47">
        <f>(IFERROR(TotalAverages!X29/MassFormulaTesting!$B$56,"")*0.68)+0.3</f>
        <v>0.4942857143</v>
      </c>
      <c r="Y37" s="47">
        <f>(IFERROR(TotalAverages!Y29/MassFormulaTesting!$B$58,"")*0.68)+0.3</f>
        <v>0.4457142857</v>
      </c>
      <c r="Z37" s="43">
        <f>(IFERROR(TotalAverages!Z29/MassFormulaTesting!$B$60,"")*0.68)+0.3</f>
        <v>0.3</v>
      </c>
      <c r="AA37" s="43">
        <f>((TotalAverages!AD29/MassFormulaTesting!$B$68)*0.68)+0.3</f>
        <v>0.3</v>
      </c>
      <c r="AB37" s="43" t="str">
        <f>((TotalAverages!AG29/MassFormulaTesting!$B$74)*0.68)+0.3</f>
        <v>#DIV/0!</v>
      </c>
      <c r="AC37" s="43" t="str">
        <f>((TotalAverages!AH29/MassFormulaTesting!$B$76)*0.68)+0.3</f>
        <v>#DIV/0!</v>
      </c>
      <c r="AD37" s="43" t="str">
        <f>((TotalAverages!AK29/MassFormulaTesting!$B$82)*0.68)+0.3</f>
        <v>#DIV/0!</v>
      </c>
      <c r="AE37" s="43" t="str">
        <f>((TotalAverages!AL29/MassFormulaTesting!$B$84)*0.68)+0.3</f>
        <v>#DIV/0!</v>
      </c>
      <c r="AF37" s="43" t="str">
        <f>((TotalAverages!AM29/MassFormulaTesting!$B$86)*0.68)+0.3</f>
        <v>#DIV/0!</v>
      </c>
      <c r="AG37" s="43" t="str">
        <f>((TotalAverages!AN29/MassFormulaTesting!$B$88)*0.68)+0.3</f>
        <v>#DIV/0!</v>
      </c>
      <c r="AH37" s="43" t="str">
        <f>((TotalAverages!AO29/MassFormulaTesting!$B$90)*0.68)+0.3</f>
        <v>#DIV/0!</v>
      </c>
      <c r="AI37" s="43" t="str">
        <f>((TotalAverages!AP29/MassFormulaTesting!$B$92)*0.68)+0.3</f>
        <v>#DIV/0!</v>
      </c>
      <c r="AJ37" s="43" t="str">
        <f>((TotalAverages!AQ29/MassFormulaTesting!$B$94)*0.68)+0.3</f>
        <v>#DIV/0!</v>
      </c>
      <c r="AK37" s="43" t="str">
        <f>((TotalAverages!AR29/MassFormulaTesting!$B$96)*0.68)+0.3</f>
        <v>#DIV/0!</v>
      </c>
      <c r="AL37" s="43" t="str">
        <f>((TotalAverages!AS29/MassFormulaTesting!$B$98)*0.68)+0.3</f>
        <v>#DIV/0!</v>
      </c>
      <c r="AM37" s="43" t="str">
        <f>((TotalAverages!AT29/MassFormulaTesting!$B$100)*0.68)+0.3</f>
        <v>#DIV/0!</v>
      </c>
      <c r="AN37" s="43" t="str">
        <f>((TotalAverages!AV29/MassFormulaTesting!$B$104)*0.68)+0.3</f>
        <v>#DIV/0!</v>
      </c>
      <c r="AO37" s="43" t="str">
        <f>((TotalAverages!AW29/MassFormulaTesting!$B$106)*0.68)+0.3</f>
        <v>#DIV/0!</v>
      </c>
      <c r="AP37" s="43" t="str">
        <f>((TotalAverages!AX29/MassFormulaTesting!$B$108)*0.68)+0.3</f>
        <v>#DIV/0!</v>
      </c>
      <c r="AQ37" s="7"/>
    </row>
    <row r="38">
      <c r="A38" s="50" t="str">
        <f>IFERROR(__xludf.DUMMYFUNCTION("""COMPUTED_VALUE"""),"Judasey")</f>
        <v>Judasey</v>
      </c>
      <c r="B38" s="51">
        <f>IFERROR(__xludf.DUMMYFUNCTION("""COMPUTED_VALUE"""),4.0)</f>
        <v>4</v>
      </c>
      <c r="C38" s="52"/>
      <c r="D38" s="40" t="str">
        <f t="shared" si="1"/>
        <v>#DIV/0!</v>
      </c>
      <c r="E38" s="45" t="str">
        <f>TotalAverages!A30</f>
        <v>Mavbrid</v>
      </c>
      <c r="F38" s="46">
        <f t="shared" si="2"/>
        <v>0.3</v>
      </c>
      <c r="G38" s="47">
        <f>((TotalAverages!D30/MassFormulaTesting!$B$16)*0.68)+0.3</f>
        <v>0.5946877912</v>
      </c>
      <c r="H38" s="47">
        <f>((TotalAverages!E30/MassFormulaTesting!$B$18)*0.68)+0.3</f>
        <v>0.6297369249</v>
      </c>
      <c r="I38" s="47">
        <f>((TotalAverages!F30/MassFormulaTesting!$B$20)*0.68)+0.3</f>
        <v>0.349946183</v>
      </c>
      <c r="J38" s="47">
        <f>(IFERROR(MassFormulaTesting!$C$22/TotalAverages!G30,"")*0.68)+0.3</f>
        <v>3.951851852</v>
      </c>
      <c r="K38" s="13">
        <f>(((TotalAverages!H30+118)/(MassFormulaTesting!$B$24+118))*0.68)+0.3</f>
        <v>0.9760557205</v>
      </c>
      <c r="L38" s="47">
        <f>((TotalAverages!I30/MassFormulaTesting!$B$26)*0.68)+0.3</f>
        <v>0.3879310345</v>
      </c>
      <c r="M38" s="47">
        <f>((0.98-(TotalAverages!J30/MassFormulaTesting!$B$28)*0.68))</f>
        <v>0.4403964994</v>
      </c>
      <c r="N38" s="47">
        <f>((TotalAverages!K30/MassFormulaTesting!$B$30)*0.68)+0.3</f>
        <v>0.8109151194</v>
      </c>
      <c r="O38" s="47">
        <f>((TotalAverages!L30/MassFormulaTesting!$B$32)*0.68)+0.3</f>
        <v>0.7232905834</v>
      </c>
      <c r="P38" s="47">
        <f>((TotalAverages!M30/MassFormulaTesting!$B$34)*0.68)+0.3</f>
        <v>0.6555338948</v>
      </c>
      <c r="Q38" s="47" t="str">
        <f>((TotalAverages!N30/MassFormulaTesting!$B$36)*0.68)+0.3</f>
        <v>#DIV/0!</v>
      </c>
      <c r="R38" s="47">
        <f>((TotalAverages!O30/MassFormulaTesting!$B$38)*0.68)+0.3</f>
        <v>0.5520689655</v>
      </c>
      <c r="S38" s="47">
        <f>(IFERROR(TotalAverages!P30/MassFormulaTesting!$B$40,"")*0.68)+0.3</f>
        <v>0.6188965517</v>
      </c>
      <c r="T38" s="47">
        <f>((TotalAverages!T30/MassFormulaTesting!$B$48)*0.68)+0.3</f>
        <v>0.3</v>
      </c>
      <c r="U38" s="47">
        <f>((TotalAverages!U30/MassFormulaTesting!$B$50)*0.68)+0.3</f>
        <v>0.5110344828</v>
      </c>
      <c r="V38" s="47">
        <f>((TotalAverages!V30/MassFormulaTesting!$B$52)*0.68)+0.3</f>
        <v>0.4258802178</v>
      </c>
      <c r="W38" s="47">
        <f>(IFERROR(TotalAverages!W30/MassFormulaTesting!$B$54,"")*0.68)+0.3</f>
        <v>0.3382120051</v>
      </c>
      <c r="X38" s="47">
        <f>(IFERROR(TotalAverages!X30/MassFormulaTesting!$B$56,"")*0.68)+0.3</f>
        <v>0.3468965517</v>
      </c>
      <c r="Y38" s="47">
        <f>(IFERROR(TotalAverages!Y30/MassFormulaTesting!$B$58,"")*0.68)+0.3</f>
        <v>0.3703448276</v>
      </c>
      <c r="Z38" s="43">
        <f>(IFERROR(TotalAverages!Z30/MassFormulaTesting!$B$60,"")*0.68)+0.3</f>
        <v>0.5422988506</v>
      </c>
      <c r="AA38" s="43">
        <f>((TotalAverages!AD30/MassFormulaTesting!$B$68)*0.68)+0.3</f>
        <v>0.3</v>
      </c>
      <c r="AB38" s="43" t="str">
        <f>((TotalAverages!AG30/MassFormulaTesting!$B$74)*0.68)+0.3</f>
        <v>#DIV/0!</v>
      </c>
      <c r="AC38" s="43" t="str">
        <f>((TotalAverages!AH30/MassFormulaTesting!$B$76)*0.68)+0.3</f>
        <v>#DIV/0!</v>
      </c>
      <c r="AD38" s="43" t="str">
        <f>((TotalAverages!AK30/MassFormulaTesting!$B$82)*0.68)+0.3</f>
        <v>#DIV/0!</v>
      </c>
      <c r="AE38" s="43" t="str">
        <f>((TotalAverages!AL30/MassFormulaTesting!$B$84)*0.68)+0.3</f>
        <v>#DIV/0!</v>
      </c>
      <c r="AF38" s="43" t="str">
        <f>((TotalAverages!AM30/MassFormulaTesting!$B$86)*0.68)+0.3</f>
        <v>#DIV/0!</v>
      </c>
      <c r="AG38" s="43" t="str">
        <f>((TotalAverages!AN30/MassFormulaTesting!$B$88)*0.68)+0.3</f>
        <v>#DIV/0!</v>
      </c>
      <c r="AH38" s="43" t="str">
        <f>((TotalAverages!AO30/MassFormulaTesting!$B$90)*0.68)+0.3</f>
        <v>#DIV/0!</v>
      </c>
      <c r="AI38" s="43" t="str">
        <f>((TotalAverages!AP30/MassFormulaTesting!$B$92)*0.68)+0.3</f>
        <v>#DIV/0!</v>
      </c>
      <c r="AJ38" s="43" t="str">
        <f>((TotalAverages!AQ30/MassFormulaTesting!$B$94)*0.68)+0.3</f>
        <v>#DIV/0!</v>
      </c>
      <c r="AK38" s="43" t="str">
        <f>((TotalAverages!AR30/MassFormulaTesting!$B$96)*0.68)+0.3</f>
        <v>#DIV/0!</v>
      </c>
      <c r="AL38" s="43" t="str">
        <f>((TotalAverages!AS30/MassFormulaTesting!$B$98)*0.68)+0.3</f>
        <v>#DIV/0!</v>
      </c>
      <c r="AM38" s="43" t="str">
        <f>((TotalAverages!AT30/MassFormulaTesting!$B$100)*0.68)+0.3</f>
        <v>#DIV/0!</v>
      </c>
      <c r="AN38" s="43" t="str">
        <f>((TotalAverages!AV30/MassFormulaTesting!$B$104)*0.68)+0.3</f>
        <v>#DIV/0!</v>
      </c>
      <c r="AO38" s="43" t="str">
        <f>((TotalAverages!AW30/MassFormulaTesting!$B$106)*0.68)+0.3</f>
        <v>#DIV/0!</v>
      </c>
      <c r="AP38" s="43" t="str">
        <f>((TotalAverages!AX30/MassFormulaTesting!$B$108)*0.68)+0.3</f>
        <v>#DIV/0!</v>
      </c>
      <c r="AQ38" s="7"/>
    </row>
    <row r="39">
      <c r="A39" s="56" t="str">
        <f>IFERROR(__xludf.DUMMYFUNCTION("Query(TotalAverages!A:AV,""Select A,P where A&lt;&gt;'' Order by P Desc Limit 1"")"),"OVERALL")</f>
        <v>OVERALL</v>
      </c>
      <c r="B39" s="54" t="str">
        <f>IFERROR(__xludf.DUMMYFUNCTION("""COMPUTED_VALUE"""),"avg Killing Frenzies")</f>
        <v>avg Killing Frenzies</v>
      </c>
      <c r="C39" s="52"/>
      <c r="D39" s="40" t="str">
        <f t="shared" si="1"/>
        <v>#DIV/0!</v>
      </c>
      <c r="E39" s="45" t="str">
        <f>TotalAverages!A31</f>
        <v>MealyKitten0</v>
      </c>
      <c r="F39" s="46">
        <f t="shared" si="2"/>
        <v>0.3</v>
      </c>
      <c r="G39" s="47">
        <f>((TotalAverages!D31/MassFormulaTesting!$B$16)*0.68)+0.3</f>
        <v>0.6429284229</v>
      </c>
      <c r="H39" s="47">
        <f>((TotalAverages!E31/MassFormulaTesting!$B$18)*0.68)+0.3</f>
        <v>0.7424945723</v>
      </c>
      <c r="I39" s="47">
        <f>((TotalAverages!F31/MassFormulaTesting!$B$20)*0.68)+0.3</f>
        <v>0.09925681255</v>
      </c>
      <c r="J39" s="47">
        <f>(IFERROR(MassFormulaTesting!$C$22/TotalAverages!G31,"")*0.68)+0.3</f>
        <v>3.390909091</v>
      </c>
      <c r="K39" s="13">
        <f>(((TotalAverages!H31+118)/(MassFormulaTesting!$B$24+118))*0.68)+0.3</f>
        <v>0.9588987701</v>
      </c>
      <c r="L39" s="47">
        <f>((TotalAverages!I31/MassFormulaTesting!$B$26)*0.68)+0.3</f>
        <v>0.657</v>
      </c>
      <c r="M39" s="47">
        <f>((0.98-(TotalAverages!J31/MassFormulaTesting!$B$28)*0.68))</f>
        <v>0.6055775266</v>
      </c>
      <c r="N39" s="47">
        <f>((TotalAverages!K31/MassFormulaTesting!$B$30)*0.68)+0.3</f>
        <v>0.6991895604</v>
      </c>
      <c r="O39" s="47">
        <f>((TotalAverages!L31/MassFormulaTesting!$B$32)*0.68)+0.3</f>
        <v>0.4897870581</v>
      </c>
      <c r="P39" s="47">
        <f>((TotalAverages!M31/MassFormulaTesting!$B$34)*0.68)+0.3</f>
        <v>0.3160980448</v>
      </c>
      <c r="Q39" s="47" t="str">
        <f>((TotalAverages!N31/MassFormulaTesting!$B$36)*0.68)+0.3</f>
        <v>#DIV/0!</v>
      </c>
      <c r="R39" s="47">
        <f>((TotalAverages!O31/MassFormulaTesting!$B$38)*0.68)+0.3</f>
        <v>0.3485714286</v>
      </c>
      <c r="S39" s="47">
        <f>(IFERROR(TotalAverages!P31/MassFormulaTesting!$B$40,"")*0.68)+0.3</f>
        <v>0.3</v>
      </c>
      <c r="T39" s="47">
        <f>((TotalAverages!T31/MassFormulaTesting!$B$48)*0.68)+0.3</f>
        <v>0.3</v>
      </c>
      <c r="U39" s="47">
        <f>((TotalAverages!U31/MassFormulaTesting!$B$50)*0.68)+0.3</f>
        <v>0.5668502582</v>
      </c>
      <c r="V39" s="47">
        <f>((TotalAverages!V31/MassFormulaTesting!$B$52)*0.68)+0.3</f>
        <v>0.4993984962</v>
      </c>
      <c r="W39" s="47">
        <f>(IFERROR(TotalAverages!W31/MassFormulaTesting!$B$54,"")*0.68)+0.3</f>
        <v>0.4583068783</v>
      </c>
      <c r="X39" s="47">
        <f>(IFERROR(TotalAverages!X31/MassFormulaTesting!$B$56,"")*0.68)+0.3</f>
        <v>0.3971428571</v>
      </c>
      <c r="Y39" s="47">
        <f>(IFERROR(TotalAverages!Y31/MassFormulaTesting!$B$58,"")*0.68)+0.3</f>
        <v>0.3</v>
      </c>
      <c r="Z39" s="43">
        <f>(IFERROR(TotalAverages!Z31/MassFormulaTesting!$B$60,"")*0.68)+0.3</f>
        <v>0.3</v>
      </c>
      <c r="AA39" s="43">
        <f>((TotalAverages!AD31/MassFormulaTesting!$B$68)*0.68)+0.3</f>
        <v>0.3</v>
      </c>
      <c r="AB39" s="43" t="str">
        <f>((TotalAverages!AG31/MassFormulaTesting!$B$74)*0.68)+0.3</f>
        <v>#DIV/0!</v>
      </c>
      <c r="AC39" s="43" t="str">
        <f>((TotalAverages!AH31/MassFormulaTesting!$B$76)*0.68)+0.3</f>
        <v>#DIV/0!</v>
      </c>
      <c r="AD39" s="43" t="str">
        <f>((TotalAverages!AK31/MassFormulaTesting!$B$82)*0.68)+0.3</f>
        <v>#DIV/0!</v>
      </c>
      <c r="AE39" s="43" t="str">
        <f>((TotalAverages!AL31/MassFormulaTesting!$B$84)*0.68)+0.3</f>
        <v>#DIV/0!</v>
      </c>
      <c r="AF39" s="43" t="str">
        <f>((TotalAverages!AM31/MassFormulaTesting!$B$86)*0.68)+0.3</f>
        <v>#DIV/0!</v>
      </c>
      <c r="AG39" s="43" t="str">
        <f>((TotalAverages!AN31/MassFormulaTesting!$B$88)*0.68)+0.3</f>
        <v>#DIV/0!</v>
      </c>
      <c r="AH39" s="43" t="str">
        <f>((TotalAverages!AO31/MassFormulaTesting!$B$90)*0.68)+0.3</f>
        <v>#DIV/0!</v>
      </c>
      <c r="AI39" s="43" t="str">
        <f>((TotalAverages!AP31/MassFormulaTesting!$B$92)*0.68)+0.3</f>
        <v>#DIV/0!</v>
      </c>
      <c r="AJ39" s="43" t="str">
        <f>((TotalAverages!AQ31/MassFormulaTesting!$B$94)*0.68)+0.3</f>
        <v>#DIV/0!</v>
      </c>
      <c r="AK39" s="43" t="str">
        <f>((TotalAverages!AR31/MassFormulaTesting!$B$96)*0.68)+0.3</f>
        <v>#DIV/0!</v>
      </c>
      <c r="AL39" s="43" t="str">
        <f>((TotalAverages!AS31/MassFormulaTesting!$B$98)*0.68)+0.3</f>
        <v>#DIV/0!</v>
      </c>
      <c r="AM39" s="43" t="str">
        <f>((TotalAverages!AT31/MassFormulaTesting!$B$100)*0.68)+0.3</f>
        <v>#DIV/0!</v>
      </c>
      <c r="AN39" s="43" t="str">
        <f>((TotalAverages!AV31/MassFormulaTesting!$B$104)*0.68)+0.3</f>
        <v>#DIV/0!</v>
      </c>
      <c r="AO39" s="43" t="str">
        <f>((TotalAverages!AW31/MassFormulaTesting!$B$106)*0.68)+0.3</f>
        <v>#DIV/0!</v>
      </c>
      <c r="AP39" s="43" t="str">
        <f>((TotalAverages!AX31/MassFormulaTesting!$B$108)*0.68)+0.3</f>
        <v>#DIV/0!</v>
      </c>
      <c r="AQ39" s="7"/>
    </row>
    <row r="40">
      <c r="A40" s="50" t="str">
        <f>IFERROR(__xludf.DUMMYFUNCTION("""COMPUTED_VALUE"""),"Dhlyn")</f>
        <v>Dhlyn</v>
      </c>
      <c r="B40" s="51">
        <f>IFERROR(__xludf.DUMMYFUNCTION("""COMPUTED_VALUE"""),0.29411764705882354)</f>
        <v>0.2941176471</v>
      </c>
      <c r="C40" s="52"/>
      <c r="D40" s="40" t="str">
        <f t="shared" si="1"/>
        <v>#DIV/0!</v>
      </c>
      <c r="E40" s="45" t="str">
        <f>TotalAverages!A32</f>
        <v>Mhurcy</v>
      </c>
      <c r="F40" s="46">
        <f t="shared" si="2"/>
        <v>0.3</v>
      </c>
      <c r="G40" s="47">
        <f>((TotalAverages!D32/MassFormulaTesting!$B$16)*0.68)+0.3</f>
        <v>0.5608316008</v>
      </c>
      <c r="H40" s="47">
        <f>((TotalAverages!E32/MassFormulaTesting!$B$18)*0.68)+0.3</f>
        <v>0.6432663917</v>
      </c>
      <c r="I40" s="47">
        <f>((TotalAverages!F32/MassFormulaTesting!$B$20)*0.68)+0.3</f>
        <v>0.1177869529</v>
      </c>
      <c r="J40" s="47">
        <f>(IFERROR(MassFormulaTesting!$C$22/TotalAverages!G32,"")*0.68)+0.3</f>
        <v>4.201639344</v>
      </c>
      <c r="K40" s="13">
        <f>(((TotalAverages!H32+118)/(MassFormulaTesting!$B$24+118))*0.68)+0.3</f>
        <v>0.9623727531</v>
      </c>
      <c r="L40" s="47">
        <f>((TotalAverages!I32/MassFormulaTesting!$B$26)*0.68)+0.3</f>
        <v>0.4457142857</v>
      </c>
      <c r="M40" s="47">
        <f>((0.98-(TotalAverages!J32/MassFormulaTesting!$B$28)*0.68))</f>
        <v>0.6420906795</v>
      </c>
      <c r="N40" s="47">
        <f>((TotalAverages!K32/MassFormulaTesting!$B$30)*0.68)+0.3</f>
        <v>0.6518612637</v>
      </c>
      <c r="O40" s="47">
        <f>((TotalAverages!L32/MassFormulaTesting!$B$32)*0.68)+0.3</f>
        <v>0.5302749638</v>
      </c>
      <c r="P40" s="47">
        <f>((TotalAverages!M32/MassFormulaTesting!$B$34)*0.68)+0.3</f>
        <v>0.3196504067</v>
      </c>
      <c r="Q40" s="47" t="str">
        <f>((TotalAverages!N32/MassFormulaTesting!$B$36)*0.68)+0.3</f>
        <v>#DIV/0!</v>
      </c>
      <c r="R40" s="47">
        <f>((TotalAverages!O32/MassFormulaTesting!$B$38)*0.68)+0.3</f>
        <v>0.385</v>
      </c>
      <c r="S40" s="47">
        <f>(IFERROR(TotalAverages!P32/MassFormulaTesting!$B$40,"")*0.68)+0.3</f>
        <v>0.3</v>
      </c>
      <c r="T40" s="47">
        <f>((TotalAverages!T32/MassFormulaTesting!$B$48)*0.68)+0.3</f>
        <v>0.3</v>
      </c>
      <c r="U40" s="47">
        <f>((TotalAverages!U32/MassFormulaTesting!$B$50)*0.68)+0.3</f>
        <v>0.5176936317</v>
      </c>
      <c r="V40" s="47">
        <f>((TotalAverages!V32/MassFormulaTesting!$B$52)*0.68)+0.3</f>
        <v>0.4533834586</v>
      </c>
      <c r="W40" s="47">
        <f>(IFERROR(TotalAverages!W32/MassFormulaTesting!$B$54,"")*0.68)+0.3</f>
        <v>0.4978835979</v>
      </c>
      <c r="X40" s="47">
        <f>(IFERROR(TotalAverages!X32/MassFormulaTesting!$B$56,"")*0.68)+0.3</f>
        <v>0.3</v>
      </c>
      <c r="Y40" s="47">
        <f>(IFERROR(TotalAverages!Y32/MassFormulaTesting!$B$58,"")*0.68)+0.3</f>
        <v>0.3</v>
      </c>
      <c r="Z40" s="43">
        <f>(IFERROR(TotalAverages!Z32/MassFormulaTesting!$B$60,"")*0.68)+0.3</f>
        <v>0.3</v>
      </c>
      <c r="AA40" s="43">
        <f>((TotalAverages!AD32/MassFormulaTesting!$B$68)*0.68)+0.3</f>
        <v>0.3</v>
      </c>
      <c r="AB40" s="43" t="str">
        <f>((TotalAverages!AG32/MassFormulaTesting!$B$74)*0.68)+0.3</f>
        <v>#DIV/0!</v>
      </c>
      <c r="AC40" s="43" t="str">
        <f>((TotalAverages!AH32/MassFormulaTesting!$B$76)*0.68)+0.3</f>
        <v>#DIV/0!</v>
      </c>
      <c r="AD40" s="43" t="str">
        <f>((TotalAverages!AK32/MassFormulaTesting!$B$82)*0.68)+0.3</f>
        <v>#DIV/0!</v>
      </c>
      <c r="AE40" s="43" t="str">
        <f>((TotalAverages!AL32/MassFormulaTesting!$B$84)*0.68)+0.3</f>
        <v>#DIV/0!</v>
      </c>
      <c r="AF40" s="43" t="str">
        <f>((TotalAverages!AM32/MassFormulaTesting!$B$86)*0.68)+0.3</f>
        <v>#DIV/0!</v>
      </c>
      <c r="AG40" s="43" t="str">
        <f>((TotalAverages!AN32/MassFormulaTesting!$B$88)*0.68)+0.3</f>
        <v>#DIV/0!</v>
      </c>
      <c r="AH40" s="43" t="str">
        <f>((TotalAverages!AO32/MassFormulaTesting!$B$90)*0.68)+0.3</f>
        <v>#DIV/0!</v>
      </c>
      <c r="AI40" s="43" t="str">
        <f>((TotalAverages!AP32/MassFormulaTesting!$B$92)*0.68)+0.3</f>
        <v>#DIV/0!</v>
      </c>
      <c r="AJ40" s="43" t="str">
        <f>((TotalAverages!AQ32/MassFormulaTesting!$B$94)*0.68)+0.3</f>
        <v>#DIV/0!</v>
      </c>
      <c r="AK40" s="43" t="str">
        <f>((TotalAverages!AR32/MassFormulaTesting!$B$96)*0.68)+0.3</f>
        <v>#DIV/0!</v>
      </c>
      <c r="AL40" s="43" t="str">
        <f>((TotalAverages!AS32/MassFormulaTesting!$B$98)*0.68)+0.3</f>
        <v>#DIV/0!</v>
      </c>
      <c r="AM40" s="43" t="str">
        <f>((TotalAverages!AT32/MassFormulaTesting!$B$100)*0.68)+0.3</f>
        <v>#DIV/0!</v>
      </c>
      <c r="AN40" s="43" t="str">
        <f>((TotalAverages!AV32/MassFormulaTesting!$B$104)*0.68)+0.3</f>
        <v>#DIV/0!</v>
      </c>
      <c r="AO40" s="43" t="str">
        <f>((TotalAverages!AW32/MassFormulaTesting!$B$106)*0.68)+0.3</f>
        <v>#DIV/0!</v>
      </c>
      <c r="AP40" s="43" t="str">
        <f>((TotalAverages!AX32/MassFormulaTesting!$B$108)*0.68)+0.3</f>
        <v>#DIV/0!</v>
      </c>
      <c r="AQ40" s="7"/>
    </row>
    <row r="41">
      <c r="A41" s="56" t="str">
        <f>IFERROR(__xludf.DUMMYFUNCTION("Query(TotalAverages!A:AV,""Select A,Q where A&lt;&gt;'' Order by Q Desc Limit 1"")"),"OVERALL")</f>
        <v>OVERALL</v>
      </c>
      <c r="B41" s="54" t="str">
        <f>IFERROR(__xludf.DUMMYFUNCTION("""COMPUTED_VALUE"""),"avg Running Riots")</f>
        <v>avg Running Riots</v>
      </c>
      <c r="C41" s="52"/>
      <c r="D41" s="40" t="str">
        <f t="shared" si="1"/>
        <v>#DIV/0!</v>
      </c>
      <c r="E41" s="45" t="str">
        <f>TotalAverages!A33</f>
        <v>MoldyVolts</v>
      </c>
      <c r="F41" s="46">
        <f t="shared" si="2"/>
        <v>0.3</v>
      </c>
      <c r="G41" s="47">
        <f>((TotalAverages!D33/MassFormulaTesting!$B$16)*0.68)+0.3</f>
        <v>0.6318345401</v>
      </c>
      <c r="H41" s="47">
        <f>((TotalAverages!E33/MassFormulaTesting!$B$18)*0.68)+0.3</f>
        <v>0.8103474479</v>
      </c>
      <c r="I41" s="47">
        <f>((TotalAverages!F33/MassFormulaTesting!$B$20)*0.68)+0.3</f>
        <v>-0.2561172015</v>
      </c>
      <c r="J41" s="47">
        <f>(IFERROR(MassFormulaTesting!$C$22/TotalAverages!G33,"")*0.68)+0.3</f>
        <v>2.693203883</v>
      </c>
      <c r="K41" s="13">
        <f>(((TotalAverages!H33+118)/(MassFormulaTesting!$B$24+118))*0.68)+0.3</f>
        <v>0.9611482074</v>
      </c>
      <c r="L41" s="47">
        <f>((TotalAverages!I33/MassFormulaTesting!$B$26)*0.68)+0.3</f>
        <v>0.504</v>
      </c>
      <c r="M41" s="47">
        <f>((0.98-(TotalAverages!J33/MassFormulaTesting!$B$28)*0.68))</f>
        <v>0.4794322878</v>
      </c>
      <c r="N41" s="47">
        <f>((TotalAverages!K33/MassFormulaTesting!$B$30)*0.68)+0.3</f>
        <v>0.8116213528</v>
      </c>
      <c r="O41" s="47">
        <f>((TotalAverages!L33/MassFormulaTesting!$B$32)*0.68)+0.3</f>
        <v>0.5259993014</v>
      </c>
      <c r="P41" s="47">
        <f>((TotalAverages!M33/MassFormulaTesting!$B$34)*0.68)+0.3</f>
        <v>0.3097468994</v>
      </c>
      <c r="Q41" s="47" t="str">
        <f>((TotalAverages!N33/MassFormulaTesting!$B$36)*0.68)+0.3</f>
        <v>#DIV/0!</v>
      </c>
      <c r="R41" s="47">
        <f>((TotalAverages!O33/MassFormulaTesting!$B$38)*0.68)+0.3</f>
        <v>0.3996551724</v>
      </c>
      <c r="S41" s="47">
        <f>(IFERROR(TotalAverages!P33/MassFormulaTesting!$B$40,"")*0.68)+0.3</f>
        <v>0.3</v>
      </c>
      <c r="T41" s="47">
        <f>((TotalAverages!T33/MassFormulaTesting!$B$48)*0.68)+0.3</f>
        <v>0.3</v>
      </c>
      <c r="U41" s="47">
        <f>((TotalAverages!U33/MassFormulaTesting!$B$50)*0.68)+0.3</f>
        <v>0.5237474034</v>
      </c>
      <c r="V41" s="47">
        <f>((TotalAverages!V33/MassFormulaTesting!$B$52)*0.68)+0.3</f>
        <v>0.4369872958</v>
      </c>
      <c r="W41" s="47">
        <f>(IFERROR(TotalAverages!W33/MassFormulaTesting!$B$54,"")*0.68)+0.3</f>
        <v>0.4910600255</v>
      </c>
      <c r="X41" s="47">
        <f>(IFERROR(TotalAverages!X33/MassFormulaTesting!$B$56,"")*0.68)+0.3</f>
        <v>0.3468965517</v>
      </c>
      <c r="Y41" s="47">
        <f>(IFERROR(TotalAverages!Y33/MassFormulaTesting!$B$58,"")*0.68)+0.3</f>
        <v>0.3</v>
      </c>
      <c r="Z41" s="43">
        <f>(IFERROR(TotalAverages!Z33/MassFormulaTesting!$B$60,"")*0.68)+0.3</f>
        <v>0.3</v>
      </c>
      <c r="AA41" s="43">
        <f>((TotalAverages!AD33/MassFormulaTesting!$B$68)*0.68)+0.3</f>
        <v>0.3</v>
      </c>
      <c r="AB41" s="43" t="str">
        <f>((TotalAverages!AG33/MassFormulaTesting!$B$74)*0.68)+0.3</f>
        <v>#DIV/0!</v>
      </c>
      <c r="AC41" s="43" t="str">
        <f>((TotalAverages!AH33/MassFormulaTesting!$B$76)*0.68)+0.3</f>
        <v>#DIV/0!</v>
      </c>
      <c r="AD41" s="43" t="str">
        <f>((TotalAverages!AK33/MassFormulaTesting!$B$82)*0.68)+0.3</f>
        <v>#DIV/0!</v>
      </c>
      <c r="AE41" s="43" t="str">
        <f>((TotalAverages!AL33/MassFormulaTesting!$B$84)*0.68)+0.3</f>
        <v>#DIV/0!</v>
      </c>
      <c r="AF41" s="43" t="str">
        <f>((TotalAverages!AM33/MassFormulaTesting!$B$86)*0.68)+0.3</f>
        <v>#DIV/0!</v>
      </c>
      <c r="AG41" s="43" t="str">
        <f>((TotalAverages!AN33/MassFormulaTesting!$B$88)*0.68)+0.3</f>
        <v>#DIV/0!</v>
      </c>
      <c r="AH41" s="43" t="str">
        <f>((TotalAverages!AO33/MassFormulaTesting!$B$90)*0.68)+0.3</f>
        <v>#DIV/0!</v>
      </c>
      <c r="AI41" s="43" t="str">
        <f>((TotalAverages!AP33/MassFormulaTesting!$B$92)*0.68)+0.3</f>
        <v>#DIV/0!</v>
      </c>
      <c r="AJ41" s="43" t="str">
        <f>((TotalAverages!AQ33/MassFormulaTesting!$B$94)*0.68)+0.3</f>
        <v>#DIV/0!</v>
      </c>
      <c r="AK41" s="43" t="str">
        <f>((TotalAverages!AR33/MassFormulaTesting!$B$96)*0.68)+0.3</f>
        <v>#DIV/0!</v>
      </c>
      <c r="AL41" s="43" t="str">
        <f>((TotalAverages!AS33/MassFormulaTesting!$B$98)*0.68)+0.3</f>
        <v>#DIV/0!</v>
      </c>
      <c r="AM41" s="43" t="str">
        <f>((TotalAverages!AT33/MassFormulaTesting!$B$100)*0.68)+0.3</f>
        <v>#DIV/0!</v>
      </c>
      <c r="AN41" s="43" t="str">
        <f>((TotalAverages!AV33/MassFormulaTesting!$B$104)*0.68)+0.3</f>
        <v>#DIV/0!</v>
      </c>
      <c r="AO41" s="43" t="str">
        <f>((TotalAverages!AW33/MassFormulaTesting!$B$106)*0.68)+0.3</f>
        <v>#DIV/0!</v>
      </c>
      <c r="AP41" s="43" t="str">
        <f>((TotalAverages!AX33/MassFormulaTesting!$B$108)*0.68)+0.3</f>
        <v>#DIV/0!</v>
      </c>
      <c r="AQ41" s="7"/>
    </row>
    <row r="42">
      <c r="A42" s="50" t="str">
        <f>IFERROR(__xludf.DUMMYFUNCTION("""COMPUTED_VALUE"""),"yLuxe")</f>
        <v>yLuxe</v>
      </c>
      <c r="B42" s="51">
        <f>IFERROR(__xludf.DUMMYFUNCTION("""COMPUTED_VALUE"""),0.08333333333333333)</f>
        <v>0.08333333333</v>
      </c>
      <c r="C42" s="52"/>
      <c r="D42" s="40" t="str">
        <f t="shared" si="1"/>
        <v>#DIV/0!</v>
      </c>
      <c r="E42" s="45" t="str">
        <f>TotalAverages!A34</f>
        <v>MuNgO PuNgO</v>
      </c>
      <c r="F42" s="46">
        <f t="shared" si="2"/>
        <v>0.3</v>
      </c>
      <c r="G42" s="47">
        <f>((TotalAverages!D34/MassFormulaTesting!$B$16)*0.68)+0.3</f>
        <v>0.5311434511</v>
      </c>
      <c r="H42" s="47">
        <f>((TotalAverages!E34/MassFormulaTesting!$B$18)*0.68)+0.3</f>
        <v>0.7859726444</v>
      </c>
      <c r="I42" s="47">
        <f>((TotalAverages!F34/MassFormulaTesting!$B$20)*0.68)+0.3</f>
        <v>-0.6620231214</v>
      </c>
      <c r="J42" s="47">
        <f>(IFERROR(MassFormulaTesting!$C$22/TotalAverages!G34,"")*0.68)+0.3</f>
        <v>5.966666667</v>
      </c>
      <c r="K42" s="13">
        <f>(((TotalAverages!H34+118)/(MassFormulaTesting!$B$24+118))*0.68)+0.3</f>
        <v>0.9538807947</v>
      </c>
      <c r="L42" s="47">
        <f>((TotalAverages!I34/MassFormulaTesting!$B$26)*0.68)+0.3</f>
        <v>0.402</v>
      </c>
      <c r="M42" s="47">
        <f>((0.98-(TotalAverages!J34/MassFormulaTesting!$B$28)*0.68))</f>
        <v>0.6537238793</v>
      </c>
      <c r="N42" s="47">
        <f>((TotalAverages!K34/MassFormulaTesting!$B$30)*0.68)+0.3</f>
        <v>0.6657692308</v>
      </c>
      <c r="O42" s="47">
        <f>((TotalAverages!L34/MassFormulaTesting!$B$32)*0.68)+0.3</f>
        <v>0.4505643994</v>
      </c>
      <c r="P42" s="47">
        <f>((TotalAverages!M34/MassFormulaTesting!$B$34)*0.68)+0.3</f>
        <v>0.3059805586</v>
      </c>
      <c r="Q42" s="47" t="str">
        <f>((TotalAverages!N34/MassFormulaTesting!$B$36)*0.68)+0.3</f>
        <v>#DIV/0!</v>
      </c>
      <c r="R42" s="47">
        <f>((TotalAverages!O34/MassFormulaTesting!$B$38)*0.68)+0.3</f>
        <v>0.3</v>
      </c>
      <c r="S42" s="47">
        <f>(IFERROR(TotalAverages!P34/MassFormulaTesting!$B$40,"")*0.68)+0.3</f>
        <v>0.3</v>
      </c>
      <c r="T42" s="47">
        <f>((TotalAverages!T34/MassFormulaTesting!$B$48)*0.68)+0.3</f>
        <v>0.3</v>
      </c>
      <c r="U42" s="47">
        <f>((TotalAverages!U34/MassFormulaTesting!$B$50)*0.68)+0.3</f>
        <v>0.4351807229</v>
      </c>
      <c r="V42" s="47">
        <f>((TotalAverages!V34/MassFormulaTesting!$B$52)*0.68)+0.3</f>
        <v>0.4610526316</v>
      </c>
      <c r="W42" s="47">
        <f>(IFERROR(TotalAverages!W34/MassFormulaTesting!$B$54,"")*0.68)+0.3</f>
        <v>0.3</v>
      </c>
      <c r="X42" s="47">
        <f>(IFERROR(TotalAverages!X34/MassFormulaTesting!$B$56,"")*0.68)+0.3</f>
        <v>0.3</v>
      </c>
      <c r="Y42" s="47">
        <f>(IFERROR(TotalAverages!Y34/MassFormulaTesting!$B$58,"")*0.68)+0.3</f>
        <v>0.3</v>
      </c>
      <c r="Z42" s="43">
        <f>(IFERROR(TotalAverages!Z34/MassFormulaTesting!$B$60,"")*0.68)+0.3</f>
        <v>0.3</v>
      </c>
      <c r="AA42" s="43">
        <f>((TotalAverages!AD34/MassFormulaTesting!$B$68)*0.68)+0.3</f>
        <v>0.3</v>
      </c>
      <c r="AB42" s="43" t="str">
        <f>((TotalAverages!AG34/MassFormulaTesting!$B$74)*0.68)+0.3</f>
        <v>#DIV/0!</v>
      </c>
      <c r="AC42" s="43" t="str">
        <f>((TotalAverages!AH34/MassFormulaTesting!$B$76)*0.68)+0.3</f>
        <v>#DIV/0!</v>
      </c>
      <c r="AD42" s="43" t="str">
        <f>((TotalAverages!AK34/MassFormulaTesting!$B$82)*0.68)+0.3</f>
        <v>#DIV/0!</v>
      </c>
      <c r="AE42" s="43" t="str">
        <f>((TotalAverages!AL34/MassFormulaTesting!$B$84)*0.68)+0.3</f>
        <v>#DIV/0!</v>
      </c>
      <c r="AF42" s="43" t="str">
        <f>((TotalAverages!AM34/MassFormulaTesting!$B$86)*0.68)+0.3</f>
        <v>#DIV/0!</v>
      </c>
      <c r="AG42" s="43" t="str">
        <f>((TotalAverages!AN34/MassFormulaTesting!$B$88)*0.68)+0.3</f>
        <v>#DIV/0!</v>
      </c>
      <c r="AH42" s="43" t="str">
        <f>((TotalAverages!AO34/MassFormulaTesting!$B$90)*0.68)+0.3</f>
        <v>#DIV/0!</v>
      </c>
      <c r="AI42" s="43" t="str">
        <f>((TotalAverages!AP34/MassFormulaTesting!$B$92)*0.68)+0.3</f>
        <v>#DIV/0!</v>
      </c>
      <c r="AJ42" s="43" t="str">
        <f>((TotalAverages!AQ34/MassFormulaTesting!$B$94)*0.68)+0.3</f>
        <v>#DIV/0!</v>
      </c>
      <c r="AK42" s="43" t="str">
        <f>((TotalAverages!AR34/MassFormulaTesting!$B$96)*0.68)+0.3</f>
        <v>#DIV/0!</v>
      </c>
      <c r="AL42" s="43" t="str">
        <f>((TotalAverages!AS34/MassFormulaTesting!$B$98)*0.68)+0.3</f>
        <v>#DIV/0!</v>
      </c>
      <c r="AM42" s="43" t="str">
        <f>((TotalAverages!AT34/MassFormulaTesting!$B$100)*0.68)+0.3</f>
        <v>#DIV/0!</v>
      </c>
      <c r="AN42" s="43" t="str">
        <f>((TotalAverages!AV34/MassFormulaTesting!$B$104)*0.68)+0.3</f>
        <v>#DIV/0!</v>
      </c>
      <c r="AO42" s="43" t="str">
        <f>((TotalAverages!AW34/MassFormulaTesting!$B$106)*0.68)+0.3</f>
        <v>#DIV/0!</v>
      </c>
      <c r="AP42" s="43" t="str">
        <f>((TotalAverages!AX34/MassFormulaTesting!$B$108)*0.68)+0.3</f>
        <v>#DIV/0!</v>
      </c>
      <c r="AQ42" s="7"/>
    </row>
    <row r="43">
      <c r="A43" s="56" t="str">
        <f>IFERROR(__xludf.DUMMYFUNCTION("Query(TotalAverages!A:AV,""Select A,R where A&lt;&gt;'' Order by R Desc Limit 1"")"),"OVERALL")</f>
        <v>OVERALL</v>
      </c>
      <c r="B43" s="54" t="str">
        <f>IFERROR(__xludf.DUMMYFUNCTION("""COMPUTED_VALUE"""),"avg Rampages")</f>
        <v>avg Rampages</v>
      </c>
      <c r="C43" s="52"/>
      <c r="D43" s="40" t="str">
        <f t="shared" si="1"/>
        <v>#DIV/0!</v>
      </c>
      <c r="E43" s="45" t="str">
        <f>TotalAverages!A35</f>
        <v>MysticalNovice</v>
      </c>
      <c r="F43" s="46">
        <f t="shared" si="2"/>
        <v>0.3</v>
      </c>
      <c r="G43" s="47">
        <f>((TotalAverages!D35/MassFormulaTesting!$B$16)*0.68)+0.3</f>
        <v>0.8007603208</v>
      </c>
      <c r="H43" s="47">
        <f>((TotalAverages!E35/MassFormulaTesting!$B$18)*0.68)+0.3</f>
        <v>0.9283282675</v>
      </c>
      <c r="I43" s="47">
        <f>((TotalAverages!F35/MassFormulaTesting!$B$20)*0.68)+0.3</f>
        <v>0.08535920727</v>
      </c>
      <c r="J43" s="47">
        <f>(IFERROR(MassFormulaTesting!$C$22/TotalAverages!G35,"")*0.68)+0.3</f>
        <v>3.331847134</v>
      </c>
      <c r="K43" s="13">
        <f>(((TotalAverages!H35+118)/(MassFormulaTesting!$B$24+118))*0.68)+0.3</f>
        <v>0.9617937559</v>
      </c>
      <c r="L43" s="47">
        <f>((TotalAverages!I35/MassFormulaTesting!$B$26)*0.68)+0.3</f>
        <v>0.4602857143</v>
      </c>
      <c r="M43" s="47">
        <f>((0.98-(TotalAverages!J35/MassFormulaTesting!$B$28)*0.68))</f>
        <v>0.5066562907</v>
      </c>
      <c r="N43" s="47">
        <f>((TotalAverages!K35/MassFormulaTesting!$B$30)*0.68)+0.3</f>
        <v>0.8108447802</v>
      </c>
      <c r="O43" s="47">
        <f>((TotalAverages!L35/MassFormulaTesting!$B$32)*0.68)+0.3</f>
        <v>0.4701757288</v>
      </c>
      <c r="P43" s="47">
        <f>((TotalAverages!M35/MassFormulaTesting!$B$34)*0.68)+0.3</f>
        <v>0.3101174863</v>
      </c>
      <c r="Q43" s="47" t="str">
        <f>((TotalAverages!N35/MassFormulaTesting!$B$36)*0.68)+0.3</f>
        <v>#DIV/0!</v>
      </c>
      <c r="R43" s="47">
        <f>((TotalAverages!O35/MassFormulaTesting!$B$38)*0.68)+0.3</f>
        <v>0.4396428571</v>
      </c>
      <c r="S43" s="47">
        <f>(IFERROR(TotalAverages!P35/MassFormulaTesting!$B$40,"")*0.68)+0.3</f>
        <v>0.3</v>
      </c>
      <c r="T43" s="47">
        <f>((TotalAverages!T35/MassFormulaTesting!$B$48)*0.68)+0.3</f>
        <v>0.3</v>
      </c>
      <c r="U43" s="47">
        <f>((TotalAverages!U35/MassFormulaTesting!$B$50)*0.68)+0.3</f>
        <v>0.8117555938</v>
      </c>
      <c r="V43" s="47">
        <f>((TotalAverages!V35/MassFormulaTesting!$B$52)*0.68)+0.3</f>
        <v>0.752481203</v>
      </c>
      <c r="W43" s="47">
        <f>(IFERROR(TotalAverages!W35/MassFormulaTesting!$B$54,"")*0.68)+0.3</f>
        <v>0.7155555556</v>
      </c>
      <c r="X43" s="47">
        <f>(IFERROR(TotalAverages!X35/MassFormulaTesting!$B$56,"")*0.68)+0.3</f>
        <v>0.4942857143</v>
      </c>
      <c r="Y43" s="47">
        <f>(IFERROR(TotalAverages!Y35/MassFormulaTesting!$B$58,"")*0.68)+0.3</f>
        <v>0.3</v>
      </c>
      <c r="Z43" s="43">
        <f>(IFERROR(TotalAverages!Z35/MassFormulaTesting!$B$60,"")*0.68)+0.3</f>
        <v>0.3</v>
      </c>
      <c r="AA43" s="43">
        <f>((TotalAverages!AD35/MassFormulaTesting!$B$68)*0.68)+0.3</f>
        <v>0.3</v>
      </c>
      <c r="AB43" s="43" t="str">
        <f>((TotalAverages!AG35/MassFormulaTesting!$B$74)*0.68)+0.3</f>
        <v>#DIV/0!</v>
      </c>
      <c r="AC43" s="43" t="str">
        <f>((TotalAverages!AH35/MassFormulaTesting!$B$76)*0.68)+0.3</f>
        <v>#DIV/0!</v>
      </c>
      <c r="AD43" s="43" t="str">
        <f>((TotalAverages!AK35/MassFormulaTesting!$B$82)*0.68)+0.3</f>
        <v>#DIV/0!</v>
      </c>
      <c r="AE43" s="43" t="str">
        <f>((TotalAverages!AL35/MassFormulaTesting!$B$84)*0.68)+0.3</f>
        <v>#DIV/0!</v>
      </c>
      <c r="AF43" s="43" t="str">
        <f>((TotalAverages!AM35/MassFormulaTesting!$B$86)*0.68)+0.3</f>
        <v>#DIV/0!</v>
      </c>
      <c r="AG43" s="43" t="str">
        <f>((TotalAverages!AN35/MassFormulaTesting!$B$88)*0.68)+0.3</f>
        <v>#DIV/0!</v>
      </c>
      <c r="AH43" s="43" t="str">
        <f>((TotalAverages!AO35/MassFormulaTesting!$B$90)*0.68)+0.3</f>
        <v>#DIV/0!</v>
      </c>
      <c r="AI43" s="43" t="str">
        <f>((TotalAverages!AP35/MassFormulaTesting!$B$92)*0.68)+0.3</f>
        <v>#DIV/0!</v>
      </c>
      <c r="AJ43" s="43" t="str">
        <f>((TotalAverages!AQ35/MassFormulaTesting!$B$94)*0.68)+0.3</f>
        <v>#DIV/0!</v>
      </c>
      <c r="AK43" s="43" t="str">
        <f>((TotalAverages!AR35/MassFormulaTesting!$B$96)*0.68)+0.3</f>
        <v>#DIV/0!</v>
      </c>
      <c r="AL43" s="43" t="str">
        <f>((TotalAverages!AS35/MassFormulaTesting!$B$98)*0.68)+0.3</f>
        <v>#DIV/0!</v>
      </c>
      <c r="AM43" s="43" t="str">
        <f>((TotalAverages!AT35/MassFormulaTesting!$B$100)*0.68)+0.3</f>
        <v>#DIV/0!</v>
      </c>
      <c r="AN43" s="43" t="str">
        <f>((TotalAverages!AV35/MassFormulaTesting!$B$104)*0.68)+0.3</f>
        <v>#DIV/0!</v>
      </c>
      <c r="AO43" s="43" t="str">
        <f>((TotalAverages!AW35/MassFormulaTesting!$B$106)*0.68)+0.3</f>
        <v>#DIV/0!</v>
      </c>
      <c r="AP43" s="43" t="str">
        <f>((TotalAverages!AX35/MassFormulaTesting!$B$108)*0.68)+0.3</f>
        <v>#DIV/0!</v>
      </c>
      <c r="AQ43" s="7"/>
    </row>
    <row r="44">
      <c r="A44" s="50" t="str">
        <f>IFERROR(__xludf.DUMMYFUNCTION("""COMPUTED_VALUE"""),"yLuxe")</f>
        <v>yLuxe</v>
      </c>
      <c r="B44" s="51">
        <f>IFERROR(__xludf.DUMMYFUNCTION("""COMPUTED_VALUE"""),0.041666666666666664)</f>
        <v>0.04166666667</v>
      </c>
      <c r="C44" s="52"/>
      <c r="D44" s="40" t="str">
        <f t="shared" si="1"/>
        <v>#DIV/0!</v>
      </c>
      <c r="E44" s="45" t="str">
        <f>TotalAverages!A36</f>
        <v>SPANKTR0N</v>
      </c>
      <c r="F44" s="46">
        <f t="shared" si="2"/>
        <v>0.3</v>
      </c>
      <c r="G44" s="47">
        <f>((TotalAverages!D36/MassFormulaTesting!$B$16)*0.68)+0.3</f>
        <v>0.6581133056</v>
      </c>
      <c r="H44" s="47">
        <f>((TotalAverages!E36/MassFormulaTesting!$B$18)*0.68)+0.3</f>
        <v>0.7335096884</v>
      </c>
      <c r="I44" s="47">
        <f>((TotalAverages!F36/MassFormulaTesting!$B$20)*0.68)+0.3</f>
        <v>0.2162283237</v>
      </c>
      <c r="J44" s="47">
        <f>(IFERROR(MassFormulaTesting!$C$22/TotalAverages!G36,"")*0.68)+0.3</f>
        <v>3.02</v>
      </c>
      <c r="K44" s="13">
        <f>(((TotalAverages!H36+118)/(MassFormulaTesting!$B$24+118))*0.68)+0.3</f>
        <v>0.9684039735</v>
      </c>
      <c r="L44" s="47">
        <f>((TotalAverages!I36/MassFormulaTesting!$B$26)*0.68)+0.3</f>
        <v>0.446625</v>
      </c>
      <c r="M44" s="47">
        <f>((0.98-(TotalAverages!J36/MassFormulaTesting!$B$28)*0.68))</f>
        <v>0.5091221647</v>
      </c>
      <c r="N44" s="47">
        <f>((TotalAverages!K36/MassFormulaTesting!$B$30)*0.68)+0.3</f>
        <v>0.7758173077</v>
      </c>
      <c r="O44" s="47">
        <f>((TotalAverages!L36/MassFormulaTesting!$B$32)*0.68)+0.3</f>
        <v>0.5546309696</v>
      </c>
      <c r="P44" s="47">
        <f>((TotalAverages!M36/MassFormulaTesting!$B$34)*0.68)+0.3</f>
        <v>0.3020853263</v>
      </c>
      <c r="Q44" s="47" t="str">
        <f>((TotalAverages!N36/MassFormulaTesting!$B$36)*0.68)+0.3</f>
        <v>#DIV/0!</v>
      </c>
      <c r="R44" s="47">
        <f>((TotalAverages!O36/MassFormulaTesting!$B$38)*0.68)+0.3</f>
        <v>0.586875</v>
      </c>
      <c r="S44" s="47">
        <f>(IFERROR(TotalAverages!P36/MassFormulaTesting!$B$40,"")*0.68)+0.3</f>
        <v>0.589</v>
      </c>
      <c r="T44" s="47">
        <f>((TotalAverages!T36/MassFormulaTesting!$B$48)*0.68)+0.3</f>
        <v>0.3</v>
      </c>
      <c r="U44" s="47">
        <f>((TotalAverages!U36/MassFormulaTesting!$B$50)*0.68)+0.3</f>
        <v>0.594939759</v>
      </c>
      <c r="V44" s="47">
        <f>((TotalAverages!V36/MassFormulaTesting!$B$52)*0.68)+0.3</f>
        <v>0.5885526316</v>
      </c>
      <c r="W44" s="47">
        <f>(IFERROR(TotalAverages!W36/MassFormulaTesting!$B$54,"")*0.68)+0.3</f>
        <v>0.8887037037</v>
      </c>
      <c r="X44" s="47">
        <f>(IFERROR(TotalAverages!X36/MassFormulaTesting!$B$56,"")*0.68)+0.3</f>
        <v>0.64</v>
      </c>
      <c r="Y44" s="47">
        <f>(IFERROR(TotalAverages!Y36/MassFormulaTesting!$B$58,"")*0.68)+0.3</f>
        <v>0.555</v>
      </c>
      <c r="Z44" s="43">
        <f>(IFERROR(TotalAverages!Z36/MassFormulaTesting!$B$60,"")*0.68)+0.3</f>
        <v>0.3</v>
      </c>
      <c r="AA44" s="43">
        <f>((TotalAverages!AD36/MassFormulaTesting!$B$68)*0.68)+0.3</f>
        <v>0.3</v>
      </c>
      <c r="AB44" s="43" t="str">
        <f>((TotalAverages!AG36/MassFormulaTesting!$B$74)*0.68)+0.3</f>
        <v>#DIV/0!</v>
      </c>
      <c r="AC44" s="43" t="str">
        <f>((TotalAverages!AH36/MassFormulaTesting!$B$76)*0.68)+0.3</f>
        <v>#DIV/0!</v>
      </c>
      <c r="AD44" s="43" t="str">
        <f>((TotalAverages!AK36/MassFormulaTesting!$B$82)*0.68)+0.3</f>
        <v>#DIV/0!</v>
      </c>
      <c r="AE44" s="43" t="str">
        <f>((TotalAverages!AL36/MassFormulaTesting!$B$84)*0.68)+0.3</f>
        <v>#DIV/0!</v>
      </c>
      <c r="AF44" s="43" t="str">
        <f>((TotalAverages!AM36/MassFormulaTesting!$B$86)*0.68)+0.3</f>
        <v>#DIV/0!</v>
      </c>
      <c r="AG44" s="43" t="str">
        <f>((TotalAverages!AN36/MassFormulaTesting!$B$88)*0.68)+0.3</f>
        <v>#DIV/0!</v>
      </c>
      <c r="AH44" s="43" t="str">
        <f>((TotalAverages!AO36/MassFormulaTesting!$B$90)*0.68)+0.3</f>
        <v>#DIV/0!</v>
      </c>
      <c r="AI44" s="43" t="str">
        <f>((TotalAverages!AP36/MassFormulaTesting!$B$92)*0.68)+0.3</f>
        <v>#DIV/0!</v>
      </c>
      <c r="AJ44" s="43" t="str">
        <f>((TotalAverages!AQ36/MassFormulaTesting!$B$94)*0.68)+0.3</f>
        <v>#DIV/0!</v>
      </c>
      <c r="AK44" s="43" t="str">
        <f>((TotalAverages!AR36/MassFormulaTesting!$B$96)*0.68)+0.3</f>
        <v>#DIV/0!</v>
      </c>
      <c r="AL44" s="43" t="str">
        <f>((TotalAverages!AS36/MassFormulaTesting!$B$98)*0.68)+0.3</f>
        <v>#DIV/0!</v>
      </c>
      <c r="AM44" s="43" t="str">
        <f>((TotalAverages!AT36/MassFormulaTesting!$B$100)*0.68)+0.3</f>
        <v>#DIV/0!</v>
      </c>
      <c r="AN44" s="43" t="str">
        <f>((TotalAverages!AV36/MassFormulaTesting!$B$104)*0.68)+0.3</f>
        <v>#DIV/0!</v>
      </c>
      <c r="AO44" s="43" t="str">
        <f>((TotalAverages!AW36/MassFormulaTesting!$B$106)*0.68)+0.3</f>
        <v>#DIV/0!</v>
      </c>
      <c r="AP44" s="43" t="str">
        <f>((TotalAverages!AX36/MassFormulaTesting!$B$108)*0.68)+0.3</f>
        <v>#DIV/0!</v>
      </c>
      <c r="AQ44" s="7"/>
    </row>
    <row r="45">
      <c r="A45" s="56" t="str">
        <f>IFERROR(__xludf.DUMMYFUNCTION("Query(TotalAverages!A:AV,""Select A,S where A&lt;&gt;'' Order by S Desc Limit 1"")"),"OVERALL")</f>
        <v>OVERALL</v>
      </c>
      <c r="B45" s="54" t="str">
        <f>IFERROR(__xludf.DUMMYFUNCTION("""COMPUTED_VALUE"""),"avg Hammer Sprees")</f>
        <v>avg Hammer Sprees</v>
      </c>
      <c r="C45" s="52"/>
      <c r="D45" s="40" t="str">
        <f t="shared" si="1"/>
        <v>#DIV/0!</v>
      </c>
      <c r="E45" s="45" t="str">
        <f>TotalAverages!A37</f>
        <v>Scullen cx</v>
      </c>
      <c r="F45" s="46">
        <f t="shared" si="2"/>
        <v>0.3</v>
      </c>
      <c r="G45" s="47">
        <f>((TotalAverages!D37/MassFormulaTesting!$B$16)*0.68)+0.3</f>
        <v>0.6242370062</v>
      </c>
      <c r="H45" s="47">
        <f>((TotalAverages!E37/MassFormulaTesting!$B$18)*0.68)+0.3</f>
        <v>0.8006990881</v>
      </c>
      <c r="I45" s="47">
        <f>((TotalAverages!F37/MassFormulaTesting!$B$20)*0.68)+0.3</f>
        <v>-0.2523526012</v>
      </c>
      <c r="J45" s="47">
        <f>(IFERROR(MassFormulaTesting!$C$22/TotalAverages!G37,"")*0.68)+0.3</f>
        <v>3.205982906</v>
      </c>
      <c r="K45" s="13">
        <f>(((TotalAverages!H37+118)/(MassFormulaTesting!$B$24+118))*0.68)+0.3</f>
        <v>0.9609059603</v>
      </c>
      <c r="L45" s="47">
        <f>((TotalAverages!I37/MassFormulaTesting!$B$26)*0.68)+0.3</f>
        <v>0.5091</v>
      </c>
      <c r="M45" s="47">
        <f>((0.98-(TotalAverages!J37/MassFormulaTesting!$B$28)*0.68))</f>
        <v>0.5547297732</v>
      </c>
      <c r="N45" s="47">
        <f>((TotalAverages!K37/MassFormulaTesting!$B$30)*0.68)+0.3</f>
        <v>0.7529278846</v>
      </c>
      <c r="O45" s="47">
        <f>((TotalAverages!L37/MassFormulaTesting!$B$32)*0.68)+0.3</f>
        <v>0.4930767004</v>
      </c>
      <c r="P45" s="47">
        <f>((TotalAverages!M37/MassFormulaTesting!$B$34)*0.68)+0.3</f>
        <v>0.3180990588</v>
      </c>
      <c r="Q45" s="47" t="str">
        <f>((TotalAverages!N37/MassFormulaTesting!$B$36)*0.68)+0.3</f>
        <v>#DIV/0!</v>
      </c>
      <c r="R45" s="47">
        <f>((TotalAverages!O37/MassFormulaTesting!$B$38)*0.68)+0.3</f>
        <v>0.3935</v>
      </c>
      <c r="S45" s="47">
        <f>(IFERROR(TotalAverages!P37/MassFormulaTesting!$B$40,"")*0.68)+0.3</f>
        <v>0.3</v>
      </c>
      <c r="T45" s="47">
        <f>((TotalAverages!T37/MassFormulaTesting!$B$48)*0.68)+0.3</f>
        <v>0.3</v>
      </c>
      <c r="U45" s="47">
        <f>((TotalAverages!U37/MassFormulaTesting!$B$50)*0.68)+0.3</f>
        <v>0.5826506024</v>
      </c>
      <c r="V45" s="47">
        <f>((TotalAverages!V37/MassFormulaTesting!$B$52)*0.68)+0.3</f>
        <v>0.4986315789</v>
      </c>
      <c r="W45" s="47">
        <f>(IFERROR(TotalAverages!W37/MassFormulaTesting!$B$54,"")*0.68)+0.3</f>
        <v>0.4662222222</v>
      </c>
      <c r="X45" s="47">
        <f>(IFERROR(TotalAverages!X37/MassFormulaTesting!$B$56,"")*0.68)+0.3</f>
        <v>0.436</v>
      </c>
      <c r="Y45" s="47">
        <f>(IFERROR(TotalAverages!Y37/MassFormulaTesting!$B$58,"")*0.68)+0.3</f>
        <v>0.402</v>
      </c>
      <c r="Z45" s="43">
        <f>(IFERROR(TotalAverages!Z37/MassFormulaTesting!$B$60,"")*0.68)+0.3</f>
        <v>0.3</v>
      </c>
      <c r="AA45" s="43">
        <f>((TotalAverages!AD37/MassFormulaTesting!$B$68)*0.68)+0.3</f>
        <v>0.3</v>
      </c>
      <c r="AB45" s="43" t="str">
        <f>((TotalAverages!AG37/MassFormulaTesting!$B$74)*0.68)+0.3</f>
        <v>#DIV/0!</v>
      </c>
      <c r="AC45" s="43" t="str">
        <f>((TotalAverages!AH37/MassFormulaTesting!$B$76)*0.68)+0.3</f>
        <v>#DIV/0!</v>
      </c>
      <c r="AD45" s="43" t="str">
        <f>((TotalAverages!AK37/MassFormulaTesting!$B$82)*0.68)+0.3</f>
        <v>#DIV/0!</v>
      </c>
      <c r="AE45" s="43" t="str">
        <f>((TotalAverages!AL37/MassFormulaTesting!$B$84)*0.68)+0.3</f>
        <v>#DIV/0!</v>
      </c>
      <c r="AF45" s="43" t="str">
        <f>((TotalAverages!AM37/MassFormulaTesting!$B$86)*0.68)+0.3</f>
        <v>#DIV/0!</v>
      </c>
      <c r="AG45" s="43" t="str">
        <f>((TotalAverages!AN37/MassFormulaTesting!$B$88)*0.68)+0.3</f>
        <v>#DIV/0!</v>
      </c>
      <c r="AH45" s="43" t="str">
        <f>((TotalAverages!AO37/MassFormulaTesting!$B$90)*0.68)+0.3</f>
        <v>#DIV/0!</v>
      </c>
      <c r="AI45" s="43" t="str">
        <f>((TotalAverages!AP37/MassFormulaTesting!$B$92)*0.68)+0.3</f>
        <v>#DIV/0!</v>
      </c>
      <c r="AJ45" s="43" t="str">
        <f>((TotalAverages!AQ37/MassFormulaTesting!$B$94)*0.68)+0.3</f>
        <v>#DIV/0!</v>
      </c>
      <c r="AK45" s="43" t="str">
        <f>((TotalAverages!AR37/MassFormulaTesting!$B$96)*0.68)+0.3</f>
        <v>#DIV/0!</v>
      </c>
      <c r="AL45" s="43" t="str">
        <f>((TotalAverages!AS37/MassFormulaTesting!$B$98)*0.68)+0.3</f>
        <v>#DIV/0!</v>
      </c>
      <c r="AM45" s="43" t="str">
        <f>((TotalAverages!AT37/MassFormulaTesting!$B$100)*0.68)+0.3</f>
        <v>#DIV/0!</v>
      </c>
      <c r="AN45" s="43" t="str">
        <f>((TotalAverages!AV37/MassFormulaTesting!$B$104)*0.68)+0.3</f>
        <v>#DIV/0!</v>
      </c>
      <c r="AO45" s="43" t="str">
        <f>((TotalAverages!AW37/MassFormulaTesting!$B$106)*0.68)+0.3</f>
        <v>#DIV/0!</v>
      </c>
      <c r="AP45" s="43" t="str">
        <f>((TotalAverages!AX37/MassFormulaTesting!$B$108)*0.68)+0.3</f>
        <v>#DIV/0!</v>
      </c>
      <c r="AQ45" s="7"/>
    </row>
    <row r="46">
      <c r="A46" s="50" t="str">
        <f>IFERROR(__xludf.DUMMYFUNCTION("""COMPUTED_VALUE"""),"Judasey")</f>
        <v>Judasey</v>
      </c>
      <c r="B46" s="51">
        <f>IFERROR(__xludf.DUMMYFUNCTION("""COMPUTED_VALUE"""),4.0)</f>
        <v>4</v>
      </c>
      <c r="C46" s="52"/>
      <c r="D46" s="40" t="str">
        <f t="shared" si="1"/>
        <v>#DIV/0!</v>
      </c>
      <c r="E46" s="45" t="str">
        <f>TotalAverages!A38</f>
        <v>Solace VIII</v>
      </c>
      <c r="F46" s="46">
        <f t="shared" si="2"/>
        <v>0.3</v>
      </c>
      <c r="G46" s="47">
        <f>((TotalAverages!D38/MassFormulaTesting!$B$16)*0.68)+0.3</f>
        <v>0.8361217161</v>
      </c>
      <c r="H46" s="47">
        <f>((TotalAverages!E38/MassFormulaTesting!$B$18)*0.68)+0.3</f>
        <v>0.8551423045</v>
      </c>
      <c r="I46" s="47">
        <f>((TotalAverages!F38/MassFormulaTesting!$B$20)*0.68)+0.3</f>
        <v>0.5879190751</v>
      </c>
      <c r="J46" s="47">
        <f>(IFERROR(MassFormulaTesting!$C$22/TotalAverages!G38,"")*0.68)+0.3</f>
        <v>2.278835979</v>
      </c>
      <c r="K46" s="13">
        <f>(((TotalAverages!H38+118)/(MassFormulaTesting!$B$24+118))*0.68)+0.3</f>
        <v>0.9678819988</v>
      </c>
      <c r="L46" s="47">
        <f>((TotalAverages!I38/MassFormulaTesting!$B$26)*0.68)+0.3</f>
        <v>0.4112727273</v>
      </c>
      <c r="M46" s="47">
        <f>((0.98-(TotalAverages!J38/MassFormulaTesting!$B$28)*0.68))</f>
        <v>0.4251434509</v>
      </c>
      <c r="N46" s="47">
        <f>((TotalAverages!K38/MassFormulaTesting!$B$30)*0.68)+0.3</f>
        <v>0.8605725524</v>
      </c>
      <c r="O46" s="47">
        <f>((TotalAverages!L38/MassFormulaTesting!$B$32)*0.68)+0.3</f>
        <v>0.5343007499</v>
      </c>
      <c r="P46" s="47">
        <f>((TotalAverages!M38/MassFormulaTesting!$B$34)*0.68)+0.3</f>
        <v>0.3115605055</v>
      </c>
      <c r="Q46" s="47" t="str">
        <f>((TotalAverages!N38/MassFormulaTesting!$B$36)*0.68)+0.3</f>
        <v>#DIV/0!</v>
      </c>
      <c r="R46" s="47">
        <f>((TotalAverages!O38/MassFormulaTesting!$B$38)*0.68)+0.3</f>
        <v>0.7327272727</v>
      </c>
      <c r="S46" s="47">
        <f>(IFERROR(TotalAverages!P38/MassFormulaTesting!$B$40,"")*0.68)+0.3</f>
        <v>0.3</v>
      </c>
      <c r="T46" s="47">
        <f>((TotalAverages!T38/MassFormulaTesting!$B$48)*0.68)+0.3</f>
        <v>0.3</v>
      </c>
      <c r="U46" s="47">
        <f>((TotalAverages!U38/MassFormulaTesting!$B$50)*0.68)+0.3</f>
        <v>0.7792771084</v>
      </c>
      <c r="V46" s="47">
        <f>((TotalAverages!V38/MassFormulaTesting!$B$52)*0.68)+0.3</f>
        <v>0.6562679426</v>
      </c>
      <c r="W46" s="47">
        <f>(IFERROR(TotalAverages!W38/MassFormulaTesting!$B$54,"")*0.68)+0.3</f>
        <v>0.702962963</v>
      </c>
      <c r="X46" s="47">
        <f>(IFERROR(TotalAverages!X38/MassFormulaTesting!$B$56,"")*0.68)+0.3</f>
        <v>0.5472727273</v>
      </c>
      <c r="Y46" s="47">
        <f>(IFERROR(TotalAverages!Y38/MassFormulaTesting!$B$58,"")*0.68)+0.3</f>
        <v>0.3927272727</v>
      </c>
      <c r="Z46" s="43">
        <f>(IFERROR(TotalAverages!Z38/MassFormulaTesting!$B$60,"")*0.68)+0.3</f>
        <v>0.3</v>
      </c>
      <c r="AA46" s="43">
        <f>((TotalAverages!AD38/MassFormulaTesting!$B$68)*0.68)+0.3</f>
        <v>0.3</v>
      </c>
      <c r="AB46" s="43" t="str">
        <f>((TotalAverages!AG38/MassFormulaTesting!$B$74)*0.68)+0.3</f>
        <v>#DIV/0!</v>
      </c>
      <c r="AC46" s="43" t="str">
        <f>((TotalAverages!AH38/MassFormulaTesting!$B$76)*0.68)+0.3</f>
        <v>#DIV/0!</v>
      </c>
      <c r="AD46" s="43" t="str">
        <f>((TotalAverages!AK38/MassFormulaTesting!$B$82)*0.68)+0.3</f>
        <v>#DIV/0!</v>
      </c>
      <c r="AE46" s="43" t="str">
        <f>((TotalAverages!AL38/MassFormulaTesting!$B$84)*0.68)+0.3</f>
        <v>#DIV/0!</v>
      </c>
      <c r="AF46" s="43" t="str">
        <f>((TotalAverages!AM38/MassFormulaTesting!$B$86)*0.68)+0.3</f>
        <v>#DIV/0!</v>
      </c>
      <c r="AG46" s="43" t="str">
        <f>((TotalAverages!AN38/MassFormulaTesting!$B$88)*0.68)+0.3</f>
        <v>#DIV/0!</v>
      </c>
      <c r="AH46" s="43" t="str">
        <f>((TotalAverages!AO38/MassFormulaTesting!$B$90)*0.68)+0.3</f>
        <v>#DIV/0!</v>
      </c>
      <c r="AI46" s="43" t="str">
        <f>((TotalAverages!AP38/MassFormulaTesting!$B$92)*0.68)+0.3</f>
        <v>#DIV/0!</v>
      </c>
      <c r="AJ46" s="43" t="str">
        <f>((TotalAverages!AQ38/MassFormulaTesting!$B$94)*0.68)+0.3</f>
        <v>#DIV/0!</v>
      </c>
      <c r="AK46" s="43" t="str">
        <f>((TotalAverages!AR38/MassFormulaTesting!$B$96)*0.68)+0.3</f>
        <v>#DIV/0!</v>
      </c>
      <c r="AL46" s="43" t="str">
        <f>((TotalAverages!AS38/MassFormulaTesting!$B$98)*0.68)+0.3</f>
        <v>#DIV/0!</v>
      </c>
      <c r="AM46" s="43" t="str">
        <f>((TotalAverages!AT38/MassFormulaTesting!$B$100)*0.68)+0.3</f>
        <v>#DIV/0!</v>
      </c>
      <c r="AN46" s="43" t="str">
        <f>((TotalAverages!AV38/MassFormulaTesting!$B$104)*0.68)+0.3</f>
        <v>#DIV/0!</v>
      </c>
      <c r="AO46" s="43" t="str">
        <f>((TotalAverages!AW38/MassFormulaTesting!$B$106)*0.68)+0.3</f>
        <v>#DIV/0!</v>
      </c>
      <c r="AP46" s="43" t="str">
        <f>((TotalAverages!AX38/MassFormulaTesting!$B$108)*0.68)+0.3</f>
        <v>#DIV/0!</v>
      </c>
      <c r="AQ46" s="7"/>
    </row>
    <row r="47">
      <c r="A47" s="56" t="str">
        <f>IFERROR(__xludf.DUMMYFUNCTION("Query(TotalAverages!A:AV,""Select A,T where A&lt;&gt;'' Order by T Desc Limit 1"")"),"OVERALL")</f>
        <v>OVERALL</v>
      </c>
      <c r="B47" s="54" t="str">
        <f>IFERROR(__xludf.DUMMYFUNCTION("""COMPUTED_VALUE"""),"avg Sword Sprees")</f>
        <v>avg Sword Sprees</v>
      </c>
      <c r="C47" s="52"/>
      <c r="D47" s="40" t="str">
        <f t="shared" si="1"/>
        <v>#DIV/0!</v>
      </c>
      <c r="E47" s="45" t="str">
        <f>TotalAverages!A39</f>
        <v>TommyWstSide</v>
      </c>
      <c r="F47" s="46">
        <f t="shared" si="2"/>
        <v>0.3</v>
      </c>
      <c r="G47" s="47">
        <f>((TotalAverages!D39/MassFormulaTesting!$B$16)*0.68)+0.3</f>
        <v>0.6306088506</v>
      </c>
      <c r="H47" s="47">
        <f>((TotalAverages!E39/MassFormulaTesting!$B$18)*0.68)+0.3</f>
        <v>0.8088804458</v>
      </c>
      <c r="I47" s="47">
        <f>((TotalAverages!F39/MassFormulaTesting!$B$20)*0.68)+0.3</f>
        <v>-0.2559042114</v>
      </c>
      <c r="J47" s="47">
        <f>(IFERROR(MassFormulaTesting!$C$22/TotalAverages!G39,"")*0.68)+0.3</f>
        <v>4.997368421</v>
      </c>
      <c r="K47" s="13">
        <f>(((TotalAverages!H39+118)/(MassFormulaTesting!$B$24+118))*0.68)+0.3</f>
        <v>0.958512772</v>
      </c>
      <c r="L47" s="47">
        <f>((TotalAverages!I39/MassFormulaTesting!$B$26)*0.68)+0.3</f>
        <v>0.3825714286</v>
      </c>
      <c r="M47" s="47">
        <f>((0.98-(TotalAverages!J39/MassFormulaTesting!$B$28)*0.68))</f>
        <v>0.5320046947</v>
      </c>
      <c r="N47" s="47">
        <f>((TotalAverages!K39/MassFormulaTesting!$B$30)*0.68)+0.3</f>
        <v>0.7734203297</v>
      </c>
      <c r="O47" s="47">
        <f>((TotalAverages!L39/MassFormulaTesting!$B$32)*0.68)+0.3</f>
        <v>0.5007525326</v>
      </c>
      <c r="P47" s="47">
        <f>((TotalAverages!M39/MassFormulaTesting!$B$34)*0.68)+0.3</f>
        <v>0.3049763044</v>
      </c>
      <c r="Q47" s="47" t="str">
        <f>((TotalAverages!N39/MassFormulaTesting!$B$36)*0.68)+0.3</f>
        <v>#DIV/0!</v>
      </c>
      <c r="R47" s="47">
        <f>((TotalAverages!O39/MassFormulaTesting!$B$38)*0.68)+0.3</f>
        <v>0.3242857143</v>
      </c>
      <c r="S47" s="47">
        <f>(IFERROR(TotalAverages!P39/MassFormulaTesting!$B$40,"")*0.68)+0.3</f>
        <v>0.3</v>
      </c>
      <c r="T47" s="47">
        <f>((TotalAverages!T39/MassFormulaTesting!$B$48)*0.68)+0.3</f>
        <v>0.3</v>
      </c>
      <c r="U47" s="47">
        <f>((TotalAverages!U39/MassFormulaTesting!$B$50)*0.68)+0.3</f>
        <v>0.5200344234</v>
      </c>
      <c r="V47" s="47">
        <f>((TotalAverages!V39/MassFormulaTesting!$B$52)*0.68)+0.3</f>
        <v>0.3920300752</v>
      </c>
      <c r="W47" s="47">
        <f>(IFERROR(TotalAverages!W39/MassFormulaTesting!$B$54,"")*0.68)+0.3</f>
        <v>0.4583068783</v>
      </c>
      <c r="X47" s="47">
        <f>(IFERROR(TotalAverages!X39/MassFormulaTesting!$B$56,"")*0.68)+0.3</f>
        <v>0.3</v>
      </c>
      <c r="Y47" s="47">
        <f>(IFERROR(TotalAverages!Y39/MassFormulaTesting!$B$58,"")*0.68)+0.3</f>
        <v>0.3</v>
      </c>
      <c r="Z47" s="43">
        <f>(IFERROR(TotalAverages!Z39/MassFormulaTesting!$B$60,"")*0.68)+0.3</f>
        <v>0.3</v>
      </c>
      <c r="AA47" s="43">
        <f>((TotalAverages!AD39/MassFormulaTesting!$B$68)*0.68)+0.3</f>
        <v>0.3</v>
      </c>
      <c r="AB47" s="43" t="str">
        <f>((TotalAverages!AG39/MassFormulaTesting!$B$74)*0.68)+0.3</f>
        <v>#DIV/0!</v>
      </c>
      <c r="AC47" s="43" t="str">
        <f>((TotalAverages!AH39/MassFormulaTesting!$B$76)*0.68)+0.3</f>
        <v>#DIV/0!</v>
      </c>
      <c r="AD47" s="43" t="str">
        <f>((TotalAverages!AK39/MassFormulaTesting!$B$82)*0.68)+0.3</f>
        <v>#DIV/0!</v>
      </c>
      <c r="AE47" s="43" t="str">
        <f>((TotalAverages!AL39/MassFormulaTesting!$B$84)*0.68)+0.3</f>
        <v>#DIV/0!</v>
      </c>
      <c r="AF47" s="43" t="str">
        <f>((TotalAverages!AM39/MassFormulaTesting!$B$86)*0.68)+0.3</f>
        <v>#DIV/0!</v>
      </c>
      <c r="AG47" s="43" t="str">
        <f>((TotalAverages!AN39/MassFormulaTesting!$B$88)*0.68)+0.3</f>
        <v>#DIV/0!</v>
      </c>
      <c r="AH47" s="43" t="str">
        <f>((TotalAverages!AO39/MassFormulaTesting!$B$90)*0.68)+0.3</f>
        <v>#DIV/0!</v>
      </c>
      <c r="AI47" s="43" t="str">
        <f>((TotalAverages!AP39/MassFormulaTesting!$B$92)*0.68)+0.3</f>
        <v>#DIV/0!</v>
      </c>
      <c r="AJ47" s="43" t="str">
        <f>((TotalAverages!AQ39/MassFormulaTesting!$B$94)*0.68)+0.3</f>
        <v>#DIV/0!</v>
      </c>
      <c r="AK47" s="43" t="str">
        <f>((TotalAverages!AR39/MassFormulaTesting!$B$96)*0.68)+0.3</f>
        <v>#DIV/0!</v>
      </c>
      <c r="AL47" s="43" t="str">
        <f>((TotalAverages!AS39/MassFormulaTesting!$B$98)*0.68)+0.3</f>
        <v>#DIV/0!</v>
      </c>
      <c r="AM47" s="43" t="str">
        <f>((TotalAverages!AT39/MassFormulaTesting!$B$100)*0.68)+0.3</f>
        <v>#DIV/0!</v>
      </c>
      <c r="AN47" s="43" t="str">
        <f>((TotalAverages!AV39/MassFormulaTesting!$B$104)*0.68)+0.3</f>
        <v>#DIV/0!</v>
      </c>
      <c r="AO47" s="43" t="str">
        <f>((TotalAverages!AW39/MassFormulaTesting!$B$106)*0.68)+0.3</f>
        <v>#DIV/0!</v>
      </c>
      <c r="AP47" s="43" t="str">
        <f>((TotalAverages!AX39/MassFormulaTesting!$B$108)*0.68)+0.3</f>
        <v>#DIV/0!</v>
      </c>
      <c r="AQ47" s="7"/>
    </row>
    <row r="48">
      <c r="A48" s="50" t="str">
        <f>IFERROR(__xludf.DUMMYFUNCTION("""COMPUTED_VALUE"""),"Doerstopper")</f>
        <v>Doerstopper</v>
      </c>
      <c r="B48" s="51">
        <f>IFERROR(__xludf.DUMMYFUNCTION("""COMPUTED_VALUE"""),0.05555555555555555)</f>
        <v>0.05555555556</v>
      </c>
      <c r="C48" s="52"/>
      <c r="D48" s="40" t="str">
        <f t="shared" si="1"/>
        <v>#DIV/0!</v>
      </c>
      <c r="E48" s="45" t="str">
        <f>TotalAverages!A40</f>
        <v>ixGingy</v>
      </c>
      <c r="F48" s="46">
        <f t="shared" si="2"/>
        <v>0.3</v>
      </c>
      <c r="G48" s="47">
        <f>((TotalAverages!D40/MassFormulaTesting!$B$16)*0.68)+0.3</f>
        <v>0.7406569647</v>
      </c>
      <c r="H48" s="47">
        <f>((TotalAverages!E40/MassFormulaTesting!$B$18)*0.68)+0.3</f>
        <v>0.7659692249</v>
      </c>
      <c r="I48" s="47">
        <f>((TotalAverages!F40/MassFormulaTesting!$B$20)*0.68)+0.3</f>
        <v>0.4940260116</v>
      </c>
      <c r="J48" s="47">
        <f>(IFERROR(MassFormulaTesting!$C$22/TotalAverages!G40,"")*0.68)+0.3</f>
        <v>2.790842491</v>
      </c>
      <c r="K48" s="13">
        <f>(((TotalAverages!H40+118)/(MassFormulaTesting!$B$24+118))*0.68)+0.3</f>
        <v>0.9718490066</v>
      </c>
      <c r="L48" s="47">
        <f>((TotalAverages!I40/MassFormulaTesting!$B$26)*0.68)+0.3</f>
        <v>0.4887</v>
      </c>
      <c r="M48" s="47">
        <f>((0.98-(TotalAverages!J40/MassFormulaTesting!$B$28)*0.68))</f>
        <v>0.4523563136</v>
      </c>
      <c r="N48" s="47">
        <f>((TotalAverages!K40/MassFormulaTesting!$B$30)*0.68)+0.3</f>
        <v>0.8250360577</v>
      </c>
      <c r="O48" s="47">
        <f>((TotalAverages!L40/MassFormulaTesting!$B$32)*0.68)+0.3</f>
        <v>0.5874008683</v>
      </c>
      <c r="P48" s="47">
        <f>((TotalAverages!M40/MassFormulaTesting!$B$34)*0.68)+0.3</f>
        <v>0.4577451011</v>
      </c>
      <c r="Q48" s="47" t="str">
        <f>((TotalAverages!N40/MassFormulaTesting!$B$36)*0.68)+0.3</f>
        <v>#DIV/0!</v>
      </c>
      <c r="R48" s="47">
        <f>((TotalAverages!O40/MassFormulaTesting!$B$38)*0.68)+0.3</f>
        <v>0.657</v>
      </c>
      <c r="S48" s="47">
        <f>(IFERROR(TotalAverages!P40/MassFormulaTesting!$B$40,"")*0.68)+0.3</f>
        <v>0.4734</v>
      </c>
      <c r="T48" s="47">
        <f>((TotalAverages!T40/MassFormulaTesting!$B$48)*0.68)+0.3</f>
        <v>0.3</v>
      </c>
      <c r="U48" s="47">
        <f>((TotalAverages!U40/MassFormulaTesting!$B$50)*0.68)+0.3</f>
        <v>0.6735903614</v>
      </c>
      <c r="V48" s="47">
        <f>((TotalAverages!V40/MassFormulaTesting!$B$52)*0.68)+0.3</f>
        <v>0.5979473684</v>
      </c>
      <c r="W48" s="47">
        <f>(IFERROR(TotalAverages!W40/MassFormulaTesting!$B$54,"")*0.68)+0.3</f>
        <v>0.6601481481</v>
      </c>
      <c r="X48" s="47">
        <f>(IFERROR(TotalAverages!X40/MassFormulaTesting!$B$56,"")*0.68)+0.3</f>
        <v>0.47</v>
      </c>
      <c r="Y48" s="47">
        <f>(IFERROR(TotalAverages!Y40/MassFormulaTesting!$B$58,"")*0.68)+0.3</f>
        <v>0.3</v>
      </c>
      <c r="Z48" s="43">
        <f>(IFERROR(TotalAverages!Z40/MassFormulaTesting!$B$60,"")*0.68)+0.3</f>
        <v>0.3</v>
      </c>
      <c r="AA48" s="43">
        <f>((TotalAverages!AD40/MassFormulaTesting!$B$68)*0.68)+0.3</f>
        <v>0.3</v>
      </c>
      <c r="AB48" s="43" t="str">
        <f>((TotalAverages!AG40/MassFormulaTesting!$B$74)*0.68)+0.3</f>
        <v>#DIV/0!</v>
      </c>
      <c r="AC48" s="43" t="str">
        <f>((TotalAverages!AH40/MassFormulaTesting!$B$76)*0.68)+0.3</f>
        <v>#DIV/0!</v>
      </c>
      <c r="AD48" s="43" t="str">
        <f>((TotalAverages!AK40/MassFormulaTesting!$B$82)*0.68)+0.3</f>
        <v>#DIV/0!</v>
      </c>
      <c r="AE48" s="43" t="str">
        <f>((TotalAverages!AL40/MassFormulaTesting!$B$84)*0.68)+0.3</f>
        <v>#DIV/0!</v>
      </c>
      <c r="AF48" s="43" t="str">
        <f>((TotalAverages!AM40/MassFormulaTesting!$B$86)*0.68)+0.3</f>
        <v>#DIV/0!</v>
      </c>
      <c r="AG48" s="43" t="str">
        <f>((TotalAverages!AN40/MassFormulaTesting!$B$88)*0.68)+0.3</f>
        <v>#DIV/0!</v>
      </c>
      <c r="AH48" s="43" t="str">
        <f>((TotalAverages!AO40/MassFormulaTesting!$B$90)*0.68)+0.3</f>
        <v>#DIV/0!</v>
      </c>
      <c r="AI48" s="43" t="str">
        <f>((TotalAverages!AP40/MassFormulaTesting!$B$92)*0.68)+0.3</f>
        <v>#DIV/0!</v>
      </c>
      <c r="AJ48" s="43" t="str">
        <f>((TotalAverages!AQ40/MassFormulaTesting!$B$94)*0.68)+0.3</f>
        <v>#DIV/0!</v>
      </c>
      <c r="AK48" s="43" t="str">
        <f>((TotalAverages!AR40/MassFormulaTesting!$B$96)*0.68)+0.3</f>
        <v>#DIV/0!</v>
      </c>
      <c r="AL48" s="43" t="str">
        <f>((TotalAverages!AS40/MassFormulaTesting!$B$98)*0.68)+0.3</f>
        <v>#DIV/0!</v>
      </c>
      <c r="AM48" s="43" t="str">
        <f>((TotalAverages!AT40/MassFormulaTesting!$B$100)*0.68)+0.3</f>
        <v>#DIV/0!</v>
      </c>
      <c r="AN48" s="43" t="str">
        <f>((TotalAverages!AV40/MassFormulaTesting!$B$104)*0.68)+0.3</f>
        <v>#DIV/0!</v>
      </c>
      <c r="AO48" s="43" t="str">
        <f>((TotalAverages!AW40/MassFormulaTesting!$B$106)*0.68)+0.3</f>
        <v>#DIV/0!</v>
      </c>
      <c r="AP48" s="43" t="str">
        <f>((TotalAverages!AX40/MassFormulaTesting!$B$108)*0.68)+0.3</f>
        <v>#DIV/0!</v>
      </c>
      <c r="AQ48" s="7"/>
    </row>
    <row r="49">
      <c r="A49" s="56" t="str">
        <f>IFERROR(__xludf.DUMMYFUNCTION("Query(TotalAverages!A:AV,""Select A,U where A&lt;&gt;'' Order by U Desc Limit 1"")"),"OVERALL")</f>
        <v>OVERALL</v>
      </c>
      <c r="B49" s="54" t="str">
        <f>IFERROR(__xludf.DUMMYFUNCTION("""COMPUTED_VALUE"""),"avg Double Kills")</f>
        <v>avg Double Kills</v>
      </c>
      <c r="C49" s="52"/>
      <c r="D49" s="40" t="str">
        <f t="shared" si="1"/>
        <v>#DIV/0!</v>
      </c>
      <c r="E49" s="45" t="str">
        <f>TotalAverages!A41</f>
        <v>oDhmon</v>
      </c>
      <c r="F49" s="46">
        <f t="shared" si="2"/>
        <v>0.3</v>
      </c>
      <c r="G49" s="47">
        <f>((TotalAverages!D41/MassFormulaTesting!$B$16)*0.68)+0.3</f>
        <v>0.8451823852</v>
      </c>
      <c r="H49" s="47">
        <f>((TotalAverages!E41/MassFormulaTesting!$B$18)*0.68)+0.3</f>
        <v>0.7766012711</v>
      </c>
      <c r="I49" s="47">
        <f>((TotalAverages!F41/MassFormulaTesting!$B$20)*0.68)+0.3</f>
        <v>0.98</v>
      </c>
      <c r="J49" s="47">
        <f>(IFERROR(MassFormulaTesting!$C$22/TotalAverages!G41,"")*0.68)+0.3</f>
        <v>2.844217687</v>
      </c>
      <c r="K49" s="13">
        <f>(((TotalAverages!H41+118)/(MassFormulaTesting!$B$24+118))*0.68)+0.3</f>
        <v>0.9715665262</v>
      </c>
      <c r="L49" s="47">
        <f>((TotalAverages!I41/MassFormulaTesting!$B$26)*0.68)+0.3</f>
        <v>0.4715454545</v>
      </c>
      <c r="M49" s="47">
        <f>((0.98-(TotalAverages!J41/MassFormulaTesting!$B$28)*0.68))</f>
        <v>0.3852139181</v>
      </c>
      <c r="N49" s="47">
        <f>((TotalAverages!K41/MassFormulaTesting!$B$30)*0.68)+0.3</f>
        <v>0.8799781469</v>
      </c>
      <c r="O49" s="47">
        <f>((TotalAverages!L41/MassFormulaTesting!$B$32)*0.68)+0.3</f>
        <v>0.5938823839</v>
      </c>
      <c r="P49" s="47">
        <f>((TotalAverages!M41/MassFormulaTesting!$B$34)*0.68)+0.3</f>
        <v>0.3459272559</v>
      </c>
      <c r="Q49" s="47" t="str">
        <f>((TotalAverages!N41/MassFormulaTesting!$B$36)*0.68)+0.3</f>
        <v>#DIV/0!</v>
      </c>
      <c r="R49" s="47">
        <f>((TotalAverages!O41/MassFormulaTesting!$B$38)*0.68)+0.3</f>
        <v>0.8254545455</v>
      </c>
      <c r="S49" s="47">
        <f>(IFERROR(TotalAverages!P41/MassFormulaTesting!$B$40,"")*0.68)+0.3</f>
        <v>0.3</v>
      </c>
      <c r="T49" s="47">
        <f>((TotalAverages!T41/MassFormulaTesting!$B$48)*0.68)+0.3</f>
        <v>0.3</v>
      </c>
      <c r="U49" s="47">
        <f>((TotalAverages!U41/MassFormulaTesting!$B$50)*0.68)+0.3</f>
        <v>0.8273165389</v>
      </c>
      <c r="V49" s="47">
        <f>((TotalAverages!V41/MassFormulaTesting!$B$52)*0.68)+0.3</f>
        <v>0.6562679426</v>
      </c>
      <c r="W49" s="47">
        <f>(IFERROR(TotalAverages!W41/MassFormulaTesting!$B$54,"")*0.68)+0.3</f>
        <v>0.6274074074</v>
      </c>
      <c r="X49" s="47">
        <f>(IFERROR(TotalAverages!X41/MassFormulaTesting!$B$56,"")*0.68)+0.3</f>
        <v>0.4854545455</v>
      </c>
      <c r="Y49" s="47">
        <f>(IFERROR(TotalAverages!Y41/MassFormulaTesting!$B$58,"")*0.68)+0.3</f>
        <v>0.4854545455</v>
      </c>
      <c r="Z49" s="43">
        <f>(IFERROR(TotalAverages!Z41/MassFormulaTesting!$B$60,"")*0.68)+0.3</f>
        <v>0.6193939394</v>
      </c>
      <c r="AA49" s="43">
        <f>((TotalAverages!AD41/MassFormulaTesting!$B$68)*0.68)+0.3</f>
        <v>0.3</v>
      </c>
      <c r="AB49" s="43" t="str">
        <f>((TotalAverages!AG41/MassFormulaTesting!$B$74)*0.68)+0.3</f>
        <v>#DIV/0!</v>
      </c>
      <c r="AC49" s="43" t="str">
        <f>((TotalAverages!AH41/MassFormulaTesting!$B$76)*0.68)+0.3</f>
        <v>#DIV/0!</v>
      </c>
      <c r="AD49" s="43" t="str">
        <f>((TotalAverages!AK41/MassFormulaTesting!$B$82)*0.68)+0.3</f>
        <v>#DIV/0!</v>
      </c>
      <c r="AE49" s="43" t="str">
        <f>((TotalAverages!AL41/MassFormulaTesting!$B$84)*0.68)+0.3</f>
        <v>#DIV/0!</v>
      </c>
      <c r="AF49" s="43" t="str">
        <f>((TotalAverages!AM41/MassFormulaTesting!$B$86)*0.68)+0.3</f>
        <v>#DIV/0!</v>
      </c>
      <c r="AG49" s="43" t="str">
        <f>((TotalAverages!AN41/MassFormulaTesting!$B$88)*0.68)+0.3</f>
        <v>#DIV/0!</v>
      </c>
      <c r="AH49" s="43" t="str">
        <f>((TotalAverages!AO41/MassFormulaTesting!$B$90)*0.68)+0.3</f>
        <v>#DIV/0!</v>
      </c>
      <c r="AI49" s="43" t="str">
        <f>((TotalAverages!AP41/MassFormulaTesting!$B$92)*0.68)+0.3</f>
        <v>#DIV/0!</v>
      </c>
      <c r="AJ49" s="43" t="str">
        <f>((TotalAverages!AQ41/MassFormulaTesting!$B$94)*0.68)+0.3</f>
        <v>#DIV/0!</v>
      </c>
      <c r="AK49" s="43" t="str">
        <f>((TotalAverages!AR41/MassFormulaTesting!$B$96)*0.68)+0.3</f>
        <v>#DIV/0!</v>
      </c>
      <c r="AL49" s="43" t="str">
        <f>((TotalAverages!AS41/MassFormulaTesting!$B$98)*0.68)+0.3</f>
        <v>#DIV/0!</v>
      </c>
      <c r="AM49" s="43" t="str">
        <f>((TotalAverages!AT41/MassFormulaTesting!$B$100)*0.68)+0.3</f>
        <v>#DIV/0!</v>
      </c>
      <c r="AN49" s="43" t="str">
        <f>((TotalAverages!AV41/MassFormulaTesting!$B$104)*0.68)+0.3</f>
        <v>#DIV/0!</v>
      </c>
      <c r="AO49" s="43" t="str">
        <f>((TotalAverages!AW41/MassFormulaTesting!$B$106)*0.68)+0.3</f>
        <v>#DIV/0!</v>
      </c>
      <c r="AP49" s="43" t="str">
        <f>((TotalAverages!AX41/MassFormulaTesting!$B$108)*0.68)+0.3</f>
        <v>#DIV/0!</v>
      </c>
      <c r="AQ49" s="7"/>
    </row>
    <row r="50">
      <c r="A50" s="50" t="str">
        <f>IFERROR(__xludf.DUMMYFUNCTION("""COMPUTED_VALUE"""),"Judasey")</f>
        <v>Judasey</v>
      </c>
      <c r="B50" s="51">
        <f>IFERROR(__xludf.DUMMYFUNCTION("""COMPUTED_VALUE"""),27.666666666666668)</f>
        <v>27.66666667</v>
      </c>
      <c r="C50" s="52"/>
      <c r="D50" s="40" t="str">
        <f t="shared" si="1"/>
        <v>#DIV/0!</v>
      </c>
      <c r="E50" s="45" t="str">
        <f>TotalAverages!A42</f>
        <v>oh zilly</v>
      </c>
      <c r="F50" s="46">
        <f t="shared" si="2"/>
        <v>0.3</v>
      </c>
      <c r="G50" s="47">
        <f>((TotalAverages!D42/MassFormulaTesting!$B$16)*0.68)+0.3</f>
        <v>0.7986716271</v>
      </c>
      <c r="H50" s="47">
        <f>((TotalAverages!E42/MassFormulaTesting!$B$18)*0.68)+0.3</f>
        <v>0.98</v>
      </c>
      <c r="I50" s="47">
        <f>((TotalAverages!F42/MassFormulaTesting!$B$20)*0.68)+0.3</f>
        <v>-0.1528506237</v>
      </c>
      <c r="J50" s="47">
        <f>(IFERROR(MassFormulaTesting!$C$22/TotalAverages!G42,"")*0.68)+0.3</f>
        <v>2.31875</v>
      </c>
      <c r="K50" s="13">
        <f>(((TotalAverages!H42+118)/(MassFormulaTesting!$B$24+118))*0.68)+0.3</f>
        <v>0.9641199024</v>
      </c>
      <c r="L50" s="47">
        <f>((TotalAverages!I42/MassFormulaTesting!$B$26)*0.68)+0.3</f>
        <v>0.5523157895</v>
      </c>
      <c r="M50" s="47">
        <f>((0.98-(TotalAverages!J42/MassFormulaTesting!$B$28)*0.68))</f>
        <v>0.4485080983</v>
      </c>
      <c r="N50" s="47">
        <f>((TotalAverages!K42/MassFormulaTesting!$B$30)*0.68)+0.3</f>
        <v>0.8662348178</v>
      </c>
      <c r="O50" s="47">
        <f>((TotalAverages!L42/MassFormulaTesting!$B$32)*0.68)+0.3</f>
        <v>0.4817960241</v>
      </c>
      <c r="P50" s="47">
        <f>((TotalAverages!M42/MassFormulaTesting!$B$34)*0.68)+0.3</f>
        <v>0.3366122837</v>
      </c>
      <c r="Q50" s="47" t="str">
        <f>((TotalAverages!N42/MassFormulaTesting!$B$36)*0.68)+0.3</f>
        <v>#DIV/0!</v>
      </c>
      <c r="R50" s="47">
        <f>((TotalAverages!O42/MassFormulaTesting!$B$38)*0.68)+0.3</f>
        <v>0.4610526316</v>
      </c>
      <c r="S50" s="47">
        <f>(IFERROR(TotalAverages!P42/MassFormulaTesting!$B$40,"")*0.68)+0.3</f>
        <v>0.3</v>
      </c>
      <c r="T50" s="47">
        <f>((TotalAverages!T42/MassFormulaTesting!$B$48)*0.68)+0.3</f>
        <v>0.3</v>
      </c>
      <c r="U50" s="47">
        <f>((TotalAverages!U42/MassFormulaTesting!$B$50)*0.68)+0.3</f>
        <v>0.7424096386</v>
      </c>
      <c r="V50" s="47">
        <f>((TotalAverages!V42/MassFormulaTesting!$B$52)*0.68)+0.3</f>
        <v>0.6560110803</v>
      </c>
      <c r="W50" s="47">
        <f>(IFERROR(TotalAverages!W42/MassFormulaTesting!$B$54,"")*0.68)+0.3</f>
        <v>0.7082651072</v>
      </c>
      <c r="X50" s="47">
        <f>(IFERROR(TotalAverages!X42/MassFormulaTesting!$B$56,"")*0.68)+0.3</f>
        <v>0.4431578947</v>
      </c>
      <c r="Y50" s="47">
        <f>(IFERROR(TotalAverages!Y42/MassFormulaTesting!$B$58,"")*0.68)+0.3</f>
        <v>0.3</v>
      </c>
      <c r="Z50" s="43">
        <f>(IFERROR(TotalAverages!Z42/MassFormulaTesting!$B$60,"")*0.68)+0.3</f>
        <v>0.3</v>
      </c>
      <c r="AA50" s="43">
        <f>((TotalAverages!AD42/MassFormulaTesting!$B$68)*0.68)+0.3</f>
        <v>0.3</v>
      </c>
      <c r="AB50" s="43" t="str">
        <f>((TotalAverages!AG42/MassFormulaTesting!$B$74)*0.68)+0.3</f>
        <v>#DIV/0!</v>
      </c>
      <c r="AC50" s="43" t="str">
        <f>((TotalAverages!AH42/MassFormulaTesting!$B$76)*0.68)+0.3</f>
        <v>#DIV/0!</v>
      </c>
      <c r="AD50" s="43" t="str">
        <f>((TotalAverages!AK42/MassFormulaTesting!$B$82)*0.68)+0.3</f>
        <v>#DIV/0!</v>
      </c>
      <c r="AE50" s="43" t="str">
        <f>((TotalAverages!AL42/MassFormulaTesting!$B$84)*0.68)+0.3</f>
        <v>#DIV/0!</v>
      </c>
      <c r="AF50" s="43" t="str">
        <f>((TotalAverages!AM42/MassFormulaTesting!$B$86)*0.68)+0.3</f>
        <v>#DIV/0!</v>
      </c>
      <c r="AG50" s="43" t="str">
        <f>((TotalAverages!AN42/MassFormulaTesting!$B$88)*0.68)+0.3</f>
        <v>#DIV/0!</v>
      </c>
      <c r="AH50" s="43" t="str">
        <f>((TotalAverages!AO42/MassFormulaTesting!$B$90)*0.68)+0.3</f>
        <v>#DIV/0!</v>
      </c>
      <c r="AI50" s="43" t="str">
        <f>((TotalAverages!AP42/MassFormulaTesting!$B$92)*0.68)+0.3</f>
        <v>#DIV/0!</v>
      </c>
      <c r="AJ50" s="43" t="str">
        <f>((TotalAverages!AQ42/MassFormulaTesting!$B$94)*0.68)+0.3</f>
        <v>#DIV/0!</v>
      </c>
      <c r="AK50" s="43" t="str">
        <f>((TotalAverages!AR42/MassFormulaTesting!$B$96)*0.68)+0.3</f>
        <v>#DIV/0!</v>
      </c>
      <c r="AL50" s="43" t="str">
        <f>((TotalAverages!AS42/MassFormulaTesting!$B$98)*0.68)+0.3</f>
        <v>#DIV/0!</v>
      </c>
      <c r="AM50" s="43" t="str">
        <f>((TotalAverages!AT42/MassFormulaTesting!$B$100)*0.68)+0.3</f>
        <v>#DIV/0!</v>
      </c>
      <c r="AN50" s="43" t="str">
        <f>((TotalAverages!AV42/MassFormulaTesting!$B$104)*0.68)+0.3</f>
        <v>#DIV/0!</v>
      </c>
      <c r="AO50" s="43" t="str">
        <f>((TotalAverages!AW42/MassFormulaTesting!$B$106)*0.68)+0.3</f>
        <v>#DIV/0!</v>
      </c>
      <c r="AP50" s="43" t="str">
        <f>((TotalAverages!AX42/MassFormulaTesting!$B$108)*0.68)+0.3</f>
        <v>#DIV/0!</v>
      </c>
      <c r="AQ50" s="7"/>
    </row>
    <row r="51">
      <c r="A51" s="56" t="str">
        <f>IFERROR(__xludf.DUMMYFUNCTION("Query(TotalAverages!A:AV,""Select A,V where A&lt;&gt;'' Order by V Desc Limit 1"")"),"OVERALL")</f>
        <v>OVERALL</v>
      </c>
      <c r="B51" s="54" t="str">
        <f>IFERROR(__xludf.DUMMYFUNCTION("""COMPUTED_VALUE"""),"avg Triple Kills")</f>
        <v>avg Triple Kills</v>
      </c>
      <c r="C51" s="52"/>
      <c r="D51" s="40" t="str">
        <f t="shared" si="1"/>
        <v>#DIV/0!</v>
      </c>
      <c r="E51" s="45" t="str">
        <f>TotalAverages!A43</f>
        <v>yLuxe</v>
      </c>
      <c r="F51" s="46">
        <f t="shared" si="2"/>
        <v>0.3</v>
      </c>
      <c r="G51" s="47">
        <f>((TotalAverages!D43/MassFormulaTesting!$B$16)*0.68)+0.3</f>
        <v>0.6101351351</v>
      </c>
      <c r="H51" s="47">
        <f>((TotalAverages!E43/MassFormulaTesting!$B$18)*0.68)+0.3</f>
        <v>0.5722346758</v>
      </c>
      <c r="I51" s="47">
        <f>((TotalAverages!F43/MassFormulaTesting!$B$20)*0.68)+0.3</f>
        <v>0.6819267823</v>
      </c>
      <c r="J51" s="47">
        <f>(IFERROR(MassFormulaTesting!$C$22/TotalAverages!G43,"")*0.68)+0.3</f>
        <v>7.457894737</v>
      </c>
      <c r="K51" s="13">
        <f>(((TotalAverages!H43+118)/(MassFormulaTesting!$B$24+118))*0.68)+0.3</f>
        <v>0.98</v>
      </c>
      <c r="L51" s="47">
        <f>((TotalAverages!I43/MassFormulaTesting!$B$26)*0.68)+0.3</f>
        <v>0.44875</v>
      </c>
      <c r="M51" s="47">
        <f>((0.98-(TotalAverages!J43/MassFormulaTesting!$B$28)*0.68))</f>
        <v>0.4998008573</v>
      </c>
      <c r="N51" s="47">
        <f>((TotalAverages!K43/MassFormulaTesting!$B$30)*0.68)+0.3</f>
        <v>0.7517067308</v>
      </c>
      <c r="O51" s="47">
        <f>((TotalAverages!L43/MassFormulaTesting!$B$32)*0.68)+0.3</f>
        <v>0.7413603473</v>
      </c>
      <c r="P51" s="47">
        <f>((TotalAverages!M43/MassFormulaTesting!$B$34)*0.68)+0.3</f>
        <v>0.6941922543</v>
      </c>
      <c r="Q51" s="47" t="str">
        <f>((TotalAverages!N43/MassFormulaTesting!$B$36)*0.68)+0.3</f>
        <v>#DIV/0!</v>
      </c>
      <c r="R51" s="47">
        <f>((TotalAverages!O43/MassFormulaTesting!$B$38)*0.68)+0.3</f>
        <v>0.725</v>
      </c>
      <c r="S51" s="47">
        <f>(IFERROR(TotalAverages!P43/MassFormulaTesting!$B$40,"")*0.68)+0.3</f>
        <v>0.878</v>
      </c>
      <c r="T51" s="47">
        <f>((TotalAverages!T43/MassFormulaTesting!$B$48)*0.68)+0.3</f>
        <v>0.3</v>
      </c>
      <c r="U51" s="47">
        <f>((TotalAverages!U43/MassFormulaTesting!$B$50)*0.68)+0.3</f>
        <v>0.5273493976</v>
      </c>
      <c r="V51" s="47">
        <f>((TotalAverages!V43/MassFormulaTesting!$B$52)*0.68)+0.3</f>
        <v>0.5460526316</v>
      </c>
      <c r="W51" s="47">
        <f>(IFERROR(TotalAverages!W43/MassFormulaTesting!$B$54,"")*0.68)+0.3</f>
        <v>0.6001234568</v>
      </c>
      <c r="X51" s="47">
        <f>(IFERROR(TotalAverages!X43/MassFormulaTesting!$B$56,"")*0.68)+0.3</f>
        <v>0.47</v>
      </c>
      <c r="Y51" s="47">
        <f>(IFERROR(TotalAverages!Y43/MassFormulaTesting!$B$58,"")*0.68)+0.3</f>
        <v>0.47</v>
      </c>
      <c r="Z51" s="43">
        <f>(IFERROR(TotalAverages!Z43/MassFormulaTesting!$B$60,"")*0.68)+0.3</f>
        <v>0.5927777778</v>
      </c>
      <c r="AA51" s="43">
        <f>((TotalAverages!AD43/MassFormulaTesting!$B$68)*0.68)+0.3</f>
        <v>0.7391666667</v>
      </c>
      <c r="AB51" s="43" t="str">
        <f>((TotalAverages!AG43/MassFormulaTesting!$B$74)*0.68)+0.3</f>
        <v>#DIV/0!</v>
      </c>
      <c r="AC51" s="43" t="str">
        <f>((TotalAverages!AH43/MassFormulaTesting!$B$76)*0.68)+0.3</f>
        <v>#DIV/0!</v>
      </c>
      <c r="AD51" s="43" t="str">
        <f>((TotalAverages!AK43/MassFormulaTesting!$B$82)*0.68)+0.3</f>
        <v>#DIV/0!</v>
      </c>
      <c r="AE51" s="43" t="str">
        <f>((TotalAverages!AL43/MassFormulaTesting!$B$84)*0.68)+0.3</f>
        <v>#DIV/0!</v>
      </c>
      <c r="AF51" s="43" t="str">
        <f>((TotalAverages!AM43/MassFormulaTesting!$B$86)*0.68)+0.3</f>
        <v>#DIV/0!</v>
      </c>
      <c r="AG51" s="43" t="str">
        <f>((TotalAverages!AN43/MassFormulaTesting!$B$88)*0.68)+0.3</f>
        <v>#DIV/0!</v>
      </c>
      <c r="AH51" s="43" t="str">
        <f>((TotalAverages!AO43/MassFormulaTesting!$B$90)*0.68)+0.3</f>
        <v>#DIV/0!</v>
      </c>
      <c r="AI51" s="43" t="str">
        <f>((TotalAverages!AP43/MassFormulaTesting!$B$92)*0.68)+0.3</f>
        <v>#DIV/0!</v>
      </c>
      <c r="AJ51" s="43" t="str">
        <f>((TotalAverages!AQ43/MassFormulaTesting!$B$94)*0.68)+0.3</f>
        <v>#DIV/0!</v>
      </c>
      <c r="AK51" s="43" t="str">
        <f>((TotalAverages!AR43/MassFormulaTesting!$B$96)*0.68)+0.3</f>
        <v>#DIV/0!</v>
      </c>
      <c r="AL51" s="43" t="str">
        <f>((TotalAverages!AS43/MassFormulaTesting!$B$98)*0.68)+0.3</f>
        <v>#DIV/0!</v>
      </c>
      <c r="AM51" s="43" t="str">
        <f>((TotalAverages!AT43/MassFormulaTesting!$B$100)*0.68)+0.3</f>
        <v>#DIV/0!</v>
      </c>
      <c r="AN51" s="43" t="str">
        <f>((TotalAverages!AV43/MassFormulaTesting!$B$104)*0.68)+0.3</f>
        <v>#DIV/0!</v>
      </c>
      <c r="AO51" s="43" t="str">
        <f>((TotalAverages!AW43/MassFormulaTesting!$B$106)*0.68)+0.3</f>
        <v>#DIV/0!</v>
      </c>
      <c r="AP51" s="43" t="str">
        <f>((TotalAverages!AX43/MassFormulaTesting!$B$108)*0.68)+0.3</f>
        <v>#DIV/0!</v>
      </c>
      <c r="AQ51" s="7"/>
    </row>
    <row r="52">
      <c r="A52" s="50" t="str">
        <f>IFERROR(__xludf.DUMMYFUNCTION("""COMPUTED_VALUE"""),"Judasey")</f>
        <v>Judasey</v>
      </c>
      <c r="B52" s="51">
        <f>IFERROR(__xludf.DUMMYFUNCTION("""COMPUTED_VALUE"""),6.333333333333333)</f>
        <v>6.333333333</v>
      </c>
      <c r="C52" s="52"/>
      <c r="D52" s="40" t="str">
        <f t="shared" si="1"/>
        <v>#DIV/0!</v>
      </c>
      <c r="E52" s="45" t="str">
        <f>TotalAverages!A44</f>
        <v/>
      </c>
      <c r="F52" s="46">
        <f t="shared" si="2"/>
        <v>0.3</v>
      </c>
      <c r="G52" s="47">
        <f>((TotalAverages!D44/MassFormulaTesting!$B$16)*0.68)+0.3</f>
        <v>0.3</v>
      </c>
      <c r="H52" s="47">
        <f>((TotalAverages!E44/MassFormulaTesting!$B$18)*0.68)+0.3</f>
        <v>0.3</v>
      </c>
      <c r="I52" s="47">
        <f>((TotalAverages!F44/MassFormulaTesting!$B$20)*0.68)+0.3</f>
        <v>0.3</v>
      </c>
      <c r="J52" s="47">
        <f>(IFERROR(MassFormulaTesting!$C$22/TotalAverages!G44,"")*0.68)+0.3</f>
        <v>0.3</v>
      </c>
      <c r="K52" s="13">
        <f>(((TotalAverages!H44+118)/(MassFormulaTesting!$B$24+118))*0.68)+0.3</f>
        <v>0.9376688742</v>
      </c>
      <c r="L52" s="47">
        <f>((TotalAverages!I44/MassFormulaTesting!$B$26)*0.68)+0.3</f>
        <v>0.3</v>
      </c>
      <c r="M52" s="47">
        <f>((0.98-(TotalAverages!J44/MassFormulaTesting!$B$28)*0.68))</f>
        <v>0.98</v>
      </c>
      <c r="N52" s="47">
        <f>((TotalAverages!K44/MassFormulaTesting!$B$30)*0.68)+0.3</f>
        <v>0.3</v>
      </c>
      <c r="O52" s="47">
        <f>((TotalAverages!L44/MassFormulaTesting!$B$32)*0.68)+0.3</f>
        <v>0.3</v>
      </c>
      <c r="P52" s="47">
        <f>((TotalAverages!M44/MassFormulaTesting!$B$34)*0.68)+0.3</f>
        <v>0.3</v>
      </c>
      <c r="Q52" s="47" t="str">
        <f>((TotalAverages!N44/MassFormulaTesting!$B$36)*0.68)+0.3</f>
        <v>#DIV/0!</v>
      </c>
      <c r="R52" s="47">
        <f>((TotalAverages!O44/MassFormulaTesting!$B$38)*0.68)+0.3</f>
        <v>0.3</v>
      </c>
      <c r="S52" s="47">
        <f>(IFERROR(TotalAverages!P44/MassFormulaTesting!$B$40,"")*0.68)+0.3</f>
        <v>0.3</v>
      </c>
      <c r="T52" s="47">
        <f>((TotalAverages!T44/MassFormulaTesting!$B$48)*0.68)+0.3</f>
        <v>0.3</v>
      </c>
      <c r="U52" s="47">
        <f>((TotalAverages!U44/MassFormulaTesting!$B$50)*0.68)+0.3</f>
        <v>0.3</v>
      </c>
      <c r="V52" s="47">
        <f>((TotalAverages!V44/MassFormulaTesting!$B$52)*0.68)+0.3</f>
        <v>0.3</v>
      </c>
      <c r="W52" s="47">
        <f>(IFERROR(TotalAverages!W44/MassFormulaTesting!$B$54,"")*0.68)+0.3</f>
        <v>0.3</v>
      </c>
      <c r="X52" s="47">
        <f>(IFERROR(TotalAverages!X44/MassFormulaTesting!$B$56,"")*0.68)+0.3</f>
        <v>0.3</v>
      </c>
      <c r="Y52" s="47">
        <f>(IFERROR(TotalAverages!Y44/MassFormulaTesting!$B$58,"")*0.68)+0.3</f>
        <v>0.3</v>
      </c>
      <c r="Z52" s="43">
        <f>(IFERROR(TotalAverages!Z44/MassFormulaTesting!$B$60,"")*0.68)+0.3</f>
        <v>0.3</v>
      </c>
      <c r="AA52" s="43">
        <f>((TotalAverages!AD44/MassFormulaTesting!$B$68)*0.68)+0.3</f>
        <v>0.3</v>
      </c>
      <c r="AB52" s="43" t="str">
        <f>((TotalAverages!AG44/MassFormulaTesting!$B$74)*0.68)+0.3</f>
        <v>#DIV/0!</v>
      </c>
      <c r="AC52" s="43" t="str">
        <f>((TotalAverages!AH44/MassFormulaTesting!$B$76)*0.68)+0.3</f>
        <v>#DIV/0!</v>
      </c>
      <c r="AD52" s="43" t="str">
        <f>((TotalAverages!AK44/MassFormulaTesting!$B$82)*0.68)+0.3</f>
        <v>#DIV/0!</v>
      </c>
      <c r="AE52" s="43" t="str">
        <f>((TotalAverages!AL44/MassFormulaTesting!$B$84)*0.68)+0.3</f>
        <v>#DIV/0!</v>
      </c>
      <c r="AF52" s="43" t="str">
        <f>((TotalAverages!AM44/MassFormulaTesting!$B$86)*0.68)+0.3</f>
        <v>#DIV/0!</v>
      </c>
      <c r="AG52" s="43" t="str">
        <f>((TotalAverages!AN44/MassFormulaTesting!$B$88)*0.68)+0.3</f>
        <v>#DIV/0!</v>
      </c>
      <c r="AH52" s="43" t="str">
        <f>((TotalAverages!AO44/MassFormulaTesting!$B$90)*0.68)+0.3</f>
        <v>#DIV/0!</v>
      </c>
      <c r="AI52" s="43" t="str">
        <f>((TotalAverages!AP44/MassFormulaTesting!$B$92)*0.68)+0.3</f>
        <v>#DIV/0!</v>
      </c>
      <c r="AJ52" s="43" t="str">
        <f>((TotalAverages!AQ44/MassFormulaTesting!$B$94)*0.68)+0.3</f>
        <v>#DIV/0!</v>
      </c>
      <c r="AK52" s="43" t="str">
        <f>((TotalAverages!AR44/MassFormulaTesting!$B$96)*0.68)+0.3</f>
        <v>#DIV/0!</v>
      </c>
      <c r="AL52" s="43" t="str">
        <f>((TotalAverages!AS44/MassFormulaTesting!$B$98)*0.68)+0.3</f>
        <v>#DIV/0!</v>
      </c>
      <c r="AM52" s="43" t="str">
        <f>((TotalAverages!AT44/MassFormulaTesting!$B$100)*0.68)+0.3</f>
        <v>#DIV/0!</v>
      </c>
      <c r="AN52" s="43" t="str">
        <f>((TotalAverages!AV44/MassFormulaTesting!$B$104)*0.68)+0.3</f>
        <v>#DIV/0!</v>
      </c>
      <c r="AO52" s="43" t="str">
        <f>((TotalAverages!AW44/MassFormulaTesting!$B$106)*0.68)+0.3</f>
        <v>#DIV/0!</v>
      </c>
      <c r="AP52" s="43" t="str">
        <f>((TotalAverages!AX44/MassFormulaTesting!$B$108)*0.68)+0.3</f>
        <v>#DIV/0!</v>
      </c>
      <c r="AQ52" s="7"/>
    </row>
    <row r="53">
      <c r="A53" s="56" t="str">
        <f>IFERROR(__xludf.DUMMYFUNCTION("Query(TotalAverages!A:AV,""Select A,W where A&lt;&gt;'' Order by W Desc Limit 1"")"),"OVERALL")</f>
        <v>OVERALL</v>
      </c>
      <c r="B53" s="54" t="str">
        <f>IFERROR(__xludf.DUMMYFUNCTION("""COMPUTED_VALUE"""),"avg Overkills")</f>
        <v>avg Overkills</v>
      </c>
      <c r="C53" s="52"/>
      <c r="D53" s="40" t="str">
        <f t="shared" si="1"/>
        <v>#DIV/0!</v>
      </c>
      <c r="E53" s="45" t="str">
        <f>TotalAverages!A45</f>
        <v/>
      </c>
      <c r="F53" s="46">
        <f t="shared" si="2"/>
        <v>0.3</v>
      </c>
      <c r="G53" s="47">
        <f>((TotalAverages!D45/MassFormulaTesting!$B$16)*0.68)+0.3</f>
        <v>0.3</v>
      </c>
      <c r="H53" s="47">
        <f>((TotalAverages!E45/MassFormulaTesting!$B$18)*0.68)+0.3</f>
        <v>0.3</v>
      </c>
      <c r="I53" s="47">
        <f>((TotalAverages!F45/MassFormulaTesting!$B$20)*0.68)+0.3</f>
        <v>0.3</v>
      </c>
      <c r="J53" s="47">
        <f>(IFERROR(MassFormulaTesting!$C$22/TotalAverages!G45,"")*0.68)+0.3</f>
        <v>0.3</v>
      </c>
      <c r="K53" s="13">
        <f>(((TotalAverages!H45+118)/(MassFormulaTesting!$B$24+118))*0.68)+0.3</f>
        <v>0.9376688742</v>
      </c>
      <c r="L53" s="47">
        <f>((TotalAverages!I45/MassFormulaTesting!$B$26)*0.68)+0.3</f>
        <v>0.3</v>
      </c>
      <c r="M53" s="47">
        <f>((0.98-(TotalAverages!J45/MassFormulaTesting!$B$28)*0.68))</f>
        <v>0.98</v>
      </c>
      <c r="N53" s="47">
        <f>((TotalAverages!K45/MassFormulaTesting!$B$30)*0.68)+0.3</f>
        <v>0.3</v>
      </c>
      <c r="O53" s="47">
        <f>((TotalAverages!L45/MassFormulaTesting!$B$32)*0.68)+0.3</f>
        <v>0.3</v>
      </c>
      <c r="P53" s="47">
        <f>((TotalAverages!M45/MassFormulaTesting!$B$34)*0.68)+0.3</f>
        <v>0.3</v>
      </c>
      <c r="Q53" s="47" t="str">
        <f>((TotalAverages!N45/MassFormulaTesting!$B$36)*0.68)+0.3</f>
        <v>#DIV/0!</v>
      </c>
      <c r="R53" s="47">
        <f>((TotalAverages!O45/MassFormulaTesting!$B$38)*0.68)+0.3</f>
        <v>0.3</v>
      </c>
      <c r="S53" s="47">
        <f>(IFERROR(TotalAverages!P45/MassFormulaTesting!$B$40,"")*0.68)+0.3</f>
        <v>0.3</v>
      </c>
      <c r="T53" s="47">
        <f>((TotalAverages!T45/MassFormulaTesting!$B$48)*0.68)+0.3</f>
        <v>0.3</v>
      </c>
      <c r="U53" s="47">
        <f>((TotalAverages!U45/MassFormulaTesting!$B$50)*0.68)+0.3</f>
        <v>0.3</v>
      </c>
      <c r="V53" s="47">
        <f>((TotalAverages!V45/MassFormulaTesting!$B$52)*0.68)+0.3</f>
        <v>0.3</v>
      </c>
      <c r="W53" s="47">
        <f>(IFERROR(TotalAverages!W45/MassFormulaTesting!$B$54,"")*0.68)+0.3</f>
        <v>0.3</v>
      </c>
      <c r="X53" s="47">
        <f>(IFERROR(TotalAverages!X45/MassFormulaTesting!$B$56,"")*0.68)+0.3</f>
        <v>0.3</v>
      </c>
      <c r="Y53" s="47">
        <f>(IFERROR(TotalAverages!Y45/MassFormulaTesting!$B$58,"")*0.68)+0.3</f>
        <v>0.3</v>
      </c>
      <c r="Z53" s="43">
        <f>(IFERROR(TotalAverages!Z45/MassFormulaTesting!$B$60,"")*0.68)+0.3</f>
        <v>0.3</v>
      </c>
      <c r="AA53" s="43">
        <f>((TotalAverages!AD45/MassFormulaTesting!$B$68)*0.68)+0.3</f>
        <v>0.3</v>
      </c>
      <c r="AB53" s="43" t="str">
        <f>((TotalAverages!AG45/MassFormulaTesting!$B$74)*0.68)+0.3</f>
        <v>#DIV/0!</v>
      </c>
      <c r="AC53" s="43" t="str">
        <f>((TotalAverages!AH45/MassFormulaTesting!$B$76)*0.68)+0.3</f>
        <v>#DIV/0!</v>
      </c>
      <c r="AD53" s="43" t="str">
        <f>((TotalAverages!AK45/MassFormulaTesting!$B$82)*0.68)+0.3</f>
        <v>#DIV/0!</v>
      </c>
      <c r="AE53" s="43" t="str">
        <f>((TotalAverages!AL45/MassFormulaTesting!$B$84)*0.68)+0.3</f>
        <v>#DIV/0!</v>
      </c>
      <c r="AF53" s="43" t="str">
        <f>((TotalAverages!AM45/MassFormulaTesting!$B$86)*0.68)+0.3</f>
        <v>#DIV/0!</v>
      </c>
      <c r="AG53" s="43" t="str">
        <f>((TotalAverages!AN45/MassFormulaTesting!$B$88)*0.68)+0.3</f>
        <v>#DIV/0!</v>
      </c>
      <c r="AH53" s="43" t="str">
        <f>((TotalAverages!AO45/MassFormulaTesting!$B$90)*0.68)+0.3</f>
        <v>#DIV/0!</v>
      </c>
      <c r="AI53" s="43" t="str">
        <f>((TotalAverages!AP45/MassFormulaTesting!$B$92)*0.68)+0.3</f>
        <v>#DIV/0!</v>
      </c>
      <c r="AJ53" s="43" t="str">
        <f>((TotalAverages!AQ45/MassFormulaTesting!$B$94)*0.68)+0.3</f>
        <v>#DIV/0!</v>
      </c>
      <c r="AK53" s="43" t="str">
        <f>((TotalAverages!AR45/MassFormulaTesting!$B$96)*0.68)+0.3</f>
        <v>#DIV/0!</v>
      </c>
      <c r="AL53" s="43" t="str">
        <f>((TotalAverages!AS45/MassFormulaTesting!$B$98)*0.68)+0.3</f>
        <v>#DIV/0!</v>
      </c>
      <c r="AM53" s="43" t="str">
        <f>((TotalAverages!AT45/MassFormulaTesting!$B$100)*0.68)+0.3</f>
        <v>#DIV/0!</v>
      </c>
      <c r="AN53" s="43" t="str">
        <f>((TotalAverages!AV45/MassFormulaTesting!$B$104)*0.68)+0.3</f>
        <v>#DIV/0!</v>
      </c>
      <c r="AO53" s="43" t="str">
        <f>((TotalAverages!AW45/MassFormulaTesting!$B$106)*0.68)+0.3</f>
        <v>#DIV/0!</v>
      </c>
      <c r="AP53" s="43" t="str">
        <f>((TotalAverages!AX45/MassFormulaTesting!$B$108)*0.68)+0.3</f>
        <v>#DIV/0!</v>
      </c>
      <c r="AQ53" s="7"/>
    </row>
    <row r="54">
      <c r="A54" s="50" t="str">
        <f>IFERROR(__xludf.DUMMYFUNCTION("""COMPUTED_VALUE"""),"Itzreelz")</f>
        <v>Itzreelz</v>
      </c>
      <c r="B54" s="51">
        <f>IFERROR(__xludf.DUMMYFUNCTION("""COMPUTED_VALUE"""),1.2272727272727273)</f>
        <v>1.227272727</v>
      </c>
      <c r="C54" s="52"/>
      <c r="D54" s="40" t="str">
        <f t="shared" si="1"/>
        <v>#DIV/0!</v>
      </c>
      <c r="E54" s="45" t="str">
        <f>TotalAverages!A46</f>
        <v/>
      </c>
      <c r="F54" s="46">
        <f t="shared" si="2"/>
        <v>0.3</v>
      </c>
      <c r="G54" s="47">
        <f>((TotalAverages!D46/MassFormulaTesting!$B$16)*0.68)+0.3</f>
        <v>0.3</v>
      </c>
      <c r="H54" s="47">
        <f>((TotalAverages!E46/MassFormulaTesting!$B$18)*0.68)+0.3</f>
        <v>0.3</v>
      </c>
      <c r="I54" s="47">
        <f>((TotalAverages!F46/MassFormulaTesting!$B$20)*0.68)+0.3</f>
        <v>0.3</v>
      </c>
      <c r="J54" s="47">
        <f>(IFERROR(MassFormulaTesting!$C$22/TotalAverages!G46,"")*0.68)+0.3</f>
        <v>0.3</v>
      </c>
      <c r="K54" s="13">
        <f>(((TotalAverages!H46+118)/(MassFormulaTesting!$B$24+118))*0.68)+0.3</f>
        <v>0.9376688742</v>
      </c>
      <c r="L54" s="47">
        <f>((TotalAverages!I46/MassFormulaTesting!$B$26)*0.68)+0.3</f>
        <v>0.3</v>
      </c>
      <c r="M54" s="47">
        <f>((0.98-(TotalAverages!J46/MassFormulaTesting!$B$28)*0.68))</f>
        <v>0.98</v>
      </c>
      <c r="N54" s="47">
        <f>((TotalAverages!K46/MassFormulaTesting!$B$30)*0.68)+0.3</f>
        <v>0.3</v>
      </c>
      <c r="O54" s="47">
        <f>((TotalAverages!L46/MassFormulaTesting!$B$32)*0.68)+0.3</f>
        <v>0.3</v>
      </c>
      <c r="P54" s="47">
        <f>((TotalAverages!M46/MassFormulaTesting!$B$34)*0.68)+0.3</f>
        <v>0.3</v>
      </c>
      <c r="Q54" s="47" t="str">
        <f>((TotalAverages!N46/MassFormulaTesting!$B$36)*0.68)+0.3</f>
        <v>#DIV/0!</v>
      </c>
      <c r="R54" s="47">
        <f>((TotalAverages!O46/MassFormulaTesting!$B$38)*0.68)+0.3</f>
        <v>0.3</v>
      </c>
      <c r="S54" s="47">
        <f>(IFERROR(TotalAverages!P46/MassFormulaTesting!$B$40,"")*0.68)+0.3</f>
        <v>0.3</v>
      </c>
      <c r="T54" s="47">
        <f>((TotalAverages!T46/MassFormulaTesting!$B$48)*0.68)+0.3</f>
        <v>0.3</v>
      </c>
      <c r="U54" s="47">
        <f>((TotalAverages!U46/MassFormulaTesting!$B$50)*0.68)+0.3</f>
        <v>0.3</v>
      </c>
      <c r="V54" s="47">
        <f>((TotalAverages!V46/MassFormulaTesting!$B$52)*0.68)+0.3</f>
        <v>0.3</v>
      </c>
      <c r="W54" s="47">
        <f>(IFERROR(TotalAverages!W46/MassFormulaTesting!$B$54,"")*0.68)+0.3</f>
        <v>0.3</v>
      </c>
      <c r="X54" s="47">
        <f>(IFERROR(TotalAverages!X46/MassFormulaTesting!$B$56,"")*0.68)+0.3</f>
        <v>0.3</v>
      </c>
      <c r="Y54" s="47">
        <f>(IFERROR(TotalAverages!Y46/MassFormulaTesting!$B$58,"")*0.68)+0.3</f>
        <v>0.3</v>
      </c>
      <c r="Z54" s="43">
        <f>(IFERROR(TotalAverages!Z46/MassFormulaTesting!$B$60,"")*0.68)+0.3</f>
        <v>0.3</v>
      </c>
      <c r="AA54" s="43">
        <f>((TotalAverages!AD46/MassFormulaTesting!$B$68)*0.68)+0.3</f>
        <v>0.3</v>
      </c>
      <c r="AB54" s="43" t="str">
        <f>((TotalAverages!AG46/MassFormulaTesting!$B$74)*0.68)+0.3</f>
        <v>#DIV/0!</v>
      </c>
      <c r="AC54" s="43" t="str">
        <f>((TotalAverages!AH46/MassFormulaTesting!$B$76)*0.68)+0.3</f>
        <v>#DIV/0!</v>
      </c>
      <c r="AD54" s="43" t="str">
        <f>((TotalAverages!AK46/MassFormulaTesting!$B$82)*0.68)+0.3</f>
        <v>#DIV/0!</v>
      </c>
      <c r="AE54" s="43" t="str">
        <f>((TotalAverages!AL46/MassFormulaTesting!$B$84)*0.68)+0.3</f>
        <v>#DIV/0!</v>
      </c>
      <c r="AF54" s="43" t="str">
        <f>((TotalAverages!AM46/MassFormulaTesting!$B$86)*0.68)+0.3</f>
        <v>#DIV/0!</v>
      </c>
      <c r="AG54" s="43" t="str">
        <f>((TotalAverages!AN46/MassFormulaTesting!$B$88)*0.68)+0.3</f>
        <v>#DIV/0!</v>
      </c>
      <c r="AH54" s="43" t="str">
        <f>((TotalAverages!AO46/MassFormulaTesting!$B$90)*0.68)+0.3</f>
        <v>#DIV/0!</v>
      </c>
      <c r="AI54" s="43" t="str">
        <f>((TotalAverages!AP46/MassFormulaTesting!$B$92)*0.68)+0.3</f>
        <v>#DIV/0!</v>
      </c>
      <c r="AJ54" s="43" t="str">
        <f>((TotalAverages!AQ46/MassFormulaTesting!$B$94)*0.68)+0.3</f>
        <v>#DIV/0!</v>
      </c>
      <c r="AK54" s="43" t="str">
        <f>((TotalAverages!AR46/MassFormulaTesting!$B$96)*0.68)+0.3</f>
        <v>#DIV/0!</v>
      </c>
      <c r="AL54" s="43" t="str">
        <f>((TotalAverages!AS46/MassFormulaTesting!$B$98)*0.68)+0.3</f>
        <v>#DIV/0!</v>
      </c>
      <c r="AM54" s="43" t="str">
        <f>((TotalAverages!AT46/MassFormulaTesting!$B$100)*0.68)+0.3</f>
        <v>#DIV/0!</v>
      </c>
      <c r="AN54" s="43" t="str">
        <f>((TotalAverages!AV46/MassFormulaTesting!$B$104)*0.68)+0.3</f>
        <v>#DIV/0!</v>
      </c>
      <c r="AO54" s="43" t="str">
        <f>((TotalAverages!AW46/MassFormulaTesting!$B$106)*0.68)+0.3</f>
        <v>#DIV/0!</v>
      </c>
      <c r="AP54" s="43" t="str">
        <f>((TotalAverages!AX46/MassFormulaTesting!$B$108)*0.68)+0.3</f>
        <v>#DIV/0!</v>
      </c>
      <c r="AQ54" s="7"/>
    </row>
    <row r="55">
      <c r="A55" s="56" t="str">
        <f>IFERROR(__xludf.DUMMYFUNCTION("Query(TotalAverages!A:AV,""Select A,X where A&lt;&gt;'' Order by X Desc Limit 1"")"),"OVERALL")</f>
        <v>OVERALL</v>
      </c>
      <c r="B55" s="54" t="str">
        <f>IFERROR(__xludf.DUMMYFUNCTION("""COMPUTED_VALUE"""),"avg Killtaculars")</f>
        <v>avg Killtaculars</v>
      </c>
      <c r="C55" s="52"/>
      <c r="D55" s="40" t="str">
        <f t="shared" si="1"/>
        <v>#DIV/0!</v>
      </c>
      <c r="E55" s="59" t="str">
        <f>TotalAverages!A47</f>
        <v/>
      </c>
      <c r="F55" s="46">
        <f t="shared" si="2"/>
        <v>0.3</v>
      </c>
      <c r="G55" s="60">
        <f>((TotalAverages!D47/MassFormulaTesting!$B$16)*0.68)+0.3</f>
        <v>0.3</v>
      </c>
      <c r="H55" s="60">
        <f>((TotalAverages!E47/MassFormulaTesting!$B$18)*0.68)+0.3</f>
        <v>0.3</v>
      </c>
      <c r="I55" s="60">
        <f>((TotalAverages!F47/MassFormulaTesting!$B$20)*0.68)+0.3</f>
        <v>0.3</v>
      </c>
      <c r="J55" s="47">
        <f>(IFERROR(MassFormulaTesting!$C$22/TotalAverages!G47,"")*0.68)+0.3</f>
        <v>0.3</v>
      </c>
      <c r="K55" s="13">
        <f>(((TotalAverages!H47+118)/(MassFormulaTesting!$B$24+118))*0.68)+0.3</f>
        <v>0.9376688742</v>
      </c>
      <c r="L55" s="60">
        <f>((TotalAverages!I47/MassFormulaTesting!$B$26)*0.68)+0.3</f>
        <v>0.3</v>
      </c>
      <c r="M55" s="60">
        <f>((0.98-(TotalAverages!J47/MassFormulaTesting!$B$28)*0.68))</f>
        <v>0.98</v>
      </c>
      <c r="N55" s="60">
        <f>((TotalAverages!K47/MassFormulaTesting!$B$30)*0.68)+0.3</f>
        <v>0.3</v>
      </c>
      <c r="O55" s="60">
        <f>((TotalAverages!L47/MassFormulaTesting!$B$32)*0.68)+0.3</f>
        <v>0.3</v>
      </c>
      <c r="P55" s="60">
        <f>((TotalAverages!M47/MassFormulaTesting!$B$34)*0.68)+0.3</f>
        <v>0.3</v>
      </c>
      <c r="Q55" s="60" t="str">
        <f>((TotalAverages!N47/MassFormulaTesting!$B$36)*0.68)+0.3</f>
        <v>#DIV/0!</v>
      </c>
      <c r="R55" s="60">
        <f>((TotalAverages!O47/MassFormulaTesting!$B$38)*0.68)+0.3</f>
        <v>0.3</v>
      </c>
      <c r="S55" s="47">
        <f>(IFERROR(TotalAverages!P47/MassFormulaTesting!$B$40,"")*0.68)+0.3</f>
        <v>0.3</v>
      </c>
      <c r="T55" s="60">
        <f>((TotalAverages!T47/MassFormulaTesting!$B$48)*0.68)+0.3</f>
        <v>0.3</v>
      </c>
      <c r="U55" s="60">
        <f>((TotalAverages!U47/MassFormulaTesting!$B$50)*0.68)+0.3</f>
        <v>0.3</v>
      </c>
      <c r="V55" s="60">
        <f>((TotalAverages!V47/MassFormulaTesting!$B$52)*0.68)+0.3</f>
        <v>0.3</v>
      </c>
      <c r="W55" s="47">
        <f>(IFERROR(TotalAverages!W47/MassFormulaTesting!$B$54,"")*0.68)+0.3</f>
        <v>0.3</v>
      </c>
      <c r="X55" s="47">
        <f>(IFERROR(TotalAverages!X47/MassFormulaTesting!$B$56,"")*0.68)+0.3</f>
        <v>0.3</v>
      </c>
      <c r="Y55" s="47">
        <f>(IFERROR(TotalAverages!Y47/MassFormulaTesting!$B$58,"")*0.68)+0.3</f>
        <v>0.3</v>
      </c>
      <c r="Z55" s="43">
        <f>(IFERROR(TotalAverages!Z47/MassFormulaTesting!$B$60,"")*0.68)+0.3</f>
        <v>0.3</v>
      </c>
      <c r="AA55" s="43">
        <f>((TotalAverages!AD47/MassFormulaTesting!$B$68)*0.68)+0.3</f>
        <v>0.3</v>
      </c>
      <c r="AB55" s="43" t="str">
        <f>((TotalAverages!AG47/MassFormulaTesting!$B$74)*0.68)+0.3</f>
        <v>#DIV/0!</v>
      </c>
      <c r="AC55" s="43" t="str">
        <f>((TotalAverages!AH47/MassFormulaTesting!$B$76)*0.68)+0.3</f>
        <v>#DIV/0!</v>
      </c>
      <c r="AD55" s="43" t="str">
        <f>((TotalAverages!AK47/MassFormulaTesting!$B$82)*0.68)+0.3</f>
        <v>#DIV/0!</v>
      </c>
      <c r="AE55" s="43" t="str">
        <f>((TotalAverages!AL47/MassFormulaTesting!$B$84)*0.68)+0.3</f>
        <v>#DIV/0!</v>
      </c>
      <c r="AF55" s="43" t="str">
        <f>((TotalAverages!AM47/MassFormulaTesting!$B$86)*0.68)+0.3</f>
        <v>#DIV/0!</v>
      </c>
      <c r="AG55" s="43" t="str">
        <f>((TotalAverages!AN47/MassFormulaTesting!$B$88)*0.68)+0.3</f>
        <v>#DIV/0!</v>
      </c>
      <c r="AH55" s="43" t="str">
        <f>((TotalAverages!AO47/MassFormulaTesting!$B$90)*0.68)+0.3</f>
        <v>#DIV/0!</v>
      </c>
      <c r="AI55" s="43" t="str">
        <f>((TotalAverages!AP47/MassFormulaTesting!$B$92)*0.68)+0.3</f>
        <v>#DIV/0!</v>
      </c>
      <c r="AJ55" s="43" t="str">
        <f>((TotalAverages!AQ47/MassFormulaTesting!$B$94)*0.68)+0.3</f>
        <v>#DIV/0!</v>
      </c>
      <c r="AK55" s="43" t="str">
        <f>((TotalAverages!AR47/MassFormulaTesting!$B$96)*0.68)+0.3</f>
        <v>#DIV/0!</v>
      </c>
      <c r="AL55" s="43" t="str">
        <f>((TotalAverages!AS47/MassFormulaTesting!$B$98)*0.68)+0.3</f>
        <v>#DIV/0!</v>
      </c>
      <c r="AM55" s="43" t="str">
        <f>((TotalAverages!AT47/MassFormulaTesting!$B$100)*0.68)+0.3</f>
        <v>#DIV/0!</v>
      </c>
      <c r="AN55" s="43" t="str">
        <f>((TotalAverages!AV47/MassFormulaTesting!$B$104)*0.68)+0.3</f>
        <v>#DIV/0!</v>
      </c>
      <c r="AO55" s="43" t="str">
        <f>((TotalAverages!AW47/MassFormulaTesting!$B$106)*0.68)+0.3</f>
        <v>#DIV/0!</v>
      </c>
      <c r="AP55" s="43" t="str">
        <f>((TotalAverages!AX47/MassFormulaTesting!$B$108)*0.68)+0.3</f>
        <v>#DIV/0!</v>
      </c>
      <c r="AQ55" s="7"/>
    </row>
    <row r="56">
      <c r="A56" s="50" t="str">
        <f>IFERROR(__xludf.DUMMYFUNCTION("""COMPUTED_VALUE"""),"Itzreelz")</f>
        <v>Itzreelz</v>
      </c>
      <c r="B56" s="51">
        <f>IFERROR(__xludf.DUMMYFUNCTION("""COMPUTED_VALUE"""),0.5)</f>
        <v>0.5</v>
      </c>
      <c r="C56" s="52"/>
      <c r="D56" s="40" t="str">
        <f t="shared" si="1"/>
        <v>#DIV/0!</v>
      </c>
      <c r="E56" s="61" t="str">
        <f>TotalAverages!A48</f>
        <v/>
      </c>
      <c r="F56" s="46">
        <f t="shared" si="2"/>
        <v>0.3</v>
      </c>
      <c r="G56" s="13">
        <f>((TotalAverages!D48/MassFormulaTesting!$B$16)*0.68)+0.3</f>
        <v>0.3</v>
      </c>
      <c r="H56" s="13">
        <f>((TotalAverages!E48/MassFormulaTesting!$B$18)*0.68)+0.3</f>
        <v>0.3</v>
      </c>
      <c r="I56" s="13">
        <f>((TotalAverages!F48/MassFormulaTesting!$B$20)*0.68)+0.3</f>
        <v>0.3</v>
      </c>
      <c r="J56" s="47">
        <f>(IFERROR(MassFormulaTesting!$C$22/TotalAverages!G48,"")*0.68)+0.3</f>
        <v>0.3</v>
      </c>
      <c r="K56" s="62">
        <f>(((TotalAverages!H48+118)/(MassFormulaTesting!$B$24+118))*0.68)+0.3</f>
        <v>0.9376688742</v>
      </c>
      <c r="L56" s="13">
        <f>((TotalAverages!I48/MassFormulaTesting!$B$26)*0.68)+0.3</f>
        <v>0.3</v>
      </c>
      <c r="M56" s="13">
        <f>((0.98-(TotalAverages!J48/MassFormulaTesting!$B$28)*0.68))</f>
        <v>0.98</v>
      </c>
      <c r="N56" s="13">
        <f>((TotalAverages!K48/MassFormulaTesting!$B$30)*0.68)+0.3</f>
        <v>0.3</v>
      </c>
      <c r="O56" s="13">
        <f>((TotalAverages!L48/MassFormulaTesting!$B$32)*0.68)+0.3</f>
        <v>0.3</v>
      </c>
      <c r="P56" s="13">
        <f>((TotalAverages!M48/MassFormulaTesting!$B$34)*0.68)+0.3</f>
        <v>0.3</v>
      </c>
      <c r="Q56" s="13" t="str">
        <f>((TotalAverages!N48/MassFormulaTesting!$B$36)*0.68)+0.3</f>
        <v>#DIV/0!</v>
      </c>
      <c r="R56" s="13">
        <f>((TotalAverages!O48/MassFormulaTesting!$B$38)*0.68)+0.3</f>
        <v>0.3</v>
      </c>
      <c r="S56" s="47">
        <f>(IFERROR(TotalAverages!P48/MassFormulaTesting!$B$40,"")*0.68)+0.3</f>
        <v>0.3</v>
      </c>
      <c r="T56" s="13">
        <f>((TotalAverages!T48/MassFormulaTesting!$B$48)*0.68)+0.3</f>
        <v>0.3</v>
      </c>
      <c r="U56" s="13">
        <f>((TotalAverages!U48/MassFormulaTesting!$B$50)*0.68)+0.3</f>
        <v>0.3</v>
      </c>
      <c r="V56" s="13">
        <f>((TotalAverages!V48/MassFormulaTesting!$B$52)*0.68)+0.3</f>
        <v>0.3</v>
      </c>
      <c r="W56" s="47">
        <f>(IFERROR(TotalAverages!W48/MassFormulaTesting!$B$54,"")*0.68)+0.3</f>
        <v>0.3</v>
      </c>
      <c r="X56" s="47">
        <f>(IFERROR(TotalAverages!X48/MassFormulaTesting!$B$56,"")*0.68)+0.3</f>
        <v>0.3</v>
      </c>
      <c r="Y56" s="47">
        <f>(IFERROR(TotalAverages!Y48/MassFormulaTesting!$B$58,"")*0.68)+0.3</f>
        <v>0.3</v>
      </c>
      <c r="Z56" s="43">
        <f>(IFERROR(TotalAverages!Z48/MassFormulaTesting!$B$60,"")*0.68)+0.3</f>
        <v>0.3</v>
      </c>
      <c r="AA56" s="43">
        <f>((TotalAverages!AD48/MassFormulaTesting!$B$68)*0.68)+0.3</f>
        <v>0.3</v>
      </c>
      <c r="AB56" s="43" t="str">
        <f>((TotalAverages!AG48/MassFormulaTesting!$B$74)*0.68)+0.3</f>
        <v>#DIV/0!</v>
      </c>
      <c r="AC56" s="43" t="str">
        <f>((TotalAverages!AH48/MassFormulaTesting!$B$76)*0.68)+0.3</f>
        <v>#DIV/0!</v>
      </c>
      <c r="AD56" s="43" t="str">
        <f>((TotalAverages!AK48/MassFormulaTesting!$B$82)*0.68)+0.3</f>
        <v>#DIV/0!</v>
      </c>
      <c r="AE56" s="43" t="str">
        <f>((TotalAverages!AL48/MassFormulaTesting!$B$84)*0.68)+0.3</f>
        <v>#DIV/0!</v>
      </c>
      <c r="AF56" s="43" t="str">
        <f>((TotalAverages!AM48/MassFormulaTesting!$B$86)*0.68)+0.3</f>
        <v>#DIV/0!</v>
      </c>
      <c r="AG56" s="43" t="str">
        <f>((TotalAverages!AN48/MassFormulaTesting!$B$88)*0.68)+0.3</f>
        <v>#DIV/0!</v>
      </c>
      <c r="AH56" s="43" t="str">
        <f>((TotalAverages!AO48/MassFormulaTesting!$B$90)*0.68)+0.3</f>
        <v>#DIV/0!</v>
      </c>
      <c r="AI56" s="43" t="str">
        <f>((TotalAverages!AP48/MassFormulaTesting!$B$92)*0.68)+0.3</f>
        <v>#DIV/0!</v>
      </c>
      <c r="AJ56" s="43" t="str">
        <f>((TotalAverages!AQ48/MassFormulaTesting!$B$94)*0.68)+0.3</f>
        <v>#DIV/0!</v>
      </c>
      <c r="AK56" s="43" t="str">
        <f>((TotalAverages!AR48/MassFormulaTesting!$B$96)*0.68)+0.3</f>
        <v>#DIV/0!</v>
      </c>
      <c r="AL56" s="43" t="str">
        <f>((TotalAverages!AS48/MassFormulaTesting!$B$98)*0.68)+0.3</f>
        <v>#DIV/0!</v>
      </c>
      <c r="AM56" s="43" t="str">
        <f>((TotalAverages!AT48/MassFormulaTesting!$B$100)*0.68)+0.3</f>
        <v>#DIV/0!</v>
      </c>
      <c r="AN56" s="43" t="str">
        <f>((TotalAverages!AV48/MassFormulaTesting!$B$104)*0.68)+0.3</f>
        <v>#DIV/0!</v>
      </c>
      <c r="AO56" s="43" t="str">
        <f>((TotalAverages!AW48/MassFormulaTesting!$B$106)*0.68)+0.3</f>
        <v>#DIV/0!</v>
      </c>
      <c r="AP56" s="43" t="str">
        <f>((TotalAverages!AX48/MassFormulaTesting!$B$108)*0.68)+0.3</f>
        <v>#DIV/0!</v>
      </c>
      <c r="AQ56" s="7"/>
    </row>
    <row r="57">
      <c r="A57" s="56" t="str">
        <f>IFERROR(__xludf.DUMMYFUNCTION("Query(TotalAverages!A:AV,""Select A,Y where A&lt;&gt;'' Order by Y Desc Limit 1"")"),"OVERALL")</f>
        <v>OVERALL</v>
      </c>
      <c r="B57" s="54" t="str">
        <f>IFERROR(__xludf.DUMMYFUNCTION("""COMPUTED_VALUE"""),"avg Killtrocities")</f>
        <v>avg Killtrocities</v>
      </c>
      <c r="C57" s="52"/>
      <c r="D57" s="40"/>
      <c r="E57" s="50"/>
      <c r="F57" s="63"/>
      <c r="G57" s="13"/>
      <c r="H57" s="13"/>
      <c r="I57" s="13"/>
      <c r="J57" s="47"/>
      <c r="K57" s="13"/>
      <c r="L57" s="13"/>
      <c r="M57" s="13"/>
      <c r="N57" s="13"/>
      <c r="O57" s="13"/>
      <c r="P57" s="13"/>
      <c r="Q57" s="13"/>
      <c r="R57" s="13"/>
      <c r="S57" s="47"/>
      <c r="T57" s="13"/>
      <c r="U57" s="13"/>
      <c r="V57" s="13"/>
      <c r="W57" s="47"/>
      <c r="X57" s="47"/>
      <c r="Y57" s="47"/>
      <c r="Z57" s="47"/>
      <c r="AA57" s="13"/>
      <c r="AB57" s="13"/>
      <c r="AC57" s="13"/>
      <c r="AD57" s="13"/>
      <c r="AE57" s="13"/>
      <c r="AF57" s="43"/>
      <c r="AG57" s="13"/>
      <c r="AH57" s="13"/>
      <c r="AI57" s="13"/>
      <c r="AJ57" s="13"/>
      <c r="AK57" s="13"/>
      <c r="AL57" s="13"/>
      <c r="AM57" s="13"/>
      <c r="AN57" s="13"/>
      <c r="AO57" s="43"/>
      <c r="AP57" s="64"/>
      <c r="AQ57" s="7"/>
    </row>
    <row r="58">
      <c r="A58" s="50" t="str">
        <f>IFERROR(__xludf.DUMMYFUNCTION("""COMPUTED_VALUE"""),"Judasey")</f>
        <v>Judasey</v>
      </c>
      <c r="B58" s="51">
        <f>IFERROR(__xludf.DUMMYFUNCTION("""COMPUTED_VALUE"""),0.3333333333333333)</f>
        <v>0.3333333333</v>
      </c>
      <c r="C58" s="52"/>
      <c r="D58" s="7"/>
      <c r="E58" s="7"/>
      <c r="F58" s="65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7"/>
    </row>
    <row r="59">
      <c r="A59" s="56" t="str">
        <f>IFERROR(__xludf.DUMMYFUNCTION("Query(TotalAverages!A:AV,""Select A,Z where A&lt;&gt;'' Order by Z Desc Limit 1"")"),"OVERALL")</f>
        <v>OVERALL</v>
      </c>
      <c r="B59" s="54" t="str">
        <f>IFERROR(__xludf.DUMMYFUNCTION("""COMPUTED_VALUE"""),"avg Killamanjaros")</f>
        <v>avg Killamanjaros</v>
      </c>
      <c r="C59" s="52"/>
      <c r="F59" s="10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7"/>
    </row>
    <row r="60">
      <c r="A60" s="50" t="str">
        <f>IFERROR(__xludf.DUMMYFUNCTION("""COMPUTED_VALUE"""),"DlGITAL PAIN")</f>
        <v>DlGITAL PAIN</v>
      </c>
      <c r="B60" s="51">
        <f>IFERROR(__xludf.DUMMYFUNCTION("""COMPUTED_VALUE"""),0.0967741935483871)</f>
        <v>0.09677419355</v>
      </c>
      <c r="C60" s="52"/>
      <c r="F60" s="10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7"/>
    </row>
    <row r="61">
      <c r="A61" s="56" t="str">
        <f>IFERROR(__xludf.DUMMYFUNCTION("Query(TotalAverages!A:AV,""Select A,AA where A&lt;&gt;'' Order by AA Desc Limit 1"")"),"OVERALL")</f>
        <v>OVERALL</v>
      </c>
      <c r="B61" s="54" t="str">
        <f>IFERROR(__xludf.DUMMYFUNCTION("""COMPUTED_VALUE"""),"avg Killtastrophe")</f>
        <v>avg Killtastrophe</v>
      </c>
      <c r="C61" s="52"/>
      <c r="F61" s="10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7"/>
    </row>
    <row r="62">
      <c r="A62" s="50" t="str">
        <f>IFERROR(__xludf.DUMMYFUNCTION("""COMPUTED_VALUE"""),"yLuxe")</f>
        <v>yLuxe</v>
      </c>
      <c r="B62" s="51">
        <f>IFERROR(__xludf.DUMMYFUNCTION("""COMPUTED_VALUE"""),0.041666666666666664)</f>
        <v>0.04166666667</v>
      </c>
      <c r="C62" s="52"/>
      <c r="AQ62" s="7"/>
    </row>
    <row r="63">
      <c r="A63" s="56" t="str">
        <f>IFERROR(__xludf.DUMMYFUNCTION("Query(TotalAverages!A:AV,""Select A,AB where A&lt;&gt;'' Order by AB Desc Limit 1"")"),"OVERALL")</f>
        <v>OVERALL</v>
      </c>
      <c r="B63" s="54" t="str">
        <f>IFERROR(__xludf.DUMMYFUNCTION("""COMPUTED_VALUE"""),"avg Killpocalypses")</f>
        <v>avg Killpocalypses</v>
      </c>
      <c r="C63" s="52"/>
      <c r="E63" s="67"/>
      <c r="AQ63" s="7"/>
    </row>
    <row r="64">
      <c r="A64" s="50" t="str">
        <f>IFERROR(__xludf.DUMMYFUNCTION("""COMPUTED_VALUE"""),"yLuxe")</f>
        <v>yLuxe</v>
      </c>
      <c r="B64" s="51">
        <f>IFERROR(__xludf.DUMMYFUNCTION("""COMPUTED_VALUE"""),0.041666666666666664)</f>
        <v>0.04166666667</v>
      </c>
      <c r="C64" s="52"/>
      <c r="AQ64" s="7"/>
    </row>
    <row r="65">
      <c r="A65" s="56" t="str">
        <f>IFERROR(__xludf.DUMMYFUNCTION("Query(TotalAverages!A:AV,""Select A,AC where A&lt;&gt;'' Order by AC Desc Limit 1"")"),"OVERALL")</f>
        <v>OVERALL</v>
      </c>
      <c r="B65" s="54" t="str">
        <f>IFERROR(__xludf.DUMMYFUNCTION("""COMPUTED_VALUE"""),"avg Killionaire")</f>
        <v>avg Killionaire</v>
      </c>
      <c r="C65" s="52"/>
      <c r="AQ65" s="7"/>
    </row>
    <row r="66">
      <c r="A66" s="50" t="str">
        <f>IFERROR(__xludf.DUMMYFUNCTION("""COMPUTED_VALUE"""),"Avg Player")</f>
        <v>Avg Player</v>
      </c>
      <c r="B66" s="51">
        <f>IFERROR(__xludf.DUMMYFUNCTION("""COMPUTED_VALUE"""),0.0)</f>
        <v>0</v>
      </c>
      <c r="C66" s="52"/>
      <c r="AQ66" s="7"/>
    </row>
    <row r="67">
      <c r="A67" s="56" t="str">
        <f>IFERROR(__xludf.DUMMYFUNCTION("Query(TotalAverages!A:AV,""Select A,AD where A&lt;&gt;'' Order by AD Desc Limit 1"")"),"OVERALL")</f>
        <v>OVERALL</v>
      </c>
      <c r="B67" s="54" t="str">
        <f>IFERROR(__xludf.DUMMYFUNCTION("""COMPUTED_VALUE"""),"avg Exterms")</f>
        <v>avg Exterms</v>
      </c>
      <c r="C67" s="52"/>
      <c r="AQ67" s="7"/>
    </row>
    <row r="68">
      <c r="A68" s="50" t="str">
        <f>IFERROR(__xludf.DUMMYFUNCTION("""COMPUTED_VALUE"""),"DlGITAL PAIN")</f>
        <v>DlGITAL PAIN</v>
      </c>
      <c r="B68" s="51">
        <f>IFERROR(__xludf.DUMMYFUNCTION("""COMPUTED_VALUE"""),0.06451612903225806)</f>
        <v>0.06451612903</v>
      </c>
      <c r="C68" s="52"/>
      <c r="AQ68" s="7"/>
    </row>
    <row r="69">
      <c r="A69" s="56" t="str">
        <f>IFERROR(__xludf.DUMMYFUNCTION("Query(TotalAverages!A:AV,""Select A,AE where A&lt;&gt;'' Order by AE Desc Limit 1"")"),"OVERALL")</f>
        <v>OVERALL</v>
      </c>
      <c r="B69" s="54" t="str">
        <f>IFERROR(__xludf.DUMMYFUNCTION("""COMPUTED_VALUE"""),"avg Bulltrues")</f>
        <v>avg Bulltrues</v>
      </c>
      <c r="C69" s="52"/>
      <c r="AQ69" s="7"/>
    </row>
    <row r="70">
      <c r="A70" s="50" t="str">
        <f>IFERROR(__xludf.DUMMYFUNCTION("""COMPUTED_VALUE"""),"oDhmon")</f>
        <v>oDhmon</v>
      </c>
      <c r="B70" s="51">
        <f>IFERROR(__xludf.DUMMYFUNCTION("""COMPUTED_VALUE"""),10.045454545454545)</f>
        <v>10.04545455</v>
      </c>
      <c r="C70" s="52"/>
      <c r="E70" s="67"/>
      <c r="AQ70" s="7"/>
    </row>
    <row r="71">
      <c r="A71" s="56" t="str">
        <f>IFERROR(__xludf.DUMMYFUNCTION("Query(TotalAverages!A:AV,""Select A,AF where A&lt;&gt;'' Order by AF Desc Limit 1"")"),"OVERALL")</f>
        <v>OVERALL</v>
      </c>
      <c r="B71" s="54" t="str">
        <f>IFERROR(__xludf.DUMMYFUNCTION("""COMPUTED_VALUE"""),"")</f>
        <v/>
      </c>
      <c r="C71" s="52"/>
      <c r="AQ71" s="7"/>
    </row>
    <row r="72">
      <c r="A72" s="50" t="str">
        <f>IFERROR(__xludf.DUMMYFUNCTION("""COMPUTED_VALUE"""),"Avg Player")</f>
        <v>Avg Player</v>
      </c>
      <c r="B72" s="68"/>
      <c r="C72" s="52"/>
      <c r="AQ72" s="7"/>
    </row>
    <row r="73">
      <c r="A73" s="56" t="str">
        <f>IFERROR(__xludf.DUMMYFUNCTION("Query(TotalAverages!A:AV,""Select A,AG where A&lt;&gt;'' Order by AG Desc Limit 1"")"),"OVERALL")</f>
        <v>OVERALL</v>
      </c>
      <c r="B73" s="54" t="str">
        <f>IFERROR(__xludf.DUMMYFUNCTION("""COMPUTED_VALUE"""),"")</f>
        <v/>
      </c>
      <c r="C73" s="52"/>
      <c r="AQ73" s="7"/>
    </row>
    <row r="74">
      <c r="A74" s="50" t="str">
        <f>IFERROR(__xludf.DUMMYFUNCTION("""COMPUTED_VALUE"""),"Avg Player")</f>
        <v>Avg Player</v>
      </c>
      <c r="B74" s="68"/>
      <c r="C74" s="52"/>
      <c r="AQ74" s="7"/>
    </row>
    <row r="75">
      <c r="A75" s="56" t="str">
        <f>IFERROR(__xludf.DUMMYFUNCTION("Query(TotalAverages!A:AV,""Select A,AH where A&lt;&gt;'' Order by AH Desc Limit 1"")"),"OVERALL")</f>
        <v>OVERALL</v>
      </c>
      <c r="B75" s="54" t="str">
        <f>IFERROR(__xludf.DUMMYFUNCTION("""COMPUTED_VALUE"""),"")</f>
        <v/>
      </c>
      <c r="C75" s="52"/>
      <c r="AQ75" s="7"/>
    </row>
    <row r="76">
      <c r="A76" s="50" t="str">
        <f>IFERROR(__xludf.DUMMYFUNCTION("""COMPUTED_VALUE"""),"Avg Player")</f>
        <v>Avg Player</v>
      </c>
      <c r="B76" s="68"/>
      <c r="C76" s="52"/>
      <c r="AQ76" s="7"/>
    </row>
    <row r="77">
      <c r="A77" s="56" t="str">
        <f>IFERROR(__xludf.DUMMYFUNCTION("Query(TotalAverages!A:AV,""Select A,AI where A&lt;&gt;'' Order by AI Desc Limit 1"")"),"OVERALL")</f>
        <v>OVERALL</v>
      </c>
      <c r="B77" s="54" t="str">
        <f>IFERROR(__xludf.DUMMYFUNCTION("""COMPUTED_VALUE"""),"")</f>
        <v/>
      </c>
      <c r="C77" s="52"/>
      <c r="AQ77" s="7"/>
    </row>
    <row r="78">
      <c r="A78" s="50" t="str">
        <f>IFERROR(__xludf.DUMMYFUNCTION("""COMPUTED_VALUE"""),"Avg Player")</f>
        <v>Avg Player</v>
      </c>
      <c r="B78" s="68"/>
      <c r="C78" s="52"/>
      <c r="AQ78" s="7"/>
    </row>
    <row r="79">
      <c r="A79" s="56" t="str">
        <f>IFERROR(__xludf.DUMMYFUNCTION("Query(TotalAverages!A:AV,""Select A,AJ where A&lt;&gt;'' Order by AJ Desc Limit 1"")"),"OVERALL")</f>
        <v>OVERALL</v>
      </c>
      <c r="B79" s="54" t="str">
        <f>IFERROR(__xludf.DUMMYFUNCTION("""COMPUTED_VALUE"""),"")</f>
        <v/>
      </c>
      <c r="C79" s="52"/>
      <c r="AQ79" s="7"/>
    </row>
    <row r="80">
      <c r="A80" s="50" t="str">
        <f>IFERROR(__xludf.DUMMYFUNCTION("""COMPUTED_VALUE"""),"Avg Player")</f>
        <v>Avg Player</v>
      </c>
      <c r="B80" s="68"/>
      <c r="C80" s="52"/>
      <c r="AQ80" s="7"/>
    </row>
    <row r="81">
      <c r="A81" s="56" t="str">
        <f>IFERROR(__xludf.DUMMYFUNCTION("Query(TotalAverages!A:AV,""Select A,AK where A&lt;&gt;'' Order by AK Desc Limit 1"")"),"OVERALL")</f>
        <v>OVERALL</v>
      </c>
      <c r="B81" s="54" t="str">
        <f>IFERROR(__xludf.DUMMYFUNCTION("""COMPUTED_VALUE"""),"")</f>
        <v/>
      </c>
      <c r="C81" s="52"/>
      <c r="AQ81" s="7"/>
    </row>
    <row r="82">
      <c r="A82" s="50" t="str">
        <f>IFERROR(__xludf.DUMMYFUNCTION("""COMPUTED_VALUE"""),"Avg Player")</f>
        <v>Avg Player</v>
      </c>
      <c r="B82" s="68"/>
      <c r="C82" s="52"/>
      <c r="AQ82" s="7"/>
    </row>
    <row r="83">
      <c r="A83" s="56" t="str">
        <f>IFERROR(__xludf.DUMMYFUNCTION("Query(TotalAverages!A:AV,""Select A,AL where A&lt;&gt;'' Order by AL Desc Limit 1"")"),"OVERALL")</f>
        <v>OVERALL</v>
      </c>
      <c r="B83" s="54" t="str">
        <f>IFERROR(__xludf.DUMMYFUNCTION("""COMPUTED_VALUE"""),"")</f>
        <v/>
      </c>
      <c r="C83" s="52"/>
      <c r="AQ83" s="7"/>
    </row>
    <row r="84">
      <c r="A84" s="50" t="str">
        <f>IFERROR(__xludf.DUMMYFUNCTION("""COMPUTED_VALUE"""),"Avg Player")</f>
        <v>Avg Player</v>
      </c>
      <c r="B84" s="68"/>
      <c r="C84" s="52"/>
      <c r="AQ84" s="7"/>
    </row>
    <row r="85">
      <c r="A85" s="56" t="str">
        <f>IFERROR(__xludf.DUMMYFUNCTION("Query(TotalAverages!A:AV,""Select A,AM where A&lt;&gt;'' Order by AM Desc Limit 1"")"),"OVERALL")</f>
        <v>OVERALL</v>
      </c>
      <c r="B85" s="54" t="str">
        <f>IFERROR(__xludf.DUMMYFUNCTION("""COMPUTED_VALUE"""),"")</f>
        <v/>
      </c>
      <c r="C85" s="52"/>
      <c r="AQ85" s="7"/>
    </row>
    <row r="86">
      <c r="A86" s="50" t="str">
        <f>IFERROR(__xludf.DUMMYFUNCTION("""COMPUTED_VALUE"""),"Avg Player")</f>
        <v>Avg Player</v>
      </c>
      <c r="B86" s="68"/>
      <c r="C86" s="52"/>
      <c r="AQ86" s="7"/>
    </row>
    <row r="87">
      <c r="A87" s="56" t="str">
        <f>IFERROR(__xludf.DUMMYFUNCTION("Query(TotalAverages!A:AV,""Select A,AN where A&lt;&gt;'' Order by AN Desc Limit 1"")"),"OVERALL")</f>
        <v>OVERALL</v>
      </c>
      <c r="B87" s="54" t="str">
        <f>IFERROR(__xludf.DUMMYFUNCTION("""COMPUTED_VALUE"""),"")</f>
        <v/>
      </c>
      <c r="C87" s="52"/>
      <c r="AQ87" s="7"/>
    </row>
    <row r="88">
      <c r="A88" s="50" t="str">
        <f>IFERROR(__xludf.DUMMYFUNCTION("""COMPUTED_VALUE"""),"Avg Player")</f>
        <v>Avg Player</v>
      </c>
      <c r="B88" s="68"/>
      <c r="C88" s="52"/>
      <c r="AQ88" s="7"/>
    </row>
    <row r="89">
      <c r="A89" s="56" t="str">
        <f>IFERROR(__xludf.DUMMYFUNCTION("Query(TotalAverages!A:AV,""Select A,AO where A&lt;&gt;'' Order by AO Desc Limit 1"")"),"OVERALL")</f>
        <v>OVERALL</v>
      </c>
      <c r="B89" s="54" t="str">
        <f>IFERROR(__xludf.DUMMYFUNCTION("""COMPUTED_VALUE"""),"")</f>
        <v/>
      </c>
      <c r="C89" s="52"/>
      <c r="AQ89" s="7"/>
    </row>
    <row r="90">
      <c r="A90" s="50" t="str">
        <f>IFERROR(__xludf.DUMMYFUNCTION("""COMPUTED_VALUE"""),"Avg Player")</f>
        <v>Avg Player</v>
      </c>
      <c r="B90" s="68"/>
      <c r="C90" s="52"/>
      <c r="AQ90" s="7"/>
    </row>
    <row r="91">
      <c r="A91" s="56" t="str">
        <f>IFERROR(__xludf.DUMMYFUNCTION("Query(TotalAverages!A:AV,""Select A,AP where A&lt;&gt;'' Order by AP Desc Limit 1"")"),"OVERALL")</f>
        <v>OVERALL</v>
      </c>
      <c r="B91" s="54" t="str">
        <f>IFERROR(__xludf.DUMMYFUNCTION("""COMPUTED_VALUE"""),"")</f>
        <v/>
      </c>
      <c r="C91" s="52"/>
      <c r="AQ91" s="7"/>
    </row>
    <row r="92">
      <c r="A92" s="50" t="str">
        <f>IFERROR(__xludf.DUMMYFUNCTION("""COMPUTED_VALUE"""),"Avg Player")</f>
        <v>Avg Player</v>
      </c>
      <c r="B92" s="68"/>
      <c r="C92" s="52"/>
      <c r="AQ92" s="7"/>
    </row>
    <row r="93">
      <c r="A93" s="56" t="str">
        <f>IFERROR(__xludf.DUMMYFUNCTION("Query(TotalAverages!A:AV,""Select A,AQ where A&lt;&gt;'' Order by AQ Desc Limit 1"")"),"OVERALL")</f>
        <v>OVERALL</v>
      </c>
      <c r="B93" s="54" t="str">
        <f>IFERROR(__xludf.DUMMYFUNCTION("""COMPUTED_VALUE"""),"")</f>
        <v/>
      </c>
      <c r="C93" s="52"/>
      <c r="AQ93" s="7"/>
    </row>
    <row r="94">
      <c r="A94" s="50" t="str">
        <f>IFERROR(__xludf.DUMMYFUNCTION("""COMPUTED_VALUE"""),"Avg Player")</f>
        <v>Avg Player</v>
      </c>
      <c r="B94" s="68"/>
      <c r="C94" s="52"/>
      <c r="AQ94" s="7"/>
    </row>
    <row r="95">
      <c r="A95" s="56" t="str">
        <f>IFERROR(__xludf.DUMMYFUNCTION("Query(TotalAverages!A:AV,""Select A,AR where A&lt;&gt;'' Order by AR Desc Limit 1"")"),"OVERALL")</f>
        <v>OVERALL</v>
      </c>
      <c r="B95" s="54" t="str">
        <f>IFERROR(__xludf.DUMMYFUNCTION("""COMPUTED_VALUE"""),"")</f>
        <v/>
      </c>
      <c r="C95" s="52"/>
      <c r="AQ95" s="7"/>
    </row>
    <row r="96">
      <c r="A96" s="50" t="str">
        <f>IFERROR(__xludf.DUMMYFUNCTION("""COMPUTED_VALUE"""),"Avg Player")</f>
        <v>Avg Player</v>
      </c>
      <c r="B96" s="68"/>
      <c r="C96" s="52"/>
      <c r="AQ96" s="7"/>
    </row>
    <row r="97">
      <c r="A97" s="56" t="str">
        <f>IFERROR(__xludf.DUMMYFUNCTION("Query(TotalAverages!A:AV,""Select A,AS where A&lt;&gt;'' Order by AS Desc Limit 1"")"),"OVERALL")</f>
        <v>OVERALL</v>
      </c>
      <c r="B97" s="54" t="str">
        <f>IFERROR(__xludf.DUMMYFUNCTION("""COMPUTED_VALUE"""),"")</f>
        <v/>
      </c>
      <c r="C97" s="52"/>
      <c r="AQ97" s="7"/>
    </row>
    <row r="98">
      <c r="A98" s="50" t="str">
        <f>IFERROR(__xludf.DUMMYFUNCTION("""COMPUTED_VALUE"""),"Avg Player")</f>
        <v>Avg Player</v>
      </c>
      <c r="B98" s="68"/>
      <c r="C98" s="52"/>
      <c r="AQ98" s="7"/>
    </row>
    <row r="99">
      <c r="A99" s="56" t="str">
        <f>IFERROR(__xludf.DUMMYFUNCTION("Query(TotalAverages!A:AV,""Select A,AT where A&lt;&gt;'' Order by AT Desc Limit 1"")"),"OVERALL")</f>
        <v>OVERALL</v>
      </c>
      <c r="B99" s="54" t="str">
        <f>IFERROR(__xludf.DUMMYFUNCTION("""COMPUTED_VALUE"""),"")</f>
        <v/>
      </c>
      <c r="C99" s="52"/>
      <c r="AQ99" s="7"/>
    </row>
    <row r="100">
      <c r="A100" s="50" t="str">
        <f>IFERROR(__xludf.DUMMYFUNCTION("""COMPUTED_VALUE"""),"Avg Player")</f>
        <v>Avg Player</v>
      </c>
      <c r="B100" s="68"/>
      <c r="C100" s="52"/>
      <c r="AQ100" s="7"/>
    </row>
    <row r="101">
      <c r="A101" s="56" t="str">
        <f>IFERROR(__xludf.DUMMYFUNCTION("Query(TotalAverages!A:AV,""Select A,AU where A&lt;&gt;'' Order by AU Desc Limit 1"")"),"OVERALL")</f>
        <v>OVERALL</v>
      </c>
      <c r="B101" s="54" t="str">
        <f>IFERROR(__xludf.DUMMYFUNCTION("""COMPUTED_VALUE"""),"")</f>
        <v/>
      </c>
      <c r="C101" s="52"/>
      <c r="AQ101" s="7"/>
    </row>
    <row r="102">
      <c r="A102" s="50" t="str">
        <f>IFERROR(__xludf.DUMMYFUNCTION("""COMPUTED_VALUE"""),"Avg Player")</f>
        <v>Avg Player</v>
      </c>
      <c r="B102" s="68"/>
      <c r="C102" s="52"/>
      <c r="AQ102" s="7"/>
    </row>
    <row r="103">
      <c r="A103" s="56" t="str">
        <f>IFERROR(__xludf.DUMMYFUNCTION("Query(TotalAverages!A:AV,""Select A,AV where A&lt;&gt;'' Order by AV Desc Limit 1"")"),"OVERALL")</f>
        <v>OVERALL</v>
      </c>
      <c r="B103" s="54" t="str">
        <f>IFERROR(__xludf.DUMMYFUNCTION("""COMPUTED_VALUE"""),"")</f>
        <v/>
      </c>
      <c r="C103" s="52"/>
      <c r="AQ103" s="7"/>
    </row>
    <row r="104">
      <c r="A104" s="69" t="str">
        <f>IFERROR(__xludf.DUMMYFUNCTION("""COMPUTED_VALUE"""),"Avg Player")</f>
        <v>Avg Player</v>
      </c>
      <c r="B104" s="70"/>
      <c r="C104" s="52"/>
      <c r="AQ104" s="7"/>
    </row>
    <row r="105">
      <c r="A105" s="56" t="str">
        <f>IFERROR(__xludf.DUMMYFUNCTION("Query(TotalAverages!A:AX,""Select A,AW where A&lt;&gt;'' Order by AW Desc Limit 1"")"),"OVERALL")</f>
        <v>OVERALL</v>
      </c>
      <c r="B105" s="54" t="str">
        <f>IFERROR(__xludf.DUMMYFUNCTION("""COMPUTED_VALUE"""),"")</f>
        <v/>
      </c>
      <c r="C105" s="7"/>
      <c r="AQ105" s="7"/>
    </row>
    <row r="106">
      <c r="A106" s="69" t="str">
        <f>IFERROR(__xludf.DUMMYFUNCTION("""COMPUTED_VALUE"""),"Avg Player")</f>
        <v>Avg Player</v>
      </c>
      <c r="B106" s="70"/>
      <c r="AQ106" s="7"/>
    </row>
    <row r="107">
      <c r="A107" s="56" t="str">
        <f>IFERROR(__xludf.DUMMYFUNCTION("Query(TotalAverages!A:AX,""Select A,AX where A&lt;&gt;'' Order by AX Desc Limit 1"")"),"OVERALL")</f>
        <v>OVERALL</v>
      </c>
      <c r="B107" s="54" t="str">
        <f>IFERROR(__xludf.DUMMYFUNCTION("""COMPUTED_VALUE"""),"")</f>
        <v/>
      </c>
      <c r="AQ107" s="7"/>
    </row>
    <row r="108">
      <c r="A108" s="69" t="str">
        <f>IFERROR(__xludf.DUMMYFUNCTION("""COMPUTED_VALUE"""),"Avg Player")</f>
        <v>Avg Player</v>
      </c>
      <c r="B108" s="70"/>
      <c r="AQ108" s="7"/>
    </row>
    <row r="109">
      <c r="AQ109" s="7"/>
    </row>
    <row r="110">
      <c r="AQ110" s="7"/>
    </row>
  </sheetData>
  <mergeCells count="1">
    <mergeCell ref="A14:B14"/>
  </mergeCells>
  <conditionalFormatting sqref="B4:B9 C4:AL8 G12:AP61">
    <cfRule type="cellIs" dxfId="0" priority="1" operator="greaterThanOrEqual">
      <formula>"90%"</formula>
    </cfRule>
  </conditionalFormatting>
  <conditionalFormatting sqref="B4:B9 C4:AL8 G12:AP61">
    <cfRule type="cellIs" dxfId="1" priority="2" operator="greaterThan">
      <formula>"80%"</formula>
    </cfRule>
  </conditionalFormatting>
  <conditionalFormatting sqref="B4:B9 C4:AL8 G12:AP61">
    <cfRule type="cellIs" dxfId="2" priority="3" operator="greaterThan">
      <formula>"70%"</formula>
    </cfRule>
  </conditionalFormatting>
  <conditionalFormatting sqref="B4:B9 C4:AL8 G12:AP61">
    <cfRule type="cellIs" dxfId="3" priority="4" operator="greaterThan">
      <formula>"60%"</formula>
    </cfRule>
  </conditionalFormatting>
  <conditionalFormatting sqref="B4:B9 C4:AL8 G12:AP61">
    <cfRule type="cellIs" dxfId="4" priority="5" operator="greaterThan">
      <formula>"50%"</formula>
    </cfRule>
  </conditionalFormatting>
  <conditionalFormatting sqref="B4:B9 C4:AL8 G12:AP61">
    <cfRule type="cellIs" dxfId="5" priority="6" operator="greaterThan">
      <formula>"40%"</formula>
    </cfRule>
  </conditionalFormatting>
  <conditionalFormatting sqref="B4:B9 C4:AL8 G12:AP61">
    <cfRule type="cellIs" dxfId="6" priority="7" operator="greaterThanOrEqual">
      <formula>"30%"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>
      <c r="A2" s="72" t="s">
        <v>62</v>
      </c>
      <c r="B2" s="73" t="s">
        <v>63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>
      <c r="A3" s="72" t="s">
        <v>64</v>
      </c>
      <c r="B3" s="74" t="s">
        <v>65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>
      <c r="A4" s="72" t="s">
        <v>66</v>
      </c>
      <c r="B4" s="74" t="s">
        <v>67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>
      <c r="A5" s="72" t="s">
        <v>68</v>
      </c>
      <c r="B5" s="74" t="s">
        <v>69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>
      <c r="A6" s="72" t="s">
        <v>70</v>
      </c>
      <c r="B6" s="74" t="s">
        <v>71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>
      <c r="A7" s="72" t="s">
        <v>72</v>
      </c>
      <c r="B7" s="74" t="s">
        <v>73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>
      <c r="A8" s="72" t="s">
        <v>74</v>
      </c>
      <c r="B8" s="74" t="s">
        <v>75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>
      <c r="A9" s="72" t="s">
        <v>76</v>
      </c>
      <c r="B9" s="74" t="s">
        <v>77</v>
      </c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>
      <c r="A10" s="72" t="s">
        <v>78</v>
      </c>
      <c r="B10" s="74" t="s">
        <v>79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>
      <c r="A11" s="72" t="s">
        <v>80</v>
      </c>
      <c r="B11" s="74" t="s">
        <v>81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>
      <c r="A12" s="74" t="s">
        <v>82</v>
      </c>
      <c r="B12" s="1" t="s">
        <v>83</v>
      </c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>
      <c r="A13" s="74" t="s">
        <v>84</v>
      </c>
      <c r="B13" s="74" t="s">
        <v>85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>
      <c r="A14" s="74" t="s">
        <v>86</v>
      </c>
      <c r="B14" s="74" t="s">
        <v>87</v>
      </c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>
      <c r="A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>
      <c r="A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>
      <c r="A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>
      <c r="A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>
      <c r="A23" s="71"/>
      <c r="B23" s="75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>
      <c r="A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>
      <c r="A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>
      <c r="A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>
      <c r="A27" s="71"/>
      <c r="B27" s="76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>
      <c r="A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>
      <c r="A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>
      <c r="A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2.63"/>
    <col customWidth="1" min="3" max="3" width="18.63"/>
    <col customWidth="1" min="4" max="4" width="12.88"/>
    <col customWidth="1" min="5" max="5" width="4.63"/>
    <col customWidth="1" min="6" max="6" width="15.63"/>
    <col customWidth="1" min="7" max="7" width="2.38"/>
    <col customWidth="1" min="8" max="8" width="18.38"/>
    <col customWidth="1" min="9" max="9" width="2.25"/>
    <col customWidth="1" min="10" max="10" width="15.5"/>
    <col customWidth="1" min="11" max="11" width="13.63"/>
    <col customWidth="1" min="12" max="12" width="2.88"/>
    <col customWidth="1" min="13" max="13" width="17.13"/>
    <col customWidth="1" min="14" max="14" width="3.13"/>
    <col customWidth="1" min="15" max="15" width="21.0"/>
    <col customWidth="1" min="16" max="16" width="5.5"/>
    <col customWidth="1" min="17" max="17" width="6.13"/>
  </cols>
  <sheetData>
    <row r="1">
      <c r="A1" s="77" t="s">
        <v>88</v>
      </c>
    </row>
    <row r="2">
      <c r="A2" s="7"/>
      <c r="B2" s="78"/>
      <c r="C2" s="79" t="str">
        <f>IFERROR(__xludf.DUMMYFUNCTION("Query('Halo Reach Stats'!A:AK,""Select A, (F/G) Order By (F/G) Desc Limit 5 LABEL (F/G) 'Highest KD Ratio' "")"),"Player")</f>
        <v>Player</v>
      </c>
      <c r="D2" s="80" t="str">
        <f>IFERROR(__xludf.DUMMYFUNCTION("""COMPUTED_VALUE"""),"Highest KD Ratio")</f>
        <v>Highest KD Ratio</v>
      </c>
      <c r="E2" s="81"/>
      <c r="F2" s="82"/>
      <c r="G2" s="83"/>
      <c r="H2" s="84" t="str">
        <f>IFERROR(__xludf.DUMMYFUNCTION("Query('Halo Reach Stats'!A:AK,""Select A,E where A&lt;&gt; '' Order by E Desc Limit 5 LABEL E 'Most Goals'"")"),"Player")</f>
        <v>Player</v>
      </c>
      <c r="I2" s="84" t="str">
        <f>IFERROR(__xludf.DUMMYFUNCTION("""COMPUTED_VALUE"""),"Most Goals")</f>
        <v>Most Goals</v>
      </c>
      <c r="K2" s="7"/>
      <c r="L2" s="7"/>
      <c r="M2" s="79"/>
      <c r="P2" s="85"/>
      <c r="Q2" s="7"/>
    </row>
    <row r="3">
      <c r="A3" s="7"/>
      <c r="B3" s="83">
        <v>1.0</v>
      </c>
      <c r="C3" s="86" t="str">
        <f>IFERROR(__xludf.DUMMYFUNCTION("""COMPUTED_VALUE"""),"EllisGotMyPills")</f>
        <v>EllisGotMyPills</v>
      </c>
      <c r="D3" s="87">
        <f>IFERROR(__xludf.DUMMYFUNCTION("""COMPUTED_VALUE"""),0.30251346499102333)</f>
        <v>0.302513465</v>
      </c>
      <c r="E3" s="88"/>
      <c r="F3" s="17"/>
      <c r="G3" s="83">
        <v>1.0</v>
      </c>
      <c r="H3" s="86" t="str">
        <f>IFERROR(__xludf.DUMMYFUNCTION("""COMPUTED_VALUE"""),"yLuxe")</f>
        <v>yLuxe</v>
      </c>
      <c r="I3" s="86">
        <f>IFERROR(__xludf.DUMMYFUNCTION("""COMPUTED_VALUE"""),73.0)</f>
        <v>73</v>
      </c>
      <c r="K3" s="7"/>
      <c r="L3" s="7"/>
      <c r="M3" s="89"/>
      <c r="P3" s="90"/>
      <c r="Q3" s="7"/>
    </row>
    <row r="4">
      <c r="A4" s="7"/>
      <c r="B4" s="83">
        <v>2.0</v>
      </c>
      <c r="C4" s="91" t="str">
        <f>IFERROR(__xludf.DUMMYFUNCTION("""COMPUTED_VALUE"""),"yLuxe")</f>
        <v>yLuxe</v>
      </c>
      <c r="D4" s="92">
        <f>IFERROR(__xludf.DUMMYFUNCTION("""COMPUTED_VALUE"""),0.25925925925925924)</f>
        <v>0.2592592593</v>
      </c>
      <c r="E4" s="88"/>
      <c r="F4" s="17"/>
      <c r="G4" s="83">
        <v>2.0</v>
      </c>
      <c r="H4" s="86" t="str">
        <f>IFERROR(__xludf.DUMMYFUNCTION("""COMPUTED_VALUE"""),"EllisGotMyPills")</f>
        <v>EllisGotMyPills</v>
      </c>
      <c r="I4" s="86">
        <f>IFERROR(__xludf.DUMMYFUNCTION("""COMPUTED_VALUE"""),59.0)</f>
        <v>59</v>
      </c>
      <c r="K4" s="7"/>
      <c r="L4" s="7"/>
      <c r="P4" s="93"/>
      <c r="Q4" s="7"/>
    </row>
    <row r="5">
      <c r="A5" s="7"/>
      <c r="B5" s="83">
        <v>3.0</v>
      </c>
      <c r="C5" s="91" t="str">
        <f>IFERROR(__xludf.DUMMYFUNCTION("""COMPUTED_VALUE"""),"Dhlyn")</f>
        <v>Dhlyn</v>
      </c>
      <c r="D5" s="92">
        <f>IFERROR(__xludf.DUMMYFUNCTION("""COMPUTED_VALUE"""),0.21996753246753248)</f>
        <v>0.2199675325</v>
      </c>
      <c r="E5" s="88"/>
      <c r="F5" s="17"/>
      <c r="G5" s="83">
        <v>3.0</v>
      </c>
      <c r="H5" s="86" t="str">
        <f>IFERROR(__xludf.DUMMYFUNCTION("""COMPUTED_VALUE"""),"Hells Angel cx")</f>
        <v>Hells Angel cx</v>
      </c>
      <c r="I5" s="86">
        <f>IFERROR(__xludf.DUMMYFUNCTION("""COMPUTED_VALUE"""),54.0)</f>
        <v>54</v>
      </c>
      <c r="K5" s="7"/>
      <c r="L5" s="7"/>
      <c r="M5" s="7"/>
      <c r="N5" s="7"/>
      <c r="O5" s="7"/>
      <c r="P5" s="94"/>
      <c r="Q5" s="7"/>
    </row>
    <row r="6">
      <c r="A6" s="7"/>
      <c r="B6" s="83">
        <v>4.0</v>
      </c>
      <c r="C6" s="95" t="str">
        <f>IFERROR(__xludf.DUMMYFUNCTION("""COMPUTED_VALUE"""),"Hells Angel cx")</f>
        <v>Hells Angel cx</v>
      </c>
      <c r="D6" s="96">
        <f>IFERROR(__xludf.DUMMYFUNCTION("""COMPUTED_VALUE"""),0.20043258832011535)</f>
        <v>0.2004325883</v>
      </c>
      <c r="E6" s="88"/>
      <c r="F6" s="17"/>
      <c r="G6" s="83">
        <v>4.0</v>
      </c>
      <c r="H6" s="86" t="str">
        <f>IFERROR(__xludf.DUMMYFUNCTION("""COMPUTED_VALUE"""),"Mavbrid")</f>
        <v>Mavbrid</v>
      </c>
      <c r="I6" s="86">
        <f>IFERROR(__xludf.DUMMYFUNCTION("""COMPUTED_VALUE"""),50.0)</f>
        <v>50</v>
      </c>
      <c r="K6" s="7"/>
      <c r="L6" s="7"/>
      <c r="M6" s="84"/>
      <c r="P6" s="97"/>
      <c r="Q6" s="7"/>
    </row>
    <row r="7">
      <c r="A7" s="7"/>
      <c r="B7" s="98">
        <v>5.0</v>
      </c>
      <c r="C7" s="99" t="str">
        <f>IFERROR(__xludf.DUMMYFUNCTION("""COMPUTED_VALUE"""),"Mavbrid")</f>
        <v>Mavbrid</v>
      </c>
      <c r="D7" s="100">
        <f>IFERROR(__xludf.DUMMYFUNCTION("""COMPUTED_VALUE"""),0.17121588089330025)</f>
        <v>0.1712158809</v>
      </c>
      <c r="E7" s="101"/>
      <c r="F7" s="17"/>
      <c r="G7" s="98">
        <v>5.0</v>
      </c>
      <c r="H7" s="102" t="str">
        <f>IFERROR(__xludf.DUMMYFUNCTION("""COMPUTED_VALUE"""),"ixGingy")</f>
        <v>ixGingy</v>
      </c>
      <c r="I7" s="102">
        <f>IFERROR(__xludf.DUMMYFUNCTION("""COMPUTED_VALUE"""),48.0)</f>
        <v>48</v>
      </c>
      <c r="K7" s="7"/>
      <c r="L7" s="7"/>
      <c r="M7" s="103"/>
      <c r="P7" s="93"/>
      <c r="Q7" s="7"/>
    </row>
    <row r="8">
      <c r="A8" s="7"/>
      <c r="B8" s="104"/>
      <c r="C8" s="17"/>
      <c r="D8" s="17"/>
      <c r="E8" s="17"/>
      <c r="F8" s="17"/>
      <c r="G8" s="105"/>
      <c r="H8" s="17"/>
      <c r="I8" s="17"/>
      <c r="J8" s="17"/>
      <c r="K8" s="7"/>
      <c r="L8" s="7"/>
      <c r="M8" s="7"/>
      <c r="N8" s="7"/>
      <c r="O8" s="7"/>
      <c r="P8" s="106"/>
      <c r="Q8" s="7"/>
    </row>
    <row r="9">
      <c r="A9" s="7"/>
      <c r="B9" s="107"/>
      <c r="C9" s="84" t="str">
        <f>IFERROR(__xludf.DUMMYFUNCTION("Query('Halo Reach Stats'!A:AK,""Select A,Q where A&lt;&gt; '' Order by Q Desc Limit 5 LABEL Q 'Most Sprees'"")"),"Player")</f>
        <v>Player</v>
      </c>
      <c r="D9" s="84" t="str">
        <f>IFERROR(__xludf.DUMMYFUNCTION("""COMPUTED_VALUE"""),"Most Sprees")</f>
        <v>Most Sprees</v>
      </c>
      <c r="F9" s="17"/>
      <c r="G9" s="83"/>
      <c r="H9" s="84" t="str">
        <f>IFERROR(__xludf.DUMMYFUNCTION("Query('Halo Reach Stats'!A:AK,""Select A,P where A&lt;&gt; '' Order by P Desc Limit 5 LABEL P 'Most Bomb Stops'"")"),"Player")</f>
        <v>Player</v>
      </c>
      <c r="I9" s="84" t="str">
        <f>IFERROR(__xludf.DUMMYFUNCTION("""COMPUTED_VALUE"""),"Most Bomb Stops")</f>
        <v>Most Bomb Stops</v>
      </c>
      <c r="K9" s="7"/>
      <c r="L9" s="7"/>
      <c r="M9" s="7"/>
      <c r="N9" s="7"/>
      <c r="O9" s="7"/>
      <c r="P9" s="90"/>
      <c r="Q9" s="108"/>
    </row>
    <row r="10">
      <c r="A10" s="7"/>
      <c r="B10" s="83">
        <v>1.0</v>
      </c>
      <c r="C10" s="86" t="str">
        <f>IFERROR(__xludf.DUMMYFUNCTION("""COMPUTED_VALUE"""),"ActiveHate")</f>
        <v>ActiveHate</v>
      </c>
      <c r="D10" s="86">
        <f>IFERROR(__xludf.DUMMYFUNCTION("""COMPUTED_VALUE"""),0.0)</f>
        <v>0</v>
      </c>
      <c r="F10" s="17"/>
      <c r="G10" s="83">
        <v>1.0</v>
      </c>
      <c r="H10" s="86" t="str">
        <f>IFERROR(__xludf.DUMMYFUNCTION("""COMPUTED_VALUE"""),"EllisGotMyPills")</f>
        <v>EllisGotMyPills</v>
      </c>
      <c r="I10" s="86">
        <f>IFERROR(__xludf.DUMMYFUNCTION("""COMPUTED_VALUE"""),19443.0)</f>
        <v>19443</v>
      </c>
      <c r="K10" s="7"/>
      <c r="L10" s="7"/>
      <c r="M10" s="109" t="str">
        <f>IFERROR(__xludf.DUMMYFUNCTION("Query('Halo Reach Stats'!A:AK,""Select A,N where A&lt;&gt; '' Order By N Desc Limit 1 LABEL A 'Tom Brady Award: *Highest average life' "")"),"Tom Brady Award: *Highest average life")</f>
        <v>Tom Brady Award: *Highest average life</v>
      </c>
      <c r="P10" s="93"/>
      <c r="Q10" s="7"/>
    </row>
    <row r="11" ht="16.5" customHeight="1">
      <c r="A11" s="7"/>
      <c r="B11" s="83">
        <v>2.0</v>
      </c>
      <c r="C11" s="86" t="str">
        <f>IFERROR(__xludf.DUMMYFUNCTION("""COMPUTED_VALUE"""),"ADhillyy")</f>
        <v>ADhillyy</v>
      </c>
      <c r="D11" s="86">
        <f>IFERROR(__xludf.DUMMYFUNCTION("""COMPUTED_VALUE"""),0.0)</f>
        <v>0</v>
      </c>
      <c r="F11" s="17"/>
      <c r="G11" s="83">
        <v>2.0</v>
      </c>
      <c r="H11" s="86" t="str">
        <f>IFERROR(__xludf.DUMMYFUNCTION("""COMPUTED_VALUE"""),"Mavbrid")</f>
        <v>Mavbrid</v>
      </c>
      <c r="I11" s="86">
        <f>IFERROR(__xludf.DUMMYFUNCTION("""COMPUTED_VALUE"""),16378.0)</f>
        <v>16378</v>
      </c>
      <c r="K11" s="7"/>
      <c r="L11" s="7"/>
      <c r="M11" s="110" t="str">
        <f>IFERROR(__xludf.DUMMYFUNCTION("""COMPUTED_VALUE"""),"ixGingy")</f>
        <v>ixGingy</v>
      </c>
      <c r="N11" s="111">
        <f>IFERROR(__xludf.DUMMYFUNCTION("""COMPUTED_VALUE"""),72805.0)</f>
        <v>72805</v>
      </c>
      <c r="O11" s="78" t="s">
        <v>89</v>
      </c>
      <c r="P11" s="106"/>
      <c r="Q11" s="7"/>
    </row>
    <row r="12">
      <c r="A12" s="7"/>
      <c r="B12" s="83">
        <v>3.0</v>
      </c>
      <c r="C12" s="86" t="str">
        <f>IFERROR(__xludf.DUMMYFUNCTION("""COMPUTED_VALUE"""),"Almighty Tycoon")</f>
        <v>Almighty Tycoon</v>
      </c>
      <c r="D12" s="86">
        <f>IFERROR(__xludf.DUMMYFUNCTION("""COMPUTED_VALUE"""),0.0)</f>
        <v>0</v>
      </c>
      <c r="F12" s="17"/>
      <c r="G12" s="83">
        <v>3.0</v>
      </c>
      <c r="H12" s="86" t="str">
        <f>IFERROR(__xludf.DUMMYFUNCTION("""COMPUTED_VALUE"""),"yLuxe")</f>
        <v>yLuxe</v>
      </c>
      <c r="I12" s="86">
        <f>IFERROR(__xludf.DUMMYFUNCTION("""COMPUTED_VALUE"""),15028.0)</f>
        <v>15028</v>
      </c>
      <c r="K12" s="7"/>
      <c r="L12" s="7"/>
      <c r="M12" s="7"/>
      <c r="N12" s="7"/>
      <c r="O12" s="7"/>
      <c r="P12" s="90"/>
      <c r="Q12" s="7"/>
    </row>
    <row r="13">
      <c r="A13" s="7"/>
      <c r="B13" s="83">
        <v>4.0</v>
      </c>
      <c r="C13" s="86" t="str">
        <f>IFERROR(__xludf.DUMMYFUNCTION("""COMPUTED_VALUE"""),"ASpence501")</f>
        <v>ASpence501</v>
      </c>
      <c r="D13" s="86">
        <f>IFERROR(__xludf.DUMMYFUNCTION("""COMPUTED_VALUE"""),0.0)</f>
        <v>0</v>
      </c>
      <c r="F13" s="17"/>
      <c r="G13" s="83">
        <v>4.0</v>
      </c>
      <c r="H13" s="86" t="str">
        <f>IFERROR(__xludf.DUMMYFUNCTION("""COMPUTED_VALUE"""),"Laser Wins")</f>
        <v>Laser Wins</v>
      </c>
      <c r="I13" s="86">
        <f>IFERROR(__xludf.DUMMYFUNCTION("""COMPUTED_VALUE"""),14865.0)</f>
        <v>14865</v>
      </c>
      <c r="K13" s="7"/>
      <c r="L13" s="7"/>
      <c r="M13" s="112" t="str">
        <f>IFERROR(__xludf.DUMMYFUNCTION("Query('Halo Reach Stats'!A:AK,""Select A,N where A&lt;&gt; '' Order By N Asc Limit 1 LABEL A 'ActiveHate Award: *Lowest average life' "")"),"ActiveHate Award: *Lowest average life")</f>
        <v>ActiveHate Award: *Lowest average life</v>
      </c>
      <c r="P13" s="90"/>
      <c r="Q13" s="7"/>
    </row>
    <row r="14">
      <c r="A14" s="7"/>
      <c r="B14" s="83">
        <v>5.0</v>
      </c>
      <c r="C14" s="86" t="str">
        <f>IFERROR(__xludf.DUMMYFUNCTION("""COMPUTED_VALUE"""),"AwareMosquito")</f>
        <v>AwareMosquito</v>
      </c>
      <c r="D14" s="86">
        <f>IFERROR(__xludf.DUMMYFUNCTION("""COMPUTED_VALUE"""),0.0)</f>
        <v>0</v>
      </c>
      <c r="F14" s="17"/>
      <c r="G14" s="83">
        <v>5.0</v>
      </c>
      <c r="H14" s="86" t="str">
        <f>IFERROR(__xludf.DUMMYFUNCTION("""COMPUTED_VALUE"""),"Doerstopper")</f>
        <v>Doerstopper</v>
      </c>
      <c r="I14" s="86">
        <f>IFERROR(__xludf.DUMMYFUNCTION("""COMPUTED_VALUE"""),10839.0)</f>
        <v>10839</v>
      </c>
      <c r="K14" s="7"/>
      <c r="L14" s="7"/>
      <c r="M14" s="86" t="str">
        <f>IFERROR(__xludf.DUMMYFUNCTION("""COMPUTED_VALUE"""),"MuNgO PuNgO")</f>
        <v>MuNgO PuNgO</v>
      </c>
      <c r="N14" s="111">
        <f>IFERROR(__xludf.DUMMYFUNCTION("""COMPUTED_VALUE"""),2536.0)</f>
        <v>2536</v>
      </c>
      <c r="O14" s="78" t="s">
        <v>89</v>
      </c>
      <c r="P14" s="7"/>
      <c r="Q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113"/>
      <c r="P15" s="7"/>
      <c r="Q15" s="7"/>
    </row>
    <row r="16">
      <c r="A16" s="7"/>
      <c r="B16" s="7"/>
      <c r="C16" s="114"/>
      <c r="D16" s="7"/>
      <c r="E16" s="7"/>
      <c r="F16" s="7"/>
      <c r="G16" s="7"/>
      <c r="H16" s="7"/>
      <c r="I16" s="7"/>
      <c r="J16" s="7"/>
      <c r="K16" s="114"/>
      <c r="L16" s="114"/>
      <c r="M16" s="114"/>
      <c r="N16" s="7"/>
      <c r="O16" s="7"/>
      <c r="P16" s="7"/>
      <c r="Q16" s="7"/>
    </row>
    <row r="17">
      <c r="A17" s="7"/>
      <c r="B17" s="7"/>
      <c r="C17" s="115" t="str">
        <f>IFERROR(__xludf.DUMMYFUNCTION("Query(HEXASbaseINFO!A:AA,""Select A,T where A&lt;&gt;'' Order by T Desc Limit 10"")"),"Player")</f>
        <v>Player</v>
      </c>
      <c r="D17" s="116" t="str">
        <f>IFERROR(__xludf.DUMMYFUNCTION("""COMPUTED_VALUE"""),"SUM of Killing Frenzies")</f>
        <v>SUM of Killing Frenzies</v>
      </c>
      <c r="E17" s="117"/>
      <c r="F17" s="118" t="str">
        <f>IFERROR(__xludf.DUMMYFUNCTION("Query(HEXASbaseINFO!A:Z,""Select A,U where A&lt;&gt;'' Order by U Desc Limit 10"")"),"Player")</f>
        <v>Player</v>
      </c>
      <c r="G17" s="119" t="str">
        <f>IFERROR(__xludf.DUMMYFUNCTION("""COMPUTED_VALUE"""),"SUM of Double Kills")</f>
        <v>SUM of Double Kills</v>
      </c>
      <c r="H17" s="120"/>
      <c r="I17" s="117"/>
      <c r="J17" s="121" t="str">
        <f>IFERROR(__xludf.DUMMYFUNCTION("Query(HEXASbaseINFO!A:AA,""Select A,V where A&lt;&gt;'' Order by V Desc Limit 10"")"),"Player")</f>
        <v>Player</v>
      </c>
      <c r="K17" s="122" t="str">
        <f>IFERROR(__xludf.DUMMYFUNCTION("""COMPUTED_VALUE"""),"SUM of Triple Kills")</f>
        <v>SUM of Triple Kills</v>
      </c>
      <c r="L17" s="117"/>
      <c r="M17" s="123" t="str">
        <f>IFERROR(__xludf.DUMMYFUNCTION("Query(HEXASbaseINFO!A:Y,""Select A,Y where A&lt;&gt;'' Order by Y Desc Limit 10"")"),"Player")</f>
        <v>Player</v>
      </c>
      <c r="N17" s="124" t="str">
        <f>IFERROR(__xludf.DUMMYFUNCTION("""COMPUTED_VALUE"""),"SUM of Killtrocities")</f>
        <v>SUM of Killtrocities</v>
      </c>
      <c r="O17" s="120"/>
      <c r="P17" s="7"/>
      <c r="Q17" s="7"/>
    </row>
    <row r="18">
      <c r="A18" s="7"/>
      <c r="B18" s="7"/>
      <c r="C18" s="125" t="str">
        <f>IFERROR(__xludf.DUMMYFUNCTION("""COMPUTED_VALUE"""),"yLuxe")</f>
        <v>yLuxe</v>
      </c>
      <c r="D18" s="126">
        <f>IFERROR(__xludf.DUMMYFUNCTION("""COMPUTED_VALUE"""),6.0)</f>
        <v>6</v>
      </c>
      <c r="E18" s="113"/>
      <c r="F18" s="127" t="str">
        <f>IFERROR(__xludf.DUMMYFUNCTION("""COMPUTED_VALUE"""),"DlGITAL PAIN")</f>
        <v>DlGITAL PAIN</v>
      </c>
      <c r="G18" s="128">
        <f>IFERROR(__xludf.DUMMYFUNCTION("""COMPUTED_VALUE"""),634.0)</f>
        <v>634</v>
      </c>
      <c r="H18" s="129"/>
      <c r="I18" s="113"/>
      <c r="J18" s="130" t="str">
        <f>IFERROR(__xludf.DUMMYFUNCTION("""COMPUTED_VALUE"""),"MysticalNovice")</f>
        <v>MysticalNovice</v>
      </c>
      <c r="K18" s="131">
        <f>IFERROR(__xludf.DUMMYFUNCTION("""COMPUTED_VALUE"""),118.0)</f>
        <v>118</v>
      </c>
      <c r="L18" s="93"/>
      <c r="M18" s="132" t="str">
        <f>IFERROR(__xludf.DUMMYFUNCTION("""COMPUTED_VALUE"""),"DlGITAL PAIN")</f>
        <v>DlGITAL PAIN</v>
      </c>
      <c r="N18" s="133">
        <f>IFERROR(__xludf.DUMMYFUNCTION("""COMPUTED_VALUE"""),6.0)</f>
        <v>6</v>
      </c>
      <c r="O18" s="129"/>
      <c r="P18" s="7"/>
      <c r="Q18" s="7"/>
    </row>
    <row r="19">
      <c r="A19" s="7"/>
      <c r="B19" s="7"/>
      <c r="C19" s="125" t="str">
        <f>IFERROR(__xludf.DUMMYFUNCTION("""COMPUTED_VALUE"""),"Dhlyn")</f>
        <v>Dhlyn</v>
      </c>
      <c r="D19" s="126">
        <f>IFERROR(__xludf.DUMMYFUNCTION("""COMPUTED_VALUE"""),5.0)</f>
        <v>5</v>
      </c>
      <c r="E19" s="113"/>
      <c r="F19" s="127" t="str">
        <f>IFERROR(__xludf.DUMMYFUNCTION("""COMPUTED_VALUE"""),"ixGingy")</f>
        <v>ixGingy</v>
      </c>
      <c r="G19" s="128">
        <f>IFERROR(__xludf.DUMMYFUNCTION("""COMPUTED_VALUE"""),608.0)</f>
        <v>608</v>
      </c>
      <c r="H19" s="129"/>
      <c r="I19" s="113"/>
      <c r="J19" s="130" t="str">
        <f>IFERROR(__xludf.DUMMYFUNCTION("""COMPUTED_VALUE"""),"DlGITAL PAIN")</f>
        <v>DlGITAL PAIN</v>
      </c>
      <c r="K19" s="131">
        <f>IFERROR(__xludf.DUMMYFUNCTION("""COMPUTED_VALUE"""),114.0)</f>
        <v>114</v>
      </c>
      <c r="L19" s="93"/>
      <c r="M19" s="132" t="str">
        <f>IFERROR(__xludf.DUMMYFUNCTION("""COMPUTED_VALUE"""),"Itzreelz")</f>
        <v>Itzreelz</v>
      </c>
      <c r="N19" s="133">
        <f>IFERROR(__xludf.DUMMYFUNCTION("""COMPUTED_VALUE"""),2.0)</f>
        <v>2</v>
      </c>
      <c r="O19" s="129"/>
      <c r="P19" s="7"/>
      <c r="Q19" s="7"/>
    </row>
    <row r="20">
      <c r="A20" s="7"/>
      <c r="B20" s="7"/>
      <c r="C20" s="125" t="str">
        <f>IFERROR(__xludf.DUMMYFUNCTION("""COMPUTED_VALUE"""),"Mavbrid")</f>
        <v>Mavbrid</v>
      </c>
      <c r="D20" s="126">
        <f>IFERROR(__xludf.DUMMYFUNCTION("""COMPUTED_VALUE"""),4.0)</f>
        <v>4</v>
      </c>
      <c r="E20" s="113"/>
      <c r="F20" s="127" t="str">
        <f>IFERROR(__xludf.DUMMYFUNCTION("""COMPUTED_VALUE"""),"MysticalNovice")</f>
        <v>MysticalNovice</v>
      </c>
      <c r="G20" s="128">
        <f>IFERROR(__xludf.DUMMYFUNCTION("""COMPUTED_VALUE"""),583.0)</f>
        <v>583</v>
      </c>
      <c r="H20" s="129"/>
      <c r="I20" s="113"/>
      <c r="J20" s="130" t="str">
        <f>IFERROR(__xludf.DUMMYFUNCTION("""COMPUTED_VALUE"""),"ixGingy")</f>
        <v>ixGingy</v>
      </c>
      <c r="K20" s="131">
        <f>IFERROR(__xludf.DUMMYFUNCTION("""COMPUTED_VALUE"""),111.0)</f>
        <v>111</v>
      </c>
      <c r="L20" s="93"/>
      <c r="M20" s="134" t="str">
        <f>IFERROR(__xludf.DUMMYFUNCTION("""COMPUTED_VALUE"""),"oDhmon")</f>
        <v>oDhmon</v>
      </c>
      <c r="N20" s="133">
        <f>IFERROR(__xludf.DUMMYFUNCTION("""COMPUTED_VALUE"""),2.0)</f>
        <v>2</v>
      </c>
      <c r="O20" s="129"/>
      <c r="P20" s="7"/>
      <c r="Q20" s="7"/>
    </row>
    <row r="21">
      <c r="A21" s="7"/>
      <c r="B21" s="7"/>
      <c r="C21" s="125" t="str">
        <f>IFERROR(__xludf.DUMMYFUNCTION("""COMPUTED_VALUE"""),"EllisGotMyPills")</f>
        <v>EllisGotMyPills</v>
      </c>
      <c r="D21" s="126">
        <f>IFERROR(__xludf.DUMMYFUNCTION("""COMPUTED_VALUE"""),3.0)</f>
        <v>3</v>
      </c>
      <c r="E21" s="113"/>
      <c r="F21" s="127" t="str">
        <f>IFERROR(__xludf.DUMMYFUNCTION("""COMPUTED_VALUE"""),"ASpence501")</f>
        <v>ASpence501</v>
      </c>
      <c r="G21" s="128">
        <f>IFERROR(__xludf.DUMMYFUNCTION("""COMPUTED_VALUE"""),490.0)</f>
        <v>490</v>
      </c>
      <c r="H21" s="129"/>
      <c r="I21" s="113"/>
      <c r="J21" s="130" t="str">
        <f>IFERROR(__xludf.DUMMYFUNCTION("""COMPUTED_VALUE"""),"Itzreelz")</f>
        <v>Itzreelz</v>
      </c>
      <c r="K21" s="131">
        <f>IFERROR(__xludf.DUMMYFUNCTION("""COMPUTED_VALUE"""),92.0)</f>
        <v>92</v>
      </c>
      <c r="L21" s="135"/>
      <c r="M21" s="136" t="str">
        <f>IFERROR(__xludf.DUMMYFUNCTION("""COMPUTED_VALUE"""),"yLuxe")</f>
        <v>yLuxe</v>
      </c>
      <c r="N21" s="133">
        <f>IFERROR(__xludf.DUMMYFUNCTION("""COMPUTED_VALUE"""),2.0)</f>
        <v>2</v>
      </c>
      <c r="O21" s="129"/>
      <c r="P21" s="7"/>
      <c r="Q21" s="7"/>
    </row>
    <row r="22">
      <c r="A22" s="7"/>
      <c r="B22" s="7"/>
      <c r="C22" s="125" t="str">
        <f>IFERROR(__xludf.DUMMYFUNCTION("""COMPUTED_VALUE"""),"Hells Angel cx")</f>
        <v>Hells Angel cx</v>
      </c>
      <c r="D22" s="126">
        <f>IFERROR(__xludf.DUMMYFUNCTION("""COMPUTED_VALUE"""),3.0)</f>
        <v>3</v>
      </c>
      <c r="E22" s="113"/>
      <c r="F22" s="127" t="str">
        <f>IFERROR(__xludf.DUMMYFUNCTION("""COMPUTED_VALUE"""),"oDhmon")</f>
        <v>oDhmon</v>
      </c>
      <c r="G22" s="128">
        <f>IFERROR(__xludf.DUMMYFUNCTION("""COMPUTED_VALUE"""),472.0)</f>
        <v>472</v>
      </c>
      <c r="H22" s="129"/>
      <c r="I22" s="113"/>
      <c r="J22" s="130" t="str">
        <f>IFERROR(__xludf.DUMMYFUNCTION("""COMPUTED_VALUE"""),"ASpence501")</f>
        <v>ASpence501</v>
      </c>
      <c r="K22" s="131">
        <f>IFERROR(__xludf.DUMMYFUNCTION("""COMPUTED_VALUE"""),87.0)</f>
        <v>87</v>
      </c>
      <c r="L22" s="93"/>
      <c r="M22" s="132" t="str">
        <f>IFERROR(__xludf.DUMMYFUNCTION("""COMPUTED_VALUE"""),"Almighty Tycoon")</f>
        <v>Almighty Tycoon</v>
      </c>
      <c r="N22" s="133">
        <f>IFERROR(__xludf.DUMMYFUNCTION("""COMPUTED_VALUE"""),1.0)</f>
        <v>1</v>
      </c>
      <c r="O22" s="129"/>
      <c r="P22" s="7"/>
      <c r="Q22" s="7"/>
    </row>
    <row r="23">
      <c r="A23" s="7"/>
      <c r="B23" s="7"/>
      <c r="C23" s="125" t="str">
        <f>IFERROR(__xludf.DUMMYFUNCTION("""COMPUTED_VALUE"""),"ixGingy")</f>
        <v>ixGingy</v>
      </c>
      <c r="D23" s="126">
        <f>IFERROR(__xludf.DUMMYFUNCTION("""COMPUTED_VALUE"""),3.0)</f>
        <v>3</v>
      </c>
      <c r="E23" s="113"/>
      <c r="F23" s="127" t="str">
        <f>IFERROR(__xludf.DUMMYFUNCTION("""COMPUTED_VALUE"""),"Solace VIII")</f>
        <v>Solace VIII</v>
      </c>
      <c r="G23" s="128">
        <f>IFERROR(__xludf.DUMMYFUNCTION("""COMPUTED_VALUE"""),429.0)</f>
        <v>429</v>
      </c>
      <c r="H23" s="129"/>
      <c r="I23" s="113"/>
      <c r="J23" s="130" t="str">
        <f>IFERROR(__xludf.DUMMYFUNCTION("""COMPUTED_VALUE"""),"oDhmon")</f>
        <v>oDhmon</v>
      </c>
      <c r="K23" s="131">
        <f>IFERROR(__xludf.DUMMYFUNCTION("""COMPUTED_VALUE"""),73.0)</f>
        <v>73</v>
      </c>
      <c r="L23" s="93"/>
      <c r="M23" s="132" t="str">
        <f>IFERROR(__xludf.DUMMYFUNCTION("""COMPUTED_VALUE"""),"ASpence501")</f>
        <v>ASpence501</v>
      </c>
      <c r="N23" s="133">
        <f>IFERROR(__xludf.DUMMYFUNCTION("""COMPUTED_VALUE"""),1.0)</f>
        <v>1</v>
      </c>
      <c r="O23" s="129"/>
      <c r="P23" s="7"/>
      <c r="Q23" s="7"/>
    </row>
    <row r="24">
      <c r="A24" s="7"/>
      <c r="B24" s="7"/>
      <c r="C24" s="125" t="str">
        <f>IFERROR(__xludf.DUMMYFUNCTION("""COMPUTED_VALUE"""),"DlGITAL PAIN")</f>
        <v>DlGITAL PAIN</v>
      </c>
      <c r="D24" s="126">
        <f>IFERROR(__xludf.DUMMYFUNCTION("""COMPUTED_VALUE"""),2.0)</f>
        <v>2</v>
      </c>
      <c r="E24" s="113"/>
      <c r="F24" s="127" t="str">
        <f>IFERROR(__xludf.DUMMYFUNCTION("""COMPUTED_VALUE"""),"Itzreelz")</f>
        <v>Itzreelz</v>
      </c>
      <c r="G24" s="128">
        <f>IFERROR(__xludf.DUMMYFUNCTION("""COMPUTED_VALUE"""),389.0)</f>
        <v>389</v>
      </c>
      <c r="H24" s="129"/>
      <c r="I24" s="113"/>
      <c r="J24" s="130" t="str">
        <f>IFERROR(__xludf.DUMMYFUNCTION("""COMPUTED_VALUE"""),"Solace VIII")</f>
        <v>Solace VIII</v>
      </c>
      <c r="K24" s="131">
        <f>IFERROR(__xludf.DUMMYFUNCTION("""COMPUTED_VALUE"""),73.0)</f>
        <v>73</v>
      </c>
      <c r="L24" s="93"/>
      <c r="M24" s="132" t="str">
        <f>IFERROR(__xludf.DUMMYFUNCTION("""COMPUTED_VALUE"""),"InfiniteRainge")</f>
        <v>InfiniteRainge</v>
      </c>
      <c r="N24" s="133">
        <f>IFERROR(__xludf.DUMMYFUNCTION("""COMPUTED_VALUE"""),1.0)</f>
        <v>1</v>
      </c>
      <c r="O24" s="129"/>
      <c r="P24" s="7"/>
      <c r="Q24" s="7"/>
    </row>
    <row r="25">
      <c r="A25" s="7"/>
      <c r="B25" s="7"/>
      <c r="C25" s="125" t="str">
        <f>IFERROR(__xludf.DUMMYFUNCTION("""COMPUTED_VALUE"""),"Itzreelz")</f>
        <v>Itzreelz</v>
      </c>
      <c r="D25" s="126">
        <f>IFERROR(__xludf.DUMMYFUNCTION("""COMPUTED_VALUE"""),2.0)</f>
        <v>2</v>
      </c>
      <c r="E25" s="113"/>
      <c r="F25" s="127" t="str">
        <f>IFERROR(__xludf.DUMMYFUNCTION("""COMPUTED_VALUE"""),"ActiveHate")</f>
        <v>ActiveHate</v>
      </c>
      <c r="G25" s="128">
        <f>IFERROR(__xludf.DUMMYFUNCTION("""COMPUTED_VALUE"""),286.0)</f>
        <v>286</v>
      </c>
      <c r="H25" s="129"/>
      <c r="I25" s="113"/>
      <c r="J25" s="130" t="str">
        <f>IFERROR(__xludf.DUMMYFUNCTION("""COMPUTED_VALUE"""),"ActiveHate")</f>
        <v>ActiveHate</v>
      </c>
      <c r="K25" s="131">
        <f>IFERROR(__xludf.DUMMYFUNCTION("""COMPUTED_VALUE"""),57.0)</f>
        <v>57</v>
      </c>
      <c r="L25" s="93"/>
      <c r="M25" s="132" t="str">
        <f>IFERROR(__xludf.DUMMYFUNCTION("""COMPUTED_VALUE"""),"L1ght5aber")</f>
        <v>L1ght5aber</v>
      </c>
      <c r="N25" s="133">
        <f>IFERROR(__xludf.DUMMYFUNCTION("""COMPUTED_VALUE"""),1.0)</f>
        <v>1</v>
      </c>
      <c r="O25" s="129"/>
      <c r="P25" s="7"/>
      <c r="Q25" s="7"/>
    </row>
    <row r="26">
      <c r="A26" s="7"/>
      <c r="B26" s="7"/>
      <c r="C26" s="125" t="str">
        <f>IFERROR(__xludf.DUMMYFUNCTION("""COMPUTED_VALUE"""),"L0RNA SHORE")</f>
        <v>L0RNA SHORE</v>
      </c>
      <c r="D26" s="126">
        <f>IFERROR(__xludf.DUMMYFUNCTION("""COMPUTED_VALUE"""),1.0)</f>
        <v>1</v>
      </c>
      <c r="E26" s="113"/>
      <c r="F26" s="127" t="str">
        <f>IFERROR(__xludf.DUMMYFUNCTION("""COMPUTED_VALUE"""),"InfiniteRainge")</f>
        <v>InfiniteRainge</v>
      </c>
      <c r="G26" s="128">
        <f>IFERROR(__xludf.DUMMYFUNCTION("""COMPUTED_VALUE"""),282.0)</f>
        <v>282</v>
      </c>
      <c r="H26" s="129"/>
      <c r="I26" s="113"/>
      <c r="J26" s="130" t="str">
        <f>IFERROR(__xludf.DUMMYFUNCTION("""COMPUTED_VALUE"""),"yLuxe")</f>
        <v>yLuxe</v>
      </c>
      <c r="K26" s="131">
        <f>IFERROR(__xludf.DUMMYFUNCTION("""COMPUTED_VALUE"""),55.0)</f>
        <v>55</v>
      </c>
      <c r="L26" s="93"/>
      <c r="M26" s="132" t="str">
        <f>IFERROR(__xludf.DUMMYFUNCTION("""COMPUTED_VALUE"""),"Luner Panda")</f>
        <v>Luner Panda</v>
      </c>
      <c r="N26" s="133">
        <f>IFERROR(__xludf.DUMMYFUNCTION("""COMPUTED_VALUE"""),1.0)</f>
        <v>1</v>
      </c>
      <c r="O26" s="129"/>
      <c r="P26" s="7"/>
      <c r="Q26" s="7"/>
    </row>
    <row r="27">
      <c r="A27" s="7"/>
      <c r="B27" s="7"/>
      <c r="C27" s="137" t="str">
        <f>IFERROR(__xludf.DUMMYFUNCTION("""COMPUTED_VALUE"""),"ActiveHate")</f>
        <v>ActiveHate</v>
      </c>
      <c r="D27" s="138">
        <f>IFERROR(__xludf.DUMMYFUNCTION("""COMPUTED_VALUE"""),0.0)</f>
        <v>0</v>
      </c>
      <c r="E27" s="139"/>
      <c r="F27" s="140" t="str">
        <f>IFERROR(__xludf.DUMMYFUNCTION("""COMPUTED_VALUE"""),"GodSnipezX")</f>
        <v>GodSnipezX</v>
      </c>
      <c r="G27" s="141">
        <f>IFERROR(__xludf.DUMMYFUNCTION("""COMPUTED_VALUE"""),279.0)</f>
        <v>279</v>
      </c>
      <c r="H27" s="142"/>
      <c r="I27" s="139"/>
      <c r="J27" s="143" t="str">
        <f>IFERROR(__xludf.DUMMYFUNCTION("""COMPUTED_VALUE"""),"InfiniteRainge")</f>
        <v>InfiniteRainge</v>
      </c>
      <c r="K27" s="144">
        <f>IFERROR(__xludf.DUMMYFUNCTION("""COMPUTED_VALUE"""),52.0)</f>
        <v>52</v>
      </c>
      <c r="L27" s="145"/>
      <c r="M27" s="146" t="str">
        <f>IFERROR(__xludf.DUMMYFUNCTION("""COMPUTED_VALUE"""),"Mavbrid")</f>
        <v>Mavbrid</v>
      </c>
      <c r="N27" s="147">
        <f>IFERROR(__xludf.DUMMYFUNCTION("""COMPUTED_VALUE"""),1.0)</f>
        <v>1</v>
      </c>
      <c r="O27" s="142"/>
      <c r="P27" s="7"/>
      <c r="Q27" s="7"/>
    </row>
    <row r="28">
      <c r="A28" s="7"/>
      <c r="B28" s="7"/>
      <c r="C28" s="7"/>
      <c r="D28" s="7"/>
      <c r="E28" s="7"/>
      <c r="F28" s="7"/>
      <c r="G28" s="93"/>
      <c r="H28" s="93"/>
      <c r="I28" s="7"/>
      <c r="J28" s="7"/>
      <c r="K28" s="114"/>
      <c r="L28" s="114"/>
      <c r="M28" s="7"/>
      <c r="N28" s="7"/>
      <c r="O28" s="7"/>
      <c r="P28" s="7"/>
      <c r="Q28" s="7"/>
    </row>
    <row r="29">
      <c r="A29" s="7"/>
      <c r="B29" s="7"/>
      <c r="C29" s="148" t="str">
        <f>IFERROR(__xludf.DUMMYFUNCTION("Query(HEXASbaseINFO!A:AB,""Select A,X where A&lt;&gt;'' Order by X Desc Limit 10"")"),"Player")</f>
        <v>Player</v>
      </c>
      <c r="D29" s="149" t="str">
        <f>IFERROR(__xludf.DUMMYFUNCTION("""COMPUTED_VALUE"""),"SUM of Killtaculars")</f>
        <v>SUM of Killtaculars</v>
      </c>
      <c r="E29" s="117"/>
      <c r="F29" s="150" t="str">
        <f>IFERROR(__xludf.DUMMYFUNCTION("Query(HEXASbaseINFO!A:AB,""Select A,AB where A&lt;&gt;'' Order by AB Desc Limit 10"")"),"Player")</f>
        <v>Player</v>
      </c>
      <c r="G29" s="151" t="str">
        <f>IFERROR(__xludf.DUMMYFUNCTION("""COMPUTED_VALUE"""),"SUM of Betrayals")</f>
        <v>SUM of Betrayals</v>
      </c>
      <c r="H29" s="120"/>
      <c r="I29" s="117"/>
      <c r="J29" s="152" t="str">
        <f>IFERROR(__xludf.DUMMYFUNCTION("Query(HEXASbaseINFO!A:Y,""Select A,W where A&lt;&gt;'' Order by W Desc Limit 10"")"),"Player")</f>
        <v>Player</v>
      </c>
      <c r="K29" s="153" t="str">
        <f>IFERROR(__xludf.DUMMYFUNCTION("""COMPUTED_VALUE"""),"SUM of Overkills")</f>
        <v>SUM of Overkills</v>
      </c>
      <c r="L29" s="117"/>
      <c r="M29" s="154" t="str">
        <f>IFERROR(__xludf.DUMMYFUNCTION("Query(HEXASbaseINFO!A:AA,""Select A,AA where A&lt;&gt;'' Order by AA Desc Limit 10"")"),"Player")</f>
        <v>Player</v>
      </c>
      <c r="N29" s="155" t="str">
        <f>IFERROR(__xludf.DUMMYFUNCTION("""COMPUTED_VALUE"""),"SUM of Killtastrophe")</f>
        <v>SUM of Killtastrophe</v>
      </c>
      <c r="O29" s="120"/>
      <c r="P29" s="7"/>
      <c r="Q29" s="7"/>
    </row>
    <row r="30">
      <c r="A30" s="7"/>
      <c r="B30" s="7"/>
      <c r="C30" s="156" t="str">
        <f>IFERROR(__xludf.DUMMYFUNCTION("""COMPUTED_VALUE"""),"Itzreelz")</f>
        <v>Itzreelz</v>
      </c>
      <c r="D30" s="157">
        <f>IFERROR(__xludf.DUMMYFUNCTION("""COMPUTED_VALUE"""),11.0)</f>
        <v>11</v>
      </c>
      <c r="E30" s="113"/>
      <c r="F30" s="158" t="str">
        <f>IFERROR(__xludf.DUMMYFUNCTION("""COMPUTED_VALUE"""),"ixGingy")</f>
        <v>ixGingy</v>
      </c>
      <c r="G30" s="159">
        <f>IFERROR(__xludf.DUMMYFUNCTION("""COMPUTED_VALUE"""),74.0)</f>
        <v>74</v>
      </c>
      <c r="H30" s="129"/>
      <c r="I30" s="113"/>
      <c r="J30" s="160" t="str">
        <f>IFERROR(__xludf.DUMMYFUNCTION("""COMPUTED_VALUE"""),"Itzreelz")</f>
        <v>Itzreelz</v>
      </c>
      <c r="K30" s="161">
        <f>IFERROR(__xludf.DUMMYFUNCTION("""COMPUTED_VALUE"""),27.0)</f>
        <v>27</v>
      </c>
      <c r="L30" s="93"/>
      <c r="M30" s="162" t="str">
        <f>IFERROR(__xludf.DUMMYFUNCTION("""COMPUTED_VALUE"""),"yLuxe")</f>
        <v>yLuxe</v>
      </c>
      <c r="N30" s="163">
        <f>IFERROR(__xludf.DUMMYFUNCTION("""COMPUTED_VALUE"""),1.0)</f>
        <v>1</v>
      </c>
      <c r="O30" s="129"/>
      <c r="P30" s="7"/>
      <c r="Q30" s="7"/>
    </row>
    <row r="31">
      <c r="A31" s="7"/>
      <c r="B31" s="7"/>
      <c r="C31" s="156" t="str">
        <f>IFERROR(__xludf.DUMMYFUNCTION("""COMPUTED_VALUE"""),"DlGITAL PAIN")</f>
        <v>DlGITAL PAIN</v>
      </c>
      <c r="D31" s="157">
        <f>IFERROR(__xludf.DUMMYFUNCTION("""COMPUTED_VALUE"""),10.0)</f>
        <v>10</v>
      </c>
      <c r="E31" s="113"/>
      <c r="F31" s="158" t="str">
        <f>IFERROR(__xludf.DUMMYFUNCTION("""COMPUTED_VALUE"""),"MoldyVolts")</f>
        <v>MoldyVolts</v>
      </c>
      <c r="G31" s="159">
        <f>IFERROR(__xludf.DUMMYFUNCTION("""COMPUTED_VALUE"""),58.0)</f>
        <v>58</v>
      </c>
      <c r="H31" s="129"/>
      <c r="I31" s="113"/>
      <c r="J31" s="160" t="str">
        <f>IFERROR(__xludf.DUMMYFUNCTION("""COMPUTED_VALUE"""),"ixGingy")</f>
        <v>ixGingy</v>
      </c>
      <c r="K31" s="161">
        <f>IFERROR(__xludf.DUMMYFUNCTION("""COMPUTED_VALUE"""),26.0)</f>
        <v>26</v>
      </c>
      <c r="L31" s="93"/>
      <c r="M31" s="162" t="str">
        <f>IFERROR(__xludf.DUMMYFUNCTION("""COMPUTED_VALUE"""),"ActiveHate")</f>
        <v>ActiveHate</v>
      </c>
      <c r="N31" s="163">
        <f>IFERROR(__xludf.DUMMYFUNCTION("""COMPUTED_VALUE"""),0.0)</f>
        <v>0</v>
      </c>
      <c r="O31" s="129"/>
      <c r="P31" s="7"/>
      <c r="Q31" s="7"/>
    </row>
    <row r="32">
      <c r="A32" s="7"/>
      <c r="B32" s="7"/>
      <c r="C32" s="156" t="str">
        <f>IFERROR(__xludf.DUMMYFUNCTION("""COMPUTED_VALUE"""),"ASpence501")</f>
        <v>ASpence501</v>
      </c>
      <c r="D32" s="157">
        <f>IFERROR(__xludf.DUMMYFUNCTION("""COMPUTED_VALUE"""),6.0)</f>
        <v>6</v>
      </c>
      <c r="E32" s="113"/>
      <c r="F32" s="158" t="str">
        <f>IFERROR(__xludf.DUMMYFUNCTION("""COMPUTED_VALUE"""),"DlGITAL PAIN")</f>
        <v>DlGITAL PAIN</v>
      </c>
      <c r="G32" s="159">
        <f>IFERROR(__xludf.DUMMYFUNCTION("""COMPUTED_VALUE"""),52.0)</f>
        <v>52</v>
      </c>
      <c r="H32" s="129"/>
      <c r="I32" s="113"/>
      <c r="J32" s="160" t="str">
        <f>IFERROR(__xludf.DUMMYFUNCTION("""COMPUTED_VALUE"""),"DlGITAL PAIN")</f>
        <v>DlGITAL PAIN</v>
      </c>
      <c r="K32" s="161">
        <f>IFERROR(__xludf.DUMMYFUNCTION("""COMPUTED_VALUE"""),23.0)</f>
        <v>23</v>
      </c>
      <c r="L32" s="93"/>
      <c r="M32" s="162" t="str">
        <f>IFERROR(__xludf.DUMMYFUNCTION("""COMPUTED_VALUE"""),"ADhillyy")</f>
        <v>ADhillyy</v>
      </c>
      <c r="N32" s="163">
        <f>IFERROR(__xludf.DUMMYFUNCTION("""COMPUTED_VALUE"""),0.0)</f>
        <v>0</v>
      </c>
      <c r="O32" s="129"/>
      <c r="P32" s="7"/>
      <c r="Q32" s="7"/>
    </row>
    <row r="33">
      <c r="A33" s="7"/>
      <c r="B33" s="7"/>
      <c r="C33" s="156" t="str">
        <f>IFERROR(__xludf.DUMMYFUNCTION("""COMPUTED_VALUE"""),"ixGingy")</f>
        <v>ixGingy</v>
      </c>
      <c r="D33" s="157">
        <f>IFERROR(__xludf.DUMMYFUNCTION("""COMPUTED_VALUE"""),5.0)</f>
        <v>5</v>
      </c>
      <c r="E33" s="113"/>
      <c r="F33" s="158" t="str">
        <f>IFERROR(__xludf.DUMMYFUNCTION("""COMPUTED_VALUE"""),"MealyKitten0")</f>
        <v>MealyKitten0</v>
      </c>
      <c r="G33" s="159">
        <f>IFERROR(__xludf.DUMMYFUNCTION("""COMPUTED_VALUE"""),49.0)</f>
        <v>49</v>
      </c>
      <c r="H33" s="129"/>
      <c r="I33" s="113"/>
      <c r="J33" s="160" t="str">
        <f>IFERROR(__xludf.DUMMYFUNCTION("""COMPUTED_VALUE"""),"MysticalNovice")</f>
        <v>MysticalNovice</v>
      </c>
      <c r="K33" s="161">
        <f>IFERROR(__xludf.DUMMYFUNCTION("""COMPUTED_VALUE"""),21.0)</f>
        <v>21</v>
      </c>
      <c r="L33" s="93"/>
      <c r="M33" s="162" t="str">
        <f>IFERROR(__xludf.DUMMYFUNCTION("""COMPUTED_VALUE"""),"Almighty Tycoon")</f>
        <v>Almighty Tycoon</v>
      </c>
      <c r="N33" s="163">
        <f>IFERROR(__xludf.DUMMYFUNCTION("""COMPUTED_VALUE"""),0.0)</f>
        <v>0</v>
      </c>
      <c r="O33" s="129"/>
      <c r="P33" s="7"/>
      <c r="Q33" s="7"/>
    </row>
    <row r="34">
      <c r="A34" s="7"/>
      <c r="B34" s="7"/>
      <c r="C34" s="156" t="str">
        <f>IFERROR(__xludf.DUMMYFUNCTION("""COMPUTED_VALUE"""),"InfiniteRainge")</f>
        <v>InfiniteRainge</v>
      </c>
      <c r="D34" s="157">
        <f>IFERROR(__xludf.DUMMYFUNCTION("""COMPUTED_VALUE"""),4.0)</f>
        <v>4</v>
      </c>
      <c r="E34" s="113"/>
      <c r="F34" s="158" t="str">
        <f>IFERROR(__xludf.DUMMYFUNCTION("""COMPUTED_VALUE"""),"Hells Angel cx")</f>
        <v>Hells Angel cx</v>
      </c>
      <c r="G34" s="159">
        <f>IFERROR(__xludf.DUMMYFUNCTION("""COMPUTED_VALUE"""),44.0)</f>
        <v>44</v>
      </c>
      <c r="H34" s="129"/>
      <c r="I34" s="113"/>
      <c r="J34" s="160" t="str">
        <f>IFERROR(__xludf.DUMMYFUNCTION("""COMPUTED_VALUE"""),"Solace VIII")</f>
        <v>Solace VIII</v>
      </c>
      <c r="K34" s="161">
        <f>IFERROR(__xludf.DUMMYFUNCTION("""COMPUTED_VALUE"""),16.0)</f>
        <v>16</v>
      </c>
      <c r="L34" s="93"/>
      <c r="M34" s="162" t="str">
        <f>IFERROR(__xludf.DUMMYFUNCTION("""COMPUTED_VALUE"""),"ASpence501")</f>
        <v>ASpence501</v>
      </c>
      <c r="N34" s="163">
        <f>IFERROR(__xludf.DUMMYFUNCTION("""COMPUTED_VALUE"""),0.0)</f>
        <v>0</v>
      </c>
      <c r="O34" s="129"/>
      <c r="P34" s="7"/>
      <c r="Q34" s="7"/>
    </row>
    <row r="35">
      <c r="A35" s="7"/>
      <c r="B35" s="7"/>
      <c r="C35" s="156" t="str">
        <f>IFERROR(__xludf.DUMMYFUNCTION("""COMPUTED_VALUE"""),"MysticalNovice")</f>
        <v>MysticalNovice</v>
      </c>
      <c r="D35" s="157">
        <f>IFERROR(__xludf.DUMMYFUNCTION("""COMPUTED_VALUE"""),4.0)</f>
        <v>4</v>
      </c>
      <c r="E35" s="113"/>
      <c r="F35" s="158" t="str">
        <f>IFERROR(__xludf.DUMMYFUNCTION("""COMPUTED_VALUE"""),"MysticalNovice")</f>
        <v>MysticalNovice</v>
      </c>
      <c r="G35" s="159">
        <f>IFERROR(__xludf.DUMMYFUNCTION("""COMPUTED_VALUE"""),44.0)</f>
        <v>44</v>
      </c>
      <c r="H35" s="129"/>
      <c r="I35" s="113"/>
      <c r="J35" s="160" t="str">
        <f>IFERROR(__xludf.DUMMYFUNCTION("""COMPUTED_VALUE"""),"ASpence501")</f>
        <v>ASpence501</v>
      </c>
      <c r="K35" s="161">
        <f>IFERROR(__xludf.DUMMYFUNCTION("""COMPUTED_VALUE"""),14.0)</f>
        <v>14</v>
      </c>
      <c r="L35" s="93"/>
      <c r="M35" s="162" t="str">
        <f>IFERROR(__xludf.DUMMYFUNCTION("""COMPUTED_VALUE"""),"AwareMosquito")</f>
        <v>AwareMosquito</v>
      </c>
      <c r="N35" s="163">
        <f>IFERROR(__xludf.DUMMYFUNCTION("""COMPUTED_VALUE"""),0.0)</f>
        <v>0</v>
      </c>
      <c r="O35" s="129"/>
      <c r="P35" s="7"/>
      <c r="Q35" s="7"/>
    </row>
    <row r="36">
      <c r="A36" s="7"/>
      <c r="B36" s="7"/>
      <c r="C36" s="156" t="str">
        <f>IFERROR(__xludf.DUMMYFUNCTION("""COMPUTED_VALUE"""),"Solace VIII")</f>
        <v>Solace VIII</v>
      </c>
      <c r="D36" s="157">
        <f>IFERROR(__xludf.DUMMYFUNCTION("""COMPUTED_VALUE"""),4.0)</f>
        <v>4</v>
      </c>
      <c r="E36" s="113"/>
      <c r="F36" s="158" t="str">
        <f>IFERROR(__xludf.DUMMYFUNCTION("""COMPUTED_VALUE"""),"L0RNA SHORE")</f>
        <v>L0RNA SHORE</v>
      </c>
      <c r="G36" s="159">
        <f>IFERROR(__xludf.DUMMYFUNCTION("""COMPUTED_VALUE"""),41.0)</f>
        <v>41</v>
      </c>
      <c r="H36" s="129"/>
      <c r="I36" s="113"/>
      <c r="J36" s="160" t="str">
        <f>IFERROR(__xludf.DUMMYFUNCTION("""COMPUTED_VALUE"""),"InfiniteRainge")</f>
        <v>InfiniteRainge</v>
      </c>
      <c r="K36" s="161">
        <f>IFERROR(__xludf.DUMMYFUNCTION("""COMPUTED_VALUE"""),14.0)</f>
        <v>14</v>
      </c>
      <c r="L36" s="93"/>
      <c r="M36" s="162" t="str">
        <f>IFERROR(__xludf.DUMMYFUNCTION("""COMPUTED_VALUE"""),"CaptainSev004")</f>
        <v>CaptainSev004</v>
      </c>
      <c r="N36" s="163">
        <f>IFERROR(__xludf.DUMMYFUNCTION("""COMPUTED_VALUE"""),0.0)</f>
        <v>0</v>
      </c>
      <c r="O36" s="129"/>
      <c r="P36" s="7"/>
      <c r="Q36" s="7"/>
    </row>
    <row r="37">
      <c r="A37" s="7"/>
      <c r="B37" s="7"/>
      <c r="C37" s="156" t="str">
        <f>IFERROR(__xludf.DUMMYFUNCTION("""COMPUTED_VALUE"""),"Dhlyn")</f>
        <v>Dhlyn</v>
      </c>
      <c r="D37" s="157">
        <f>IFERROR(__xludf.DUMMYFUNCTION("""COMPUTED_VALUE"""),3.0)</f>
        <v>3</v>
      </c>
      <c r="E37" s="113"/>
      <c r="F37" s="158" t="str">
        <f>IFERROR(__xludf.DUMMYFUNCTION("""COMPUTED_VALUE"""),"Scullen cx")</f>
        <v>Scullen cx</v>
      </c>
      <c r="G37" s="159">
        <f>IFERROR(__xludf.DUMMYFUNCTION("""COMPUTED_VALUE"""),41.0)</f>
        <v>41</v>
      </c>
      <c r="H37" s="129"/>
      <c r="I37" s="113"/>
      <c r="J37" s="160" t="str">
        <f>IFERROR(__xludf.DUMMYFUNCTION("""COMPUTED_VALUE"""),"oDhmon")</f>
        <v>oDhmon</v>
      </c>
      <c r="K37" s="161">
        <f>IFERROR(__xludf.DUMMYFUNCTION("""COMPUTED_VALUE"""),13.0)</f>
        <v>13</v>
      </c>
      <c r="L37" s="93"/>
      <c r="M37" s="162" t="str">
        <f>IFERROR(__xludf.DUMMYFUNCTION("""COMPUTED_VALUE"""),"Cell x2")</f>
        <v>Cell x2</v>
      </c>
      <c r="N37" s="163">
        <f>IFERROR(__xludf.DUMMYFUNCTION("""COMPUTED_VALUE"""),0.0)</f>
        <v>0</v>
      </c>
      <c r="O37" s="129"/>
      <c r="P37" s="7"/>
      <c r="Q37" s="7"/>
    </row>
    <row r="38">
      <c r="A38" s="7"/>
      <c r="B38" s="7"/>
      <c r="C38" s="156" t="str">
        <f>IFERROR(__xludf.DUMMYFUNCTION("""COMPUTED_VALUE"""),"oDhmon")</f>
        <v>oDhmon</v>
      </c>
      <c r="D38" s="157">
        <f>IFERROR(__xludf.DUMMYFUNCTION("""COMPUTED_VALUE"""),3.0)</f>
        <v>3</v>
      </c>
      <c r="E38" s="113"/>
      <c r="F38" s="158" t="str">
        <f>IFERROR(__xludf.DUMMYFUNCTION("""COMPUTED_VALUE"""),"oDhmon")</f>
        <v>oDhmon</v>
      </c>
      <c r="G38" s="159">
        <f>IFERROR(__xludf.DUMMYFUNCTION("""COMPUTED_VALUE"""),37.0)</f>
        <v>37</v>
      </c>
      <c r="H38" s="129"/>
      <c r="I38" s="113"/>
      <c r="J38" s="160" t="str">
        <f>IFERROR(__xludf.DUMMYFUNCTION("""COMPUTED_VALUE"""),"yLuxe")</f>
        <v>yLuxe</v>
      </c>
      <c r="K38" s="161">
        <f>IFERROR(__xludf.DUMMYFUNCTION("""COMPUTED_VALUE"""),13.0)</f>
        <v>13</v>
      </c>
      <c r="L38" s="93"/>
      <c r="M38" s="162" t="str">
        <f>IFERROR(__xludf.DUMMYFUNCTION("""COMPUTED_VALUE"""),"Dhlyn")</f>
        <v>Dhlyn</v>
      </c>
      <c r="N38" s="163">
        <f>IFERROR(__xludf.DUMMYFUNCTION("""COMPUTED_VALUE"""),0.0)</f>
        <v>0</v>
      </c>
      <c r="O38" s="129"/>
      <c r="P38" s="7"/>
      <c r="Q38" s="7"/>
    </row>
    <row r="39">
      <c r="A39" s="7"/>
      <c r="B39" s="7"/>
      <c r="C39" s="164" t="str">
        <f>IFERROR(__xludf.DUMMYFUNCTION("""COMPUTED_VALUE"""),"yLuxe")</f>
        <v>yLuxe</v>
      </c>
      <c r="D39" s="165">
        <f>IFERROR(__xludf.DUMMYFUNCTION("""COMPUTED_VALUE"""),3.0)</f>
        <v>3</v>
      </c>
      <c r="E39" s="139"/>
      <c r="F39" s="166" t="str">
        <f>IFERROR(__xludf.DUMMYFUNCTION("""COMPUTED_VALUE"""),"ASpence501")</f>
        <v>ASpence501</v>
      </c>
      <c r="G39" s="167">
        <f>IFERROR(__xludf.DUMMYFUNCTION("""COMPUTED_VALUE"""),36.0)</f>
        <v>36</v>
      </c>
      <c r="H39" s="142"/>
      <c r="I39" s="139"/>
      <c r="J39" s="168" t="str">
        <f>IFERROR(__xludf.DUMMYFUNCTION("""COMPUTED_VALUE"""),"ActiveHate")</f>
        <v>ActiveHate</v>
      </c>
      <c r="K39" s="169">
        <f>IFERROR(__xludf.DUMMYFUNCTION("""COMPUTED_VALUE"""),10.0)</f>
        <v>10</v>
      </c>
      <c r="L39" s="145"/>
      <c r="M39" s="170" t="str">
        <f>IFERROR(__xludf.DUMMYFUNCTION("""COMPUTED_VALUE"""),"Dior Glori")</f>
        <v>Dior Glori</v>
      </c>
      <c r="N39" s="171">
        <f>IFERROR(__xludf.DUMMYFUNCTION("""COMPUTED_VALUE"""),0.0)</f>
        <v>0</v>
      </c>
      <c r="O39" s="142"/>
      <c r="P39" s="7"/>
      <c r="Q39" s="7"/>
    </row>
    <row r="40">
      <c r="A40" s="7"/>
      <c r="B40" s="7"/>
      <c r="C40" s="7"/>
      <c r="D40" s="7"/>
      <c r="E40" s="7"/>
      <c r="F40" s="7"/>
      <c r="G40" s="7"/>
      <c r="H40" s="7"/>
      <c r="I40" s="108"/>
      <c r="J40" s="7"/>
      <c r="K40" s="7"/>
      <c r="L40" s="7"/>
      <c r="M40" s="7"/>
      <c r="N40" s="7"/>
      <c r="O40" s="7"/>
      <c r="P40" s="7"/>
      <c r="Q40" s="7"/>
    </row>
    <row r="41">
      <c r="A41" s="7"/>
      <c r="B41" s="7"/>
      <c r="C41" s="7"/>
      <c r="D41" s="7"/>
      <c r="E41" s="7"/>
      <c r="F41" s="7"/>
      <c r="G41" s="7"/>
      <c r="H41" s="172" t="str">
        <f>IFERROR(__xludf.DUMMYFUNCTION("Query(HEXASbaseINFO!A:Z,""Select A,Z where A&lt;&gt;'' Order by Z Desc Limit 10"")"),"Player")</f>
        <v>Player</v>
      </c>
      <c r="I41" s="173" t="str">
        <f>IFERROR(__xludf.DUMMYFUNCTION("""COMPUTED_VALUE"""),"SUM of Killamanjaros")</f>
        <v>SUM of Killamanjaros</v>
      </c>
      <c r="J41" s="120"/>
      <c r="K41" s="7"/>
      <c r="L41" s="7"/>
      <c r="M41" s="7"/>
      <c r="N41" s="7"/>
      <c r="O41" s="7"/>
      <c r="P41" s="7"/>
      <c r="Q41" s="7"/>
    </row>
    <row r="42">
      <c r="A42" s="7"/>
      <c r="B42" s="7"/>
      <c r="C42" s="7"/>
      <c r="D42" s="7"/>
      <c r="E42" s="7"/>
      <c r="F42" s="7"/>
      <c r="G42" s="7"/>
      <c r="H42" s="174" t="str">
        <f>IFERROR(__xludf.DUMMYFUNCTION("""COMPUTED_VALUE"""),"DlGITAL PAIN")</f>
        <v>DlGITAL PAIN</v>
      </c>
      <c r="I42" s="175">
        <f>IFERROR(__xludf.DUMMYFUNCTION("""COMPUTED_VALUE"""),3.0)</f>
        <v>3</v>
      </c>
      <c r="J42" s="129"/>
      <c r="K42" s="7"/>
      <c r="L42" s="7"/>
      <c r="M42" s="176" t="s">
        <v>90</v>
      </c>
    </row>
    <row r="43">
      <c r="A43" s="7"/>
      <c r="B43" s="7"/>
      <c r="C43" s="7"/>
      <c r="D43" s="7"/>
      <c r="E43" s="7"/>
      <c r="F43" s="7"/>
      <c r="G43" s="7"/>
      <c r="H43" s="174" t="str">
        <f>IFERROR(__xludf.DUMMYFUNCTION("""COMPUTED_VALUE"""),"ASpence501")</f>
        <v>ASpence501</v>
      </c>
      <c r="I43" s="175">
        <f>IFERROR(__xludf.DUMMYFUNCTION("""COMPUTED_VALUE"""),1.0)</f>
        <v>1</v>
      </c>
      <c r="J43" s="129"/>
      <c r="K43" s="7"/>
      <c r="L43" s="7"/>
      <c r="M43" s="177" t="s">
        <v>62</v>
      </c>
      <c r="N43" s="178" t="s">
        <v>91</v>
      </c>
    </row>
    <row r="44">
      <c r="A44" s="7"/>
      <c r="B44" s="7"/>
      <c r="C44" s="7"/>
      <c r="D44" s="7"/>
      <c r="E44" s="7"/>
      <c r="F44" s="7"/>
      <c r="G44" s="7"/>
      <c r="H44" s="174" t="str">
        <f>IFERROR(__xludf.DUMMYFUNCTION("""COMPUTED_VALUE"""),"Mavbrid")</f>
        <v>Mavbrid</v>
      </c>
      <c r="I44" s="175">
        <f>IFERROR(__xludf.DUMMYFUNCTION("""COMPUTED_VALUE"""),1.0)</f>
        <v>1</v>
      </c>
      <c r="J44" s="129"/>
      <c r="K44" s="7"/>
      <c r="L44" s="7"/>
      <c r="M44" s="177" t="s">
        <v>64</v>
      </c>
      <c r="N44" s="178" t="s">
        <v>92</v>
      </c>
    </row>
    <row r="45">
      <c r="A45" s="7"/>
      <c r="B45" s="7"/>
      <c r="C45" s="7"/>
      <c r="D45" s="7"/>
      <c r="E45" s="7"/>
      <c r="F45" s="7"/>
      <c r="G45" s="7"/>
      <c r="H45" s="174" t="str">
        <f>IFERROR(__xludf.DUMMYFUNCTION("""COMPUTED_VALUE"""),"oDhmon")</f>
        <v>oDhmon</v>
      </c>
      <c r="I45" s="175">
        <f>IFERROR(__xludf.DUMMYFUNCTION("""COMPUTED_VALUE"""),1.0)</f>
        <v>1</v>
      </c>
      <c r="J45" s="129"/>
      <c r="K45" s="7"/>
      <c r="L45" s="7"/>
      <c r="M45" s="177" t="s">
        <v>66</v>
      </c>
      <c r="N45" s="178" t="s">
        <v>93</v>
      </c>
    </row>
    <row r="46">
      <c r="A46" s="7"/>
      <c r="B46" s="7"/>
      <c r="C46" s="7"/>
      <c r="D46" s="7"/>
      <c r="E46" s="7"/>
      <c r="F46" s="7"/>
      <c r="G46" s="7"/>
      <c r="H46" s="179" t="str">
        <f>IFERROR(__xludf.DUMMYFUNCTION("""COMPUTED_VALUE"""),"yLuxe")</f>
        <v>yLuxe</v>
      </c>
      <c r="I46" s="180">
        <f>IFERROR(__xludf.DUMMYFUNCTION("""COMPUTED_VALUE"""),1.0)</f>
        <v>1</v>
      </c>
      <c r="J46" s="129"/>
      <c r="K46" s="7"/>
      <c r="L46" s="7"/>
      <c r="M46" s="177" t="s">
        <v>68</v>
      </c>
      <c r="N46" s="181" t="s">
        <v>94</v>
      </c>
    </row>
    <row r="47">
      <c r="A47" s="7"/>
      <c r="B47" s="7"/>
      <c r="C47" s="182"/>
      <c r="D47" s="7"/>
      <c r="E47" s="7"/>
      <c r="F47" s="7"/>
      <c r="G47" s="7"/>
      <c r="H47" s="174" t="str">
        <f>IFERROR(__xludf.DUMMYFUNCTION("""COMPUTED_VALUE"""),"ActiveHate")</f>
        <v>ActiveHate</v>
      </c>
      <c r="I47" s="175">
        <f>IFERROR(__xludf.DUMMYFUNCTION("""COMPUTED_VALUE"""),0.0)</f>
        <v>0</v>
      </c>
      <c r="J47" s="129"/>
      <c r="K47" s="7"/>
      <c r="L47" s="7"/>
    </row>
    <row r="48">
      <c r="A48" s="7"/>
      <c r="B48" s="7"/>
      <c r="C48" s="7"/>
      <c r="D48" s="7"/>
      <c r="E48" s="7"/>
      <c r="F48" s="7"/>
      <c r="G48" s="7"/>
      <c r="H48" s="174" t="str">
        <f>IFERROR(__xludf.DUMMYFUNCTION("""COMPUTED_VALUE"""),"ADhillyy")</f>
        <v>ADhillyy</v>
      </c>
      <c r="I48" s="175">
        <f>IFERROR(__xludf.DUMMYFUNCTION("""COMPUTED_VALUE"""),0.0)</f>
        <v>0</v>
      </c>
      <c r="J48" s="129"/>
      <c r="K48" s="7"/>
      <c r="L48" s="7"/>
      <c r="M48" s="177" t="s">
        <v>70</v>
      </c>
      <c r="N48" s="183" t="s">
        <v>95</v>
      </c>
    </row>
    <row r="49">
      <c r="A49" s="7"/>
      <c r="B49" s="7"/>
      <c r="C49" s="7"/>
      <c r="D49" s="7"/>
      <c r="E49" s="7"/>
      <c r="F49" s="7"/>
      <c r="G49" s="7"/>
      <c r="H49" s="174" t="str">
        <f>IFERROR(__xludf.DUMMYFUNCTION("""COMPUTED_VALUE"""),"Almighty Tycoon")</f>
        <v>Almighty Tycoon</v>
      </c>
      <c r="I49" s="175">
        <f>IFERROR(__xludf.DUMMYFUNCTION("""COMPUTED_VALUE"""),0.0)</f>
        <v>0</v>
      </c>
      <c r="J49" s="129"/>
      <c r="K49" s="7"/>
      <c r="L49" s="7"/>
      <c r="M49" s="177" t="s">
        <v>72</v>
      </c>
      <c r="N49" s="183" t="s">
        <v>96</v>
      </c>
    </row>
    <row r="50">
      <c r="A50" s="7"/>
      <c r="B50" s="7"/>
      <c r="C50" s="7"/>
      <c r="D50" s="7"/>
      <c r="E50" s="7"/>
      <c r="F50" s="7"/>
      <c r="G50" s="7"/>
      <c r="H50" s="174" t="str">
        <f>IFERROR(__xludf.DUMMYFUNCTION("""COMPUTED_VALUE"""),"AwareMosquito")</f>
        <v>AwareMosquito</v>
      </c>
      <c r="I50" s="175">
        <f>IFERROR(__xludf.DUMMYFUNCTION("""COMPUTED_VALUE"""),0.0)</f>
        <v>0</v>
      </c>
      <c r="J50" s="129"/>
      <c r="K50" s="7"/>
      <c r="L50" s="7"/>
      <c r="M50" s="177" t="s">
        <v>74</v>
      </c>
      <c r="N50" s="183" t="s">
        <v>97</v>
      </c>
    </row>
    <row r="51">
      <c r="A51" s="7"/>
      <c r="B51" s="7"/>
      <c r="C51" s="7"/>
      <c r="D51" s="7"/>
      <c r="E51" s="7"/>
      <c r="F51" s="7"/>
      <c r="G51" s="7"/>
      <c r="H51" s="184" t="str">
        <f>IFERROR(__xludf.DUMMYFUNCTION("""COMPUTED_VALUE"""),"CaptainSev004")</f>
        <v>CaptainSev004</v>
      </c>
      <c r="I51" s="185">
        <f>IFERROR(__xludf.DUMMYFUNCTION("""COMPUTED_VALUE"""),0.0)</f>
        <v>0</v>
      </c>
      <c r="J51" s="142"/>
      <c r="K51" s="7"/>
      <c r="L51" s="7"/>
      <c r="M51" s="177" t="s">
        <v>98</v>
      </c>
      <c r="N51" s="183" t="s">
        <v>99</v>
      </c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177" t="s">
        <v>80</v>
      </c>
      <c r="N52" s="183" t="s">
        <v>100</v>
      </c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</sheetData>
  <mergeCells count="97">
    <mergeCell ref="N22:O22"/>
    <mergeCell ref="N23:O23"/>
    <mergeCell ref="N24:O24"/>
    <mergeCell ref="N25:O25"/>
    <mergeCell ref="N26:O26"/>
    <mergeCell ref="N27:O27"/>
    <mergeCell ref="N29:O29"/>
    <mergeCell ref="N30:O30"/>
    <mergeCell ref="N31:O31"/>
    <mergeCell ref="N34:O34"/>
    <mergeCell ref="N35:O35"/>
    <mergeCell ref="N36:O36"/>
    <mergeCell ref="N37:O37"/>
    <mergeCell ref="N38:O38"/>
    <mergeCell ref="N48:Q48"/>
    <mergeCell ref="N49:Q49"/>
    <mergeCell ref="N50:Q50"/>
    <mergeCell ref="N51:Q51"/>
    <mergeCell ref="N52:Q52"/>
    <mergeCell ref="N39:O39"/>
    <mergeCell ref="M42:Q42"/>
    <mergeCell ref="N43:Q43"/>
    <mergeCell ref="N44:Q44"/>
    <mergeCell ref="N45:Q45"/>
    <mergeCell ref="M46:M47"/>
    <mergeCell ref="N46:Q47"/>
    <mergeCell ref="G23:H23"/>
    <mergeCell ref="G24:H24"/>
    <mergeCell ref="G25:H25"/>
    <mergeCell ref="G26:H26"/>
    <mergeCell ref="G27:H27"/>
    <mergeCell ref="G29:H29"/>
    <mergeCell ref="G30:H30"/>
    <mergeCell ref="G33:H33"/>
    <mergeCell ref="G34:H34"/>
    <mergeCell ref="G35:H35"/>
    <mergeCell ref="G36:H36"/>
    <mergeCell ref="G37:H37"/>
    <mergeCell ref="G38:H38"/>
    <mergeCell ref="G39:H39"/>
    <mergeCell ref="I48:J48"/>
    <mergeCell ref="I49:J49"/>
    <mergeCell ref="I50:J50"/>
    <mergeCell ref="I51:J51"/>
    <mergeCell ref="I41:J41"/>
    <mergeCell ref="I42:J42"/>
    <mergeCell ref="I43:J43"/>
    <mergeCell ref="I44:J44"/>
    <mergeCell ref="I45:J45"/>
    <mergeCell ref="I46:J46"/>
    <mergeCell ref="I47:J47"/>
    <mergeCell ref="A1:Q1"/>
    <mergeCell ref="D2:E2"/>
    <mergeCell ref="I2:J2"/>
    <mergeCell ref="M2:O2"/>
    <mergeCell ref="D3:E3"/>
    <mergeCell ref="M3:O4"/>
    <mergeCell ref="D4:E4"/>
    <mergeCell ref="D7:E7"/>
    <mergeCell ref="D9:E9"/>
    <mergeCell ref="D10:E10"/>
    <mergeCell ref="D11:E11"/>
    <mergeCell ref="D12:E12"/>
    <mergeCell ref="D13:E13"/>
    <mergeCell ref="D14:E14"/>
    <mergeCell ref="D5:E5"/>
    <mergeCell ref="I5:J5"/>
    <mergeCell ref="D6:E6"/>
    <mergeCell ref="I6:J6"/>
    <mergeCell ref="M6:O6"/>
    <mergeCell ref="I7:J7"/>
    <mergeCell ref="M7:O7"/>
    <mergeCell ref="I3:J3"/>
    <mergeCell ref="I4:J4"/>
    <mergeCell ref="I9:J9"/>
    <mergeCell ref="I10:J10"/>
    <mergeCell ref="I11:J11"/>
    <mergeCell ref="I12:J12"/>
    <mergeCell ref="I13:J13"/>
    <mergeCell ref="M10:O10"/>
    <mergeCell ref="M13:O13"/>
    <mergeCell ref="N17:O17"/>
    <mergeCell ref="N18:O18"/>
    <mergeCell ref="N19:O19"/>
    <mergeCell ref="N20:O20"/>
    <mergeCell ref="N21:O21"/>
    <mergeCell ref="I14:J14"/>
    <mergeCell ref="G17:H17"/>
    <mergeCell ref="G18:H18"/>
    <mergeCell ref="G19:H19"/>
    <mergeCell ref="G20:H20"/>
    <mergeCell ref="G21:H21"/>
    <mergeCell ref="G22:H22"/>
    <mergeCell ref="G31:H31"/>
    <mergeCell ref="G32:H32"/>
    <mergeCell ref="N32:O32"/>
    <mergeCell ref="N33:O3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4.13"/>
    <col customWidth="1" min="4" max="4" width="20.0"/>
    <col customWidth="1" min="5" max="5" width="15.63"/>
    <col customWidth="1" min="6" max="6" width="19.38"/>
    <col customWidth="1" min="7" max="7" width="17.5"/>
    <col customWidth="1" min="8" max="8" width="16.25"/>
    <col customWidth="1" min="9" max="9" width="16.38"/>
    <col customWidth="1" min="10" max="10" width="15.5"/>
    <col customWidth="1" min="11" max="11" width="15.63"/>
    <col customWidth="1" min="12" max="12" width="16.5"/>
    <col customWidth="1" min="13" max="14" width="6.75"/>
    <col customWidth="1" min="15" max="15" width="7.63"/>
    <col customWidth="1" min="16" max="16" width="3.75"/>
  </cols>
  <sheetData>
    <row r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86"/>
      <c r="P1" s="17"/>
    </row>
    <row r="2">
      <c r="A2" s="17"/>
      <c r="B2" s="187" t="s">
        <v>101</v>
      </c>
      <c r="C2" s="188"/>
      <c r="D2" s="188"/>
      <c r="E2" s="188"/>
      <c r="F2" s="188"/>
      <c r="G2" s="188"/>
      <c r="H2" s="188"/>
      <c r="I2" s="188"/>
      <c r="J2" s="188"/>
      <c r="K2" s="188"/>
      <c r="L2" s="189"/>
      <c r="M2" s="17"/>
      <c r="N2" s="17"/>
      <c r="O2" s="186"/>
      <c r="P2" s="17"/>
    </row>
    <row r="3">
      <c r="A3" s="17"/>
      <c r="B3" s="190"/>
      <c r="L3" s="129"/>
      <c r="M3" s="17"/>
      <c r="N3" s="17"/>
      <c r="O3" s="186"/>
      <c r="P3" s="17"/>
    </row>
    <row r="4">
      <c r="A4" s="17"/>
      <c r="B4" s="190"/>
      <c r="L4" s="129"/>
      <c r="M4" s="17"/>
      <c r="N4" s="17"/>
      <c r="O4" s="186"/>
      <c r="P4" s="17"/>
    </row>
    <row r="5">
      <c r="A5" s="17"/>
      <c r="B5" s="191"/>
      <c r="C5" s="192"/>
      <c r="D5" s="192"/>
      <c r="E5" s="192"/>
      <c r="F5" s="192"/>
      <c r="G5" s="192"/>
      <c r="H5" s="192"/>
      <c r="I5" s="192"/>
      <c r="J5" s="192"/>
      <c r="K5" s="192"/>
      <c r="L5" s="142"/>
      <c r="M5" s="17"/>
      <c r="N5" s="17"/>
      <c r="O5" s="17"/>
      <c r="P5" s="17"/>
    </row>
    <row r="6">
      <c r="A6" s="193"/>
      <c r="B6" s="194" t="s">
        <v>102</v>
      </c>
      <c r="C6" s="195" t="s">
        <v>103</v>
      </c>
      <c r="D6" s="195" t="s">
        <v>104</v>
      </c>
      <c r="E6" s="196" t="s">
        <v>105</v>
      </c>
      <c r="F6" s="195" t="s">
        <v>106</v>
      </c>
      <c r="G6" s="195" t="s">
        <v>107</v>
      </c>
      <c r="H6" s="195" t="s">
        <v>108</v>
      </c>
      <c r="I6" s="197" t="s">
        <v>109</v>
      </c>
      <c r="J6" s="197" t="s">
        <v>110</v>
      </c>
      <c r="K6" s="198" t="s">
        <v>111</v>
      </c>
      <c r="L6" s="199" t="s">
        <v>112</v>
      </c>
      <c r="M6" s="200"/>
      <c r="N6" s="17"/>
      <c r="O6" s="186"/>
      <c r="P6" s="17"/>
    </row>
    <row r="7" ht="21.0" customHeight="1">
      <c r="A7" s="201"/>
      <c r="B7" s="202"/>
      <c r="C7" s="101"/>
      <c r="D7" s="101"/>
      <c r="E7" s="202"/>
      <c r="F7" s="101"/>
      <c r="G7" s="101"/>
      <c r="H7" s="101"/>
      <c r="I7" s="101"/>
      <c r="J7" s="101"/>
      <c r="K7" s="101"/>
      <c r="L7" s="101"/>
      <c r="M7" s="201"/>
      <c r="N7" s="17"/>
      <c r="O7" s="186"/>
      <c r="P7" s="17"/>
    </row>
    <row r="8">
      <c r="A8" s="17"/>
      <c r="B8" s="203" t="s">
        <v>113</v>
      </c>
      <c r="C8" s="203" t="s">
        <v>114</v>
      </c>
      <c r="D8" s="204" t="s">
        <v>115</v>
      </c>
      <c r="E8" s="204" t="s">
        <v>116</v>
      </c>
      <c r="F8" s="204" t="s">
        <v>117</v>
      </c>
      <c r="G8" s="205" t="s">
        <v>118</v>
      </c>
      <c r="H8" s="206" t="s">
        <v>119</v>
      </c>
      <c r="I8" s="206" t="s">
        <v>120</v>
      </c>
      <c r="J8" s="206" t="s">
        <v>121</v>
      </c>
      <c r="K8" s="207" t="s">
        <v>122</v>
      </c>
      <c r="L8" s="208" t="s">
        <v>123</v>
      </c>
      <c r="M8" s="17"/>
      <c r="N8" s="17"/>
      <c r="O8" s="186"/>
      <c r="P8" s="17"/>
    </row>
    <row r="9">
      <c r="A9" s="17"/>
      <c r="B9" s="209" t="s">
        <v>124</v>
      </c>
      <c r="C9" s="210" t="s">
        <v>125</v>
      </c>
      <c r="D9" s="211" t="s">
        <v>126</v>
      </c>
      <c r="E9" s="211" t="s">
        <v>127</v>
      </c>
      <c r="F9" s="211" t="s">
        <v>128</v>
      </c>
      <c r="G9" s="211" t="s">
        <v>129</v>
      </c>
      <c r="H9" s="211" t="s">
        <v>130</v>
      </c>
      <c r="I9" s="211" t="s">
        <v>131</v>
      </c>
      <c r="J9" s="211" t="s">
        <v>132</v>
      </c>
      <c r="K9" s="212" t="s">
        <v>133</v>
      </c>
      <c r="L9" s="213" t="s">
        <v>134</v>
      </c>
      <c r="M9" s="17"/>
      <c r="N9" s="17"/>
      <c r="O9" s="186"/>
      <c r="P9" s="17"/>
    </row>
    <row r="10">
      <c r="A10" s="17"/>
      <c r="B10" s="214" t="s">
        <v>135</v>
      </c>
      <c r="C10" s="215" t="s">
        <v>136</v>
      </c>
      <c r="D10" s="215" t="s">
        <v>137</v>
      </c>
      <c r="E10" s="215" t="s">
        <v>138</v>
      </c>
      <c r="F10" s="215" t="s">
        <v>139</v>
      </c>
      <c r="G10" s="215" t="s">
        <v>140</v>
      </c>
      <c r="H10" s="215" t="s">
        <v>141</v>
      </c>
      <c r="I10" s="215" t="s">
        <v>142</v>
      </c>
      <c r="J10" s="215" t="s">
        <v>143</v>
      </c>
      <c r="K10" s="216" t="s">
        <v>144</v>
      </c>
      <c r="L10" s="217" t="s">
        <v>145</v>
      </c>
      <c r="M10" s="17"/>
      <c r="N10" s="17"/>
      <c r="O10" s="186"/>
      <c r="P10" s="17"/>
    </row>
    <row r="11">
      <c r="A11" s="17"/>
      <c r="B11" s="218" t="s">
        <v>146</v>
      </c>
      <c r="C11" s="219" t="s">
        <v>147</v>
      </c>
      <c r="D11" s="219" t="s">
        <v>148</v>
      </c>
      <c r="E11" s="219" t="s">
        <v>149</v>
      </c>
      <c r="F11" s="219" t="s">
        <v>150</v>
      </c>
      <c r="G11" s="219" t="s">
        <v>151</v>
      </c>
      <c r="H11" s="219" t="s">
        <v>152</v>
      </c>
      <c r="I11" s="219" t="s">
        <v>153</v>
      </c>
      <c r="J11" s="219" t="s">
        <v>154</v>
      </c>
      <c r="K11" s="220" t="s">
        <v>155</v>
      </c>
      <c r="L11" s="217" t="s">
        <v>156</v>
      </c>
      <c r="M11" s="17"/>
      <c r="N11" s="17"/>
      <c r="O11" s="186"/>
      <c r="P11" s="17"/>
    </row>
    <row r="12">
      <c r="A12" s="17"/>
      <c r="B12" s="221" t="s">
        <v>157</v>
      </c>
      <c r="C12" s="188"/>
      <c r="D12" s="188"/>
      <c r="E12" s="188"/>
      <c r="F12" s="188"/>
      <c r="G12" s="188"/>
      <c r="H12" s="188"/>
      <c r="I12" s="188"/>
      <c r="J12" s="188"/>
      <c r="K12" s="222"/>
      <c r="L12" s="223" t="s">
        <v>158</v>
      </c>
      <c r="M12" s="188"/>
      <c r="N12" s="224"/>
      <c r="O12" s="186"/>
      <c r="P12" s="17"/>
    </row>
    <row r="13">
      <c r="A13" s="17"/>
      <c r="B13" s="191"/>
      <c r="C13" s="192"/>
      <c r="D13" s="192"/>
      <c r="E13" s="192"/>
      <c r="F13" s="192"/>
      <c r="G13" s="192"/>
      <c r="H13" s="192"/>
      <c r="I13" s="192"/>
      <c r="J13" s="192"/>
      <c r="K13" s="142"/>
      <c r="L13" s="225" t="s">
        <v>159</v>
      </c>
      <c r="N13" s="226"/>
      <c r="O13" s="186"/>
      <c r="P13" s="17"/>
    </row>
    <row r="14">
      <c r="A14" s="17"/>
      <c r="B14" s="225" t="s">
        <v>160</v>
      </c>
      <c r="D14" s="227" t="s">
        <v>161</v>
      </c>
      <c r="E14" s="227" t="s">
        <v>162</v>
      </c>
      <c r="F14" s="227" t="s">
        <v>163</v>
      </c>
      <c r="G14" s="227" t="s">
        <v>164</v>
      </c>
      <c r="I14" s="228" t="s">
        <v>165</v>
      </c>
      <c r="L14" s="225" t="s">
        <v>166</v>
      </c>
      <c r="N14" s="226"/>
      <c r="O14" s="186"/>
      <c r="P14" s="17"/>
    </row>
    <row r="15" ht="15.75" customHeight="1">
      <c r="A15" s="17"/>
      <c r="B15" s="229" t="s">
        <v>156</v>
      </c>
      <c r="D15" s="230" t="s">
        <v>167</v>
      </c>
      <c r="E15" s="230" t="s">
        <v>168</v>
      </c>
      <c r="F15" s="231" t="s">
        <v>169</v>
      </c>
      <c r="G15" s="230" t="s">
        <v>170</v>
      </c>
      <c r="I15" s="232" t="s">
        <v>171</v>
      </c>
      <c r="K15" s="129"/>
      <c r="L15" s="233" t="s">
        <v>172</v>
      </c>
      <c r="M15" s="192"/>
      <c r="N15" s="234"/>
      <c r="O15" s="186"/>
      <c r="P15" s="17"/>
    </row>
    <row r="16" ht="15.75" customHeight="1">
      <c r="A16" s="17"/>
      <c r="B16" s="235" t="s">
        <v>145</v>
      </c>
      <c r="D16" s="230" t="s">
        <v>173</v>
      </c>
      <c r="E16" s="230" t="s">
        <v>174</v>
      </c>
      <c r="F16" s="231" t="s">
        <v>175</v>
      </c>
      <c r="G16" s="230" t="s">
        <v>176</v>
      </c>
      <c r="I16" s="232" t="s">
        <v>177</v>
      </c>
      <c r="K16" s="129"/>
      <c r="L16" s="17"/>
      <c r="M16" s="17"/>
      <c r="N16" s="17"/>
      <c r="O16" s="186"/>
      <c r="P16" s="17"/>
    </row>
    <row r="17" ht="15.75" customHeight="1">
      <c r="A17" s="17"/>
      <c r="B17" s="236" t="s">
        <v>159</v>
      </c>
      <c r="D17" s="237" t="s">
        <v>178</v>
      </c>
      <c r="E17" s="237" t="s">
        <v>179</v>
      </c>
      <c r="F17" s="238" t="s">
        <v>180</v>
      </c>
      <c r="G17" s="237" t="s">
        <v>175</v>
      </c>
      <c r="I17" s="237" t="s">
        <v>181</v>
      </c>
      <c r="K17" s="129"/>
      <c r="L17" s="239"/>
      <c r="M17" s="240"/>
      <c r="N17" s="241"/>
      <c r="O17" s="242"/>
      <c r="P17" s="17"/>
    </row>
    <row r="18" ht="15.75" customHeight="1">
      <c r="A18" s="17"/>
      <c r="B18" s="229" t="s">
        <v>142</v>
      </c>
      <c r="D18" s="230" t="s">
        <v>182</v>
      </c>
      <c r="E18" s="230" t="s">
        <v>179</v>
      </c>
      <c r="F18" s="231" t="s">
        <v>175</v>
      </c>
      <c r="G18" s="230" t="s">
        <v>175</v>
      </c>
      <c r="I18" s="232" t="s">
        <v>183</v>
      </c>
      <c r="K18" s="129"/>
      <c r="L18" s="243" t="s">
        <v>184</v>
      </c>
      <c r="P18" s="17"/>
    </row>
    <row r="19" ht="15.75" customHeight="1">
      <c r="A19" s="17"/>
      <c r="B19" s="235" t="s">
        <v>128</v>
      </c>
      <c r="D19" s="244" t="s">
        <v>185</v>
      </c>
      <c r="E19" s="244" t="s">
        <v>168</v>
      </c>
      <c r="F19" s="231" t="s">
        <v>175</v>
      </c>
      <c r="G19" s="244" t="s">
        <v>186</v>
      </c>
      <c r="I19" s="230" t="s">
        <v>187</v>
      </c>
      <c r="K19" s="129"/>
      <c r="L19" s="245" t="s">
        <v>188</v>
      </c>
      <c r="M19" s="246" t="s">
        <v>189</v>
      </c>
      <c r="N19" s="247" t="s">
        <v>190</v>
      </c>
      <c r="O19" s="245" t="s">
        <v>20</v>
      </c>
      <c r="P19" s="240"/>
    </row>
    <row r="20" ht="15.75" customHeight="1">
      <c r="A20" s="17"/>
      <c r="B20" s="229" t="s">
        <v>191</v>
      </c>
      <c r="D20" s="230" t="s">
        <v>192</v>
      </c>
      <c r="E20" s="230" t="s">
        <v>174</v>
      </c>
      <c r="F20" s="231" t="s">
        <v>175</v>
      </c>
      <c r="G20" s="230" t="s">
        <v>193</v>
      </c>
      <c r="I20" s="232" t="s">
        <v>194</v>
      </c>
      <c r="K20" s="129"/>
      <c r="L20" s="248" t="s">
        <v>105</v>
      </c>
      <c r="M20" s="249">
        <v>13.0</v>
      </c>
      <c r="N20" s="249">
        <v>3.0</v>
      </c>
      <c r="O20" s="250">
        <v>65.0</v>
      </c>
      <c r="P20" s="251" t="s">
        <v>195</v>
      </c>
    </row>
    <row r="21" ht="15.75" customHeight="1">
      <c r="A21" s="17"/>
      <c r="B21" s="235" t="s">
        <v>153</v>
      </c>
      <c r="D21" s="230" t="s">
        <v>196</v>
      </c>
      <c r="E21" s="230" t="s">
        <v>197</v>
      </c>
      <c r="F21" s="231" t="s">
        <v>175</v>
      </c>
      <c r="G21" s="230" t="s">
        <v>175</v>
      </c>
      <c r="I21" s="230" t="s">
        <v>198</v>
      </c>
      <c r="K21" s="129"/>
      <c r="L21" s="248" t="s">
        <v>199</v>
      </c>
      <c r="M21" s="249">
        <v>10.0</v>
      </c>
      <c r="N21" s="249">
        <v>6.0</v>
      </c>
      <c r="O21" s="250">
        <v>68.0</v>
      </c>
      <c r="P21" s="251" t="s">
        <v>200</v>
      </c>
    </row>
    <row r="22" ht="15.75" customHeight="1">
      <c r="A22" s="17"/>
      <c r="B22" s="229" t="s">
        <v>149</v>
      </c>
      <c r="D22" s="230" t="s">
        <v>201</v>
      </c>
      <c r="E22" s="230" t="s">
        <v>179</v>
      </c>
      <c r="F22" s="231" t="s">
        <v>175</v>
      </c>
      <c r="G22" s="230" t="s">
        <v>175</v>
      </c>
      <c r="I22" s="230" t="s">
        <v>202</v>
      </c>
      <c r="K22" s="129"/>
      <c r="L22" s="248" t="s">
        <v>107</v>
      </c>
      <c r="M22" s="249">
        <v>10.0</v>
      </c>
      <c r="N22" s="250">
        <v>6.0</v>
      </c>
      <c r="O22" s="250">
        <v>66.0</v>
      </c>
      <c r="P22" s="252" t="s">
        <v>203</v>
      </c>
    </row>
    <row r="23" ht="15.75" customHeight="1">
      <c r="A23" s="17"/>
      <c r="B23" s="229" t="s">
        <v>126</v>
      </c>
      <c r="D23" s="230" t="s">
        <v>204</v>
      </c>
      <c r="E23" s="230" t="s">
        <v>205</v>
      </c>
      <c r="F23" s="231" t="s">
        <v>206</v>
      </c>
      <c r="G23" s="230" t="s">
        <v>175</v>
      </c>
      <c r="I23" s="232" t="s">
        <v>207</v>
      </c>
      <c r="K23" s="129"/>
      <c r="L23" s="248" t="s">
        <v>103</v>
      </c>
      <c r="M23" s="249">
        <v>9.0</v>
      </c>
      <c r="N23" s="249">
        <v>7.0</v>
      </c>
      <c r="O23" s="250">
        <v>60.0</v>
      </c>
      <c r="P23" s="252" t="s">
        <v>208</v>
      </c>
    </row>
    <row r="24" ht="15.75" customHeight="1">
      <c r="A24" s="17"/>
      <c r="B24" s="229" t="s">
        <v>130</v>
      </c>
      <c r="D24" s="230" t="s">
        <v>209</v>
      </c>
      <c r="E24" s="230" t="s">
        <v>174</v>
      </c>
      <c r="F24" s="231" t="s">
        <v>210</v>
      </c>
      <c r="G24" s="230" t="s">
        <v>175</v>
      </c>
      <c r="I24" s="232" t="s">
        <v>207</v>
      </c>
      <c r="K24" s="129"/>
      <c r="L24" s="248" t="s">
        <v>110</v>
      </c>
      <c r="M24" s="250">
        <v>8.0</v>
      </c>
      <c r="N24" s="249">
        <v>8.0</v>
      </c>
      <c r="O24" s="250">
        <v>68.0</v>
      </c>
      <c r="P24" s="252" t="s">
        <v>211</v>
      </c>
    </row>
    <row r="25" ht="15.75" customHeight="1">
      <c r="A25" s="17"/>
      <c r="B25" s="235" t="s">
        <v>134</v>
      </c>
      <c r="D25" s="230" t="s">
        <v>212</v>
      </c>
      <c r="E25" s="230" t="s">
        <v>197</v>
      </c>
      <c r="F25" s="231" t="s">
        <v>213</v>
      </c>
      <c r="G25" s="230" t="s">
        <v>214</v>
      </c>
      <c r="I25" s="230" t="s">
        <v>215</v>
      </c>
      <c r="K25" s="129"/>
      <c r="L25" s="253" t="s">
        <v>216</v>
      </c>
      <c r="M25" s="254">
        <v>8.0</v>
      </c>
      <c r="N25" s="254">
        <v>8.0</v>
      </c>
      <c r="O25" s="250">
        <v>58.0</v>
      </c>
      <c r="P25" s="252" t="s">
        <v>217</v>
      </c>
    </row>
    <row r="26" ht="15.75" customHeight="1">
      <c r="A26" s="17"/>
      <c r="B26" s="235" t="s">
        <v>133</v>
      </c>
      <c r="D26" s="230" t="s">
        <v>218</v>
      </c>
      <c r="E26" s="230" t="s">
        <v>179</v>
      </c>
      <c r="F26" s="231" t="s">
        <v>219</v>
      </c>
      <c r="G26" s="230" t="s">
        <v>220</v>
      </c>
      <c r="I26" s="230" t="s">
        <v>221</v>
      </c>
      <c r="K26" s="129"/>
      <c r="L26" s="255" t="s">
        <v>109</v>
      </c>
      <c r="M26" s="256">
        <v>7.0</v>
      </c>
      <c r="N26" s="256">
        <v>9.0</v>
      </c>
      <c r="O26" s="186"/>
      <c r="P26" s="17"/>
    </row>
    <row r="27" ht="15.75" customHeight="1">
      <c r="A27" s="17"/>
      <c r="B27" s="235" t="s">
        <v>129</v>
      </c>
      <c r="D27" s="244" t="s">
        <v>222</v>
      </c>
      <c r="E27" s="244" t="s">
        <v>174</v>
      </c>
      <c r="F27" s="231" t="s">
        <v>223</v>
      </c>
      <c r="G27" s="244" t="s">
        <v>224</v>
      </c>
      <c r="I27" s="230" t="s">
        <v>181</v>
      </c>
      <c r="K27" s="129"/>
      <c r="L27" s="255" t="s">
        <v>106</v>
      </c>
      <c r="M27" s="256">
        <v>6.0</v>
      </c>
      <c r="N27" s="256">
        <v>10.0</v>
      </c>
      <c r="O27" s="186"/>
      <c r="P27" s="17"/>
    </row>
    <row r="28" ht="15.75" customHeight="1">
      <c r="A28" s="17"/>
      <c r="B28" s="235" t="s">
        <v>132</v>
      </c>
      <c r="D28" s="230" t="s">
        <v>225</v>
      </c>
      <c r="E28" s="230" t="s">
        <v>197</v>
      </c>
      <c r="F28" s="231" t="s">
        <v>175</v>
      </c>
      <c r="G28" s="230" t="s">
        <v>226</v>
      </c>
      <c r="I28" s="232" t="s">
        <v>227</v>
      </c>
      <c r="K28" s="129"/>
      <c r="L28" s="255" t="s">
        <v>228</v>
      </c>
      <c r="M28" s="256">
        <v>1.0</v>
      </c>
      <c r="N28" s="256">
        <v>15.0</v>
      </c>
      <c r="O28" s="186"/>
      <c r="P28" s="17"/>
    </row>
    <row r="29" ht="15.75" customHeight="1">
      <c r="A29" s="17"/>
      <c r="B29" s="229" t="s">
        <v>125</v>
      </c>
      <c r="D29" s="244" t="s">
        <v>229</v>
      </c>
      <c r="E29" s="244" t="s">
        <v>174</v>
      </c>
      <c r="F29" s="257" t="s">
        <v>230</v>
      </c>
      <c r="G29" s="244" t="s">
        <v>231</v>
      </c>
      <c r="I29" s="230" t="s">
        <v>232</v>
      </c>
      <c r="K29" s="129"/>
      <c r="L29" s="258" t="s">
        <v>111</v>
      </c>
      <c r="M29" s="258">
        <v>0.0</v>
      </c>
      <c r="N29" s="256">
        <v>0.0</v>
      </c>
      <c r="O29" s="186"/>
      <c r="P29" s="17"/>
    </row>
    <row r="30" ht="15.75" customHeight="1">
      <c r="A30" s="17"/>
      <c r="B30" s="229" t="s">
        <v>148</v>
      </c>
      <c r="D30" s="230" t="s">
        <v>233</v>
      </c>
      <c r="E30" s="230" t="s">
        <v>174</v>
      </c>
      <c r="F30" s="231" t="s">
        <v>175</v>
      </c>
      <c r="G30" s="230" t="s">
        <v>234</v>
      </c>
      <c r="I30" s="232" t="s">
        <v>235</v>
      </c>
      <c r="K30" s="129"/>
      <c r="L30" s="17"/>
      <c r="M30" s="17"/>
      <c r="N30" s="17"/>
      <c r="O30" s="17"/>
      <c r="P30" s="17"/>
    </row>
    <row r="31" ht="15.75" customHeight="1">
      <c r="A31" s="17"/>
      <c r="B31" s="229" t="s">
        <v>131</v>
      </c>
      <c r="D31" s="230" t="s">
        <v>236</v>
      </c>
      <c r="E31" s="230" t="s">
        <v>168</v>
      </c>
      <c r="F31" s="231" t="s">
        <v>237</v>
      </c>
      <c r="G31" s="230" t="s">
        <v>238</v>
      </c>
      <c r="I31" s="230" t="s">
        <v>239</v>
      </c>
      <c r="K31" s="129"/>
      <c r="L31" s="259"/>
      <c r="M31" s="17"/>
      <c r="N31" s="17"/>
      <c r="O31" s="186"/>
      <c r="P31" s="17"/>
    </row>
    <row r="32" ht="15.75" customHeight="1">
      <c r="A32" s="17"/>
      <c r="B32" s="235" t="s">
        <v>140</v>
      </c>
      <c r="D32" s="230" t="s">
        <v>240</v>
      </c>
      <c r="E32" s="230" t="s">
        <v>197</v>
      </c>
      <c r="F32" s="231" t="s">
        <v>241</v>
      </c>
      <c r="G32" s="230" t="s">
        <v>242</v>
      </c>
      <c r="I32" s="230" t="s">
        <v>243</v>
      </c>
      <c r="K32" s="129"/>
      <c r="L32" s="17"/>
      <c r="M32" s="17"/>
      <c r="N32" s="17"/>
      <c r="O32" s="17"/>
      <c r="P32" s="17"/>
    </row>
    <row r="33" ht="15.75" customHeight="1">
      <c r="A33" s="17"/>
      <c r="B33" s="235" t="s">
        <v>154</v>
      </c>
      <c r="D33" s="230" t="s">
        <v>244</v>
      </c>
      <c r="E33" s="230" t="s">
        <v>168</v>
      </c>
      <c r="F33" s="231" t="s">
        <v>245</v>
      </c>
      <c r="G33" s="230" t="s">
        <v>246</v>
      </c>
      <c r="I33" s="230" t="s">
        <v>247</v>
      </c>
      <c r="K33" s="129"/>
      <c r="L33" s="17"/>
      <c r="M33" s="17"/>
      <c r="N33" s="17"/>
      <c r="O33" s="17"/>
      <c r="P33" s="17"/>
    </row>
    <row r="34" ht="15.75" customHeight="1">
      <c r="A34" s="17"/>
      <c r="B34" s="229" t="s">
        <v>150</v>
      </c>
      <c r="D34" s="230" t="s">
        <v>248</v>
      </c>
      <c r="E34" s="230" t="s">
        <v>249</v>
      </c>
      <c r="F34" s="231" t="s">
        <v>250</v>
      </c>
      <c r="G34" s="260" t="s">
        <v>251</v>
      </c>
      <c r="I34" s="230" t="s">
        <v>207</v>
      </c>
      <c r="K34" s="129"/>
      <c r="L34" s="17"/>
      <c r="M34" s="17"/>
      <c r="N34" s="17"/>
      <c r="O34" s="17"/>
      <c r="P34" s="17"/>
    </row>
    <row r="35" ht="15.75" customHeight="1">
      <c r="A35" s="17"/>
      <c r="B35" s="235" t="s">
        <v>139</v>
      </c>
      <c r="D35" s="230" t="s">
        <v>252</v>
      </c>
      <c r="E35" s="230" t="s">
        <v>174</v>
      </c>
      <c r="F35" s="231" t="s">
        <v>253</v>
      </c>
      <c r="G35" s="230" t="s">
        <v>175</v>
      </c>
      <c r="I35" s="230" t="s">
        <v>254</v>
      </c>
      <c r="K35" s="129"/>
      <c r="L35" s="17"/>
      <c r="M35" s="17"/>
      <c r="N35" s="17"/>
      <c r="O35" s="17"/>
      <c r="P35" s="17"/>
    </row>
    <row r="36" ht="15.75" customHeight="1">
      <c r="A36" s="17"/>
      <c r="B36" s="235" t="s">
        <v>137</v>
      </c>
      <c r="D36" s="244" t="s">
        <v>255</v>
      </c>
      <c r="E36" s="244" t="s">
        <v>205</v>
      </c>
      <c r="F36" s="231" t="s">
        <v>256</v>
      </c>
      <c r="G36" s="230" t="s">
        <v>175</v>
      </c>
      <c r="I36" s="261" t="s">
        <v>207</v>
      </c>
      <c r="K36" s="129"/>
      <c r="L36" s="17"/>
      <c r="M36" s="17"/>
      <c r="N36" s="17"/>
      <c r="O36" s="17"/>
      <c r="P36" s="17"/>
    </row>
    <row r="37" ht="15.75" customHeight="1">
      <c r="A37" s="17"/>
      <c r="B37" s="235" t="s">
        <v>147</v>
      </c>
      <c r="D37" s="230" t="s">
        <v>257</v>
      </c>
      <c r="E37" s="230" t="s">
        <v>197</v>
      </c>
      <c r="F37" s="231" t="s">
        <v>258</v>
      </c>
      <c r="G37" s="262" t="s">
        <v>175</v>
      </c>
      <c r="I37" s="230" t="s">
        <v>187</v>
      </c>
      <c r="K37" s="129"/>
      <c r="L37" s="17"/>
      <c r="M37" s="17"/>
      <c r="N37" s="17"/>
      <c r="O37" s="17"/>
      <c r="P37" s="17"/>
    </row>
    <row r="38" ht="15.75" customHeight="1">
      <c r="A38" s="17"/>
      <c r="B38" s="263" t="s">
        <v>166</v>
      </c>
      <c r="D38" s="264" t="s">
        <v>259</v>
      </c>
      <c r="E38" s="237" t="s">
        <v>174</v>
      </c>
      <c r="F38" s="238" t="s">
        <v>175</v>
      </c>
      <c r="G38" s="237" t="s">
        <v>175</v>
      </c>
      <c r="I38" s="237" t="s">
        <v>260</v>
      </c>
      <c r="K38" s="129"/>
      <c r="L38" s="17"/>
      <c r="M38" s="17"/>
      <c r="N38" s="17"/>
      <c r="O38" s="17"/>
      <c r="P38" s="17"/>
    </row>
    <row r="39" ht="15.75" customHeight="1">
      <c r="A39" s="17"/>
      <c r="B39" s="235" t="s">
        <v>136</v>
      </c>
      <c r="D39" s="230" t="s">
        <v>261</v>
      </c>
      <c r="E39" s="230" t="s">
        <v>168</v>
      </c>
      <c r="F39" s="231" t="s">
        <v>175</v>
      </c>
      <c r="G39" s="230" t="s">
        <v>175</v>
      </c>
      <c r="I39" s="230" t="s">
        <v>262</v>
      </c>
      <c r="K39" s="129"/>
      <c r="L39" s="17"/>
      <c r="M39" s="17"/>
      <c r="N39" s="17"/>
      <c r="O39" s="17"/>
      <c r="P39" s="17"/>
    </row>
    <row r="40" ht="15.75" customHeight="1">
      <c r="A40" s="17"/>
      <c r="B40" s="229" t="s">
        <v>155</v>
      </c>
      <c r="D40" s="244" t="s">
        <v>263</v>
      </c>
      <c r="E40" s="244" t="s">
        <v>168</v>
      </c>
      <c r="F40" s="257" t="s">
        <v>175</v>
      </c>
      <c r="G40" s="244" t="s">
        <v>264</v>
      </c>
      <c r="I40" s="230" t="s">
        <v>265</v>
      </c>
      <c r="K40" s="129"/>
      <c r="L40" s="17"/>
      <c r="M40" s="17"/>
      <c r="N40" s="17"/>
      <c r="O40" s="17"/>
      <c r="P40" s="17"/>
    </row>
    <row r="41" ht="15.75" customHeight="1">
      <c r="A41" s="17"/>
      <c r="B41" s="236" t="s">
        <v>172</v>
      </c>
      <c r="D41" s="264" t="s">
        <v>266</v>
      </c>
      <c r="E41" s="237" t="s">
        <v>168</v>
      </c>
      <c r="F41" s="238" t="s">
        <v>175</v>
      </c>
      <c r="G41" s="237" t="s">
        <v>267</v>
      </c>
      <c r="I41" s="265" t="s">
        <v>187</v>
      </c>
      <c r="K41" s="129"/>
      <c r="L41" s="17"/>
      <c r="M41" s="17"/>
      <c r="N41" s="17"/>
      <c r="O41" s="17"/>
      <c r="P41" s="17"/>
    </row>
    <row r="42" ht="15.75" customHeight="1">
      <c r="A42" s="17"/>
      <c r="B42" s="229" t="s">
        <v>141</v>
      </c>
      <c r="D42" s="230" t="s">
        <v>268</v>
      </c>
      <c r="E42" s="230" t="s">
        <v>197</v>
      </c>
      <c r="F42" s="231" t="s">
        <v>269</v>
      </c>
      <c r="G42" s="230" t="s">
        <v>270</v>
      </c>
      <c r="I42" s="230" t="s">
        <v>239</v>
      </c>
      <c r="K42" s="129"/>
      <c r="L42" s="17"/>
      <c r="M42" s="17"/>
      <c r="N42" s="17"/>
      <c r="O42" s="186"/>
      <c r="P42" s="17"/>
    </row>
    <row r="43" ht="15.75" customHeight="1">
      <c r="A43" s="17"/>
      <c r="B43" s="229" t="s">
        <v>138</v>
      </c>
      <c r="D43" s="230" t="s">
        <v>271</v>
      </c>
      <c r="E43" s="230" t="s">
        <v>197</v>
      </c>
      <c r="F43" s="231" t="s">
        <v>272</v>
      </c>
      <c r="G43" s="230" t="s">
        <v>273</v>
      </c>
      <c r="I43" s="232" t="s">
        <v>274</v>
      </c>
      <c r="K43" s="129"/>
      <c r="L43" s="17"/>
      <c r="M43" s="17"/>
      <c r="N43" s="17"/>
      <c r="O43" s="186"/>
      <c r="P43" s="17"/>
    </row>
    <row r="44" ht="15.75" customHeight="1">
      <c r="A44" s="17"/>
      <c r="B44" s="235" t="s">
        <v>151</v>
      </c>
      <c r="D44" s="230" t="s">
        <v>275</v>
      </c>
      <c r="E44" s="230" t="s">
        <v>197</v>
      </c>
      <c r="F44" s="231" t="s">
        <v>276</v>
      </c>
      <c r="G44" s="266" t="s">
        <v>277</v>
      </c>
      <c r="I44" s="230" t="s">
        <v>198</v>
      </c>
      <c r="K44" s="129"/>
      <c r="L44" s="17"/>
      <c r="M44" s="17"/>
      <c r="N44" s="17"/>
      <c r="O44" s="186"/>
      <c r="P44" s="17"/>
    </row>
    <row r="45" ht="15.75" customHeight="1">
      <c r="A45" s="17"/>
      <c r="B45" s="235" t="s">
        <v>152</v>
      </c>
      <c r="D45" s="230" t="s">
        <v>278</v>
      </c>
      <c r="E45" s="230" t="s">
        <v>197</v>
      </c>
      <c r="F45" s="231" t="s">
        <v>279</v>
      </c>
      <c r="G45" s="230" t="s">
        <v>175</v>
      </c>
      <c r="I45" s="232" t="s">
        <v>280</v>
      </c>
      <c r="K45" s="129"/>
      <c r="L45" s="17"/>
      <c r="M45" s="17"/>
      <c r="N45" s="17"/>
      <c r="O45" s="186"/>
      <c r="P45" s="17"/>
    </row>
    <row r="46" ht="15.75" customHeight="1">
      <c r="A46" s="17"/>
      <c r="B46" s="235" t="s">
        <v>143</v>
      </c>
      <c r="D46" s="244" t="s">
        <v>281</v>
      </c>
      <c r="E46" s="244" t="s">
        <v>174</v>
      </c>
      <c r="F46" s="231" t="s">
        <v>282</v>
      </c>
      <c r="G46" s="244" t="s">
        <v>283</v>
      </c>
      <c r="I46" s="230" t="s">
        <v>187</v>
      </c>
      <c r="K46" s="129"/>
      <c r="L46" s="17"/>
      <c r="M46" s="17"/>
      <c r="N46" s="17"/>
      <c r="O46" s="186"/>
      <c r="P46" s="17"/>
    </row>
    <row r="47" ht="15.75" customHeight="1">
      <c r="A47" s="17"/>
      <c r="B47" s="267" t="s">
        <v>144</v>
      </c>
      <c r="C47" s="192"/>
      <c r="D47" s="268" t="s">
        <v>284</v>
      </c>
      <c r="E47" s="268" t="s">
        <v>168</v>
      </c>
      <c r="F47" s="269" t="s">
        <v>285</v>
      </c>
      <c r="G47" s="268" t="s">
        <v>175</v>
      </c>
      <c r="H47" s="192"/>
      <c r="I47" s="268" t="s">
        <v>243</v>
      </c>
      <c r="J47" s="192"/>
      <c r="K47" s="142"/>
      <c r="L47" s="17"/>
      <c r="M47" s="17"/>
      <c r="N47" s="17"/>
      <c r="O47" s="186"/>
      <c r="P47" s="17"/>
    </row>
    <row r="48" ht="15.75" customHeight="1">
      <c r="A48" s="17"/>
      <c r="B48" s="270"/>
      <c r="D48" s="271"/>
      <c r="E48" s="271"/>
      <c r="F48" s="271"/>
      <c r="G48" s="271"/>
      <c r="I48" s="272"/>
      <c r="K48" s="17"/>
      <c r="L48" s="17"/>
      <c r="M48" s="17"/>
      <c r="N48" s="17"/>
      <c r="O48" s="186"/>
      <c r="P48" s="17"/>
    </row>
    <row r="49" ht="15.75" customHeight="1">
      <c r="A49" s="17"/>
      <c r="B49" s="270"/>
      <c r="C49" s="270"/>
      <c r="D49" s="271"/>
      <c r="E49" s="271"/>
      <c r="F49" s="271"/>
      <c r="G49" s="271"/>
      <c r="H49" s="271"/>
      <c r="I49" s="272"/>
      <c r="J49" s="272"/>
      <c r="K49" s="17"/>
      <c r="L49" s="17"/>
      <c r="M49" s="17"/>
      <c r="N49" s="17"/>
      <c r="O49" s="186"/>
      <c r="P49" s="17"/>
    </row>
    <row r="50" ht="15.75" customHeight="1">
      <c r="A50" s="17"/>
      <c r="B50" s="270"/>
      <c r="C50" s="270"/>
      <c r="D50" s="271"/>
      <c r="E50" s="271"/>
      <c r="F50" s="271"/>
      <c r="G50" s="271"/>
      <c r="H50" s="271"/>
      <c r="I50" s="272"/>
      <c r="J50" s="272"/>
      <c r="K50" s="17"/>
      <c r="L50" s="17"/>
      <c r="M50" s="17"/>
      <c r="N50" s="17"/>
      <c r="O50" s="186"/>
      <c r="P50" s="17"/>
    </row>
    <row r="51" ht="15.75" customHeight="1">
      <c r="A51" s="17"/>
      <c r="B51" s="270"/>
      <c r="C51" s="270"/>
      <c r="D51" s="271"/>
      <c r="E51" s="271"/>
      <c r="F51" s="271"/>
      <c r="G51" s="271"/>
      <c r="H51" s="271"/>
      <c r="I51" s="272"/>
      <c r="J51" s="272"/>
      <c r="K51" s="17"/>
      <c r="L51" s="17"/>
      <c r="M51" s="17"/>
      <c r="N51" s="17"/>
      <c r="O51" s="186"/>
      <c r="P51" s="17"/>
    </row>
    <row r="52" ht="15.75" customHeight="1">
      <c r="A52" s="17"/>
      <c r="B52" s="270"/>
      <c r="C52" s="270"/>
      <c r="D52" s="271"/>
      <c r="E52" s="271"/>
      <c r="F52" s="271"/>
      <c r="G52" s="271"/>
      <c r="H52" s="271"/>
      <c r="I52" s="272"/>
      <c r="J52" s="272"/>
      <c r="K52" s="17"/>
      <c r="L52" s="17"/>
      <c r="M52" s="17"/>
      <c r="N52" s="17"/>
      <c r="O52" s="186"/>
      <c r="P52" s="17"/>
    </row>
    <row r="53" ht="15.75" customHeight="1">
      <c r="A53" s="17"/>
      <c r="B53" s="270"/>
      <c r="C53" s="270"/>
      <c r="D53" s="271"/>
      <c r="E53" s="271"/>
      <c r="F53" s="271"/>
      <c r="G53" s="271"/>
      <c r="H53" s="271"/>
      <c r="I53" s="272"/>
      <c r="J53" s="272"/>
      <c r="K53" s="17"/>
      <c r="L53" s="17"/>
      <c r="M53" s="17"/>
      <c r="N53" s="17"/>
      <c r="O53" s="186"/>
      <c r="P53" s="17"/>
    </row>
    <row r="54" ht="15.75" customHeight="1">
      <c r="A54" s="17"/>
      <c r="B54" s="270"/>
      <c r="C54" s="270"/>
      <c r="D54" s="271"/>
      <c r="E54" s="271"/>
      <c r="F54" s="271"/>
      <c r="G54" s="271"/>
      <c r="H54" s="271"/>
      <c r="I54" s="272"/>
      <c r="J54" s="272"/>
      <c r="K54" s="17"/>
      <c r="L54" s="17"/>
      <c r="M54" s="17"/>
      <c r="N54" s="17"/>
      <c r="O54" s="186"/>
      <c r="P54" s="17"/>
    </row>
    <row r="55" ht="15.75" customHeight="1">
      <c r="A55" s="17"/>
      <c r="B55" s="270"/>
      <c r="C55" s="270"/>
      <c r="D55" s="271"/>
      <c r="E55" s="271"/>
      <c r="F55" s="271"/>
      <c r="G55" s="271"/>
      <c r="H55" s="271"/>
      <c r="I55" s="272"/>
      <c r="J55" s="272"/>
      <c r="K55" s="17"/>
      <c r="L55" s="17"/>
      <c r="M55" s="17"/>
      <c r="N55" s="17"/>
      <c r="O55" s="186"/>
      <c r="P55" s="17"/>
    </row>
    <row r="56" ht="15.75" customHeight="1">
      <c r="A56" s="17"/>
      <c r="B56" s="270"/>
      <c r="C56" s="270"/>
      <c r="D56" s="271"/>
      <c r="E56" s="271"/>
      <c r="F56" s="271"/>
      <c r="G56" s="271"/>
      <c r="H56" s="271"/>
      <c r="I56" s="272"/>
      <c r="J56" s="272"/>
      <c r="K56" s="17"/>
      <c r="L56" s="17"/>
      <c r="M56" s="17"/>
      <c r="N56" s="17"/>
      <c r="O56" s="186"/>
      <c r="P56" s="17"/>
    </row>
    <row r="57" ht="15.75" customHeight="1">
      <c r="A57" s="17"/>
      <c r="B57" s="270"/>
      <c r="C57" s="270"/>
      <c r="D57" s="271"/>
      <c r="E57" s="271"/>
      <c r="F57" s="271"/>
      <c r="G57" s="271"/>
      <c r="H57" s="271"/>
      <c r="I57" s="272"/>
      <c r="J57" s="272"/>
      <c r="K57" s="17"/>
      <c r="L57" s="17"/>
      <c r="M57" s="17"/>
      <c r="N57" s="17"/>
      <c r="O57" s="186"/>
      <c r="P57" s="17"/>
    </row>
    <row r="58" ht="15.75" customHeight="1">
      <c r="A58" s="17"/>
      <c r="B58" s="270"/>
      <c r="C58" s="270"/>
      <c r="D58" s="271"/>
      <c r="E58" s="271"/>
      <c r="F58" s="271"/>
      <c r="G58" s="271"/>
      <c r="H58" s="271"/>
      <c r="I58" s="272"/>
      <c r="J58" s="272"/>
      <c r="K58" s="17"/>
      <c r="L58" s="17"/>
      <c r="M58" s="17"/>
      <c r="N58" s="17"/>
      <c r="O58" s="186"/>
      <c r="P58" s="17"/>
    </row>
    <row r="59" ht="15.75" customHeight="1">
      <c r="A59" s="17"/>
      <c r="B59" s="270"/>
      <c r="C59" s="270"/>
      <c r="D59" s="271"/>
      <c r="E59" s="271"/>
      <c r="F59" s="271"/>
      <c r="G59" s="271"/>
      <c r="H59" s="271"/>
      <c r="I59" s="272"/>
      <c r="J59" s="272"/>
      <c r="K59" s="17"/>
      <c r="L59" s="17"/>
      <c r="M59" s="17"/>
      <c r="N59" s="17"/>
      <c r="O59" s="186"/>
      <c r="P59" s="17"/>
    </row>
    <row r="60" ht="15.75" customHeight="1">
      <c r="A60" s="17"/>
      <c r="B60" s="270"/>
      <c r="C60" s="270"/>
      <c r="D60" s="271"/>
      <c r="E60" s="271"/>
      <c r="F60" s="271"/>
      <c r="G60" s="271"/>
      <c r="H60" s="271"/>
      <c r="I60" s="272"/>
      <c r="J60" s="272"/>
      <c r="K60" s="17"/>
      <c r="L60" s="17"/>
      <c r="M60" s="17"/>
      <c r="N60" s="17"/>
      <c r="O60" s="186"/>
      <c r="P60" s="17"/>
    </row>
    <row r="61" ht="15.75" customHeight="1">
      <c r="A61" s="17"/>
      <c r="B61" s="270"/>
      <c r="C61" s="270"/>
      <c r="D61" s="271"/>
      <c r="E61" s="271"/>
      <c r="F61" s="271"/>
      <c r="G61" s="271"/>
      <c r="H61" s="271"/>
      <c r="I61" s="272"/>
      <c r="J61" s="272"/>
      <c r="K61" s="17"/>
      <c r="L61" s="17"/>
      <c r="M61" s="17"/>
      <c r="N61" s="17"/>
      <c r="O61" s="186"/>
      <c r="P61" s="17"/>
    </row>
    <row r="62" ht="15.75" customHeight="1">
      <c r="A62" s="17"/>
      <c r="B62" s="270"/>
      <c r="C62" s="270"/>
      <c r="D62" s="271"/>
      <c r="E62" s="271"/>
      <c r="F62" s="271"/>
      <c r="G62" s="271"/>
      <c r="H62" s="271"/>
      <c r="I62" s="272"/>
      <c r="J62" s="272"/>
      <c r="K62" s="17"/>
      <c r="L62" s="17"/>
      <c r="M62" s="17"/>
      <c r="N62" s="17"/>
      <c r="O62" s="186"/>
      <c r="P62" s="17"/>
    </row>
    <row r="63" ht="15.75" customHeight="1">
      <c r="A63" s="17"/>
      <c r="B63" s="270"/>
      <c r="C63" s="270"/>
      <c r="D63" s="271"/>
      <c r="E63" s="271"/>
      <c r="F63" s="271"/>
      <c r="G63" s="271"/>
      <c r="H63" s="271"/>
      <c r="I63" s="272"/>
      <c r="J63" s="272"/>
      <c r="K63" s="17"/>
      <c r="L63" s="17"/>
      <c r="M63" s="17"/>
      <c r="N63" s="17"/>
      <c r="O63" s="186"/>
      <c r="P63" s="17"/>
    </row>
    <row r="64" ht="15.75" customHeight="1">
      <c r="A64" s="17"/>
      <c r="B64" s="270"/>
      <c r="C64" s="270"/>
      <c r="D64" s="271"/>
      <c r="E64" s="271"/>
      <c r="F64" s="271"/>
      <c r="G64" s="271"/>
      <c r="H64" s="271"/>
      <c r="I64" s="272"/>
      <c r="J64" s="272"/>
      <c r="K64" s="17"/>
      <c r="L64" s="17"/>
      <c r="M64" s="17"/>
      <c r="N64" s="17"/>
      <c r="O64" s="186"/>
      <c r="P64" s="17"/>
    </row>
    <row r="65" ht="15.75" customHeight="1">
      <c r="A65" s="17"/>
      <c r="B65" s="270"/>
      <c r="C65" s="270"/>
      <c r="D65" s="271"/>
      <c r="E65" s="271"/>
      <c r="F65" s="271"/>
      <c r="G65" s="271"/>
      <c r="H65" s="271"/>
      <c r="I65" s="272"/>
      <c r="J65" s="272"/>
      <c r="K65" s="17"/>
      <c r="L65" s="17"/>
      <c r="M65" s="17"/>
      <c r="N65" s="17"/>
      <c r="O65" s="186"/>
      <c r="P65" s="17"/>
    </row>
    <row r="66" ht="15.75" customHeight="1">
      <c r="A66" s="17"/>
      <c r="B66" s="270"/>
      <c r="C66" s="270"/>
      <c r="D66" s="271"/>
      <c r="E66" s="271"/>
      <c r="F66" s="271"/>
      <c r="G66" s="271"/>
      <c r="H66" s="271"/>
      <c r="I66" s="272"/>
      <c r="J66" s="272"/>
      <c r="K66" s="17"/>
      <c r="L66" s="17"/>
      <c r="M66" s="17"/>
      <c r="N66" s="17"/>
      <c r="O66" s="186"/>
      <c r="P66" s="17"/>
    </row>
    <row r="67" ht="15.75" customHeight="1">
      <c r="A67" s="17"/>
      <c r="B67" s="270"/>
      <c r="C67" s="270"/>
      <c r="D67" s="271"/>
      <c r="E67" s="271"/>
      <c r="F67" s="271"/>
      <c r="G67" s="271"/>
      <c r="H67" s="271"/>
      <c r="I67" s="272"/>
      <c r="J67" s="272"/>
      <c r="K67" s="17"/>
      <c r="L67" s="17"/>
      <c r="M67" s="17"/>
      <c r="N67" s="17"/>
      <c r="O67" s="186"/>
      <c r="P67" s="17"/>
    </row>
    <row r="68" ht="15.75" customHeight="1">
      <c r="A68" s="17"/>
      <c r="B68" s="270"/>
      <c r="C68" s="270"/>
      <c r="D68" s="271"/>
      <c r="E68" s="271"/>
      <c r="F68" s="271"/>
      <c r="G68" s="271"/>
      <c r="H68" s="271"/>
      <c r="I68" s="272"/>
      <c r="J68" s="272"/>
      <c r="K68" s="17"/>
      <c r="L68" s="17"/>
      <c r="M68" s="17"/>
      <c r="N68" s="17"/>
      <c r="O68" s="186"/>
      <c r="P68" s="17"/>
    </row>
    <row r="69" ht="15.75" customHeight="1">
      <c r="A69" s="17"/>
      <c r="B69" s="270"/>
      <c r="C69" s="270"/>
      <c r="D69" s="271"/>
      <c r="E69" s="271"/>
      <c r="F69" s="271"/>
      <c r="G69" s="271"/>
      <c r="H69" s="271"/>
      <c r="I69" s="272"/>
      <c r="J69" s="272"/>
      <c r="K69" s="17"/>
      <c r="L69" s="17"/>
      <c r="M69" s="17"/>
      <c r="N69" s="17"/>
      <c r="O69" s="186"/>
      <c r="P69" s="17"/>
    </row>
    <row r="70" ht="15.75" customHeight="1">
      <c r="A70" s="17"/>
      <c r="B70" s="270"/>
      <c r="C70" s="270"/>
      <c r="D70" s="271"/>
      <c r="E70" s="271"/>
      <c r="F70" s="271"/>
      <c r="G70" s="271"/>
      <c r="H70" s="271"/>
      <c r="I70" s="272"/>
      <c r="J70" s="272"/>
      <c r="K70" s="17"/>
      <c r="L70" s="17"/>
      <c r="M70" s="17"/>
      <c r="N70" s="17"/>
      <c r="O70" s="186"/>
      <c r="P70" s="17"/>
    </row>
    <row r="71" ht="15.75" customHeight="1">
      <c r="A71" s="17"/>
      <c r="B71" s="270"/>
      <c r="C71" s="270"/>
      <c r="D71" s="271"/>
      <c r="E71" s="271"/>
      <c r="F71" s="271"/>
      <c r="G71" s="271"/>
      <c r="H71" s="271"/>
      <c r="I71" s="272"/>
      <c r="J71" s="272"/>
      <c r="K71" s="17"/>
      <c r="L71" s="17"/>
      <c r="M71" s="17"/>
      <c r="N71" s="17"/>
      <c r="O71" s="186"/>
      <c r="P71" s="17"/>
    </row>
    <row r="72" ht="15.75" customHeight="1">
      <c r="A72" s="17"/>
      <c r="B72" s="270"/>
      <c r="C72" s="270"/>
      <c r="D72" s="271"/>
      <c r="E72" s="271"/>
      <c r="F72" s="271"/>
      <c r="G72" s="271"/>
      <c r="H72" s="271"/>
      <c r="I72" s="272"/>
      <c r="J72" s="272"/>
      <c r="K72" s="17"/>
      <c r="L72" s="17"/>
      <c r="M72" s="17"/>
      <c r="N72" s="17"/>
      <c r="O72" s="186"/>
      <c r="P72" s="17"/>
    </row>
    <row r="73" ht="15.75" customHeight="1">
      <c r="A73" s="17"/>
      <c r="B73" s="270"/>
      <c r="C73" s="270"/>
      <c r="D73" s="271"/>
      <c r="E73" s="271"/>
      <c r="F73" s="271"/>
      <c r="G73" s="271"/>
      <c r="H73" s="271"/>
      <c r="I73" s="272"/>
      <c r="J73" s="272"/>
      <c r="K73" s="17"/>
      <c r="L73" s="17"/>
      <c r="M73" s="17"/>
      <c r="N73" s="17"/>
      <c r="O73" s="186"/>
      <c r="P73" s="17"/>
    </row>
    <row r="74" ht="15.75" customHeight="1">
      <c r="A74" s="17"/>
      <c r="B74" s="270"/>
      <c r="C74" s="270"/>
      <c r="D74" s="271"/>
      <c r="E74" s="271"/>
      <c r="F74" s="271"/>
      <c r="G74" s="271"/>
      <c r="H74" s="271"/>
      <c r="I74" s="272"/>
      <c r="J74" s="272"/>
      <c r="K74" s="17"/>
      <c r="L74" s="17"/>
      <c r="M74" s="17"/>
      <c r="N74" s="17"/>
      <c r="O74" s="186"/>
      <c r="P74" s="17"/>
    </row>
    <row r="75" ht="15.75" customHeight="1">
      <c r="A75" s="17"/>
      <c r="B75" s="270"/>
      <c r="C75" s="270"/>
      <c r="D75" s="271"/>
      <c r="E75" s="271"/>
      <c r="F75" s="271"/>
      <c r="G75" s="271"/>
      <c r="H75" s="271"/>
      <c r="I75" s="272"/>
      <c r="J75" s="272"/>
      <c r="K75" s="17"/>
      <c r="L75" s="17"/>
      <c r="M75" s="17"/>
      <c r="N75" s="17"/>
      <c r="O75" s="186"/>
      <c r="P75" s="17"/>
    </row>
    <row r="76" ht="15.75" customHeight="1">
      <c r="A76" s="17"/>
      <c r="B76" s="270"/>
      <c r="C76" s="270"/>
      <c r="D76" s="271"/>
      <c r="E76" s="271"/>
      <c r="F76" s="271"/>
      <c r="G76" s="271"/>
      <c r="H76" s="271"/>
      <c r="I76" s="272"/>
      <c r="J76" s="272"/>
      <c r="K76" s="17"/>
      <c r="L76" s="17"/>
      <c r="M76" s="17"/>
      <c r="N76" s="17"/>
      <c r="O76" s="186"/>
      <c r="P76" s="17"/>
    </row>
    <row r="77" ht="15.75" customHeight="1">
      <c r="A77" s="17"/>
      <c r="B77" s="270"/>
      <c r="C77" s="270"/>
      <c r="D77" s="271"/>
      <c r="E77" s="271"/>
      <c r="F77" s="271"/>
      <c r="G77" s="271"/>
      <c r="H77" s="271"/>
      <c r="I77" s="272"/>
      <c r="J77" s="272"/>
      <c r="K77" s="17"/>
      <c r="L77" s="17"/>
      <c r="M77" s="17"/>
      <c r="N77" s="17"/>
      <c r="O77" s="186"/>
      <c r="P77" s="17"/>
    </row>
    <row r="78" ht="15.75" customHeight="1">
      <c r="A78" s="17"/>
      <c r="B78" s="270"/>
      <c r="C78" s="270"/>
      <c r="D78" s="271"/>
      <c r="E78" s="271"/>
      <c r="F78" s="271"/>
      <c r="G78" s="271"/>
      <c r="H78" s="271"/>
      <c r="I78" s="272"/>
      <c r="J78" s="272"/>
      <c r="K78" s="17"/>
      <c r="L78" s="17"/>
      <c r="M78" s="17"/>
      <c r="N78" s="17"/>
      <c r="O78" s="186"/>
      <c r="P78" s="17"/>
    </row>
    <row r="79" ht="15.75" customHeight="1">
      <c r="A79" s="17"/>
      <c r="B79" s="270"/>
      <c r="C79" s="270"/>
      <c r="D79" s="271"/>
      <c r="E79" s="271"/>
      <c r="F79" s="271"/>
      <c r="G79" s="271"/>
      <c r="H79" s="271"/>
      <c r="I79" s="272"/>
      <c r="J79" s="272"/>
      <c r="K79" s="17"/>
      <c r="L79" s="17"/>
      <c r="M79" s="17"/>
      <c r="N79" s="17"/>
      <c r="O79" s="186"/>
      <c r="P79" s="17"/>
    </row>
    <row r="80" ht="15.75" customHeight="1">
      <c r="A80" s="17"/>
      <c r="B80" s="270"/>
      <c r="C80" s="270"/>
      <c r="D80" s="271"/>
      <c r="E80" s="271"/>
      <c r="F80" s="271"/>
      <c r="G80" s="271"/>
      <c r="H80" s="271"/>
      <c r="I80" s="272"/>
      <c r="J80" s="272"/>
      <c r="K80" s="17"/>
      <c r="L80" s="17"/>
      <c r="M80" s="17"/>
      <c r="N80" s="17"/>
      <c r="O80" s="186"/>
      <c r="P80" s="17"/>
    </row>
    <row r="81" ht="15.75" customHeight="1">
      <c r="A81" s="17"/>
      <c r="B81" s="270"/>
      <c r="C81" s="270"/>
      <c r="D81" s="271"/>
      <c r="E81" s="271"/>
      <c r="F81" s="271"/>
      <c r="G81" s="271"/>
      <c r="H81" s="271"/>
      <c r="I81" s="272"/>
      <c r="J81" s="272"/>
      <c r="K81" s="17"/>
      <c r="L81" s="17"/>
      <c r="M81" s="17"/>
      <c r="N81" s="17"/>
      <c r="O81" s="186"/>
      <c r="P81" s="17"/>
    </row>
    <row r="82" ht="15.75" customHeight="1">
      <c r="A82" s="17"/>
      <c r="B82" s="270"/>
      <c r="C82" s="270"/>
      <c r="D82" s="271"/>
      <c r="E82" s="271"/>
      <c r="F82" s="271"/>
      <c r="G82" s="271"/>
      <c r="H82" s="271"/>
      <c r="I82" s="272"/>
      <c r="J82" s="272"/>
      <c r="K82" s="17"/>
      <c r="L82" s="17"/>
      <c r="M82" s="17"/>
      <c r="N82" s="17"/>
      <c r="O82" s="186"/>
      <c r="P82" s="17"/>
    </row>
    <row r="83" ht="15.75" customHeight="1">
      <c r="A83" s="17"/>
      <c r="B83" s="270"/>
      <c r="C83" s="270"/>
      <c r="D83" s="271"/>
      <c r="E83" s="271"/>
      <c r="F83" s="271"/>
      <c r="G83" s="271"/>
      <c r="H83" s="271"/>
      <c r="I83" s="272"/>
      <c r="J83" s="272"/>
      <c r="K83" s="17"/>
      <c r="L83" s="17"/>
      <c r="M83" s="17"/>
      <c r="N83" s="17"/>
      <c r="O83" s="186"/>
      <c r="P83" s="17"/>
    </row>
    <row r="84" ht="15.75" customHeight="1">
      <c r="A84" s="17"/>
      <c r="B84" s="270"/>
      <c r="C84" s="270"/>
      <c r="D84" s="271"/>
      <c r="E84" s="271"/>
      <c r="F84" s="271"/>
      <c r="G84" s="271"/>
      <c r="H84" s="271"/>
      <c r="I84" s="272"/>
      <c r="J84" s="272"/>
      <c r="K84" s="17"/>
      <c r="L84" s="17"/>
      <c r="M84" s="17"/>
      <c r="N84" s="17"/>
      <c r="O84" s="186"/>
      <c r="P84" s="17"/>
    </row>
    <row r="85" ht="15.75" customHeight="1">
      <c r="A85" s="17"/>
      <c r="B85" s="270"/>
      <c r="C85" s="270"/>
      <c r="D85" s="271"/>
      <c r="E85" s="271"/>
      <c r="F85" s="271"/>
      <c r="G85" s="271"/>
      <c r="H85" s="271"/>
      <c r="I85" s="272"/>
      <c r="J85" s="272"/>
      <c r="K85" s="17"/>
      <c r="L85" s="17"/>
      <c r="M85" s="17"/>
      <c r="N85" s="17"/>
      <c r="O85" s="186"/>
      <c r="P85" s="17"/>
    </row>
    <row r="86" ht="15.75" customHeight="1">
      <c r="A86" s="17"/>
      <c r="B86" s="270"/>
      <c r="C86" s="270"/>
      <c r="D86" s="271"/>
      <c r="E86" s="271"/>
      <c r="F86" s="271"/>
      <c r="G86" s="271"/>
      <c r="H86" s="271"/>
      <c r="I86" s="272"/>
      <c r="J86" s="272"/>
      <c r="K86" s="17"/>
      <c r="L86" s="17"/>
      <c r="M86" s="17"/>
      <c r="N86" s="17"/>
      <c r="O86" s="186"/>
      <c r="P86" s="17"/>
    </row>
    <row r="87" ht="15.75" customHeight="1">
      <c r="A87" s="17"/>
      <c r="B87" s="270"/>
      <c r="C87" s="270"/>
      <c r="D87" s="271"/>
      <c r="E87" s="271"/>
      <c r="F87" s="271"/>
      <c r="G87" s="271"/>
      <c r="H87" s="271"/>
      <c r="I87" s="272"/>
      <c r="J87" s="272"/>
      <c r="K87" s="17"/>
      <c r="L87" s="17"/>
      <c r="M87" s="17"/>
      <c r="N87" s="17"/>
      <c r="O87" s="186"/>
      <c r="P87" s="17"/>
    </row>
    <row r="88" ht="15.75" customHeight="1">
      <c r="A88" s="17"/>
      <c r="B88" s="270"/>
      <c r="C88" s="270"/>
      <c r="D88" s="271"/>
      <c r="E88" s="271"/>
      <c r="F88" s="271"/>
      <c r="G88" s="271"/>
      <c r="H88" s="271"/>
      <c r="I88" s="272"/>
      <c r="J88" s="272"/>
      <c r="K88" s="17"/>
      <c r="L88" s="17"/>
      <c r="M88" s="17"/>
      <c r="N88" s="17"/>
      <c r="O88" s="186"/>
      <c r="P88" s="17"/>
    </row>
    <row r="89" ht="15.75" customHeight="1">
      <c r="A89" s="17"/>
      <c r="B89" s="270"/>
      <c r="C89" s="270"/>
      <c r="D89" s="271"/>
      <c r="E89" s="271"/>
      <c r="F89" s="271"/>
      <c r="G89" s="271"/>
      <c r="H89" s="271"/>
      <c r="I89" s="272"/>
      <c r="J89" s="272"/>
      <c r="K89" s="17"/>
      <c r="L89" s="17"/>
      <c r="M89" s="17"/>
      <c r="N89" s="17"/>
      <c r="O89" s="186"/>
      <c r="P89" s="17"/>
    </row>
    <row r="90" ht="15.75" customHeight="1">
      <c r="A90" s="17"/>
      <c r="B90" s="270"/>
      <c r="C90" s="270"/>
      <c r="D90" s="271"/>
      <c r="E90" s="271"/>
      <c r="F90" s="271"/>
      <c r="G90" s="271"/>
      <c r="H90" s="271"/>
      <c r="I90" s="272"/>
      <c r="J90" s="272"/>
      <c r="K90" s="17"/>
      <c r="L90" s="17"/>
      <c r="M90" s="17"/>
      <c r="N90" s="17"/>
      <c r="O90" s="186"/>
      <c r="P90" s="17"/>
    </row>
    <row r="91" ht="15.75" customHeight="1">
      <c r="A91" s="17"/>
      <c r="B91" s="270"/>
      <c r="C91" s="270"/>
      <c r="D91" s="271"/>
      <c r="E91" s="271"/>
      <c r="F91" s="271"/>
      <c r="G91" s="271"/>
      <c r="H91" s="271"/>
      <c r="I91" s="272"/>
      <c r="J91" s="272"/>
      <c r="K91" s="17"/>
      <c r="L91" s="17"/>
      <c r="M91" s="17"/>
      <c r="N91" s="17"/>
      <c r="O91" s="186"/>
      <c r="P91" s="17"/>
    </row>
    <row r="92" ht="15.75" customHeight="1">
      <c r="A92" s="17"/>
      <c r="B92" s="270"/>
      <c r="C92" s="270"/>
      <c r="D92" s="271"/>
      <c r="E92" s="271"/>
      <c r="F92" s="271"/>
      <c r="G92" s="271"/>
      <c r="H92" s="271"/>
      <c r="I92" s="272"/>
      <c r="J92" s="272"/>
      <c r="K92" s="17"/>
      <c r="L92" s="17"/>
      <c r="M92" s="17"/>
      <c r="N92" s="17"/>
      <c r="O92" s="186"/>
      <c r="P92" s="17"/>
    </row>
    <row r="93" ht="15.75" customHeight="1">
      <c r="A93" s="17"/>
      <c r="B93" s="270"/>
      <c r="C93" s="270"/>
      <c r="D93" s="271"/>
      <c r="E93" s="271"/>
      <c r="F93" s="271"/>
      <c r="G93" s="271"/>
      <c r="H93" s="271"/>
      <c r="I93" s="272"/>
      <c r="J93" s="272"/>
      <c r="K93" s="17"/>
      <c r="L93" s="17"/>
      <c r="M93" s="17"/>
      <c r="N93" s="17"/>
      <c r="O93" s="186"/>
      <c r="P93" s="17"/>
    </row>
    <row r="94" ht="15.75" customHeight="1">
      <c r="A94" s="17"/>
      <c r="B94" s="270"/>
      <c r="C94" s="270"/>
      <c r="D94" s="271"/>
      <c r="E94" s="271"/>
      <c r="F94" s="271"/>
      <c r="G94" s="271"/>
      <c r="H94" s="271"/>
      <c r="I94" s="272"/>
      <c r="J94" s="272"/>
      <c r="K94" s="17"/>
      <c r="L94" s="17"/>
      <c r="M94" s="17"/>
      <c r="N94" s="17"/>
      <c r="O94" s="186"/>
      <c r="P94" s="17"/>
    </row>
    <row r="95" ht="15.75" customHeight="1">
      <c r="A95" s="17"/>
      <c r="B95" s="270"/>
      <c r="C95" s="270"/>
      <c r="D95" s="271"/>
      <c r="E95" s="271"/>
      <c r="F95" s="271"/>
      <c r="G95" s="271"/>
      <c r="H95" s="271"/>
      <c r="I95" s="272"/>
      <c r="J95" s="272"/>
      <c r="K95" s="17"/>
      <c r="L95" s="17"/>
      <c r="M95" s="17"/>
      <c r="N95" s="17"/>
      <c r="O95" s="186"/>
      <c r="P95" s="17"/>
    </row>
    <row r="96" ht="15.75" customHeight="1">
      <c r="A96" s="17"/>
      <c r="B96" s="270"/>
      <c r="C96" s="270"/>
      <c r="D96" s="271"/>
      <c r="E96" s="271"/>
      <c r="F96" s="271"/>
      <c r="G96" s="271"/>
      <c r="H96" s="271"/>
      <c r="I96" s="272"/>
      <c r="J96" s="272"/>
      <c r="K96" s="17"/>
      <c r="L96" s="17"/>
      <c r="M96" s="17"/>
      <c r="N96" s="17"/>
      <c r="O96" s="186"/>
      <c r="P96" s="17"/>
    </row>
    <row r="97" ht="15.75" customHeight="1">
      <c r="A97" s="17"/>
      <c r="B97" s="270"/>
      <c r="C97" s="270"/>
      <c r="D97" s="271"/>
      <c r="E97" s="271"/>
      <c r="F97" s="271"/>
      <c r="G97" s="271"/>
      <c r="H97" s="271"/>
      <c r="I97" s="272"/>
      <c r="J97" s="272"/>
      <c r="K97" s="17"/>
      <c r="L97" s="17"/>
      <c r="M97" s="17"/>
      <c r="N97" s="17"/>
      <c r="O97" s="186"/>
      <c r="P97" s="17"/>
    </row>
    <row r="98" ht="15.75" customHeight="1">
      <c r="A98" s="17"/>
      <c r="B98" s="270"/>
      <c r="C98" s="270"/>
      <c r="D98" s="271"/>
      <c r="E98" s="271"/>
      <c r="F98" s="271"/>
      <c r="G98" s="271"/>
      <c r="H98" s="271"/>
      <c r="I98" s="272"/>
      <c r="J98" s="272"/>
      <c r="K98" s="17"/>
      <c r="L98" s="17"/>
      <c r="M98" s="17"/>
      <c r="N98" s="17"/>
      <c r="O98" s="186"/>
      <c r="P98" s="17"/>
    </row>
    <row r="99" ht="15.75" customHeight="1">
      <c r="A99" s="17"/>
      <c r="B99" s="270"/>
      <c r="C99" s="270"/>
      <c r="D99" s="271"/>
      <c r="E99" s="271"/>
      <c r="F99" s="271"/>
      <c r="G99" s="271"/>
      <c r="H99" s="271"/>
      <c r="I99" s="272"/>
      <c r="J99" s="272"/>
      <c r="K99" s="17"/>
      <c r="L99" s="17"/>
      <c r="M99" s="17"/>
      <c r="N99" s="17"/>
      <c r="O99" s="186"/>
      <c r="P99" s="17"/>
    </row>
    <row r="100" ht="15.75" customHeight="1">
      <c r="A100" s="17"/>
      <c r="B100" s="270"/>
      <c r="C100" s="270"/>
      <c r="D100" s="271"/>
      <c r="E100" s="271"/>
      <c r="F100" s="271"/>
      <c r="G100" s="271"/>
      <c r="H100" s="271"/>
      <c r="I100" s="272"/>
      <c r="J100" s="272"/>
      <c r="K100" s="17"/>
      <c r="L100" s="17"/>
      <c r="M100" s="17"/>
      <c r="N100" s="17"/>
      <c r="O100" s="186"/>
      <c r="P100" s="17"/>
    </row>
    <row r="101" ht="15.75" customHeight="1">
      <c r="A101" s="17"/>
      <c r="B101" s="270"/>
      <c r="C101" s="270"/>
      <c r="D101" s="271"/>
      <c r="E101" s="271"/>
      <c r="F101" s="271"/>
      <c r="G101" s="271"/>
      <c r="H101" s="271"/>
      <c r="I101" s="272"/>
      <c r="J101" s="272"/>
      <c r="K101" s="17"/>
      <c r="L101" s="17"/>
      <c r="M101" s="17"/>
      <c r="N101" s="17"/>
      <c r="O101" s="186"/>
      <c r="P101" s="17"/>
    </row>
    <row r="102" ht="15.75" customHeight="1">
      <c r="A102" s="17"/>
      <c r="B102" s="270"/>
      <c r="C102" s="270"/>
      <c r="D102" s="271"/>
      <c r="E102" s="271"/>
      <c r="F102" s="271"/>
      <c r="G102" s="271"/>
      <c r="H102" s="271"/>
      <c r="I102" s="272"/>
      <c r="J102" s="272"/>
      <c r="K102" s="17"/>
      <c r="L102" s="17"/>
      <c r="M102" s="17"/>
      <c r="N102" s="17"/>
      <c r="O102" s="186"/>
      <c r="P102" s="17"/>
    </row>
    <row r="103" ht="15.75" customHeight="1">
      <c r="A103" s="17"/>
      <c r="B103" s="270"/>
      <c r="C103" s="270"/>
      <c r="D103" s="271"/>
      <c r="E103" s="271"/>
      <c r="F103" s="271"/>
      <c r="G103" s="271"/>
      <c r="H103" s="271"/>
      <c r="I103" s="272"/>
      <c r="J103" s="272"/>
      <c r="K103" s="17"/>
      <c r="L103" s="17"/>
      <c r="M103" s="17"/>
      <c r="N103" s="17"/>
      <c r="O103" s="186"/>
      <c r="P103" s="17"/>
    </row>
    <row r="104" ht="15.75" customHeight="1">
      <c r="A104" s="17"/>
      <c r="B104" s="270"/>
      <c r="C104" s="270"/>
      <c r="D104" s="271"/>
      <c r="E104" s="271"/>
      <c r="F104" s="271"/>
      <c r="G104" s="271"/>
      <c r="H104" s="271"/>
      <c r="I104" s="272"/>
      <c r="J104" s="272"/>
      <c r="K104" s="17"/>
      <c r="L104" s="17"/>
      <c r="M104" s="17"/>
      <c r="N104" s="17"/>
      <c r="O104" s="186"/>
      <c r="P104" s="17"/>
    </row>
    <row r="105" ht="15.75" customHeight="1">
      <c r="A105" s="17"/>
      <c r="B105" s="270"/>
      <c r="C105" s="270"/>
      <c r="D105" s="271"/>
      <c r="E105" s="271"/>
      <c r="F105" s="271"/>
      <c r="G105" s="271"/>
      <c r="H105" s="271"/>
      <c r="I105" s="272"/>
      <c r="J105" s="272"/>
      <c r="K105" s="17"/>
      <c r="L105" s="17"/>
      <c r="M105" s="17"/>
      <c r="N105" s="17"/>
      <c r="O105" s="186"/>
      <c r="P105" s="17"/>
    </row>
    <row r="106" ht="15.75" customHeight="1">
      <c r="A106" s="17"/>
      <c r="B106" s="270"/>
      <c r="C106" s="270"/>
      <c r="D106" s="271"/>
      <c r="E106" s="271"/>
      <c r="F106" s="271"/>
      <c r="G106" s="271"/>
      <c r="H106" s="271"/>
      <c r="I106" s="272"/>
      <c r="J106" s="272"/>
      <c r="K106" s="17"/>
      <c r="L106" s="17"/>
      <c r="M106" s="17"/>
      <c r="N106" s="17"/>
      <c r="O106" s="186"/>
      <c r="P106" s="17"/>
    </row>
    <row r="107" ht="15.75" customHeight="1">
      <c r="A107" s="17"/>
      <c r="B107" s="270"/>
      <c r="C107" s="270"/>
      <c r="D107" s="271"/>
      <c r="E107" s="271"/>
      <c r="F107" s="271"/>
      <c r="G107" s="271"/>
      <c r="H107" s="271"/>
      <c r="I107" s="272"/>
      <c r="J107" s="272"/>
      <c r="K107" s="17"/>
      <c r="L107" s="17"/>
      <c r="M107" s="17"/>
      <c r="N107" s="17"/>
      <c r="O107" s="186"/>
      <c r="P107" s="17"/>
    </row>
    <row r="108" ht="15.75" customHeight="1">
      <c r="A108" s="17"/>
      <c r="B108" s="270"/>
      <c r="C108" s="270"/>
      <c r="D108" s="271"/>
      <c r="E108" s="271"/>
      <c r="F108" s="271"/>
      <c r="G108" s="271"/>
      <c r="H108" s="271"/>
      <c r="I108" s="272"/>
      <c r="J108" s="272"/>
      <c r="K108" s="17"/>
      <c r="L108" s="17"/>
      <c r="M108" s="17"/>
      <c r="N108" s="17"/>
      <c r="O108" s="186"/>
      <c r="P108" s="17"/>
    </row>
    <row r="109" ht="15.75" customHeight="1">
      <c r="A109" s="17"/>
      <c r="B109" s="270"/>
      <c r="C109" s="270"/>
      <c r="D109" s="271"/>
      <c r="E109" s="271"/>
      <c r="F109" s="271"/>
      <c r="G109" s="271"/>
      <c r="H109" s="271"/>
      <c r="I109" s="272"/>
      <c r="J109" s="272"/>
      <c r="K109" s="17"/>
      <c r="L109" s="17"/>
      <c r="M109" s="17"/>
      <c r="N109" s="17"/>
      <c r="O109" s="186"/>
      <c r="P109" s="17"/>
    </row>
    <row r="110" ht="15.75" customHeight="1">
      <c r="A110" s="17"/>
      <c r="B110" s="270"/>
      <c r="C110" s="270"/>
      <c r="D110" s="271"/>
      <c r="E110" s="271"/>
      <c r="F110" s="271"/>
      <c r="G110" s="271"/>
      <c r="H110" s="271"/>
      <c r="I110" s="272"/>
      <c r="J110" s="272"/>
      <c r="K110" s="17"/>
      <c r="L110" s="17"/>
      <c r="M110" s="17"/>
      <c r="N110" s="17"/>
      <c r="O110" s="186"/>
      <c r="P110" s="17"/>
    </row>
    <row r="111" ht="15.75" customHeight="1">
      <c r="A111" s="17"/>
      <c r="B111" s="270"/>
      <c r="C111" s="270"/>
      <c r="D111" s="271"/>
      <c r="E111" s="271"/>
      <c r="F111" s="271"/>
      <c r="G111" s="271"/>
      <c r="H111" s="271"/>
      <c r="I111" s="272"/>
      <c r="J111" s="272"/>
      <c r="K111" s="17"/>
      <c r="L111" s="17"/>
      <c r="M111" s="17"/>
      <c r="N111" s="17"/>
      <c r="O111" s="186"/>
      <c r="P111" s="17"/>
    </row>
    <row r="112" ht="15.75" customHeight="1">
      <c r="A112" s="17"/>
      <c r="B112" s="270"/>
      <c r="C112" s="270"/>
      <c r="D112" s="271"/>
      <c r="E112" s="271"/>
      <c r="F112" s="271"/>
      <c r="G112" s="271"/>
      <c r="H112" s="271"/>
      <c r="I112" s="272"/>
      <c r="J112" s="272"/>
      <c r="K112" s="17"/>
      <c r="L112" s="17"/>
      <c r="M112" s="17"/>
      <c r="N112" s="17"/>
      <c r="O112" s="186"/>
      <c r="P112" s="17"/>
    </row>
    <row r="113" ht="15.75" customHeight="1">
      <c r="A113" s="17"/>
      <c r="B113" s="270"/>
      <c r="C113" s="270"/>
      <c r="D113" s="271"/>
      <c r="E113" s="271"/>
      <c r="F113" s="271"/>
      <c r="G113" s="271"/>
      <c r="H113" s="271"/>
      <c r="I113" s="272"/>
      <c r="J113" s="272"/>
      <c r="K113" s="17"/>
      <c r="L113" s="17"/>
      <c r="M113" s="17"/>
      <c r="N113" s="17"/>
      <c r="O113" s="186"/>
      <c r="P113" s="17"/>
    </row>
    <row r="114" ht="15.75" customHeight="1">
      <c r="A114" s="17"/>
      <c r="B114" s="270"/>
      <c r="C114" s="270"/>
      <c r="D114" s="271"/>
      <c r="E114" s="271"/>
      <c r="F114" s="271"/>
      <c r="G114" s="271"/>
      <c r="H114" s="271"/>
      <c r="I114" s="272"/>
      <c r="J114" s="272"/>
      <c r="K114" s="17"/>
      <c r="L114" s="17"/>
      <c r="M114" s="17"/>
      <c r="N114" s="17"/>
      <c r="O114" s="186"/>
      <c r="P114" s="17"/>
    </row>
    <row r="115" ht="15.75" customHeight="1">
      <c r="A115" s="17"/>
      <c r="B115" s="270"/>
      <c r="C115" s="270"/>
      <c r="D115" s="271"/>
      <c r="E115" s="271"/>
      <c r="F115" s="271"/>
      <c r="G115" s="271"/>
      <c r="H115" s="271"/>
      <c r="I115" s="272"/>
      <c r="J115" s="272"/>
      <c r="K115" s="17"/>
      <c r="L115" s="17"/>
      <c r="M115" s="17"/>
      <c r="N115" s="17"/>
      <c r="O115" s="186"/>
      <c r="P115" s="17"/>
    </row>
    <row r="116" ht="15.75" customHeight="1">
      <c r="A116" s="17"/>
      <c r="B116" s="270"/>
      <c r="C116" s="270"/>
      <c r="D116" s="271"/>
      <c r="E116" s="271"/>
      <c r="F116" s="271"/>
      <c r="G116" s="271"/>
      <c r="H116" s="271"/>
      <c r="I116" s="272"/>
      <c r="J116" s="272"/>
      <c r="K116" s="17"/>
      <c r="L116" s="17"/>
      <c r="M116" s="17"/>
      <c r="N116" s="17"/>
      <c r="O116" s="186"/>
      <c r="P116" s="17"/>
    </row>
    <row r="117" ht="15.75" customHeight="1">
      <c r="A117" s="17"/>
      <c r="B117" s="270"/>
      <c r="C117" s="270"/>
      <c r="D117" s="271"/>
      <c r="E117" s="271"/>
      <c r="F117" s="271"/>
      <c r="G117" s="271"/>
      <c r="H117" s="271"/>
      <c r="I117" s="272"/>
      <c r="J117" s="272"/>
      <c r="K117" s="17"/>
      <c r="L117" s="17"/>
      <c r="M117" s="17"/>
      <c r="N117" s="17"/>
      <c r="O117" s="186"/>
      <c r="P117" s="17"/>
    </row>
    <row r="118" ht="15.75" customHeight="1">
      <c r="A118" s="17"/>
      <c r="B118" s="270"/>
      <c r="C118" s="270"/>
      <c r="D118" s="271"/>
      <c r="E118" s="271"/>
      <c r="F118" s="271"/>
      <c r="G118" s="271"/>
      <c r="H118" s="271"/>
      <c r="I118" s="272"/>
      <c r="J118" s="272"/>
      <c r="K118" s="17"/>
      <c r="L118" s="17"/>
      <c r="M118" s="17"/>
      <c r="N118" s="17"/>
      <c r="O118" s="186"/>
      <c r="P118" s="17"/>
    </row>
    <row r="119" ht="15.75" customHeight="1">
      <c r="A119" s="17"/>
      <c r="B119" s="270"/>
      <c r="C119" s="270"/>
      <c r="D119" s="271"/>
      <c r="E119" s="271"/>
      <c r="F119" s="271"/>
      <c r="G119" s="271"/>
      <c r="H119" s="271"/>
      <c r="I119" s="272"/>
      <c r="J119" s="272"/>
      <c r="K119" s="17"/>
      <c r="L119" s="17"/>
      <c r="M119" s="17"/>
      <c r="N119" s="17"/>
      <c r="O119" s="186"/>
      <c r="P119" s="17"/>
    </row>
    <row r="120" ht="15.75" customHeight="1">
      <c r="A120" s="17"/>
      <c r="B120" s="270"/>
      <c r="C120" s="270"/>
      <c r="D120" s="271"/>
      <c r="E120" s="271"/>
      <c r="F120" s="271"/>
      <c r="G120" s="271"/>
      <c r="H120" s="271"/>
      <c r="I120" s="272"/>
      <c r="J120" s="272"/>
      <c r="K120" s="17"/>
      <c r="L120" s="17"/>
      <c r="M120" s="17"/>
      <c r="N120" s="17"/>
      <c r="O120" s="186"/>
      <c r="P120" s="17"/>
    </row>
    <row r="121" ht="15.75" customHeight="1">
      <c r="A121" s="17"/>
      <c r="B121" s="270"/>
      <c r="C121" s="270"/>
      <c r="D121" s="271"/>
      <c r="E121" s="271"/>
      <c r="F121" s="271"/>
      <c r="G121" s="271"/>
      <c r="H121" s="271"/>
      <c r="I121" s="272"/>
      <c r="J121" s="272"/>
      <c r="K121" s="17"/>
      <c r="L121" s="17"/>
      <c r="M121" s="17"/>
      <c r="N121" s="17"/>
      <c r="O121" s="186"/>
      <c r="P121" s="17"/>
    </row>
    <row r="122" ht="15.75" customHeight="1">
      <c r="A122" s="17"/>
      <c r="B122" s="270"/>
      <c r="C122" s="270"/>
      <c r="D122" s="271"/>
      <c r="E122" s="271"/>
      <c r="F122" s="271"/>
      <c r="G122" s="271"/>
      <c r="H122" s="271"/>
      <c r="I122" s="272"/>
      <c r="J122" s="272"/>
      <c r="K122" s="17"/>
      <c r="L122" s="17"/>
      <c r="M122" s="17"/>
      <c r="N122" s="17"/>
      <c r="O122" s="186"/>
      <c r="P122" s="17"/>
    </row>
    <row r="123" ht="15.75" customHeight="1">
      <c r="A123" s="17"/>
      <c r="B123" s="270"/>
      <c r="C123" s="270"/>
      <c r="D123" s="271"/>
      <c r="E123" s="271"/>
      <c r="F123" s="271"/>
      <c r="G123" s="271"/>
      <c r="H123" s="271"/>
      <c r="I123" s="272"/>
      <c r="J123" s="272"/>
      <c r="K123" s="17"/>
      <c r="L123" s="17"/>
      <c r="M123" s="17"/>
      <c r="N123" s="17"/>
      <c r="O123" s="186"/>
      <c r="P123" s="17"/>
    </row>
    <row r="124" ht="15.75" customHeight="1">
      <c r="A124" s="17"/>
      <c r="B124" s="270"/>
      <c r="C124" s="270"/>
      <c r="D124" s="271"/>
      <c r="E124" s="271"/>
      <c r="F124" s="271"/>
      <c r="G124" s="271"/>
      <c r="H124" s="271"/>
      <c r="I124" s="272"/>
      <c r="J124" s="272"/>
      <c r="K124" s="17"/>
      <c r="L124" s="17"/>
      <c r="M124" s="17"/>
      <c r="N124" s="17"/>
      <c r="O124" s="186"/>
      <c r="P124" s="17"/>
    </row>
    <row r="125" ht="15.75" customHeight="1">
      <c r="A125" s="17"/>
      <c r="B125" s="270"/>
      <c r="C125" s="270"/>
      <c r="D125" s="271"/>
      <c r="E125" s="271"/>
      <c r="F125" s="271"/>
      <c r="G125" s="271"/>
      <c r="H125" s="271"/>
      <c r="I125" s="272"/>
      <c r="J125" s="272"/>
      <c r="K125" s="17"/>
      <c r="L125" s="17"/>
      <c r="M125" s="17"/>
      <c r="N125" s="17"/>
      <c r="O125" s="186"/>
      <c r="P125" s="17"/>
    </row>
    <row r="126" ht="15.75" customHeight="1">
      <c r="A126" s="17"/>
      <c r="B126" s="270"/>
      <c r="C126" s="270"/>
      <c r="D126" s="271"/>
      <c r="E126" s="271"/>
      <c r="F126" s="271"/>
      <c r="G126" s="271"/>
      <c r="H126" s="271"/>
      <c r="I126" s="272"/>
      <c r="J126" s="272"/>
      <c r="K126" s="17"/>
      <c r="L126" s="17"/>
      <c r="M126" s="17"/>
      <c r="N126" s="17"/>
      <c r="O126" s="186"/>
      <c r="P126" s="17"/>
    </row>
    <row r="127" ht="15.75" customHeight="1">
      <c r="A127" s="17"/>
      <c r="B127" s="270"/>
      <c r="C127" s="270"/>
      <c r="D127" s="271"/>
      <c r="E127" s="271"/>
      <c r="F127" s="271"/>
      <c r="G127" s="271"/>
      <c r="H127" s="271"/>
      <c r="I127" s="272"/>
      <c r="J127" s="272"/>
      <c r="K127" s="17"/>
      <c r="L127" s="17"/>
      <c r="M127" s="17"/>
      <c r="N127" s="17"/>
      <c r="O127" s="186"/>
      <c r="P127" s="17"/>
    </row>
    <row r="128" ht="15.75" customHeight="1">
      <c r="A128" s="17"/>
      <c r="B128" s="270"/>
      <c r="C128" s="270"/>
      <c r="D128" s="271"/>
      <c r="E128" s="271"/>
      <c r="F128" s="271"/>
      <c r="G128" s="271"/>
      <c r="H128" s="271"/>
      <c r="I128" s="272"/>
      <c r="J128" s="272"/>
      <c r="K128" s="17"/>
      <c r="L128" s="17"/>
      <c r="M128" s="17"/>
      <c r="N128" s="17"/>
      <c r="O128" s="186"/>
      <c r="P128" s="17"/>
    </row>
    <row r="129" ht="15.75" customHeight="1">
      <c r="A129" s="17"/>
      <c r="B129" s="270"/>
      <c r="C129" s="270"/>
      <c r="D129" s="271"/>
      <c r="E129" s="271"/>
      <c r="F129" s="271"/>
      <c r="G129" s="271"/>
      <c r="H129" s="271"/>
      <c r="I129" s="272"/>
      <c r="J129" s="272"/>
      <c r="K129" s="17"/>
      <c r="L129" s="17"/>
      <c r="M129" s="17"/>
      <c r="N129" s="17"/>
      <c r="O129" s="186"/>
      <c r="P129" s="17"/>
    </row>
    <row r="130" ht="15.75" customHeight="1">
      <c r="A130" s="17"/>
      <c r="B130" s="270"/>
      <c r="C130" s="270"/>
      <c r="D130" s="271"/>
      <c r="E130" s="271"/>
      <c r="F130" s="271"/>
      <c r="G130" s="271"/>
      <c r="H130" s="271"/>
      <c r="I130" s="272"/>
      <c r="J130" s="272"/>
      <c r="K130" s="17"/>
      <c r="L130" s="17"/>
      <c r="M130" s="17"/>
      <c r="N130" s="17"/>
      <c r="O130" s="186"/>
      <c r="P130" s="17"/>
    </row>
    <row r="131" ht="15.75" customHeight="1">
      <c r="A131" s="17"/>
      <c r="B131" s="270"/>
      <c r="C131" s="270"/>
      <c r="D131" s="271"/>
      <c r="E131" s="271"/>
      <c r="F131" s="271"/>
      <c r="G131" s="271"/>
      <c r="H131" s="271"/>
      <c r="I131" s="272"/>
      <c r="J131" s="272"/>
      <c r="K131" s="17"/>
      <c r="L131" s="17"/>
      <c r="M131" s="17"/>
      <c r="N131" s="17"/>
      <c r="O131" s="186"/>
      <c r="P131" s="17"/>
    </row>
    <row r="132" ht="15.75" customHeight="1">
      <c r="A132" s="17"/>
      <c r="B132" s="270"/>
      <c r="C132" s="270"/>
      <c r="D132" s="271"/>
      <c r="E132" s="271"/>
      <c r="F132" s="271"/>
      <c r="G132" s="271"/>
      <c r="H132" s="271"/>
      <c r="I132" s="272"/>
      <c r="J132" s="272"/>
      <c r="K132" s="17"/>
      <c r="L132" s="17"/>
      <c r="M132" s="17"/>
      <c r="N132" s="17"/>
      <c r="O132" s="186"/>
      <c r="P132" s="17"/>
    </row>
    <row r="133" ht="15.75" customHeight="1">
      <c r="A133" s="17"/>
      <c r="B133" s="270"/>
      <c r="C133" s="270"/>
      <c r="D133" s="271"/>
      <c r="E133" s="271"/>
      <c r="F133" s="271"/>
      <c r="G133" s="271"/>
      <c r="H133" s="271"/>
      <c r="I133" s="272"/>
      <c r="J133" s="272"/>
      <c r="K133" s="17"/>
      <c r="L133" s="17"/>
      <c r="M133" s="17"/>
      <c r="N133" s="17"/>
      <c r="O133" s="186"/>
      <c r="P133" s="17"/>
    </row>
    <row r="134" ht="15.75" customHeight="1">
      <c r="A134" s="17"/>
      <c r="B134" s="270"/>
      <c r="C134" s="270"/>
      <c r="D134" s="271"/>
      <c r="E134" s="271"/>
      <c r="F134" s="271"/>
      <c r="G134" s="271"/>
      <c r="H134" s="271"/>
      <c r="I134" s="272"/>
      <c r="J134" s="272"/>
      <c r="K134" s="17"/>
      <c r="L134" s="17"/>
      <c r="M134" s="17"/>
      <c r="N134" s="17"/>
      <c r="O134" s="186"/>
      <c r="P134" s="17"/>
    </row>
    <row r="135" ht="15.75" customHeight="1">
      <c r="A135" s="17"/>
      <c r="B135" s="270"/>
      <c r="C135" s="270"/>
      <c r="D135" s="271"/>
      <c r="E135" s="271"/>
      <c r="F135" s="271"/>
      <c r="G135" s="271"/>
      <c r="H135" s="271"/>
      <c r="I135" s="272"/>
      <c r="J135" s="272"/>
      <c r="K135" s="17"/>
      <c r="L135" s="17"/>
      <c r="M135" s="17"/>
      <c r="N135" s="17"/>
      <c r="O135" s="186"/>
      <c r="P135" s="17"/>
    </row>
    <row r="136" ht="15.75" customHeight="1">
      <c r="A136" s="17"/>
      <c r="B136" s="270"/>
      <c r="C136" s="270"/>
      <c r="D136" s="271"/>
      <c r="E136" s="271"/>
      <c r="F136" s="271"/>
      <c r="G136" s="271"/>
      <c r="H136" s="271"/>
      <c r="I136" s="272"/>
      <c r="J136" s="272"/>
      <c r="K136" s="17"/>
      <c r="L136" s="17"/>
      <c r="M136" s="17"/>
      <c r="N136" s="17"/>
      <c r="O136" s="186"/>
      <c r="P136" s="17"/>
    </row>
    <row r="137" ht="15.75" customHeight="1">
      <c r="A137" s="17"/>
      <c r="B137" s="270"/>
      <c r="C137" s="270"/>
      <c r="D137" s="271"/>
      <c r="E137" s="271"/>
      <c r="F137" s="271"/>
      <c r="G137" s="271"/>
      <c r="H137" s="271"/>
      <c r="I137" s="272"/>
      <c r="J137" s="272"/>
      <c r="K137" s="17"/>
      <c r="L137" s="17"/>
      <c r="M137" s="17"/>
      <c r="N137" s="17"/>
      <c r="O137" s="186"/>
      <c r="P137" s="17"/>
    </row>
    <row r="138" ht="15.75" customHeight="1">
      <c r="A138" s="17"/>
      <c r="B138" s="270"/>
      <c r="C138" s="270"/>
      <c r="D138" s="271"/>
      <c r="E138" s="271"/>
      <c r="F138" s="271"/>
      <c r="G138" s="271"/>
      <c r="H138" s="271"/>
      <c r="I138" s="272"/>
      <c r="J138" s="272"/>
      <c r="K138" s="17"/>
      <c r="L138" s="17"/>
      <c r="M138" s="17"/>
      <c r="N138" s="17"/>
      <c r="O138" s="186"/>
      <c r="P138" s="17"/>
    </row>
    <row r="139" ht="15.75" customHeight="1">
      <c r="A139" s="17"/>
      <c r="B139" s="270"/>
      <c r="C139" s="270"/>
      <c r="D139" s="271"/>
      <c r="E139" s="271"/>
      <c r="F139" s="271"/>
      <c r="G139" s="271"/>
      <c r="H139" s="271"/>
      <c r="I139" s="272"/>
      <c r="J139" s="272"/>
      <c r="K139" s="17"/>
      <c r="L139" s="17"/>
      <c r="M139" s="17"/>
      <c r="N139" s="17"/>
      <c r="O139" s="186"/>
      <c r="P139" s="17"/>
    </row>
    <row r="140" ht="15.75" customHeight="1">
      <c r="A140" s="17"/>
      <c r="B140" s="270"/>
      <c r="C140" s="270"/>
      <c r="D140" s="271"/>
      <c r="E140" s="271"/>
      <c r="F140" s="271"/>
      <c r="G140" s="271"/>
      <c r="H140" s="271"/>
      <c r="I140" s="272"/>
      <c r="J140" s="272"/>
      <c r="K140" s="17"/>
      <c r="L140" s="17"/>
      <c r="M140" s="17"/>
      <c r="N140" s="17"/>
      <c r="O140" s="186"/>
      <c r="P140" s="17"/>
    </row>
    <row r="141" ht="15.75" customHeight="1">
      <c r="A141" s="17"/>
      <c r="B141" s="270"/>
      <c r="C141" s="270"/>
      <c r="D141" s="271"/>
      <c r="E141" s="271"/>
      <c r="F141" s="271"/>
      <c r="G141" s="271"/>
      <c r="H141" s="271"/>
      <c r="I141" s="272"/>
      <c r="J141" s="272"/>
      <c r="K141" s="17"/>
      <c r="L141" s="17"/>
      <c r="M141" s="17"/>
      <c r="N141" s="17"/>
      <c r="O141" s="186"/>
      <c r="P141" s="17"/>
    </row>
    <row r="142" ht="15.75" customHeight="1">
      <c r="A142" s="17"/>
      <c r="B142" s="270"/>
      <c r="C142" s="270"/>
      <c r="D142" s="271"/>
      <c r="E142" s="271"/>
      <c r="F142" s="271"/>
      <c r="G142" s="271"/>
      <c r="H142" s="271"/>
      <c r="I142" s="272"/>
      <c r="J142" s="272"/>
      <c r="K142" s="17"/>
      <c r="L142" s="17"/>
      <c r="M142" s="17"/>
      <c r="N142" s="17"/>
      <c r="O142" s="186"/>
      <c r="P142" s="17"/>
    </row>
    <row r="143" ht="15.75" customHeight="1">
      <c r="A143" s="17"/>
      <c r="B143" s="270"/>
      <c r="C143" s="270"/>
      <c r="D143" s="271"/>
      <c r="E143" s="271"/>
      <c r="F143" s="271"/>
      <c r="G143" s="271"/>
      <c r="H143" s="271"/>
      <c r="I143" s="272"/>
      <c r="J143" s="272"/>
      <c r="K143" s="17"/>
      <c r="L143" s="17"/>
      <c r="M143" s="17"/>
      <c r="N143" s="17"/>
      <c r="O143" s="186"/>
      <c r="P143" s="17"/>
    </row>
    <row r="144" ht="15.75" customHeight="1">
      <c r="A144" s="17"/>
      <c r="B144" s="270"/>
      <c r="C144" s="270"/>
      <c r="D144" s="271"/>
      <c r="E144" s="271"/>
      <c r="F144" s="271"/>
      <c r="G144" s="271"/>
      <c r="H144" s="271"/>
      <c r="I144" s="272"/>
      <c r="J144" s="272"/>
      <c r="K144" s="17"/>
      <c r="L144" s="17"/>
      <c r="M144" s="17"/>
      <c r="N144" s="17"/>
      <c r="O144" s="186"/>
      <c r="P144" s="17"/>
    </row>
    <row r="145" ht="15.75" customHeight="1">
      <c r="A145" s="17"/>
      <c r="B145" s="270"/>
      <c r="C145" s="270"/>
      <c r="D145" s="271"/>
      <c r="E145" s="271"/>
      <c r="F145" s="271"/>
      <c r="G145" s="271"/>
      <c r="H145" s="271"/>
      <c r="I145" s="272"/>
      <c r="J145" s="272"/>
      <c r="K145" s="17"/>
      <c r="L145" s="17"/>
      <c r="M145" s="17"/>
      <c r="N145" s="17"/>
      <c r="O145" s="186"/>
      <c r="P145" s="17"/>
    </row>
    <row r="146" ht="15.75" customHeight="1">
      <c r="A146" s="17"/>
      <c r="B146" s="270"/>
      <c r="C146" s="270"/>
      <c r="D146" s="271"/>
      <c r="E146" s="271"/>
      <c r="F146" s="271"/>
      <c r="G146" s="271"/>
      <c r="H146" s="271"/>
      <c r="I146" s="272"/>
      <c r="J146" s="272"/>
      <c r="K146" s="17"/>
      <c r="L146" s="17"/>
      <c r="M146" s="17"/>
      <c r="N146" s="17"/>
      <c r="O146" s="186"/>
      <c r="P146" s="17"/>
    </row>
    <row r="147" ht="15.75" customHeight="1">
      <c r="A147" s="17"/>
      <c r="B147" s="270"/>
      <c r="C147" s="270"/>
      <c r="D147" s="271"/>
      <c r="E147" s="271"/>
      <c r="F147" s="271"/>
      <c r="G147" s="271"/>
      <c r="H147" s="271"/>
      <c r="I147" s="272"/>
      <c r="J147" s="272"/>
      <c r="K147" s="17"/>
      <c r="L147" s="17"/>
      <c r="M147" s="17"/>
      <c r="N147" s="17"/>
      <c r="O147" s="186"/>
      <c r="P147" s="17"/>
    </row>
    <row r="148" ht="15.75" customHeight="1">
      <c r="A148" s="17"/>
      <c r="B148" s="270"/>
      <c r="C148" s="270"/>
      <c r="D148" s="271"/>
      <c r="E148" s="271"/>
      <c r="F148" s="271"/>
      <c r="G148" s="271"/>
      <c r="H148" s="271"/>
      <c r="I148" s="272"/>
      <c r="J148" s="272"/>
      <c r="K148" s="17"/>
      <c r="L148" s="17"/>
      <c r="M148" s="17"/>
      <c r="N148" s="17"/>
      <c r="O148" s="186"/>
      <c r="P148" s="17"/>
    </row>
    <row r="149" ht="15.75" customHeight="1">
      <c r="A149" s="17"/>
      <c r="B149" s="270"/>
      <c r="C149" s="270"/>
      <c r="D149" s="271"/>
      <c r="E149" s="271"/>
      <c r="F149" s="271"/>
      <c r="G149" s="271"/>
      <c r="H149" s="271"/>
      <c r="I149" s="272"/>
      <c r="J149" s="272"/>
      <c r="K149" s="17"/>
      <c r="L149" s="17"/>
      <c r="M149" s="17"/>
      <c r="N149" s="17"/>
      <c r="O149" s="186"/>
      <c r="P149" s="17"/>
    </row>
    <row r="150" ht="15.75" customHeight="1">
      <c r="A150" s="17"/>
      <c r="B150" s="270"/>
      <c r="C150" s="270"/>
      <c r="D150" s="271"/>
      <c r="E150" s="271"/>
      <c r="F150" s="271"/>
      <c r="G150" s="271"/>
      <c r="H150" s="271"/>
      <c r="I150" s="272"/>
      <c r="J150" s="272"/>
      <c r="K150" s="17"/>
      <c r="L150" s="17"/>
      <c r="M150" s="17"/>
      <c r="N150" s="17"/>
      <c r="O150" s="186"/>
      <c r="P150" s="17"/>
    </row>
    <row r="151" ht="15.75" customHeight="1">
      <c r="A151" s="17"/>
      <c r="B151" s="270"/>
      <c r="C151" s="270"/>
      <c r="D151" s="271"/>
      <c r="E151" s="271"/>
      <c r="F151" s="271"/>
      <c r="G151" s="271"/>
      <c r="H151" s="271"/>
      <c r="I151" s="272"/>
      <c r="J151" s="272"/>
      <c r="K151" s="17"/>
      <c r="L151" s="17"/>
      <c r="M151" s="17"/>
      <c r="N151" s="17"/>
      <c r="O151" s="186"/>
      <c r="P151" s="17"/>
    </row>
    <row r="152" ht="15.75" customHeight="1">
      <c r="A152" s="17"/>
      <c r="B152" s="270"/>
      <c r="C152" s="270"/>
      <c r="D152" s="271"/>
      <c r="E152" s="271"/>
      <c r="F152" s="271"/>
      <c r="G152" s="271"/>
      <c r="H152" s="271"/>
      <c r="I152" s="272"/>
      <c r="J152" s="272"/>
      <c r="K152" s="17"/>
      <c r="L152" s="17"/>
      <c r="M152" s="17"/>
      <c r="N152" s="17"/>
      <c r="O152" s="186"/>
      <c r="P152" s="17"/>
    </row>
    <row r="153" ht="15.75" customHeight="1">
      <c r="A153" s="17"/>
      <c r="B153" s="270"/>
      <c r="C153" s="270"/>
      <c r="D153" s="271"/>
      <c r="E153" s="271"/>
      <c r="F153" s="271"/>
      <c r="G153" s="271"/>
      <c r="H153" s="271"/>
      <c r="I153" s="272"/>
      <c r="J153" s="272"/>
      <c r="K153" s="17"/>
      <c r="L153" s="17"/>
      <c r="M153" s="17"/>
      <c r="N153" s="17"/>
      <c r="O153" s="186"/>
      <c r="P153" s="17"/>
    </row>
    <row r="154" ht="15.75" customHeight="1">
      <c r="A154" s="17"/>
      <c r="B154" s="270"/>
      <c r="C154" s="270"/>
      <c r="D154" s="271"/>
      <c r="E154" s="271"/>
      <c r="F154" s="271"/>
      <c r="G154" s="271"/>
      <c r="H154" s="271"/>
      <c r="I154" s="272"/>
      <c r="J154" s="272"/>
      <c r="K154" s="17"/>
      <c r="L154" s="17"/>
      <c r="M154" s="17"/>
      <c r="N154" s="17"/>
      <c r="O154" s="186"/>
      <c r="P154" s="17"/>
    </row>
    <row r="155" ht="15.75" customHeight="1">
      <c r="A155" s="17"/>
      <c r="B155" s="270"/>
      <c r="C155" s="270"/>
      <c r="D155" s="271"/>
      <c r="E155" s="271"/>
      <c r="F155" s="271"/>
      <c r="G155" s="271"/>
      <c r="H155" s="271"/>
      <c r="I155" s="272"/>
      <c r="J155" s="272"/>
      <c r="K155" s="17"/>
      <c r="L155" s="17"/>
      <c r="M155" s="17"/>
      <c r="N155" s="17"/>
      <c r="O155" s="186"/>
      <c r="P155" s="17"/>
    </row>
    <row r="156" ht="15.75" customHeight="1">
      <c r="A156" s="17"/>
      <c r="B156" s="270"/>
      <c r="C156" s="270"/>
      <c r="D156" s="271"/>
      <c r="E156" s="271"/>
      <c r="F156" s="271"/>
      <c r="G156" s="271"/>
      <c r="H156" s="271"/>
      <c r="I156" s="272"/>
      <c r="J156" s="272"/>
      <c r="K156" s="17"/>
      <c r="L156" s="17"/>
      <c r="M156" s="17"/>
      <c r="N156" s="17"/>
      <c r="O156" s="186"/>
      <c r="P156" s="17"/>
    </row>
    <row r="157" ht="15.75" customHeight="1">
      <c r="A157" s="17"/>
      <c r="B157" s="270"/>
      <c r="C157" s="270"/>
      <c r="D157" s="271"/>
      <c r="E157" s="271"/>
      <c r="F157" s="271"/>
      <c r="G157" s="271"/>
      <c r="H157" s="271"/>
      <c r="I157" s="272"/>
      <c r="J157" s="272"/>
      <c r="K157" s="17"/>
      <c r="L157" s="17"/>
      <c r="M157" s="17"/>
      <c r="N157" s="17"/>
      <c r="O157" s="186"/>
      <c r="P157" s="17"/>
    </row>
    <row r="158" ht="15.75" customHeight="1">
      <c r="A158" s="17"/>
      <c r="B158" s="270"/>
      <c r="C158" s="270"/>
      <c r="D158" s="271"/>
      <c r="E158" s="271"/>
      <c r="F158" s="271"/>
      <c r="G158" s="271"/>
      <c r="H158" s="271"/>
      <c r="I158" s="272"/>
      <c r="J158" s="272"/>
      <c r="K158" s="17"/>
      <c r="L158" s="17"/>
      <c r="M158" s="17"/>
      <c r="N158" s="17"/>
      <c r="O158" s="186"/>
      <c r="P158" s="17"/>
    </row>
    <row r="159" ht="15.75" customHeight="1">
      <c r="A159" s="17"/>
      <c r="B159" s="270"/>
      <c r="C159" s="270"/>
      <c r="D159" s="271"/>
      <c r="E159" s="271"/>
      <c r="F159" s="271"/>
      <c r="G159" s="271"/>
      <c r="H159" s="271"/>
      <c r="I159" s="272"/>
      <c r="J159" s="272"/>
      <c r="K159" s="17"/>
      <c r="L159" s="17"/>
      <c r="M159" s="17"/>
      <c r="N159" s="17"/>
      <c r="O159" s="186"/>
      <c r="P159" s="17"/>
    </row>
    <row r="160" ht="15.75" customHeight="1">
      <c r="A160" s="17"/>
      <c r="B160" s="270"/>
      <c r="C160" s="270"/>
      <c r="D160" s="271"/>
      <c r="E160" s="271"/>
      <c r="F160" s="271"/>
      <c r="G160" s="271"/>
      <c r="H160" s="271"/>
      <c r="I160" s="272"/>
      <c r="J160" s="272"/>
      <c r="K160" s="17"/>
      <c r="L160" s="17"/>
      <c r="M160" s="17"/>
      <c r="N160" s="17"/>
      <c r="O160" s="186"/>
      <c r="P160" s="17"/>
    </row>
    <row r="161" ht="15.75" customHeight="1">
      <c r="A161" s="17"/>
      <c r="B161" s="270"/>
      <c r="C161" s="270"/>
      <c r="D161" s="271"/>
      <c r="E161" s="271"/>
      <c r="F161" s="271"/>
      <c r="G161" s="271"/>
      <c r="H161" s="271"/>
      <c r="I161" s="272"/>
      <c r="J161" s="272"/>
      <c r="K161" s="17"/>
      <c r="L161" s="17"/>
      <c r="M161" s="17"/>
      <c r="N161" s="17"/>
      <c r="O161" s="186"/>
      <c r="P161" s="17"/>
    </row>
    <row r="162" ht="15.75" customHeight="1">
      <c r="A162" s="17"/>
      <c r="B162" s="270"/>
      <c r="C162" s="270"/>
      <c r="D162" s="271"/>
      <c r="E162" s="271"/>
      <c r="F162" s="271"/>
      <c r="G162" s="271"/>
      <c r="H162" s="271"/>
      <c r="I162" s="272"/>
      <c r="J162" s="272"/>
      <c r="K162" s="17"/>
      <c r="L162" s="17"/>
      <c r="M162" s="17"/>
      <c r="N162" s="17"/>
      <c r="O162" s="186"/>
      <c r="P162" s="17"/>
    </row>
    <row r="163" ht="15.75" customHeight="1">
      <c r="A163" s="17"/>
      <c r="B163" s="270"/>
      <c r="C163" s="270"/>
      <c r="D163" s="271"/>
      <c r="E163" s="271"/>
      <c r="F163" s="271"/>
      <c r="G163" s="271"/>
      <c r="H163" s="271"/>
      <c r="I163" s="272"/>
      <c r="J163" s="272"/>
      <c r="K163" s="17"/>
      <c r="L163" s="17"/>
      <c r="M163" s="17"/>
      <c r="N163" s="17"/>
      <c r="O163" s="186"/>
      <c r="P163" s="17"/>
    </row>
    <row r="164" ht="15.75" customHeight="1">
      <c r="A164" s="17"/>
      <c r="B164" s="270"/>
      <c r="C164" s="270"/>
      <c r="D164" s="271"/>
      <c r="E164" s="271"/>
      <c r="F164" s="271"/>
      <c r="G164" s="271"/>
      <c r="H164" s="271"/>
      <c r="I164" s="272"/>
      <c r="J164" s="272"/>
      <c r="K164" s="17"/>
      <c r="L164" s="17"/>
      <c r="M164" s="17"/>
      <c r="N164" s="17"/>
      <c r="O164" s="186"/>
      <c r="P164" s="17"/>
    </row>
    <row r="165" ht="15.75" customHeight="1">
      <c r="A165" s="17"/>
      <c r="B165" s="270"/>
      <c r="C165" s="270"/>
      <c r="D165" s="271"/>
      <c r="E165" s="271"/>
      <c r="F165" s="271"/>
      <c r="G165" s="271"/>
      <c r="H165" s="271"/>
      <c r="I165" s="272"/>
      <c r="J165" s="272"/>
      <c r="K165" s="17"/>
      <c r="L165" s="17"/>
      <c r="M165" s="17"/>
      <c r="N165" s="17"/>
      <c r="O165" s="186"/>
      <c r="P165" s="17"/>
    </row>
    <row r="166" ht="15.75" customHeight="1">
      <c r="A166" s="17"/>
      <c r="B166" s="270"/>
      <c r="C166" s="270"/>
      <c r="D166" s="271"/>
      <c r="E166" s="271"/>
      <c r="F166" s="271"/>
      <c r="G166" s="271"/>
      <c r="H166" s="271"/>
      <c r="I166" s="272"/>
      <c r="J166" s="272"/>
      <c r="K166" s="17"/>
      <c r="L166" s="17"/>
      <c r="M166" s="17"/>
      <c r="N166" s="17"/>
      <c r="O166" s="186"/>
      <c r="P166" s="17"/>
    </row>
    <row r="167" ht="15.75" customHeight="1">
      <c r="A167" s="17"/>
      <c r="B167" s="270"/>
      <c r="C167" s="270"/>
      <c r="D167" s="271"/>
      <c r="E167" s="271"/>
      <c r="F167" s="271"/>
      <c r="G167" s="271"/>
      <c r="H167" s="271"/>
      <c r="I167" s="272"/>
      <c r="J167" s="272"/>
      <c r="K167" s="17"/>
      <c r="L167" s="17"/>
      <c r="M167" s="17"/>
      <c r="N167" s="17"/>
      <c r="O167" s="186"/>
      <c r="P167" s="17"/>
    </row>
    <row r="168" ht="15.75" customHeight="1">
      <c r="A168" s="17"/>
      <c r="B168" s="270"/>
      <c r="C168" s="270"/>
      <c r="D168" s="271"/>
      <c r="E168" s="271"/>
      <c r="F168" s="271"/>
      <c r="G168" s="271"/>
      <c r="H168" s="271"/>
      <c r="I168" s="272"/>
      <c r="J168" s="272"/>
      <c r="K168" s="17"/>
      <c r="L168" s="17"/>
      <c r="M168" s="17"/>
      <c r="N168" s="17"/>
      <c r="O168" s="186"/>
      <c r="P168" s="17"/>
    </row>
    <row r="169" ht="15.75" customHeight="1">
      <c r="A169" s="17"/>
      <c r="B169" s="270"/>
      <c r="C169" s="270"/>
      <c r="D169" s="271"/>
      <c r="E169" s="271"/>
      <c r="F169" s="271"/>
      <c r="G169" s="271"/>
      <c r="H169" s="271"/>
      <c r="I169" s="272"/>
      <c r="J169" s="272"/>
      <c r="K169" s="17"/>
      <c r="L169" s="17"/>
      <c r="M169" s="17"/>
      <c r="N169" s="17"/>
      <c r="O169" s="186"/>
      <c r="P169" s="17"/>
    </row>
    <row r="170" ht="15.75" customHeight="1">
      <c r="A170" s="17"/>
      <c r="B170" s="270"/>
      <c r="C170" s="270"/>
      <c r="D170" s="271"/>
      <c r="E170" s="271"/>
      <c r="F170" s="271"/>
      <c r="G170" s="271"/>
      <c r="H170" s="271"/>
      <c r="I170" s="272"/>
      <c r="J170" s="272"/>
      <c r="K170" s="17"/>
      <c r="L170" s="17"/>
      <c r="M170" s="17"/>
      <c r="N170" s="17"/>
      <c r="O170" s="186"/>
      <c r="P170" s="17"/>
    </row>
    <row r="171" ht="15.75" customHeight="1">
      <c r="A171" s="17"/>
      <c r="B171" s="270"/>
      <c r="C171" s="270"/>
      <c r="D171" s="271"/>
      <c r="E171" s="271"/>
      <c r="F171" s="271"/>
      <c r="G171" s="271"/>
      <c r="H171" s="271"/>
      <c r="I171" s="272"/>
      <c r="J171" s="272"/>
      <c r="K171" s="17"/>
      <c r="L171" s="17"/>
      <c r="M171" s="17"/>
      <c r="N171" s="17"/>
      <c r="O171" s="186"/>
      <c r="P171" s="17"/>
    </row>
    <row r="172" ht="15.75" customHeight="1">
      <c r="A172" s="17"/>
      <c r="B172" s="270"/>
      <c r="C172" s="270"/>
      <c r="D172" s="271"/>
      <c r="E172" s="271"/>
      <c r="F172" s="271"/>
      <c r="G172" s="271"/>
      <c r="H172" s="271"/>
      <c r="I172" s="272"/>
      <c r="J172" s="272"/>
      <c r="K172" s="17"/>
      <c r="L172" s="17"/>
      <c r="M172" s="17"/>
      <c r="N172" s="17"/>
      <c r="O172" s="186"/>
      <c r="P172" s="17"/>
    </row>
    <row r="173" ht="15.75" customHeight="1">
      <c r="A173" s="17"/>
      <c r="B173" s="270"/>
      <c r="C173" s="270"/>
      <c r="D173" s="271"/>
      <c r="E173" s="271"/>
      <c r="F173" s="271"/>
      <c r="G173" s="271"/>
      <c r="H173" s="271"/>
      <c r="I173" s="272"/>
      <c r="J173" s="272"/>
      <c r="K173" s="17"/>
      <c r="L173" s="17"/>
      <c r="M173" s="17"/>
      <c r="N173" s="17"/>
      <c r="O173" s="186"/>
      <c r="P173" s="17"/>
    </row>
    <row r="174" ht="15.75" customHeight="1">
      <c r="A174" s="17"/>
      <c r="B174" s="270"/>
      <c r="C174" s="270"/>
      <c r="D174" s="271"/>
      <c r="E174" s="271"/>
      <c r="F174" s="271"/>
      <c r="G174" s="271"/>
      <c r="H174" s="271"/>
      <c r="I174" s="272"/>
      <c r="J174" s="272"/>
      <c r="K174" s="17"/>
      <c r="L174" s="17"/>
      <c r="M174" s="17"/>
      <c r="N174" s="17"/>
      <c r="O174" s="186"/>
      <c r="P174" s="17"/>
    </row>
    <row r="175" ht="15.75" customHeight="1">
      <c r="A175" s="17"/>
      <c r="B175" s="270"/>
      <c r="C175" s="270"/>
      <c r="D175" s="271"/>
      <c r="E175" s="271"/>
      <c r="F175" s="271"/>
      <c r="G175" s="271"/>
      <c r="H175" s="271"/>
      <c r="I175" s="272"/>
      <c r="J175" s="272"/>
      <c r="K175" s="17"/>
      <c r="L175" s="17"/>
      <c r="M175" s="17"/>
      <c r="N175" s="17"/>
      <c r="O175" s="186"/>
      <c r="P175" s="17"/>
    </row>
    <row r="176" ht="15.75" customHeight="1">
      <c r="A176" s="17"/>
      <c r="B176" s="270"/>
      <c r="C176" s="270"/>
      <c r="D176" s="271"/>
      <c r="E176" s="271"/>
      <c r="F176" s="271"/>
      <c r="G176" s="271"/>
      <c r="H176" s="271"/>
      <c r="I176" s="272"/>
      <c r="J176" s="272"/>
      <c r="K176" s="17"/>
      <c r="L176" s="17"/>
      <c r="M176" s="17"/>
      <c r="N176" s="17"/>
      <c r="O176" s="186"/>
      <c r="P176" s="17"/>
    </row>
    <row r="177" ht="15.75" customHeight="1">
      <c r="A177" s="17"/>
      <c r="B177" s="270"/>
      <c r="C177" s="270"/>
      <c r="D177" s="271"/>
      <c r="E177" s="271"/>
      <c r="F177" s="271"/>
      <c r="G177" s="271"/>
      <c r="H177" s="271"/>
      <c r="I177" s="272"/>
      <c r="J177" s="272"/>
      <c r="K177" s="17"/>
      <c r="L177" s="17"/>
      <c r="M177" s="17"/>
      <c r="N177" s="17"/>
      <c r="O177" s="186"/>
      <c r="P177" s="17"/>
    </row>
    <row r="178" ht="15.75" customHeight="1">
      <c r="A178" s="17"/>
      <c r="B178" s="270"/>
      <c r="C178" s="270"/>
      <c r="D178" s="271"/>
      <c r="E178" s="271"/>
      <c r="F178" s="271"/>
      <c r="G178" s="271"/>
      <c r="H178" s="271"/>
      <c r="I178" s="272"/>
      <c r="J178" s="272"/>
      <c r="K178" s="17"/>
      <c r="L178" s="17"/>
      <c r="M178" s="17"/>
      <c r="N178" s="17"/>
      <c r="O178" s="186"/>
      <c r="P178" s="17"/>
    </row>
    <row r="179" ht="15.75" customHeight="1">
      <c r="A179" s="17"/>
      <c r="B179" s="270"/>
      <c r="C179" s="270"/>
      <c r="D179" s="271"/>
      <c r="E179" s="271"/>
      <c r="F179" s="271"/>
      <c r="G179" s="271"/>
      <c r="H179" s="271"/>
      <c r="I179" s="272"/>
      <c r="J179" s="272"/>
      <c r="K179" s="17"/>
      <c r="L179" s="17"/>
      <c r="M179" s="17"/>
      <c r="N179" s="17"/>
      <c r="O179" s="186"/>
      <c r="P179" s="17"/>
    </row>
    <row r="180" ht="15.75" customHeight="1">
      <c r="A180" s="17"/>
      <c r="B180" s="270"/>
      <c r="C180" s="270"/>
      <c r="D180" s="271"/>
      <c r="E180" s="271"/>
      <c r="F180" s="271"/>
      <c r="G180" s="271"/>
      <c r="H180" s="271"/>
      <c r="I180" s="272"/>
      <c r="J180" s="272"/>
      <c r="K180" s="17"/>
      <c r="L180" s="17"/>
      <c r="M180" s="17"/>
      <c r="N180" s="17"/>
      <c r="O180" s="186"/>
      <c r="P180" s="17"/>
    </row>
    <row r="181" ht="15.75" customHeight="1">
      <c r="A181" s="17"/>
      <c r="B181" s="270"/>
      <c r="C181" s="270"/>
      <c r="D181" s="271"/>
      <c r="E181" s="271"/>
      <c r="F181" s="271"/>
      <c r="G181" s="271"/>
      <c r="H181" s="271"/>
      <c r="I181" s="272"/>
      <c r="J181" s="272"/>
      <c r="K181" s="17"/>
      <c r="L181" s="17"/>
      <c r="M181" s="17"/>
      <c r="N181" s="17"/>
      <c r="O181" s="186"/>
      <c r="P181" s="17"/>
    </row>
    <row r="182" ht="15.75" customHeight="1">
      <c r="A182" s="17"/>
      <c r="B182" s="270"/>
      <c r="C182" s="270"/>
      <c r="D182" s="271"/>
      <c r="E182" s="271"/>
      <c r="F182" s="271"/>
      <c r="G182" s="271"/>
      <c r="H182" s="271"/>
      <c r="I182" s="272"/>
      <c r="J182" s="272"/>
      <c r="K182" s="17"/>
      <c r="L182" s="17"/>
      <c r="M182" s="17"/>
      <c r="N182" s="17"/>
      <c r="O182" s="186"/>
      <c r="P182" s="17"/>
    </row>
    <row r="183" ht="15.75" customHeight="1">
      <c r="A183" s="17"/>
      <c r="B183" s="270"/>
      <c r="C183" s="270"/>
      <c r="D183" s="271"/>
      <c r="E183" s="271"/>
      <c r="F183" s="271"/>
      <c r="G183" s="271"/>
      <c r="H183" s="271"/>
      <c r="I183" s="272"/>
      <c r="J183" s="272"/>
      <c r="K183" s="17"/>
      <c r="L183" s="17"/>
      <c r="M183" s="17"/>
      <c r="N183" s="17"/>
      <c r="O183" s="186"/>
      <c r="P183" s="17"/>
    </row>
    <row r="184" ht="15.75" customHeight="1">
      <c r="A184" s="17"/>
      <c r="B184" s="270"/>
      <c r="C184" s="270"/>
      <c r="D184" s="271"/>
      <c r="E184" s="271"/>
      <c r="F184" s="271"/>
      <c r="G184" s="271"/>
      <c r="H184" s="271"/>
      <c r="I184" s="272"/>
      <c r="J184" s="272"/>
      <c r="K184" s="17"/>
      <c r="L184" s="17"/>
      <c r="M184" s="17"/>
      <c r="N184" s="17"/>
      <c r="O184" s="186"/>
      <c r="P184" s="17"/>
    </row>
    <row r="185" ht="15.75" customHeight="1">
      <c r="A185" s="17"/>
      <c r="B185" s="270"/>
      <c r="C185" s="270"/>
      <c r="D185" s="271"/>
      <c r="E185" s="271"/>
      <c r="F185" s="271"/>
      <c r="G185" s="271"/>
      <c r="H185" s="271"/>
      <c r="I185" s="272"/>
      <c r="J185" s="272"/>
      <c r="K185" s="17"/>
      <c r="L185" s="17"/>
      <c r="M185" s="17"/>
      <c r="N185" s="17"/>
      <c r="O185" s="186"/>
      <c r="P185" s="17"/>
    </row>
    <row r="186" ht="15.75" customHeight="1">
      <c r="A186" s="17"/>
      <c r="B186" s="270"/>
      <c r="C186" s="270"/>
      <c r="D186" s="271"/>
      <c r="E186" s="271"/>
      <c r="F186" s="271"/>
      <c r="G186" s="271"/>
      <c r="H186" s="271"/>
      <c r="I186" s="272"/>
      <c r="J186" s="272"/>
      <c r="K186" s="17"/>
      <c r="L186" s="17"/>
      <c r="M186" s="17"/>
      <c r="N186" s="17"/>
      <c r="O186" s="186"/>
      <c r="P186" s="17"/>
    </row>
    <row r="187" ht="15.75" customHeight="1">
      <c r="A187" s="17"/>
      <c r="B187" s="270"/>
      <c r="C187" s="270"/>
      <c r="D187" s="271"/>
      <c r="E187" s="271"/>
      <c r="F187" s="271"/>
      <c r="G187" s="271"/>
      <c r="H187" s="271"/>
      <c r="I187" s="272"/>
      <c r="J187" s="272"/>
      <c r="K187" s="17"/>
      <c r="L187" s="17"/>
      <c r="M187" s="17"/>
      <c r="N187" s="17"/>
      <c r="O187" s="186"/>
      <c r="P187" s="17"/>
    </row>
    <row r="188" ht="15.75" customHeight="1">
      <c r="A188" s="17"/>
      <c r="B188" s="270"/>
      <c r="C188" s="270"/>
      <c r="D188" s="271"/>
      <c r="E188" s="271"/>
      <c r="F188" s="271"/>
      <c r="G188" s="271"/>
      <c r="H188" s="271"/>
      <c r="I188" s="272"/>
      <c r="J188" s="272"/>
      <c r="K188" s="17"/>
      <c r="L188" s="17"/>
      <c r="M188" s="17"/>
      <c r="N188" s="17"/>
      <c r="O188" s="186"/>
      <c r="P188" s="17"/>
    </row>
    <row r="189" ht="15.75" customHeight="1">
      <c r="A189" s="17"/>
      <c r="B189" s="270"/>
      <c r="C189" s="270"/>
      <c r="D189" s="271"/>
      <c r="E189" s="271"/>
      <c r="F189" s="271"/>
      <c r="G189" s="271"/>
      <c r="H189" s="271"/>
      <c r="I189" s="272"/>
      <c r="J189" s="272"/>
      <c r="K189" s="17"/>
      <c r="L189" s="17"/>
      <c r="M189" s="17"/>
      <c r="N189" s="17"/>
      <c r="O189" s="186"/>
      <c r="P189" s="17"/>
    </row>
    <row r="190" ht="15.75" customHeight="1">
      <c r="A190" s="17"/>
      <c r="B190" s="270"/>
      <c r="C190" s="270"/>
      <c r="D190" s="271"/>
      <c r="E190" s="271"/>
      <c r="F190" s="271"/>
      <c r="G190" s="271"/>
      <c r="H190" s="271"/>
      <c r="I190" s="272"/>
      <c r="J190" s="272"/>
      <c r="K190" s="17"/>
      <c r="L190" s="17"/>
      <c r="M190" s="17"/>
      <c r="N190" s="17"/>
      <c r="O190" s="186"/>
      <c r="P190" s="17"/>
    </row>
    <row r="191" ht="15.75" customHeight="1">
      <c r="A191" s="17"/>
      <c r="B191" s="270"/>
      <c r="C191" s="270"/>
      <c r="D191" s="271"/>
      <c r="E191" s="271"/>
      <c r="F191" s="271"/>
      <c r="G191" s="271"/>
      <c r="H191" s="271"/>
      <c r="I191" s="272"/>
      <c r="J191" s="272"/>
      <c r="K191" s="17"/>
      <c r="L191" s="17"/>
      <c r="M191" s="17"/>
      <c r="N191" s="17"/>
      <c r="O191" s="186"/>
      <c r="P191" s="17"/>
    </row>
    <row r="192" ht="15.75" customHeight="1">
      <c r="A192" s="17"/>
      <c r="B192" s="270"/>
      <c r="C192" s="270"/>
      <c r="D192" s="271"/>
      <c r="E192" s="271"/>
      <c r="F192" s="271"/>
      <c r="G192" s="271"/>
      <c r="H192" s="271"/>
      <c r="I192" s="272"/>
      <c r="J192" s="272"/>
      <c r="K192" s="17"/>
      <c r="L192" s="17"/>
      <c r="M192" s="17"/>
      <c r="N192" s="17"/>
      <c r="O192" s="186"/>
      <c r="P192" s="17"/>
    </row>
    <row r="193" ht="15.75" customHeight="1">
      <c r="A193" s="17"/>
      <c r="B193" s="270"/>
      <c r="C193" s="270"/>
      <c r="D193" s="271"/>
      <c r="E193" s="271"/>
      <c r="F193" s="271"/>
      <c r="G193" s="271"/>
      <c r="H193" s="271"/>
      <c r="I193" s="272"/>
      <c r="J193" s="272"/>
      <c r="K193" s="17"/>
      <c r="L193" s="17"/>
      <c r="M193" s="17"/>
      <c r="N193" s="17"/>
      <c r="O193" s="186"/>
      <c r="P193" s="17"/>
    </row>
    <row r="194" ht="15.75" customHeight="1">
      <c r="A194" s="17"/>
      <c r="B194" s="270"/>
      <c r="C194" s="270"/>
      <c r="D194" s="271"/>
      <c r="E194" s="271"/>
      <c r="F194" s="271"/>
      <c r="G194" s="271"/>
      <c r="H194" s="271"/>
      <c r="I194" s="272"/>
      <c r="J194" s="272"/>
      <c r="K194" s="17"/>
      <c r="L194" s="17"/>
      <c r="M194" s="17"/>
      <c r="N194" s="17"/>
      <c r="O194" s="186"/>
      <c r="P194" s="17"/>
    </row>
    <row r="195" ht="15.75" customHeight="1">
      <c r="A195" s="17"/>
      <c r="B195" s="270"/>
      <c r="C195" s="270"/>
      <c r="D195" s="271"/>
      <c r="E195" s="271"/>
      <c r="F195" s="271"/>
      <c r="G195" s="271"/>
      <c r="H195" s="271"/>
      <c r="I195" s="272"/>
      <c r="J195" s="272"/>
      <c r="K195" s="17"/>
      <c r="L195" s="17"/>
      <c r="M195" s="17"/>
      <c r="N195" s="17"/>
      <c r="O195" s="186"/>
      <c r="P195" s="17"/>
    </row>
    <row r="196" ht="15.75" customHeight="1">
      <c r="A196" s="17"/>
      <c r="B196" s="270"/>
      <c r="C196" s="270"/>
      <c r="D196" s="271"/>
      <c r="E196" s="271"/>
      <c r="F196" s="271"/>
      <c r="G196" s="271"/>
      <c r="H196" s="271"/>
      <c r="I196" s="272"/>
      <c r="J196" s="272"/>
      <c r="K196" s="17"/>
      <c r="L196" s="17"/>
      <c r="M196" s="17"/>
      <c r="N196" s="17"/>
      <c r="O196" s="186"/>
      <c r="P196" s="17"/>
    </row>
    <row r="197" ht="15.75" customHeight="1">
      <c r="A197" s="17"/>
      <c r="B197" s="270"/>
      <c r="C197" s="270"/>
      <c r="D197" s="271"/>
      <c r="E197" s="271"/>
      <c r="F197" s="271"/>
      <c r="G197" s="271"/>
      <c r="H197" s="271"/>
      <c r="I197" s="272"/>
      <c r="J197" s="272"/>
      <c r="K197" s="17"/>
      <c r="L197" s="17"/>
      <c r="M197" s="17"/>
      <c r="N197" s="17"/>
      <c r="O197" s="186"/>
      <c r="P197" s="17"/>
    </row>
    <row r="198" ht="15.75" customHeight="1">
      <c r="A198" s="17"/>
      <c r="B198" s="270"/>
      <c r="C198" s="270"/>
      <c r="D198" s="271"/>
      <c r="E198" s="271"/>
      <c r="F198" s="271"/>
      <c r="G198" s="271"/>
      <c r="H198" s="271"/>
      <c r="I198" s="272"/>
      <c r="J198" s="272"/>
      <c r="K198" s="17"/>
      <c r="L198" s="17"/>
      <c r="M198" s="17"/>
      <c r="N198" s="17"/>
      <c r="O198" s="186"/>
      <c r="P198" s="17"/>
    </row>
    <row r="199" ht="15.75" customHeight="1">
      <c r="A199" s="17"/>
      <c r="B199" s="270"/>
      <c r="C199" s="270"/>
      <c r="D199" s="271"/>
      <c r="E199" s="271"/>
      <c r="F199" s="271"/>
      <c r="G199" s="271"/>
      <c r="H199" s="271"/>
      <c r="I199" s="272"/>
      <c r="J199" s="272"/>
      <c r="K199" s="17"/>
      <c r="L199" s="17"/>
      <c r="M199" s="17"/>
      <c r="N199" s="17"/>
      <c r="O199" s="186"/>
      <c r="P199" s="17"/>
    </row>
    <row r="200" ht="15.75" customHeight="1">
      <c r="A200" s="17"/>
      <c r="B200" s="270"/>
      <c r="C200" s="270"/>
      <c r="D200" s="271"/>
      <c r="E200" s="271"/>
      <c r="F200" s="271"/>
      <c r="G200" s="271"/>
      <c r="H200" s="271"/>
      <c r="I200" s="272"/>
      <c r="J200" s="272"/>
      <c r="K200" s="17"/>
      <c r="L200" s="17"/>
      <c r="M200" s="17"/>
      <c r="N200" s="17"/>
      <c r="O200" s="186"/>
      <c r="P200" s="17"/>
    </row>
    <row r="201" ht="15.75" customHeight="1">
      <c r="A201" s="17"/>
      <c r="B201" s="270"/>
      <c r="C201" s="270"/>
      <c r="D201" s="271"/>
      <c r="E201" s="271"/>
      <c r="F201" s="271"/>
      <c r="G201" s="271"/>
      <c r="H201" s="271"/>
      <c r="I201" s="272"/>
      <c r="J201" s="272"/>
      <c r="K201" s="17"/>
      <c r="L201" s="17"/>
      <c r="M201" s="17"/>
      <c r="N201" s="17"/>
      <c r="O201" s="186"/>
      <c r="P201" s="17"/>
    </row>
    <row r="202" ht="15.75" customHeight="1">
      <c r="A202" s="17"/>
      <c r="B202" s="270"/>
      <c r="C202" s="270"/>
      <c r="D202" s="271"/>
      <c r="E202" s="271"/>
      <c r="F202" s="271"/>
      <c r="G202" s="271"/>
      <c r="H202" s="271"/>
      <c r="I202" s="272"/>
      <c r="J202" s="272"/>
      <c r="K202" s="17"/>
      <c r="L202" s="17"/>
      <c r="M202" s="17"/>
      <c r="N202" s="17"/>
      <c r="O202" s="186"/>
      <c r="P202" s="17"/>
    </row>
    <row r="203" ht="15.75" customHeight="1">
      <c r="A203" s="17"/>
      <c r="B203" s="270"/>
      <c r="C203" s="270"/>
      <c r="D203" s="271"/>
      <c r="E203" s="271"/>
      <c r="F203" s="271"/>
      <c r="G203" s="271"/>
      <c r="H203" s="271"/>
      <c r="I203" s="272"/>
      <c r="J203" s="272"/>
      <c r="K203" s="17"/>
      <c r="L203" s="17"/>
      <c r="M203" s="17"/>
      <c r="N203" s="17"/>
      <c r="O203" s="186"/>
      <c r="P203" s="17"/>
    </row>
    <row r="204" ht="15.75" customHeight="1">
      <c r="A204" s="17"/>
      <c r="B204" s="270"/>
      <c r="C204" s="270"/>
      <c r="D204" s="271"/>
      <c r="E204" s="271"/>
      <c r="F204" s="271"/>
      <c r="G204" s="271"/>
      <c r="H204" s="271"/>
      <c r="I204" s="272"/>
      <c r="J204" s="272"/>
      <c r="K204" s="17"/>
      <c r="L204" s="17"/>
      <c r="M204" s="17"/>
      <c r="N204" s="17"/>
      <c r="O204" s="186"/>
      <c r="P204" s="17"/>
    </row>
    <row r="205" ht="15.75" customHeight="1">
      <c r="A205" s="17"/>
      <c r="B205" s="270"/>
      <c r="C205" s="270"/>
      <c r="D205" s="271"/>
      <c r="E205" s="271"/>
      <c r="F205" s="271"/>
      <c r="G205" s="271"/>
      <c r="H205" s="271"/>
      <c r="I205" s="272"/>
      <c r="J205" s="272"/>
      <c r="K205" s="17"/>
      <c r="L205" s="17"/>
      <c r="M205" s="17"/>
      <c r="N205" s="17"/>
      <c r="O205" s="186"/>
      <c r="P205" s="17"/>
    </row>
    <row r="206" ht="15.75" customHeight="1">
      <c r="A206" s="17"/>
      <c r="B206" s="270"/>
      <c r="C206" s="270"/>
      <c r="D206" s="271"/>
      <c r="E206" s="271"/>
      <c r="F206" s="271"/>
      <c r="G206" s="271"/>
      <c r="H206" s="271"/>
      <c r="I206" s="272"/>
      <c r="J206" s="272"/>
      <c r="K206" s="17"/>
      <c r="L206" s="17"/>
      <c r="M206" s="17"/>
      <c r="N206" s="17"/>
      <c r="O206" s="186"/>
      <c r="P206" s="17"/>
    </row>
    <row r="207" ht="15.75" customHeight="1">
      <c r="A207" s="17"/>
      <c r="B207" s="270"/>
      <c r="C207" s="270"/>
      <c r="D207" s="271"/>
      <c r="E207" s="271"/>
      <c r="F207" s="271"/>
      <c r="G207" s="271"/>
      <c r="H207" s="271"/>
      <c r="I207" s="272"/>
      <c r="J207" s="272"/>
      <c r="K207" s="17"/>
      <c r="L207" s="17"/>
      <c r="M207" s="17"/>
      <c r="N207" s="17"/>
      <c r="O207" s="186"/>
      <c r="P207" s="17"/>
    </row>
    <row r="208" ht="15.75" customHeight="1">
      <c r="A208" s="17"/>
      <c r="B208" s="270"/>
      <c r="C208" s="270"/>
      <c r="D208" s="271"/>
      <c r="E208" s="271"/>
      <c r="F208" s="271"/>
      <c r="G208" s="271"/>
      <c r="H208" s="271"/>
      <c r="I208" s="272"/>
      <c r="J208" s="272"/>
      <c r="K208" s="17"/>
      <c r="L208" s="17"/>
      <c r="M208" s="17"/>
      <c r="N208" s="17"/>
      <c r="O208" s="186"/>
      <c r="P208" s="17"/>
    </row>
    <row r="209" ht="15.75" customHeight="1">
      <c r="A209" s="17"/>
      <c r="B209" s="270"/>
      <c r="C209" s="270"/>
      <c r="D209" s="271"/>
      <c r="E209" s="271"/>
      <c r="F209" s="271"/>
      <c r="G209" s="271"/>
      <c r="H209" s="271"/>
      <c r="I209" s="272"/>
      <c r="J209" s="272"/>
      <c r="K209" s="17"/>
      <c r="L209" s="17"/>
      <c r="M209" s="17"/>
      <c r="N209" s="17"/>
      <c r="O209" s="186"/>
      <c r="P209" s="17"/>
    </row>
    <row r="210" ht="15.75" customHeight="1">
      <c r="A210" s="17"/>
      <c r="B210" s="270"/>
      <c r="C210" s="270"/>
      <c r="D210" s="271"/>
      <c r="E210" s="271"/>
      <c r="F210" s="271"/>
      <c r="G210" s="271"/>
      <c r="H210" s="271"/>
      <c r="I210" s="272"/>
      <c r="J210" s="272"/>
      <c r="K210" s="17"/>
      <c r="L210" s="17"/>
      <c r="M210" s="17"/>
      <c r="N210" s="17"/>
      <c r="O210" s="186"/>
      <c r="P210" s="17"/>
    </row>
    <row r="211" ht="15.75" customHeight="1">
      <c r="A211" s="17"/>
      <c r="B211" s="270"/>
      <c r="C211" s="270"/>
      <c r="D211" s="271"/>
      <c r="E211" s="271"/>
      <c r="F211" s="271"/>
      <c r="G211" s="271"/>
      <c r="H211" s="271"/>
      <c r="I211" s="272"/>
      <c r="J211" s="272"/>
      <c r="K211" s="17"/>
      <c r="L211" s="17"/>
      <c r="M211" s="17"/>
      <c r="N211" s="17"/>
      <c r="O211" s="186"/>
      <c r="P211" s="17"/>
    </row>
    <row r="212" ht="15.75" customHeight="1">
      <c r="A212" s="17"/>
      <c r="B212" s="270"/>
      <c r="C212" s="270"/>
      <c r="D212" s="271"/>
      <c r="E212" s="271"/>
      <c r="F212" s="271"/>
      <c r="G212" s="271"/>
      <c r="H212" s="271"/>
      <c r="I212" s="272"/>
      <c r="J212" s="272"/>
      <c r="K212" s="17"/>
      <c r="L212" s="17"/>
      <c r="M212" s="17"/>
      <c r="N212" s="17"/>
      <c r="O212" s="186"/>
      <c r="P212" s="17"/>
    </row>
    <row r="213" ht="15.75" customHeight="1">
      <c r="A213" s="17"/>
      <c r="B213" s="270"/>
      <c r="C213" s="270"/>
      <c r="D213" s="271"/>
      <c r="E213" s="271"/>
      <c r="F213" s="271"/>
      <c r="G213" s="271"/>
      <c r="H213" s="271"/>
      <c r="I213" s="272"/>
      <c r="J213" s="272"/>
      <c r="K213" s="17"/>
      <c r="L213" s="17"/>
      <c r="M213" s="17"/>
      <c r="N213" s="17"/>
      <c r="O213" s="186"/>
      <c r="P213" s="17"/>
    </row>
    <row r="214" ht="15.75" customHeight="1">
      <c r="A214" s="17"/>
      <c r="B214" s="270"/>
      <c r="C214" s="270"/>
      <c r="D214" s="271"/>
      <c r="E214" s="271"/>
      <c r="F214" s="271"/>
      <c r="G214" s="271"/>
      <c r="H214" s="271"/>
      <c r="I214" s="272"/>
      <c r="J214" s="272"/>
      <c r="K214" s="17"/>
      <c r="L214" s="17"/>
      <c r="M214" s="17"/>
      <c r="N214" s="17"/>
      <c r="O214" s="186"/>
      <c r="P214" s="17"/>
    </row>
    <row r="215" ht="15.75" customHeight="1">
      <c r="A215" s="17"/>
      <c r="B215" s="270"/>
      <c r="C215" s="270"/>
      <c r="D215" s="271"/>
      <c r="E215" s="271"/>
      <c r="F215" s="271"/>
      <c r="G215" s="271"/>
      <c r="H215" s="271"/>
      <c r="I215" s="272"/>
      <c r="J215" s="272"/>
      <c r="K215" s="17"/>
      <c r="L215" s="17"/>
      <c r="M215" s="17"/>
      <c r="N215" s="17"/>
      <c r="O215" s="186"/>
      <c r="P215" s="17"/>
    </row>
    <row r="216" ht="15.75" customHeight="1">
      <c r="A216" s="17"/>
      <c r="B216" s="270"/>
      <c r="C216" s="270"/>
      <c r="D216" s="271"/>
      <c r="E216" s="271"/>
      <c r="F216" s="271"/>
      <c r="G216" s="271"/>
      <c r="H216" s="271"/>
      <c r="I216" s="272"/>
      <c r="J216" s="272"/>
      <c r="K216" s="17"/>
      <c r="L216" s="17"/>
      <c r="M216" s="17"/>
      <c r="N216" s="17"/>
      <c r="O216" s="186"/>
      <c r="P216" s="17"/>
    </row>
    <row r="217" ht="15.75" customHeight="1">
      <c r="A217" s="17"/>
      <c r="B217" s="270"/>
      <c r="C217" s="270"/>
      <c r="D217" s="271"/>
      <c r="E217" s="271"/>
      <c r="F217" s="271"/>
      <c r="G217" s="271"/>
      <c r="H217" s="271"/>
      <c r="I217" s="272"/>
      <c r="J217" s="272"/>
      <c r="K217" s="17"/>
      <c r="L217" s="17"/>
      <c r="M217" s="17"/>
      <c r="N217" s="17"/>
      <c r="O217" s="186"/>
      <c r="P217" s="17"/>
    </row>
    <row r="218" ht="15.75" customHeight="1">
      <c r="A218" s="17"/>
      <c r="B218" s="270"/>
      <c r="C218" s="270"/>
      <c r="D218" s="271"/>
      <c r="E218" s="271"/>
      <c r="F218" s="271"/>
      <c r="G218" s="271"/>
      <c r="H218" s="271"/>
      <c r="I218" s="272"/>
      <c r="J218" s="272"/>
      <c r="K218" s="17"/>
      <c r="L218" s="17"/>
      <c r="M218" s="17"/>
      <c r="N218" s="17"/>
      <c r="O218" s="186"/>
      <c r="P218" s="17"/>
    </row>
    <row r="219" ht="15.75" customHeight="1">
      <c r="A219" s="17"/>
      <c r="B219" s="270"/>
      <c r="C219" s="270"/>
      <c r="D219" s="271"/>
      <c r="E219" s="271"/>
      <c r="F219" s="271"/>
      <c r="G219" s="271"/>
      <c r="H219" s="271"/>
      <c r="I219" s="272"/>
      <c r="J219" s="272"/>
      <c r="K219" s="17"/>
      <c r="L219" s="17"/>
      <c r="M219" s="17"/>
      <c r="N219" s="17"/>
      <c r="O219" s="186"/>
      <c r="P219" s="17"/>
    </row>
    <row r="220" ht="15.75" customHeight="1">
      <c r="A220" s="17"/>
      <c r="B220" s="270"/>
      <c r="C220" s="270"/>
      <c r="D220" s="271"/>
      <c r="E220" s="271"/>
      <c r="F220" s="271"/>
      <c r="G220" s="271"/>
      <c r="H220" s="271"/>
      <c r="I220" s="272"/>
      <c r="J220" s="272"/>
      <c r="K220" s="17"/>
      <c r="L220" s="17"/>
      <c r="M220" s="17"/>
      <c r="N220" s="17"/>
      <c r="O220" s="186"/>
      <c r="P220" s="17"/>
    </row>
    <row r="221" ht="15.75" customHeight="1">
      <c r="A221" s="17"/>
      <c r="B221" s="270"/>
      <c r="C221" s="270"/>
      <c r="D221" s="271"/>
      <c r="E221" s="271"/>
      <c r="F221" s="271"/>
      <c r="G221" s="271"/>
      <c r="H221" s="271"/>
      <c r="I221" s="272"/>
      <c r="J221" s="272"/>
      <c r="K221" s="17"/>
      <c r="L221" s="17"/>
      <c r="M221" s="17"/>
      <c r="N221" s="17"/>
      <c r="O221" s="186"/>
      <c r="P221" s="17"/>
    </row>
    <row r="222" ht="15.75" customHeight="1">
      <c r="A222" s="17"/>
      <c r="B222" s="270"/>
      <c r="C222" s="270"/>
      <c r="D222" s="271"/>
      <c r="E222" s="271"/>
      <c r="F222" s="271"/>
      <c r="G222" s="271"/>
      <c r="H222" s="271"/>
      <c r="I222" s="272"/>
      <c r="J222" s="272"/>
      <c r="K222" s="17"/>
      <c r="L222" s="17"/>
      <c r="M222" s="17"/>
      <c r="N222" s="17"/>
      <c r="O222" s="186"/>
      <c r="P222" s="17"/>
    </row>
    <row r="223" ht="15.75" customHeight="1">
      <c r="A223" s="17"/>
      <c r="B223" s="270"/>
      <c r="C223" s="270"/>
      <c r="D223" s="271"/>
      <c r="E223" s="271"/>
      <c r="F223" s="271"/>
      <c r="G223" s="271"/>
      <c r="H223" s="271"/>
      <c r="I223" s="272"/>
      <c r="J223" s="272"/>
      <c r="K223" s="17"/>
      <c r="L223" s="17"/>
      <c r="M223" s="17"/>
      <c r="N223" s="17"/>
      <c r="O223" s="186"/>
      <c r="P223" s="17"/>
    </row>
    <row r="224" ht="15.75" customHeight="1">
      <c r="A224" s="17"/>
      <c r="B224" s="270"/>
      <c r="C224" s="270"/>
      <c r="D224" s="271"/>
      <c r="E224" s="271"/>
      <c r="F224" s="271"/>
      <c r="G224" s="271"/>
      <c r="H224" s="271"/>
      <c r="I224" s="272"/>
      <c r="J224" s="272"/>
      <c r="K224" s="17"/>
      <c r="L224" s="17"/>
      <c r="M224" s="17"/>
      <c r="N224" s="17"/>
      <c r="O224" s="186"/>
      <c r="P224" s="17"/>
    </row>
    <row r="225" ht="15.75" customHeight="1">
      <c r="A225" s="17"/>
      <c r="B225" s="270"/>
      <c r="C225" s="270"/>
      <c r="D225" s="271"/>
      <c r="E225" s="271"/>
      <c r="F225" s="271"/>
      <c r="G225" s="271"/>
      <c r="H225" s="271"/>
      <c r="I225" s="272"/>
      <c r="J225" s="272"/>
      <c r="K225" s="17"/>
      <c r="L225" s="17"/>
      <c r="M225" s="17"/>
      <c r="N225" s="17"/>
      <c r="O225" s="186"/>
      <c r="P225" s="17"/>
    </row>
    <row r="226" ht="15.75" customHeight="1">
      <c r="A226" s="17"/>
      <c r="B226" s="270"/>
      <c r="C226" s="270"/>
      <c r="D226" s="271"/>
      <c r="E226" s="271"/>
      <c r="F226" s="271"/>
      <c r="G226" s="271"/>
      <c r="H226" s="271"/>
      <c r="I226" s="272"/>
      <c r="J226" s="272"/>
      <c r="K226" s="17"/>
      <c r="L226" s="17"/>
      <c r="M226" s="17"/>
      <c r="N226" s="17"/>
      <c r="O226" s="186"/>
      <c r="P226" s="17"/>
    </row>
    <row r="227" ht="15.75" customHeight="1">
      <c r="A227" s="17"/>
      <c r="B227" s="270"/>
      <c r="C227" s="270"/>
      <c r="D227" s="271"/>
      <c r="E227" s="271"/>
      <c r="F227" s="271"/>
      <c r="G227" s="271"/>
      <c r="H227" s="271"/>
      <c r="I227" s="272"/>
      <c r="J227" s="272"/>
      <c r="K227" s="17"/>
      <c r="L227" s="17"/>
      <c r="M227" s="17"/>
      <c r="N227" s="17"/>
      <c r="O227" s="186"/>
      <c r="P227" s="17"/>
    </row>
    <row r="228" ht="15.75" customHeight="1">
      <c r="A228" s="17"/>
      <c r="B228" s="270"/>
      <c r="C228" s="270"/>
      <c r="D228" s="271"/>
      <c r="E228" s="271"/>
      <c r="F228" s="271"/>
      <c r="G228" s="271"/>
      <c r="H228" s="271"/>
      <c r="I228" s="272"/>
      <c r="J228" s="272"/>
      <c r="K228" s="17"/>
      <c r="L228" s="17"/>
      <c r="M228" s="17"/>
      <c r="N228" s="17"/>
      <c r="O228" s="186"/>
      <c r="P228" s="17"/>
    </row>
    <row r="229" ht="15.75" customHeight="1">
      <c r="A229" s="17"/>
      <c r="B229" s="270"/>
      <c r="C229" s="270"/>
      <c r="D229" s="271"/>
      <c r="E229" s="271"/>
      <c r="F229" s="271"/>
      <c r="G229" s="271"/>
      <c r="H229" s="271"/>
      <c r="I229" s="272"/>
      <c r="J229" s="272"/>
      <c r="K229" s="17"/>
      <c r="L229" s="17"/>
      <c r="M229" s="17"/>
      <c r="N229" s="17"/>
      <c r="O229" s="186"/>
      <c r="P229" s="17"/>
    </row>
    <row r="230" ht="15.75" customHeight="1">
      <c r="A230" s="17"/>
      <c r="B230" s="270"/>
      <c r="C230" s="270"/>
      <c r="D230" s="271"/>
      <c r="E230" s="271"/>
      <c r="F230" s="271"/>
      <c r="G230" s="271"/>
      <c r="H230" s="271"/>
      <c r="I230" s="272"/>
      <c r="J230" s="272"/>
      <c r="K230" s="17"/>
      <c r="L230" s="17"/>
      <c r="M230" s="17"/>
      <c r="N230" s="17"/>
      <c r="O230" s="186"/>
      <c r="P230" s="17"/>
    </row>
    <row r="231" ht="15.75" customHeight="1">
      <c r="A231" s="17"/>
      <c r="B231" s="270"/>
      <c r="C231" s="270"/>
      <c r="D231" s="271"/>
      <c r="E231" s="271"/>
      <c r="F231" s="271"/>
      <c r="G231" s="271"/>
      <c r="H231" s="271"/>
      <c r="I231" s="272"/>
      <c r="J231" s="272"/>
      <c r="K231" s="17"/>
      <c r="L231" s="17"/>
      <c r="M231" s="17"/>
      <c r="N231" s="17"/>
      <c r="O231" s="186"/>
      <c r="P231" s="17"/>
    </row>
    <row r="232" ht="15.75" customHeight="1">
      <c r="A232" s="17"/>
      <c r="B232" s="270"/>
      <c r="C232" s="270"/>
      <c r="D232" s="271"/>
      <c r="E232" s="271"/>
      <c r="F232" s="271"/>
      <c r="G232" s="271"/>
      <c r="H232" s="271"/>
      <c r="I232" s="272"/>
      <c r="J232" s="272"/>
      <c r="K232" s="17"/>
      <c r="L232" s="17"/>
      <c r="M232" s="17"/>
      <c r="N232" s="17"/>
      <c r="O232" s="186"/>
      <c r="P232" s="17"/>
    </row>
    <row r="233" ht="15.75" customHeight="1">
      <c r="A233" s="17"/>
      <c r="B233" s="270"/>
      <c r="C233" s="270"/>
      <c r="D233" s="271"/>
      <c r="E233" s="271"/>
      <c r="F233" s="271"/>
      <c r="G233" s="271"/>
      <c r="H233" s="271"/>
      <c r="I233" s="272"/>
      <c r="J233" s="272"/>
      <c r="K233" s="17"/>
      <c r="L233" s="17"/>
      <c r="M233" s="17"/>
      <c r="N233" s="17"/>
      <c r="O233" s="186"/>
      <c r="P233" s="17"/>
    </row>
    <row r="234" ht="15.75" customHeight="1">
      <c r="A234" s="17"/>
      <c r="B234" s="270"/>
      <c r="C234" s="270"/>
      <c r="D234" s="271"/>
      <c r="E234" s="271"/>
      <c r="F234" s="271"/>
      <c r="G234" s="271"/>
      <c r="H234" s="271"/>
      <c r="I234" s="272"/>
      <c r="J234" s="272"/>
      <c r="K234" s="17"/>
      <c r="L234" s="17"/>
      <c r="M234" s="17"/>
      <c r="N234" s="17"/>
      <c r="O234" s="186"/>
      <c r="P234" s="17"/>
    </row>
    <row r="235" ht="15.75" customHeight="1">
      <c r="A235" s="17"/>
      <c r="B235" s="270"/>
      <c r="C235" s="270"/>
      <c r="D235" s="271"/>
      <c r="E235" s="271"/>
      <c r="F235" s="271"/>
      <c r="G235" s="271"/>
      <c r="H235" s="271"/>
      <c r="I235" s="272"/>
      <c r="J235" s="272"/>
      <c r="K235" s="17"/>
      <c r="L235" s="17"/>
      <c r="M235" s="17"/>
      <c r="N235" s="17"/>
      <c r="O235" s="186"/>
      <c r="P235" s="17"/>
    </row>
    <row r="236" ht="15.75" customHeight="1">
      <c r="A236" s="17"/>
      <c r="B236" s="270"/>
      <c r="C236" s="270"/>
      <c r="D236" s="271"/>
      <c r="E236" s="271"/>
      <c r="F236" s="271"/>
      <c r="G236" s="271"/>
      <c r="H236" s="271"/>
      <c r="I236" s="272"/>
      <c r="J236" s="272"/>
      <c r="K236" s="17"/>
      <c r="L236" s="17"/>
      <c r="M236" s="17"/>
      <c r="N236" s="17"/>
      <c r="O236" s="186"/>
      <c r="P236" s="17"/>
    </row>
    <row r="237" ht="15.75" customHeight="1">
      <c r="A237" s="17"/>
      <c r="B237" s="270"/>
      <c r="C237" s="270"/>
      <c r="D237" s="271"/>
      <c r="E237" s="271"/>
      <c r="F237" s="271"/>
      <c r="G237" s="271"/>
      <c r="H237" s="271"/>
      <c r="I237" s="272"/>
      <c r="J237" s="272"/>
      <c r="K237" s="17"/>
      <c r="L237" s="17"/>
      <c r="M237" s="17"/>
      <c r="N237" s="17"/>
      <c r="O237" s="186"/>
      <c r="P237" s="17"/>
    </row>
    <row r="238" ht="15.75" customHeight="1">
      <c r="A238" s="17"/>
      <c r="B238" s="270"/>
      <c r="C238" s="270"/>
      <c r="D238" s="271"/>
      <c r="E238" s="271"/>
      <c r="F238" s="271"/>
      <c r="G238" s="271"/>
      <c r="H238" s="271"/>
      <c r="I238" s="272"/>
      <c r="J238" s="272"/>
      <c r="K238" s="17"/>
      <c r="L238" s="17"/>
      <c r="M238" s="17"/>
      <c r="N238" s="17"/>
      <c r="O238" s="186"/>
      <c r="P238" s="17"/>
    </row>
    <row r="239" ht="15.75" customHeight="1">
      <c r="A239" s="17"/>
      <c r="B239" s="270"/>
      <c r="C239" s="270"/>
      <c r="D239" s="271"/>
      <c r="E239" s="271"/>
      <c r="F239" s="271"/>
      <c r="G239" s="271"/>
      <c r="H239" s="271"/>
      <c r="I239" s="272"/>
      <c r="J239" s="272"/>
      <c r="K239" s="17"/>
      <c r="L239" s="17"/>
      <c r="M239" s="17"/>
      <c r="N239" s="17"/>
      <c r="O239" s="186"/>
      <c r="P239" s="17"/>
    </row>
    <row r="240" ht="15.75" customHeight="1">
      <c r="A240" s="17"/>
      <c r="B240" s="270"/>
      <c r="C240" s="270"/>
      <c r="D240" s="271"/>
      <c r="E240" s="271"/>
      <c r="F240" s="271"/>
      <c r="G240" s="271"/>
      <c r="H240" s="271"/>
      <c r="I240" s="272"/>
      <c r="J240" s="272"/>
      <c r="K240" s="17"/>
      <c r="L240" s="17"/>
      <c r="M240" s="17"/>
      <c r="N240" s="17"/>
      <c r="O240" s="186"/>
      <c r="P240" s="17"/>
    </row>
    <row r="241" ht="15.75" customHeight="1">
      <c r="A241" s="17"/>
      <c r="B241" s="270"/>
      <c r="C241" s="270"/>
      <c r="D241" s="271"/>
      <c r="E241" s="271"/>
      <c r="F241" s="271"/>
      <c r="G241" s="271"/>
      <c r="H241" s="271"/>
      <c r="I241" s="272"/>
      <c r="J241" s="272"/>
      <c r="K241" s="17"/>
      <c r="L241" s="17"/>
      <c r="M241" s="17"/>
      <c r="N241" s="17"/>
      <c r="O241" s="186"/>
      <c r="P241" s="17"/>
    </row>
    <row r="242" ht="15.75" customHeight="1">
      <c r="A242" s="17"/>
      <c r="B242" s="270"/>
      <c r="C242" s="270"/>
      <c r="D242" s="271"/>
      <c r="E242" s="271"/>
      <c r="F242" s="271"/>
      <c r="G242" s="271"/>
      <c r="H242" s="271"/>
      <c r="I242" s="272"/>
      <c r="J242" s="272"/>
      <c r="K242" s="17"/>
      <c r="L242" s="17"/>
      <c r="M242" s="17"/>
      <c r="N242" s="17"/>
      <c r="O242" s="186"/>
      <c r="P242" s="17"/>
    </row>
    <row r="243" ht="15.75" customHeight="1">
      <c r="A243" s="17"/>
      <c r="B243" s="270"/>
      <c r="C243" s="270"/>
      <c r="D243" s="271"/>
      <c r="E243" s="271"/>
      <c r="F243" s="271"/>
      <c r="G243" s="271"/>
      <c r="H243" s="271"/>
      <c r="I243" s="272"/>
      <c r="J243" s="272"/>
      <c r="K243" s="17"/>
      <c r="L243" s="17"/>
      <c r="M243" s="17"/>
      <c r="N243" s="17"/>
      <c r="O243" s="186"/>
      <c r="P243" s="17"/>
    </row>
    <row r="244" ht="15.75" customHeight="1">
      <c r="A244" s="17"/>
      <c r="B244" s="270"/>
      <c r="C244" s="270"/>
      <c r="D244" s="271"/>
      <c r="E244" s="271"/>
      <c r="F244" s="271"/>
      <c r="G244" s="271"/>
      <c r="H244" s="271"/>
      <c r="I244" s="272"/>
      <c r="J244" s="272"/>
      <c r="K244" s="17"/>
      <c r="L244" s="17"/>
      <c r="M244" s="17"/>
      <c r="N244" s="17"/>
      <c r="O244" s="186"/>
      <c r="P244" s="17"/>
    </row>
    <row r="245" ht="15.75" customHeight="1">
      <c r="A245" s="17"/>
      <c r="B245" s="270"/>
      <c r="C245" s="270"/>
      <c r="D245" s="271"/>
      <c r="E245" s="271"/>
      <c r="F245" s="271"/>
      <c r="G245" s="271"/>
      <c r="H245" s="271"/>
      <c r="I245" s="272"/>
      <c r="J245" s="272"/>
      <c r="K245" s="17"/>
      <c r="L245" s="17"/>
      <c r="M245" s="17"/>
      <c r="N245" s="17"/>
      <c r="O245" s="186"/>
      <c r="P245" s="17"/>
    </row>
    <row r="246" ht="15.75" customHeight="1">
      <c r="A246" s="17"/>
      <c r="B246" s="270"/>
      <c r="C246" s="270"/>
      <c r="D246" s="271"/>
      <c r="E246" s="271"/>
      <c r="F246" s="271"/>
      <c r="G246" s="271"/>
      <c r="H246" s="271"/>
      <c r="I246" s="272"/>
      <c r="J246" s="272"/>
      <c r="K246" s="17"/>
      <c r="L246" s="17"/>
      <c r="M246" s="17"/>
      <c r="N246" s="17"/>
      <c r="O246" s="186"/>
      <c r="P246" s="17"/>
    </row>
    <row r="247" ht="15.75" customHeight="1">
      <c r="A247" s="17"/>
      <c r="B247" s="270"/>
      <c r="C247" s="270"/>
      <c r="D247" s="271"/>
      <c r="E247" s="271"/>
      <c r="F247" s="271"/>
      <c r="G247" s="271"/>
      <c r="H247" s="271"/>
      <c r="I247" s="272"/>
      <c r="J247" s="272"/>
      <c r="K247" s="17"/>
      <c r="L247" s="17"/>
      <c r="M247" s="17"/>
      <c r="N247" s="17"/>
      <c r="O247" s="186"/>
      <c r="P247" s="17"/>
    </row>
    <row r="248" ht="15.75" customHeight="1">
      <c r="A248" s="17"/>
      <c r="B248" s="270"/>
      <c r="C248" s="270"/>
      <c r="D248" s="271"/>
      <c r="E248" s="271"/>
      <c r="F248" s="271"/>
      <c r="G248" s="271"/>
      <c r="H248" s="271"/>
      <c r="I248" s="272"/>
      <c r="J248" s="272"/>
      <c r="K248" s="17"/>
      <c r="L248" s="17"/>
      <c r="M248" s="17"/>
      <c r="N248" s="17"/>
      <c r="O248" s="186"/>
      <c r="P248" s="17"/>
    </row>
    <row r="249" ht="15.75" customHeight="1">
      <c r="A249" s="17"/>
      <c r="B249" s="270"/>
      <c r="C249" s="270"/>
      <c r="D249" s="271"/>
      <c r="E249" s="271"/>
      <c r="F249" s="271"/>
      <c r="G249" s="271"/>
      <c r="H249" s="271"/>
      <c r="I249" s="272"/>
      <c r="J249" s="272"/>
      <c r="K249" s="17"/>
      <c r="L249" s="17"/>
      <c r="M249" s="17"/>
      <c r="N249" s="17"/>
      <c r="O249" s="186"/>
      <c r="P249" s="17"/>
    </row>
    <row r="250" ht="15.75" customHeight="1">
      <c r="A250" s="17"/>
      <c r="B250" s="270"/>
      <c r="C250" s="270"/>
      <c r="D250" s="271"/>
      <c r="E250" s="271"/>
      <c r="F250" s="271"/>
      <c r="G250" s="271"/>
      <c r="H250" s="271"/>
      <c r="I250" s="272"/>
      <c r="J250" s="272"/>
      <c r="K250" s="17"/>
      <c r="L250" s="17"/>
      <c r="M250" s="17"/>
      <c r="N250" s="17"/>
      <c r="O250" s="186"/>
      <c r="P250" s="17"/>
    </row>
    <row r="251" ht="15.75" customHeight="1">
      <c r="A251" s="17"/>
      <c r="B251" s="270"/>
      <c r="C251" s="270"/>
      <c r="D251" s="271"/>
      <c r="E251" s="271"/>
      <c r="F251" s="271"/>
      <c r="G251" s="271"/>
      <c r="H251" s="271"/>
      <c r="I251" s="272"/>
      <c r="J251" s="272"/>
      <c r="K251" s="17"/>
      <c r="L251" s="17"/>
      <c r="M251" s="17"/>
      <c r="N251" s="17"/>
      <c r="O251" s="186"/>
      <c r="P251" s="17"/>
    </row>
    <row r="252" ht="15.75" customHeight="1">
      <c r="A252" s="17"/>
      <c r="B252" s="270"/>
      <c r="C252" s="270"/>
      <c r="D252" s="271"/>
      <c r="E252" s="271"/>
      <c r="F252" s="271"/>
      <c r="G252" s="271"/>
      <c r="H252" s="271"/>
      <c r="I252" s="272"/>
      <c r="J252" s="272"/>
      <c r="K252" s="17"/>
      <c r="L252" s="17"/>
      <c r="M252" s="17"/>
      <c r="N252" s="17"/>
      <c r="O252" s="186"/>
      <c r="P252" s="17"/>
    </row>
    <row r="253" ht="15.75" customHeight="1">
      <c r="A253" s="17"/>
      <c r="B253" s="270"/>
      <c r="C253" s="270"/>
      <c r="D253" s="271"/>
      <c r="E253" s="271"/>
      <c r="F253" s="271"/>
      <c r="G253" s="271"/>
      <c r="H253" s="271"/>
      <c r="I253" s="272"/>
      <c r="J253" s="272"/>
      <c r="K253" s="17"/>
      <c r="L253" s="17"/>
      <c r="M253" s="17"/>
      <c r="N253" s="17"/>
      <c r="O253" s="186"/>
      <c r="P253" s="17"/>
    </row>
    <row r="254" ht="15.75" customHeight="1">
      <c r="A254" s="17"/>
      <c r="B254" s="270"/>
      <c r="C254" s="270"/>
      <c r="D254" s="271"/>
      <c r="E254" s="271"/>
      <c r="F254" s="271"/>
      <c r="G254" s="271"/>
      <c r="H254" s="271"/>
      <c r="I254" s="272"/>
      <c r="J254" s="272"/>
      <c r="K254" s="17"/>
      <c r="L254" s="17"/>
      <c r="M254" s="17"/>
      <c r="N254" s="17"/>
      <c r="O254" s="186"/>
      <c r="P254" s="17"/>
    </row>
    <row r="255" ht="15.75" customHeight="1">
      <c r="A255" s="17"/>
      <c r="B255" s="270"/>
      <c r="C255" s="270"/>
      <c r="D255" s="271"/>
      <c r="E255" s="271"/>
      <c r="F255" s="271"/>
      <c r="G255" s="271"/>
      <c r="H255" s="271"/>
      <c r="I255" s="272"/>
      <c r="J255" s="272"/>
      <c r="K255" s="17"/>
      <c r="L255" s="17"/>
      <c r="M255" s="17"/>
      <c r="N255" s="17"/>
      <c r="O255" s="186"/>
      <c r="P255" s="17"/>
    </row>
    <row r="256" ht="15.75" customHeight="1">
      <c r="A256" s="17"/>
      <c r="B256" s="270"/>
      <c r="C256" s="270"/>
      <c r="D256" s="271"/>
      <c r="E256" s="271"/>
      <c r="F256" s="271"/>
      <c r="G256" s="271"/>
      <c r="H256" s="271"/>
      <c r="I256" s="272"/>
      <c r="J256" s="272"/>
      <c r="K256" s="17"/>
      <c r="L256" s="17"/>
      <c r="M256" s="17"/>
      <c r="N256" s="17"/>
      <c r="O256" s="186"/>
      <c r="P256" s="17"/>
    </row>
    <row r="257" ht="15.75" customHeight="1">
      <c r="A257" s="17"/>
      <c r="B257" s="270"/>
      <c r="C257" s="270"/>
      <c r="D257" s="271"/>
      <c r="E257" s="271"/>
      <c r="F257" s="271"/>
      <c r="G257" s="271"/>
      <c r="H257" s="271"/>
      <c r="I257" s="272"/>
      <c r="J257" s="272"/>
      <c r="K257" s="17"/>
      <c r="L257" s="17"/>
      <c r="M257" s="17"/>
      <c r="N257" s="17"/>
      <c r="O257" s="186"/>
      <c r="P257" s="17"/>
    </row>
    <row r="258" ht="15.75" customHeight="1">
      <c r="A258" s="17"/>
      <c r="B258" s="270"/>
      <c r="C258" s="270"/>
      <c r="D258" s="271"/>
      <c r="E258" s="271"/>
      <c r="F258" s="271"/>
      <c r="G258" s="271"/>
      <c r="H258" s="271"/>
      <c r="I258" s="272"/>
      <c r="J258" s="272"/>
      <c r="K258" s="17"/>
      <c r="L258" s="17"/>
      <c r="M258" s="17"/>
      <c r="N258" s="17"/>
      <c r="O258" s="186"/>
      <c r="P258" s="17"/>
    </row>
    <row r="259" ht="15.75" customHeight="1">
      <c r="A259" s="17"/>
      <c r="B259" s="270"/>
      <c r="C259" s="270"/>
      <c r="D259" s="271"/>
      <c r="E259" s="271"/>
      <c r="F259" s="271"/>
      <c r="G259" s="271"/>
      <c r="H259" s="271"/>
      <c r="I259" s="272"/>
      <c r="J259" s="272"/>
      <c r="K259" s="17"/>
      <c r="L259" s="17"/>
      <c r="M259" s="17"/>
      <c r="N259" s="17"/>
      <c r="O259" s="186"/>
      <c r="P259" s="17"/>
    </row>
    <row r="260" ht="15.75" customHeight="1">
      <c r="A260" s="17"/>
      <c r="B260" s="270"/>
      <c r="C260" s="270"/>
      <c r="D260" s="271"/>
      <c r="E260" s="271"/>
      <c r="F260" s="271"/>
      <c r="G260" s="271"/>
      <c r="H260" s="271"/>
      <c r="I260" s="272"/>
      <c r="J260" s="272"/>
      <c r="K260" s="17"/>
      <c r="L260" s="17"/>
      <c r="M260" s="17"/>
      <c r="N260" s="17"/>
      <c r="O260" s="186"/>
      <c r="P260" s="17"/>
    </row>
    <row r="261" ht="15.75" customHeight="1">
      <c r="A261" s="17"/>
      <c r="B261" s="270"/>
      <c r="C261" s="270"/>
      <c r="D261" s="271"/>
      <c r="E261" s="271"/>
      <c r="F261" s="271"/>
      <c r="G261" s="271"/>
      <c r="H261" s="271"/>
      <c r="I261" s="272"/>
      <c r="J261" s="272"/>
      <c r="K261" s="17"/>
      <c r="L261" s="17"/>
      <c r="M261" s="17"/>
      <c r="N261" s="17"/>
      <c r="O261" s="186"/>
      <c r="P261" s="17"/>
    </row>
    <row r="262" ht="15.75" customHeight="1">
      <c r="A262" s="17"/>
      <c r="B262" s="270"/>
      <c r="C262" s="270"/>
      <c r="D262" s="271"/>
      <c r="E262" s="271"/>
      <c r="F262" s="271"/>
      <c r="G262" s="271"/>
      <c r="H262" s="271"/>
      <c r="I262" s="272"/>
      <c r="J262" s="272"/>
      <c r="K262" s="17"/>
      <c r="L262" s="17"/>
      <c r="M262" s="17"/>
      <c r="N262" s="17"/>
      <c r="O262" s="186"/>
      <c r="P262" s="17"/>
    </row>
    <row r="263" ht="15.75" customHeight="1">
      <c r="A263" s="17"/>
      <c r="B263" s="270"/>
      <c r="C263" s="270"/>
      <c r="D263" s="271"/>
      <c r="E263" s="271"/>
      <c r="F263" s="271"/>
      <c r="G263" s="271"/>
      <c r="H263" s="271"/>
      <c r="I263" s="272"/>
      <c r="J263" s="272"/>
      <c r="K263" s="17"/>
      <c r="L263" s="17"/>
      <c r="M263" s="17"/>
      <c r="N263" s="17"/>
      <c r="O263" s="186"/>
      <c r="P263" s="17"/>
    </row>
    <row r="264" ht="15.75" customHeight="1">
      <c r="A264" s="17"/>
      <c r="B264" s="270"/>
      <c r="C264" s="270"/>
      <c r="D264" s="271"/>
      <c r="E264" s="271"/>
      <c r="F264" s="271"/>
      <c r="G264" s="271"/>
      <c r="H264" s="271"/>
      <c r="I264" s="272"/>
      <c r="J264" s="272"/>
      <c r="K264" s="17"/>
      <c r="L264" s="17"/>
      <c r="M264" s="17"/>
      <c r="N264" s="17"/>
      <c r="O264" s="186"/>
      <c r="P264" s="17"/>
    </row>
    <row r="265" ht="15.75" customHeight="1">
      <c r="A265" s="17"/>
      <c r="B265" s="270"/>
      <c r="C265" s="270"/>
      <c r="D265" s="271"/>
      <c r="E265" s="271"/>
      <c r="F265" s="271"/>
      <c r="G265" s="271"/>
      <c r="H265" s="271"/>
      <c r="I265" s="272"/>
      <c r="J265" s="272"/>
      <c r="K265" s="17"/>
      <c r="L265" s="17"/>
      <c r="M265" s="17"/>
      <c r="N265" s="17"/>
      <c r="O265" s="186"/>
      <c r="P265" s="17"/>
    </row>
    <row r="266" ht="15.75" customHeight="1">
      <c r="A266" s="17"/>
      <c r="B266" s="270"/>
      <c r="C266" s="270"/>
      <c r="D266" s="271"/>
      <c r="E266" s="271"/>
      <c r="F266" s="271"/>
      <c r="G266" s="271"/>
      <c r="H266" s="271"/>
      <c r="I266" s="272"/>
      <c r="J266" s="272"/>
      <c r="K266" s="17"/>
      <c r="L266" s="17"/>
      <c r="M266" s="17"/>
      <c r="N266" s="17"/>
      <c r="O266" s="186"/>
      <c r="P266" s="17"/>
    </row>
    <row r="267" ht="15.75" customHeight="1">
      <c r="A267" s="17"/>
      <c r="B267" s="270"/>
      <c r="C267" s="270"/>
      <c r="D267" s="271"/>
      <c r="E267" s="271"/>
      <c r="F267" s="271"/>
      <c r="G267" s="271"/>
      <c r="H267" s="271"/>
      <c r="I267" s="272"/>
      <c r="J267" s="272"/>
      <c r="K267" s="17"/>
      <c r="L267" s="17"/>
      <c r="M267" s="17"/>
      <c r="N267" s="17"/>
      <c r="O267" s="186"/>
      <c r="P267" s="17"/>
    </row>
    <row r="268" ht="15.75" customHeight="1">
      <c r="A268" s="17"/>
      <c r="B268" s="270"/>
      <c r="C268" s="270"/>
      <c r="D268" s="271"/>
      <c r="E268" s="271"/>
      <c r="F268" s="271"/>
      <c r="G268" s="271"/>
      <c r="H268" s="271"/>
      <c r="I268" s="272"/>
      <c r="J268" s="272"/>
      <c r="K268" s="17"/>
      <c r="L268" s="17"/>
      <c r="M268" s="17"/>
      <c r="N268" s="17"/>
      <c r="O268" s="186"/>
      <c r="P268" s="17"/>
    </row>
    <row r="269" ht="15.75" customHeight="1">
      <c r="A269" s="17"/>
      <c r="B269" s="270"/>
      <c r="C269" s="270"/>
      <c r="D269" s="271"/>
      <c r="E269" s="271"/>
      <c r="F269" s="271"/>
      <c r="G269" s="271"/>
      <c r="H269" s="271"/>
      <c r="I269" s="272"/>
      <c r="J269" s="272"/>
      <c r="K269" s="17"/>
      <c r="L269" s="17"/>
      <c r="M269" s="17"/>
      <c r="N269" s="17"/>
      <c r="O269" s="186"/>
      <c r="P269" s="17"/>
    </row>
    <row r="270" ht="15.75" customHeight="1">
      <c r="A270" s="17"/>
      <c r="B270" s="270"/>
      <c r="C270" s="270"/>
      <c r="D270" s="271"/>
      <c r="E270" s="271"/>
      <c r="F270" s="271"/>
      <c r="G270" s="271"/>
      <c r="H270" s="271"/>
      <c r="I270" s="272"/>
      <c r="J270" s="272"/>
      <c r="K270" s="17"/>
      <c r="L270" s="17"/>
      <c r="M270" s="17"/>
      <c r="N270" s="17"/>
      <c r="O270" s="186"/>
      <c r="P270" s="17"/>
    </row>
    <row r="271" ht="15.75" customHeight="1">
      <c r="A271" s="17"/>
      <c r="B271" s="270"/>
      <c r="C271" s="270"/>
      <c r="D271" s="271"/>
      <c r="E271" s="271"/>
      <c r="F271" s="271"/>
      <c r="G271" s="271"/>
      <c r="H271" s="271"/>
      <c r="I271" s="272"/>
      <c r="J271" s="272"/>
      <c r="K271" s="17"/>
      <c r="L271" s="17"/>
      <c r="M271" s="17"/>
      <c r="N271" s="17"/>
      <c r="O271" s="186"/>
      <c r="P271" s="17"/>
    </row>
    <row r="272" ht="15.75" customHeight="1">
      <c r="A272" s="17"/>
      <c r="B272" s="270"/>
      <c r="C272" s="270"/>
      <c r="D272" s="271"/>
      <c r="E272" s="271"/>
      <c r="F272" s="271"/>
      <c r="G272" s="271"/>
      <c r="H272" s="271"/>
      <c r="I272" s="272"/>
      <c r="J272" s="272"/>
      <c r="K272" s="17"/>
      <c r="L272" s="17"/>
      <c r="M272" s="17"/>
      <c r="N272" s="17"/>
      <c r="O272" s="186"/>
      <c r="P272" s="17"/>
    </row>
    <row r="273" ht="15.75" customHeight="1">
      <c r="A273" s="17"/>
      <c r="B273" s="270"/>
      <c r="C273" s="270"/>
      <c r="D273" s="271"/>
      <c r="E273" s="271"/>
      <c r="F273" s="271"/>
      <c r="G273" s="271"/>
      <c r="H273" s="271"/>
      <c r="I273" s="272"/>
      <c r="J273" s="272"/>
      <c r="K273" s="17"/>
      <c r="L273" s="17"/>
      <c r="M273" s="17"/>
      <c r="N273" s="17"/>
      <c r="O273" s="186"/>
      <c r="P273" s="17"/>
    </row>
    <row r="274" ht="15.75" customHeight="1">
      <c r="A274" s="17"/>
      <c r="B274" s="270"/>
      <c r="C274" s="270"/>
      <c r="D274" s="271"/>
      <c r="E274" s="271"/>
      <c r="F274" s="271"/>
      <c r="G274" s="271"/>
      <c r="H274" s="271"/>
      <c r="I274" s="272"/>
      <c r="J274" s="272"/>
      <c r="K274" s="17"/>
      <c r="L274" s="17"/>
      <c r="M274" s="17"/>
      <c r="N274" s="17"/>
      <c r="O274" s="186"/>
      <c r="P274" s="17"/>
    </row>
    <row r="275" ht="15.75" customHeight="1">
      <c r="A275" s="17"/>
      <c r="B275" s="270"/>
      <c r="C275" s="270"/>
      <c r="D275" s="271"/>
      <c r="E275" s="271"/>
      <c r="F275" s="271"/>
      <c r="G275" s="271"/>
      <c r="H275" s="271"/>
      <c r="I275" s="272"/>
      <c r="J275" s="272"/>
      <c r="K275" s="17"/>
      <c r="L275" s="17"/>
      <c r="M275" s="17"/>
      <c r="N275" s="17"/>
      <c r="O275" s="186"/>
      <c r="P275" s="17"/>
    </row>
    <row r="276" ht="15.75" customHeight="1">
      <c r="A276" s="17"/>
      <c r="B276" s="270"/>
      <c r="C276" s="270"/>
      <c r="D276" s="271"/>
      <c r="E276" s="271"/>
      <c r="F276" s="271"/>
      <c r="G276" s="271"/>
      <c r="H276" s="271"/>
      <c r="I276" s="272"/>
      <c r="J276" s="272"/>
      <c r="K276" s="17"/>
      <c r="L276" s="17"/>
      <c r="M276" s="17"/>
      <c r="N276" s="17"/>
      <c r="O276" s="186"/>
      <c r="P276" s="17"/>
    </row>
    <row r="277" ht="15.75" customHeight="1">
      <c r="A277" s="17"/>
      <c r="B277" s="270"/>
      <c r="C277" s="270"/>
      <c r="D277" s="271"/>
      <c r="E277" s="271"/>
      <c r="F277" s="271"/>
      <c r="G277" s="271"/>
      <c r="H277" s="271"/>
      <c r="I277" s="272"/>
      <c r="J277" s="272"/>
      <c r="K277" s="17"/>
      <c r="L277" s="17"/>
      <c r="M277" s="17"/>
      <c r="N277" s="17"/>
      <c r="O277" s="186"/>
      <c r="P277" s="17"/>
    </row>
    <row r="278" ht="15.75" customHeight="1">
      <c r="A278" s="17"/>
      <c r="B278" s="270"/>
      <c r="C278" s="270"/>
      <c r="D278" s="271"/>
      <c r="E278" s="271"/>
      <c r="F278" s="271"/>
      <c r="G278" s="271"/>
      <c r="H278" s="271"/>
      <c r="I278" s="272"/>
      <c r="J278" s="272"/>
      <c r="K278" s="17"/>
      <c r="L278" s="17"/>
      <c r="M278" s="17"/>
      <c r="N278" s="17"/>
      <c r="O278" s="186"/>
      <c r="P278" s="17"/>
    </row>
    <row r="279" ht="15.75" customHeight="1">
      <c r="A279" s="17"/>
      <c r="B279" s="270"/>
      <c r="C279" s="270"/>
      <c r="D279" s="271"/>
      <c r="E279" s="271"/>
      <c r="F279" s="271"/>
      <c r="G279" s="271"/>
      <c r="H279" s="271"/>
      <c r="I279" s="272"/>
      <c r="J279" s="272"/>
      <c r="K279" s="17"/>
      <c r="L279" s="17"/>
      <c r="M279" s="17"/>
      <c r="N279" s="17"/>
      <c r="O279" s="186"/>
      <c r="P279" s="17"/>
    </row>
    <row r="280" ht="15.75" customHeight="1">
      <c r="A280" s="17"/>
      <c r="B280" s="270"/>
      <c r="C280" s="270"/>
      <c r="D280" s="271"/>
      <c r="E280" s="271"/>
      <c r="F280" s="271"/>
      <c r="G280" s="271"/>
      <c r="H280" s="271"/>
      <c r="I280" s="272"/>
      <c r="J280" s="272"/>
      <c r="K280" s="17"/>
      <c r="L280" s="17"/>
      <c r="M280" s="17"/>
      <c r="N280" s="17"/>
      <c r="O280" s="186"/>
      <c r="P280" s="17"/>
    </row>
    <row r="281" ht="15.75" customHeight="1">
      <c r="A281" s="17"/>
      <c r="B281" s="270"/>
      <c r="C281" s="270"/>
      <c r="D281" s="271"/>
      <c r="E281" s="271"/>
      <c r="F281" s="271"/>
      <c r="G281" s="271"/>
      <c r="H281" s="271"/>
      <c r="I281" s="272"/>
      <c r="J281" s="272"/>
      <c r="K281" s="17"/>
      <c r="L281" s="17"/>
      <c r="M281" s="17"/>
      <c r="N281" s="17"/>
      <c r="O281" s="186"/>
      <c r="P281" s="17"/>
    </row>
    <row r="282" ht="15.75" customHeight="1">
      <c r="A282" s="17"/>
      <c r="B282" s="270"/>
      <c r="C282" s="270"/>
      <c r="D282" s="271"/>
      <c r="E282" s="271"/>
      <c r="F282" s="271"/>
      <c r="G282" s="271"/>
      <c r="H282" s="271"/>
      <c r="I282" s="272"/>
      <c r="J282" s="272"/>
      <c r="K282" s="17"/>
      <c r="L282" s="17"/>
      <c r="M282" s="17"/>
      <c r="N282" s="17"/>
      <c r="O282" s="186"/>
      <c r="P282" s="17"/>
    </row>
    <row r="283" ht="15.75" customHeight="1">
      <c r="A283" s="17"/>
      <c r="B283" s="270"/>
      <c r="C283" s="270"/>
      <c r="D283" s="271"/>
      <c r="E283" s="271"/>
      <c r="F283" s="271"/>
      <c r="G283" s="271"/>
      <c r="H283" s="271"/>
      <c r="I283" s="272"/>
      <c r="J283" s="272"/>
      <c r="K283" s="17"/>
      <c r="L283" s="17"/>
      <c r="M283" s="17"/>
      <c r="N283" s="17"/>
      <c r="O283" s="186"/>
      <c r="P283" s="17"/>
    </row>
    <row r="284" ht="15.75" customHeight="1">
      <c r="A284" s="17"/>
      <c r="B284" s="270"/>
      <c r="C284" s="270"/>
      <c r="D284" s="271"/>
      <c r="E284" s="271"/>
      <c r="F284" s="271"/>
      <c r="G284" s="271"/>
      <c r="H284" s="271"/>
      <c r="I284" s="272"/>
      <c r="J284" s="272"/>
      <c r="K284" s="17"/>
      <c r="L284" s="17"/>
      <c r="M284" s="17"/>
      <c r="N284" s="17"/>
      <c r="O284" s="186"/>
      <c r="P284" s="17"/>
    </row>
    <row r="285" ht="15.75" customHeight="1">
      <c r="A285" s="17"/>
      <c r="B285" s="270"/>
      <c r="C285" s="270"/>
      <c r="D285" s="271"/>
      <c r="E285" s="271"/>
      <c r="F285" s="271"/>
      <c r="G285" s="271"/>
      <c r="H285" s="271"/>
      <c r="I285" s="272"/>
      <c r="J285" s="272"/>
      <c r="K285" s="17"/>
      <c r="L285" s="17"/>
      <c r="M285" s="17"/>
      <c r="N285" s="17"/>
      <c r="O285" s="186"/>
      <c r="P285" s="17"/>
    </row>
    <row r="286" ht="15.75" customHeight="1">
      <c r="A286" s="17"/>
      <c r="B286" s="270"/>
      <c r="C286" s="270"/>
      <c r="D286" s="271"/>
      <c r="E286" s="271"/>
      <c r="F286" s="271"/>
      <c r="G286" s="271"/>
      <c r="H286" s="271"/>
      <c r="I286" s="272"/>
      <c r="J286" s="272"/>
      <c r="K286" s="17"/>
      <c r="L286" s="17"/>
      <c r="M286" s="17"/>
      <c r="N286" s="17"/>
      <c r="O286" s="186"/>
      <c r="P286" s="17"/>
    </row>
    <row r="287" ht="15.75" customHeight="1">
      <c r="A287" s="17"/>
      <c r="B287" s="270"/>
      <c r="C287" s="270"/>
      <c r="D287" s="271"/>
      <c r="E287" s="271"/>
      <c r="F287" s="271"/>
      <c r="G287" s="271"/>
      <c r="H287" s="271"/>
      <c r="I287" s="272"/>
      <c r="J287" s="272"/>
      <c r="K287" s="17"/>
      <c r="L287" s="17"/>
      <c r="M287" s="17"/>
      <c r="N287" s="17"/>
      <c r="O287" s="186"/>
      <c r="P287" s="17"/>
    </row>
    <row r="288" ht="15.75" customHeight="1">
      <c r="A288" s="17"/>
      <c r="B288" s="270"/>
      <c r="C288" s="270"/>
      <c r="D288" s="271"/>
      <c r="E288" s="271"/>
      <c r="F288" s="271"/>
      <c r="G288" s="271"/>
      <c r="H288" s="271"/>
      <c r="I288" s="272"/>
      <c r="J288" s="272"/>
      <c r="K288" s="17"/>
      <c r="L288" s="17"/>
      <c r="M288" s="17"/>
      <c r="N288" s="17"/>
      <c r="O288" s="186"/>
      <c r="P288" s="17"/>
    </row>
    <row r="289" ht="15.75" customHeight="1">
      <c r="A289" s="17"/>
      <c r="B289" s="270"/>
      <c r="C289" s="270"/>
      <c r="D289" s="271"/>
      <c r="E289" s="271"/>
      <c r="F289" s="271"/>
      <c r="G289" s="271"/>
      <c r="H289" s="271"/>
      <c r="I289" s="272"/>
      <c r="J289" s="272"/>
      <c r="K289" s="17"/>
      <c r="L289" s="17"/>
      <c r="M289" s="17"/>
      <c r="N289" s="17"/>
      <c r="O289" s="186"/>
      <c r="P289" s="17"/>
    </row>
    <row r="290" ht="15.75" customHeight="1">
      <c r="A290" s="17"/>
      <c r="B290" s="270"/>
      <c r="C290" s="270"/>
      <c r="D290" s="271"/>
      <c r="E290" s="271"/>
      <c r="F290" s="271"/>
      <c r="G290" s="271"/>
      <c r="H290" s="271"/>
      <c r="I290" s="272"/>
      <c r="J290" s="272"/>
      <c r="K290" s="17"/>
      <c r="L290" s="17"/>
      <c r="M290" s="17"/>
      <c r="N290" s="17"/>
      <c r="O290" s="186"/>
      <c r="P290" s="17"/>
    </row>
    <row r="291" ht="15.75" customHeight="1">
      <c r="A291" s="17"/>
      <c r="B291" s="270"/>
      <c r="C291" s="270"/>
      <c r="D291" s="271"/>
      <c r="E291" s="271"/>
      <c r="F291" s="271"/>
      <c r="G291" s="271"/>
      <c r="H291" s="271"/>
      <c r="I291" s="272"/>
      <c r="J291" s="272"/>
      <c r="K291" s="17"/>
      <c r="L291" s="17"/>
      <c r="M291" s="17"/>
      <c r="N291" s="17"/>
      <c r="O291" s="186"/>
      <c r="P291" s="17"/>
    </row>
    <row r="292" ht="15.75" customHeight="1">
      <c r="A292" s="17"/>
      <c r="B292" s="270"/>
      <c r="C292" s="270"/>
      <c r="D292" s="271"/>
      <c r="E292" s="271"/>
      <c r="F292" s="271"/>
      <c r="G292" s="271"/>
      <c r="H292" s="271"/>
      <c r="I292" s="272"/>
      <c r="J292" s="272"/>
      <c r="K292" s="17"/>
      <c r="L292" s="17"/>
      <c r="M292" s="17"/>
      <c r="N292" s="17"/>
      <c r="O292" s="186"/>
      <c r="P292" s="17"/>
    </row>
    <row r="293" ht="15.75" customHeight="1">
      <c r="A293" s="17"/>
      <c r="B293" s="270"/>
      <c r="C293" s="270"/>
      <c r="D293" s="271"/>
      <c r="E293" s="271"/>
      <c r="F293" s="271"/>
      <c r="G293" s="271"/>
      <c r="H293" s="271"/>
      <c r="I293" s="272"/>
      <c r="J293" s="272"/>
      <c r="K293" s="17"/>
      <c r="L293" s="17"/>
      <c r="M293" s="17"/>
      <c r="N293" s="17"/>
      <c r="O293" s="186"/>
      <c r="P293" s="17"/>
    </row>
    <row r="294" ht="15.75" customHeight="1">
      <c r="A294" s="17"/>
      <c r="B294" s="270"/>
      <c r="C294" s="270"/>
      <c r="D294" s="271"/>
      <c r="E294" s="271"/>
      <c r="F294" s="271"/>
      <c r="G294" s="271"/>
      <c r="H294" s="271"/>
      <c r="I294" s="272"/>
      <c r="J294" s="272"/>
      <c r="K294" s="17"/>
      <c r="L294" s="17"/>
      <c r="M294" s="17"/>
      <c r="N294" s="17"/>
      <c r="O294" s="186"/>
      <c r="P294" s="17"/>
    </row>
    <row r="295" ht="15.75" customHeight="1">
      <c r="A295" s="17"/>
      <c r="B295" s="270"/>
      <c r="C295" s="270"/>
      <c r="D295" s="271"/>
      <c r="E295" s="271"/>
      <c r="F295" s="271"/>
      <c r="G295" s="271"/>
      <c r="H295" s="271"/>
      <c r="I295" s="272"/>
      <c r="J295" s="272"/>
      <c r="K295" s="17"/>
      <c r="L295" s="17"/>
      <c r="M295" s="17"/>
      <c r="N295" s="17"/>
      <c r="O295" s="186"/>
      <c r="P295" s="17"/>
    </row>
    <row r="296" ht="15.75" customHeight="1">
      <c r="A296" s="17"/>
      <c r="B296" s="270"/>
      <c r="C296" s="270"/>
      <c r="D296" s="271"/>
      <c r="E296" s="271"/>
      <c r="F296" s="271"/>
      <c r="G296" s="271"/>
      <c r="H296" s="271"/>
      <c r="I296" s="272"/>
      <c r="J296" s="272"/>
      <c r="K296" s="17"/>
      <c r="L296" s="17"/>
      <c r="M296" s="17"/>
      <c r="N296" s="17"/>
      <c r="O296" s="186"/>
      <c r="P296" s="17"/>
    </row>
    <row r="297" ht="15.75" customHeight="1">
      <c r="A297" s="17"/>
      <c r="B297" s="270"/>
      <c r="C297" s="270"/>
      <c r="D297" s="271"/>
      <c r="E297" s="271"/>
      <c r="F297" s="271"/>
      <c r="G297" s="271"/>
      <c r="H297" s="271"/>
      <c r="I297" s="272"/>
      <c r="J297" s="272"/>
      <c r="K297" s="17"/>
      <c r="L297" s="17"/>
      <c r="M297" s="17"/>
      <c r="N297" s="17"/>
      <c r="O297" s="186"/>
      <c r="P297" s="17"/>
    </row>
    <row r="298" ht="15.75" customHeight="1">
      <c r="A298" s="17"/>
      <c r="B298" s="270"/>
      <c r="C298" s="270"/>
      <c r="D298" s="271"/>
      <c r="E298" s="271"/>
      <c r="F298" s="271"/>
      <c r="G298" s="271"/>
      <c r="H298" s="271"/>
      <c r="I298" s="272"/>
      <c r="J298" s="272"/>
      <c r="K298" s="17"/>
      <c r="L298" s="17"/>
      <c r="M298" s="17"/>
      <c r="N298" s="17"/>
      <c r="O298" s="186"/>
      <c r="P298" s="17"/>
    </row>
    <row r="299" ht="15.75" customHeight="1">
      <c r="A299" s="17"/>
      <c r="B299" s="270"/>
      <c r="C299" s="270"/>
      <c r="D299" s="271"/>
      <c r="E299" s="271"/>
      <c r="F299" s="271"/>
      <c r="G299" s="271"/>
      <c r="H299" s="271"/>
      <c r="I299" s="272"/>
      <c r="J299" s="272"/>
      <c r="K299" s="17"/>
      <c r="L299" s="17"/>
      <c r="M299" s="17"/>
      <c r="N299" s="17"/>
      <c r="O299" s="186"/>
      <c r="P299" s="17"/>
    </row>
    <row r="300" ht="15.75" customHeight="1">
      <c r="A300" s="17"/>
      <c r="B300" s="270"/>
      <c r="C300" s="270"/>
      <c r="D300" s="271"/>
      <c r="E300" s="271"/>
      <c r="F300" s="271"/>
      <c r="G300" s="271"/>
      <c r="H300" s="271"/>
      <c r="I300" s="272"/>
      <c r="J300" s="272"/>
      <c r="K300" s="17"/>
      <c r="L300" s="17"/>
      <c r="M300" s="17"/>
      <c r="N300" s="17"/>
      <c r="O300" s="186"/>
      <c r="P300" s="17"/>
    </row>
    <row r="301" ht="15.75" customHeight="1">
      <c r="A301" s="17"/>
      <c r="B301" s="270"/>
      <c r="C301" s="270"/>
      <c r="D301" s="271"/>
      <c r="E301" s="271"/>
      <c r="F301" s="271"/>
      <c r="G301" s="271"/>
      <c r="H301" s="271"/>
      <c r="I301" s="272"/>
      <c r="J301" s="272"/>
      <c r="K301" s="17"/>
      <c r="L301" s="17"/>
      <c r="M301" s="17"/>
      <c r="N301" s="17"/>
      <c r="O301" s="186"/>
      <c r="P301" s="17"/>
    </row>
    <row r="302" ht="15.75" customHeight="1">
      <c r="A302" s="17"/>
      <c r="B302" s="270"/>
      <c r="C302" s="270"/>
      <c r="D302" s="271"/>
      <c r="E302" s="271"/>
      <c r="F302" s="271"/>
      <c r="G302" s="271"/>
      <c r="H302" s="271"/>
      <c r="I302" s="272"/>
      <c r="J302" s="272"/>
      <c r="K302" s="17"/>
      <c r="L302" s="17"/>
      <c r="M302" s="17"/>
      <c r="N302" s="17"/>
      <c r="O302" s="186"/>
      <c r="P302" s="17"/>
    </row>
    <row r="303" ht="15.75" customHeight="1">
      <c r="A303" s="17"/>
      <c r="B303" s="270"/>
      <c r="C303" s="270"/>
      <c r="D303" s="271"/>
      <c r="E303" s="271"/>
      <c r="F303" s="271"/>
      <c r="G303" s="271"/>
      <c r="H303" s="271"/>
      <c r="I303" s="272"/>
      <c r="J303" s="272"/>
      <c r="K303" s="17"/>
      <c r="L303" s="17"/>
      <c r="M303" s="17"/>
      <c r="N303" s="17"/>
      <c r="O303" s="186"/>
      <c r="P303" s="17"/>
    </row>
    <row r="304" ht="15.75" customHeight="1">
      <c r="A304" s="17"/>
      <c r="B304" s="270"/>
      <c r="C304" s="270"/>
      <c r="D304" s="271"/>
      <c r="E304" s="271"/>
      <c r="F304" s="271"/>
      <c r="G304" s="271"/>
      <c r="H304" s="271"/>
      <c r="I304" s="272"/>
      <c r="J304" s="272"/>
      <c r="K304" s="17"/>
      <c r="L304" s="17"/>
      <c r="M304" s="17"/>
      <c r="N304" s="17"/>
      <c r="O304" s="186"/>
      <c r="P304" s="17"/>
    </row>
    <row r="305" ht="15.75" customHeight="1">
      <c r="A305" s="17"/>
      <c r="B305" s="270"/>
      <c r="C305" s="270"/>
      <c r="D305" s="271"/>
      <c r="E305" s="271"/>
      <c r="F305" s="271"/>
      <c r="G305" s="271"/>
      <c r="H305" s="271"/>
      <c r="I305" s="272"/>
      <c r="J305" s="272"/>
      <c r="K305" s="17"/>
      <c r="L305" s="17"/>
      <c r="M305" s="17"/>
      <c r="N305" s="17"/>
      <c r="O305" s="186"/>
      <c r="P305" s="17"/>
    </row>
    <row r="306" ht="15.75" customHeight="1">
      <c r="A306" s="17"/>
      <c r="B306" s="270"/>
      <c r="C306" s="270"/>
      <c r="D306" s="271"/>
      <c r="E306" s="271"/>
      <c r="F306" s="271"/>
      <c r="G306" s="271"/>
      <c r="H306" s="271"/>
      <c r="I306" s="272"/>
      <c r="J306" s="272"/>
      <c r="K306" s="17"/>
      <c r="L306" s="17"/>
      <c r="M306" s="17"/>
      <c r="N306" s="17"/>
      <c r="O306" s="186"/>
      <c r="P306" s="17"/>
    </row>
    <row r="307" ht="15.75" customHeight="1">
      <c r="A307" s="17"/>
      <c r="B307" s="270"/>
      <c r="C307" s="270"/>
      <c r="D307" s="271"/>
      <c r="E307" s="271"/>
      <c r="F307" s="271"/>
      <c r="G307" s="271"/>
      <c r="H307" s="271"/>
      <c r="I307" s="272"/>
      <c r="J307" s="272"/>
      <c r="K307" s="17"/>
      <c r="L307" s="17"/>
      <c r="M307" s="17"/>
      <c r="N307" s="17"/>
      <c r="O307" s="186"/>
      <c r="P307" s="17"/>
    </row>
    <row r="308" ht="15.75" customHeight="1">
      <c r="A308" s="17"/>
      <c r="B308" s="270"/>
      <c r="C308" s="270"/>
      <c r="D308" s="271"/>
      <c r="E308" s="271"/>
      <c r="F308" s="271"/>
      <c r="G308" s="271"/>
      <c r="H308" s="271"/>
      <c r="I308" s="272"/>
      <c r="J308" s="272"/>
      <c r="K308" s="17"/>
      <c r="L308" s="17"/>
      <c r="M308" s="17"/>
      <c r="N308" s="17"/>
      <c r="O308" s="186"/>
      <c r="P308" s="17"/>
    </row>
    <row r="309" ht="15.75" customHeight="1">
      <c r="A309" s="17"/>
      <c r="B309" s="270"/>
      <c r="C309" s="270"/>
      <c r="D309" s="271"/>
      <c r="E309" s="271"/>
      <c r="F309" s="271"/>
      <c r="G309" s="271"/>
      <c r="H309" s="271"/>
      <c r="I309" s="272"/>
      <c r="J309" s="272"/>
      <c r="K309" s="17"/>
      <c r="L309" s="17"/>
      <c r="M309" s="17"/>
      <c r="N309" s="17"/>
      <c r="O309" s="186"/>
      <c r="P309" s="17"/>
    </row>
    <row r="310" ht="15.75" customHeight="1">
      <c r="A310" s="17"/>
      <c r="B310" s="270"/>
      <c r="C310" s="270"/>
      <c r="D310" s="271"/>
      <c r="E310" s="271"/>
      <c r="F310" s="271"/>
      <c r="G310" s="271"/>
      <c r="H310" s="271"/>
      <c r="I310" s="272"/>
      <c r="J310" s="272"/>
      <c r="K310" s="17"/>
      <c r="L310" s="17"/>
      <c r="M310" s="17"/>
      <c r="N310" s="17"/>
      <c r="O310" s="186"/>
      <c r="P310" s="17"/>
    </row>
    <row r="311" ht="15.75" customHeight="1">
      <c r="A311" s="17"/>
      <c r="B311" s="270"/>
      <c r="C311" s="270"/>
      <c r="D311" s="271"/>
      <c r="E311" s="271"/>
      <c r="F311" s="271"/>
      <c r="G311" s="271"/>
      <c r="H311" s="271"/>
      <c r="I311" s="272"/>
      <c r="J311" s="272"/>
      <c r="K311" s="17"/>
      <c r="L311" s="17"/>
      <c r="M311" s="17"/>
      <c r="N311" s="17"/>
      <c r="O311" s="186"/>
      <c r="P311" s="17"/>
    </row>
    <row r="312" ht="15.75" customHeight="1">
      <c r="A312" s="17"/>
      <c r="B312" s="270"/>
      <c r="C312" s="270"/>
      <c r="D312" s="271"/>
      <c r="E312" s="271"/>
      <c r="F312" s="271"/>
      <c r="G312" s="271"/>
      <c r="H312" s="271"/>
      <c r="I312" s="272"/>
      <c r="J312" s="272"/>
      <c r="K312" s="17"/>
      <c r="L312" s="17"/>
      <c r="M312" s="17"/>
      <c r="N312" s="17"/>
      <c r="O312" s="186"/>
      <c r="P312" s="17"/>
    </row>
    <row r="313" ht="15.75" customHeight="1">
      <c r="A313" s="17"/>
      <c r="B313" s="270"/>
      <c r="C313" s="270"/>
      <c r="D313" s="271"/>
      <c r="E313" s="271"/>
      <c r="F313" s="271"/>
      <c r="G313" s="271"/>
      <c r="H313" s="271"/>
      <c r="I313" s="272"/>
      <c r="J313" s="272"/>
      <c r="K313" s="17"/>
      <c r="L313" s="17"/>
      <c r="M313" s="17"/>
      <c r="N313" s="17"/>
      <c r="O313" s="186"/>
      <c r="P313" s="17"/>
    </row>
    <row r="314" ht="15.75" customHeight="1">
      <c r="A314" s="17"/>
      <c r="B314" s="270"/>
      <c r="C314" s="270"/>
      <c r="D314" s="271"/>
      <c r="E314" s="271"/>
      <c r="F314" s="271"/>
      <c r="G314" s="271"/>
      <c r="H314" s="271"/>
      <c r="I314" s="272"/>
      <c r="J314" s="272"/>
      <c r="K314" s="17"/>
      <c r="L314" s="17"/>
      <c r="M314" s="17"/>
      <c r="N314" s="17"/>
      <c r="O314" s="186"/>
      <c r="P314" s="17"/>
    </row>
    <row r="315" ht="15.75" customHeight="1">
      <c r="A315" s="17"/>
      <c r="B315" s="270"/>
      <c r="C315" s="270"/>
      <c r="D315" s="271"/>
      <c r="E315" s="271"/>
      <c r="F315" s="271"/>
      <c r="G315" s="271"/>
      <c r="H315" s="271"/>
      <c r="I315" s="272"/>
      <c r="J315" s="272"/>
      <c r="K315" s="17"/>
      <c r="L315" s="17"/>
      <c r="M315" s="17"/>
      <c r="N315" s="17"/>
      <c r="O315" s="186"/>
      <c r="P315" s="17"/>
    </row>
    <row r="316" ht="15.75" customHeight="1">
      <c r="A316" s="17"/>
      <c r="B316" s="270"/>
      <c r="C316" s="270"/>
      <c r="D316" s="271"/>
      <c r="E316" s="271"/>
      <c r="F316" s="271"/>
      <c r="G316" s="271"/>
      <c r="H316" s="271"/>
      <c r="I316" s="272"/>
      <c r="J316" s="272"/>
      <c r="K316" s="17"/>
      <c r="L316" s="17"/>
      <c r="M316" s="17"/>
      <c r="N316" s="17"/>
      <c r="O316" s="186"/>
      <c r="P316" s="17"/>
    </row>
    <row r="317" ht="15.75" customHeight="1">
      <c r="A317" s="17"/>
      <c r="B317" s="270"/>
      <c r="C317" s="270"/>
      <c r="D317" s="271"/>
      <c r="E317" s="271"/>
      <c r="F317" s="271"/>
      <c r="G317" s="271"/>
      <c r="H317" s="271"/>
      <c r="I317" s="272"/>
      <c r="J317" s="272"/>
      <c r="K317" s="17"/>
      <c r="L317" s="17"/>
      <c r="M317" s="17"/>
      <c r="N317" s="17"/>
      <c r="O317" s="186"/>
      <c r="P317" s="17"/>
    </row>
    <row r="318" ht="15.75" customHeight="1">
      <c r="A318" s="17"/>
      <c r="B318" s="270"/>
      <c r="C318" s="270"/>
      <c r="D318" s="271"/>
      <c r="E318" s="271"/>
      <c r="F318" s="271"/>
      <c r="G318" s="271"/>
      <c r="H318" s="271"/>
      <c r="I318" s="272"/>
      <c r="J318" s="272"/>
      <c r="K318" s="17"/>
      <c r="L318" s="17"/>
      <c r="M318" s="17"/>
      <c r="N318" s="17"/>
      <c r="O318" s="186"/>
      <c r="P318" s="17"/>
    </row>
    <row r="319" ht="15.75" customHeight="1">
      <c r="A319" s="17"/>
      <c r="B319" s="270"/>
      <c r="C319" s="270"/>
      <c r="D319" s="271"/>
      <c r="E319" s="271"/>
      <c r="F319" s="271"/>
      <c r="G319" s="271"/>
      <c r="H319" s="271"/>
      <c r="I319" s="272"/>
      <c r="J319" s="272"/>
      <c r="K319" s="17"/>
      <c r="L319" s="17"/>
      <c r="M319" s="17"/>
      <c r="N319" s="17"/>
      <c r="O319" s="186"/>
      <c r="P319" s="17"/>
    </row>
    <row r="320" ht="15.75" customHeight="1">
      <c r="A320" s="17"/>
      <c r="B320" s="270"/>
      <c r="C320" s="270"/>
      <c r="D320" s="271"/>
      <c r="E320" s="271"/>
      <c r="F320" s="271"/>
      <c r="G320" s="271"/>
      <c r="H320" s="271"/>
      <c r="I320" s="272"/>
      <c r="J320" s="272"/>
      <c r="K320" s="17"/>
      <c r="L320" s="17"/>
      <c r="M320" s="17"/>
      <c r="N320" s="17"/>
      <c r="O320" s="186"/>
      <c r="P320" s="17"/>
    </row>
    <row r="321" ht="15.75" customHeight="1">
      <c r="A321" s="17"/>
      <c r="B321" s="270"/>
      <c r="C321" s="270"/>
      <c r="D321" s="271"/>
      <c r="E321" s="271"/>
      <c r="F321" s="271"/>
      <c r="G321" s="271"/>
      <c r="H321" s="271"/>
      <c r="I321" s="272"/>
      <c r="J321" s="272"/>
      <c r="K321" s="17"/>
      <c r="L321" s="17"/>
      <c r="M321" s="17"/>
      <c r="N321" s="17"/>
      <c r="O321" s="186"/>
      <c r="P321" s="17"/>
    </row>
    <row r="322" ht="15.75" customHeight="1">
      <c r="A322" s="17"/>
      <c r="B322" s="270"/>
      <c r="C322" s="270"/>
      <c r="D322" s="271"/>
      <c r="E322" s="271"/>
      <c r="F322" s="271"/>
      <c r="G322" s="271"/>
      <c r="H322" s="271"/>
      <c r="I322" s="272"/>
      <c r="J322" s="272"/>
      <c r="K322" s="17"/>
      <c r="L322" s="17"/>
      <c r="M322" s="17"/>
      <c r="N322" s="17"/>
      <c r="O322" s="186"/>
      <c r="P322" s="17"/>
    </row>
    <row r="323" ht="15.75" customHeight="1">
      <c r="A323" s="17"/>
      <c r="B323" s="270"/>
      <c r="C323" s="270"/>
      <c r="D323" s="271"/>
      <c r="E323" s="271"/>
      <c r="F323" s="271"/>
      <c r="G323" s="271"/>
      <c r="H323" s="271"/>
      <c r="I323" s="272"/>
      <c r="J323" s="272"/>
      <c r="K323" s="17"/>
      <c r="L323" s="17"/>
      <c r="M323" s="17"/>
      <c r="N323" s="17"/>
      <c r="O323" s="186"/>
      <c r="P323" s="17"/>
    </row>
    <row r="324" ht="15.75" customHeight="1">
      <c r="A324" s="17"/>
      <c r="B324" s="270"/>
      <c r="C324" s="270"/>
      <c r="D324" s="271"/>
      <c r="E324" s="271"/>
      <c r="F324" s="271"/>
      <c r="G324" s="271"/>
      <c r="H324" s="271"/>
      <c r="I324" s="272"/>
      <c r="J324" s="272"/>
      <c r="K324" s="17"/>
      <c r="L324" s="17"/>
      <c r="M324" s="17"/>
      <c r="N324" s="17"/>
      <c r="O324" s="186"/>
      <c r="P324" s="17"/>
    </row>
    <row r="325" ht="15.75" customHeight="1">
      <c r="A325" s="17"/>
      <c r="B325" s="270"/>
      <c r="C325" s="270"/>
      <c r="D325" s="271"/>
      <c r="E325" s="271"/>
      <c r="F325" s="271"/>
      <c r="G325" s="271"/>
      <c r="H325" s="271"/>
      <c r="I325" s="272"/>
      <c r="J325" s="272"/>
      <c r="K325" s="17"/>
      <c r="L325" s="17"/>
      <c r="M325" s="17"/>
      <c r="N325" s="17"/>
      <c r="O325" s="186"/>
      <c r="P325" s="17"/>
    </row>
    <row r="326" ht="15.75" customHeight="1">
      <c r="A326" s="17"/>
      <c r="B326" s="270"/>
      <c r="C326" s="270"/>
      <c r="D326" s="271"/>
      <c r="E326" s="271"/>
      <c r="F326" s="271"/>
      <c r="G326" s="271"/>
      <c r="H326" s="271"/>
      <c r="I326" s="272"/>
      <c r="J326" s="272"/>
      <c r="K326" s="17"/>
      <c r="L326" s="17"/>
      <c r="M326" s="17"/>
      <c r="N326" s="17"/>
      <c r="O326" s="186"/>
      <c r="P326" s="17"/>
    </row>
    <row r="327" ht="15.75" customHeight="1">
      <c r="A327" s="17"/>
      <c r="B327" s="270"/>
      <c r="C327" s="270"/>
      <c r="D327" s="271"/>
      <c r="E327" s="271"/>
      <c r="F327" s="271"/>
      <c r="G327" s="271"/>
      <c r="H327" s="271"/>
      <c r="I327" s="272"/>
      <c r="J327" s="272"/>
      <c r="K327" s="17"/>
      <c r="L327" s="17"/>
      <c r="M327" s="17"/>
      <c r="N327" s="17"/>
      <c r="O327" s="186"/>
      <c r="P327" s="17"/>
    </row>
    <row r="328" ht="15.75" customHeight="1">
      <c r="A328" s="17"/>
      <c r="B328" s="270"/>
      <c r="C328" s="270"/>
      <c r="D328" s="271"/>
      <c r="E328" s="271"/>
      <c r="F328" s="271"/>
      <c r="G328" s="271"/>
      <c r="H328" s="271"/>
      <c r="I328" s="272"/>
      <c r="J328" s="272"/>
      <c r="K328" s="17"/>
      <c r="L328" s="17"/>
      <c r="M328" s="17"/>
      <c r="N328" s="17"/>
      <c r="O328" s="186"/>
      <c r="P328" s="17"/>
    </row>
    <row r="329" ht="15.75" customHeight="1">
      <c r="A329" s="17"/>
      <c r="B329" s="270"/>
      <c r="C329" s="270"/>
      <c r="D329" s="271"/>
      <c r="E329" s="271"/>
      <c r="F329" s="271"/>
      <c r="G329" s="271"/>
      <c r="H329" s="271"/>
      <c r="I329" s="272"/>
      <c r="J329" s="272"/>
      <c r="K329" s="17"/>
      <c r="L329" s="17"/>
      <c r="M329" s="17"/>
      <c r="N329" s="17"/>
      <c r="O329" s="186"/>
      <c r="P329" s="17"/>
    </row>
    <row r="330" ht="15.75" customHeight="1">
      <c r="A330" s="17"/>
      <c r="B330" s="270"/>
      <c r="C330" s="270"/>
      <c r="D330" s="271"/>
      <c r="E330" s="271"/>
      <c r="F330" s="271"/>
      <c r="G330" s="271"/>
      <c r="H330" s="271"/>
      <c r="I330" s="272"/>
      <c r="J330" s="272"/>
      <c r="K330" s="17"/>
      <c r="L330" s="17"/>
      <c r="M330" s="17"/>
      <c r="N330" s="17"/>
      <c r="O330" s="186"/>
      <c r="P330" s="17"/>
    </row>
    <row r="331" ht="15.75" customHeight="1">
      <c r="A331" s="17"/>
      <c r="B331" s="270"/>
      <c r="C331" s="270"/>
      <c r="D331" s="271"/>
      <c r="E331" s="271"/>
      <c r="F331" s="271"/>
      <c r="G331" s="271"/>
      <c r="H331" s="271"/>
      <c r="I331" s="272"/>
      <c r="J331" s="272"/>
      <c r="K331" s="17"/>
      <c r="L331" s="17"/>
      <c r="M331" s="17"/>
      <c r="N331" s="17"/>
      <c r="O331" s="186"/>
      <c r="P331" s="17"/>
    </row>
    <row r="332" ht="15.75" customHeight="1">
      <c r="A332" s="17"/>
      <c r="B332" s="270"/>
      <c r="C332" s="270"/>
      <c r="D332" s="271"/>
      <c r="E332" s="271"/>
      <c r="F332" s="271"/>
      <c r="G332" s="271"/>
      <c r="H332" s="271"/>
      <c r="I332" s="272"/>
      <c r="J332" s="272"/>
      <c r="K332" s="17"/>
      <c r="L332" s="17"/>
      <c r="M332" s="17"/>
      <c r="N332" s="17"/>
      <c r="O332" s="186"/>
      <c r="P332" s="17"/>
    </row>
    <row r="333" ht="15.75" customHeight="1">
      <c r="A333" s="17"/>
      <c r="B333" s="270"/>
      <c r="C333" s="270"/>
      <c r="D333" s="271"/>
      <c r="E333" s="271"/>
      <c r="F333" s="271"/>
      <c r="G333" s="271"/>
      <c r="H333" s="271"/>
      <c r="I333" s="272"/>
      <c r="J333" s="272"/>
      <c r="K333" s="17"/>
      <c r="L333" s="17"/>
      <c r="M333" s="17"/>
      <c r="N333" s="17"/>
      <c r="O333" s="186"/>
      <c r="P333" s="17"/>
    </row>
    <row r="334" ht="15.75" customHeight="1">
      <c r="A334" s="17"/>
      <c r="B334" s="270"/>
      <c r="C334" s="270"/>
      <c r="D334" s="271"/>
      <c r="E334" s="271"/>
      <c r="F334" s="271"/>
      <c r="G334" s="271"/>
      <c r="H334" s="271"/>
      <c r="I334" s="272"/>
      <c r="J334" s="272"/>
      <c r="K334" s="17"/>
      <c r="L334" s="17"/>
      <c r="M334" s="17"/>
      <c r="N334" s="17"/>
      <c r="O334" s="186"/>
      <c r="P334" s="17"/>
    </row>
    <row r="335" ht="15.75" customHeight="1">
      <c r="A335" s="17"/>
      <c r="B335" s="270"/>
      <c r="C335" s="270"/>
      <c r="D335" s="271"/>
      <c r="E335" s="271"/>
      <c r="F335" s="271"/>
      <c r="G335" s="271"/>
      <c r="H335" s="271"/>
      <c r="I335" s="272"/>
      <c r="J335" s="272"/>
      <c r="K335" s="17"/>
      <c r="L335" s="17"/>
      <c r="M335" s="17"/>
      <c r="N335" s="17"/>
      <c r="O335" s="186"/>
      <c r="P335" s="17"/>
    </row>
    <row r="336" ht="15.75" customHeight="1">
      <c r="A336" s="17"/>
      <c r="B336" s="270"/>
      <c r="C336" s="270"/>
      <c r="D336" s="271"/>
      <c r="E336" s="271"/>
      <c r="F336" s="271"/>
      <c r="G336" s="271"/>
      <c r="H336" s="271"/>
      <c r="I336" s="272"/>
      <c r="J336" s="272"/>
      <c r="K336" s="17"/>
      <c r="L336" s="17"/>
      <c r="M336" s="17"/>
      <c r="N336" s="17"/>
      <c r="O336" s="186"/>
      <c r="P336" s="17"/>
    </row>
    <row r="337" ht="15.75" customHeight="1">
      <c r="A337" s="17"/>
      <c r="B337" s="270"/>
      <c r="C337" s="270"/>
      <c r="D337" s="271"/>
      <c r="E337" s="271"/>
      <c r="F337" s="271"/>
      <c r="G337" s="271"/>
      <c r="H337" s="271"/>
      <c r="I337" s="272"/>
      <c r="J337" s="272"/>
      <c r="K337" s="17"/>
      <c r="L337" s="17"/>
      <c r="M337" s="17"/>
      <c r="N337" s="17"/>
      <c r="O337" s="186"/>
      <c r="P337" s="17"/>
    </row>
    <row r="338" ht="15.75" customHeight="1">
      <c r="A338" s="17"/>
      <c r="B338" s="270"/>
      <c r="C338" s="270"/>
      <c r="D338" s="271"/>
      <c r="E338" s="271"/>
      <c r="F338" s="271"/>
      <c r="G338" s="271"/>
      <c r="H338" s="271"/>
      <c r="I338" s="272"/>
      <c r="J338" s="272"/>
      <c r="K338" s="17"/>
      <c r="L338" s="17"/>
      <c r="M338" s="17"/>
      <c r="N338" s="17"/>
      <c r="O338" s="186"/>
      <c r="P338" s="17"/>
    </row>
    <row r="339" ht="15.75" customHeight="1">
      <c r="A339" s="17"/>
      <c r="B339" s="270"/>
      <c r="C339" s="270"/>
      <c r="D339" s="271"/>
      <c r="E339" s="271"/>
      <c r="F339" s="271"/>
      <c r="G339" s="271"/>
      <c r="H339" s="271"/>
      <c r="I339" s="272"/>
      <c r="J339" s="272"/>
      <c r="K339" s="17"/>
      <c r="L339" s="17"/>
      <c r="M339" s="17"/>
      <c r="N339" s="17"/>
      <c r="O339" s="186"/>
      <c r="P339" s="17"/>
    </row>
    <row r="340" ht="15.75" customHeight="1">
      <c r="A340" s="17"/>
      <c r="B340" s="270"/>
      <c r="C340" s="270"/>
      <c r="D340" s="271"/>
      <c r="E340" s="271"/>
      <c r="F340" s="271"/>
      <c r="G340" s="271"/>
      <c r="H340" s="271"/>
      <c r="I340" s="272"/>
      <c r="J340" s="272"/>
      <c r="K340" s="17"/>
      <c r="L340" s="17"/>
      <c r="M340" s="17"/>
      <c r="N340" s="17"/>
      <c r="O340" s="186"/>
      <c r="P340" s="17"/>
    </row>
    <row r="341" ht="15.75" customHeight="1">
      <c r="A341" s="17"/>
      <c r="B341" s="270"/>
      <c r="C341" s="270"/>
      <c r="D341" s="271"/>
      <c r="E341" s="271"/>
      <c r="F341" s="271"/>
      <c r="G341" s="271"/>
      <c r="H341" s="271"/>
      <c r="I341" s="272"/>
      <c r="J341" s="272"/>
      <c r="K341" s="17"/>
      <c r="L341" s="17"/>
      <c r="M341" s="17"/>
      <c r="N341" s="17"/>
      <c r="O341" s="186"/>
      <c r="P341" s="17"/>
    </row>
    <row r="342" ht="15.75" customHeight="1">
      <c r="A342" s="17"/>
      <c r="B342" s="270"/>
      <c r="C342" s="270"/>
      <c r="D342" s="271"/>
      <c r="E342" s="271"/>
      <c r="F342" s="271"/>
      <c r="G342" s="271"/>
      <c r="H342" s="271"/>
      <c r="I342" s="272"/>
      <c r="J342" s="272"/>
      <c r="K342" s="17"/>
      <c r="L342" s="17"/>
      <c r="M342" s="17"/>
      <c r="N342" s="17"/>
      <c r="O342" s="186"/>
      <c r="P342" s="17"/>
    </row>
    <row r="343" ht="15.75" customHeight="1">
      <c r="A343" s="17"/>
      <c r="B343" s="270"/>
      <c r="C343" s="270"/>
      <c r="D343" s="271"/>
      <c r="E343" s="271"/>
      <c r="F343" s="271"/>
      <c r="G343" s="271"/>
      <c r="H343" s="271"/>
      <c r="I343" s="272"/>
      <c r="J343" s="272"/>
      <c r="K343" s="17"/>
      <c r="L343" s="17"/>
      <c r="M343" s="17"/>
      <c r="N343" s="17"/>
      <c r="O343" s="186"/>
      <c r="P343" s="17"/>
    </row>
    <row r="344" ht="15.75" customHeight="1">
      <c r="A344" s="17"/>
      <c r="B344" s="270"/>
      <c r="C344" s="270"/>
      <c r="D344" s="271"/>
      <c r="E344" s="271"/>
      <c r="F344" s="271"/>
      <c r="G344" s="271"/>
      <c r="H344" s="271"/>
      <c r="I344" s="272"/>
      <c r="J344" s="272"/>
      <c r="K344" s="17"/>
      <c r="L344" s="17"/>
      <c r="M344" s="17"/>
      <c r="N344" s="17"/>
      <c r="O344" s="186"/>
      <c r="P344" s="17"/>
    </row>
    <row r="345" ht="15.75" customHeight="1">
      <c r="A345" s="17"/>
      <c r="B345" s="270"/>
      <c r="C345" s="270"/>
      <c r="D345" s="271"/>
      <c r="E345" s="271"/>
      <c r="F345" s="271"/>
      <c r="G345" s="271"/>
      <c r="H345" s="271"/>
      <c r="I345" s="272"/>
      <c r="J345" s="272"/>
      <c r="K345" s="17"/>
      <c r="L345" s="17"/>
      <c r="M345" s="17"/>
      <c r="N345" s="17"/>
      <c r="O345" s="186"/>
      <c r="P345" s="17"/>
    </row>
    <row r="346" ht="15.75" customHeight="1">
      <c r="A346" s="17"/>
      <c r="B346" s="270"/>
      <c r="C346" s="270"/>
      <c r="D346" s="271"/>
      <c r="E346" s="271"/>
      <c r="F346" s="271"/>
      <c r="G346" s="271"/>
      <c r="H346" s="271"/>
      <c r="I346" s="272"/>
      <c r="J346" s="272"/>
      <c r="K346" s="17"/>
      <c r="L346" s="17"/>
      <c r="M346" s="17"/>
      <c r="N346" s="17"/>
      <c r="O346" s="186"/>
      <c r="P346" s="17"/>
    </row>
    <row r="347" ht="15.75" customHeight="1">
      <c r="A347" s="17"/>
      <c r="B347" s="270"/>
      <c r="C347" s="270"/>
      <c r="D347" s="271"/>
      <c r="E347" s="271"/>
      <c r="F347" s="271"/>
      <c r="G347" s="271"/>
      <c r="H347" s="271"/>
      <c r="I347" s="272"/>
      <c r="J347" s="272"/>
      <c r="K347" s="17"/>
      <c r="L347" s="17"/>
      <c r="M347" s="17"/>
      <c r="N347" s="17"/>
      <c r="O347" s="186"/>
      <c r="P347" s="17"/>
    </row>
    <row r="348" ht="15.75" customHeight="1">
      <c r="A348" s="17"/>
      <c r="B348" s="270"/>
      <c r="C348" s="270"/>
      <c r="D348" s="271"/>
      <c r="E348" s="271"/>
      <c r="F348" s="271"/>
      <c r="G348" s="271"/>
      <c r="H348" s="271"/>
      <c r="I348" s="272"/>
      <c r="J348" s="272"/>
      <c r="K348" s="17"/>
      <c r="L348" s="17"/>
      <c r="M348" s="17"/>
      <c r="N348" s="17"/>
      <c r="O348" s="186"/>
      <c r="P348" s="17"/>
    </row>
    <row r="349" ht="15.75" customHeight="1">
      <c r="A349" s="17"/>
      <c r="B349" s="270"/>
      <c r="C349" s="270"/>
      <c r="D349" s="271"/>
      <c r="E349" s="271"/>
      <c r="F349" s="271"/>
      <c r="G349" s="271"/>
      <c r="H349" s="271"/>
      <c r="I349" s="272"/>
      <c r="J349" s="272"/>
      <c r="K349" s="17"/>
      <c r="L349" s="17"/>
      <c r="M349" s="17"/>
      <c r="N349" s="17"/>
      <c r="O349" s="186"/>
      <c r="P349" s="17"/>
    </row>
    <row r="350" ht="15.75" customHeight="1">
      <c r="A350" s="17"/>
      <c r="B350" s="270"/>
      <c r="C350" s="270"/>
      <c r="D350" s="271"/>
      <c r="E350" s="271"/>
      <c r="F350" s="271"/>
      <c r="G350" s="271"/>
      <c r="H350" s="271"/>
      <c r="I350" s="272"/>
      <c r="J350" s="272"/>
      <c r="K350" s="17"/>
      <c r="L350" s="17"/>
      <c r="M350" s="17"/>
      <c r="N350" s="17"/>
      <c r="O350" s="186"/>
      <c r="P350" s="17"/>
    </row>
    <row r="351" ht="15.75" customHeight="1">
      <c r="A351" s="17"/>
      <c r="B351" s="270"/>
      <c r="C351" s="270"/>
      <c r="D351" s="271"/>
      <c r="E351" s="271"/>
      <c r="F351" s="271"/>
      <c r="G351" s="271"/>
      <c r="H351" s="271"/>
      <c r="I351" s="272"/>
      <c r="J351" s="272"/>
      <c r="K351" s="17"/>
      <c r="L351" s="17"/>
      <c r="M351" s="17"/>
      <c r="N351" s="17"/>
      <c r="O351" s="186"/>
      <c r="P351" s="17"/>
    </row>
    <row r="352" ht="15.75" customHeight="1">
      <c r="A352" s="17"/>
      <c r="B352" s="270"/>
      <c r="C352" s="270"/>
      <c r="D352" s="271"/>
      <c r="E352" s="271"/>
      <c r="F352" s="271"/>
      <c r="G352" s="271"/>
      <c r="H352" s="271"/>
      <c r="I352" s="272"/>
      <c r="J352" s="272"/>
      <c r="K352" s="17"/>
      <c r="L352" s="17"/>
      <c r="M352" s="17"/>
      <c r="N352" s="17"/>
      <c r="O352" s="186"/>
      <c r="P352" s="17"/>
    </row>
    <row r="353" ht="15.75" customHeight="1">
      <c r="A353" s="17"/>
      <c r="B353" s="270"/>
      <c r="C353" s="270"/>
      <c r="D353" s="271"/>
      <c r="E353" s="271"/>
      <c r="F353" s="271"/>
      <c r="G353" s="271"/>
      <c r="H353" s="271"/>
      <c r="I353" s="272"/>
      <c r="J353" s="272"/>
      <c r="K353" s="17"/>
      <c r="L353" s="17"/>
      <c r="M353" s="17"/>
      <c r="N353" s="17"/>
      <c r="O353" s="186"/>
      <c r="P353" s="17"/>
    </row>
    <row r="354" ht="15.75" customHeight="1">
      <c r="A354" s="17"/>
      <c r="B354" s="270"/>
      <c r="C354" s="270"/>
      <c r="D354" s="271"/>
      <c r="E354" s="271"/>
      <c r="F354" s="271"/>
      <c r="G354" s="271"/>
      <c r="H354" s="271"/>
      <c r="I354" s="272"/>
      <c r="J354" s="272"/>
      <c r="K354" s="17"/>
      <c r="L354" s="17"/>
      <c r="M354" s="17"/>
      <c r="N354" s="17"/>
      <c r="O354" s="186"/>
      <c r="P354" s="17"/>
    </row>
    <row r="355" ht="15.75" customHeight="1">
      <c r="A355" s="17"/>
      <c r="B355" s="270"/>
      <c r="C355" s="270"/>
      <c r="D355" s="271"/>
      <c r="E355" s="271"/>
      <c r="F355" s="271"/>
      <c r="G355" s="271"/>
      <c r="H355" s="271"/>
      <c r="I355" s="272"/>
      <c r="J355" s="272"/>
      <c r="K355" s="17"/>
      <c r="L355" s="17"/>
      <c r="M355" s="17"/>
      <c r="N355" s="17"/>
      <c r="O355" s="186"/>
      <c r="P355" s="17"/>
    </row>
    <row r="356" ht="15.75" customHeight="1">
      <c r="A356" s="17"/>
      <c r="B356" s="270"/>
      <c r="C356" s="270"/>
      <c r="D356" s="271"/>
      <c r="E356" s="271"/>
      <c r="F356" s="271"/>
      <c r="G356" s="271"/>
      <c r="H356" s="271"/>
      <c r="I356" s="272"/>
      <c r="J356" s="272"/>
      <c r="K356" s="17"/>
      <c r="L356" s="17"/>
      <c r="M356" s="17"/>
      <c r="N356" s="17"/>
      <c r="O356" s="186"/>
      <c r="P356" s="17"/>
    </row>
    <row r="357" ht="15.75" customHeight="1">
      <c r="A357" s="17"/>
      <c r="B357" s="270"/>
      <c r="C357" s="270"/>
      <c r="D357" s="271"/>
      <c r="E357" s="271"/>
      <c r="F357" s="271"/>
      <c r="G357" s="271"/>
      <c r="H357" s="271"/>
      <c r="I357" s="272"/>
      <c r="J357" s="272"/>
      <c r="K357" s="17"/>
      <c r="L357" s="17"/>
      <c r="M357" s="17"/>
      <c r="N357" s="17"/>
      <c r="O357" s="186"/>
      <c r="P357" s="17"/>
    </row>
    <row r="358" ht="15.75" customHeight="1">
      <c r="A358" s="17"/>
      <c r="B358" s="270"/>
      <c r="C358" s="270"/>
      <c r="D358" s="271"/>
      <c r="E358" s="271"/>
      <c r="F358" s="271"/>
      <c r="G358" s="271"/>
      <c r="H358" s="271"/>
      <c r="I358" s="272"/>
      <c r="J358" s="272"/>
      <c r="K358" s="17"/>
      <c r="L358" s="17"/>
      <c r="M358" s="17"/>
      <c r="N358" s="17"/>
      <c r="O358" s="186"/>
      <c r="P358" s="17"/>
    </row>
    <row r="359" ht="15.75" customHeight="1">
      <c r="A359" s="17"/>
      <c r="B359" s="270"/>
      <c r="C359" s="270"/>
      <c r="D359" s="271"/>
      <c r="E359" s="271"/>
      <c r="F359" s="271"/>
      <c r="G359" s="271"/>
      <c r="H359" s="271"/>
      <c r="I359" s="272"/>
      <c r="J359" s="272"/>
      <c r="K359" s="17"/>
      <c r="L359" s="17"/>
      <c r="M359" s="17"/>
      <c r="N359" s="17"/>
      <c r="O359" s="186"/>
      <c r="P359" s="17"/>
    </row>
    <row r="360" ht="15.75" customHeight="1">
      <c r="A360" s="17"/>
      <c r="B360" s="270"/>
      <c r="C360" s="270"/>
      <c r="D360" s="271"/>
      <c r="E360" s="271"/>
      <c r="F360" s="271"/>
      <c r="G360" s="271"/>
      <c r="H360" s="271"/>
      <c r="I360" s="272"/>
      <c r="J360" s="272"/>
      <c r="K360" s="17"/>
      <c r="L360" s="17"/>
      <c r="M360" s="17"/>
      <c r="N360" s="17"/>
      <c r="O360" s="186"/>
      <c r="P360" s="17"/>
    </row>
    <row r="361" ht="15.75" customHeight="1">
      <c r="A361" s="17"/>
      <c r="B361" s="270"/>
      <c r="C361" s="270"/>
      <c r="D361" s="271"/>
      <c r="E361" s="271"/>
      <c r="F361" s="271"/>
      <c r="G361" s="271"/>
      <c r="H361" s="271"/>
      <c r="I361" s="272"/>
      <c r="J361" s="272"/>
      <c r="K361" s="17"/>
      <c r="L361" s="17"/>
      <c r="M361" s="17"/>
      <c r="N361" s="17"/>
      <c r="O361" s="186"/>
      <c r="P361" s="17"/>
    </row>
    <row r="362" ht="15.75" customHeight="1">
      <c r="A362" s="17"/>
      <c r="B362" s="270"/>
      <c r="C362" s="270"/>
      <c r="D362" s="271"/>
      <c r="E362" s="271"/>
      <c r="F362" s="271"/>
      <c r="G362" s="271"/>
      <c r="H362" s="271"/>
      <c r="I362" s="272"/>
      <c r="J362" s="272"/>
      <c r="K362" s="17"/>
      <c r="L362" s="17"/>
      <c r="M362" s="17"/>
      <c r="N362" s="17"/>
      <c r="O362" s="186"/>
      <c r="P362" s="17"/>
    </row>
    <row r="363" ht="15.75" customHeight="1">
      <c r="A363" s="17"/>
      <c r="B363" s="270"/>
      <c r="C363" s="270"/>
      <c r="D363" s="271"/>
      <c r="E363" s="271"/>
      <c r="F363" s="271"/>
      <c r="G363" s="271"/>
      <c r="H363" s="271"/>
      <c r="I363" s="272"/>
      <c r="J363" s="272"/>
      <c r="K363" s="17"/>
      <c r="L363" s="17"/>
      <c r="M363" s="17"/>
      <c r="N363" s="17"/>
      <c r="O363" s="186"/>
      <c r="P363" s="17"/>
    </row>
    <row r="364" ht="15.75" customHeight="1">
      <c r="A364" s="17"/>
      <c r="B364" s="270"/>
      <c r="C364" s="270"/>
      <c r="D364" s="271"/>
      <c r="E364" s="271"/>
      <c r="F364" s="271"/>
      <c r="G364" s="271"/>
      <c r="H364" s="271"/>
      <c r="I364" s="272"/>
      <c r="J364" s="272"/>
      <c r="K364" s="17"/>
      <c r="L364" s="17"/>
      <c r="M364" s="17"/>
      <c r="N364" s="17"/>
      <c r="O364" s="186"/>
      <c r="P364" s="17"/>
    </row>
    <row r="365" ht="15.75" customHeight="1">
      <c r="A365" s="17"/>
      <c r="B365" s="270"/>
      <c r="C365" s="270"/>
      <c r="D365" s="271"/>
      <c r="E365" s="271"/>
      <c r="F365" s="271"/>
      <c r="G365" s="271"/>
      <c r="H365" s="271"/>
      <c r="I365" s="272"/>
      <c r="J365" s="272"/>
      <c r="K365" s="17"/>
      <c r="L365" s="17"/>
      <c r="M365" s="17"/>
      <c r="N365" s="17"/>
      <c r="O365" s="186"/>
      <c r="P365" s="17"/>
    </row>
    <row r="366" ht="15.75" customHeight="1">
      <c r="A366" s="17"/>
      <c r="B366" s="270"/>
      <c r="C366" s="270"/>
      <c r="D366" s="271"/>
      <c r="E366" s="271"/>
      <c r="F366" s="271"/>
      <c r="G366" s="271"/>
      <c r="H366" s="271"/>
      <c r="I366" s="272"/>
      <c r="J366" s="272"/>
      <c r="K366" s="17"/>
      <c r="L366" s="17"/>
      <c r="M366" s="17"/>
      <c r="N366" s="17"/>
      <c r="O366" s="186"/>
      <c r="P366" s="17"/>
    </row>
    <row r="367" ht="15.75" customHeight="1">
      <c r="A367" s="17"/>
      <c r="B367" s="270"/>
      <c r="C367" s="270"/>
      <c r="D367" s="271"/>
      <c r="E367" s="271"/>
      <c r="F367" s="271"/>
      <c r="G367" s="271"/>
      <c r="H367" s="271"/>
      <c r="I367" s="272"/>
      <c r="J367" s="272"/>
      <c r="K367" s="17"/>
      <c r="L367" s="17"/>
      <c r="M367" s="17"/>
      <c r="N367" s="17"/>
      <c r="O367" s="186"/>
      <c r="P367" s="17"/>
    </row>
    <row r="368" ht="15.75" customHeight="1">
      <c r="A368" s="17"/>
      <c r="B368" s="270"/>
      <c r="C368" s="270"/>
      <c r="D368" s="271"/>
      <c r="E368" s="271"/>
      <c r="F368" s="271"/>
      <c r="G368" s="271"/>
      <c r="H368" s="271"/>
      <c r="I368" s="272"/>
      <c r="J368" s="272"/>
      <c r="K368" s="17"/>
      <c r="L368" s="17"/>
      <c r="M368" s="17"/>
      <c r="N368" s="17"/>
      <c r="O368" s="186"/>
      <c r="P368" s="17"/>
    </row>
    <row r="369" ht="15.75" customHeight="1">
      <c r="A369" s="17"/>
      <c r="B369" s="270"/>
      <c r="C369" s="270"/>
      <c r="D369" s="271"/>
      <c r="E369" s="271"/>
      <c r="F369" s="271"/>
      <c r="G369" s="271"/>
      <c r="H369" s="271"/>
      <c r="I369" s="272"/>
      <c r="J369" s="272"/>
      <c r="K369" s="17"/>
      <c r="L369" s="17"/>
      <c r="M369" s="17"/>
      <c r="N369" s="17"/>
      <c r="O369" s="186"/>
      <c r="P369" s="17"/>
    </row>
    <row r="370" ht="15.75" customHeight="1">
      <c r="A370" s="17"/>
      <c r="B370" s="270"/>
      <c r="C370" s="270"/>
      <c r="D370" s="271"/>
      <c r="E370" s="271"/>
      <c r="F370" s="271"/>
      <c r="G370" s="271"/>
      <c r="H370" s="271"/>
      <c r="I370" s="272"/>
      <c r="J370" s="272"/>
      <c r="K370" s="17"/>
      <c r="L370" s="17"/>
      <c r="M370" s="17"/>
      <c r="N370" s="17"/>
      <c r="O370" s="186"/>
      <c r="P370" s="17"/>
    </row>
    <row r="371" ht="15.75" customHeight="1">
      <c r="A371" s="17"/>
      <c r="B371" s="270"/>
      <c r="C371" s="270"/>
      <c r="D371" s="271"/>
      <c r="E371" s="271"/>
      <c r="F371" s="271"/>
      <c r="G371" s="271"/>
      <c r="H371" s="271"/>
      <c r="I371" s="272"/>
      <c r="J371" s="272"/>
      <c r="K371" s="17"/>
      <c r="L371" s="17"/>
      <c r="M371" s="17"/>
      <c r="N371" s="17"/>
      <c r="O371" s="186"/>
      <c r="P371" s="17"/>
    </row>
    <row r="372" ht="15.75" customHeight="1">
      <c r="A372" s="17"/>
      <c r="B372" s="270"/>
      <c r="C372" s="270"/>
      <c r="D372" s="271"/>
      <c r="E372" s="271"/>
      <c r="F372" s="271"/>
      <c r="G372" s="271"/>
      <c r="H372" s="271"/>
      <c r="I372" s="272"/>
      <c r="J372" s="272"/>
      <c r="K372" s="17"/>
      <c r="L372" s="17"/>
      <c r="M372" s="17"/>
      <c r="N372" s="17"/>
      <c r="O372" s="186"/>
      <c r="P372" s="17"/>
    </row>
    <row r="373" ht="15.75" customHeight="1">
      <c r="A373" s="17"/>
      <c r="B373" s="270"/>
      <c r="C373" s="270"/>
      <c r="D373" s="271"/>
      <c r="E373" s="271"/>
      <c r="F373" s="271"/>
      <c r="G373" s="271"/>
      <c r="H373" s="271"/>
      <c r="I373" s="272"/>
      <c r="J373" s="272"/>
      <c r="K373" s="17"/>
      <c r="L373" s="17"/>
      <c r="M373" s="17"/>
      <c r="N373" s="17"/>
      <c r="O373" s="186"/>
      <c r="P373" s="17"/>
    </row>
    <row r="374" ht="15.75" customHeight="1">
      <c r="A374" s="17"/>
      <c r="B374" s="270"/>
      <c r="C374" s="270"/>
      <c r="D374" s="271"/>
      <c r="E374" s="271"/>
      <c r="F374" s="271"/>
      <c r="G374" s="271"/>
      <c r="H374" s="271"/>
      <c r="I374" s="272"/>
      <c r="J374" s="272"/>
      <c r="K374" s="17"/>
      <c r="L374" s="17"/>
      <c r="M374" s="17"/>
      <c r="N374" s="17"/>
      <c r="O374" s="186"/>
      <c r="P374" s="17"/>
    </row>
    <row r="375" ht="15.75" customHeight="1">
      <c r="A375" s="17"/>
      <c r="B375" s="270"/>
      <c r="C375" s="270"/>
      <c r="D375" s="271"/>
      <c r="E375" s="271"/>
      <c r="F375" s="271"/>
      <c r="G375" s="271"/>
      <c r="H375" s="271"/>
      <c r="I375" s="272"/>
      <c r="J375" s="272"/>
      <c r="K375" s="17"/>
      <c r="L375" s="17"/>
      <c r="M375" s="17"/>
      <c r="N375" s="17"/>
      <c r="O375" s="186"/>
      <c r="P375" s="17"/>
    </row>
    <row r="376" ht="15.75" customHeight="1">
      <c r="A376" s="17"/>
      <c r="B376" s="270"/>
      <c r="C376" s="270"/>
      <c r="D376" s="271"/>
      <c r="E376" s="271"/>
      <c r="F376" s="271"/>
      <c r="G376" s="271"/>
      <c r="H376" s="271"/>
      <c r="I376" s="272"/>
      <c r="J376" s="272"/>
      <c r="K376" s="17"/>
      <c r="L376" s="17"/>
      <c r="M376" s="17"/>
      <c r="N376" s="17"/>
      <c r="O376" s="186"/>
      <c r="P376" s="17"/>
    </row>
    <row r="377" ht="15.75" customHeight="1">
      <c r="A377" s="17"/>
      <c r="B377" s="270"/>
      <c r="C377" s="270"/>
      <c r="D377" s="271"/>
      <c r="E377" s="271"/>
      <c r="F377" s="271"/>
      <c r="G377" s="271"/>
      <c r="H377" s="271"/>
      <c r="I377" s="272"/>
      <c r="J377" s="272"/>
      <c r="K377" s="17"/>
      <c r="L377" s="17"/>
      <c r="M377" s="17"/>
      <c r="N377" s="17"/>
      <c r="O377" s="186"/>
      <c r="P377" s="17"/>
    </row>
    <row r="378" ht="15.75" customHeight="1">
      <c r="A378" s="17"/>
      <c r="B378" s="270"/>
      <c r="C378" s="270"/>
      <c r="D378" s="271"/>
      <c r="E378" s="271"/>
      <c r="F378" s="271"/>
      <c r="G378" s="271"/>
      <c r="H378" s="271"/>
      <c r="I378" s="272"/>
      <c r="J378" s="272"/>
      <c r="K378" s="17"/>
      <c r="L378" s="17"/>
      <c r="M378" s="17"/>
      <c r="N378" s="17"/>
      <c r="O378" s="186"/>
      <c r="P378" s="17"/>
    </row>
    <row r="379" ht="15.75" customHeight="1">
      <c r="A379" s="17"/>
      <c r="B379" s="270"/>
      <c r="C379" s="270"/>
      <c r="D379" s="271"/>
      <c r="E379" s="271"/>
      <c r="F379" s="271"/>
      <c r="G379" s="271"/>
      <c r="H379" s="271"/>
      <c r="I379" s="272"/>
      <c r="J379" s="272"/>
      <c r="K379" s="17"/>
      <c r="L379" s="17"/>
      <c r="M379" s="17"/>
      <c r="N379" s="17"/>
      <c r="O379" s="186"/>
      <c r="P379" s="17"/>
    </row>
    <row r="380" ht="15.75" customHeight="1">
      <c r="A380" s="17"/>
      <c r="B380" s="270"/>
      <c r="C380" s="270"/>
      <c r="D380" s="271"/>
      <c r="E380" s="271"/>
      <c r="F380" s="271"/>
      <c r="G380" s="271"/>
      <c r="H380" s="271"/>
      <c r="I380" s="272"/>
      <c r="J380" s="272"/>
      <c r="K380" s="17"/>
      <c r="L380" s="17"/>
      <c r="M380" s="17"/>
      <c r="N380" s="17"/>
      <c r="O380" s="186"/>
      <c r="P380" s="17"/>
    </row>
    <row r="381" ht="15.75" customHeight="1">
      <c r="A381" s="17"/>
      <c r="B381" s="270"/>
      <c r="C381" s="270"/>
      <c r="D381" s="271"/>
      <c r="E381" s="271"/>
      <c r="F381" s="271"/>
      <c r="G381" s="271"/>
      <c r="H381" s="271"/>
      <c r="I381" s="272"/>
      <c r="J381" s="272"/>
      <c r="K381" s="17"/>
      <c r="L381" s="17"/>
      <c r="M381" s="17"/>
      <c r="N381" s="17"/>
      <c r="O381" s="186"/>
      <c r="P381" s="17"/>
    </row>
    <row r="382" ht="15.75" customHeight="1">
      <c r="A382" s="17"/>
      <c r="B382" s="270"/>
      <c r="C382" s="270"/>
      <c r="D382" s="271"/>
      <c r="E382" s="271"/>
      <c r="F382" s="271"/>
      <c r="G382" s="271"/>
      <c r="H382" s="271"/>
      <c r="I382" s="272"/>
      <c r="J382" s="272"/>
      <c r="K382" s="17"/>
      <c r="L382" s="17"/>
      <c r="M382" s="17"/>
      <c r="N382" s="17"/>
      <c r="O382" s="186"/>
      <c r="P382" s="17"/>
    </row>
    <row r="383" ht="15.75" customHeight="1">
      <c r="A383" s="17"/>
      <c r="B383" s="270"/>
      <c r="C383" s="270"/>
      <c r="D383" s="271"/>
      <c r="E383" s="271"/>
      <c r="F383" s="271"/>
      <c r="G383" s="271"/>
      <c r="H383" s="271"/>
      <c r="I383" s="272"/>
      <c r="J383" s="272"/>
      <c r="K383" s="17"/>
      <c r="L383" s="17"/>
      <c r="M383" s="17"/>
      <c r="N383" s="17"/>
      <c r="O383" s="186"/>
      <c r="P383" s="17"/>
    </row>
    <row r="384" ht="15.75" customHeight="1">
      <c r="A384" s="17"/>
      <c r="B384" s="270"/>
      <c r="C384" s="270"/>
      <c r="D384" s="271"/>
      <c r="E384" s="271"/>
      <c r="F384" s="271"/>
      <c r="G384" s="271"/>
      <c r="H384" s="271"/>
      <c r="I384" s="272"/>
      <c r="J384" s="272"/>
      <c r="K384" s="17"/>
      <c r="L384" s="17"/>
      <c r="M384" s="17"/>
      <c r="N384" s="17"/>
      <c r="O384" s="186"/>
      <c r="P384" s="17"/>
    </row>
    <row r="385" ht="15.75" customHeight="1">
      <c r="A385" s="17"/>
      <c r="B385" s="270"/>
      <c r="C385" s="270"/>
      <c r="D385" s="271"/>
      <c r="E385" s="271"/>
      <c r="F385" s="271"/>
      <c r="G385" s="271"/>
      <c r="H385" s="271"/>
      <c r="I385" s="272"/>
      <c r="J385" s="272"/>
      <c r="K385" s="17"/>
      <c r="L385" s="17"/>
      <c r="M385" s="17"/>
      <c r="N385" s="17"/>
      <c r="O385" s="186"/>
      <c r="P385" s="17"/>
    </row>
    <row r="386" ht="15.75" customHeight="1">
      <c r="A386" s="17"/>
      <c r="B386" s="270"/>
      <c r="C386" s="270"/>
      <c r="D386" s="271"/>
      <c r="E386" s="271"/>
      <c r="F386" s="271"/>
      <c r="G386" s="271"/>
      <c r="H386" s="271"/>
      <c r="I386" s="272"/>
      <c r="J386" s="272"/>
      <c r="K386" s="17"/>
      <c r="L386" s="17"/>
      <c r="M386" s="17"/>
      <c r="N386" s="17"/>
      <c r="O386" s="186"/>
      <c r="P386" s="17"/>
    </row>
    <row r="387" ht="15.75" customHeight="1">
      <c r="A387" s="17"/>
      <c r="B387" s="270"/>
      <c r="C387" s="270"/>
      <c r="D387" s="271"/>
      <c r="E387" s="271"/>
      <c r="F387" s="271"/>
      <c r="G387" s="271"/>
      <c r="H387" s="271"/>
      <c r="I387" s="272"/>
      <c r="J387" s="272"/>
      <c r="K387" s="17"/>
      <c r="L387" s="17"/>
      <c r="M387" s="17"/>
      <c r="N387" s="17"/>
      <c r="O387" s="186"/>
      <c r="P387" s="17"/>
    </row>
    <row r="388" ht="15.75" customHeight="1">
      <c r="A388" s="17"/>
      <c r="B388" s="270"/>
      <c r="C388" s="270"/>
      <c r="D388" s="271"/>
      <c r="E388" s="271"/>
      <c r="F388" s="271"/>
      <c r="G388" s="271"/>
      <c r="H388" s="271"/>
      <c r="I388" s="272"/>
      <c r="J388" s="272"/>
      <c r="K388" s="17"/>
      <c r="L388" s="17"/>
      <c r="M388" s="17"/>
      <c r="N388" s="17"/>
      <c r="O388" s="186"/>
      <c r="P388" s="17"/>
    </row>
    <row r="389" ht="15.75" customHeight="1">
      <c r="A389" s="17"/>
      <c r="B389" s="270"/>
      <c r="C389" s="270"/>
      <c r="D389" s="271"/>
      <c r="E389" s="271"/>
      <c r="F389" s="271"/>
      <c r="G389" s="271"/>
      <c r="H389" s="271"/>
      <c r="I389" s="272"/>
      <c r="J389" s="272"/>
      <c r="K389" s="17"/>
      <c r="L389" s="17"/>
      <c r="M389" s="17"/>
      <c r="N389" s="17"/>
      <c r="O389" s="186"/>
      <c r="P389" s="17"/>
    </row>
    <row r="390" ht="15.75" customHeight="1">
      <c r="A390" s="17"/>
      <c r="B390" s="270"/>
      <c r="C390" s="270"/>
      <c r="D390" s="271"/>
      <c r="E390" s="271"/>
      <c r="F390" s="271"/>
      <c r="G390" s="271"/>
      <c r="H390" s="271"/>
      <c r="I390" s="272"/>
      <c r="J390" s="272"/>
      <c r="K390" s="17"/>
      <c r="L390" s="17"/>
      <c r="M390" s="17"/>
      <c r="N390" s="17"/>
      <c r="O390" s="186"/>
      <c r="P390" s="17"/>
    </row>
    <row r="391" ht="15.75" customHeight="1">
      <c r="A391" s="17"/>
      <c r="B391" s="270"/>
      <c r="C391" s="270"/>
      <c r="D391" s="271"/>
      <c r="E391" s="271"/>
      <c r="F391" s="271"/>
      <c r="G391" s="271"/>
      <c r="H391" s="271"/>
      <c r="I391" s="272"/>
      <c r="J391" s="272"/>
      <c r="K391" s="17"/>
      <c r="L391" s="17"/>
      <c r="M391" s="17"/>
      <c r="N391" s="17"/>
      <c r="O391" s="186"/>
      <c r="P391" s="17"/>
    </row>
    <row r="392" ht="15.75" customHeight="1">
      <c r="A392" s="17"/>
      <c r="B392" s="270"/>
      <c r="C392" s="270"/>
      <c r="D392" s="271"/>
      <c r="E392" s="271"/>
      <c r="F392" s="271"/>
      <c r="G392" s="271"/>
      <c r="H392" s="271"/>
      <c r="I392" s="272"/>
      <c r="J392" s="272"/>
      <c r="K392" s="17"/>
      <c r="L392" s="17"/>
      <c r="M392" s="17"/>
      <c r="N392" s="17"/>
      <c r="O392" s="186"/>
      <c r="P392" s="17"/>
    </row>
    <row r="393" ht="15.75" customHeight="1">
      <c r="A393" s="17"/>
      <c r="B393" s="270"/>
      <c r="C393" s="270"/>
      <c r="D393" s="271"/>
      <c r="E393" s="271"/>
      <c r="F393" s="271"/>
      <c r="G393" s="271"/>
      <c r="H393" s="271"/>
      <c r="I393" s="272"/>
      <c r="J393" s="272"/>
      <c r="K393" s="17"/>
      <c r="L393" s="17"/>
      <c r="M393" s="17"/>
      <c r="N393" s="17"/>
      <c r="O393" s="186"/>
      <c r="P393" s="17"/>
    </row>
    <row r="394" ht="15.75" customHeight="1">
      <c r="A394" s="17"/>
      <c r="B394" s="270"/>
      <c r="C394" s="270"/>
      <c r="D394" s="271"/>
      <c r="E394" s="271"/>
      <c r="F394" s="271"/>
      <c r="G394" s="271"/>
      <c r="H394" s="271"/>
      <c r="I394" s="272"/>
      <c r="J394" s="272"/>
      <c r="K394" s="17"/>
      <c r="L394" s="17"/>
      <c r="M394" s="17"/>
      <c r="N394" s="17"/>
      <c r="O394" s="186"/>
      <c r="P394" s="17"/>
    </row>
    <row r="395" ht="15.75" customHeight="1">
      <c r="A395" s="17"/>
      <c r="B395" s="270"/>
      <c r="C395" s="270"/>
      <c r="D395" s="271"/>
      <c r="E395" s="271"/>
      <c r="F395" s="271"/>
      <c r="G395" s="271"/>
      <c r="H395" s="271"/>
      <c r="I395" s="272"/>
      <c r="J395" s="272"/>
      <c r="K395" s="17"/>
      <c r="L395" s="17"/>
      <c r="M395" s="17"/>
      <c r="N395" s="17"/>
      <c r="O395" s="186"/>
      <c r="P395" s="17"/>
    </row>
    <row r="396" ht="15.75" customHeight="1">
      <c r="A396" s="17"/>
      <c r="B396" s="270"/>
      <c r="C396" s="270"/>
      <c r="D396" s="271"/>
      <c r="E396" s="271"/>
      <c r="F396" s="271"/>
      <c r="G396" s="271"/>
      <c r="H396" s="271"/>
      <c r="I396" s="272"/>
      <c r="J396" s="272"/>
      <c r="K396" s="17"/>
      <c r="L396" s="17"/>
      <c r="M396" s="17"/>
      <c r="N396" s="17"/>
      <c r="O396" s="186"/>
      <c r="P396" s="17"/>
    </row>
    <row r="397" ht="15.75" customHeight="1">
      <c r="A397" s="17"/>
      <c r="B397" s="270"/>
      <c r="C397" s="270"/>
      <c r="D397" s="271"/>
      <c r="E397" s="271"/>
      <c r="F397" s="271"/>
      <c r="G397" s="271"/>
      <c r="H397" s="271"/>
      <c r="I397" s="272"/>
      <c r="J397" s="272"/>
      <c r="K397" s="17"/>
      <c r="L397" s="17"/>
      <c r="M397" s="17"/>
      <c r="N397" s="17"/>
      <c r="O397" s="186"/>
      <c r="P397" s="17"/>
    </row>
    <row r="398" ht="15.75" customHeight="1">
      <c r="A398" s="17"/>
      <c r="B398" s="270"/>
      <c r="C398" s="270"/>
      <c r="D398" s="271"/>
      <c r="E398" s="271"/>
      <c r="F398" s="271"/>
      <c r="G398" s="271"/>
      <c r="H398" s="271"/>
      <c r="I398" s="272"/>
      <c r="J398" s="272"/>
      <c r="K398" s="17"/>
      <c r="L398" s="17"/>
      <c r="M398" s="17"/>
      <c r="N398" s="17"/>
      <c r="O398" s="186"/>
      <c r="P398" s="17"/>
    </row>
    <row r="399" ht="15.75" customHeight="1">
      <c r="A399" s="17"/>
      <c r="B399" s="270"/>
      <c r="C399" s="270"/>
      <c r="D399" s="271"/>
      <c r="E399" s="271"/>
      <c r="F399" s="271"/>
      <c r="G399" s="271"/>
      <c r="H399" s="271"/>
      <c r="I399" s="272"/>
      <c r="J399" s="272"/>
      <c r="K399" s="17"/>
      <c r="L399" s="17"/>
      <c r="M399" s="17"/>
      <c r="N399" s="17"/>
      <c r="O399" s="186"/>
      <c r="P399" s="17"/>
    </row>
    <row r="400" ht="15.75" customHeight="1">
      <c r="A400" s="17"/>
      <c r="B400" s="270"/>
      <c r="C400" s="270"/>
      <c r="D400" s="271"/>
      <c r="E400" s="271"/>
      <c r="F400" s="271"/>
      <c r="G400" s="271"/>
      <c r="H400" s="271"/>
      <c r="I400" s="272"/>
      <c r="J400" s="272"/>
      <c r="K400" s="17"/>
      <c r="L400" s="17"/>
      <c r="M400" s="17"/>
      <c r="N400" s="17"/>
      <c r="O400" s="186"/>
      <c r="P400" s="17"/>
    </row>
    <row r="401" ht="15.75" customHeight="1">
      <c r="A401" s="17"/>
      <c r="B401" s="270"/>
      <c r="C401" s="270"/>
      <c r="D401" s="271"/>
      <c r="E401" s="271"/>
      <c r="F401" s="271"/>
      <c r="G401" s="271"/>
      <c r="H401" s="271"/>
      <c r="I401" s="272"/>
      <c r="J401" s="272"/>
      <c r="K401" s="17"/>
      <c r="L401" s="17"/>
      <c r="M401" s="17"/>
      <c r="N401" s="17"/>
      <c r="O401" s="186"/>
      <c r="P401" s="17"/>
    </row>
    <row r="402" ht="15.75" customHeight="1">
      <c r="A402" s="17"/>
      <c r="B402" s="270"/>
      <c r="C402" s="270"/>
      <c r="D402" s="271"/>
      <c r="E402" s="271"/>
      <c r="F402" s="271"/>
      <c r="G402" s="271"/>
      <c r="H402" s="271"/>
      <c r="I402" s="272"/>
      <c r="J402" s="272"/>
      <c r="K402" s="17"/>
      <c r="L402" s="17"/>
      <c r="M402" s="17"/>
      <c r="N402" s="17"/>
      <c r="O402" s="186"/>
      <c r="P402" s="17"/>
    </row>
    <row r="403" ht="15.75" customHeight="1">
      <c r="A403" s="17"/>
      <c r="B403" s="270"/>
      <c r="C403" s="270"/>
      <c r="D403" s="271"/>
      <c r="E403" s="271"/>
      <c r="F403" s="271"/>
      <c r="G403" s="271"/>
      <c r="H403" s="271"/>
      <c r="I403" s="272"/>
      <c r="J403" s="272"/>
      <c r="K403" s="17"/>
      <c r="L403" s="17"/>
      <c r="M403" s="17"/>
      <c r="N403" s="17"/>
      <c r="O403" s="186"/>
      <c r="P403" s="17"/>
    </row>
    <row r="404" ht="15.75" customHeight="1">
      <c r="A404" s="17"/>
      <c r="B404" s="270"/>
      <c r="C404" s="270"/>
      <c r="D404" s="271"/>
      <c r="E404" s="271"/>
      <c r="F404" s="271"/>
      <c r="G404" s="271"/>
      <c r="H404" s="271"/>
      <c r="I404" s="272"/>
      <c r="J404" s="272"/>
      <c r="K404" s="17"/>
      <c r="L404" s="17"/>
      <c r="M404" s="17"/>
      <c r="N404" s="17"/>
      <c r="O404" s="186"/>
      <c r="P404" s="17"/>
    </row>
    <row r="405" ht="15.75" customHeight="1">
      <c r="A405" s="17"/>
      <c r="B405" s="270"/>
      <c r="C405" s="270"/>
      <c r="D405" s="271"/>
      <c r="E405" s="271"/>
      <c r="F405" s="271"/>
      <c r="G405" s="271"/>
      <c r="H405" s="271"/>
      <c r="I405" s="272"/>
      <c r="J405" s="272"/>
      <c r="K405" s="17"/>
      <c r="L405" s="17"/>
      <c r="M405" s="17"/>
      <c r="N405" s="17"/>
      <c r="O405" s="186"/>
      <c r="P405" s="17"/>
    </row>
    <row r="406" ht="15.75" customHeight="1">
      <c r="A406" s="17"/>
      <c r="B406" s="270"/>
      <c r="C406" s="270"/>
      <c r="D406" s="271"/>
      <c r="E406" s="271"/>
      <c r="F406" s="271"/>
      <c r="G406" s="271"/>
      <c r="H406" s="271"/>
      <c r="I406" s="272"/>
      <c r="J406" s="272"/>
      <c r="K406" s="17"/>
      <c r="L406" s="17"/>
      <c r="M406" s="17"/>
      <c r="N406" s="17"/>
      <c r="O406" s="186"/>
      <c r="P406" s="17"/>
    </row>
    <row r="407" ht="15.75" customHeight="1">
      <c r="A407" s="17"/>
      <c r="B407" s="270"/>
      <c r="C407" s="270"/>
      <c r="D407" s="271"/>
      <c r="E407" s="271"/>
      <c r="F407" s="271"/>
      <c r="G407" s="271"/>
      <c r="H407" s="271"/>
      <c r="I407" s="272"/>
      <c r="J407" s="272"/>
      <c r="K407" s="17"/>
      <c r="L407" s="17"/>
      <c r="M407" s="17"/>
      <c r="N407" s="17"/>
      <c r="O407" s="186"/>
      <c r="P407" s="17"/>
    </row>
    <row r="408" ht="15.75" customHeight="1">
      <c r="A408" s="17"/>
      <c r="B408" s="270"/>
      <c r="C408" s="270"/>
      <c r="D408" s="271"/>
      <c r="E408" s="271"/>
      <c r="F408" s="271"/>
      <c r="G408" s="271"/>
      <c r="H408" s="271"/>
      <c r="I408" s="272"/>
      <c r="J408" s="272"/>
      <c r="K408" s="17"/>
      <c r="L408" s="17"/>
      <c r="M408" s="17"/>
      <c r="N408" s="17"/>
      <c r="O408" s="186"/>
      <c r="P408" s="17"/>
    </row>
    <row r="409" ht="15.75" customHeight="1">
      <c r="A409" s="17"/>
      <c r="B409" s="270"/>
      <c r="C409" s="270"/>
      <c r="D409" s="271"/>
      <c r="E409" s="271"/>
      <c r="F409" s="271"/>
      <c r="G409" s="271"/>
      <c r="H409" s="271"/>
      <c r="I409" s="272"/>
      <c r="J409" s="272"/>
      <c r="K409" s="17"/>
      <c r="L409" s="17"/>
      <c r="M409" s="17"/>
      <c r="N409" s="17"/>
      <c r="O409" s="186"/>
      <c r="P409" s="17"/>
    </row>
    <row r="410" ht="15.75" customHeight="1">
      <c r="A410" s="17"/>
      <c r="B410" s="270"/>
      <c r="C410" s="270"/>
      <c r="D410" s="271"/>
      <c r="E410" s="271"/>
      <c r="F410" s="271"/>
      <c r="G410" s="271"/>
      <c r="H410" s="271"/>
      <c r="I410" s="272"/>
      <c r="J410" s="272"/>
      <c r="K410" s="17"/>
      <c r="L410" s="17"/>
      <c r="M410" s="17"/>
      <c r="N410" s="17"/>
      <c r="O410" s="186"/>
      <c r="P410" s="17"/>
    </row>
    <row r="411" ht="15.75" customHeight="1">
      <c r="A411" s="17"/>
      <c r="B411" s="270"/>
      <c r="C411" s="270"/>
      <c r="D411" s="271"/>
      <c r="E411" s="271"/>
      <c r="F411" s="271"/>
      <c r="G411" s="271"/>
      <c r="H411" s="271"/>
      <c r="I411" s="272"/>
      <c r="J411" s="272"/>
      <c r="K411" s="17"/>
      <c r="L411" s="17"/>
      <c r="M411" s="17"/>
      <c r="N411" s="17"/>
      <c r="O411" s="186"/>
      <c r="P411" s="17"/>
    </row>
    <row r="412" ht="15.75" customHeight="1">
      <c r="A412" s="17"/>
      <c r="B412" s="270"/>
      <c r="C412" s="270"/>
      <c r="D412" s="271"/>
      <c r="E412" s="271"/>
      <c r="F412" s="271"/>
      <c r="G412" s="271"/>
      <c r="H412" s="271"/>
      <c r="I412" s="272"/>
      <c r="J412" s="272"/>
      <c r="K412" s="17"/>
      <c r="L412" s="17"/>
      <c r="M412" s="17"/>
      <c r="N412" s="17"/>
      <c r="O412" s="186"/>
      <c r="P412" s="17"/>
    </row>
    <row r="413" ht="15.75" customHeight="1">
      <c r="A413" s="17"/>
      <c r="B413" s="270"/>
      <c r="C413" s="270"/>
      <c r="D413" s="271"/>
      <c r="E413" s="271"/>
      <c r="F413" s="271"/>
      <c r="G413" s="271"/>
      <c r="H413" s="271"/>
      <c r="I413" s="272"/>
      <c r="J413" s="272"/>
      <c r="K413" s="17"/>
      <c r="L413" s="17"/>
      <c r="M413" s="17"/>
      <c r="N413" s="17"/>
      <c r="O413" s="186"/>
      <c r="P413" s="17"/>
    </row>
    <row r="414" ht="15.75" customHeight="1">
      <c r="A414" s="17"/>
      <c r="B414" s="270"/>
      <c r="C414" s="270"/>
      <c r="D414" s="271"/>
      <c r="E414" s="271"/>
      <c r="F414" s="271"/>
      <c r="G414" s="271"/>
      <c r="H414" s="271"/>
      <c r="I414" s="272"/>
      <c r="J414" s="272"/>
      <c r="K414" s="17"/>
      <c r="L414" s="17"/>
      <c r="M414" s="17"/>
      <c r="N414" s="17"/>
      <c r="O414" s="186"/>
      <c r="P414" s="17"/>
    </row>
    <row r="415" ht="15.75" customHeight="1">
      <c r="A415" s="17"/>
      <c r="B415" s="270"/>
      <c r="C415" s="270"/>
      <c r="D415" s="271"/>
      <c r="E415" s="271"/>
      <c r="F415" s="271"/>
      <c r="G415" s="271"/>
      <c r="H415" s="271"/>
      <c r="I415" s="272"/>
      <c r="J415" s="272"/>
      <c r="K415" s="17"/>
      <c r="L415" s="17"/>
      <c r="M415" s="17"/>
      <c r="N415" s="17"/>
      <c r="O415" s="186"/>
      <c r="P415" s="17"/>
    </row>
    <row r="416" ht="15.75" customHeight="1">
      <c r="A416" s="17"/>
      <c r="B416" s="270"/>
      <c r="C416" s="270"/>
      <c r="D416" s="271"/>
      <c r="E416" s="271"/>
      <c r="F416" s="271"/>
      <c r="G416" s="271"/>
      <c r="H416" s="271"/>
      <c r="I416" s="272"/>
      <c r="J416" s="272"/>
      <c r="K416" s="17"/>
      <c r="L416" s="17"/>
      <c r="M416" s="17"/>
      <c r="N416" s="17"/>
      <c r="O416" s="186"/>
      <c r="P416" s="17"/>
    </row>
    <row r="417" ht="15.75" customHeight="1">
      <c r="A417" s="17"/>
      <c r="B417" s="270"/>
      <c r="C417" s="270"/>
      <c r="D417" s="271"/>
      <c r="E417" s="271"/>
      <c r="F417" s="271"/>
      <c r="G417" s="271"/>
      <c r="H417" s="271"/>
      <c r="I417" s="272"/>
      <c r="J417" s="272"/>
      <c r="K417" s="17"/>
      <c r="L417" s="17"/>
      <c r="M417" s="17"/>
      <c r="N417" s="17"/>
      <c r="O417" s="186"/>
      <c r="P417" s="17"/>
    </row>
    <row r="418" ht="15.75" customHeight="1">
      <c r="A418" s="17"/>
      <c r="B418" s="270"/>
      <c r="C418" s="270"/>
      <c r="D418" s="271"/>
      <c r="E418" s="271"/>
      <c r="F418" s="271"/>
      <c r="G418" s="271"/>
      <c r="H418" s="271"/>
      <c r="I418" s="272"/>
      <c r="J418" s="272"/>
      <c r="K418" s="17"/>
      <c r="L418" s="17"/>
      <c r="M418" s="17"/>
      <c r="N418" s="17"/>
      <c r="O418" s="186"/>
      <c r="P418" s="17"/>
    </row>
    <row r="419" ht="15.75" customHeight="1">
      <c r="A419" s="17"/>
      <c r="B419" s="270"/>
      <c r="C419" s="270"/>
      <c r="D419" s="271"/>
      <c r="E419" s="271"/>
      <c r="F419" s="271"/>
      <c r="G419" s="271"/>
      <c r="H419" s="271"/>
      <c r="I419" s="272"/>
      <c r="J419" s="272"/>
      <c r="K419" s="17"/>
      <c r="L419" s="17"/>
      <c r="M419" s="17"/>
      <c r="N419" s="17"/>
      <c r="O419" s="186"/>
      <c r="P419" s="17"/>
    </row>
    <row r="420" ht="15.75" customHeight="1">
      <c r="A420" s="17"/>
      <c r="B420" s="270"/>
      <c r="C420" s="270"/>
      <c r="D420" s="271"/>
      <c r="E420" s="271"/>
      <c r="F420" s="271"/>
      <c r="G420" s="271"/>
      <c r="H420" s="271"/>
      <c r="I420" s="272"/>
      <c r="J420" s="272"/>
      <c r="K420" s="17"/>
      <c r="L420" s="17"/>
      <c r="M420" s="17"/>
      <c r="N420" s="17"/>
      <c r="O420" s="186"/>
      <c r="P420" s="17"/>
    </row>
    <row r="421" ht="15.75" customHeight="1">
      <c r="A421" s="17"/>
      <c r="B421" s="270"/>
      <c r="C421" s="270"/>
      <c r="D421" s="271"/>
      <c r="E421" s="271"/>
      <c r="F421" s="271"/>
      <c r="G421" s="271"/>
      <c r="H421" s="271"/>
      <c r="I421" s="272"/>
      <c r="J421" s="272"/>
      <c r="K421" s="17"/>
      <c r="L421" s="17"/>
      <c r="M421" s="17"/>
      <c r="N421" s="17"/>
      <c r="O421" s="186"/>
      <c r="P421" s="17"/>
    </row>
    <row r="422" ht="15.75" customHeight="1">
      <c r="A422" s="17"/>
      <c r="B422" s="270"/>
      <c r="C422" s="270"/>
      <c r="D422" s="271"/>
      <c r="E422" s="271"/>
      <c r="F422" s="271"/>
      <c r="G422" s="271"/>
      <c r="H422" s="271"/>
      <c r="I422" s="272"/>
      <c r="J422" s="272"/>
      <c r="K422" s="17"/>
      <c r="L422" s="17"/>
      <c r="M422" s="17"/>
      <c r="N422" s="17"/>
      <c r="O422" s="186"/>
      <c r="P422" s="17"/>
    </row>
    <row r="423" ht="15.75" customHeight="1">
      <c r="A423" s="17"/>
      <c r="B423" s="270"/>
      <c r="C423" s="270"/>
      <c r="D423" s="271"/>
      <c r="E423" s="271"/>
      <c r="F423" s="271"/>
      <c r="G423" s="271"/>
      <c r="H423" s="271"/>
      <c r="I423" s="272"/>
      <c r="J423" s="272"/>
      <c r="K423" s="17"/>
      <c r="L423" s="17"/>
      <c r="M423" s="17"/>
      <c r="N423" s="17"/>
      <c r="O423" s="186"/>
      <c r="P423" s="17"/>
    </row>
    <row r="424" ht="15.75" customHeight="1">
      <c r="A424" s="17"/>
      <c r="B424" s="270"/>
      <c r="C424" s="270"/>
      <c r="D424" s="271"/>
      <c r="E424" s="271"/>
      <c r="F424" s="271"/>
      <c r="G424" s="271"/>
      <c r="H424" s="271"/>
      <c r="I424" s="272"/>
      <c r="J424" s="272"/>
      <c r="K424" s="17"/>
      <c r="L424" s="17"/>
      <c r="M424" s="17"/>
      <c r="N424" s="17"/>
      <c r="O424" s="186"/>
      <c r="P424" s="17"/>
    </row>
    <row r="425" ht="15.75" customHeight="1">
      <c r="A425" s="17"/>
      <c r="B425" s="270"/>
      <c r="C425" s="270"/>
      <c r="D425" s="271"/>
      <c r="E425" s="271"/>
      <c r="F425" s="271"/>
      <c r="G425" s="271"/>
      <c r="H425" s="271"/>
      <c r="I425" s="272"/>
      <c r="J425" s="272"/>
      <c r="K425" s="17"/>
      <c r="L425" s="17"/>
      <c r="M425" s="17"/>
      <c r="N425" s="17"/>
      <c r="O425" s="186"/>
      <c r="P425" s="17"/>
    </row>
    <row r="426" ht="15.75" customHeight="1">
      <c r="A426" s="17"/>
      <c r="B426" s="270"/>
      <c r="C426" s="270"/>
      <c r="D426" s="271"/>
      <c r="E426" s="271"/>
      <c r="F426" s="271"/>
      <c r="G426" s="271"/>
      <c r="H426" s="271"/>
      <c r="I426" s="272"/>
      <c r="J426" s="272"/>
      <c r="K426" s="17"/>
      <c r="L426" s="17"/>
      <c r="M426" s="17"/>
      <c r="N426" s="17"/>
      <c r="O426" s="186"/>
      <c r="P426" s="17"/>
    </row>
    <row r="427" ht="15.75" customHeight="1">
      <c r="A427" s="17"/>
      <c r="B427" s="270"/>
      <c r="C427" s="270"/>
      <c r="D427" s="271"/>
      <c r="E427" s="271"/>
      <c r="F427" s="271"/>
      <c r="G427" s="271"/>
      <c r="H427" s="271"/>
      <c r="I427" s="272"/>
      <c r="J427" s="272"/>
      <c r="K427" s="17"/>
      <c r="L427" s="17"/>
      <c r="M427" s="17"/>
      <c r="N427" s="17"/>
      <c r="O427" s="186"/>
      <c r="P427" s="17"/>
    </row>
    <row r="428" ht="15.75" customHeight="1">
      <c r="A428" s="17"/>
      <c r="B428" s="270"/>
      <c r="C428" s="270"/>
      <c r="D428" s="271"/>
      <c r="E428" s="271"/>
      <c r="F428" s="271"/>
      <c r="G428" s="271"/>
      <c r="H428" s="271"/>
      <c r="I428" s="272"/>
      <c r="J428" s="272"/>
      <c r="K428" s="17"/>
      <c r="L428" s="17"/>
      <c r="M428" s="17"/>
      <c r="N428" s="17"/>
      <c r="O428" s="186"/>
      <c r="P428" s="17"/>
    </row>
    <row r="429" ht="15.75" customHeight="1">
      <c r="A429" s="17"/>
      <c r="B429" s="270"/>
      <c r="C429" s="270"/>
      <c r="D429" s="271"/>
      <c r="E429" s="271"/>
      <c r="F429" s="271"/>
      <c r="G429" s="271"/>
      <c r="H429" s="271"/>
      <c r="I429" s="272"/>
      <c r="J429" s="272"/>
      <c r="K429" s="17"/>
      <c r="L429" s="17"/>
      <c r="M429" s="17"/>
      <c r="N429" s="17"/>
      <c r="O429" s="186"/>
      <c r="P429" s="17"/>
    </row>
    <row r="430" ht="15.75" customHeight="1">
      <c r="A430" s="17"/>
      <c r="B430" s="270"/>
      <c r="C430" s="270"/>
      <c r="D430" s="271"/>
      <c r="E430" s="271"/>
      <c r="F430" s="271"/>
      <c r="G430" s="271"/>
      <c r="H430" s="271"/>
      <c r="I430" s="272"/>
      <c r="J430" s="272"/>
      <c r="K430" s="17"/>
      <c r="L430" s="17"/>
      <c r="M430" s="17"/>
      <c r="N430" s="17"/>
      <c r="O430" s="186"/>
      <c r="P430" s="17"/>
    </row>
    <row r="431" ht="15.75" customHeight="1">
      <c r="A431" s="17"/>
      <c r="B431" s="270"/>
      <c r="C431" s="270"/>
      <c r="D431" s="271"/>
      <c r="E431" s="271"/>
      <c r="F431" s="271"/>
      <c r="G431" s="271"/>
      <c r="H431" s="271"/>
      <c r="I431" s="272"/>
      <c r="J431" s="272"/>
      <c r="K431" s="17"/>
      <c r="L431" s="17"/>
      <c r="M431" s="17"/>
      <c r="N431" s="17"/>
      <c r="O431" s="186"/>
      <c r="P431" s="17"/>
    </row>
    <row r="432" ht="15.75" customHeight="1">
      <c r="A432" s="17"/>
      <c r="B432" s="270"/>
      <c r="C432" s="270"/>
      <c r="D432" s="271"/>
      <c r="E432" s="271"/>
      <c r="F432" s="271"/>
      <c r="G432" s="271"/>
      <c r="H432" s="271"/>
      <c r="I432" s="272"/>
      <c r="J432" s="272"/>
      <c r="K432" s="17"/>
      <c r="L432" s="17"/>
      <c r="M432" s="17"/>
      <c r="N432" s="17"/>
      <c r="O432" s="186"/>
      <c r="P432" s="17"/>
    </row>
    <row r="433" ht="15.75" customHeight="1">
      <c r="A433" s="17"/>
      <c r="B433" s="270"/>
      <c r="C433" s="270"/>
      <c r="D433" s="271"/>
      <c r="E433" s="271"/>
      <c r="F433" s="271"/>
      <c r="G433" s="271"/>
      <c r="H433" s="271"/>
      <c r="I433" s="272"/>
      <c r="J433" s="272"/>
      <c r="K433" s="17"/>
      <c r="L433" s="17"/>
      <c r="M433" s="17"/>
      <c r="N433" s="17"/>
      <c r="O433" s="186"/>
      <c r="P433" s="17"/>
    </row>
    <row r="434" ht="15.75" customHeight="1">
      <c r="A434" s="17"/>
      <c r="B434" s="270"/>
      <c r="C434" s="270"/>
      <c r="D434" s="271"/>
      <c r="E434" s="271"/>
      <c r="F434" s="271"/>
      <c r="G434" s="271"/>
      <c r="H434" s="271"/>
      <c r="I434" s="272"/>
      <c r="J434" s="272"/>
      <c r="K434" s="17"/>
      <c r="L434" s="17"/>
      <c r="M434" s="17"/>
      <c r="N434" s="17"/>
      <c r="O434" s="186"/>
      <c r="P434" s="17"/>
    </row>
    <row r="435" ht="15.75" customHeight="1">
      <c r="A435" s="17"/>
      <c r="B435" s="270"/>
      <c r="C435" s="270"/>
      <c r="D435" s="271"/>
      <c r="E435" s="271"/>
      <c r="F435" s="271"/>
      <c r="G435" s="271"/>
      <c r="H435" s="271"/>
      <c r="I435" s="272"/>
      <c r="J435" s="272"/>
      <c r="K435" s="17"/>
      <c r="L435" s="17"/>
      <c r="M435" s="17"/>
      <c r="N435" s="17"/>
      <c r="O435" s="186"/>
      <c r="P435" s="17"/>
    </row>
    <row r="436" ht="15.75" customHeight="1">
      <c r="A436" s="17"/>
      <c r="B436" s="270"/>
      <c r="C436" s="270"/>
      <c r="D436" s="271"/>
      <c r="E436" s="271"/>
      <c r="F436" s="271"/>
      <c r="G436" s="271"/>
      <c r="H436" s="271"/>
      <c r="I436" s="272"/>
      <c r="J436" s="272"/>
      <c r="K436" s="17"/>
      <c r="L436" s="17"/>
      <c r="M436" s="17"/>
      <c r="N436" s="17"/>
      <c r="O436" s="186"/>
      <c r="P436" s="17"/>
    </row>
    <row r="437" ht="15.75" customHeight="1">
      <c r="A437" s="17"/>
      <c r="B437" s="270"/>
      <c r="C437" s="270"/>
      <c r="D437" s="271"/>
      <c r="E437" s="271"/>
      <c r="F437" s="271"/>
      <c r="G437" s="271"/>
      <c r="H437" s="271"/>
      <c r="I437" s="272"/>
      <c r="J437" s="272"/>
      <c r="K437" s="17"/>
      <c r="L437" s="17"/>
      <c r="M437" s="17"/>
      <c r="N437" s="17"/>
      <c r="O437" s="186"/>
      <c r="P437" s="17"/>
    </row>
    <row r="438" ht="15.75" customHeight="1">
      <c r="A438" s="17"/>
      <c r="B438" s="270"/>
      <c r="C438" s="270"/>
      <c r="D438" s="271"/>
      <c r="E438" s="271"/>
      <c r="F438" s="271"/>
      <c r="G438" s="271"/>
      <c r="H438" s="271"/>
      <c r="I438" s="272"/>
      <c r="J438" s="272"/>
      <c r="K438" s="17"/>
      <c r="L438" s="17"/>
      <c r="M438" s="17"/>
      <c r="N438" s="17"/>
      <c r="O438" s="186"/>
      <c r="P438" s="17"/>
    </row>
    <row r="439" ht="15.75" customHeight="1">
      <c r="A439" s="17"/>
      <c r="B439" s="270"/>
      <c r="C439" s="270"/>
      <c r="D439" s="271"/>
      <c r="E439" s="271"/>
      <c r="F439" s="271"/>
      <c r="G439" s="271"/>
      <c r="H439" s="271"/>
      <c r="I439" s="272"/>
      <c r="J439" s="272"/>
      <c r="K439" s="17"/>
      <c r="L439" s="17"/>
      <c r="M439" s="17"/>
      <c r="N439" s="17"/>
      <c r="O439" s="186"/>
      <c r="P439" s="17"/>
    </row>
    <row r="440" ht="15.75" customHeight="1">
      <c r="A440" s="17"/>
      <c r="B440" s="270"/>
      <c r="C440" s="270"/>
      <c r="D440" s="271"/>
      <c r="E440" s="271"/>
      <c r="F440" s="271"/>
      <c r="G440" s="271"/>
      <c r="H440" s="271"/>
      <c r="I440" s="272"/>
      <c r="J440" s="272"/>
      <c r="K440" s="17"/>
      <c r="L440" s="17"/>
      <c r="M440" s="17"/>
      <c r="N440" s="17"/>
      <c r="O440" s="186"/>
      <c r="P440" s="17"/>
    </row>
    <row r="441" ht="15.75" customHeight="1">
      <c r="A441" s="17"/>
      <c r="B441" s="270"/>
      <c r="C441" s="270"/>
      <c r="D441" s="271"/>
      <c r="E441" s="271"/>
      <c r="F441" s="271"/>
      <c r="G441" s="271"/>
      <c r="H441" s="271"/>
      <c r="I441" s="272"/>
      <c r="J441" s="272"/>
      <c r="K441" s="17"/>
      <c r="L441" s="17"/>
      <c r="M441" s="17"/>
      <c r="N441" s="17"/>
      <c r="O441" s="186"/>
      <c r="P441" s="17"/>
    </row>
    <row r="442" ht="15.75" customHeight="1">
      <c r="A442" s="17"/>
      <c r="B442" s="270"/>
      <c r="C442" s="270"/>
      <c r="D442" s="271"/>
      <c r="E442" s="271"/>
      <c r="F442" s="271"/>
      <c r="G442" s="271"/>
      <c r="H442" s="271"/>
      <c r="I442" s="272"/>
      <c r="J442" s="272"/>
      <c r="K442" s="17"/>
      <c r="L442" s="17"/>
      <c r="M442" s="17"/>
      <c r="N442" s="17"/>
      <c r="O442" s="186"/>
      <c r="P442" s="17"/>
    </row>
    <row r="443" ht="15.75" customHeight="1">
      <c r="A443" s="17"/>
      <c r="B443" s="270"/>
      <c r="C443" s="270"/>
      <c r="D443" s="271"/>
      <c r="E443" s="271"/>
      <c r="F443" s="271"/>
      <c r="G443" s="271"/>
      <c r="H443" s="271"/>
      <c r="I443" s="272"/>
      <c r="J443" s="272"/>
      <c r="K443" s="17"/>
      <c r="L443" s="17"/>
      <c r="M443" s="17"/>
      <c r="N443" s="17"/>
      <c r="O443" s="186"/>
      <c r="P443" s="17"/>
    </row>
    <row r="444" ht="15.75" customHeight="1">
      <c r="A444" s="17"/>
      <c r="B444" s="270"/>
      <c r="C444" s="270"/>
      <c r="D444" s="271"/>
      <c r="E444" s="271"/>
      <c r="F444" s="271"/>
      <c r="G444" s="271"/>
      <c r="H444" s="271"/>
      <c r="I444" s="272"/>
      <c r="J444" s="272"/>
      <c r="K444" s="17"/>
      <c r="L444" s="17"/>
      <c r="M444" s="17"/>
      <c r="N444" s="17"/>
      <c r="O444" s="186"/>
      <c r="P444" s="17"/>
    </row>
    <row r="445" ht="15.75" customHeight="1">
      <c r="A445" s="17"/>
      <c r="B445" s="270"/>
      <c r="C445" s="270"/>
      <c r="D445" s="271"/>
      <c r="E445" s="271"/>
      <c r="F445" s="271"/>
      <c r="G445" s="271"/>
      <c r="H445" s="271"/>
      <c r="I445" s="272"/>
      <c r="J445" s="272"/>
      <c r="K445" s="17"/>
      <c r="L445" s="17"/>
      <c r="M445" s="17"/>
      <c r="N445" s="17"/>
      <c r="O445" s="186"/>
      <c r="P445" s="17"/>
    </row>
    <row r="446" ht="15.75" customHeight="1">
      <c r="A446" s="17"/>
      <c r="B446" s="270"/>
      <c r="C446" s="270"/>
      <c r="D446" s="271"/>
      <c r="E446" s="271"/>
      <c r="F446" s="271"/>
      <c r="G446" s="271"/>
      <c r="H446" s="271"/>
      <c r="I446" s="272"/>
      <c r="J446" s="272"/>
      <c r="K446" s="17"/>
      <c r="L446" s="17"/>
      <c r="M446" s="17"/>
      <c r="N446" s="17"/>
      <c r="O446" s="186"/>
      <c r="P446" s="17"/>
    </row>
    <row r="447" ht="15.75" customHeight="1">
      <c r="A447" s="17"/>
      <c r="B447" s="270"/>
      <c r="C447" s="270"/>
      <c r="D447" s="271"/>
      <c r="E447" s="271"/>
      <c r="F447" s="271"/>
      <c r="G447" s="271"/>
      <c r="H447" s="271"/>
      <c r="I447" s="272"/>
      <c r="J447" s="272"/>
      <c r="K447" s="17"/>
      <c r="L447" s="17"/>
      <c r="M447" s="17"/>
      <c r="N447" s="17"/>
      <c r="O447" s="186"/>
      <c r="P447" s="17"/>
    </row>
    <row r="448" ht="15.75" customHeight="1">
      <c r="A448" s="17"/>
      <c r="B448" s="270"/>
      <c r="C448" s="270"/>
      <c r="D448" s="271"/>
      <c r="E448" s="271"/>
      <c r="F448" s="271"/>
      <c r="G448" s="271"/>
      <c r="H448" s="271"/>
      <c r="I448" s="272"/>
      <c r="J448" s="272"/>
      <c r="K448" s="17"/>
      <c r="L448" s="17"/>
      <c r="M448" s="17"/>
      <c r="N448" s="17"/>
      <c r="O448" s="186"/>
      <c r="P448" s="17"/>
    </row>
    <row r="449" ht="15.75" customHeight="1">
      <c r="A449" s="17"/>
      <c r="B449" s="270"/>
      <c r="C449" s="270"/>
      <c r="D449" s="271"/>
      <c r="E449" s="271"/>
      <c r="F449" s="271"/>
      <c r="G449" s="271"/>
      <c r="H449" s="271"/>
      <c r="I449" s="272"/>
      <c r="J449" s="272"/>
      <c r="K449" s="17"/>
      <c r="L449" s="17"/>
      <c r="M449" s="17"/>
      <c r="N449" s="17"/>
      <c r="O449" s="186"/>
      <c r="P449" s="17"/>
    </row>
    <row r="450" ht="15.75" customHeight="1">
      <c r="A450" s="17"/>
      <c r="B450" s="270"/>
      <c r="C450" s="270"/>
      <c r="D450" s="271"/>
      <c r="E450" s="271"/>
      <c r="F450" s="271"/>
      <c r="G450" s="271"/>
      <c r="H450" s="271"/>
      <c r="I450" s="272"/>
      <c r="J450" s="272"/>
      <c r="K450" s="17"/>
      <c r="L450" s="17"/>
      <c r="M450" s="17"/>
      <c r="N450" s="17"/>
      <c r="O450" s="186"/>
      <c r="P450" s="17"/>
    </row>
    <row r="451" ht="15.75" customHeight="1">
      <c r="A451" s="17"/>
      <c r="B451" s="270"/>
      <c r="C451" s="270"/>
      <c r="D451" s="271"/>
      <c r="E451" s="271"/>
      <c r="F451" s="271"/>
      <c r="G451" s="271"/>
      <c r="H451" s="271"/>
      <c r="I451" s="272"/>
      <c r="J451" s="272"/>
      <c r="K451" s="17"/>
      <c r="L451" s="17"/>
      <c r="M451" s="17"/>
      <c r="N451" s="17"/>
      <c r="O451" s="186"/>
      <c r="P451" s="17"/>
    </row>
    <row r="452" ht="15.75" customHeight="1">
      <c r="A452" s="17"/>
      <c r="B452" s="270"/>
      <c r="C452" s="270"/>
      <c r="D452" s="271"/>
      <c r="E452" s="271"/>
      <c r="F452" s="271"/>
      <c r="G452" s="271"/>
      <c r="H452" s="271"/>
      <c r="I452" s="272"/>
      <c r="J452" s="272"/>
      <c r="K452" s="17"/>
      <c r="L452" s="17"/>
      <c r="M452" s="17"/>
      <c r="N452" s="17"/>
      <c r="O452" s="186"/>
      <c r="P452" s="17"/>
    </row>
    <row r="453" ht="15.75" customHeight="1">
      <c r="A453" s="17"/>
      <c r="B453" s="270"/>
      <c r="C453" s="270"/>
      <c r="D453" s="271"/>
      <c r="E453" s="271"/>
      <c r="F453" s="271"/>
      <c r="G453" s="271"/>
      <c r="H453" s="271"/>
      <c r="I453" s="272"/>
      <c r="J453" s="272"/>
      <c r="K453" s="17"/>
      <c r="L453" s="17"/>
      <c r="M453" s="17"/>
      <c r="N453" s="17"/>
      <c r="O453" s="186"/>
      <c r="P453" s="17"/>
    </row>
    <row r="454" ht="15.75" customHeight="1">
      <c r="A454" s="17"/>
      <c r="B454" s="270"/>
      <c r="C454" s="270"/>
      <c r="D454" s="271"/>
      <c r="E454" s="271"/>
      <c r="F454" s="271"/>
      <c r="G454" s="271"/>
      <c r="H454" s="271"/>
      <c r="I454" s="272"/>
      <c r="J454" s="272"/>
      <c r="K454" s="17"/>
      <c r="L454" s="17"/>
      <c r="M454" s="17"/>
      <c r="N454" s="17"/>
      <c r="O454" s="186"/>
      <c r="P454" s="17"/>
    </row>
    <row r="455" ht="15.75" customHeight="1">
      <c r="A455" s="17"/>
      <c r="B455" s="270"/>
      <c r="C455" s="270"/>
      <c r="D455" s="271"/>
      <c r="E455" s="271"/>
      <c r="F455" s="271"/>
      <c r="G455" s="271"/>
      <c r="H455" s="271"/>
      <c r="I455" s="272"/>
      <c r="J455" s="272"/>
      <c r="K455" s="17"/>
      <c r="L455" s="17"/>
      <c r="M455" s="17"/>
      <c r="N455" s="17"/>
      <c r="O455" s="186"/>
      <c r="P455" s="17"/>
    </row>
    <row r="456" ht="15.75" customHeight="1">
      <c r="A456" s="17"/>
      <c r="B456" s="270"/>
      <c r="C456" s="270"/>
      <c r="D456" s="271"/>
      <c r="E456" s="271"/>
      <c r="F456" s="271"/>
      <c r="G456" s="271"/>
      <c r="H456" s="271"/>
      <c r="I456" s="272"/>
      <c r="J456" s="272"/>
      <c r="K456" s="17"/>
      <c r="L456" s="17"/>
      <c r="M456" s="17"/>
      <c r="N456" s="17"/>
      <c r="O456" s="186"/>
      <c r="P456" s="17"/>
    </row>
    <row r="457" ht="15.75" customHeight="1">
      <c r="A457" s="17"/>
      <c r="B457" s="270"/>
      <c r="C457" s="270"/>
      <c r="D457" s="271"/>
      <c r="E457" s="271"/>
      <c r="F457" s="271"/>
      <c r="G457" s="271"/>
      <c r="H457" s="271"/>
      <c r="I457" s="272"/>
      <c r="J457" s="272"/>
      <c r="K457" s="17"/>
      <c r="L457" s="17"/>
      <c r="M457" s="17"/>
      <c r="N457" s="17"/>
      <c r="O457" s="186"/>
      <c r="P457" s="17"/>
    </row>
    <row r="458" ht="15.75" customHeight="1">
      <c r="A458" s="17"/>
      <c r="B458" s="270"/>
      <c r="C458" s="270"/>
      <c r="D458" s="271"/>
      <c r="E458" s="271"/>
      <c r="F458" s="271"/>
      <c r="G458" s="271"/>
      <c r="H458" s="271"/>
      <c r="I458" s="272"/>
      <c r="J458" s="272"/>
      <c r="K458" s="17"/>
      <c r="L458" s="17"/>
      <c r="M458" s="17"/>
      <c r="N458" s="17"/>
      <c r="O458" s="186"/>
      <c r="P458" s="17"/>
    </row>
    <row r="459" ht="15.75" customHeight="1">
      <c r="A459" s="17"/>
      <c r="B459" s="270"/>
      <c r="C459" s="270"/>
      <c r="D459" s="271"/>
      <c r="E459" s="271"/>
      <c r="F459" s="271"/>
      <c r="G459" s="271"/>
      <c r="H459" s="271"/>
      <c r="I459" s="272"/>
      <c r="J459" s="272"/>
      <c r="K459" s="17"/>
      <c r="L459" s="17"/>
      <c r="M459" s="17"/>
      <c r="N459" s="17"/>
      <c r="O459" s="186"/>
      <c r="P459" s="17"/>
    </row>
    <row r="460" ht="15.75" customHeight="1">
      <c r="A460" s="17"/>
      <c r="B460" s="270"/>
      <c r="C460" s="270"/>
      <c r="D460" s="271"/>
      <c r="E460" s="271"/>
      <c r="F460" s="271"/>
      <c r="G460" s="271"/>
      <c r="H460" s="271"/>
      <c r="I460" s="272"/>
      <c r="J460" s="272"/>
      <c r="K460" s="17"/>
      <c r="L460" s="17"/>
      <c r="M460" s="17"/>
      <c r="N460" s="17"/>
      <c r="O460" s="186"/>
      <c r="P460" s="17"/>
    </row>
    <row r="461" ht="15.75" customHeight="1">
      <c r="A461" s="17"/>
      <c r="B461" s="270"/>
      <c r="C461" s="270"/>
      <c r="D461" s="271"/>
      <c r="E461" s="271"/>
      <c r="F461" s="271"/>
      <c r="G461" s="271"/>
      <c r="H461" s="271"/>
      <c r="I461" s="272"/>
      <c r="J461" s="272"/>
      <c r="K461" s="17"/>
      <c r="L461" s="17"/>
      <c r="M461" s="17"/>
      <c r="N461" s="17"/>
      <c r="O461" s="186"/>
      <c r="P461" s="17"/>
    </row>
    <row r="462" ht="15.75" customHeight="1">
      <c r="A462" s="17"/>
      <c r="B462" s="270"/>
      <c r="C462" s="270"/>
      <c r="D462" s="271"/>
      <c r="E462" s="271"/>
      <c r="F462" s="271"/>
      <c r="G462" s="271"/>
      <c r="H462" s="271"/>
      <c r="I462" s="272"/>
      <c r="J462" s="272"/>
      <c r="K462" s="17"/>
      <c r="L462" s="17"/>
      <c r="M462" s="17"/>
      <c r="N462" s="17"/>
      <c r="O462" s="186"/>
      <c r="P462" s="17"/>
    </row>
    <row r="463" ht="15.75" customHeight="1">
      <c r="A463" s="17"/>
      <c r="B463" s="270"/>
      <c r="C463" s="270"/>
      <c r="D463" s="271"/>
      <c r="E463" s="271"/>
      <c r="F463" s="271"/>
      <c r="G463" s="271"/>
      <c r="H463" s="271"/>
      <c r="I463" s="272"/>
      <c r="J463" s="272"/>
      <c r="K463" s="17"/>
      <c r="L463" s="17"/>
      <c r="M463" s="17"/>
      <c r="N463" s="17"/>
      <c r="O463" s="186"/>
      <c r="P463" s="17"/>
    </row>
    <row r="464" ht="15.75" customHeight="1">
      <c r="A464" s="17"/>
      <c r="B464" s="270"/>
      <c r="C464" s="270"/>
      <c r="D464" s="271"/>
      <c r="E464" s="271"/>
      <c r="F464" s="271"/>
      <c r="G464" s="271"/>
      <c r="H464" s="271"/>
      <c r="I464" s="272"/>
      <c r="J464" s="272"/>
      <c r="K464" s="17"/>
      <c r="L464" s="17"/>
      <c r="M464" s="17"/>
      <c r="N464" s="17"/>
      <c r="O464" s="186"/>
      <c r="P464" s="17"/>
    </row>
    <row r="465" ht="15.75" customHeight="1">
      <c r="A465" s="17"/>
      <c r="B465" s="270"/>
      <c r="C465" s="270"/>
      <c r="D465" s="271"/>
      <c r="E465" s="271"/>
      <c r="F465" s="271"/>
      <c r="G465" s="271"/>
      <c r="H465" s="271"/>
      <c r="I465" s="272"/>
      <c r="J465" s="272"/>
      <c r="K465" s="17"/>
      <c r="L465" s="17"/>
      <c r="M465" s="17"/>
      <c r="N465" s="17"/>
      <c r="O465" s="186"/>
      <c r="P465" s="17"/>
    </row>
    <row r="466" ht="15.75" customHeight="1">
      <c r="A466" s="17"/>
      <c r="B466" s="270"/>
      <c r="C466" s="270"/>
      <c r="D466" s="271"/>
      <c r="E466" s="271"/>
      <c r="F466" s="271"/>
      <c r="G466" s="271"/>
      <c r="H466" s="271"/>
      <c r="I466" s="272"/>
      <c r="J466" s="272"/>
      <c r="K466" s="17"/>
      <c r="L466" s="17"/>
      <c r="M466" s="17"/>
      <c r="N466" s="17"/>
      <c r="O466" s="186"/>
      <c r="P466" s="17"/>
    </row>
    <row r="467" ht="15.75" customHeight="1">
      <c r="A467" s="17"/>
      <c r="B467" s="270"/>
      <c r="C467" s="270"/>
      <c r="D467" s="271"/>
      <c r="E467" s="271"/>
      <c r="F467" s="271"/>
      <c r="G467" s="271"/>
      <c r="H467" s="271"/>
      <c r="I467" s="272"/>
      <c r="J467" s="272"/>
      <c r="K467" s="17"/>
      <c r="L467" s="17"/>
      <c r="M467" s="17"/>
      <c r="N467" s="17"/>
      <c r="O467" s="186"/>
      <c r="P467" s="17"/>
    </row>
    <row r="468" ht="15.75" customHeight="1">
      <c r="A468" s="17"/>
      <c r="B468" s="270"/>
      <c r="C468" s="270"/>
      <c r="D468" s="271"/>
      <c r="E468" s="271"/>
      <c r="F468" s="271"/>
      <c r="G468" s="271"/>
      <c r="H468" s="271"/>
      <c r="I468" s="272"/>
      <c r="J468" s="272"/>
      <c r="K468" s="17"/>
      <c r="L468" s="17"/>
      <c r="M468" s="17"/>
      <c r="N468" s="17"/>
      <c r="O468" s="186"/>
      <c r="P468" s="17"/>
    </row>
    <row r="469" ht="15.75" customHeight="1">
      <c r="A469" s="17"/>
      <c r="B469" s="270"/>
      <c r="C469" s="270"/>
      <c r="D469" s="271"/>
      <c r="E469" s="271"/>
      <c r="F469" s="271"/>
      <c r="G469" s="271"/>
      <c r="H469" s="271"/>
      <c r="I469" s="272"/>
      <c r="J469" s="272"/>
      <c r="K469" s="17"/>
      <c r="L469" s="17"/>
      <c r="M469" s="17"/>
      <c r="N469" s="17"/>
      <c r="O469" s="186"/>
      <c r="P469" s="17"/>
    </row>
    <row r="470" ht="15.75" customHeight="1">
      <c r="A470" s="17"/>
      <c r="B470" s="270"/>
      <c r="C470" s="270"/>
      <c r="D470" s="271"/>
      <c r="E470" s="271"/>
      <c r="F470" s="271"/>
      <c r="G470" s="271"/>
      <c r="H470" s="271"/>
      <c r="I470" s="272"/>
      <c r="J470" s="272"/>
      <c r="K470" s="17"/>
      <c r="L470" s="17"/>
      <c r="M470" s="17"/>
      <c r="N470" s="17"/>
      <c r="O470" s="186"/>
      <c r="P470" s="17"/>
    </row>
    <row r="471" ht="15.75" customHeight="1">
      <c r="A471" s="17"/>
      <c r="B471" s="270"/>
      <c r="C471" s="270"/>
      <c r="D471" s="271"/>
      <c r="E471" s="271"/>
      <c r="F471" s="271"/>
      <c r="G471" s="271"/>
      <c r="H471" s="271"/>
      <c r="I471" s="272"/>
      <c r="J471" s="272"/>
      <c r="K471" s="17"/>
      <c r="L471" s="17"/>
      <c r="M471" s="17"/>
      <c r="N471" s="17"/>
      <c r="O471" s="186"/>
      <c r="P471" s="17"/>
    </row>
    <row r="472" ht="15.75" customHeight="1">
      <c r="A472" s="17"/>
      <c r="B472" s="270"/>
      <c r="C472" s="270"/>
      <c r="D472" s="271"/>
      <c r="E472" s="271"/>
      <c r="F472" s="271"/>
      <c r="G472" s="271"/>
      <c r="H472" s="271"/>
      <c r="I472" s="272"/>
      <c r="J472" s="272"/>
      <c r="K472" s="17"/>
      <c r="L472" s="17"/>
      <c r="M472" s="17"/>
      <c r="N472" s="17"/>
      <c r="O472" s="186"/>
      <c r="P472" s="17"/>
    </row>
    <row r="473" ht="15.75" customHeight="1">
      <c r="A473" s="17"/>
      <c r="B473" s="270"/>
      <c r="C473" s="270"/>
      <c r="D473" s="271"/>
      <c r="E473" s="271"/>
      <c r="F473" s="271"/>
      <c r="G473" s="271"/>
      <c r="H473" s="271"/>
      <c r="I473" s="272"/>
      <c r="J473" s="272"/>
      <c r="K473" s="17"/>
      <c r="L473" s="17"/>
      <c r="M473" s="17"/>
      <c r="N473" s="17"/>
      <c r="O473" s="186"/>
      <c r="P473" s="17"/>
    </row>
    <row r="474" ht="15.75" customHeight="1">
      <c r="A474" s="17"/>
      <c r="B474" s="270"/>
      <c r="C474" s="270"/>
      <c r="D474" s="271"/>
      <c r="E474" s="271"/>
      <c r="F474" s="271"/>
      <c r="G474" s="271"/>
      <c r="H474" s="271"/>
      <c r="I474" s="272"/>
      <c r="J474" s="272"/>
      <c r="K474" s="17"/>
      <c r="L474" s="17"/>
      <c r="M474" s="17"/>
      <c r="N474" s="17"/>
      <c r="O474" s="186"/>
      <c r="P474" s="17"/>
    </row>
    <row r="475" ht="15.75" customHeight="1">
      <c r="A475" s="17"/>
      <c r="B475" s="270"/>
      <c r="C475" s="270"/>
      <c r="D475" s="271"/>
      <c r="E475" s="271"/>
      <c r="F475" s="271"/>
      <c r="G475" s="271"/>
      <c r="H475" s="271"/>
      <c r="I475" s="272"/>
      <c r="J475" s="272"/>
      <c r="K475" s="17"/>
      <c r="L475" s="17"/>
      <c r="M475" s="17"/>
      <c r="N475" s="17"/>
      <c r="O475" s="186"/>
      <c r="P475" s="17"/>
    </row>
    <row r="476" ht="15.75" customHeight="1">
      <c r="A476" s="17"/>
      <c r="B476" s="270"/>
      <c r="C476" s="270"/>
      <c r="D476" s="271"/>
      <c r="E476" s="271"/>
      <c r="F476" s="271"/>
      <c r="G476" s="271"/>
      <c r="H476" s="271"/>
      <c r="I476" s="272"/>
      <c r="J476" s="272"/>
      <c r="K476" s="17"/>
      <c r="L476" s="17"/>
      <c r="M476" s="17"/>
      <c r="N476" s="17"/>
      <c r="O476" s="186"/>
      <c r="P476" s="17"/>
    </row>
    <row r="477" ht="15.75" customHeight="1">
      <c r="A477" s="17"/>
      <c r="B477" s="270"/>
      <c r="C477" s="270"/>
      <c r="D477" s="271"/>
      <c r="E477" s="271"/>
      <c r="F477" s="271"/>
      <c r="G477" s="271"/>
      <c r="H477" s="271"/>
      <c r="I477" s="272"/>
      <c r="J477" s="272"/>
      <c r="K477" s="17"/>
      <c r="L477" s="17"/>
      <c r="M477" s="17"/>
      <c r="N477" s="17"/>
      <c r="O477" s="186"/>
      <c r="P477" s="17"/>
    </row>
    <row r="478" ht="15.75" customHeight="1">
      <c r="A478" s="17"/>
      <c r="B478" s="270"/>
      <c r="C478" s="270"/>
      <c r="D478" s="271"/>
      <c r="E478" s="271"/>
      <c r="F478" s="271"/>
      <c r="G478" s="271"/>
      <c r="H478" s="271"/>
      <c r="I478" s="272"/>
      <c r="J478" s="272"/>
      <c r="K478" s="17"/>
      <c r="L478" s="17"/>
      <c r="M478" s="17"/>
      <c r="N478" s="17"/>
      <c r="O478" s="186"/>
      <c r="P478" s="17"/>
    </row>
    <row r="479" ht="15.75" customHeight="1">
      <c r="A479" s="17"/>
      <c r="B479" s="270"/>
      <c r="C479" s="270"/>
      <c r="D479" s="271"/>
      <c r="E479" s="271"/>
      <c r="F479" s="271"/>
      <c r="G479" s="271"/>
      <c r="H479" s="271"/>
      <c r="I479" s="272"/>
      <c r="J479" s="272"/>
      <c r="K479" s="17"/>
      <c r="L479" s="17"/>
      <c r="M479" s="17"/>
      <c r="N479" s="17"/>
      <c r="O479" s="186"/>
      <c r="P479" s="17"/>
    </row>
    <row r="480" ht="15.75" customHeight="1">
      <c r="A480" s="17"/>
      <c r="B480" s="270"/>
      <c r="C480" s="270"/>
      <c r="D480" s="271"/>
      <c r="E480" s="271"/>
      <c r="F480" s="271"/>
      <c r="G480" s="271"/>
      <c r="H480" s="271"/>
      <c r="I480" s="272"/>
      <c r="J480" s="272"/>
      <c r="K480" s="17"/>
      <c r="L480" s="17"/>
      <c r="M480" s="17"/>
      <c r="N480" s="17"/>
      <c r="O480" s="186"/>
      <c r="P480" s="17"/>
    </row>
    <row r="481" ht="15.75" customHeight="1">
      <c r="A481" s="17"/>
      <c r="B481" s="270"/>
      <c r="C481" s="270"/>
      <c r="D481" s="271"/>
      <c r="E481" s="271"/>
      <c r="F481" s="271"/>
      <c r="G481" s="271"/>
      <c r="H481" s="271"/>
      <c r="I481" s="272"/>
      <c r="J481" s="272"/>
      <c r="K481" s="17"/>
      <c r="L481" s="17"/>
      <c r="M481" s="17"/>
      <c r="N481" s="17"/>
      <c r="O481" s="186"/>
      <c r="P481" s="17"/>
    </row>
    <row r="482" ht="15.75" customHeight="1">
      <c r="A482" s="17"/>
      <c r="B482" s="270"/>
      <c r="C482" s="270"/>
      <c r="D482" s="271"/>
      <c r="E482" s="271"/>
      <c r="F482" s="271"/>
      <c r="G482" s="271"/>
      <c r="H482" s="271"/>
      <c r="I482" s="272"/>
      <c r="J482" s="272"/>
      <c r="K482" s="17"/>
      <c r="L482" s="17"/>
      <c r="M482" s="17"/>
      <c r="N482" s="17"/>
      <c r="O482" s="186"/>
      <c r="P482" s="17"/>
    </row>
    <row r="483" ht="15.75" customHeight="1">
      <c r="A483" s="17"/>
      <c r="B483" s="270"/>
      <c r="C483" s="270"/>
      <c r="D483" s="271"/>
      <c r="E483" s="271"/>
      <c r="F483" s="271"/>
      <c r="G483" s="271"/>
      <c r="H483" s="271"/>
      <c r="I483" s="272"/>
      <c r="J483" s="272"/>
      <c r="K483" s="17"/>
      <c r="L483" s="17"/>
      <c r="M483" s="17"/>
      <c r="N483" s="17"/>
      <c r="O483" s="186"/>
      <c r="P483" s="17"/>
    </row>
    <row r="484" ht="15.75" customHeight="1">
      <c r="A484" s="17"/>
      <c r="B484" s="270"/>
      <c r="C484" s="270"/>
      <c r="D484" s="271"/>
      <c r="E484" s="271"/>
      <c r="F484" s="271"/>
      <c r="G484" s="271"/>
      <c r="H484" s="271"/>
      <c r="I484" s="272"/>
      <c r="J484" s="272"/>
      <c r="K484" s="17"/>
      <c r="L484" s="17"/>
      <c r="M484" s="17"/>
      <c r="N484" s="17"/>
      <c r="O484" s="186"/>
      <c r="P484" s="17"/>
    </row>
    <row r="485" ht="15.75" customHeight="1">
      <c r="A485" s="17"/>
      <c r="B485" s="270"/>
      <c r="C485" s="270"/>
      <c r="D485" s="271"/>
      <c r="E485" s="271"/>
      <c r="F485" s="271"/>
      <c r="G485" s="271"/>
      <c r="H485" s="271"/>
      <c r="I485" s="272"/>
      <c r="J485" s="272"/>
      <c r="K485" s="17"/>
      <c r="L485" s="17"/>
      <c r="M485" s="17"/>
      <c r="N485" s="17"/>
      <c r="O485" s="186"/>
      <c r="P485" s="17"/>
    </row>
    <row r="486" ht="15.75" customHeight="1">
      <c r="A486" s="17"/>
      <c r="B486" s="270"/>
      <c r="C486" s="270"/>
      <c r="D486" s="271"/>
      <c r="E486" s="271"/>
      <c r="F486" s="271"/>
      <c r="G486" s="271"/>
      <c r="H486" s="271"/>
      <c r="I486" s="272"/>
      <c r="J486" s="272"/>
      <c r="K486" s="17"/>
      <c r="L486" s="17"/>
      <c r="M486" s="17"/>
      <c r="N486" s="17"/>
      <c r="O486" s="186"/>
      <c r="P486" s="17"/>
    </row>
    <row r="487" ht="15.75" customHeight="1">
      <c r="A487" s="17"/>
      <c r="B487" s="270"/>
      <c r="C487" s="270"/>
      <c r="D487" s="271"/>
      <c r="E487" s="271"/>
      <c r="F487" s="271"/>
      <c r="G487" s="271"/>
      <c r="H487" s="271"/>
      <c r="I487" s="272"/>
      <c r="J487" s="272"/>
      <c r="K487" s="17"/>
      <c r="L487" s="17"/>
      <c r="M487" s="17"/>
      <c r="N487" s="17"/>
      <c r="O487" s="186"/>
      <c r="P487" s="17"/>
    </row>
    <row r="488" ht="15.75" customHeight="1">
      <c r="A488" s="17"/>
      <c r="B488" s="270"/>
      <c r="C488" s="270"/>
      <c r="D488" s="271"/>
      <c r="E488" s="271"/>
      <c r="F488" s="271"/>
      <c r="G488" s="271"/>
      <c r="H488" s="271"/>
      <c r="I488" s="272"/>
      <c r="J488" s="272"/>
      <c r="K488" s="17"/>
      <c r="L488" s="17"/>
      <c r="M488" s="17"/>
      <c r="N488" s="17"/>
      <c r="O488" s="186"/>
      <c r="P488" s="17"/>
    </row>
    <row r="489" ht="15.75" customHeight="1">
      <c r="A489" s="17"/>
      <c r="B489" s="270"/>
      <c r="C489" s="270"/>
      <c r="D489" s="271"/>
      <c r="E489" s="271"/>
      <c r="F489" s="271"/>
      <c r="G489" s="271"/>
      <c r="H489" s="271"/>
      <c r="I489" s="272"/>
      <c r="J489" s="272"/>
      <c r="K489" s="17"/>
      <c r="L489" s="17"/>
      <c r="M489" s="17"/>
      <c r="N489" s="17"/>
      <c r="O489" s="186"/>
      <c r="P489" s="17"/>
    </row>
    <row r="490" ht="15.75" customHeight="1">
      <c r="A490" s="17"/>
      <c r="B490" s="270"/>
      <c r="C490" s="270"/>
      <c r="D490" s="271"/>
      <c r="E490" s="271"/>
      <c r="F490" s="271"/>
      <c r="G490" s="271"/>
      <c r="H490" s="271"/>
      <c r="I490" s="272"/>
      <c r="J490" s="272"/>
      <c r="K490" s="17"/>
      <c r="L490" s="17"/>
      <c r="M490" s="17"/>
      <c r="N490" s="17"/>
      <c r="O490" s="186"/>
      <c r="P490" s="17"/>
    </row>
    <row r="491" ht="15.75" customHeight="1">
      <c r="A491" s="17"/>
      <c r="B491" s="270"/>
      <c r="C491" s="270"/>
      <c r="D491" s="271"/>
      <c r="E491" s="271"/>
      <c r="F491" s="271"/>
      <c r="G491" s="271"/>
      <c r="H491" s="271"/>
      <c r="I491" s="272"/>
      <c r="J491" s="272"/>
      <c r="K491" s="17"/>
      <c r="L491" s="17"/>
      <c r="M491" s="17"/>
      <c r="N491" s="17"/>
      <c r="O491" s="186"/>
      <c r="P491" s="17"/>
    </row>
    <row r="492" ht="15.75" customHeight="1">
      <c r="A492" s="17"/>
      <c r="B492" s="270"/>
      <c r="C492" s="270"/>
      <c r="D492" s="271"/>
      <c r="E492" s="271"/>
      <c r="F492" s="271"/>
      <c r="G492" s="271"/>
      <c r="H492" s="271"/>
      <c r="I492" s="272"/>
      <c r="J492" s="272"/>
      <c r="K492" s="17"/>
      <c r="L492" s="17"/>
      <c r="M492" s="17"/>
      <c r="N492" s="17"/>
      <c r="O492" s="186"/>
      <c r="P492" s="17"/>
    </row>
    <row r="493" ht="15.75" customHeight="1">
      <c r="A493" s="17"/>
      <c r="B493" s="270"/>
      <c r="C493" s="270"/>
      <c r="D493" s="271"/>
      <c r="E493" s="271"/>
      <c r="F493" s="271"/>
      <c r="G493" s="271"/>
      <c r="H493" s="271"/>
      <c r="I493" s="272"/>
      <c r="J493" s="272"/>
      <c r="K493" s="17"/>
      <c r="L493" s="17"/>
      <c r="M493" s="17"/>
      <c r="N493" s="17"/>
      <c r="O493" s="186"/>
      <c r="P493" s="17"/>
    </row>
    <row r="494" ht="15.75" customHeight="1">
      <c r="A494" s="17"/>
      <c r="B494" s="270"/>
      <c r="C494" s="270"/>
      <c r="D494" s="271"/>
      <c r="E494" s="271"/>
      <c r="F494" s="271"/>
      <c r="G494" s="271"/>
      <c r="H494" s="271"/>
      <c r="I494" s="272"/>
      <c r="J494" s="272"/>
      <c r="K494" s="17"/>
      <c r="L494" s="17"/>
      <c r="M494" s="17"/>
      <c r="N494" s="17"/>
      <c r="O494" s="186"/>
      <c r="P494" s="17"/>
    </row>
    <row r="495" ht="15.75" customHeight="1">
      <c r="A495" s="17"/>
      <c r="B495" s="270"/>
      <c r="C495" s="270"/>
      <c r="D495" s="271"/>
      <c r="E495" s="271"/>
      <c r="F495" s="271"/>
      <c r="G495" s="271"/>
      <c r="H495" s="271"/>
      <c r="I495" s="272"/>
      <c r="J495" s="272"/>
      <c r="K495" s="17"/>
      <c r="L495" s="17"/>
      <c r="M495" s="17"/>
      <c r="N495" s="17"/>
      <c r="O495" s="186"/>
      <c r="P495" s="17"/>
    </row>
    <row r="496" ht="15.75" customHeight="1">
      <c r="A496" s="17"/>
      <c r="B496" s="270"/>
      <c r="C496" s="270"/>
      <c r="D496" s="271"/>
      <c r="E496" s="271"/>
      <c r="F496" s="271"/>
      <c r="G496" s="271"/>
      <c r="H496" s="271"/>
      <c r="I496" s="272"/>
      <c r="J496" s="272"/>
      <c r="K496" s="17"/>
      <c r="L496" s="17"/>
      <c r="M496" s="17"/>
      <c r="N496" s="17"/>
      <c r="O496" s="186"/>
      <c r="P496" s="17"/>
    </row>
    <row r="497" ht="15.75" customHeight="1">
      <c r="A497" s="17"/>
      <c r="B497" s="270"/>
      <c r="C497" s="270"/>
      <c r="D497" s="271"/>
      <c r="E497" s="271"/>
      <c r="F497" s="271"/>
      <c r="G497" s="271"/>
      <c r="H497" s="271"/>
      <c r="I497" s="272"/>
      <c r="J497" s="272"/>
      <c r="K497" s="17"/>
      <c r="L497" s="17"/>
      <c r="M497" s="17"/>
      <c r="N497" s="17"/>
      <c r="O497" s="186"/>
      <c r="P497" s="17"/>
    </row>
    <row r="498" ht="15.75" customHeight="1">
      <c r="A498" s="17"/>
      <c r="B498" s="270"/>
      <c r="C498" s="270"/>
      <c r="D498" s="271"/>
      <c r="E498" s="271"/>
      <c r="F498" s="271"/>
      <c r="G498" s="271"/>
      <c r="H498" s="271"/>
      <c r="I498" s="272"/>
      <c r="J498" s="272"/>
      <c r="K498" s="17"/>
      <c r="L498" s="17"/>
      <c r="M498" s="17"/>
      <c r="N498" s="17"/>
      <c r="O498" s="186"/>
      <c r="P498" s="17"/>
    </row>
    <row r="499" ht="15.75" customHeight="1">
      <c r="A499" s="17"/>
      <c r="B499" s="270"/>
      <c r="C499" s="270"/>
      <c r="D499" s="271"/>
      <c r="E499" s="271"/>
      <c r="F499" s="271"/>
      <c r="G499" s="271"/>
      <c r="H499" s="271"/>
      <c r="I499" s="272"/>
      <c r="J499" s="272"/>
      <c r="K499" s="17"/>
      <c r="L499" s="17"/>
      <c r="M499" s="17"/>
      <c r="N499" s="17"/>
      <c r="O499" s="186"/>
      <c r="P499" s="17"/>
    </row>
    <row r="500" ht="15.75" customHeight="1">
      <c r="A500" s="17"/>
      <c r="B500" s="270"/>
      <c r="C500" s="270"/>
      <c r="D500" s="271"/>
      <c r="E500" s="271"/>
      <c r="F500" s="271"/>
      <c r="G500" s="271"/>
      <c r="H500" s="271"/>
      <c r="I500" s="272"/>
      <c r="J500" s="272"/>
      <c r="K500" s="17"/>
      <c r="L500" s="17"/>
      <c r="M500" s="17"/>
      <c r="N500" s="17"/>
      <c r="O500" s="186"/>
      <c r="P500" s="17"/>
    </row>
    <row r="501" ht="15.75" customHeight="1">
      <c r="A501" s="17"/>
      <c r="B501" s="270"/>
      <c r="C501" s="270"/>
      <c r="D501" s="271"/>
      <c r="E501" s="271"/>
      <c r="F501" s="271"/>
      <c r="G501" s="271"/>
      <c r="H501" s="271"/>
      <c r="I501" s="272"/>
      <c r="J501" s="272"/>
      <c r="K501" s="17"/>
      <c r="L501" s="17"/>
      <c r="M501" s="17"/>
      <c r="N501" s="17"/>
      <c r="O501" s="186"/>
      <c r="P501" s="17"/>
    </row>
    <row r="502" ht="15.75" customHeight="1">
      <c r="A502" s="17"/>
      <c r="B502" s="270"/>
      <c r="C502" s="270"/>
      <c r="D502" s="271"/>
      <c r="E502" s="271"/>
      <c r="F502" s="271"/>
      <c r="G502" s="271"/>
      <c r="H502" s="271"/>
      <c r="I502" s="272"/>
      <c r="J502" s="272"/>
      <c r="K502" s="17"/>
      <c r="L502" s="17"/>
      <c r="M502" s="17"/>
      <c r="N502" s="17"/>
      <c r="O502" s="186"/>
      <c r="P502" s="17"/>
    </row>
    <row r="503" ht="15.75" customHeight="1">
      <c r="A503" s="17"/>
      <c r="B503" s="270"/>
      <c r="C503" s="270"/>
      <c r="D503" s="271"/>
      <c r="E503" s="271"/>
      <c r="F503" s="271"/>
      <c r="G503" s="271"/>
      <c r="H503" s="271"/>
      <c r="I503" s="272"/>
      <c r="J503" s="272"/>
      <c r="K503" s="17"/>
      <c r="L503" s="17"/>
      <c r="M503" s="17"/>
      <c r="N503" s="17"/>
      <c r="O503" s="186"/>
      <c r="P503" s="17"/>
    </row>
    <row r="504" ht="15.75" customHeight="1">
      <c r="A504" s="17"/>
      <c r="B504" s="270"/>
      <c r="C504" s="270"/>
      <c r="D504" s="271"/>
      <c r="E504" s="271"/>
      <c r="F504" s="271"/>
      <c r="G504" s="271"/>
      <c r="H504" s="271"/>
      <c r="I504" s="272"/>
      <c r="J504" s="272"/>
      <c r="K504" s="17"/>
      <c r="L504" s="17"/>
      <c r="M504" s="17"/>
      <c r="N504" s="17"/>
      <c r="O504" s="186"/>
      <c r="P504" s="17"/>
    </row>
    <row r="505" ht="15.75" customHeight="1">
      <c r="A505" s="17"/>
      <c r="B505" s="270"/>
      <c r="C505" s="270"/>
      <c r="D505" s="271"/>
      <c r="E505" s="271"/>
      <c r="F505" s="271"/>
      <c r="G505" s="271"/>
      <c r="H505" s="271"/>
      <c r="I505" s="272"/>
      <c r="J505" s="272"/>
      <c r="K505" s="17"/>
      <c r="L505" s="17"/>
      <c r="M505" s="17"/>
      <c r="N505" s="17"/>
      <c r="O505" s="186"/>
      <c r="P505" s="17"/>
    </row>
    <row r="506" ht="15.75" customHeight="1">
      <c r="A506" s="17"/>
      <c r="B506" s="270"/>
      <c r="C506" s="270"/>
      <c r="D506" s="271"/>
      <c r="E506" s="271"/>
      <c r="F506" s="271"/>
      <c r="G506" s="271"/>
      <c r="H506" s="271"/>
      <c r="I506" s="272"/>
      <c r="J506" s="272"/>
      <c r="K506" s="17"/>
      <c r="L506" s="17"/>
      <c r="M506" s="17"/>
      <c r="N506" s="17"/>
      <c r="O506" s="186"/>
      <c r="P506" s="17"/>
    </row>
    <row r="507" ht="15.75" customHeight="1">
      <c r="A507" s="17"/>
      <c r="B507" s="270"/>
      <c r="C507" s="270"/>
      <c r="D507" s="271"/>
      <c r="E507" s="271"/>
      <c r="F507" s="271"/>
      <c r="G507" s="271"/>
      <c r="H507" s="271"/>
      <c r="I507" s="272"/>
      <c r="J507" s="272"/>
      <c r="K507" s="17"/>
      <c r="L507" s="17"/>
      <c r="M507" s="17"/>
      <c r="N507" s="17"/>
      <c r="O507" s="186"/>
      <c r="P507" s="17"/>
    </row>
    <row r="508" ht="15.75" customHeight="1">
      <c r="A508" s="17"/>
      <c r="B508" s="270"/>
      <c r="C508" s="270"/>
      <c r="D508" s="271"/>
      <c r="E508" s="271"/>
      <c r="F508" s="271"/>
      <c r="G508" s="271"/>
      <c r="H508" s="271"/>
      <c r="I508" s="272"/>
      <c r="J508" s="272"/>
      <c r="K508" s="17"/>
      <c r="L508" s="17"/>
      <c r="M508" s="17"/>
      <c r="N508" s="17"/>
      <c r="O508" s="186"/>
      <c r="P508" s="17"/>
    </row>
    <row r="509" ht="15.75" customHeight="1">
      <c r="A509" s="17"/>
      <c r="B509" s="270"/>
      <c r="C509" s="270"/>
      <c r="D509" s="271"/>
      <c r="E509" s="271"/>
      <c r="F509" s="271"/>
      <c r="G509" s="271"/>
      <c r="H509" s="271"/>
      <c r="I509" s="272"/>
      <c r="J509" s="272"/>
      <c r="K509" s="17"/>
      <c r="L509" s="17"/>
      <c r="M509" s="17"/>
      <c r="N509" s="17"/>
      <c r="O509" s="186"/>
      <c r="P509" s="17"/>
    </row>
    <row r="510" ht="15.75" customHeight="1">
      <c r="A510" s="17"/>
      <c r="B510" s="270"/>
      <c r="C510" s="270"/>
      <c r="D510" s="271"/>
      <c r="E510" s="271"/>
      <c r="F510" s="271"/>
      <c r="G510" s="271"/>
      <c r="H510" s="271"/>
      <c r="I510" s="272"/>
      <c r="J510" s="272"/>
      <c r="K510" s="17"/>
      <c r="L510" s="17"/>
      <c r="M510" s="17"/>
      <c r="N510" s="17"/>
      <c r="O510" s="186"/>
      <c r="P510" s="17"/>
    </row>
    <row r="511" ht="15.75" customHeight="1">
      <c r="A511" s="17"/>
      <c r="B511" s="270"/>
      <c r="C511" s="270"/>
      <c r="D511" s="271"/>
      <c r="E511" s="271"/>
      <c r="F511" s="271"/>
      <c r="G511" s="271"/>
      <c r="H511" s="271"/>
      <c r="I511" s="272"/>
      <c r="J511" s="272"/>
      <c r="K511" s="17"/>
      <c r="L511" s="17"/>
      <c r="M511" s="17"/>
      <c r="N511" s="17"/>
      <c r="O511" s="186"/>
      <c r="P511" s="17"/>
    </row>
    <row r="512" ht="15.75" customHeight="1">
      <c r="A512" s="17"/>
      <c r="B512" s="270"/>
      <c r="C512" s="270"/>
      <c r="D512" s="271"/>
      <c r="E512" s="271"/>
      <c r="F512" s="271"/>
      <c r="G512" s="271"/>
      <c r="H512" s="271"/>
      <c r="I512" s="272"/>
      <c r="J512" s="272"/>
      <c r="K512" s="17"/>
      <c r="L512" s="17"/>
      <c r="M512" s="17"/>
      <c r="N512" s="17"/>
      <c r="O512" s="186"/>
      <c r="P512" s="17"/>
    </row>
    <row r="513" ht="15.75" customHeight="1">
      <c r="A513" s="17"/>
      <c r="B513" s="270"/>
      <c r="C513" s="270"/>
      <c r="D513" s="271"/>
      <c r="E513" s="271"/>
      <c r="F513" s="271"/>
      <c r="G513" s="271"/>
      <c r="H513" s="271"/>
      <c r="I513" s="272"/>
      <c r="J513" s="272"/>
      <c r="K513" s="17"/>
      <c r="L513" s="17"/>
      <c r="M513" s="17"/>
      <c r="N513" s="17"/>
      <c r="O513" s="186"/>
      <c r="P513" s="17"/>
    </row>
    <row r="514" ht="15.75" customHeight="1">
      <c r="A514" s="17"/>
      <c r="B514" s="270"/>
      <c r="C514" s="270"/>
      <c r="D514" s="271"/>
      <c r="E514" s="271"/>
      <c r="F514" s="271"/>
      <c r="G514" s="271"/>
      <c r="H514" s="271"/>
      <c r="I514" s="272"/>
      <c r="J514" s="272"/>
      <c r="K514" s="17"/>
      <c r="L514" s="17"/>
      <c r="M514" s="17"/>
      <c r="N514" s="17"/>
      <c r="O514" s="186"/>
      <c r="P514" s="17"/>
    </row>
    <row r="515" ht="15.75" customHeight="1">
      <c r="A515" s="17"/>
      <c r="B515" s="270"/>
      <c r="C515" s="270"/>
      <c r="D515" s="271"/>
      <c r="E515" s="271"/>
      <c r="F515" s="271"/>
      <c r="G515" s="271"/>
      <c r="H515" s="271"/>
      <c r="I515" s="272"/>
      <c r="J515" s="272"/>
      <c r="K515" s="17"/>
      <c r="L515" s="17"/>
      <c r="M515" s="17"/>
      <c r="N515" s="17"/>
      <c r="O515" s="186"/>
      <c r="P515" s="17"/>
    </row>
    <row r="516" ht="15.75" customHeight="1">
      <c r="A516" s="17"/>
      <c r="B516" s="270"/>
      <c r="C516" s="270"/>
      <c r="D516" s="271"/>
      <c r="E516" s="271"/>
      <c r="F516" s="271"/>
      <c r="G516" s="271"/>
      <c r="H516" s="271"/>
      <c r="I516" s="272"/>
      <c r="J516" s="272"/>
      <c r="K516" s="17"/>
      <c r="L516" s="17"/>
      <c r="M516" s="17"/>
      <c r="N516" s="17"/>
      <c r="O516" s="186"/>
      <c r="P516" s="17"/>
    </row>
    <row r="517" ht="15.75" customHeight="1">
      <c r="A517" s="17"/>
      <c r="B517" s="270"/>
      <c r="C517" s="270"/>
      <c r="D517" s="271"/>
      <c r="E517" s="271"/>
      <c r="F517" s="271"/>
      <c r="G517" s="271"/>
      <c r="H517" s="271"/>
      <c r="I517" s="272"/>
      <c r="J517" s="272"/>
      <c r="K517" s="17"/>
      <c r="L517" s="17"/>
      <c r="M517" s="17"/>
      <c r="N517" s="17"/>
      <c r="O517" s="186"/>
      <c r="P517" s="17"/>
    </row>
    <row r="518" ht="15.75" customHeight="1">
      <c r="A518" s="17"/>
      <c r="B518" s="270"/>
      <c r="C518" s="270"/>
      <c r="D518" s="271"/>
      <c r="E518" s="271"/>
      <c r="F518" s="271"/>
      <c r="G518" s="271"/>
      <c r="H518" s="271"/>
      <c r="I518" s="272"/>
      <c r="J518" s="272"/>
      <c r="K518" s="17"/>
      <c r="L518" s="17"/>
      <c r="M518" s="17"/>
      <c r="N518" s="17"/>
      <c r="O518" s="186"/>
      <c r="P518" s="17"/>
    </row>
    <row r="519" ht="15.75" customHeight="1">
      <c r="A519" s="17"/>
      <c r="B519" s="270"/>
      <c r="C519" s="270"/>
      <c r="D519" s="271"/>
      <c r="E519" s="271"/>
      <c r="F519" s="271"/>
      <c r="G519" s="271"/>
      <c r="H519" s="271"/>
      <c r="I519" s="272"/>
      <c r="J519" s="272"/>
      <c r="K519" s="17"/>
      <c r="L519" s="17"/>
      <c r="M519" s="17"/>
      <c r="N519" s="17"/>
      <c r="O519" s="186"/>
      <c r="P519" s="17"/>
    </row>
    <row r="520" ht="15.75" customHeight="1">
      <c r="A520" s="17"/>
      <c r="B520" s="270"/>
      <c r="C520" s="270"/>
      <c r="D520" s="271"/>
      <c r="E520" s="271"/>
      <c r="F520" s="271"/>
      <c r="G520" s="271"/>
      <c r="H520" s="271"/>
      <c r="I520" s="272"/>
      <c r="J520" s="272"/>
      <c r="K520" s="17"/>
      <c r="L520" s="17"/>
      <c r="M520" s="17"/>
      <c r="N520" s="17"/>
      <c r="O520" s="186"/>
      <c r="P520" s="17"/>
    </row>
    <row r="521" ht="15.75" customHeight="1">
      <c r="A521" s="17"/>
      <c r="B521" s="270"/>
      <c r="C521" s="270"/>
      <c r="D521" s="271"/>
      <c r="E521" s="271"/>
      <c r="F521" s="271"/>
      <c r="G521" s="271"/>
      <c r="H521" s="271"/>
      <c r="I521" s="272"/>
      <c r="J521" s="272"/>
      <c r="K521" s="17"/>
      <c r="L521" s="17"/>
      <c r="M521" s="17"/>
      <c r="N521" s="17"/>
      <c r="O521" s="186"/>
      <c r="P521" s="17"/>
    </row>
    <row r="522" ht="15.75" customHeight="1">
      <c r="A522" s="17"/>
      <c r="B522" s="270"/>
      <c r="C522" s="270"/>
      <c r="D522" s="271"/>
      <c r="E522" s="271"/>
      <c r="F522" s="271"/>
      <c r="G522" s="271"/>
      <c r="H522" s="271"/>
      <c r="I522" s="272"/>
      <c r="J522" s="272"/>
      <c r="K522" s="17"/>
      <c r="L522" s="17"/>
      <c r="M522" s="17"/>
      <c r="N522" s="17"/>
      <c r="O522" s="186"/>
      <c r="P522" s="17"/>
    </row>
    <row r="523" ht="15.75" customHeight="1">
      <c r="A523" s="17"/>
      <c r="B523" s="270"/>
      <c r="C523" s="270"/>
      <c r="D523" s="271"/>
      <c r="E523" s="271"/>
      <c r="F523" s="271"/>
      <c r="G523" s="271"/>
      <c r="H523" s="271"/>
      <c r="I523" s="272"/>
      <c r="J523" s="272"/>
      <c r="K523" s="17"/>
      <c r="L523" s="17"/>
      <c r="M523" s="17"/>
      <c r="N523" s="17"/>
      <c r="O523" s="186"/>
      <c r="P523" s="17"/>
    </row>
    <row r="524" ht="15.75" customHeight="1">
      <c r="A524" s="17"/>
      <c r="B524" s="270"/>
      <c r="C524" s="270"/>
      <c r="D524" s="271"/>
      <c r="E524" s="271"/>
      <c r="F524" s="271"/>
      <c r="G524" s="271"/>
      <c r="H524" s="271"/>
      <c r="I524" s="272"/>
      <c r="J524" s="272"/>
      <c r="K524" s="17"/>
      <c r="L524" s="17"/>
      <c r="M524" s="17"/>
      <c r="N524" s="17"/>
      <c r="O524" s="186"/>
      <c r="P524" s="17"/>
    </row>
    <row r="525" ht="15.75" customHeight="1">
      <c r="A525" s="17"/>
      <c r="B525" s="270"/>
      <c r="C525" s="270"/>
      <c r="D525" s="271"/>
      <c r="E525" s="271"/>
      <c r="F525" s="271"/>
      <c r="G525" s="271"/>
      <c r="H525" s="271"/>
      <c r="I525" s="272"/>
      <c r="J525" s="272"/>
      <c r="K525" s="17"/>
      <c r="L525" s="17"/>
      <c r="M525" s="17"/>
      <c r="N525" s="17"/>
      <c r="O525" s="186"/>
      <c r="P525" s="17"/>
    </row>
    <row r="526" ht="15.75" customHeight="1">
      <c r="A526" s="17"/>
      <c r="B526" s="270"/>
      <c r="C526" s="270"/>
      <c r="D526" s="271"/>
      <c r="E526" s="271"/>
      <c r="F526" s="271"/>
      <c r="G526" s="271"/>
      <c r="H526" s="271"/>
      <c r="I526" s="272"/>
      <c r="J526" s="272"/>
      <c r="K526" s="17"/>
      <c r="L526" s="17"/>
      <c r="M526" s="17"/>
      <c r="N526" s="17"/>
      <c r="O526" s="186"/>
      <c r="P526" s="17"/>
    </row>
    <row r="527" ht="15.75" customHeight="1">
      <c r="A527" s="17"/>
      <c r="B527" s="270"/>
      <c r="C527" s="270"/>
      <c r="D527" s="271"/>
      <c r="E527" s="271"/>
      <c r="F527" s="271"/>
      <c r="G527" s="271"/>
      <c r="H527" s="271"/>
      <c r="I527" s="272"/>
      <c r="J527" s="272"/>
      <c r="K527" s="17"/>
      <c r="L527" s="17"/>
      <c r="M527" s="17"/>
      <c r="N527" s="17"/>
      <c r="O527" s="186"/>
      <c r="P527" s="17"/>
    </row>
    <row r="528" ht="15.75" customHeight="1">
      <c r="A528" s="17"/>
      <c r="B528" s="270"/>
      <c r="C528" s="270"/>
      <c r="D528" s="271"/>
      <c r="E528" s="271"/>
      <c r="F528" s="271"/>
      <c r="G528" s="271"/>
      <c r="H528" s="271"/>
      <c r="I528" s="272"/>
      <c r="J528" s="272"/>
      <c r="K528" s="17"/>
      <c r="L528" s="17"/>
      <c r="M528" s="17"/>
      <c r="N528" s="17"/>
      <c r="O528" s="186"/>
      <c r="P528" s="17"/>
    </row>
    <row r="529" ht="15.75" customHeight="1">
      <c r="A529" s="17"/>
      <c r="B529" s="270"/>
      <c r="C529" s="270"/>
      <c r="D529" s="271"/>
      <c r="E529" s="271"/>
      <c r="F529" s="271"/>
      <c r="G529" s="271"/>
      <c r="H529" s="271"/>
      <c r="I529" s="272"/>
      <c r="J529" s="272"/>
      <c r="K529" s="17"/>
      <c r="L529" s="17"/>
      <c r="M529" s="17"/>
      <c r="N529" s="17"/>
      <c r="O529" s="186"/>
      <c r="P529" s="17"/>
    </row>
    <row r="530" ht="15.75" customHeight="1">
      <c r="A530" s="17"/>
      <c r="B530" s="270"/>
      <c r="C530" s="270"/>
      <c r="D530" s="271"/>
      <c r="E530" s="271"/>
      <c r="F530" s="271"/>
      <c r="G530" s="271"/>
      <c r="H530" s="271"/>
      <c r="I530" s="272"/>
      <c r="J530" s="272"/>
      <c r="K530" s="17"/>
      <c r="L530" s="17"/>
      <c r="M530" s="17"/>
      <c r="N530" s="17"/>
      <c r="O530" s="186"/>
      <c r="P530" s="17"/>
    </row>
    <row r="531" ht="15.75" customHeight="1">
      <c r="A531" s="17"/>
      <c r="B531" s="270"/>
      <c r="C531" s="270"/>
      <c r="D531" s="271"/>
      <c r="E531" s="271"/>
      <c r="F531" s="271"/>
      <c r="G531" s="271"/>
      <c r="H531" s="271"/>
      <c r="I531" s="272"/>
      <c r="J531" s="272"/>
      <c r="K531" s="17"/>
      <c r="L531" s="17"/>
      <c r="M531" s="17"/>
      <c r="N531" s="17"/>
      <c r="O531" s="186"/>
      <c r="P531" s="17"/>
    </row>
    <row r="532" ht="15.75" customHeight="1">
      <c r="A532" s="17"/>
      <c r="B532" s="270"/>
      <c r="C532" s="270"/>
      <c r="D532" s="271"/>
      <c r="E532" s="271"/>
      <c r="F532" s="271"/>
      <c r="G532" s="271"/>
      <c r="H532" s="271"/>
      <c r="I532" s="272"/>
      <c r="J532" s="272"/>
      <c r="K532" s="17"/>
      <c r="L532" s="17"/>
      <c r="M532" s="17"/>
      <c r="N532" s="17"/>
      <c r="O532" s="186"/>
      <c r="P532" s="17"/>
    </row>
    <row r="533" ht="15.75" customHeight="1">
      <c r="A533" s="17"/>
      <c r="B533" s="270"/>
      <c r="C533" s="270"/>
      <c r="D533" s="271"/>
      <c r="E533" s="271"/>
      <c r="F533" s="271"/>
      <c r="G533" s="271"/>
      <c r="H533" s="271"/>
      <c r="I533" s="272"/>
      <c r="J533" s="272"/>
      <c r="K533" s="17"/>
      <c r="L533" s="17"/>
      <c r="M533" s="17"/>
      <c r="N533" s="17"/>
      <c r="O533" s="186"/>
      <c r="P533" s="17"/>
    </row>
    <row r="534" ht="15.75" customHeight="1">
      <c r="A534" s="17"/>
      <c r="B534" s="270"/>
      <c r="C534" s="270"/>
      <c r="D534" s="271"/>
      <c r="E534" s="271"/>
      <c r="F534" s="271"/>
      <c r="G534" s="271"/>
      <c r="H534" s="271"/>
      <c r="I534" s="272"/>
      <c r="J534" s="272"/>
      <c r="K534" s="17"/>
      <c r="L534" s="17"/>
      <c r="M534" s="17"/>
      <c r="N534" s="17"/>
      <c r="O534" s="186"/>
      <c r="P534" s="17"/>
    </row>
    <row r="535" ht="15.75" customHeight="1">
      <c r="A535" s="17"/>
      <c r="B535" s="270"/>
      <c r="C535" s="270"/>
      <c r="D535" s="271"/>
      <c r="E535" s="271"/>
      <c r="F535" s="271"/>
      <c r="G535" s="271"/>
      <c r="H535" s="271"/>
      <c r="I535" s="272"/>
      <c r="J535" s="272"/>
      <c r="K535" s="17"/>
      <c r="L535" s="17"/>
      <c r="M535" s="17"/>
      <c r="N535" s="17"/>
      <c r="O535" s="186"/>
      <c r="P535" s="17"/>
    </row>
    <row r="536" ht="15.75" customHeight="1">
      <c r="A536" s="17"/>
      <c r="B536" s="270"/>
      <c r="C536" s="270"/>
      <c r="D536" s="271"/>
      <c r="E536" s="271"/>
      <c r="F536" s="271"/>
      <c r="G536" s="271"/>
      <c r="H536" s="271"/>
      <c r="I536" s="272"/>
      <c r="J536" s="272"/>
      <c r="K536" s="17"/>
      <c r="L536" s="17"/>
      <c r="M536" s="17"/>
      <c r="N536" s="17"/>
      <c r="O536" s="186"/>
      <c r="P536" s="17"/>
    </row>
    <row r="537" ht="15.75" customHeight="1">
      <c r="A537" s="17"/>
      <c r="B537" s="270"/>
      <c r="C537" s="270"/>
      <c r="D537" s="271"/>
      <c r="E537" s="271"/>
      <c r="F537" s="271"/>
      <c r="G537" s="271"/>
      <c r="H537" s="271"/>
      <c r="I537" s="272"/>
      <c r="J537" s="272"/>
      <c r="K537" s="17"/>
      <c r="L537" s="17"/>
      <c r="M537" s="17"/>
      <c r="N537" s="17"/>
      <c r="O537" s="186"/>
      <c r="P537" s="17"/>
    </row>
    <row r="538" ht="15.75" customHeight="1">
      <c r="A538" s="17"/>
      <c r="B538" s="270"/>
      <c r="C538" s="270"/>
      <c r="D538" s="271"/>
      <c r="E538" s="271"/>
      <c r="F538" s="271"/>
      <c r="G538" s="271"/>
      <c r="H538" s="271"/>
      <c r="I538" s="272"/>
      <c r="J538" s="272"/>
      <c r="K538" s="17"/>
      <c r="L538" s="17"/>
      <c r="M538" s="17"/>
      <c r="N538" s="17"/>
      <c r="O538" s="186"/>
      <c r="P538" s="17"/>
    </row>
    <row r="539" ht="15.75" customHeight="1">
      <c r="A539" s="17"/>
      <c r="B539" s="270"/>
      <c r="C539" s="270"/>
      <c r="D539" s="271"/>
      <c r="E539" s="271"/>
      <c r="F539" s="271"/>
      <c r="G539" s="271"/>
      <c r="H539" s="271"/>
      <c r="I539" s="272"/>
      <c r="J539" s="272"/>
      <c r="K539" s="17"/>
      <c r="L539" s="17"/>
      <c r="M539" s="17"/>
      <c r="N539" s="17"/>
      <c r="O539" s="186"/>
      <c r="P539" s="17"/>
    </row>
    <row r="540" ht="15.75" customHeight="1">
      <c r="A540" s="17"/>
      <c r="B540" s="270"/>
      <c r="C540" s="270"/>
      <c r="D540" s="271"/>
      <c r="E540" s="271"/>
      <c r="F540" s="271"/>
      <c r="G540" s="271"/>
      <c r="H540" s="271"/>
      <c r="I540" s="272"/>
      <c r="J540" s="272"/>
      <c r="K540" s="17"/>
      <c r="L540" s="17"/>
      <c r="M540" s="17"/>
      <c r="N540" s="17"/>
      <c r="O540" s="186"/>
      <c r="P540" s="17"/>
    </row>
    <row r="541" ht="15.75" customHeight="1">
      <c r="A541" s="17"/>
      <c r="B541" s="270"/>
      <c r="C541" s="270"/>
      <c r="D541" s="271"/>
      <c r="E541" s="271"/>
      <c r="F541" s="271"/>
      <c r="G541" s="271"/>
      <c r="H541" s="271"/>
      <c r="I541" s="272"/>
      <c r="J541" s="272"/>
      <c r="K541" s="17"/>
      <c r="L541" s="17"/>
      <c r="M541" s="17"/>
      <c r="N541" s="17"/>
      <c r="O541" s="186"/>
      <c r="P541" s="17"/>
    </row>
    <row r="542" ht="15.75" customHeight="1">
      <c r="A542" s="17"/>
      <c r="B542" s="270"/>
      <c r="C542" s="270"/>
      <c r="D542" s="271"/>
      <c r="E542" s="271"/>
      <c r="F542" s="271"/>
      <c r="G542" s="271"/>
      <c r="H542" s="271"/>
      <c r="I542" s="272"/>
      <c r="J542" s="272"/>
      <c r="K542" s="17"/>
      <c r="L542" s="17"/>
      <c r="M542" s="17"/>
      <c r="N542" s="17"/>
      <c r="O542" s="186"/>
      <c r="P542" s="17"/>
    </row>
    <row r="543" ht="15.75" customHeight="1">
      <c r="A543" s="17"/>
      <c r="B543" s="270"/>
      <c r="C543" s="270"/>
      <c r="D543" s="271"/>
      <c r="E543" s="271"/>
      <c r="F543" s="271"/>
      <c r="G543" s="271"/>
      <c r="H543" s="271"/>
      <c r="I543" s="272"/>
      <c r="J543" s="272"/>
      <c r="K543" s="17"/>
      <c r="L543" s="17"/>
      <c r="M543" s="17"/>
      <c r="N543" s="17"/>
      <c r="O543" s="186"/>
      <c r="P543" s="17"/>
    </row>
    <row r="544" ht="15.75" customHeight="1">
      <c r="A544" s="17"/>
      <c r="B544" s="270"/>
      <c r="C544" s="270"/>
      <c r="D544" s="271"/>
      <c r="E544" s="271"/>
      <c r="F544" s="271"/>
      <c r="G544" s="271"/>
      <c r="H544" s="271"/>
      <c r="I544" s="272"/>
      <c r="J544" s="272"/>
      <c r="K544" s="17"/>
      <c r="L544" s="17"/>
      <c r="M544" s="17"/>
      <c r="N544" s="17"/>
      <c r="O544" s="186"/>
      <c r="P544" s="17"/>
    </row>
    <row r="545" ht="15.75" customHeight="1">
      <c r="A545" s="17"/>
      <c r="B545" s="270"/>
      <c r="C545" s="270"/>
      <c r="D545" s="271"/>
      <c r="E545" s="271"/>
      <c r="F545" s="271"/>
      <c r="G545" s="271"/>
      <c r="H545" s="271"/>
      <c r="I545" s="272"/>
      <c r="J545" s="272"/>
      <c r="K545" s="17"/>
      <c r="L545" s="17"/>
      <c r="M545" s="17"/>
      <c r="N545" s="17"/>
      <c r="O545" s="186"/>
      <c r="P545" s="17"/>
    </row>
    <row r="546" ht="15.75" customHeight="1">
      <c r="A546" s="17"/>
      <c r="B546" s="270"/>
      <c r="C546" s="270"/>
      <c r="D546" s="271"/>
      <c r="E546" s="271"/>
      <c r="F546" s="271"/>
      <c r="G546" s="271"/>
      <c r="H546" s="271"/>
      <c r="I546" s="272"/>
      <c r="J546" s="272"/>
      <c r="K546" s="17"/>
      <c r="L546" s="17"/>
      <c r="M546" s="17"/>
      <c r="N546" s="17"/>
      <c r="O546" s="186"/>
      <c r="P546" s="17"/>
    </row>
    <row r="547" ht="15.75" customHeight="1">
      <c r="A547" s="17"/>
      <c r="B547" s="270"/>
      <c r="C547" s="270"/>
      <c r="D547" s="271"/>
      <c r="E547" s="271"/>
      <c r="F547" s="271"/>
      <c r="G547" s="271"/>
      <c r="H547" s="271"/>
      <c r="I547" s="272"/>
      <c r="J547" s="272"/>
      <c r="K547" s="17"/>
      <c r="L547" s="17"/>
      <c r="M547" s="17"/>
      <c r="N547" s="17"/>
      <c r="O547" s="186"/>
      <c r="P547" s="17"/>
    </row>
    <row r="548" ht="15.75" customHeight="1">
      <c r="A548" s="17"/>
      <c r="B548" s="270"/>
      <c r="C548" s="270"/>
      <c r="D548" s="271"/>
      <c r="E548" s="271"/>
      <c r="F548" s="271"/>
      <c r="G548" s="271"/>
      <c r="H548" s="271"/>
      <c r="I548" s="272"/>
      <c r="J548" s="272"/>
      <c r="K548" s="17"/>
      <c r="L548" s="17"/>
      <c r="M548" s="17"/>
      <c r="N548" s="17"/>
      <c r="O548" s="186"/>
      <c r="P548" s="17"/>
    </row>
    <row r="549" ht="15.75" customHeight="1">
      <c r="A549" s="17"/>
      <c r="B549" s="270"/>
      <c r="C549" s="270"/>
      <c r="D549" s="271"/>
      <c r="E549" s="271"/>
      <c r="F549" s="271"/>
      <c r="G549" s="271"/>
      <c r="H549" s="271"/>
      <c r="I549" s="272"/>
      <c r="J549" s="272"/>
      <c r="K549" s="17"/>
      <c r="L549" s="17"/>
      <c r="M549" s="17"/>
      <c r="N549" s="17"/>
      <c r="O549" s="186"/>
      <c r="P549" s="17"/>
    </row>
    <row r="550" ht="15.75" customHeight="1">
      <c r="A550" s="17"/>
      <c r="B550" s="270"/>
      <c r="C550" s="270"/>
      <c r="D550" s="271"/>
      <c r="E550" s="271"/>
      <c r="F550" s="271"/>
      <c r="G550" s="271"/>
      <c r="H550" s="271"/>
      <c r="I550" s="272"/>
      <c r="J550" s="272"/>
      <c r="K550" s="17"/>
      <c r="L550" s="17"/>
      <c r="M550" s="17"/>
      <c r="N550" s="17"/>
      <c r="O550" s="186"/>
      <c r="P550" s="17"/>
    </row>
    <row r="551" ht="15.75" customHeight="1">
      <c r="A551" s="17"/>
      <c r="B551" s="270"/>
      <c r="C551" s="270"/>
      <c r="D551" s="271"/>
      <c r="E551" s="271"/>
      <c r="F551" s="271"/>
      <c r="G551" s="271"/>
      <c r="H551" s="271"/>
      <c r="I551" s="272"/>
      <c r="J551" s="272"/>
      <c r="K551" s="17"/>
      <c r="L551" s="17"/>
      <c r="M551" s="17"/>
      <c r="N551" s="17"/>
      <c r="O551" s="186"/>
      <c r="P551" s="17"/>
    </row>
    <row r="552" ht="15.75" customHeight="1">
      <c r="A552" s="17"/>
      <c r="B552" s="270"/>
      <c r="C552" s="270"/>
      <c r="D552" s="271"/>
      <c r="E552" s="271"/>
      <c r="F552" s="271"/>
      <c r="G552" s="271"/>
      <c r="H552" s="271"/>
      <c r="I552" s="272"/>
      <c r="J552" s="272"/>
      <c r="K552" s="17"/>
      <c r="L552" s="17"/>
      <c r="M552" s="17"/>
      <c r="N552" s="17"/>
      <c r="O552" s="186"/>
      <c r="P552" s="17"/>
    </row>
    <row r="553" ht="15.75" customHeight="1">
      <c r="A553" s="17"/>
      <c r="B553" s="270"/>
      <c r="C553" s="270"/>
      <c r="D553" s="271"/>
      <c r="E553" s="271"/>
      <c r="F553" s="271"/>
      <c r="G553" s="271"/>
      <c r="H553" s="271"/>
      <c r="I553" s="272"/>
      <c r="J553" s="272"/>
      <c r="K553" s="17"/>
      <c r="L553" s="17"/>
      <c r="M553" s="17"/>
      <c r="N553" s="17"/>
      <c r="O553" s="186"/>
      <c r="P553" s="17"/>
    </row>
  </sheetData>
  <mergeCells count="124">
    <mergeCell ref="H6:H7"/>
    <mergeCell ref="I6:I7"/>
    <mergeCell ref="J6:J7"/>
    <mergeCell ref="K6:K7"/>
    <mergeCell ref="B2:L5"/>
    <mergeCell ref="B6:B7"/>
    <mergeCell ref="C6:C7"/>
    <mergeCell ref="D6:D7"/>
    <mergeCell ref="E6:E7"/>
    <mergeCell ref="F6:F7"/>
    <mergeCell ref="L6:L7"/>
    <mergeCell ref="I14:K14"/>
    <mergeCell ref="L14:M14"/>
    <mergeCell ref="G14:H14"/>
    <mergeCell ref="G15:H15"/>
    <mergeCell ref="I15:K15"/>
    <mergeCell ref="L15:M15"/>
    <mergeCell ref="G6:G7"/>
    <mergeCell ref="B12:J13"/>
    <mergeCell ref="K12:K13"/>
    <mergeCell ref="L12:M12"/>
    <mergeCell ref="L13:M13"/>
    <mergeCell ref="B14:C14"/>
    <mergeCell ref="B15:C15"/>
    <mergeCell ref="G32:H32"/>
    <mergeCell ref="G33:H33"/>
    <mergeCell ref="G25:H25"/>
    <mergeCell ref="G26:H26"/>
    <mergeCell ref="G27:H27"/>
    <mergeCell ref="G28:H28"/>
    <mergeCell ref="G29:H29"/>
    <mergeCell ref="G30:H30"/>
    <mergeCell ref="G31:H31"/>
    <mergeCell ref="I34:K34"/>
    <mergeCell ref="I35:K35"/>
    <mergeCell ref="I27:K27"/>
    <mergeCell ref="I28:K28"/>
    <mergeCell ref="I29:K29"/>
    <mergeCell ref="I30:K30"/>
    <mergeCell ref="I31:K31"/>
    <mergeCell ref="I32:K32"/>
    <mergeCell ref="I33:K33"/>
    <mergeCell ref="B33:C33"/>
    <mergeCell ref="B34:C34"/>
    <mergeCell ref="G34:H34"/>
    <mergeCell ref="G35:H35"/>
    <mergeCell ref="I36:K36"/>
    <mergeCell ref="I37:K37"/>
    <mergeCell ref="I38:K38"/>
    <mergeCell ref="B42:C42"/>
    <mergeCell ref="B43:C43"/>
    <mergeCell ref="B44:C44"/>
    <mergeCell ref="B45:C45"/>
    <mergeCell ref="B46:C46"/>
    <mergeCell ref="B47:C47"/>
    <mergeCell ref="B48:C48"/>
    <mergeCell ref="B35:C35"/>
    <mergeCell ref="B36:C36"/>
    <mergeCell ref="B37:C37"/>
    <mergeCell ref="B38:C38"/>
    <mergeCell ref="B39:C39"/>
    <mergeCell ref="B40:C40"/>
    <mergeCell ref="B41:C41"/>
    <mergeCell ref="G45:H45"/>
    <mergeCell ref="G46:H46"/>
    <mergeCell ref="G47:H47"/>
    <mergeCell ref="G48:H48"/>
    <mergeCell ref="G36:H36"/>
    <mergeCell ref="G39:H39"/>
    <mergeCell ref="G40:H40"/>
    <mergeCell ref="G41:H41"/>
    <mergeCell ref="G42:H42"/>
    <mergeCell ref="G43:H43"/>
    <mergeCell ref="G44:H44"/>
    <mergeCell ref="I46:K46"/>
    <mergeCell ref="I47:K47"/>
    <mergeCell ref="I48:J48"/>
    <mergeCell ref="I39:K39"/>
    <mergeCell ref="I40:K40"/>
    <mergeCell ref="I41:K41"/>
    <mergeCell ref="I42:K42"/>
    <mergeCell ref="I43:K43"/>
    <mergeCell ref="I44:K44"/>
    <mergeCell ref="I45:K45"/>
    <mergeCell ref="G18:H18"/>
    <mergeCell ref="I18:K18"/>
    <mergeCell ref="L18:O18"/>
    <mergeCell ref="B16:C16"/>
    <mergeCell ref="G16:H16"/>
    <mergeCell ref="I16:K16"/>
    <mergeCell ref="B17:C17"/>
    <mergeCell ref="I17:K17"/>
    <mergeCell ref="B18:C18"/>
    <mergeCell ref="I19:K19"/>
    <mergeCell ref="G17:H17"/>
    <mergeCell ref="G19:H19"/>
    <mergeCell ref="G20:H20"/>
    <mergeCell ref="G21:H21"/>
    <mergeCell ref="G22:H22"/>
    <mergeCell ref="G23:H23"/>
    <mergeCell ref="G24:H24"/>
    <mergeCell ref="B19:C19"/>
    <mergeCell ref="B20:C20"/>
    <mergeCell ref="B21:C21"/>
    <mergeCell ref="B22:C22"/>
    <mergeCell ref="B23:C23"/>
    <mergeCell ref="B24:C24"/>
    <mergeCell ref="B25:C25"/>
    <mergeCell ref="I20:K20"/>
    <mergeCell ref="I21:K21"/>
    <mergeCell ref="I22:K22"/>
    <mergeCell ref="I23:K23"/>
    <mergeCell ref="I24:K24"/>
    <mergeCell ref="I25:K25"/>
    <mergeCell ref="I26:K26"/>
    <mergeCell ref="B26:C26"/>
    <mergeCell ref="B27:C27"/>
    <mergeCell ref="B28:C28"/>
    <mergeCell ref="B29:C29"/>
    <mergeCell ref="B30:C30"/>
    <mergeCell ref="B31:C31"/>
    <mergeCell ref="B32:C32"/>
    <mergeCell ref="G37:H37"/>
    <mergeCell ref="G38:H3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E3794"/>
    <outlinePr summaryBelow="0" summaryRight="0"/>
  </sheetPr>
  <sheetViews>
    <sheetView workbookViewId="0"/>
  </sheetViews>
  <sheetFormatPr customHeight="1" defaultColWidth="12.63" defaultRowHeight="15.75"/>
  <sheetData>
    <row r="1">
      <c r="A1" s="273"/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</row>
    <row r="2">
      <c r="A2" s="275"/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276"/>
    </row>
    <row r="3">
      <c r="A3" s="275"/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</row>
    <row r="4">
      <c r="A4" s="275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</row>
    <row r="5">
      <c r="A5" s="275"/>
      <c r="B5" s="277"/>
      <c r="C5" s="278"/>
      <c r="D5" s="279"/>
      <c r="E5" s="276"/>
      <c r="F5" s="277" t="s">
        <v>286</v>
      </c>
      <c r="G5" s="278"/>
      <c r="H5" s="279"/>
      <c r="I5" s="276"/>
      <c r="J5" s="277" t="s">
        <v>287</v>
      </c>
      <c r="K5" s="278"/>
      <c r="L5" s="279"/>
    </row>
    <row r="6">
      <c r="A6" s="280"/>
      <c r="B6" s="281"/>
      <c r="C6" s="282"/>
      <c r="D6" s="283"/>
      <c r="E6" s="284"/>
      <c r="F6" s="281" t="s">
        <v>123</v>
      </c>
      <c r="G6" s="282"/>
      <c r="H6" s="283"/>
      <c r="I6" s="285"/>
      <c r="J6" s="286" t="s">
        <v>121</v>
      </c>
      <c r="K6" s="282"/>
      <c r="L6" s="283"/>
    </row>
    <row r="7">
      <c r="A7" s="275"/>
      <c r="B7" s="287"/>
      <c r="C7" s="273"/>
      <c r="D7" s="273"/>
      <c r="E7" s="273"/>
      <c r="F7" s="288" t="s">
        <v>288</v>
      </c>
      <c r="G7" s="273"/>
      <c r="H7" s="273"/>
      <c r="I7" s="273"/>
      <c r="J7" s="288" t="s">
        <v>289</v>
      </c>
      <c r="K7" s="273"/>
      <c r="L7" s="273"/>
    </row>
    <row r="8">
      <c r="A8" s="275"/>
      <c r="B8" s="287"/>
      <c r="C8" s="273"/>
      <c r="D8" s="273"/>
      <c r="E8" s="273"/>
      <c r="F8" s="288" t="s">
        <v>290</v>
      </c>
      <c r="G8" s="273"/>
      <c r="H8" s="273"/>
      <c r="I8" s="273"/>
      <c r="J8" s="288" t="s">
        <v>291</v>
      </c>
      <c r="K8" s="273"/>
      <c r="L8" s="273"/>
    </row>
    <row r="9">
      <c r="A9" s="275"/>
      <c r="B9" s="287"/>
      <c r="C9" s="273"/>
      <c r="D9" s="273"/>
      <c r="E9" s="273"/>
      <c r="F9" s="288" t="s">
        <v>292</v>
      </c>
      <c r="G9" s="273"/>
      <c r="H9" s="273"/>
      <c r="I9" s="273"/>
      <c r="J9" s="288" t="s">
        <v>293</v>
      </c>
      <c r="K9" s="273"/>
      <c r="L9" s="273"/>
    </row>
    <row r="10">
      <c r="A10" s="275"/>
      <c r="B10" s="287"/>
      <c r="C10" s="273"/>
      <c r="D10" s="273"/>
      <c r="E10" s="273"/>
      <c r="F10" s="288" t="s">
        <v>294</v>
      </c>
      <c r="G10" s="273"/>
      <c r="H10" s="273"/>
      <c r="I10" s="273"/>
      <c r="J10" s="288" t="s">
        <v>295</v>
      </c>
      <c r="K10" s="273"/>
      <c r="L10" s="273"/>
    </row>
    <row r="11">
      <c r="A11" s="275"/>
      <c r="B11" s="288"/>
      <c r="C11" s="273"/>
      <c r="D11" s="273"/>
      <c r="E11" s="273"/>
      <c r="F11" s="287"/>
      <c r="G11" s="273"/>
      <c r="H11" s="273"/>
      <c r="I11" s="273"/>
      <c r="J11" s="288" t="s">
        <v>296</v>
      </c>
      <c r="K11" s="273"/>
      <c r="L11" s="273"/>
    </row>
    <row r="12">
      <c r="A12" s="275"/>
      <c r="B12" s="288"/>
      <c r="C12" s="273"/>
      <c r="D12" s="273"/>
      <c r="E12" s="273"/>
      <c r="F12" s="289"/>
      <c r="G12" s="273"/>
      <c r="H12" s="273"/>
      <c r="I12" s="273"/>
      <c r="J12" s="288" t="s">
        <v>297</v>
      </c>
      <c r="K12" s="273"/>
      <c r="L12" s="273"/>
    </row>
    <row r="13">
      <c r="A13" s="275"/>
      <c r="B13" s="288"/>
      <c r="C13" s="273"/>
      <c r="D13" s="273"/>
      <c r="E13" s="273"/>
      <c r="F13" s="289"/>
      <c r="G13" s="273"/>
      <c r="H13" s="273"/>
      <c r="I13" s="273"/>
      <c r="J13" s="288" t="s">
        <v>298</v>
      </c>
      <c r="K13" s="273"/>
      <c r="L13" s="273"/>
    </row>
    <row r="14">
      <c r="A14" s="275"/>
      <c r="B14" s="288"/>
      <c r="C14" s="273"/>
      <c r="D14" s="273"/>
      <c r="E14" s="273"/>
      <c r="F14" s="287"/>
      <c r="G14" s="273"/>
      <c r="H14" s="273"/>
      <c r="I14" s="273"/>
      <c r="J14" s="288" t="s">
        <v>299</v>
      </c>
      <c r="K14" s="273"/>
      <c r="L14" s="273"/>
    </row>
    <row r="15">
      <c r="A15" s="275"/>
      <c r="B15" s="288"/>
      <c r="C15" s="273"/>
      <c r="D15" s="273"/>
      <c r="E15" s="273"/>
      <c r="F15" s="289"/>
      <c r="G15" s="273"/>
      <c r="H15" s="273"/>
      <c r="I15" s="273"/>
      <c r="J15" s="288" t="s">
        <v>300</v>
      </c>
      <c r="K15" s="273"/>
      <c r="L15" s="273"/>
    </row>
    <row r="16">
      <c r="A16" s="275"/>
      <c r="B16" s="287"/>
      <c r="C16" s="273"/>
      <c r="D16" s="273"/>
      <c r="E16" s="273"/>
      <c r="F16" s="287"/>
      <c r="G16" s="273"/>
      <c r="H16" s="273"/>
      <c r="I16" s="273"/>
      <c r="J16" s="287"/>
      <c r="K16" s="273"/>
      <c r="L16" s="273"/>
    </row>
    <row r="17">
      <c r="A17" s="275"/>
      <c r="B17" s="273"/>
      <c r="C17" s="273"/>
      <c r="D17" s="273"/>
      <c r="E17" s="273"/>
      <c r="F17" s="273"/>
      <c r="G17" s="273"/>
      <c r="H17" s="273"/>
      <c r="I17" s="273"/>
      <c r="J17" s="273"/>
      <c r="K17" s="273"/>
      <c r="L17" s="273"/>
    </row>
    <row r="18">
      <c r="A18" s="275"/>
      <c r="B18" s="273"/>
      <c r="C18" s="273"/>
      <c r="D18" s="273"/>
      <c r="E18" s="273"/>
      <c r="F18" s="273"/>
      <c r="G18" s="273"/>
      <c r="H18" s="273"/>
      <c r="I18" s="273"/>
      <c r="J18" s="273"/>
      <c r="K18" s="273"/>
      <c r="L18" s="273"/>
    </row>
    <row r="19">
      <c r="A19" s="275"/>
      <c r="B19" s="273"/>
      <c r="C19" s="273"/>
      <c r="D19" s="273"/>
      <c r="E19" s="273"/>
      <c r="F19" s="273"/>
      <c r="G19" s="273"/>
      <c r="H19" s="273"/>
      <c r="I19" s="273"/>
      <c r="J19" s="273"/>
      <c r="K19" s="273"/>
      <c r="L19" s="273"/>
    </row>
    <row r="20">
      <c r="A20" s="275"/>
      <c r="B20" s="273"/>
      <c r="C20" s="290"/>
      <c r="D20" s="282"/>
      <c r="E20" s="283"/>
      <c r="F20" s="291" t="s">
        <v>184</v>
      </c>
      <c r="G20" s="282"/>
      <c r="H20" s="283"/>
      <c r="I20" s="292"/>
      <c r="J20" s="292"/>
      <c r="K20" s="273"/>
      <c r="L20" s="273"/>
    </row>
    <row r="21">
      <c r="A21" s="275"/>
      <c r="B21" s="293"/>
      <c r="C21" s="282"/>
      <c r="D21" s="283"/>
      <c r="E21" s="273"/>
      <c r="F21" s="290" t="s">
        <v>301</v>
      </c>
      <c r="G21" s="282"/>
      <c r="H21" s="283"/>
      <c r="I21" s="294"/>
      <c r="J21" s="294"/>
      <c r="K21" s="273"/>
      <c r="L21" s="273"/>
    </row>
    <row r="22">
      <c r="A22" s="275"/>
      <c r="B22" s="295"/>
      <c r="C22" s="282"/>
      <c r="D22" s="283"/>
      <c r="E22" s="273"/>
      <c r="F22" s="296" t="s">
        <v>302</v>
      </c>
      <c r="G22" s="297"/>
      <c r="H22" s="273"/>
      <c r="I22" s="297"/>
      <c r="J22" s="273"/>
      <c r="K22" s="273"/>
      <c r="L22" s="273"/>
    </row>
    <row r="23">
      <c r="A23" s="275"/>
      <c r="B23" s="298"/>
      <c r="C23" s="273"/>
      <c r="D23" s="299"/>
      <c r="E23" s="283"/>
      <c r="F23" s="293" t="s">
        <v>303</v>
      </c>
      <c r="G23" s="283"/>
      <c r="H23" s="273"/>
      <c r="I23" s="297"/>
      <c r="J23" s="273"/>
      <c r="K23" s="273"/>
      <c r="L23" s="273"/>
    </row>
    <row r="24">
      <c r="A24" s="275"/>
      <c r="B24" s="293"/>
      <c r="C24" s="283"/>
      <c r="D24" s="300"/>
      <c r="E24" s="273"/>
      <c r="F24" s="299" t="s">
        <v>304</v>
      </c>
      <c r="G24" s="282"/>
      <c r="H24" s="283"/>
      <c r="I24" s="273"/>
      <c r="J24" s="273"/>
      <c r="K24" s="273"/>
      <c r="L24" s="273"/>
    </row>
    <row r="25">
      <c r="A25" s="275"/>
      <c r="B25" s="293"/>
      <c r="C25" s="283"/>
      <c r="D25" s="293"/>
      <c r="E25" s="283"/>
      <c r="F25" s="293" t="s">
        <v>305</v>
      </c>
      <c r="G25" s="283"/>
      <c r="H25" s="273"/>
      <c r="I25" s="300"/>
      <c r="J25" s="273"/>
      <c r="K25" s="273"/>
      <c r="L25" s="273"/>
    </row>
    <row r="26">
      <c r="A26" s="275"/>
      <c r="B26" s="298"/>
      <c r="C26" s="273"/>
      <c r="D26" s="273"/>
      <c r="E26" s="273"/>
      <c r="F26" s="299" t="s">
        <v>306</v>
      </c>
      <c r="G26" s="283"/>
      <c r="H26" s="273"/>
      <c r="I26" s="301"/>
      <c r="J26" s="273"/>
      <c r="K26" s="273"/>
      <c r="L26" s="273"/>
    </row>
    <row r="27">
      <c r="A27" s="275"/>
      <c r="B27" s="298"/>
      <c r="C27" s="273"/>
      <c r="D27" s="299"/>
      <c r="E27" s="283"/>
      <c r="F27" s="299" t="s">
        <v>307</v>
      </c>
      <c r="G27" s="283"/>
      <c r="H27" s="273"/>
      <c r="I27" s="300"/>
      <c r="J27" s="273"/>
      <c r="K27" s="273"/>
      <c r="L27" s="273"/>
    </row>
    <row r="28">
      <c r="A28" s="275"/>
      <c r="B28" s="298"/>
      <c r="C28" s="273"/>
      <c r="D28" s="273"/>
      <c r="E28" s="273"/>
      <c r="F28" s="299" t="s">
        <v>308</v>
      </c>
      <c r="G28" s="283"/>
      <c r="H28" s="273"/>
      <c r="I28" s="273"/>
      <c r="J28" s="273"/>
      <c r="K28" s="273"/>
      <c r="L28" s="273"/>
    </row>
    <row r="29">
      <c r="A29" s="275"/>
      <c r="B29" s="298"/>
      <c r="C29" s="273"/>
      <c r="D29" s="273"/>
      <c r="E29" s="273"/>
      <c r="F29" s="297" t="s">
        <v>309</v>
      </c>
      <c r="G29" s="273"/>
      <c r="H29" s="273"/>
      <c r="I29" s="273"/>
      <c r="J29" s="273"/>
      <c r="K29" s="273"/>
      <c r="L29" s="273"/>
    </row>
    <row r="30">
      <c r="A30" s="275"/>
      <c r="B30" s="298"/>
      <c r="C30" s="273"/>
      <c r="D30" s="273"/>
      <c r="E30" s="273"/>
      <c r="F30" s="273"/>
      <c r="G30" s="273"/>
      <c r="H30" s="300"/>
      <c r="I30" s="273"/>
      <c r="J30" s="273"/>
      <c r="K30" s="273"/>
      <c r="L30" s="273"/>
    </row>
    <row r="31">
      <c r="A31" s="275"/>
      <c r="B31" s="298"/>
      <c r="C31" s="273"/>
      <c r="D31" s="273"/>
      <c r="E31" s="273"/>
      <c r="F31" s="273"/>
      <c r="G31" s="273"/>
      <c r="H31" s="302"/>
      <c r="I31" s="273"/>
      <c r="J31" s="273"/>
      <c r="K31" s="273"/>
      <c r="L31" s="273"/>
    </row>
    <row r="32">
      <c r="A32" s="275"/>
      <c r="B32" s="298"/>
      <c r="C32" s="273"/>
      <c r="D32" s="303"/>
      <c r="E32" s="273"/>
      <c r="F32" s="273"/>
      <c r="G32" s="273"/>
      <c r="H32" s="273"/>
      <c r="I32" s="273"/>
      <c r="J32" s="273"/>
      <c r="K32" s="273"/>
      <c r="L32" s="273"/>
    </row>
    <row r="33">
      <c r="A33" s="275"/>
      <c r="B33" s="273"/>
      <c r="C33" s="273"/>
      <c r="D33" s="273"/>
      <c r="E33" s="273"/>
      <c r="F33" s="273"/>
      <c r="G33" s="273"/>
      <c r="H33" s="273"/>
      <c r="I33" s="273"/>
      <c r="J33" s="273"/>
      <c r="K33" s="273"/>
      <c r="L33" s="273"/>
    </row>
    <row r="34">
      <c r="A34" s="275"/>
      <c r="B34" s="273"/>
      <c r="C34" s="273"/>
      <c r="D34" s="273"/>
      <c r="E34" s="273"/>
      <c r="F34" s="273"/>
      <c r="G34" s="273"/>
      <c r="H34" s="273"/>
      <c r="I34" s="273"/>
      <c r="J34" s="273"/>
      <c r="K34" s="273"/>
      <c r="L34" s="273"/>
    </row>
    <row r="35">
      <c r="A35" s="275"/>
      <c r="B35" s="273"/>
      <c r="C35" s="273"/>
      <c r="D35" s="273"/>
      <c r="E35" s="273"/>
      <c r="F35" s="273"/>
      <c r="G35" s="273"/>
      <c r="H35" s="273"/>
      <c r="I35" s="273"/>
      <c r="J35" s="273"/>
      <c r="K35" s="273"/>
      <c r="L35" s="273"/>
    </row>
    <row r="36">
      <c r="A36" s="284"/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</row>
    <row r="37">
      <c r="A37" s="304"/>
      <c r="B37" s="304"/>
      <c r="C37" s="304"/>
      <c r="D37" s="304"/>
      <c r="E37" s="304"/>
      <c r="F37" s="304"/>
      <c r="G37" s="304"/>
      <c r="H37" s="304"/>
      <c r="I37" s="304"/>
      <c r="J37" s="304"/>
      <c r="K37" s="304"/>
      <c r="L37" s="304"/>
    </row>
    <row r="38">
      <c r="A38" s="304"/>
      <c r="B38" s="304"/>
      <c r="C38" s="304"/>
      <c r="D38" s="304"/>
      <c r="E38" s="304"/>
      <c r="F38" s="304"/>
      <c r="G38" s="304"/>
      <c r="H38" s="304"/>
      <c r="I38" s="304"/>
      <c r="J38" s="304"/>
      <c r="K38" s="304"/>
      <c r="L38" s="304"/>
    </row>
    <row r="39">
      <c r="A39" s="304"/>
      <c r="B39" s="304"/>
      <c r="C39" s="304"/>
      <c r="D39" s="304"/>
      <c r="E39" s="304"/>
      <c r="F39" s="304"/>
      <c r="G39" s="304"/>
      <c r="H39" s="304"/>
      <c r="I39" s="304"/>
      <c r="J39" s="304"/>
      <c r="K39" s="304"/>
      <c r="L39" s="304"/>
    </row>
    <row r="40">
      <c r="A40" s="304"/>
      <c r="B40" s="304"/>
      <c r="C40" s="304"/>
      <c r="D40" s="304"/>
      <c r="E40" s="304"/>
      <c r="F40" s="304"/>
      <c r="G40" s="304"/>
      <c r="H40" s="304"/>
      <c r="I40" s="304"/>
      <c r="J40" s="304"/>
      <c r="K40" s="304"/>
      <c r="L40" s="304"/>
    </row>
    <row r="41">
      <c r="A41" s="304"/>
      <c r="B41" s="304"/>
      <c r="C41" s="304"/>
      <c r="D41" s="304"/>
      <c r="E41" s="304"/>
      <c r="F41" s="304"/>
      <c r="G41" s="304"/>
      <c r="H41" s="304"/>
      <c r="I41" s="304"/>
      <c r="J41" s="304"/>
      <c r="K41" s="304"/>
      <c r="L41" s="304"/>
    </row>
    <row r="42">
      <c r="A42" s="304"/>
      <c r="B42" s="304"/>
      <c r="C42" s="304"/>
      <c r="D42" s="304"/>
      <c r="E42" s="304"/>
      <c r="F42" s="304"/>
      <c r="G42" s="304"/>
      <c r="H42" s="304"/>
      <c r="I42" s="304"/>
      <c r="J42" s="304"/>
      <c r="K42" s="304"/>
      <c r="L42" s="304"/>
    </row>
    <row r="43">
      <c r="A43" s="304"/>
      <c r="B43" s="304"/>
      <c r="C43" s="304"/>
      <c r="D43" s="304"/>
      <c r="E43" s="304"/>
      <c r="F43" s="304"/>
      <c r="G43" s="304"/>
      <c r="H43" s="304"/>
      <c r="I43" s="304"/>
      <c r="J43" s="304"/>
      <c r="K43" s="304"/>
      <c r="L43" s="304"/>
    </row>
    <row r="44">
      <c r="A44" s="304"/>
      <c r="B44" s="304"/>
      <c r="C44" s="304"/>
      <c r="D44" s="304"/>
      <c r="E44" s="304"/>
      <c r="F44" s="304"/>
      <c r="G44" s="304"/>
      <c r="H44" s="304"/>
      <c r="I44" s="304"/>
      <c r="J44" s="304"/>
      <c r="K44" s="304"/>
      <c r="L44" s="304"/>
    </row>
    <row r="45">
      <c r="A45" s="304"/>
      <c r="B45" s="304"/>
      <c r="C45" s="304"/>
      <c r="D45" s="304"/>
      <c r="E45" s="304"/>
      <c r="F45" s="304"/>
      <c r="G45" s="304"/>
      <c r="H45" s="304"/>
      <c r="I45" s="304"/>
      <c r="J45" s="304"/>
      <c r="K45" s="304"/>
      <c r="L45" s="304"/>
    </row>
    <row r="46">
      <c r="A46" s="304"/>
      <c r="B46" s="304"/>
      <c r="C46" s="304"/>
      <c r="D46" s="304"/>
      <c r="E46" s="304"/>
      <c r="F46" s="304"/>
      <c r="G46" s="304"/>
      <c r="H46" s="304"/>
      <c r="I46" s="304"/>
      <c r="J46" s="304"/>
      <c r="K46" s="304"/>
      <c r="L46" s="304"/>
    </row>
    <row r="47">
      <c r="A47" s="304"/>
      <c r="B47" s="304"/>
      <c r="C47" s="304"/>
      <c r="D47" s="304"/>
      <c r="E47" s="304"/>
      <c r="F47" s="304"/>
      <c r="G47" s="304"/>
      <c r="H47" s="304"/>
      <c r="I47" s="304"/>
      <c r="J47" s="304"/>
      <c r="K47" s="304"/>
      <c r="L47" s="304"/>
    </row>
    <row r="48">
      <c r="A48" s="304"/>
      <c r="B48" s="304"/>
      <c r="C48" s="304"/>
      <c r="D48" s="304"/>
      <c r="E48" s="304"/>
      <c r="F48" s="304"/>
      <c r="G48" s="304"/>
      <c r="H48" s="304"/>
      <c r="I48" s="304"/>
      <c r="J48" s="304"/>
      <c r="K48" s="304"/>
      <c r="L48" s="304"/>
    </row>
    <row r="49">
      <c r="A49" s="304"/>
      <c r="B49" s="304"/>
      <c r="C49" s="304"/>
      <c r="D49" s="304"/>
      <c r="E49" s="304"/>
      <c r="F49" s="304"/>
      <c r="G49" s="304"/>
      <c r="H49" s="304"/>
      <c r="I49" s="304"/>
      <c r="J49" s="304"/>
      <c r="K49" s="304"/>
      <c r="L49" s="304"/>
    </row>
    <row r="50">
      <c r="A50" s="304"/>
      <c r="B50" s="304"/>
      <c r="C50" s="304"/>
      <c r="D50" s="304"/>
      <c r="E50" s="304"/>
      <c r="F50" s="304"/>
      <c r="G50" s="304"/>
      <c r="H50" s="304"/>
      <c r="I50" s="304"/>
      <c r="J50" s="304"/>
      <c r="K50" s="304"/>
      <c r="L50" s="304"/>
    </row>
    <row r="51">
      <c r="A51" s="304"/>
      <c r="B51" s="304"/>
      <c r="C51" s="304"/>
      <c r="D51" s="304"/>
      <c r="E51" s="304"/>
      <c r="F51" s="304"/>
      <c r="G51" s="304"/>
      <c r="H51" s="304"/>
      <c r="I51" s="304"/>
      <c r="J51" s="304"/>
      <c r="K51" s="304"/>
      <c r="L51" s="304"/>
    </row>
    <row r="52">
      <c r="A52" s="304"/>
      <c r="B52" s="304"/>
      <c r="C52" s="304"/>
      <c r="D52" s="304"/>
      <c r="E52" s="304"/>
      <c r="F52" s="304"/>
      <c r="G52" s="304"/>
      <c r="H52" s="304"/>
      <c r="I52" s="304"/>
      <c r="J52" s="304"/>
      <c r="K52" s="304"/>
      <c r="L52" s="304"/>
    </row>
    <row r="53">
      <c r="A53" s="304"/>
      <c r="B53" s="304"/>
      <c r="C53" s="304"/>
      <c r="D53" s="304"/>
      <c r="E53" s="304"/>
      <c r="F53" s="304"/>
      <c r="G53" s="304"/>
      <c r="H53" s="304"/>
      <c r="I53" s="304"/>
      <c r="J53" s="304"/>
      <c r="K53" s="304"/>
      <c r="L53" s="304"/>
    </row>
    <row r="54">
      <c r="A54" s="304"/>
      <c r="B54" s="304"/>
      <c r="C54" s="304"/>
      <c r="D54" s="304"/>
      <c r="E54" s="304"/>
      <c r="F54" s="304"/>
      <c r="G54" s="304"/>
      <c r="H54" s="304"/>
      <c r="I54" s="304"/>
      <c r="J54" s="304"/>
      <c r="K54" s="304"/>
      <c r="L54" s="304"/>
    </row>
    <row r="55">
      <c r="A55" s="304"/>
      <c r="B55" s="304"/>
      <c r="C55" s="304"/>
      <c r="D55" s="304"/>
      <c r="E55" s="304"/>
      <c r="F55" s="304"/>
      <c r="G55" s="304"/>
      <c r="H55" s="304"/>
      <c r="I55" s="304"/>
      <c r="J55" s="304"/>
      <c r="K55" s="304"/>
      <c r="L55" s="304"/>
    </row>
    <row r="56">
      <c r="A56" s="304"/>
      <c r="B56" s="304"/>
      <c r="C56" s="304"/>
      <c r="D56" s="304"/>
      <c r="E56" s="304"/>
      <c r="F56" s="304"/>
      <c r="G56" s="304"/>
      <c r="H56" s="304"/>
      <c r="I56" s="304"/>
      <c r="J56" s="304"/>
      <c r="K56" s="304"/>
      <c r="L56" s="304"/>
    </row>
    <row r="57">
      <c r="A57" s="304"/>
      <c r="B57" s="304"/>
      <c r="C57" s="304"/>
      <c r="D57" s="304"/>
      <c r="E57" s="304"/>
      <c r="F57" s="304"/>
      <c r="G57" s="304"/>
      <c r="H57" s="304"/>
      <c r="I57" s="304"/>
      <c r="J57" s="304"/>
      <c r="K57" s="304"/>
      <c r="L57" s="304"/>
    </row>
    <row r="58">
      <c r="A58" s="304"/>
      <c r="B58" s="304"/>
      <c r="C58" s="304"/>
      <c r="D58" s="304"/>
      <c r="E58" s="304"/>
      <c r="F58" s="304"/>
      <c r="G58" s="304"/>
      <c r="H58" s="304"/>
      <c r="I58" s="304"/>
      <c r="J58" s="304"/>
      <c r="K58" s="304"/>
      <c r="L58" s="304"/>
    </row>
    <row r="59">
      <c r="A59" s="304"/>
      <c r="B59" s="304"/>
      <c r="C59" s="304"/>
      <c r="D59" s="304"/>
      <c r="E59" s="304"/>
      <c r="F59" s="304"/>
      <c r="G59" s="304"/>
      <c r="H59" s="304"/>
      <c r="I59" s="304"/>
      <c r="J59" s="304"/>
      <c r="K59" s="304"/>
      <c r="L59" s="304"/>
    </row>
    <row r="60">
      <c r="A60" s="304"/>
      <c r="B60" s="304"/>
      <c r="C60" s="304"/>
      <c r="D60" s="304"/>
      <c r="E60" s="304"/>
      <c r="F60" s="304"/>
      <c r="G60" s="304"/>
      <c r="H60" s="304"/>
      <c r="I60" s="304"/>
      <c r="J60" s="304"/>
      <c r="K60" s="304"/>
      <c r="L60" s="304"/>
    </row>
    <row r="61">
      <c r="A61" s="304"/>
      <c r="B61" s="304"/>
      <c r="C61" s="304"/>
      <c r="D61" s="304"/>
      <c r="E61" s="304"/>
      <c r="F61" s="304"/>
      <c r="G61" s="304"/>
      <c r="H61" s="304"/>
      <c r="I61" s="304"/>
      <c r="J61" s="304"/>
      <c r="K61" s="304"/>
      <c r="L61" s="304"/>
    </row>
    <row r="62">
      <c r="A62" s="304"/>
      <c r="B62" s="304"/>
      <c r="C62" s="304"/>
      <c r="D62" s="304"/>
      <c r="E62" s="304"/>
      <c r="F62" s="304"/>
      <c r="G62" s="304"/>
      <c r="H62" s="304"/>
      <c r="I62" s="304"/>
      <c r="J62" s="304"/>
      <c r="K62" s="304"/>
      <c r="L62" s="304"/>
    </row>
    <row r="63">
      <c r="A63" s="304"/>
      <c r="B63" s="304"/>
      <c r="C63" s="304"/>
      <c r="D63" s="304"/>
      <c r="E63" s="304"/>
      <c r="F63" s="304"/>
      <c r="G63" s="304"/>
      <c r="H63" s="304"/>
      <c r="I63" s="304"/>
      <c r="J63" s="304"/>
      <c r="K63" s="304"/>
      <c r="L63" s="304"/>
    </row>
    <row r="64">
      <c r="A64" s="304"/>
      <c r="B64" s="304"/>
      <c r="C64" s="304"/>
      <c r="D64" s="304"/>
      <c r="E64" s="304"/>
      <c r="F64" s="304"/>
      <c r="G64" s="304"/>
      <c r="H64" s="304"/>
      <c r="I64" s="304"/>
      <c r="J64" s="304"/>
      <c r="K64" s="304"/>
      <c r="L64" s="304"/>
    </row>
    <row r="65">
      <c r="A65" s="304"/>
      <c r="B65" s="304"/>
      <c r="C65" s="304"/>
      <c r="D65" s="304"/>
      <c r="E65" s="304"/>
      <c r="F65" s="304"/>
      <c r="G65" s="304"/>
      <c r="H65" s="304"/>
      <c r="I65" s="304"/>
      <c r="J65" s="304"/>
      <c r="K65" s="304"/>
      <c r="L65" s="304"/>
    </row>
    <row r="66">
      <c r="A66" s="304"/>
      <c r="B66" s="304"/>
      <c r="C66" s="304"/>
      <c r="D66" s="304"/>
      <c r="E66" s="304"/>
      <c r="F66" s="304"/>
      <c r="G66" s="304"/>
      <c r="H66" s="304"/>
      <c r="I66" s="304"/>
      <c r="J66" s="304"/>
      <c r="K66" s="304"/>
      <c r="L66" s="304"/>
    </row>
    <row r="67">
      <c r="A67" s="304"/>
      <c r="B67" s="304"/>
      <c r="C67" s="304"/>
      <c r="D67" s="304"/>
      <c r="E67" s="304"/>
      <c r="F67" s="304"/>
      <c r="G67" s="304"/>
      <c r="H67" s="304"/>
      <c r="I67" s="304"/>
      <c r="J67" s="304"/>
      <c r="K67" s="304"/>
      <c r="L67" s="304"/>
    </row>
    <row r="68">
      <c r="A68" s="304"/>
      <c r="B68" s="304"/>
      <c r="C68" s="304"/>
      <c r="D68" s="304"/>
      <c r="E68" s="304"/>
      <c r="F68" s="304"/>
      <c r="G68" s="304"/>
      <c r="H68" s="304"/>
      <c r="I68" s="304"/>
      <c r="J68" s="304"/>
      <c r="K68" s="304"/>
      <c r="L68" s="304"/>
    </row>
    <row r="69">
      <c r="A69" s="304"/>
      <c r="B69" s="304"/>
      <c r="C69" s="304"/>
      <c r="D69" s="304"/>
      <c r="E69" s="304"/>
      <c r="F69" s="304"/>
      <c r="G69" s="304"/>
      <c r="H69" s="304"/>
      <c r="I69" s="304"/>
      <c r="J69" s="304"/>
      <c r="K69" s="304"/>
      <c r="L69" s="304"/>
    </row>
    <row r="70">
      <c r="A70" s="304"/>
      <c r="B70" s="304"/>
      <c r="C70" s="304"/>
      <c r="D70" s="304"/>
      <c r="E70" s="304"/>
      <c r="F70" s="304"/>
      <c r="G70" s="304"/>
      <c r="H70" s="304"/>
      <c r="I70" s="304"/>
      <c r="J70" s="304"/>
      <c r="K70" s="304"/>
      <c r="L70" s="304"/>
    </row>
    <row r="71">
      <c r="A71" s="304"/>
      <c r="B71" s="304"/>
      <c r="C71" s="304"/>
      <c r="D71" s="304"/>
      <c r="E71" s="304"/>
      <c r="F71" s="304"/>
      <c r="G71" s="304"/>
      <c r="H71" s="304"/>
      <c r="I71" s="304"/>
      <c r="J71" s="304"/>
      <c r="K71" s="304"/>
      <c r="L71" s="304"/>
    </row>
    <row r="72">
      <c r="A72" s="304"/>
      <c r="B72" s="304"/>
      <c r="C72" s="304"/>
      <c r="D72" s="304"/>
      <c r="E72" s="304"/>
      <c r="F72" s="304"/>
      <c r="G72" s="304"/>
      <c r="H72" s="304"/>
      <c r="I72" s="304"/>
      <c r="J72" s="304"/>
      <c r="K72" s="304"/>
      <c r="L72" s="304"/>
    </row>
    <row r="73">
      <c r="A73" s="304"/>
      <c r="B73" s="304"/>
      <c r="C73" s="304"/>
      <c r="D73" s="304"/>
      <c r="E73" s="304"/>
      <c r="F73" s="304"/>
      <c r="G73" s="304"/>
      <c r="H73" s="304"/>
      <c r="I73" s="304"/>
      <c r="J73" s="304"/>
      <c r="K73" s="304"/>
      <c r="L73" s="304"/>
    </row>
    <row r="74">
      <c r="A74" s="304"/>
      <c r="B74" s="304"/>
      <c r="C74" s="304"/>
      <c r="D74" s="304"/>
      <c r="E74" s="304"/>
      <c r="F74" s="304"/>
      <c r="G74" s="304"/>
      <c r="H74" s="304"/>
      <c r="I74" s="304"/>
      <c r="J74" s="304"/>
      <c r="K74" s="304"/>
      <c r="L74" s="304"/>
    </row>
    <row r="75">
      <c r="A75" s="304"/>
      <c r="B75" s="304"/>
      <c r="C75" s="304"/>
      <c r="D75" s="304"/>
      <c r="E75" s="304"/>
      <c r="F75" s="304"/>
      <c r="G75" s="304"/>
      <c r="H75" s="304"/>
      <c r="I75" s="304"/>
      <c r="J75" s="304"/>
      <c r="K75" s="304"/>
      <c r="L75" s="304"/>
    </row>
    <row r="76">
      <c r="A76" s="304"/>
      <c r="B76" s="304"/>
      <c r="C76" s="304"/>
      <c r="D76" s="304"/>
      <c r="E76" s="304"/>
      <c r="F76" s="304"/>
      <c r="G76" s="304"/>
      <c r="H76" s="304"/>
      <c r="I76" s="304"/>
      <c r="J76" s="304"/>
      <c r="K76" s="304"/>
      <c r="L76" s="304"/>
    </row>
    <row r="77">
      <c r="A77" s="304"/>
      <c r="B77" s="304"/>
      <c r="C77" s="304"/>
      <c r="D77" s="304"/>
      <c r="E77" s="304"/>
      <c r="F77" s="304"/>
      <c r="G77" s="304"/>
      <c r="H77" s="304"/>
      <c r="I77" s="304"/>
      <c r="J77" s="304"/>
      <c r="K77" s="304"/>
      <c r="L77" s="304"/>
    </row>
    <row r="78">
      <c r="A78" s="304"/>
      <c r="B78" s="304"/>
      <c r="C78" s="304"/>
      <c r="D78" s="304"/>
      <c r="E78" s="304"/>
      <c r="F78" s="304"/>
      <c r="G78" s="304"/>
      <c r="H78" s="304"/>
      <c r="I78" s="304"/>
      <c r="J78" s="304"/>
      <c r="K78" s="304"/>
      <c r="L78" s="304"/>
    </row>
    <row r="79">
      <c r="A79" s="304"/>
      <c r="B79" s="304"/>
      <c r="C79" s="304"/>
      <c r="D79" s="304"/>
      <c r="E79" s="304"/>
      <c r="F79" s="304"/>
      <c r="G79" s="304"/>
      <c r="H79" s="304"/>
      <c r="I79" s="304"/>
      <c r="J79" s="304"/>
      <c r="K79" s="304"/>
      <c r="L79" s="304"/>
    </row>
    <row r="80">
      <c r="A80" s="304"/>
      <c r="B80" s="304"/>
      <c r="C80" s="304"/>
      <c r="D80" s="304"/>
      <c r="E80" s="304"/>
      <c r="F80" s="304"/>
      <c r="G80" s="304"/>
      <c r="H80" s="304"/>
      <c r="I80" s="304"/>
      <c r="J80" s="304"/>
      <c r="K80" s="304"/>
      <c r="L80" s="304"/>
    </row>
    <row r="81">
      <c r="A81" s="304"/>
      <c r="B81" s="304"/>
      <c r="C81" s="304"/>
      <c r="D81" s="304"/>
      <c r="E81" s="304"/>
      <c r="F81" s="304"/>
      <c r="G81" s="304"/>
      <c r="H81" s="304"/>
      <c r="I81" s="304"/>
      <c r="J81" s="304"/>
      <c r="K81" s="304"/>
      <c r="L81" s="304"/>
    </row>
    <row r="82">
      <c r="A82" s="304"/>
      <c r="B82" s="304"/>
      <c r="C82" s="304"/>
      <c r="D82" s="304"/>
      <c r="E82" s="304"/>
      <c r="F82" s="304"/>
      <c r="G82" s="304"/>
      <c r="H82" s="304"/>
      <c r="I82" s="304"/>
      <c r="J82" s="304"/>
      <c r="K82" s="304"/>
      <c r="L82" s="304"/>
    </row>
    <row r="83">
      <c r="A83" s="304"/>
      <c r="B83" s="304"/>
      <c r="C83" s="304"/>
      <c r="D83" s="304"/>
      <c r="E83" s="304"/>
      <c r="F83" s="304"/>
      <c r="G83" s="304"/>
      <c r="H83" s="304"/>
      <c r="I83" s="304"/>
      <c r="J83" s="304"/>
      <c r="K83" s="304"/>
      <c r="L83" s="304"/>
    </row>
    <row r="84">
      <c r="A84" s="304"/>
      <c r="B84" s="304"/>
      <c r="C84" s="304"/>
      <c r="D84" s="304"/>
      <c r="E84" s="304"/>
      <c r="F84" s="304"/>
      <c r="G84" s="304"/>
      <c r="H84" s="304"/>
      <c r="I84" s="304"/>
      <c r="J84" s="304"/>
      <c r="K84" s="304"/>
      <c r="L84" s="304"/>
    </row>
    <row r="85">
      <c r="A85" s="304"/>
      <c r="B85" s="304"/>
      <c r="C85" s="304"/>
      <c r="D85" s="304"/>
      <c r="E85" s="304"/>
      <c r="F85" s="304"/>
      <c r="G85" s="304"/>
      <c r="H85" s="304"/>
      <c r="I85" s="304"/>
      <c r="J85" s="304"/>
      <c r="K85" s="304"/>
      <c r="L85" s="304"/>
    </row>
    <row r="86">
      <c r="A86" s="304"/>
      <c r="B86" s="304"/>
      <c r="C86" s="304"/>
      <c r="D86" s="304"/>
      <c r="E86" s="304"/>
      <c r="F86" s="304"/>
      <c r="G86" s="304"/>
      <c r="H86" s="304"/>
      <c r="I86" s="304"/>
      <c r="J86" s="304"/>
      <c r="K86" s="304"/>
      <c r="L86" s="304"/>
    </row>
    <row r="87">
      <c r="A87" s="304"/>
      <c r="B87" s="304"/>
      <c r="C87" s="304"/>
      <c r="D87" s="304"/>
      <c r="E87" s="304"/>
      <c r="F87" s="304"/>
      <c r="G87" s="304"/>
      <c r="H87" s="304"/>
      <c r="I87" s="304"/>
      <c r="J87" s="304"/>
      <c r="K87" s="304"/>
      <c r="L87" s="304"/>
    </row>
    <row r="88">
      <c r="A88" s="304"/>
      <c r="B88" s="304"/>
      <c r="C88" s="304"/>
      <c r="D88" s="304"/>
      <c r="E88" s="304"/>
      <c r="F88" s="304"/>
      <c r="G88" s="304"/>
      <c r="H88" s="304"/>
      <c r="I88" s="304"/>
      <c r="J88" s="304"/>
      <c r="K88" s="304"/>
      <c r="L88" s="304"/>
    </row>
    <row r="89">
      <c r="A89" s="304"/>
      <c r="B89" s="304"/>
      <c r="C89" s="304"/>
      <c r="D89" s="304"/>
      <c r="E89" s="304"/>
      <c r="F89" s="304"/>
      <c r="G89" s="304"/>
      <c r="H89" s="304"/>
      <c r="I89" s="304"/>
      <c r="J89" s="304"/>
      <c r="K89" s="304"/>
      <c r="L89" s="304"/>
    </row>
    <row r="90">
      <c r="A90" s="304"/>
      <c r="B90" s="304"/>
      <c r="C90" s="304"/>
      <c r="D90" s="304"/>
      <c r="E90" s="304"/>
      <c r="F90" s="304"/>
      <c r="G90" s="304"/>
      <c r="H90" s="304"/>
      <c r="I90" s="304"/>
      <c r="J90" s="304"/>
      <c r="K90" s="304"/>
      <c r="L90" s="304"/>
    </row>
    <row r="91">
      <c r="A91" s="304"/>
      <c r="B91" s="304"/>
      <c r="C91" s="304"/>
      <c r="D91" s="304"/>
      <c r="E91" s="304"/>
      <c r="F91" s="304"/>
      <c r="G91" s="304"/>
      <c r="H91" s="304"/>
      <c r="I91" s="304"/>
      <c r="J91" s="304"/>
      <c r="K91" s="304"/>
      <c r="L91" s="304"/>
    </row>
    <row r="92">
      <c r="A92" s="304"/>
      <c r="B92" s="304"/>
      <c r="C92" s="304"/>
      <c r="D92" s="304"/>
      <c r="E92" s="304"/>
      <c r="F92" s="304"/>
      <c r="G92" s="304"/>
      <c r="H92" s="304"/>
      <c r="I92" s="304"/>
      <c r="J92" s="304"/>
      <c r="K92" s="304"/>
      <c r="L92" s="304"/>
    </row>
    <row r="93">
      <c r="A93" s="304"/>
      <c r="B93" s="304"/>
      <c r="C93" s="304"/>
      <c r="D93" s="304"/>
      <c r="E93" s="304"/>
      <c r="F93" s="304"/>
      <c r="G93" s="304"/>
      <c r="H93" s="304"/>
      <c r="I93" s="304"/>
      <c r="J93" s="304"/>
      <c r="K93" s="304"/>
      <c r="L93" s="304"/>
    </row>
    <row r="94">
      <c r="A94" s="304"/>
      <c r="B94" s="304"/>
      <c r="C94" s="304"/>
      <c r="D94" s="304"/>
      <c r="E94" s="304"/>
      <c r="F94" s="304"/>
      <c r="G94" s="304"/>
      <c r="H94" s="304"/>
      <c r="I94" s="304"/>
      <c r="J94" s="304"/>
      <c r="K94" s="304"/>
      <c r="L94" s="304"/>
    </row>
    <row r="95">
      <c r="A95" s="304"/>
      <c r="B95" s="304"/>
      <c r="C95" s="304"/>
      <c r="D95" s="304"/>
      <c r="E95" s="304"/>
      <c r="F95" s="304"/>
      <c r="G95" s="304"/>
      <c r="H95" s="304"/>
      <c r="I95" s="304"/>
      <c r="J95" s="304"/>
      <c r="K95" s="304"/>
      <c r="L95" s="304"/>
    </row>
    <row r="96">
      <c r="A96" s="304"/>
      <c r="B96" s="304"/>
      <c r="C96" s="304"/>
      <c r="D96" s="304"/>
      <c r="E96" s="304"/>
      <c r="F96" s="304"/>
      <c r="G96" s="304"/>
      <c r="H96" s="304"/>
      <c r="I96" s="304"/>
      <c r="J96" s="304"/>
      <c r="K96" s="304"/>
      <c r="L96" s="304"/>
    </row>
    <row r="97">
      <c r="A97" s="304"/>
      <c r="B97" s="304"/>
      <c r="C97" s="304"/>
      <c r="D97" s="304"/>
      <c r="E97" s="304"/>
      <c r="F97" s="304"/>
      <c r="G97" s="304"/>
      <c r="H97" s="304"/>
      <c r="I97" s="304"/>
      <c r="J97" s="304"/>
      <c r="K97" s="304"/>
      <c r="L97" s="304"/>
    </row>
    <row r="98">
      <c r="A98" s="304"/>
      <c r="B98" s="304"/>
      <c r="C98" s="304"/>
      <c r="D98" s="304"/>
      <c r="E98" s="304"/>
      <c r="F98" s="304"/>
      <c r="G98" s="304"/>
      <c r="H98" s="304"/>
      <c r="I98" s="304"/>
      <c r="J98" s="304"/>
      <c r="K98" s="304"/>
      <c r="L98" s="304"/>
    </row>
    <row r="99">
      <c r="A99" s="304"/>
      <c r="B99" s="304"/>
      <c r="C99" s="304"/>
      <c r="D99" s="304"/>
      <c r="E99" s="304"/>
      <c r="F99" s="304"/>
      <c r="G99" s="304"/>
      <c r="H99" s="304"/>
      <c r="I99" s="304"/>
      <c r="J99" s="304"/>
      <c r="K99" s="304"/>
      <c r="L99" s="304"/>
    </row>
  </sheetData>
  <mergeCells count="22">
    <mergeCell ref="B5:D5"/>
    <mergeCell ref="F5:H5"/>
    <mergeCell ref="J5:L5"/>
    <mergeCell ref="B6:D6"/>
    <mergeCell ref="F6:H6"/>
    <mergeCell ref="J6:L6"/>
    <mergeCell ref="F20:H20"/>
    <mergeCell ref="B24:C24"/>
    <mergeCell ref="B25:C25"/>
    <mergeCell ref="D25:E25"/>
    <mergeCell ref="F25:G25"/>
    <mergeCell ref="F26:G26"/>
    <mergeCell ref="D27:E27"/>
    <mergeCell ref="F27:G27"/>
    <mergeCell ref="F28:G28"/>
    <mergeCell ref="C20:E20"/>
    <mergeCell ref="B21:D21"/>
    <mergeCell ref="F21:H21"/>
    <mergeCell ref="B22:D22"/>
    <mergeCell ref="D23:E23"/>
    <mergeCell ref="F23:G23"/>
    <mergeCell ref="F24:H2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305" t="s">
        <v>90</v>
      </c>
    </row>
    <row r="2">
      <c r="A2" s="72" t="s">
        <v>62</v>
      </c>
      <c r="B2" s="178" t="s">
        <v>310</v>
      </c>
    </row>
    <row r="3">
      <c r="A3" s="72" t="s">
        <v>64</v>
      </c>
      <c r="B3" s="178" t="s">
        <v>311</v>
      </c>
    </row>
    <row r="4">
      <c r="A4" s="72" t="s">
        <v>66</v>
      </c>
      <c r="B4" s="178" t="s">
        <v>312</v>
      </c>
    </row>
    <row r="5">
      <c r="A5" s="72" t="s">
        <v>68</v>
      </c>
      <c r="B5" s="181" t="s">
        <v>94</v>
      </c>
    </row>
    <row r="7">
      <c r="A7" s="72" t="s">
        <v>70</v>
      </c>
      <c r="B7" s="183" t="s">
        <v>313</v>
      </c>
    </row>
    <row r="8">
      <c r="A8" s="72" t="s">
        <v>72</v>
      </c>
      <c r="B8" s="183" t="s">
        <v>314</v>
      </c>
    </row>
    <row r="9">
      <c r="A9" s="72" t="s">
        <v>74</v>
      </c>
      <c r="B9" s="183" t="s">
        <v>315</v>
      </c>
    </row>
    <row r="10">
      <c r="A10" s="72" t="s">
        <v>84</v>
      </c>
      <c r="B10" s="183" t="s">
        <v>316</v>
      </c>
    </row>
    <row r="11">
      <c r="A11" s="72" t="s">
        <v>41</v>
      </c>
      <c r="B11" s="183" t="s">
        <v>317</v>
      </c>
    </row>
    <row r="12">
      <c r="A12" s="72" t="s">
        <v>76</v>
      </c>
      <c r="B12" s="183" t="s">
        <v>318</v>
      </c>
    </row>
    <row r="13">
      <c r="A13" s="72" t="s">
        <v>78</v>
      </c>
      <c r="B13" s="183" t="s">
        <v>319</v>
      </c>
    </row>
    <row r="14">
      <c r="A14" s="72" t="s">
        <v>80</v>
      </c>
      <c r="B14" s="183" t="s">
        <v>320</v>
      </c>
    </row>
  </sheetData>
  <mergeCells count="14">
    <mergeCell ref="B8:E8"/>
    <mergeCell ref="B9:E9"/>
    <mergeCell ref="B10:E10"/>
    <mergeCell ref="B11:E11"/>
    <mergeCell ref="B12:E12"/>
    <mergeCell ref="B13:E13"/>
    <mergeCell ref="B14:E14"/>
    <mergeCell ref="A1:E1"/>
    <mergeCell ref="B2:E2"/>
    <mergeCell ref="B3:E3"/>
    <mergeCell ref="B4:E4"/>
    <mergeCell ref="A5:A6"/>
    <mergeCell ref="B5:E6"/>
    <mergeCell ref="B7:E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5.75"/>
    <col customWidth="1" min="3" max="3" width="8.0"/>
    <col customWidth="1" min="4" max="4" width="1.5"/>
    <col customWidth="1" min="5" max="5" width="16.63"/>
    <col customWidth="1" min="6" max="6" width="8.5"/>
    <col customWidth="1" min="7" max="7" width="1.25"/>
    <col customWidth="1" min="8" max="8" width="15.75"/>
    <col customWidth="1" min="9" max="9" width="8.5"/>
    <col customWidth="1" min="10" max="10" width="1.13"/>
    <col customWidth="1" min="11" max="11" width="15.75"/>
    <col customWidth="1" min="12" max="12" width="8.75"/>
    <col customWidth="1" min="13" max="13" width="1.25"/>
    <col customWidth="1" min="14" max="14" width="14.5"/>
    <col customWidth="1" min="15" max="15" width="9.13"/>
    <col customWidth="1" min="16" max="16" width="1.5"/>
    <col customWidth="1" min="17" max="17" width="15.88"/>
    <col customWidth="1" min="18" max="18" width="9.13"/>
    <col customWidth="1" min="19" max="19" width="1.63"/>
    <col customWidth="1" min="20" max="20" width="14.5"/>
    <col customWidth="1" min="21" max="21" width="10.5"/>
    <col customWidth="1" min="22" max="22" width="1.38"/>
    <col customWidth="1" min="23" max="23" width="14.5"/>
    <col customWidth="1" min="24" max="24" width="9.25"/>
    <col customWidth="1" min="25" max="25" width="1.5"/>
    <col customWidth="1" min="26" max="26" width="16.25"/>
    <col customWidth="1" min="27" max="27" width="11.38"/>
    <col customWidth="1" min="28" max="28" width="1.5"/>
    <col customWidth="1" min="29" max="29" width="14.5"/>
    <col customWidth="1" min="30" max="30" width="10.25"/>
    <col customWidth="1" min="31" max="31" width="1.75"/>
    <col customWidth="1" min="32" max="32" width="17.75"/>
    <col customWidth="1" min="33" max="33" width="10.13"/>
    <col customWidth="1" min="34" max="34" width="1.5"/>
    <col customWidth="1" min="35" max="35" width="15.88"/>
    <col customWidth="1" min="36" max="36" width="9.63"/>
    <col customWidth="1" min="37" max="37" width="7.0"/>
    <col customWidth="1" hidden="1" min="38" max="38" width="13.25"/>
    <col customWidth="1" hidden="1" min="39" max="40" width="8.38"/>
    <col customWidth="1" hidden="1" min="41" max="41" width="3.5"/>
    <col customWidth="1" min="42" max="42" width="13.25"/>
    <col customWidth="1" min="43" max="43" width="8.25"/>
    <col customWidth="1" min="44" max="44" width="8.38"/>
    <col customWidth="1" min="45" max="45" width="6.25"/>
    <col customWidth="1" hidden="1" min="46" max="46" width="12.63"/>
    <col customWidth="1" hidden="1" min="47" max="47" width="7.75"/>
    <col customWidth="1" hidden="1" min="48" max="48" width="8.25"/>
    <col customWidth="1" hidden="1" min="49" max="49" width="5.0"/>
  </cols>
  <sheetData>
    <row r="1" ht="9.75" customHeight="1">
      <c r="A1" s="93"/>
      <c r="B1" s="7"/>
      <c r="C1" s="306"/>
      <c r="D1" s="7"/>
      <c r="E1" s="7"/>
      <c r="F1" s="306"/>
      <c r="G1" s="7"/>
      <c r="H1" s="7"/>
      <c r="I1" s="306"/>
      <c r="J1" s="7"/>
      <c r="K1" s="7"/>
      <c r="L1" s="306"/>
      <c r="M1" s="7"/>
      <c r="N1" s="7"/>
      <c r="O1" s="306"/>
      <c r="P1" s="7"/>
      <c r="Q1" s="7"/>
      <c r="R1" s="306"/>
      <c r="S1" s="7"/>
      <c r="T1" s="7"/>
      <c r="U1" s="306"/>
      <c r="V1" s="7"/>
      <c r="W1" s="7"/>
      <c r="X1" s="306"/>
      <c r="Y1" s="7"/>
      <c r="Z1" s="7"/>
      <c r="AA1" s="306"/>
      <c r="AB1" s="7"/>
      <c r="AC1" s="7"/>
      <c r="AD1" s="306"/>
      <c r="AE1" s="7"/>
      <c r="AF1" s="7"/>
      <c r="AG1" s="307"/>
      <c r="AH1" s="7"/>
      <c r="AI1" s="7"/>
      <c r="AJ1" s="306"/>
      <c r="AK1" s="7"/>
      <c r="AL1" s="7"/>
      <c r="AM1" s="93"/>
      <c r="AN1" s="93"/>
      <c r="AO1" s="186"/>
      <c r="AP1" s="186"/>
      <c r="AQ1" s="186"/>
      <c r="AR1" s="186"/>
      <c r="AS1" s="186"/>
      <c r="AT1" s="186"/>
      <c r="AU1" s="186"/>
      <c r="AV1" s="186"/>
      <c r="AW1" s="186"/>
    </row>
    <row r="2">
      <c r="A2" s="308"/>
      <c r="B2" s="309" t="str">
        <f>IFERROR(__xludf.DUMMYFUNCTION("Query(HEXASbaseINFO!A:AB,""Select A,B where A&lt;&gt;'' Order by B Desc"")"),"Player")</f>
        <v>Player</v>
      </c>
      <c r="C2" s="310" t="str">
        <f>IFERROR(__xludf.DUMMYFUNCTION("""COMPUTED_VALUE"""),"k-d whores")</f>
        <v>k-d whores</v>
      </c>
      <c r="D2" s="311"/>
      <c r="E2" s="312" t="str">
        <f>IFERROR(__xludf.DUMMYFUNCTION("Query(HEXASbaseINFO!A:AB,""Select A,C where A&lt;&gt;'' Order by C Desc"")"),"Player")</f>
        <v>Player</v>
      </c>
      <c r="F2" s="313" t="str">
        <f>IFERROR(__xludf.DUMMYFUNCTION("""COMPUTED_VALUE"""),"w key warrior")</f>
        <v>w key warrior</v>
      </c>
      <c r="G2" s="311"/>
      <c r="H2" s="314" t="str">
        <f>IFERROR(__xludf.DUMMYFUNCTION("Query(HEXASbaseINFO!A:AB,""Select A,D where A&lt;&gt;'' Order by D DesC"")"),"Player")</f>
        <v>Player</v>
      </c>
      <c r="I2" s="315" t="str">
        <f>IFERROR(__xludf.DUMMYFUNCTION("""COMPUTED_VALUE"""),"Spree King")</f>
        <v>Spree King</v>
      </c>
      <c r="J2" s="311"/>
      <c r="K2" s="316" t="str">
        <f>IFERROR(__xludf.DUMMYFUNCTION("Query(HEXASbaseINFO!A:AB,""Select A,E where A&lt;&gt;'' Order by E Desc"")"),"Player")</f>
        <v>Player</v>
      </c>
      <c r="L2" s="317" t="str">
        <f>IFERROR(__xludf.DUMMYFUNCTION("""COMPUTED_VALUE"""),"Sugar Daddies")</f>
        <v>Sugar Daddies</v>
      </c>
      <c r="M2" s="311"/>
      <c r="N2" s="318" t="str">
        <f>IFERROR(__xludf.DUMMYFUNCTION("Query(HEXASbaseINFO!A:AB,""Select A,F where A&lt;&gt;'' Order by F Desc"")"),"Player")</f>
        <v>Player</v>
      </c>
      <c r="O2" s="319" t="str">
        <f>IFERROR(__xludf.DUMMYFUNCTION("""COMPUTED_VALUE"""),"Helping Hands")</f>
        <v>Helping Hands</v>
      </c>
      <c r="P2" s="311"/>
      <c r="Q2" s="320" t="str">
        <f>IFERROR(__xludf.DUMMYFUNCTION("Query(HEXASbaseINFO!A:AB,""Select A,G where A&lt;&gt;'' Order by G Desc"")"),"Player")</f>
        <v>Player</v>
      </c>
      <c r="R2" s="321" t="str">
        <f>IFERROR(__xludf.DUMMYFUNCTION("""COMPUTED_VALUE"""),"Running Wild")</f>
        <v>Running Wild</v>
      </c>
      <c r="S2" s="311"/>
      <c r="T2" s="322" t="str">
        <f>IFERROR(__xludf.DUMMYFUNCTION("Query(HEXASbaseINFO!A:AB,""Select A,H where A&lt;&gt;'' Order by H Desc"")"),"Player")</f>
        <v>Player</v>
      </c>
      <c r="U2" s="323" t="str">
        <f>IFERROR(__xludf.DUMMYFUNCTION("""COMPUTED_VALUE"""),"Overrated")</f>
        <v>Overrated</v>
      </c>
      <c r="V2" s="311"/>
      <c r="W2" s="324" t="str">
        <f>IFERROR(__xludf.DUMMYFUNCTION("Query(HEXASbaseINFO!A:AB,""Select A,I where A&lt;&gt;'' Order by I Desc"")"),"Player")</f>
        <v>Player</v>
      </c>
      <c r="X2" s="325" t="str">
        <f>IFERROR(__xludf.DUMMYFUNCTION("""COMPUTED_VALUE"""),"Ball God")</f>
        <v>Ball God</v>
      </c>
      <c r="Y2" s="311"/>
      <c r="Z2" s="326" t="str">
        <f>IFERROR(__xludf.DUMMYFUNCTION("Query(HEXASbaseINFO!A:AH,""Select A,J where A&lt;&gt;'' Order by J DesC"")"),"Player")</f>
        <v>Player</v>
      </c>
      <c r="AA2" s="327" t="str">
        <f>IFERROR(__xludf.DUMMYFUNCTION("""COMPUTED_VALUE"""),"Avengers")</f>
        <v>Avengers</v>
      </c>
      <c r="AB2" s="311"/>
      <c r="AC2" s="326" t="str">
        <f>IFERROR(__xludf.DUMMYFUNCTION("Query(HEXASbaseINFO!A:AH,""Select A,K where A&lt;&gt;'' Order by K DesC"")"),"Player")</f>
        <v>Player</v>
      </c>
      <c r="AD2" s="327" t="str">
        <f>IFERROR(__xludf.DUMMYFUNCTION("""COMPUTED_VALUE"""),"Betrayal Master")</f>
        <v>Betrayal Master</v>
      </c>
      <c r="AE2" s="311"/>
      <c r="AF2" s="326" t="str">
        <f>IFERROR(__xludf.DUMMYFUNCTION("Query(HEXASbaseINFO!A:AI,""Select A,L where A&lt;&gt;'' Order by L DesC"")"),"Player")</f>
        <v>Player</v>
      </c>
      <c r="AG2" s="328" t="str">
        <f>IFERROR(__xludf.DUMMYFUNCTION("""COMPUTED_VALUE"""),"Kills Per Betrayal")</f>
        <v>Kills Per Betrayal</v>
      </c>
      <c r="AH2" s="311"/>
      <c r="AI2" s="329" t="str">
        <f>IFERROR(__xludf.DUMMYFUNCTION("Query(HEXASbaseINFO!A:AA,""Select A,M where A&lt;&gt;'' Order by M Desc"")"),"Player")</f>
        <v>Player</v>
      </c>
      <c r="AJ2" s="330" t="str">
        <f>IFERROR(__xludf.DUMMYFUNCTION("""COMPUTED_VALUE"""),"6-S HEXAS")</f>
        <v>6-S HEXAS</v>
      </c>
      <c r="AK2" s="331"/>
      <c r="AL2" s="332" t="str">
        <f>IFERROR(__xludf.DUMMYFUNCTION("Query(PlayerGrades!A:Y,""Select A,X,Y where A&lt;&gt;'' Order by Y Desc Label Y 'Grade', X 'Letter'"")"),"Players")</f>
        <v>Players</v>
      </c>
      <c r="AM2" s="332" t="str">
        <f>IFERROR(__xludf.DUMMYFUNCTION("""COMPUTED_VALUE"""),"Letter")</f>
        <v>Letter</v>
      </c>
      <c r="AN2" s="332" t="str">
        <f>IFERROR(__xludf.DUMMYFUNCTION("""COMPUTED_VALUE"""),"Grade")</f>
        <v>Grade</v>
      </c>
      <c r="AO2" s="333"/>
      <c r="AP2" s="334" t="str">
        <f>IFERROR(__xludf.DUMMYFUNCTION("Query('PlayerGrades+'!L:W,""Select L,V,W where L&lt;&gt;'' Order by W Desc Label W 'Grade', V 'Letter'"")"),"Players")</f>
        <v>Players</v>
      </c>
      <c r="AQ2" s="335" t="str">
        <f>IFERROR(__xludf.DUMMYFUNCTION("""COMPUTED_VALUE"""),"Letter")</f>
        <v>Letter</v>
      </c>
      <c r="AR2" s="335" t="str">
        <f>IFERROR(__xludf.DUMMYFUNCTION("""COMPUTED_VALUE"""),"Grade")</f>
        <v>Grade</v>
      </c>
      <c r="AS2" s="333"/>
      <c r="AT2" s="336" t="str">
        <f>IFERROR(__xludf.DUMMYFUNCTION("Query('Percentiles Grades'!C:E,""Select C,E,D where C&lt;&gt;'' Order by D Desc Label D 'Grade', E 'Letter'"")"),"Players")</f>
        <v>Players</v>
      </c>
      <c r="AU2" s="337" t="str">
        <f>IFERROR(__xludf.DUMMYFUNCTION("""COMPUTED_VALUE"""),"Letter")</f>
        <v>Letter</v>
      </c>
      <c r="AV2" s="337" t="str">
        <f>IFERROR(__xludf.DUMMYFUNCTION("""COMPUTED_VALUE"""),"Grade")</f>
        <v>Grade</v>
      </c>
      <c r="AW2" s="333"/>
    </row>
    <row r="3">
      <c r="A3" s="338" t="s">
        <v>321</v>
      </c>
      <c r="B3" s="339" t="str">
        <f>IFERROR(__xludf.DUMMYFUNCTION("""COMPUTED_VALUE"""),"oDhmon")</f>
        <v>oDhmon</v>
      </c>
      <c r="C3" s="340">
        <f>IFERROR(__xludf.DUMMYFUNCTION("""COMPUTED_VALUE"""),1.1380643411027964)</f>
        <v>1.138064341</v>
      </c>
      <c r="D3" s="341"/>
      <c r="E3" s="342" t="str">
        <f>IFERROR(__xludf.DUMMYFUNCTION("""COMPUTED_VALUE"""),"MysticalNovice")</f>
        <v>MysticalNovice</v>
      </c>
      <c r="F3" s="343">
        <f>IFERROR(__xludf.DUMMYFUNCTION("""COMPUTED_VALUE"""),8.527003589722906)</f>
        <v>8.52700359</v>
      </c>
      <c r="G3" s="344"/>
      <c r="H3" s="345" t="str">
        <f>IFERROR(__xludf.DUMMYFUNCTION("""COMPUTED_VALUE"""),"Itzreelz")</f>
        <v>Itzreelz</v>
      </c>
      <c r="I3" s="346">
        <f>IFERROR(__xludf.DUMMYFUNCTION("""COMPUTED_VALUE"""),0.10331673201229204)</f>
        <v>0.103316732</v>
      </c>
      <c r="J3" s="344"/>
      <c r="K3" s="347" t="str">
        <f>IFERROR(__xludf.DUMMYFUNCTION("""COMPUTED_VALUE"""),"Itzreelz")</f>
        <v>Itzreelz</v>
      </c>
      <c r="L3" s="348">
        <f>IFERROR(__xludf.DUMMYFUNCTION("""COMPUTED_VALUE"""),0.10649570838190103)</f>
        <v>0.1064957084</v>
      </c>
      <c r="M3" s="344"/>
      <c r="N3" s="349" t="str">
        <f>IFERROR(__xludf.DUMMYFUNCTION("""COMPUTED_VALUE"""),"DlGITAL PAIN")</f>
        <v>DlGITAL PAIN</v>
      </c>
      <c r="O3" s="350">
        <f>IFERROR(__xludf.DUMMYFUNCTION("""COMPUTED_VALUE"""),0.7568890344150137)</f>
        <v>0.7568890344</v>
      </c>
      <c r="P3" s="344"/>
      <c r="Q3" s="351" t="str">
        <f>IFERROR(__xludf.DUMMYFUNCTION("""COMPUTED_VALUE"""),"MysticalNovice")</f>
        <v>MysticalNovice</v>
      </c>
      <c r="R3" s="352">
        <f>IFERROR(__xludf.DUMMYFUNCTION("""COMPUTED_VALUE"""),0.8784737627556166)</f>
        <v>0.8784737628</v>
      </c>
      <c r="S3" s="344"/>
      <c r="T3" s="353" t="str">
        <f>IFERROR(__xludf.DUMMYFUNCTION("""COMPUTED_VALUE"""),"Itzreelz")</f>
        <v>Itzreelz</v>
      </c>
      <c r="U3" s="354">
        <f>IFERROR(__xludf.DUMMYFUNCTION("""COMPUTED_VALUE"""),0.055322715842414084)</f>
        <v>0.05532271584</v>
      </c>
      <c r="V3" s="344"/>
      <c r="W3" s="355" t="str">
        <f>IFERROR(__xludf.DUMMYFUNCTION("""COMPUTED_VALUE"""),"yLuxe")</f>
        <v>yLuxe</v>
      </c>
      <c r="X3" s="356">
        <f>IFERROR(__xludf.DUMMYFUNCTION("""COMPUTED_VALUE"""),1.2043337768485078)</f>
        <v>1.204333777</v>
      </c>
      <c r="Y3" s="344"/>
      <c r="Z3" s="357" t="str">
        <f>IFERROR(__xludf.DUMMYFUNCTION("""COMPUTED_VALUE"""),"DlGITAL PAIN")</f>
        <v>DlGITAL PAIN</v>
      </c>
      <c r="AA3" s="358">
        <f>IFERROR(__xludf.DUMMYFUNCTION("""COMPUTED_VALUE"""),0.527340720698985)</f>
        <v>0.5273407207</v>
      </c>
      <c r="AB3" s="344"/>
      <c r="AC3" s="357" t="str">
        <f>IFERROR(__xludf.DUMMYFUNCTION("""COMPUTED_VALUE"""),"MealyKitten0")</f>
        <v>MealyKitten0</v>
      </c>
      <c r="AD3" s="358">
        <f>IFERROR(__xludf.DUMMYFUNCTION("""COMPUTED_VALUE"""),0.15174976772994736)</f>
        <v>0.1517497677</v>
      </c>
      <c r="AE3" s="344"/>
      <c r="AF3" s="357" t="str">
        <f>IFERROR(__xludf.DUMMYFUNCTION("""COMPUTED_VALUE"""),"AwareMosquito")</f>
        <v>AwareMosquito</v>
      </c>
      <c r="AG3" s="359">
        <f>IFERROR(__xludf.DUMMYFUNCTION("""COMPUTED_VALUE"""),340.0)</f>
        <v>340</v>
      </c>
      <c r="AH3" s="344"/>
      <c r="AI3" s="360" t="str">
        <f>IFERROR(__xludf.DUMMYFUNCTION("""COMPUTED_VALUE"""),"oDhmon")</f>
        <v>oDhmon</v>
      </c>
      <c r="AJ3" s="361">
        <f>IFERROR(__xludf.DUMMYFUNCTION("""COMPUTED_VALUE"""),2.0121949264535117)</f>
        <v>2.012194926</v>
      </c>
      <c r="AK3" s="338" t="s">
        <v>321</v>
      </c>
      <c r="AL3" s="362" t="str">
        <f>IFERROR(__xludf.DUMMYFUNCTION("""COMPUTED_VALUE"""),"Itzreelz")</f>
        <v>Itzreelz</v>
      </c>
      <c r="AM3" s="363" t="str">
        <f>IFERROR(__xludf.DUMMYFUNCTION("""COMPUTED_VALUE"""),"S")</f>
        <v>S</v>
      </c>
      <c r="AN3" s="364">
        <f>IFERROR(__xludf.DUMMYFUNCTION("""COMPUTED_VALUE"""),22.6)</f>
        <v>22.6</v>
      </c>
      <c r="AO3" s="240"/>
      <c r="AP3" s="365" t="str">
        <f>IFERROR(__xludf.DUMMYFUNCTION("""COMPUTED_VALUE"""),"Itzreelz")</f>
        <v>Itzreelz</v>
      </c>
      <c r="AQ3" s="366" t="str">
        <f>IFERROR(__xludf.DUMMYFUNCTION("""COMPUTED_VALUE"""),"S+")</f>
        <v>S+</v>
      </c>
      <c r="AR3" s="365">
        <f>IFERROR(__xludf.DUMMYFUNCTION("""COMPUTED_VALUE"""),33.05)</f>
        <v>33.05</v>
      </c>
      <c r="AS3" s="240"/>
      <c r="AT3" s="366" t="str">
        <f>IFERROR(__xludf.DUMMYFUNCTION("""COMPUTED_VALUE"""),"Itzreelz")</f>
        <v>Itzreelz</v>
      </c>
      <c r="AU3" s="366" t="str">
        <f>IFERROR(__xludf.DUMMYFUNCTION("""COMPUTED_VALUE"""),"S+")</f>
        <v>S+</v>
      </c>
      <c r="AV3" s="366">
        <f>IFERROR(__xludf.DUMMYFUNCTION("""COMPUTED_VALUE"""),33.05)</f>
        <v>33.05</v>
      </c>
      <c r="AW3" s="240"/>
    </row>
    <row r="4">
      <c r="B4" s="367" t="str">
        <f>IFERROR(__xludf.DUMMYFUNCTION("""COMPUTED_VALUE"""),"DlGITAL PAIN")</f>
        <v>DlGITAL PAIN</v>
      </c>
      <c r="C4" s="368">
        <f>IFERROR(__xludf.DUMMYFUNCTION("""COMPUTED_VALUE"""),1.0298654074827236)</f>
        <v>1.029865407</v>
      </c>
      <c r="D4" s="369"/>
      <c r="E4" s="370" t="str">
        <f>IFERROR(__xludf.DUMMYFUNCTION("""COMPUTED_VALUE"""),"ASpence501")</f>
        <v>ASpence501</v>
      </c>
      <c r="F4" s="371">
        <f>IFERROR(__xludf.DUMMYFUNCTION("""COMPUTED_VALUE"""),7.714200890648193)</f>
        <v>7.714200891</v>
      </c>
      <c r="G4" s="372"/>
      <c r="H4" s="373" t="str">
        <f>IFERROR(__xludf.DUMMYFUNCTION("""COMPUTED_VALUE"""),"yLuxe")</f>
        <v>yLuxe</v>
      </c>
      <c r="I4" s="374">
        <f>IFERROR(__xludf.DUMMYFUNCTION("""COMPUTED_VALUE"""),0.0957905380235219)</f>
        <v>0.09579053802</v>
      </c>
      <c r="J4" s="372"/>
      <c r="K4" s="375" t="str">
        <f>IFERROR(__xludf.DUMMYFUNCTION("""COMPUTED_VALUE"""),"yLuxe")</f>
        <v>yLuxe</v>
      </c>
      <c r="L4" s="376">
        <f>IFERROR(__xludf.DUMMYFUNCTION("""COMPUTED_VALUE"""),0.10536959182587409)</f>
        <v>0.1053695918</v>
      </c>
      <c r="M4" s="372"/>
      <c r="N4" s="377" t="str">
        <f>IFERROR(__xludf.DUMMYFUNCTION("""COMPUTED_VALUE"""),"ASpence501")</f>
        <v>ASpence501</v>
      </c>
      <c r="O4" s="378">
        <f>IFERROR(__xludf.DUMMYFUNCTION("""COMPUTED_VALUE"""),0.748144482929243)</f>
        <v>0.7481444829</v>
      </c>
      <c r="P4" s="372"/>
      <c r="Q4" s="379" t="str">
        <f>IFERROR(__xludf.DUMMYFUNCTION("""COMPUTED_VALUE"""),"Itzreelz")</f>
        <v>Itzreelz</v>
      </c>
      <c r="R4" s="380">
        <f>IFERROR(__xludf.DUMMYFUNCTION("""COMPUTED_VALUE"""),0.8281233442831408)</f>
        <v>0.8281233443</v>
      </c>
      <c r="S4" s="372"/>
      <c r="T4" s="381" t="str">
        <f>IFERROR(__xludf.DUMMYFUNCTION("""COMPUTED_VALUE"""),"MysticalNovice")</f>
        <v>MysticalNovice</v>
      </c>
      <c r="U4" s="382">
        <f>IFERROR(__xludf.DUMMYFUNCTION("""COMPUTED_VALUE"""),0.04325468844525106)</f>
        <v>0.04325468845</v>
      </c>
      <c r="V4" s="372"/>
      <c r="W4" s="383" t="str">
        <f>IFERROR(__xludf.DUMMYFUNCTION("""COMPUTED_VALUE"""),"Hells Angel cx")</f>
        <v>Hells Angel cx</v>
      </c>
      <c r="X4" s="384">
        <f>IFERROR(__xludf.DUMMYFUNCTION("""COMPUTED_VALUE"""),0.9830240821160678)</f>
        <v>0.9830240821</v>
      </c>
      <c r="Y4" s="372"/>
      <c r="Z4" s="385" t="str">
        <f>IFERROR(__xludf.DUMMYFUNCTION("""COMPUTED_VALUE"""),"yLuxe")</f>
        <v>yLuxe</v>
      </c>
      <c r="AA4" s="386">
        <f>IFERROR(__xludf.DUMMYFUNCTION("""COMPUTED_VALUE"""),0.4757596721834921)</f>
        <v>0.4757596722</v>
      </c>
      <c r="AB4" s="372"/>
      <c r="AC4" s="385" t="str">
        <f>IFERROR(__xludf.DUMMYFUNCTION("""COMPUTED_VALUE"""),"Dior Glori")</f>
        <v>Dior Glori</v>
      </c>
      <c r="AD4" s="386">
        <f>IFERROR(__xludf.DUMMYFUNCTION("""COMPUTED_VALUE"""),0.09910188912976155)</f>
        <v>0.09910188913</v>
      </c>
      <c r="AE4" s="372"/>
      <c r="AF4" s="385" t="str">
        <f>IFERROR(__xludf.DUMMYFUNCTION("""COMPUTED_VALUE"""),"Solace VIII")</f>
        <v>Solace VIII</v>
      </c>
      <c r="AG4" s="387">
        <f>IFERROR(__xludf.DUMMYFUNCTION("""COMPUTED_VALUE"""),115.875)</f>
        <v>115.875</v>
      </c>
      <c r="AH4" s="372"/>
      <c r="AI4" s="388" t="str">
        <f>IFERROR(__xludf.DUMMYFUNCTION("""COMPUTED_VALUE"""),"DlGITAL PAIN")</f>
        <v>DlGITAL PAIN</v>
      </c>
      <c r="AJ4" s="389">
        <f>IFERROR(__xludf.DUMMYFUNCTION("""COMPUTED_VALUE"""),1.8933931905262493)</f>
        <v>1.893393191</v>
      </c>
      <c r="AL4" s="363" t="str">
        <f>IFERROR(__xludf.DUMMYFUNCTION("""COMPUTED_VALUE"""),"DlGITAL PAIN")</f>
        <v>DlGITAL PAIN</v>
      </c>
      <c r="AM4" s="363" t="str">
        <f>IFERROR(__xludf.DUMMYFUNCTION("""COMPUTED_VALUE"""),"A")</f>
        <v>A</v>
      </c>
      <c r="AN4" s="364">
        <f>IFERROR(__xludf.DUMMYFUNCTION("""COMPUTED_VALUE"""),21.799999999999997)</f>
        <v>21.8</v>
      </c>
      <c r="AO4" s="186"/>
      <c r="AP4" s="163" t="str">
        <f>IFERROR(__xludf.DUMMYFUNCTION("""COMPUTED_VALUE"""),"DlGITAL PAIN")</f>
        <v>DlGITAL PAIN</v>
      </c>
      <c r="AQ4" s="390" t="str">
        <f>IFERROR(__xludf.DUMMYFUNCTION("""COMPUTED_VALUE"""),"S")</f>
        <v>S</v>
      </c>
      <c r="AR4" s="365">
        <f>IFERROR(__xludf.DUMMYFUNCTION("""COMPUTED_VALUE"""),32.05)</f>
        <v>32.05</v>
      </c>
      <c r="AS4" s="186"/>
      <c r="AT4" s="390" t="str">
        <f>IFERROR(__xludf.DUMMYFUNCTION("""COMPUTED_VALUE"""),"DlGITAL PAIN")</f>
        <v>DlGITAL PAIN</v>
      </c>
      <c r="AU4" s="390" t="str">
        <f>IFERROR(__xludf.DUMMYFUNCTION("""COMPUTED_VALUE"""),"S")</f>
        <v>S</v>
      </c>
      <c r="AV4" s="390">
        <f>IFERROR(__xludf.DUMMYFUNCTION("""COMPUTED_VALUE"""),32.05)</f>
        <v>32.05</v>
      </c>
      <c r="AW4" s="186"/>
    </row>
    <row r="5">
      <c r="B5" s="367" t="str">
        <f>IFERROR(__xludf.DUMMYFUNCTION("""COMPUTED_VALUE"""),"Itzreelz")</f>
        <v>Itzreelz</v>
      </c>
      <c r="C5" s="368">
        <f>IFERROR(__xludf.DUMMYFUNCTION("""COMPUTED_VALUE"""),0.9330295644802373)</f>
        <v>0.9330295645</v>
      </c>
      <c r="D5" s="369"/>
      <c r="E5" s="370" t="str">
        <f>IFERROR(__xludf.DUMMYFUNCTION("""COMPUTED_VALUE"""),"Solace VIII")</f>
        <v>Solace VIII</v>
      </c>
      <c r="F5" s="371">
        <f>IFERROR(__xludf.DUMMYFUNCTION("""COMPUTED_VALUE"""),7.65981334643183)</f>
        <v>7.659813346</v>
      </c>
      <c r="G5" s="372"/>
      <c r="H5" s="373" t="str">
        <f>IFERROR(__xludf.DUMMYFUNCTION("""COMPUTED_VALUE"""),"DlGITAL PAIN")</f>
        <v>DlGITAL PAIN</v>
      </c>
      <c r="I5" s="374">
        <f>IFERROR(__xludf.DUMMYFUNCTION("""COMPUTED_VALUE"""),0.09512813000844435)</f>
        <v>0.09512813001</v>
      </c>
      <c r="J5" s="372"/>
      <c r="K5" s="375" t="str">
        <f>IFERROR(__xludf.DUMMYFUNCTION("""COMPUTED_VALUE"""),"DlGITAL PAIN")</f>
        <v>DlGITAL PAIN</v>
      </c>
      <c r="L5" s="376">
        <f>IFERROR(__xludf.DUMMYFUNCTION("""COMPUTED_VALUE"""),0.09719613283471487)</f>
        <v>0.09719613283</v>
      </c>
      <c r="M5" s="372"/>
      <c r="N5" s="377" t="str">
        <f>IFERROR(__xludf.DUMMYFUNCTION("""COMPUTED_VALUE"""),"InfiniteRainge")</f>
        <v>InfiniteRainge</v>
      </c>
      <c r="O5" s="378">
        <f>IFERROR(__xludf.DUMMYFUNCTION("""COMPUTED_VALUE"""),0.703671480772577)</f>
        <v>0.7036714808</v>
      </c>
      <c r="P5" s="372"/>
      <c r="Q5" s="379" t="str">
        <f>IFERROR(__xludf.DUMMYFUNCTION("""COMPUTED_VALUE"""),"DlGITAL PAIN")</f>
        <v>DlGITAL PAIN</v>
      </c>
      <c r="R5" s="380">
        <f>IFERROR(__xludf.DUMMYFUNCTION("""COMPUTED_VALUE"""),0.816861116376859)</f>
        <v>0.8168611164</v>
      </c>
      <c r="S5" s="372"/>
      <c r="T5" s="381" t="str">
        <f>IFERROR(__xludf.DUMMYFUNCTION("""COMPUTED_VALUE"""),"yLuxe")</f>
        <v>yLuxe</v>
      </c>
      <c r="U5" s="382">
        <f>IFERROR(__xludf.DUMMYFUNCTION("""COMPUTED_VALUE"""),0.042735042735042736)</f>
        <v>0.04273504274</v>
      </c>
      <c r="V5" s="372"/>
      <c r="W5" s="383" t="str">
        <f>IFERROR(__xludf.DUMMYFUNCTION("""COMPUTED_VALUE"""),"Dhlyn")</f>
        <v>Dhlyn</v>
      </c>
      <c r="X5" s="384">
        <f>IFERROR(__xludf.DUMMYFUNCTION("""COMPUTED_VALUE"""),0.9705789969636687)</f>
        <v>0.970578997</v>
      </c>
      <c r="Y5" s="372"/>
      <c r="Z5" s="385" t="str">
        <f>IFERROR(__xludf.DUMMYFUNCTION("""COMPUTED_VALUE"""),"InfiniteRainge")</f>
        <v>InfiniteRainge</v>
      </c>
      <c r="AA5" s="386">
        <f>IFERROR(__xludf.DUMMYFUNCTION("""COMPUTED_VALUE"""),0.44892987645728205)</f>
        <v>0.4489298765</v>
      </c>
      <c r="AB5" s="372"/>
      <c r="AC5" s="385" t="str">
        <f>IFERROR(__xludf.DUMMYFUNCTION("""COMPUTED_VALUE"""),"L0RNA SHORE")</f>
        <v>L0RNA SHORE</v>
      </c>
      <c r="AD5" s="386">
        <f>IFERROR(__xludf.DUMMYFUNCTION("""COMPUTED_VALUE"""),0.09610876699484294)</f>
        <v>0.09610876699</v>
      </c>
      <c r="AE5" s="372"/>
      <c r="AF5" s="385" t="str">
        <f>IFERROR(__xludf.DUMMYFUNCTION("""COMPUTED_VALUE"""),"GodSnipezX")</f>
        <v>GodSnipezX</v>
      </c>
      <c r="AG5" s="387">
        <f>IFERROR(__xludf.DUMMYFUNCTION("""COMPUTED_VALUE"""),108.61111111111111)</f>
        <v>108.6111111</v>
      </c>
      <c r="AH5" s="372"/>
      <c r="AI5" s="388" t="str">
        <f>IFERROR(__xludf.DUMMYFUNCTION("""COMPUTED_VALUE"""),"Itzreelz")</f>
        <v>Itzreelz</v>
      </c>
      <c r="AJ5" s="389">
        <f>IFERROR(__xludf.DUMMYFUNCTION("""COMPUTED_VALUE"""),1.8884256360361054)</f>
        <v>1.888425636</v>
      </c>
      <c r="AL5" s="363" t="str">
        <f>IFERROR(__xludf.DUMMYFUNCTION("""COMPUTED_VALUE"""),"Solace VIII")</f>
        <v>Solace VIII</v>
      </c>
      <c r="AM5" s="363" t="str">
        <f>IFERROR(__xludf.DUMMYFUNCTION("""COMPUTED_VALUE"""),"A")</f>
        <v>A</v>
      </c>
      <c r="AN5" s="364">
        <f>IFERROR(__xludf.DUMMYFUNCTION("""COMPUTED_VALUE"""),21.7)</f>
        <v>21.7</v>
      </c>
      <c r="AO5" s="186"/>
      <c r="AP5" s="163" t="str">
        <f>IFERROR(__xludf.DUMMYFUNCTION("""COMPUTED_VALUE"""),"oDhmon")</f>
        <v>oDhmon</v>
      </c>
      <c r="AQ5" s="390" t="str">
        <f>IFERROR(__xludf.DUMMYFUNCTION("""COMPUTED_VALUE"""),"S-")</f>
        <v>S-</v>
      </c>
      <c r="AR5" s="365">
        <f>IFERROR(__xludf.DUMMYFUNCTION("""COMPUTED_VALUE"""),31.4)</f>
        <v>31.4</v>
      </c>
      <c r="AS5" s="186"/>
      <c r="AT5" s="390" t="str">
        <f>IFERROR(__xludf.DUMMYFUNCTION("""COMPUTED_VALUE"""),"oDhmon")</f>
        <v>oDhmon</v>
      </c>
      <c r="AU5" s="390" t="str">
        <f>IFERROR(__xludf.DUMMYFUNCTION("""COMPUTED_VALUE"""),"S-")</f>
        <v>S-</v>
      </c>
      <c r="AV5" s="390">
        <f>IFERROR(__xludf.DUMMYFUNCTION("""COMPUTED_VALUE"""),31.4)</f>
        <v>31.4</v>
      </c>
      <c r="AW5" s="186"/>
    </row>
    <row r="6">
      <c r="B6" s="367" t="str">
        <f>IFERROR(__xludf.DUMMYFUNCTION("""COMPUTED_VALUE"""),"yLuxe")</f>
        <v>yLuxe</v>
      </c>
      <c r="C6" s="368">
        <f>IFERROR(__xludf.DUMMYFUNCTION("""COMPUTED_VALUE"""),0.7679208131552339)</f>
        <v>0.7679208132</v>
      </c>
      <c r="D6" s="369"/>
      <c r="E6" s="370" t="str">
        <f>IFERROR(__xludf.DUMMYFUNCTION("""COMPUTED_VALUE"""),"MealyKitten0")</f>
        <v>MealyKitten0</v>
      </c>
      <c r="F6" s="371">
        <f>IFERROR(__xludf.DUMMYFUNCTION("""COMPUTED_VALUE"""),7.652524001238774)</f>
        <v>7.652524001</v>
      </c>
      <c r="G6" s="372"/>
      <c r="H6" s="373" t="str">
        <f>IFERROR(__xludf.DUMMYFUNCTION("""COMPUTED_VALUE"""),"oDhmon")</f>
        <v>oDhmon</v>
      </c>
      <c r="I6" s="374">
        <f>IFERROR(__xludf.DUMMYFUNCTION("""COMPUTED_VALUE"""),0.09223882621572128)</f>
        <v>0.09223882622</v>
      </c>
      <c r="J6" s="372"/>
      <c r="K6" s="375" t="str">
        <f>IFERROR(__xludf.DUMMYFUNCTION("""COMPUTED_VALUE"""),"oDhmon")</f>
        <v>oDhmon</v>
      </c>
      <c r="L6" s="376">
        <f>IFERROR(__xludf.DUMMYFUNCTION("""COMPUTED_VALUE"""),0.09223882621572128)</f>
        <v>0.09223882622</v>
      </c>
      <c r="M6" s="372"/>
      <c r="N6" s="377" t="str">
        <f>IFERROR(__xludf.DUMMYFUNCTION("""COMPUTED_VALUE"""),"Solace VIII")</f>
        <v>Solace VIII</v>
      </c>
      <c r="O6" s="378">
        <f>IFERROR(__xludf.DUMMYFUNCTION("""COMPUTED_VALUE"""),0.6553926040277875)</f>
        <v>0.655392604</v>
      </c>
      <c r="P6" s="372"/>
      <c r="Q6" s="379" t="str">
        <f>IFERROR(__xludf.DUMMYFUNCTION("""COMPUTED_VALUE"""),"oDhmon")</f>
        <v>oDhmon</v>
      </c>
      <c r="R6" s="380">
        <f>IFERROR(__xludf.DUMMYFUNCTION("""COMPUTED_VALUE"""),0.765039676259806)</f>
        <v>0.7650396763</v>
      </c>
      <c r="S6" s="372"/>
      <c r="T6" s="381" t="str">
        <f>IFERROR(__xludf.DUMMYFUNCTION("""COMPUTED_VALUE"""),"DlGITAL PAIN")</f>
        <v>DlGITAL PAIN</v>
      </c>
      <c r="U6" s="382">
        <f>IFERROR(__xludf.DUMMYFUNCTION("""COMPUTED_VALUE"""),0.042116630669546434)</f>
        <v>0.04211663067</v>
      </c>
      <c r="V6" s="372"/>
      <c r="W6" s="383" t="str">
        <f>IFERROR(__xludf.DUMMYFUNCTION("""COMPUTED_VALUE"""),"EllisGotMyPills")</f>
        <v>EllisGotMyPills</v>
      </c>
      <c r="X6" s="384">
        <f>IFERROR(__xludf.DUMMYFUNCTION("""COMPUTED_VALUE"""),0.8563087901394746)</f>
        <v>0.8563087901</v>
      </c>
      <c r="Y6" s="372"/>
      <c r="Z6" s="385" t="str">
        <f>IFERROR(__xludf.DUMMYFUNCTION("""COMPUTED_VALUE"""),"ASpence501")</f>
        <v>ASpence501</v>
      </c>
      <c r="AA6" s="386">
        <f>IFERROR(__xludf.DUMMYFUNCTION("""COMPUTED_VALUE"""),0.44769915883226125)</f>
        <v>0.4476991588</v>
      </c>
      <c r="AB6" s="372"/>
      <c r="AC6" s="385" t="str">
        <f>IFERROR(__xludf.DUMMYFUNCTION("""COMPUTED_VALUE"""),"Hells Angel cx")</f>
        <v>Hells Angel cx</v>
      </c>
      <c r="AD6" s="386">
        <f>IFERROR(__xludf.DUMMYFUNCTION("""COMPUTED_VALUE"""),0.08406840110817437)</f>
        <v>0.08406840111</v>
      </c>
      <c r="AE6" s="372"/>
      <c r="AF6" s="385" t="str">
        <f>IFERROR(__xludf.DUMMYFUNCTION("""COMPUTED_VALUE"""),"Doerstopper")</f>
        <v>Doerstopper</v>
      </c>
      <c r="AG6" s="387">
        <f>IFERROR(__xludf.DUMMYFUNCTION("""COMPUTED_VALUE"""),106.27272727272727)</f>
        <v>106.2727273</v>
      </c>
      <c r="AH6" s="372"/>
      <c r="AI6" s="388" t="str">
        <f>IFERROR(__xludf.DUMMYFUNCTION("""COMPUTED_VALUE"""),"yLuxe")</f>
        <v>yLuxe</v>
      </c>
      <c r="AJ6" s="389">
        <f>IFERROR(__xludf.DUMMYFUNCTION("""COMPUTED_VALUE"""),1.8488208007379416)</f>
        <v>1.848820801</v>
      </c>
      <c r="AL6" s="363" t="str">
        <f>IFERROR(__xludf.DUMMYFUNCTION("""COMPUTED_VALUE"""),"oDhmon")</f>
        <v>oDhmon</v>
      </c>
      <c r="AM6" s="363" t="str">
        <f>IFERROR(__xludf.DUMMYFUNCTION("""COMPUTED_VALUE"""),"A")</f>
        <v>A</v>
      </c>
      <c r="AN6" s="364">
        <f>IFERROR(__xludf.DUMMYFUNCTION("""COMPUTED_VALUE"""),21.3)</f>
        <v>21.3</v>
      </c>
      <c r="AO6" s="186"/>
      <c r="AP6" s="163" t="str">
        <f>IFERROR(__xludf.DUMMYFUNCTION("""COMPUTED_VALUE"""),"Solace VIII")</f>
        <v>Solace VIII</v>
      </c>
      <c r="AQ6" s="390" t="str">
        <f>IFERROR(__xludf.DUMMYFUNCTION("""COMPUTED_VALUE"""),"S-")</f>
        <v>S-</v>
      </c>
      <c r="AR6" s="365">
        <f>IFERROR(__xludf.DUMMYFUNCTION("""COMPUTED_VALUE"""),30.549999999999997)</f>
        <v>30.55</v>
      </c>
      <c r="AS6" s="186"/>
      <c r="AT6" s="390" t="str">
        <f>IFERROR(__xludf.DUMMYFUNCTION("""COMPUTED_VALUE"""),"Solace VIII")</f>
        <v>Solace VIII</v>
      </c>
      <c r="AU6" s="390" t="str">
        <f>IFERROR(__xludf.DUMMYFUNCTION("""COMPUTED_VALUE"""),"S-")</f>
        <v>S-</v>
      </c>
      <c r="AV6" s="390">
        <f>IFERROR(__xludf.DUMMYFUNCTION("""COMPUTED_VALUE"""),30.549999999999997)</f>
        <v>30.55</v>
      </c>
      <c r="AW6" s="186"/>
    </row>
    <row r="7">
      <c r="A7" s="391" t="s">
        <v>322</v>
      </c>
      <c r="B7" s="392" t="str">
        <f>IFERROR(__xludf.DUMMYFUNCTION("""COMPUTED_VALUE"""),"Solace VIII")</f>
        <v>Solace VIII</v>
      </c>
      <c r="C7" s="393">
        <f>IFERROR(__xludf.DUMMYFUNCTION("""COMPUTED_VALUE"""),0.6764437583327486)</f>
        <v>0.6764437583</v>
      </c>
      <c r="D7" s="394"/>
      <c r="E7" s="395" t="str">
        <f>IFERROR(__xludf.DUMMYFUNCTION("""COMPUTED_VALUE"""),"MuNgO PuNgO")</f>
        <v>MuNgO PuNgO</v>
      </c>
      <c r="F7" s="396">
        <f>IFERROR(__xludf.DUMMYFUNCTION("""COMPUTED_VALUE"""),7.405362776025237)</f>
        <v>7.405362776</v>
      </c>
      <c r="G7" s="397"/>
      <c r="H7" s="398" t="str">
        <f>IFERROR(__xludf.DUMMYFUNCTION("""COMPUTED_VALUE"""),"Dhlyn")</f>
        <v>Dhlyn</v>
      </c>
      <c r="I7" s="399">
        <f>IFERROR(__xludf.DUMMYFUNCTION("""COMPUTED_VALUE"""),0.08023999710846857)</f>
        <v>0.08023999711</v>
      </c>
      <c r="J7" s="397"/>
      <c r="K7" s="400" t="str">
        <f>IFERROR(__xludf.DUMMYFUNCTION("""COMPUTED_VALUE"""),"Dhlyn")</f>
        <v>Dhlyn</v>
      </c>
      <c r="L7" s="401">
        <f>IFERROR(__xludf.DUMMYFUNCTION("""COMPUTED_VALUE"""),0.09108323996096432)</f>
        <v>0.09108323996</v>
      </c>
      <c r="M7" s="397"/>
      <c r="N7" s="402" t="str">
        <f>IFERROR(__xludf.DUMMYFUNCTION("""COMPUTED_VALUE"""),"Itzreelz")</f>
        <v>Itzreelz</v>
      </c>
      <c r="O7" s="403">
        <f>IFERROR(__xludf.DUMMYFUNCTION("""COMPUTED_VALUE"""),0.6532796439546467)</f>
        <v>0.653279644</v>
      </c>
      <c r="P7" s="397"/>
      <c r="Q7" s="404" t="str">
        <f>IFERROR(__xludf.DUMMYFUNCTION("""COMPUTED_VALUE"""),"InfiniteRainge")</f>
        <v>InfiniteRainge</v>
      </c>
      <c r="R7" s="405">
        <f>IFERROR(__xludf.DUMMYFUNCTION("""COMPUTED_VALUE"""),0.7370802157647468)</f>
        <v>0.7370802158</v>
      </c>
      <c r="S7" s="397"/>
      <c r="T7" s="406" t="str">
        <f>IFERROR(__xludf.DUMMYFUNCTION("""COMPUTED_VALUE"""),"InfiniteRainge")</f>
        <v>InfiniteRainge</v>
      </c>
      <c r="U7" s="407">
        <f>IFERROR(__xludf.DUMMYFUNCTION("""COMPUTED_VALUE"""),0.040386803185438)</f>
        <v>0.04038680319</v>
      </c>
      <c r="V7" s="397"/>
      <c r="W7" s="408" t="str">
        <f>IFERROR(__xludf.DUMMYFUNCTION("""COMPUTED_VALUE"""),"Mavbrid")</f>
        <v>Mavbrid</v>
      </c>
      <c r="X7" s="409">
        <f>IFERROR(__xludf.DUMMYFUNCTION("""COMPUTED_VALUE"""),0.6997136193203626)</f>
        <v>0.6997136193</v>
      </c>
      <c r="Y7" s="397"/>
      <c r="Z7" s="410" t="str">
        <f>IFERROR(__xludf.DUMMYFUNCTION("""COMPUTED_VALUE"""),"oDhmon")</f>
        <v>oDhmon</v>
      </c>
      <c r="AA7" s="411">
        <f>IFERROR(__xludf.DUMMYFUNCTION("""COMPUTED_VALUE"""),0.4313521578911672)</f>
        <v>0.4313521579</v>
      </c>
      <c r="AB7" s="397"/>
      <c r="AC7" s="410" t="str">
        <f>IFERROR(__xludf.DUMMYFUNCTION("""COMPUTED_VALUE"""),"Scullen cx")</f>
        <v>Scullen cx</v>
      </c>
      <c r="AD7" s="411">
        <f>IFERROR(__xludf.DUMMYFUNCTION("""COMPUTED_VALUE"""),0.07833646466898067)</f>
        <v>0.07833646467</v>
      </c>
      <c r="AE7" s="397"/>
      <c r="AF7" s="410" t="str">
        <f>IFERROR(__xludf.DUMMYFUNCTION("""COMPUTED_VALUE"""),"TommyWstSide")</f>
        <v>TommyWstSide</v>
      </c>
      <c r="AG7" s="412">
        <f>IFERROR(__xludf.DUMMYFUNCTION("""COMPUTED_VALUE"""),96.29411764705883)</f>
        <v>96.29411765</v>
      </c>
      <c r="AH7" s="397"/>
      <c r="AI7" s="413" t="str">
        <f>IFERROR(__xludf.DUMMYFUNCTION("""COMPUTED_VALUE"""),"Solace VIII")</f>
        <v>Solace VIII</v>
      </c>
      <c r="AJ7" s="414">
        <f>IFERROR(__xludf.DUMMYFUNCTION("""COMPUTED_VALUE"""),1.4961416241466765)</f>
        <v>1.496141624</v>
      </c>
      <c r="AK7" s="391" t="s">
        <v>322</v>
      </c>
      <c r="AL7" s="415" t="str">
        <f>IFERROR(__xludf.DUMMYFUNCTION("""COMPUTED_VALUE"""),"ixGingy")</f>
        <v>ixGingy</v>
      </c>
      <c r="AM7" s="415" t="str">
        <f>IFERROR(__xludf.DUMMYFUNCTION("""COMPUTED_VALUE"""),"A")</f>
        <v>A</v>
      </c>
      <c r="AN7" s="416">
        <f>IFERROR(__xludf.DUMMYFUNCTION("""COMPUTED_VALUE"""),20.4)</f>
        <v>20.4</v>
      </c>
      <c r="AO7" s="186"/>
      <c r="AP7" s="417" t="str">
        <f>IFERROR(__xludf.DUMMYFUNCTION("""COMPUTED_VALUE"""),"ixGingy")</f>
        <v>ixGingy</v>
      </c>
      <c r="AQ7" s="418" t="str">
        <f>IFERROR(__xludf.DUMMYFUNCTION("""COMPUTED_VALUE"""),"A+")</f>
        <v>A+</v>
      </c>
      <c r="AR7" s="419">
        <f>IFERROR(__xludf.DUMMYFUNCTION("""COMPUTED_VALUE"""),29.65)</f>
        <v>29.65</v>
      </c>
      <c r="AS7" s="420"/>
      <c r="AT7" s="421" t="str">
        <f>IFERROR(__xludf.DUMMYFUNCTION("""COMPUTED_VALUE"""),"ixGingy")</f>
        <v>ixGingy</v>
      </c>
      <c r="AU7" s="421" t="str">
        <f>IFERROR(__xludf.DUMMYFUNCTION("""COMPUTED_VALUE"""),"A+")</f>
        <v>A+</v>
      </c>
      <c r="AV7" s="421">
        <f>IFERROR(__xludf.DUMMYFUNCTION("""COMPUTED_VALUE"""),29.65)</f>
        <v>29.65</v>
      </c>
      <c r="AW7" s="420"/>
    </row>
    <row r="8">
      <c r="A8" s="422" t="s">
        <v>321</v>
      </c>
      <c r="B8" s="423" t="str">
        <f>IFERROR(__xludf.DUMMYFUNCTION("""COMPUTED_VALUE"""),"InfiniteRainge")</f>
        <v>InfiniteRainge</v>
      </c>
      <c r="C8" s="424">
        <f>IFERROR(__xludf.DUMMYFUNCTION("""COMPUTED_VALUE"""),0.638942056725248)</f>
        <v>0.6389420567</v>
      </c>
      <c r="D8" s="7"/>
      <c r="E8" s="425" t="str">
        <f>IFERROR(__xludf.DUMMYFUNCTION("""COMPUTED_VALUE"""),"ActiveHate")</f>
        <v>ActiveHate</v>
      </c>
      <c r="F8" s="426">
        <f>IFERROR(__xludf.DUMMYFUNCTION("""COMPUTED_VALUE"""),7.370354047304245)</f>
        <v>7.370354047</v>
      </c>
      <c r="G8" s="7"/>
      <c r="H8" s="427" t="str">
        <f>IFERROR(__xludf.DUMMYFUNCTION("""COMPUTED_VALUE"""),"Solace VIII")</f>
        <v>Solace VIII</v>
      </c>
      <c r="I8" s="428">
        <f>IFERROR(__xludf.DUMMYFUNCTION("""COMPUTED_VALUE"""),0.07859097607185461)</f>
        <v>0.07859097607</v>
      </c>
      <c r="J8" s="7"/>
      <c r="K8" s="429" t="str">
        <f>IFERROR(__xludf.DUMMYFUNCTION("""COMPUTED_VALUE"""),"Solace VIII")</f>
        <v>Solace VIII</v>
      </c>
      <c r="L8" s="430">
        <f>IFERROR(__xludf.DUMMYFUNCTION("""COMPUTED_VALUE"""),0.07859097607185461)</f>
        <v>0.07859097607</v>
      </c>
      <c r="M8" s="7"/>
      <c r="N8" s="431" t="str">
        <f>IFERROR(__xludf.DUMMYFUNCTION("""COMPUTED_VALUE"""),"oDhmon")</f>
        <v>oDhmon</v>
      </c>
      <c r="O8" s="432">
        <f>IFERROR(__xludf.DUMMYFUNCTION("""COMPUTED_VALUE"""),0.6307507969163294)</f>
        <v>0.6307507969</v>
      </c>
      <c r="P8" s="7"/>
      <c r="Q8" s="433" t="str">
        <f>IFERROR(__xludf.DUMMYFUNCTION("""COMPUTED_VALUE"""),"Solace VIII")</f>
        <v>Solace VIII</v>
      </c>
      <c r="R8" s="434">
        <f>IFERROR(__xludf.DUMMYFUNCTION("""COMPUTED_VALUE"""),0.7339835800996422)</f>
        <v>0.7339835801</v>
      </c>
      <c r="S8" s="7"/>
      <c r="T8" s="435" t="str">
        <f>IFERROR(__xludf.DUMMYFUNCTION("""COMPUTED_VALUE"""),"ASpence501")</f>
        <v>ASpence501</v>
      </c>
      <c r="U8" s="436">
        <f>IFERROR(__xludf.DUMMYFUNCTION("""COMPUTED_VALUE"""),0.035036965605914495)</f>
        <v>0.03503696561</v>
      </c>
      <c r="V8" s="7"/>
      <c r="W8" s="437" t="str">
        <f>IFERROR(__xludf.DUMMYFUNCTION("""COMPUTED_VALUE"""),"L0RNA SHORE")</f>
        <v>L0RNA SHORE</v>
      </c>
      <c r="X8" s="438">
        <f>IFERROR(__xludf.DUMMYFUNCTION("""COMPUTED_VALUE"""),0.6051924798567592)</f>
        <v>0.6051924799</v>
      </c>
      <c r="Y8" s="7"/>
      <c r="Z8" s="439" t="str">
        <f>IFERROR(__xludf.DUMMYFUNCTION("""COMPUTED_VALUE"""),"Itzreelz")</f>
        <v>Itzreelz</v>
      </c>
      <c r="AA8" s="440">
        <f>IFERROR(__xludf.DUMMYFUNCTION("""COMPUTED_VALUE"""),0.4228038571579951)</f>
        <v>0.4228038572</v>
      </c>
      <c r="AB8" s="7"/>
      <c r="AC8" s="439" t="str">
        <f>IFERROR(__xludf.DUMMYFUNCTION("""COMPUTED_VALUE"""),"Mhurcy")</f>
        <v>Mhurcy</v>
      </c>
      <c r="AD8" s="440">
        <f>IFERROR(__xludf.DUMMYFUNCTION("""COMPUTED_VALUE"""),0.07026995373894712)</f>
        <v>0.07026995374</v>
      </c>
      <c r="AE8" s="7"/>
      <c r="AF8" s="439" t="str">
        <f>IFERROR(__xludf.DUMMYFUNCTION("""COMPUTED_VALUE"""),"ActiveHate")</f>
        <v>ActiveHate</v>
      </c>
      <c r="AG8" s="441">
        <f>IFERROR(__xludf.DUMMYFUNCTION("""COMPUTED_VALUE"""),95.31818181818181)</f>
        <v>95.31818182</v>
      </c>
      <c r="AH8" s="7"/>
      <c r="AI8" s="442" t="str">
        <f>IFERROR(__xludf.DUMMYFUNCTION("""COMPUTED_VALUE"""),"EllisGotMyPills")</f>
        <v>EllisGotMyPills</v>
      </c>
      <c r="AJ8" s="443">
        <f>IFERROR(__xludf.DUMMYFUNCTION("""COMPUTED_VALUE"""),1.4397280323463328)</f>
        <v>1.439728032</v>
      </c>
      <c r="AK8" s="422" t="s">
        <v>321</v>
      </c>
      <c r="AL8" s="444" t="str">
        <f>IFERROR(__xludf.DUMMYFUNCTION("""COMPUTED_VALUE"""),"ASpence501")</f>
        <v>ASpence501</v>
      </c>
      <c r="AM8" s="363" t="str">
        <f>IFERROR(__xludf.DUMMYFUNCTION("""COMPUTED_VALUE"""),"A")</f>
        <v>A</v>
      </c>
      <c r="AN8" s="363">
        <f>IFERROR(__xludf.DUMMYFUNCTION("""COMPUTED_VALUE"""),20.0)</f>
        <v>20</v>
      </c>
      <c r="AO8" s="186"/>
      <c r="AP8" s="163" t="str">
        <f>IFERROR(__xludf.DUMMYFUNCTION("""COMPUTED_VALUE"""),"ASpence501")</f>
        <v>ASpence501</v>
      </c>
      <c r="AQ8" s="390" t="str">
        <f>IFERROR(__xludf.DUMMYFUNCTION("""COMPUTED_VALUE"""),"A+")</f>
        <v>A+</v>
      </c>
      <c r="AR8" s="163">
        <f>IFERROR(__xludf.DUMMYFUNCTION("""COMPUTED_VALUE"""),28.65)</f>
        <v>28.65</v>
      </c>
      <c r="AS8" s="186"/>
      <c r="AT8" s="390" t="str">
        <f>IFERROR(__xludf.DUMMYFUNCTION("""COMPUTED_VALUE"""),"ASpence501")</f>
        <v>ASpence501</v>
      </c>
      <c r="AU8" s="390" t="str">
        <f>IFERROR(__xludf.DUMMYFUNCTION("""COMPUTED_VALUE"""),"A+")</f>
        <v>A+</v>
      </c>
      <c r="AV8" s="390">
        <f>IFERROR(__xludf.DUMMYFUNCTION("""COMPUTED_VALUE"""),28.65)</f>
        <v>28.65</v>
      </c>
      <c r="AW8" s="186"/>
    </row>
    <row r="9">
      <c r="B9" s="423" t="str">
        <f>IFERROR(__xludf.DUMMYFUNCTION("""COMPUTED_VALUE"""),"EllisGotMyPills")</f>
        <v>EllisGotMyPills</v>
      </c>
      <c r="C9" s="424">
        <f>IFERROR(__xludf.DUMMYFUNCTION("""COMPUTED_VALUE"""),0.52425730215528)</f>
        <v>0.5242573022</v>
      </c>
      <c r="D9" s="7"/>
      <c r="E9" s="425" t="str">
        <f>IFERROR(__xludf.DUMMYFUNCTION("""COMPUTED_VALUE"""),"AwareMosquito")</f>
        <v>AwareMosquito</v>
      </c>
      <c r="F9" s="426">
        <f>IFERROR(__xludf.DUMMYFUNCTION("""COMPUTED_VALUE"""),7.229636447307869)</f>
        <v>7.229636447</v>
      </c>
      <c r="G9" s="7"/>
      <c r="H9" s="427" t="str">
        <f>IFERROR(__xludf.DUMMYFUNCTION("""COMPUTED_VALUE"""),"InfiniteRainge")</f>
        <v>InfiniteRainge</v>
      </c>
      <c r="I9" s="428">
        <f>IFERROR(__xludf.DUMMYFUNCTION("""COMPUTED_VALUE"""),0.07099356185836088)</f>
        <v>0.07099356186</v>
      </c>
      <c r="J9" s="7"/>
      <c r="K9" s="429" t="str">
        <f>IFERROR(__xludf.DUMMYFUNCTION("""COMPUTED_VALUE"""),"ixGingy")</f>
        <v>ixGingy</v>
      </c>
      <c r="L9" s="430">
        <f>IFERROR(__xludf.DUMMYFUNCTION("""COMPUTED_VALUE"""),0.0716983723645354)</f>
        <v>0.07169837236</v>
      </c>
      <c r="M9" s="7"/>
      <c r="N9" s="431" t="str">
        <f>IFERROR(__xludf.DUMMYFUNCTION("""COMPUTED_VALUE"""),"ixGingy")</f>
        <v>ixGingy</v>
      </c>
      <c r="O9" s="432">
        <f>IFERROR(__xludf.DUMMYFUNCTION("""COMPUTED_VALUE"""),0.6279788476066204)</f>
        <v>0.6279788476</v>
      </c>
      <c r="P9" s="7"/>
      <c r="Q9" s="433" t="str">
        <f>IFERROR(__xludf.DUMMYFUNCTION("""COMPUTED_VALUE"""),"ASpence501")</f>
        <v>ASpence501</v>
      </c>
      <c r="R9" s="434">
        <f>IFERROR(__xludf.DUMMYFUNCTION("""COMPUTED_VALUE"""),0.711331024245423)</f>
        <v>0.7113310242</v>
      </c>
      <c r="S9" s="7"/>
      <c r="T9" s="435" t="str">
        <f>IFERROR(__xludf.DUMMYFUNCTION("""COMPUTED_VALUE"""),"ixGingy")</f>
        <v>ixGingy</v>
      </c>
      <c r="U9" s="436">
        <f>IFERROR(__xludf.DUMMYFUNCTION("""COMPUTED_VALUE"""),0.034167468719923)</f>
        <v>0.03416746872</v>
      </c>
      <c r="V9" s="7"/>
      <c r="W9" s="437" t="str">
        <f>IFERROR(__xludf.DUMMYFUNCTION("""COMPUTED_VALUE"""),"Doerstopper")</f>
        <v>Doerstopper</v>
      </c>
      <c r="X9" s="438">
        <f>IFERROR(__xludf.DUMMYFUNCTION("""COMPUTED_VALUE"""),0.5151378219611388)</f>
        <v>0.515137822</v>
      </c>
      <c r="Y9" s="7"/>
      <c r="Z9" s="445" t="str">
        <f>IFERROR(__xludf.DUMMYFUNCTION("""COMPUTED_VALUE"""),"L0RNA SHORE")</f>
        <v>L0RNA SHORE</v>
      </c>
      <c r="AA9" s="446">
        <f>IFERROR(__xludf.DUMMYFUNCTION("""COMPUTED_VALUE"""),0.41022034692920767)</f>
        <v>0.4102203469</v>
      </c>
      <c r="AB9" s="7"/>
      <c r="AC9" s="445" t="str">
        <f>IFERROR(__xludf.DUMMYFUNCTION("""COMPUTED_VALUE"""),"L1ght5aber")</f>
        <v>L1ght5aber</v>
      </c>
      <c r="AD9" s="446">
        <f>IFERROR(__xludf.DUMMYFUNCTION("""COMPUTED_VALUE"""),0.06921912178239238)</f>
        <v>0.06921912178</v>
      </c>
      <c r="AE9" s="7"/>
      <c r="AF9" s="445" t="str">
        <f>IFERROR(__xludf.DUMMYFUNCTION("""COMPUTED_VALUE"""),"Itzreelz")</f>
        <v>Itzreelz</v>
      </c>
      <c r="AG9" s="447">
        <f>IFERROR(__xludf.DUMMYFUNCTION("""COMPUTED_VALUE"""),91.76923076923077)</f>
        <v>91.76923077</v>
      </c>
      <c r="AH9" s="7"/>
      <c r="AI9" s="442" t="str">
        <f>IFERROR(__xludf.DUMMYFUNCTION("""COMPUTED_VALUE"""),"InfiniteRainge")</f>
        <v>InfiniteRainge</v>
      </c>
      <c r="AJ9" s="443">
        <f>IFERROR(__xludf.DUMMYFUNCTION("""COMPUTED_VALUE"""),1.389355605823328)</f>
        <v>1.389355606</v>
      </c>
      <c r="AL9" s="444" t="str">
        <f>IFERROR(__xludf.DUMMYFUNCTION("""COMPUTED_VALUE"""),"InfiniteRainge")</f>
        <v>InfiniteRainge</v>
      </c>
      <c r="AM9" s="363" t="str">
        <f>IFERROR(__xludf.DUMMYFUNCTION("""COMPUTED_VALUE"""),"A")</f>
        <v>A</v>
      </c>
      <c r="AN9" s="363">
        <f>IFERROR(__xludf.DUMMYFUNCTION("""COMPUTED_VALUE"""),19.299999999999997)</f>
        <v>19.3</v>
      </c>
      <c r="AO9" s="186"/>
      <c r="AP9" s="163" t="str">
        <f>IFERROR(__xludf.DUMMYFUNCTION("""COMPUTED_VALUE"""),"InfiniteRainge")</f>
        <v>InfiniteRainge</v>
      </c>
      <c r="AQ9" s="390" t="str">
        <f>IFERROR(__xludf.DUMMYFUNCTION("""COMPUTED_VALUE"""),"A")</f>
        <v>A</v>
      </c>
      <c r="AR9" s="163">
        <f>IFERROR(__xludf.DUMMYFUNCTION("""COMPUTED_VALUE"""),27.8)</f>
        <v>27.8</v>
      </c>
      <c r="AS9" s="186"/>
      <c r="AT9" s="390" t="str">
        <f>IFERROR(__xludf.DUMMYFUNCTION("""COMPUTED_VALUE"""),"InfiniteRainge")</f>
        <v>InfiniteRainge</v>
      </c>
      <c r="AU9" s="390" t="str">
        <f>IFERROR(__xludf.DUMMYFUNCTION("""COMPUTED_VALUE"""),"A")</f>
        <v>A</v>
      </c>
      <c r="AV9" s="390">
        <f>IFERROR(__xludf.DUMMYFUNCTION("""COMPUTED_VALUE"""),27.8)</f>
        <v>27.8</v>
      </c>
      <c r="AW9" s="186"/>
    </row>
    <row r="10">
      <c r="B10" s="423" t="str">
        <f>IFERROR(__xludf.DUMMYFUNCTION("""COMPUTED_VALUE"""),"ixGingy")</f>
        <v>ixGingy</v>
      </c>
      <c r="C10" s="424">
        <f>IFERROR(__xludf.DUMMYFUNCTION("""COMPUTED_VALUE"""),0.5208433486711077)</f>
        <v>0.5208433487</v>
      </c>
      <c r="D10" s="7"/>
      <c r="E10" s="425" t="str">
        <f>IFERROR(__xludf.DUMMYFUNCTION("""COMPUTED_VALUE"""),"InfiniteRainge")</f>
        <v>InfiniteRainge</v>
      </c>
      <c r="F10" s="426">
        <f>IFERROR(__xludf.DUMMYFUNCTION("""COMPUTED_VALUE"""),7.212110666434661)</f>
        <v>7.212110666</v>
      </c>
      <c r="G10" s="7"/>
      <c r="H10" s="427" t="str">
        <f>IFERROR(__xludf.DUMMYFUNCTION("""COMPUTED_VALUE"""),"ixGingy")</f>
        <v>ixGingy</v>
      </c>
      <c r="I10" s="428">
        <f>IFERROR(__xludf.DUMMYFUNCTION("""COMPUTED_VALUE"""),0.06922601469679279)</f>
        <v>0.0692260147</v>
      </c>
      <c r="J10" s="7"/>
      <c r="K10" s="429" t="str">
        <f>IFERROR(__xludf.DUMMYFUNCTION("""COMPUTED_VALUE"""),"InfiniteRainge")</f>
        <v>InfiniteRainge</v>
      </c>
      <c r="L10" s="430">
        <f>IFERROR(__xludf.DUMMYFUNCTION("""COMPUTED_VALUE"""),0.07099356185836088)</f>
        <v>0.07099356186</v>
      </c>
      <c r="M10" s="7"/>
      <c r="N10" s="431" t="str">
        <f>IFERROR(__xludf.DUMMYFUNCTION("""COMPUTED_VALUE"""),"Cell x2")</f>
        <v>Cell x2</v>
      </c>
      <c r="O10" s="432">
        <f>IFERROR(__xludf.DUMMYFUNCTION("""COMPUTED_VALUE"""),0.6108407450914584)</f>
        <v>0.6108407451</v>
      </c>
      <c r="P10" s="7"/>
      <c r="Q10" s="433" t="str">
        <f>IFERROR(__xludf.DUMMYFUNCTION("""COMPUTED_VALUE"""),"ixGingy")</f>
        <v>ixGingy</v>
      </c>
      <c r="R10" s="434">
        <f>IFERROR(__xludf.DUMMYFUNCTION("""COMPUTED_VALUE"""),0.61808941693565)</f>
        <v>0.6180894169</v>
      </c>
      <c r="S10" s="7"/>
      <c r="T10" s="435" t="str">
        <f>IFERROR(__xludf.DUMMYFUNCTION("""COMPUTED_VALUE"""),"Dhlyn")</f>
        <v>Dhlyn</v>
      </c>
      <c r="U10" s="436">
        <f>IFERROR(__xludf.DUMMYFUNCTION("""COMPUTED_VALUE"""),0.03409090909090909)</f>
        <v>0.03409090909</v>
      </c>
      <c r="V10" s="7"/>
      <c r="W10" s="437" t="str">
        <f>IFERROR(__xludf.DUMMYFUNCTION("""COMPUTED_VALUE"""),"ixGingy")</f>
        <v>ixGingy</v>
      </c>
      <c r="X10" s="438">
        <f>IFERROR(__xludf.DUMMYFUNCTION("""COMPUTED_VALUE"""),0.489689476988458)</f>
        <v>0.489689477</v>
      </c>
      <c r="Y10" s="7"/>
      <c r="Z10" s="445" t="str">
        <f>IFERROR(__xludf.DUMMYFUNCTION("""COMPUTED_VALUE"""),"Hells Angel cx")</f>
        <v>Hells Angel cx</v>
      </c>
      <c r="AA10" s="446">
        <f>IFERROR(__xludf.DUMMYFUNCTION("""COMPUTED_VALUE"""),0.4031461962232908)</f>
        <v>0.4031461962</v>
      </c>
      <c r="AB10" s="7"/>
      <c r="AC10" s="445" t="str">
        <f>IFERROR(__xludf.DUMMYFUNCTION("""COMPUTED_VALUE"""),"MoldyVolts")</f>
        <v>MoldyVolts</v>
      </c>
      <c r="AD10" s="446">
        <f>IFERROR(__xludf.DUMMYFUNCTION("""COMPUTED_VALUE"""),0.06765820939049286)</f>
        <v>0.06765820939</v>
      </c>
      <c r="AE10" s="7"/>
      <c r="AF10" s="445" t="str">
        <f>IFERROR(__xludf.DUMMYFUNCTION("""COMPUTED_VALUE"""),"Luner Panda")</f>
        <v>Luner Panda</v>
      </c>
      <c r="AG10" s="447">
        <f>IFERROR(__xludf.DUMMYFUNCTION("""COMPUTED_VALUE"""),86.9)</f>
        <v>86.9</v>
      </c>
      <c r="AH10" s="7"/>
      <c r="AI10" s="442" t="str">
        <f>IFERROR(__xludf.DUMMYFUNCTION("""COMPUTED_VALUE"""),"ixGingy")</f>
        <v>ixGingy</v>
      </c>
      <c r="AJ10" s="443">
        <f>IFERROR(__xludf.DUMMYFUNCTION("""COMPUTED_VALUE"""),1.3850866117606038)</f>
        <v>1.385086612</v>
      </c>
      <c r="AL10" s="444" t="str">
        <f>IFERROR(__xludf.DUMMYFUNCTION("""COMPUTED_VALUE"""),"yLuxe")</f>
        <v>yLuxe</v>
      </c>
      <c r="AM10" s="363" t="str">
        <f>IFERROR(__xludf.DUMMYFUNCTION("""COMPUTED_VALUE"""),"B")</f>
        <v>B</v>
      </c>
      <c r="AN10" s="363">
        <f>IFERROR(__xludf.DUMMYFUNCTION("""COMPUTED_VALUE"""),17.6)</f>
        <v>17.6</v>
      </c>
      <c r="AO10" s="186"/>
      <c r="AP10" s="163" t="str">
        <f>IFERROR(__xludf.DUMMYFUNCTION("""COMPUTED_VALUE"""),"yLuxe")</f>
        <v>yLuxe</v>
      </c>
      <c r="AQ10" s="390" t="str">
        <f>IFERROR(__xludf.DUMMYFUNCTION("""COMPUTED_VALUE"""),"A")</f>
        <v>A</v>
      </c>
      <c r="AR10" s="163">
        <f>IFERROR(__xludf.DUMMYFUNCTION("""COMPUTED_VALUE"""),25.3)</f>
        <v>25.3</v>
      </c>
      <c r="AS10" s="186"/>
      <c r="AT10" s="390" t="str">
        <f>IFERROR(__xludf.DUMMYFUNCTION("""COMPUTED_VALUE"""),"yLuxe")</f>
        <v>yLuxe</v>
      </c>
      <c r="AU10" s="390" t="str">
        <f>IFERROR(__xludf.DUMMYFUNCTION("""COMPUTED_VALUE"""),"A")</f>
        <v>A</v>
      </c>
      <c r="AV10" s="390">
        <f>IFERROR(__xludf.DUMMYFUNCTION("""COMPUTED_VALUE"""),25.3)</f>
        <v>25.3</v>
      </c>
      <c r="AW10" s="186"/>
    </row>
    <row r="11">
      <c r="B11" s="423" t="str">
        <f>IFERROR(__xludf.DUMMYFUNCTION("""COMPUTED_VALUE"""),"Dhlyn")</f>
        <v>Dhlyn</v>
      </c>
      <c r="C11" s="424">
        <f>IFERROR(__xludf.DUMMYFUNCTION("""COMPUTED_VALUE"""),0.4250551198178335)</f>
        <v>0.4250551198</v>
      </c>
      <c r="D11" s="7"/>
      <c r="E11" s="425" t="str">
        <f>IFERROR(__xludf.DUMMYFUNCTION("""COMPUTED_VALUE"""),"GodSnipezX")</f>
        <v>GodSnipezX</v>
      </c>
      <c r="F11" s="426">
        <f>IFERROR(__xludf.DUMMYFUNCTION("""COMPUTED_VALUE"""),7.180495247036732)</f>
        <v>7.180495247</v>
      </c>
      <c r="G11" s="7"/>
      <c r="H11" s="427" t="str">
        <f>IFERROR(__xludf.DUMMYFUNCTION("""COMPUTED_VALUE"""),"EllisGotMyPills")</f>
        <v>EllisGotMyPills</v>
      </c>
      <c r="I11" s="428">
        <f>IFERROR(__xludf.DUMMYFUNCTION("""COMPUTED_VALUE"""),0.05991512024631771)</f>
        <v>0.05991512025</v>
      </c>
      <c r="J11" s="7"/>
      <c r="K11" s="429" t="str">
        <f>IFERROR(__xludf.DUMMYFUNCTION("""COMPUTED_VALUE"""),"EllisGotMyPills")</f>
        <v>EllisGotMyPills</v>
      </c>
      <c r="L11" s="430">
        <f>IFERROR(__xludf.DUMMYFUNCTION("""COMPUTED_VALUE"""),0.06490804693351086)</f>
        <v>0.06490804693</v>
      </c>
      <c r="M11" s="7"/>
      <c r="N11" s="431" t="str">
        <f>IFERROR(__xludf.DUMMYFUNCTION("""COMPUTED_VALUE"""),"Hells Angel cx")</f>
        <v>Hells Angel cx</v>
      </c>
      <c r="O11" s="432">
        <f>IFERROR(__xludf.DUMMYFUNCTION("""COMPUTED_VALUE"""),0.5923000987166831)</f>
        <v>0.5923000987</v>
      </c>
      <c r="P11" s="7"/>
      <c r="Q11" s="433" t="str">
        <f>IFERROR(__xludf.DUMMYFUNCTION("""COMPUTED_VALUE"""),"GodSnipezX")</f>
        <v>GodSnipezX</v>
      </c>
      <c r="R11" s="434">
        <f>IFERROR(__xludf.DUMMYFUNCTION("""COMPUTED_VALUE"""),0.5897195164886749)</f>
        <v>0.5897195165</v>
      </c>
      <c r="S11" s="7"/>
      <c r="T11" s="435" t="str">
        <f>IFERROR(__xludf.DUMMYFUNCTION("""COMPUTED_VALUE"""),"Solace VIII")</f>
        <v>Solace VIII</v>
      </c>
      <c r="U11" s="436">
        <f>IFERROR(__xludf.DUMMYFUNCTION("""COMPUTED_VALUE"""),0.03380079108234448)</f>
        <v>0.03380079108</v>
      </c>
      <c r="V11" s="7"/>
      <c r="W11" s="437" t="str">
        <f>IFERROR(__xludf.DUMMYFUNCTION("""COMPUTED_VALUE"""),"Luner Panda")</f>
        <v>Luner Panda</v>
      </c>
      <c r="X11" s="438">
        <f>IFERROR(__xludf.DUMMYFUNCTION("""COMPUTED_VALUE"""),0.3651283942649025)</f>
        <v>0.3651283943</v>
      </c>
      <c r="Y11" s="7"/>
      <c r="Z11" s="445" t="str">
        <f>IFERROR(__xludf.DUMMYFUNCTION("""COMPUTED_VALUE"""),"ixGingy")</f>
        <v>ixGingy</v>
      </c>
      <c r="AA11" s="446">
        <f>IFERROR(__xludf.DUMMYFUNCTION("""COMPUTED_VALUE"""),0.40299429984204377)</f>
        <v>0.4029942998</v>
      </c>
      <c r="AB11" s="7"/>
      <c r="AC11" s="445" t="str">
        <f>IFERROR(__xludf.DUMMYFUNCTION("""COMPUTED_VALUE"""),"Finesse God24")</f>
        <v>Finesse God24</v>
      </c>
      <c r="AD11" s="446">
        <f>IFERROR(__xludf.DUMMYFUNCTION("""COMPUTED_VALUE"""),0.06609142647328806)</f>
        <v>0.06609142647</v>
      </c>
      <c r="AE11" s="7"/>
      <c r="AF11" s="445" t="str">
        <f>IFERROR(__xludf.DUMMYFUNCTION("""COMPUTED_VALUE"""),"ASpence501")</f>
        <v>ASpence501</v>
      </c>
      <c r="AG11" s="447">
        <f>IFERROR(__xludf.DUMMYFUNCTION("""COMPUTED_VALUE"""),86.41666666666667)</f>
        <v>86.41666667</v>
      </c>
      <c r="AH11" s="7"/>
      <c r="AI11" s="442" t="str">
        <f>IFERROR(__xludf.DUMMYFUNCTION("""COMPUTED_VALUE"""),"Dhlyn")</f>
        <v>Dhlyn</v>
      </c>
      <c r="AJ11" s="443">
        <f>IFERROR(__xludf.DUMMYFUNCTION("""COMPUTED_VALUE"""),1.342710683145561)</f>
        <v>1.342710683</v>
      </c>
      <c r="AL11" s="444" t="str">
        <f>IFERROR(__xludf.DUMMYFUNCTION("""COMPUTED_VALUE"""),"Cell x2")</f>
        <v>Cell x2</v>
      </c>
      <c r="AM11" s="363" t="str">
        <f>IFERROR(__xludf.DUMMYFUNCTION("""COMPUTED_VALUE"""),"B")</f>
        <v>B</v>
      </c>
      <c r="AN11" s="363">
        <f>IFERROR(__xludf.DUMMYFUNCTION("""COMPUTED_VALUE"""),17.3)</f>
        <v>17.3</v>
      </c>
      <c r="AO11" s="186"/>
      <c r="AP11" s="163" t="str">
        <f>IFERROR(__xludf.DUMMYFUNCTION("""COMPUTED_VALUE"""),"Cell x2")</f>
        <v>Cell x2</v>
      </c>
      <c r="AQ11" s="390" t="str">
        <f>IFERROR(__xludf.DUMMYFUNCTION("""COMPUTED_VALUE"""),"A-")</f>
        <v>A-</v>
      </c>
      <c r="AR11" s="163">
        <f>IFERROR(__xludf.DUMMYFUNCTION("""COMPUTED_VALUE"""),24.8)</f>
        <v>24.8</v>
      </c>
      <c r="AS11" s="186"/>
      <c r="AT11" s="390" t="str">
        <f>IFERROR(__xludf.DUMMYFUNCTION("""COMPUTED_VALUE"""),"Cell x2")</f>
        <v>Cell x2</v>
      </c>
      <c r="AU11" s="390" t="str">
        <f>IFERROR(__xludf.DUMMYFUNCTION("""COMPUTED_VALUE"""),"A-")</f>
        <v>A-</v>
      </c>
      <c r="AV11" s="390">
        <f>IFERROR(__xludf.DUMMYFUNCTION("""COMPUTED_VALUE"""),24.8)</f>
        <v>24.8</v>
      </c>
      <c r="AW11" s="186"/>
    </row>
    <row r="12">
      <c r="B12" s="423" t="str">
        <f>IFERROR(__xludf.DUMMYFUNCTION("""COMPUTED_VALUE"""),"L0RNA SHORE")</f>
        <v>L0RNA SHORE</v>
      </c>
      <c r="C12" s="424">
        <f>IFERROR(__xludf.DUMMYFUNCTION("""COMPUTED_VALUE"""),0.39615564932020625)</f>
        <v>0.3961556493</v>
      </c>
      <c r="D12" s="7"/>
      <c r="E12" s="425" t="str">
        <f>IFERROR(__xludf.DUMMYFUNCTION("""COMPUTED_VALUE"""),"ADhillyy")</f>
        <v>ADhillyy</v>
      </c>
      <c r="F12" s="426">
        <f>IFERROR(__xludf.DUMMYFUNCTION("""COMPUTED_VALUE"""),7.146454295250922)</f>
        <v>7.146454295</v>
      </c>
      <c r="G12" s="7"/>
      <c r="H12" s="427" t="str">
        <f>IFERROR(__xludf.DUMMYFUNCTION("""COMPUTED_VALUE"""),"ASpence501")</f>
        <v>ASpence501</v>
      </c>
      <c r="I12" s="428">
        <f>IFERROR(__xludf.DUMMYFUNCTION("""COMPUTED_VALUE"""),0.05106382978723404)</f>
        <v>0.05106382979</v>
      </c>
      <c r="J12" s="7"/>
      <c r="K12" s="429" t="str">
        <f>IFERROR(__xludf.DUMMYFUNCTION("""COMPUTED_VALUE"""),"Mavbrid")</f>
        <v>Mavbrid</v>
      </c>
      <c r="L12" s="430">
        <f>IFERROR(__xludf.DUMMYFUNCTION("""COMPUTED_VALUE"""),0.05490226617864652)</f>
        <v>0.05490226618</v>
      </c>
      <c r="M12" s="7"/>
      <c r="N12" s="431" t="str">
        <f>IFERROR(__xludf.DUMMYFUNCTION("""COMPUTED_VALUE"""),"L0RNA SHORE")</f>
        <v>L0RNA SHORE</v>
      </c>
      <c r="O12" s="432">
        <f>IFERROR(__xludf.DUMMYFUNCTION("""COMPUTED_VALUE"""),0.5883731833098922)</f>
        <v>0.5883731833</v>
      </c>
      <c r="P12" s="7"/>
      <c r="Q12" s="433" t="str">
        <f>IFERROR(__xludf.DUMMYFUNCTION("""COMPUTED_VALUE"""),"MealyKitten0")</f>
        <v>MealyKitten0</v>
      </c>
      <c r="R12" s="434">
        <f>IFERROR(__xludf.DUMMYFUNCTION("""COMPUTED_VALUE"""),0.5667389284608239)</f>
        <v>0.5667389285</v>
      </c>
      <c r="S12" s="7"/>
      <c r="T12" s="435" t="str">
        <f>IFERROR(__xludf.DUMMYFUNCTION("""COMPUTED_VALUE"""),"oDhmon")</f>
        <v>oDhmon</v>
      </c>
      <c r="U12" s="436">
        <f>IFERROR(__xludf.DUMMYFUNCTION("""COMPUTED_VALUE"""),0.03253182461103253)</f>
        <v>0.03253182461</v>
      </c>
      <c r="V12" s="7"/>
      <c r="W12" s="437" t="str">
        <f>IFERROR(__xludf.DUMMYFUNCTION("""COMPUTED_VALUE"""),"Laser Wins")</f>
        <v>Laser Wins</v>
      </c>
      <c r="X12" s="438">
        <f>IFERROR(__xludf.DUMMYFUNCTION("""COMPUTED_VALUE"""),0.3285644345319045)</f>
        <v>0.3285644345</v>
      </c>
      <c r="Y12" s="7"/>
      <c r="Z12" s="445" t="str">
        <f>IFERROR(__xludf.DUMMYFUNCTION("""COMPUTED_VALUE"""),"Cell x2")</f>
        <v>Cell x2</v>
      </c>
      <c r="AA12" s="446">
        <f>IFERROR(__xludf.DUMMYFUNCTION("""COMPUTED_VALUE"""),0.40275213962074174)</f>
        <v>0.4027521396</v>
      </c>
      <c r="AB12" s="7"/>
      <c r="AC12" s="445" t="str">
        <f>IFERROR(__xludf.DUMMYFUNCTION("""COMPUTED_VALUE"""),"ixGingy")</f>
        <v>ixGingy</v>
      </c>
      <c r="AD12" s="446">
        <f>IFERROR(__xludf.DUMMYFUNCTION("""COMPUTED_VALUE"""),0.060984822470984135)</f>
        <v>0.06098482247</v>
      </c>
      <c r="AE12" s="7"/>
      <c r="AF12" s="445" t="str">
        <f>IFERROR(__xludf.DUMMYFUNCTION("""COMPUTED_VALUE"""),"EllisGotMyPills")</f>
        <v>EllisGotMyPills</v>
      </c>
      <c r="AG12" s="447">
        <f>IFERROR(__xludf.DUMMYFUNCTION("""COMPUTED_VALUE"""),85.6923076923077)</f>
        <v>85.69230769</v>
      </c>
      <c r="AH12" s="7"/>
      <c r="AI12" s="442" t="str">
        <f>IFERROR(__xludf.DUMMYFUNCTION("""COMPUTED_VALUE"""),"Hells Angel cx")</f>
        <v>Hells Angel cx</v>
      </c>
      <c r="AJ12" s="443">
        <f>IFERROR(__xludf.DUMMYFUNCTION("""COMPUTED_VALUE"""),1.1533171989937268)</f>
        <v>1.153317199</v>
      </c>
      <c r="AL12" s="444" t="str">
        <f>IFERROR(__xludf.DUMMYFUNCTION("""COMPUTED_VALUE"""),"MysticalNovice")</f>
        <v>MysticalNovice</v>
      </c>
      <c r="AM12" s="363" t="str">
        <f>IFERROR(__xludf.DUMMYFUNCTION("""COMPUTED_VALUE"""),"B")</f>
        <v>B</v>
      </c>
      <c r="AN12" s="363">
        <f>IFERROR(__xludf.DUMMYFUNCTION("""COMPUTED_VALUE"""),16.900000000000002)</f>
        <v>16.9</v>
      </c>
      <c r="AO12" s="186"/>
      <c r="AP12" s="163" t="str">
        <f>IFERROR(__xludf.DUMMYFUNCTION("""COMPUTED_VALUE"""),"MysticalNovice")</f>
        <v>MysticalNovice</v>
      </c>
      <c r="AQ12" s="390" t="str">
        <f>IFERROR(__xludf.DUMMYFUNCTION("""COMPUTED_VALUE"""),"A-")</f>
        <v>A-</v>
      </c>
      <c r="AR12" s="163">
        <f>IFERROR(__xludf.DUMMYFUNCTION("""COMPUTED_VALUE"""),24.65)</f>
        <v>24.65</v>
      </c>
      <c r="AS12" s="186"/>
      <c r="AT12" s="390" t="str">
        <f>IFERROR(__xludf.DUMMYFUNCTION("""COMPUTED_VALUE"""),"MysticalNovice")</f>
        <v>MysticalNovice</v>
      </c>
      <c r="AU12" s="390" t="str">
        <f>IFERROR(__xludf.DUMMYFUNCTION("""COMPUTED_VALUE"""),"A-")</f>
        <v>A-</v>
      </c>
      <c r="AV12" s="390">
        <f>IFERROR(__xludf.DUMMYFUNCTION("""COMPUTED_VALUE"""),24.65)</f>
        <v>24.65</v>
      </c>
      <c r="AW12" s="186"/>
    </row>
    <row r="13">
      <c r="B13" s="423" t="str">
        <f>IFERROR(__xludf.DUMMYFUNCTION("""COMPUTED_VALUE"""),"ASpence501")</f>
        <v>ASpence501</v>
      </c>
      <c r="C13" s="424">
        <f>IFERROR(__xludf.DUMMYFUNCTION("""COMPUTED_VALUE"""),0.27550717466600694)</f>
        <v>0.2755071747</v>
      </c>
      <c r="D13" s="7"/>
      <c r="E13" s="425" t="str">
        <f>IFERROR(__xludf.DUMMYFUNCTION("""COMPUTED_VALUE"""),"Finesse God24")</f>
        <v>Finesse God24</v>
      </c>
      <c r="F13" s="426">
        <f>IFERROR(__xludf.DUMMYFUNCTION("""COMPUTED_VALUE"""),7.137874059115109)</f>
        <v>7.137874059</v>
      </c>
      <c r="G13" s="7"/>
      <c r="H13" s="427" t="str">
        <f>IFERROR(__xludf.DUMMYFUNCTION("""COMPUTED_VALUE"""),"Mavbrid")</f>
        <v>Mavbrid</v>
      </c>
      <c r="I13" s="428">
        <f>IFERROR(__xludf.DUMMYFUNCTION("""COMPUTED_VALUE"""),0.05022973288684682)</f>
        <v>0.05022973289</v>
      </c>
      <c r="J13" s="7"/>
      <c r="K13" s="429" t="str">
        <f>IFERROR(__xludf.DUMMYFUNCTION("""COMPUTED_VALUE"""),"Hells Angel cx")</f>
        <v>Hells Angel cx</v>
      </c>
      <c r="L13" s="430">
        <f>IFERROR(__xludf.DUMMYFUNCTION("""COMPUTED_VALUE"""),0.05158742795274337)</f>
        <v>0.05158742795</v>
      </c>
      <c r="M13" s="7"/>
      <c r="N13" s="431" t="str">
        <f>IFERROR(__xludf.DUMMYFUNCTION("""COMPUTED_VALUE"""),"MysticalNovice")</f>
        <v>MysticalNovice</v>
      </c>
      <c r="O13" s="432">
        <f>IFERROR(__xludf.DUMMYFUNCTION("""COMPUTED_VALUE"""),0.58201911829952)</f>
        <v>0.5820191183</v>
      </c>
      <c r="P13" s="7"/>
      <c r="Q13" s="433" t="str">
        <f>IFERROR(__xludf.DUMMYFUNCTION("""COMPUTED_VALUE"""),"Cell x2")</f>
        <v>Cell x2</v>
      </c>
      <c r="R13" s="434">
        <f>IFERROR(__xludf.DUMMYFUNCTION("""COMPUTED_VALUE"""),0.5470716563181742)</f>
        <v>0.5470716563</v>
      </c>
      <c r="S13" s="7"/>
      <c r="T13" s="435" t="str">
        <f>IFERROR(__xludf.DUMMYFUNCTION("""COMPUTED_VALUE"""),"Cell x2")</f>
        <v>Cell x2</v>
      </c>
      <c r="U13" s="436">
        <f>IFERROR(__xludf.DUMMYFUNCTION("""COMPUTED_VALUE"""),0.032224532224532226)</f>
        <v>0.03222453222</v>
      </c>
      <c r="V13" s="7"/>
      <c r="W13" s="437" t="str">
        <f>IFERROR(__xludf.DUMMYFUNCTION("""COMPUTED_VALUE"""),"Dior Glori")</f>
        <v>Dior Glori</v>
      </c>
      <c r="X13" s="438">
        <f>IFERROR(__xludf.DUMMYFUNCTION("""COMPUTED_VALUE"""),0.28618190320317977)</f>
        <v>0.2861819032</v>
      </c>
      <c r="Y13" s="7"/>
      <c r="Z13" s="445" t="str">
        <f>IFERROR(__xludf.DUMMYFUNCTION("""COMPUTED_VALUE"""),"Dhlyn")</f>
        <v>Dhlyn</v>
      </c>
      <c r="AA13" s="446">
        <f>IFERROR(__xludf.DUMMYFUNCTION("""COMPUTED_VALUE"""),0.3946940398308454)</f>
        <v>0.3946940398</v>
      </c>
      <c r="AB13" s="7"/>
      <c r="AC13" s="445" t="str">
        <f>IFERROR(__xludf.DUMMYFUNCTION("""COMPUTED_VALUE"""),"InfiniteRainge")</f>
        <v>InfiniteRainge</v>
      </c>
      <c r="AD13" s="446">
        <f>IFERROR(__xludf.DUMMYFUNCTION("""COMPUTED_VALUE"""),0.058465286236297195)</f>
        <v>0.05846528624</v>
      </c>
      <c r="AE13" s="7"/>
      <c r="AF13" s="445" t="str">
        <f>IFERROR(__xludf.DUMMYFUNCTION("""COMPUTED_VALUE"""),"Mavbrid")</f>
        <v>Mavbrid</v>
      </c>
      <c r="AG13" s="447">
        <f>IFERROR(__xludf.DUMMYFUNCTION("""COMPUTED_VALUE"""),80.6)</f>
        <v>80.6</v>
      </c>
      <c r="AH13" s="7"/>
      <c r="AI13" s="442" t="str">
        <f>IFERROR(__xludf.DUMMYFUNCTION("""COMPUTED_VALUE"""),"L0RNA SHORE")</f>
        <v>L0RNA SHORE</v>
      </c>
      <c r="AJ13" s="443">
        <f>IFERROR(__xludf.DUMMYFUNCTION("""COMPUTED_VALUE"""),1.1005818923912742)</f>
        <v>1.100581892</v>
      </c>
      <c r="AL13" s="444" t="str">
        <f>IFERROR(__xludf.DUMMYFUNCTION("""COMPUTED_VALUE"""),"Beautytism")</f>
        <v>Beautytism</v>
      </c>
      <c r="AM13" s="363" t="str">
        <f>IFERROR(__xludf.DUMMYFUNCTION("""COMPUTED_VALUE"""),"B")</f>
        <v>B</v>
      </c>
      <c r="AN13" s="363">
        <f>IFERROR(__xludf.DUMMYFUNCTION("""COMPUTED_VALUE"""),16.800000000000004)</f>
        <v>16.8</v>
      </c>
      <c r="AO13" s="186"/>
      <c r="AP13" s="163" t="str">
        <f>IFERROR(__xludf.DUMMYFUNCTION("""COMPUTED_VALUE"""),"GodSnipezX")</f>
        <v>GodSnipezX</v>
      </c>
      <c r="AQ13" s="390" t="str">
        <f>IFERROR(__xludf.DUMMYFUNCTION("""COMPUTED_VALUE"""),"B+")</f>
        <v>B+</v>
      </c>
      <c r="AR13" s="163">
        <f>IFERROR(__xludf.DUMMYFUNCTION("""COMPUTED_VALUE"""),23.650000000000002)</f>
        <v>23.65</v>
      </c>
      <c r="AS13" s="186"/>
      <c r="AT13" s="390" t="str">
        <f>IFERROR(__xludf.DUMMYFUNCTION("""COMPUTED_VALUE"""),"GodSnipezX")</f>
        <v>GodSnipezX</v>
      </c>
      <c r="AU13" s="390" t="str">
        <f>IFERROR(__xludf.DUMMYFUNCTION("""COMPUTED_VALUE"""),"B+")</f>
        <v>B+</v>
      </c>
      <c r="AV13" s="390">
        <f>IFERROR(__xludf.DUMMYFUNCTION("""COMPUTED_VALUE"""),23.650000000000002)</f>
        <v>23.65</v>
      </c>
      <c r="AW13" s="186"/>
    </row>
    <row r="14">
      <c r="B14" s="423" t="str">
        <f>IFERROR(__xludf.DUMMYFUNCTION("""COMPUTED_VALUE"""),"Mavbrid")</f>
        <v>Mavbrid</v>
      </c>
      <c r="C14" s="424">
        <f>IFERROR(__xludf.DUMMYFUNCTION("""COMPUTED_VALUE"""),0.23596293123588505)</f>
        <v>0.2359629312</v>
      </c>
      <c r="D14" s="7"/>
      <c r="E14" s="425" t="str">
        <f>IFERROR(__xludf.DUMMYFUNCTION("""COMPUTED_VALUE"""),"Itzreelz")</f>
        <v>Itzreelz</v>
      </c>
      <c r="F14" s="426">
        <f>IFERROR(__xludf.DUMMYFUNCTION("""COMPUTED_VALUE"""),7.112959627000106)</f>
        <v>7.112959627</v>
      </c>
      <c r="G14" s="7"/>
      <c r="H14" s="427" t="str">
        <f>IFERROR(__xludf.DUMMYFUNCTION("""COMPUTED_VALUE"""),"Hells Angel cx")</f>
        <v>Hells Angel cx</v>
      </c>
      <c r="I14" s="428">
        <f>IFERROR(__xludf.DUMMYFUNCTION("""COMPUTED_VALUE"""),0.04585549151354966)</f>
        <v>0.04585549151</v>
      </c>
      <c r="J14" s="7"/>
      <c r="K14" s="429" t="str">
        <f>IFERROR(__xludf.DUMMYFUNCTION("""COMPUTED_VALUE"""),"ASpence501")</f>
        <v>ASpence501</v>
      </c>
      <c r="L14" s="430">
        <f>IFERROR(__xludf.DUMMYFUNCTION("""COMPUTED_VALUE"""),0.05106382978723404)</f>
        <v>0.05106382979</v>
      </c>
      <c r="M14" s="7"/>
      <c r="N14" s="431" t="str">
        <f>IFERROR(__xludf.DUMMYFUNCTION("""COMPUTED_VALUE"""),"Scullen cx")</f>
        <v>Scullen cx</v>
      </c>
      <c r="O14" s="432">
        <f>IFERROR(__xludf.DUMMYFUNCTION("""COMPUTED_VALUE"""),0.5712829984396395)</f>
        <v>0.5712829984</v>
      </c>
      <c r="P14" s="7"/>
      <c r="Q14" s="433" t="str">
        <f>IFERROR(__xludf.DUMMYFUNCTION("""COMPUTED_VALUE"""),"Scullen cx")</f>
        <v>Scullen cx</v>
      </c>
      <c r="R14" s="434">
        <f>IFERROR(__xludf.DUMMYFUNCTION("""COMPUTED_VALUE"""),0.5273381524058212)</f>
        <v>0.5273381524</v>
      </c>
      <c r="S14" s="7"/>
      <c r="T14" s="435" t="str">
        <f>IFERROR(__xludf.DUMMYFUNCTION("""COMPUTED_VALUE"""),"ActiveHate")</f>
        <v>ActiveHate</v>
      </c>
      <c r="U14" s="436">
        <f>IFERROR(__xludf.DUMMYFUNCTION("""COMPUTED_VALUE"""),0.03195040534096328)</f>
        <v>0.03195040534</v>
      </c>
      <c r="V14" s="7"/>
      <c r="W14" s="437" t="str">
        <f>IFERROR(__xludf.DUMMYFUNCTION("""COMPUTED_VALUE"""),"Cell x2")</f>
        <v>Cell x2</v>
      </c>
      <c r="X14" s="438">
        <f>IFERROR(__xludf.DUMMYFUNCTION("""COMPUTED_VALUE"""),0.2280431432973806)</f>
        <v>0.2280431433</v>
      </c>
      <c r="Y14" s="7"/>
      <c r="Z14" s="445" t="str">
        <f>IFERROR(__xludf.DUMMYFUNCTION("""COMPUTED_VALUE"""),"MysticalNovice")</f>
        <v>MysticalNovice</v>
      </c>
      <c r="AA14" s="446">
        <f>IFERROR(__xludf.DUMMYFUNCTION("""COMPUTED_VALUE"""),0.39204614205622557)</f>
        <v>0.3920461421</v>
      </c>
      <c r="AB14" s="7"/>
      <c r="AC14" s="445" t="str">
        <f>IFERROR(__xludf.DUMMYFUNCTION("""COMPUTED_VALUE"""),"ADhillyy")</f>
        <v>ADhillyy</v>
      </c>
      <c r="AD14" s="446">
        <f>IFERROR(__xludf.DUMMYFUNCTION("""COMPUTED_VALUE"""),0.0562159629911577)</f>
        <v>0.05621596299</v>
      </c>
      <c r="AE14" s="7"/>
      <c r="AF14" s="445" t="str">
        <f>IFERROR(__xludf.DUMMYFUNCTION("""COMPUTED_VALUE"""),"Laser Wins")</f>
        <v>Laser Wins</v>
      </c>
      <c r="AG14" s="447">
        <f>IFERROR(__xludf.DUMMYFUNCTION("""COMPUTED_VALUE"""),80.35714285714286)</f>
        <v>80.35714286</v>
      </c>
      <c r="AH14" s="7"/>
      <c r="AI14" s="442" t="str">
        <f>IFERROR(__xludf.DUMMYFUNCTION("""COMPUTED_VALUE"""),"ASpence501")</f>
        <v>ASpence501</v>
      </c>
      <c r="AJ14" s="443">
        <f>IFERROR(__xludf.DUMMYFUNCTION("""COMPUTED_VALUE"""),1.0384511021372365)</f>
        <v>1.038451102</v>
      </c>
      <c r="AL14" s="444" t="str">
        <f>IFERROR(__xludf.DUMMYFUNCTION("""COMPUTED_VALUE"""),"GodSnipezX")</f>
        <v>GodSnipezX</v>
      </c>
      <c r="AM14" s="363" t="str">
        <f>IFERROR(__xludf.DUMMYFUNCTION("""COMPUTED_VALUE"""),"B")</f>
        <v>B</v>
      </c>
      <c r="AN14" s="363">
        <f>IFERROR(__xludf.DUMMYFUNCTION("""COMPUTED_VALUE"""),16.8)</f>
        <v>16.8</v>
      </c>
      <c r="AO14" s="186"/>
      <c r="AP14" s="163" t="str">
        <f>IFERROR(__xludf.DUMMYFUNCTION("""COMPUTED_VALUE"""),"Beautytism")</f>
        <v>Beautytism</v>
      </c>
      <c r="AQ14" s="390" t="str">
        <f>IFERROR(__xludf.DUMMYFUNCTION("""COMPUTED_VALUE"""),"B+")</f>
        <v>B+</v>
      </c>
      <c r="AR14" s="163">
        <f>IFERROR(__xludf.DUMMYFUNCTION("""COMPUTED_VALUE"""),23.55)</f>
        <v>23.55</v>
      </c>
      <c r="AS14" s="186"/>
      <c r="AT14" s="390" t="str">
        <f>IFERROR(__xludf.DUMMYFUNCTION("""COMPUTED_VALUE"""),"Beautytism")</f>
        <v>Beautytism</v>
      </c>
      <c r="AU14" s="390" t="str">
        <f>IFERROR(__xludf.DUMMYFUNCTION("""COMPUTED_VALUE"""),"B+")</f>
        <v>B+</v>
      </c>
      <c r="AV14" s="390">
        <f>IFERROR(__xludf.DUMMYFUNCTION("""COMPUTED_VALUE"""),23.55)</f>
        <v>23.55</v>
      </c>
      <c r="AW14" s="186"/>
    </row>
    <row r="15">
      <c r="B15" s="423" t="str">
        <f>IFERROR(__xludf.DUMMYFUNCTION("""COMPUTED_VALUE"""),"Hells Angel cx")</f>
        <v>Hells Angel cx</v>
      </c>
      <c r="C15" s="424">
        <f>IFERROR(__xludf.DUMMYFUNCTION("""COMPUTED_VALUE"""),0.18151132057446742)</f>
        <v>0.1815113206</v>
      </c>
      <c r="D15" s="7"/>
      <c r="E15" s="425" t="str">
        <f>IFERROR(__xludf.DUMMYFUNCTION("""COMPUTED_VALUE"""),"DlGITAL PAIN")</f>
        <v>DlGITAL PAIN</v>
      </c>
      <c r="F15" s="426">
        <f>IFERROR(__xludf.DUMMYFUNCTION("""COMPUTED_VALUE"""),7.089113688455374)</f>
        <v>7.089113688</v>
      </c>
      <c r="G15" s="7"/>
      <c r="H15" s="427" t="str">
        <f>IFERROR(__xludf.DUMMYFUNCTION("""COMPUTED_VALUE"""),"L0RNA SHORE")</f>
        <v>L0RNA SHORE</v>
      </c>
      <c r="I15" s="428">
        <f>IFERROR(__xludf.DUMMYFUNCTION("""COMPUTED_VALUE"""),0.044538209095171116)</f>
        <v>0.0445382091</v>
      </c>
      <c r="J15" s="7"/>
      <c r="K15" s="429" t="str">
        <f>IFERROR(__xludf.DUMMYFUNCTION("""COMPUTED_VALUE"""),"L0RNA SHORE")</f>
        <v>L0RNA SHORE</v>
      </c>
      <c r="L15" s="430">
        <f>IFERROR(__xludf.DUMMYFUNCTION("""COMPUTED_VALUE"""),0.04688232536333802)</f>
        <v>0.04688232536</v>
      </c>
      <c r="M15" s="7"/>
      <c r="N15" s="431" t="str">
        <f>IFERROR(__xludf.DUMMYFUNCTION("""COMPUTED_VALUE"""),"yLuxe")</f>
        <v>yLuxe</v>
      </c>
      <c r="O15" s="432">
        <f>IFERROR(__xludf.DUMMYFUNCTION("""COMPUTED_VALUE"""),0.5667606833058378)</f>
        <v>0.5667606833</v>
      </c>
      <c r="P15" s="7"/>
      <c r="Q15" s="433" t="str">
        <f>IFERROR(__xludf.DUMMYFUNCTION("""COMPUTED_VALUE"""),"Mhurcy")</f>
        <v>Mhurcy</v>
      </c>
      <c r="R15" s="434">
        <f>IFERROR(__xludf.DUMMYFUNCTION("""COMPUTED_VALUE"""),0.523511155355156)</f>
        <v>0.5235111554</v>
      </c>
      <c r="S15" s="7"/>
      <c r="T15" s="435" t="str">
        <f>IFERROR(__xludf.DUMMYFUNCTION("""COMPUTED_VALUE"""),"Scullen cx")</f>
        <v>Scullen cx</v>
      </c>
      <c r="U15" s="436">
        <f>IFERROR(__xludf.DUMMYFUNCTION("""COMPUTED_VALUE"""),0.030085022890778287)</f>
        <v>0.03008502289</v>
      </c>
      <c r="V15" s="7"/>
      <c r="W15" s="437" t="str">
        <f>IFERROR(__xludf.DUMMYFUNCTION("""COMPUTED_VALUE"""),"Itzreelz")</f>
        <v>Itzreelz</v>
      </c>
      <c r="X15" s="438">
        <f>IFERROR(__xludf.DUMMYFUNCTION("""COMPUTED_VALUE"""),0.16386809629779484)</f>
        <v>0.1638680963</v>
      </c>
      <c r="Y15" s="7"/>
      <c r="Z15" s="445" t="str">
        <f>IFERROR(__xludf.DUMMYFUNCTION("""COMPUTED_VALUE"""),"EllisGotMyPills")</f>
        <v>EllisGotMyPills</v>
      </c>
      <c r="AA15" s="446">
        <f>IFERROR(__xludf.DUMMYFUNCTION("""COMPUTED_VALUE"""),0.3911125904967962)</f>
        <v>0.3911125905</v>
      </c>
      <c r="AB15" s="7"/>
      <c r="AC15" s="445" t="str">
        <f>IFERROR(__xludf.DUMMYFUNCTION("""COMPUTED_VALUE"""),"yLuxe")</f>
        <v>yLuxe</v>
      </c>
      <c r="AD15" s="446">
        <f>IFERROR(__xludf.DUMMYFUNCTION("""COMPUTED_VALUE"""),0.05587781384705444)</f>
        <v>0.05587781385</v>
      </c>
      <c r="AE15" s="7"/>
      <c r="AF15" s="445" t="str">
        <f>IFERROR(__xludf.DUMMYFUNCTION("""COMPUTED_VALUE"""),"oDhmon")</f>
        <v>oDhmon</v>
      </c>
      <c r="AG15" s="447">
        <f>IFERROR(__xludf.DUMMYFUNCTION("""COMPUTED_VALUE"""),76.43243243243244)</f>
        <v>76.43243243</v>
      </c>
      <c r="AH15" s="7"/>
      <c r="AI15" s="442" t="str">
        <f>IFERROR(__xludf.DUMMYFUNCTION("""COMPUTED_VALUE"""),"Mavbrid")</f>
        <v>Mavbrid</v>
      </c>
      <c r="AJ15" s="443">
        <f>IFERROR(__xludf.DUMMYFUNCTION("""COMPUTED_VALUE"""),0.9295281853883208)</f>
        <v>0.9295281854</v>
      </c>
      <c r="AL15" s="444" t="str">
        <f>IFERROR(__xludf.DUMMYFUNCTION("""COMPUTED_VALUE"""),"L0RNA SHORE")</f>
        <v>L0RNA SHORE</v>
      </c>
      <c r="AM15" s="363" t="str">
        <f>IFERROR(__xludf.DUMMYFUNCTION("""COMPUTED_VALUE"""),"B")</f>
        <v>B</v>
      </c>
      <c r="AN15" s="363">
        <f>IFERROR(__xludf.DUMMYFUNCTION("""COMPUTED_VALUE"""),16.6)</f>
        <v>16.6</v>
      </c>
      <c r="AO15" s="186"/>
      <c r="AP15" s="163" t="str">
        <f>IFERROR(__xludf.DUMMYFUNCTION("""COMPUTED_VALUE"""),"oh zilly")</f>
        <v>oh zilly</v>
      </c>
      <c r="AQ15" s="390" t="str">
        <f>IFERROR(__xludf.DUMMYFUNCTION("""COMPUTED_VALUE"""),"B")</f>
        <v>B</v>
      </c>
      <c r="AR15" s="163">
        <f>IFERROR(__xludf.DUMMYFUNCTION("""COMPUTED_VALUE"""),22.9)</f>
        <v>22.9</v>
      </c>
      <c r="AS15" s="186"/>
      <c r="AT15" s="390" t="str">
        <f>IFERROR(__xludf.DUMMYFUNCTION("""COMPUTED_VALUE"""),"oh zilly")</f>
        <v>oh zilly</v>
      </c>
      <c r="AU15" s="390" t="str">
        <f>IFERROR(__xludf.DUMMYFUNCTION("""COMPUTED_VALUE"""),"B")</f>
        <v>B</v>
      </c>
      <c r="AV15" s="390">
        <f>IFERROR(__xludf.DUMMYFUNCTION("""COMPUTED_VALUE"""),22.9)</f>
        <v>22.9</v>
      </c>
      <c r="AW15" s="186"/>
    </row>
    <row r="16">
      <c r="B16" s="423" t="str">
        <f>IFERROR(__xludf.DUMMYFUNCTION("""COMPUTED_VALUE"""),"GodSnipezX")</f>
        <v>GodSnipezX</v>
      </c>
      <c r="C16" s="424">
        <f>IFERROR(__xludf.DUMMYFUNCTION("""COMPUTED_VALUE"""),0.128506043891562)</f>
        <v>0.1285060439</v>
      </c>
      <c r="D16" s="7"/>
      <c r="E16" s="425" t="str">
        <f>IFERROR(__xludf.DUMMYFUNCTION("""COMPUTED_VALUE"""),"Scullen cx")</f>
        <v>Scullen cx</v>
      </c>
      <c r="F16" s="426">
        <f>IFERROR(__xludf.DUMMYFUNCTION("""COMPUTED_VALUE"""),7.042639238289335)</f>
        <v>7.042639238</v>
      </c>
      <c r="G16" s="7"/>
      <c r="H16" s="427" t="str">
        <f>IFERROR(__xludf.DUMMYFUNCTION("""COMPUTED_VALUE"""),"GodSnipezX")</f>
        <v>GodSnipezX</v>
      </c>
      <c r="I16" s="428">
        <f>IFERROR(__xludf.DUMMYFUNCTION("""COMPUTED_VALUE"""),0.04224856237530806)</f>
        <v>0.04224856238</v>
      </c>
      <c r="J16" s="7"/>
      <c r="K16" s="429" t="str">
        <f>IFERROR(__xludf.DUMMYFUNCTION("""COMPUTED_VALUE"""),"GodSnipezX")</f>
        <v>GodSnipezX</v>
      </c>
      <c r="L16" s="430">
        <f>IFERROR(__xludf.DUMMYFUNCTION("""COMPUTED_VALUE"""),0.04224856237530806)</f>
        <v>0.04224856238</v>
      </c>
      <c r="M16" s="7"/>
      <c r="N16" s="431" t="str">
        <f>IFERROR(__xludf.DUMMYFUNCTION("""COMPUTED_VALUE"""),"MealyKitten0")</f>
        <v>MealyKitten0</v>
      </c>
      <c r="O16" s="432">
        <f>IFERROR(__xludf.DUMMYFUNCTION("""COMPUTED_VALUE"""),0.5512542582842986)</f>
        <v>0.5512542583</v>
      </c>
      <c r="P16" s="7"/>
      <c r="Q16" s="433" t="str">
        <f>IFERROR(__xludf.DUMMYFUNCTION("""COMPUTED_VALUE"""),"ActiveHate")</f>
        <v>ActiveHate</v>
      </c>
      <c r="R16" s="434">
        <f>IFERROR(__xludf.DUMMYFUNCTION("""COMPUTED_VALUE"""),0.5185838107830174)</f>
        <v>0.5185838108</v>
      </c>
      <c r="S16" s="7"/>
      <c r="T16" s="435" t="str">
        <f>IFERROR(__xludf.DUMMYFUNCTION("""COMPUTED_VALUE"""),"Mhurcy")</f>
        <v>Mhurcy</v>
      </c>
      <c r="U16" s="436">
        <f>IFERROR(__xludf.DUMMYFUNCTION("""COMPUTED_VALUE"""),0.029036004645760744)</f>
        <v>0.02903600465</v>
      </c>
      <c r="V16" s="7"/>
      <c r="W16" s="437" t="str">
        <f>IFERROR(__xludf.DUMMYFUNCTION("""COMPUTED_VALUE"""),"Scullen cx")</f>
        <v>Scullen cx</v>
      </c>
      <c r="X16" s="438">
        <f>IFERROR(__xludf.DUMMYFUNCTION("""COMPUTED_VALUE"""),0.10507223716304959)</f>
        <v>0.1050722372</v>
      </c>
      <c r="Y16" s="7"/>
      <c r="Z16" s="445" t="str">
        <f>IFERROR(__xludf.DUMMYFUNCTION("""COMPUTED_VALUE"""),"Solace VIII")</f>
        <v>Solace VIII</v>
      </c>
      <c r="AA16" s="446">
        <f>IFERROR(__xludf.DUMMYFUNCTION("""COMPUTED_VALUE"""),0.3901480597852783)</f>
        <v>0.3901480598</v>
      </c>
      <c r="AB16" s="7"/>
      <c r="AC16" s="445" t="str">
        <f>IFERROR(__xludf.DUMMYFUNCTION("""COMPUTED_VALUE"""),"DlGITAL PAIN")</f>
        <v>DlGITAL PAIN</v>
      </c>
      <c r="AD16" s="446">
        <f>IFERROR(__xludf.DUMMYFUNCTION("""COMPUTED_VALUE"""),0.05376807348303376)</f>
        <v>0.05376807348</v>
      </c>
      <c r="AE16" s="7"/>
      <c r="AF16" s="445" t="str">
        <f>IFERROR(__xludf.DUMMYFUNCTION("""COMPUTED_VALUE"""),"MysticalNovice")</f>
        <v>MysticalNovice</v>
      </c>
      <c r="AG16" s="447">
        <f>IFERROR(__xludf.DUMMYFUNCTION("""COMPUTED_VALUE"""),75.13636363636364)</f>
        <v>75.13636364</v>
      </c>
      <c r="AH16" s="7"/>
      <c r="AI16" s="442" t="str">
        <f>IFERROR(__xludf.DUMMYFUNCTION("""COMPUTED_VALUE"""),"GodSnipezX")</f>
        <v>GodSnipezX</v>
      </c>
      <c r="AJ16" s="443">
        <f>IFERROR(__xludf.DUMMYFUNCTION("""COMPUTED_VALUE"""),0.8636801058347825)</f>
        <v>0.8636801058</v>
      </c>
      <c r="AL16" s="444" t="str">
        <f>IFERROR(__xludf.DUMMYFUNCTION("""COMPUTED_VALUE"""),"oh zilly")</f>
        <v>oh zilly</v>
      </c>
      <c r="AM16" s="363" t="str">
        <f>IFERROR(__xludf.DUMMYFUNCTION("""COMPUTED_VALUE"""),"B")</f>
        <v>B</v>
      </c>
      <c r="AN16" s="363">
        <f>IFERROR(__xludf.DUMMYFUNCTION("""COMPUTED_VALUE"""),16.299999999999997)</f>
        <v>16.3</v>
      </c>
      <c r="AO16" s="186"/>
      <c r="AP16" s="163" t="str">
        <f>IFERROR(__xludf.DUMMYFUNCTION("""COMPUTED_VALUE"""),"L0RNA SHORE")</f>
        <v>L0RNA SHORE</v>
      </c>
      <c r="AQ16" s="390" t="str">
        <f>IFERROR(__xludf.DUMMYFUNCTION("""COMPUTED_VALUE"""),"B-")</f>
        <v>B-</v>
      </c>
      <c r="AR16" s="163">
        <f>IFERROR(__xludf.DUMMYFUNCTION("""COMPUTED_VALUE"""),22.400000000000002)</f>
        <v>22.4</v>
      </c>
      <c r="AS16" s="186"/>
      <c r="AT16" s="390" t="str">
        <f>IFERROR(__xludf.DUMMYFUNCTION("""COMPUTED_VALUE"""),"L0RNA SHORE")</f>
        <v>L0RNA SHORE</v>
      </c>
      <c r="AU16" s="390" t="str">
        <f>IFERROR(__xludf.DUMMYFUNCTION("""COMPUTED_VALUE"""),"B-")</f>
        <v>B-</v>
      </c>
      <c r="AV16" s="390">
        <f>IFERROR(__xludf.DUMMYFUNCTION("""COMPUTED_VALUE"""),22.400000000000002)</f>
        <v>22.4</v>
      </c>
      <c r="AW16" s="186"/>
    </row>
    <row r="17">
      <c r="A17" s="448" t="s">
        <v>323</v>
      </c>
      <c r="B17" s="449" t="str">
        <f>IFERROR(__xludf.DUMMYFUNCTION("""COMPUTED_VALUE"""),"Cell x2")</f>
        <v>Cell x2</v>
      </c>
      <c r="C17" s="450">
        <f>IFERROR(__xludf.DUMMYFUNCTION("""COMPUTED_VALUE"""),-0.023493874811209934)</f>
        <v>-0.02349387481</v>
      </c>
      <c r="D17" s="451"/>
      <c r="E17" s="452" t="str">
        <f>IFERROR(__xludf.DUMMYFUNCTION("""COMPUTED_VALUE"""),"oDhmon")</f>
        <v>oDhmon</v>
      </c>
      <c r="F17" s="453">
        <f>IFERROR(__xludf.DUMMYFUNCTION("""COMPUTED_VALUE"""),6.9328329527728165)</f>
        <v>6.932832953</v>
      </c>
      <c r="G17" s="451"/>
      <c r="H17" s="454" t="str">
        <f>IFERROR(__xludf.DUMMYFUNCTION("""COMPUTED_VALUE"""),"L1ght5aber")</f>
        <v>L1ght5aber</v>
      </c>
      <c r="I17" s="455">
        <f>IFERROR(__xludf.DUMMYFUNCTION("""COMPUTED_VALUE"""),0.04109885355829548)</f>
        <v>0.04109885356</v>
      </c>
      <c r="J17" s="451"/>
      <c r="K17" s="456" t="str">
        <f>IFERROR(__xludf.DUMMYFUNCTION("""COMPUTED_VALUE"""),"L1ght5aber")</f>
        <v>L1ght5aber</v>
      </c>
      <c r="L17" s="457">
        <f>IFERROR(__xludf.DUMMYFUNCTION("""COMPUTED_VALUE"""),0.04109885355829548)</f>
        <v>0.04109885356</v>
      </c>
      <c r="M17" s="451"/>
      <c r="N17" s="458" t="str">
        <f>IFERROR(__xludf.DUMMYFUNCTION("""COMPUTED_VALUE"""),"Dior Glori")</f>
        <v>Dior Glori</v>
      </c>
      <c r="O17" s="459">
        <f>IFERROR(__xludf.DUMMYFUNCTION("""COMPUTED_VALUE"""),0.5357695881077733)</f>
        <v>0.5357695881</v>
      </c>
      <c r="P17" s="451"/>
      <c r="Q17" s="460" t="str">
        <f>IFERROR(__xludf.DUMMYFUNCTION("""COMPUTED_VALUE"""),"yLuxe")</f>
        <v>yLuxe</v>
      </c>
      <c r="R17" s="461">
        <f>IFERROR(__xludf.DUMMYFUNCTION("""COMPUTED_VALUE"""),0.47416316321643337)</f>
        <v>0.4741631632</v>
      </c>
      <c r="S17" s="451"/>
      <c r="T17" s="462" t="str">
        <f>IFERROR(__xludf.DUMMYFUNCTION("""COMPUTED_VALUE"""),"GodSnipezX")</f>
        <v>GodSnipezX</v>
      </c>
      <c r="U17" s="463">
        <f>IFERROR(__xludf.DUMMYFUNCTION("""COMPUTED_VALUE"""),0.02864450127877238)</f>
        <v>0.02864450128</v>
      </c>
      <c r="V17" s="451"/>
      <c r="W17" s="464" t="str">
        <f>IFERROR(__xludf.DUMMYFUNCTION("""COMPUTED_VALUE"""),"Mhurcy")</f>
        <v>Mhurcy</v>
      </c>
      <c r="X17" s="465">
        <f>IFERROR(__xludf.DUMMYFUNCTION("""COMPUTED_VALUE"""),0.10277492291880781)</f>
        <v>0.1027749229</v>
      </c>
      <c r="Y17" s="451"/>
      <c r="Z17" s="466" t="str">
        <f>IFERROR(__xludf.DUMMYFUNCTION("""COMPUTED_VALUE"""),"Mavbrid")</f>
        <v>Mavbrid</v>
      </c>
      <c r="AA17" s="467">
        <f>IFERROR(__xludf.DUMMYFUNCTION("""COMPUTED_VALUE"""),0.37146639669807646)</f>
        <v>0.3714663967</v>
      </c>
      <c r="AB17" s="451"/>
      <c r="AC17" s="466" t="str">
        <f>IFERROR(__xludf.DUMMYFUNCTION("""COMPUTED_VALUE"""),"Cell x2")</f>
        <v>Cell x2</v>
      </c>
      <c r="AD17" s="467">
        <f>IFERROR(__xludf.DUMMYFUNCTION("""COMPUTED_VALUE"""),0.05370028528276557)</f>
        <v>0.05370028528</v>
      </c>
      <c r="AE17" s="451"/>
      <c r="AF17" s="466" t="str">
        <f>IFERROR(__xludf.DUMMYFUNCTION("""COMPUTED_VALUE"""),"DlGITAL PAIN")</f>
        <v>DlGITAL PAIN</v>
      </c>
      <c r="AG17" s="468">
        <f>IFERROR(__xludf.DUMMYFUNCTION("""COMPUTED_VALUE"""),71.23076923076923)</f>
        <v>71.23076923</v>
      </c>
      <c r="AH17" s="451"/>
      <c r="AI17" s="469" t="str">
        <f>IFERROR(__xludf.DUMMYFUNCTION("""COMPUTED_VALUE"""),"MysticalNovice")</f>
        <v>MysticalNovice</v>
      </c>
      <c r="AJ17" s="470">
        <f>IFERROR(__xludf.DUMMYFUNCTION("""COMPUTED_VALUE"""),0.7765059134074582)</f>
        <v>0.7765059134</v>
      </c>
      <c r="AK17" s="448" t="s">
        <v>323</v>
      </c>
      <c r="AL17" s="471" t="str">
        <f>IFERROR(__xludf.DUMMYFUNCTION("""COMPUTED_VALUE"""),"SPANKTR0N")</f>
        <v>SPANKTR0N</v>
      </c>
      <c r="AM17" s="472" t="str">
        <f>IFERROR(__xludf.DUMMYFUNCTION("""COMPUTED_VALUE"""),"B")</f>
        <v>B</v>
      </c>
      <c r="AN17" s="472">
        <f>IFERROR(__xludf.DUMMYFUNCTION("""COMPUTED_VALUE"""),15.6)</f>
        <v>15.6</v>
      </c>
      <c r="AO17" s="186"/>
      <c r="AP17" s="171" t="str">
        <f>IFERROR(__xludf.DUMMYFUNCTION("""COMPUTED_VALUE"""),"Dhlyn")</f>
        <v>Dhlyn</v>
      </c>
      <c r="AQ17" s="473" t="str">
        <f>IFERROR(__xludf.DUMMYFUNCTION("""COMPUTED_VALUE"""),"B-")</f>
        <v>B-</v>
      </c>
      <c r="AR17" s="171">
        <f>IFERROR(__xludf.DUMMYFUNCTION("""COMPUTED_VALUE"""),22.05)</f>
        <v>22.05</v>
      </c>
      <c r="AS17" s="186"/>
      <c r="AT17" s="474" t="str">
        <f>IFERROR(__xludf.DUMMYFUNCTION("""COMPUTED_VALUE"""),"Dhlyn")</f>
        <v>Dhlyn</v>
      </c>
      <c r="AU17" s="474" t="str">
        <f>IFERROR(__xludf.DUMMYFUNCTION("""COMPUTED_VALUE"""),"B-")</f>
        <v>B-</v>
      </c>
      <c r="AV17" s="474">
        <f>IFERROR(__xludf.DUMMYFUNCTION("""COMPUTED_VALUE"""),22.05)</f>
        <v>22.05</v>
      </c>
      <c r="AW17" s="186"/>
    </row>
    <row r="18">
      <c r="A18" s="93"/>
      <c r="B18" s="475" t="str">
        <f>IFERROR(__xludf.DUMMYFUNCTION("""COMPUTED_VALUE"""),"Lane Uppy")</f>
        <v>Lane Uppy</v>
      </c>
      <c r="C18" s="476">
        <f>IFERROR(__xludf.DUMMYFUNCTION("""COMPUTED_VALUE"""),-0.09975783424296093)</f>
        <v>-0.09975783424</v>
      </c>
      <c r="D18" s="113"/>
      <c r="E18" s="477" t="str">
        <f>IFERROR(__xludf.DUMMYFUNCTION("""COMPUTED_VALUE"""),"Cell x2")</f>
        <v>Cell x2</v>
      </c>
      <c r="F18" s="478">
        <f>IFERROR(__xludf.DUMMYFUNCTION("""COMPUTED_VALUE"""),6.897130391005202)</f>
        <v>6.897130391</v>
      </c>
      <c r="G18" s="113"/>
      <c r="H18" s="479" t="str">
        <f>IFERROR(__xludf.DUMMYFUNCTION("""COMPUTED_VALUE"""),"Lane Uppy")</f>
        <v>Lane Uppy</v>
      </c>
      <c r="I18" s="480">
        <f>IFERROR(__xludf.DUMMYFUNCTION("""COMPUTED_VALUE"""),0.03469837712798641)</f>
        <v>0.03469837713</v>
      </c>
      <c r="J18" s="113"/>
      <c r="K18" s="481" t="str">
        <f>IFERROR(__xludf.DUMMYFUNCTION("""COMPUTED_VALUE"""),"Lane Uppy")</f>
        <v>Lane Uppy</v>
      </c>
      <c r="L18" s="482">
        <f>IFERROR(__xludf.DUMMYFUNCTION("""COMPUTED_VALUE"""),0.03469837712798641)</f>
        <v>0.03469837713</v>
      </c>
      <c r="M18" s="113"/>
      <c r="N18" s="483" t="str">
        <f>IFERROR(__xludf.DUMMYFUNCTION("""COMPUTED_VALUE"""),"L1ght5aber")</f>
        <v>L1ght5aber</v>
      </c>
      <c r="O18" s="484">
        <f>IFERROR(__xludf.DUMMYFUNCTION("""COMPUTED_VALUE"""),0.5321219987021415)</f>
        <v>0.5321219987</v>
      </c>
      <c r="P18" s="113"/>
      <c r="Q18" s="485" t="str">
        <f>IFERROR(__xludf.DUMMYFUNCTION("""COMPUTED_VALUE"""),"Dhlyn")</f>
        <v>Dhlyn</v>
      </c>
      <c r="R18" s="486">
        <f>IFERROR(__xludf.DUMMYFUNCTION("""COMPUTED_VALUE"""),0.4705967397983157)</f>
        <v>0.4705967398</v>
      </c>
      <c r="S18" s="113"/>
      <c r="T18" s="487" t="str">
        <f>IFERROR(__xludf.DUMMYFUNCTION("""COMPUTED_VALUE"""),"MuNgO PuNgO")</f>
        <v>MuNgO PuNgO</v>
      </c>
      <c r="U18" s="488">
        <f>IFERROR(__xludf.DUMMYFUNCTION("""COMPUTED_VALUE"""),0.027522935779816515)</f>
        <v>0.02752293578</v>
      </c>
      <c r="V18" s="113"/>
      <c r="W18" s="489" t="str">
        <f>IFERROR(__xludf.DUMMYFUNCTION("""COMPUTED_VALUE"""),"oDhmon")</f>
        <v>oDhmon</v>
      </c>
      <c r="X18" s="490">
        <f>IFERROR(__xludf.DUMMYFUNCTION("""COMPUTED_VALUE"""),0.0994807801387495)</f>
        <v>0.09948078014</v>
      </c>
      <c r="Y18" s="113"/>
      <c r="Z18" s="445" t="str">
        <f>IFERROR(__xludf.DUMMYFUNCTION("""COMPUTED_VALUE"""),"CaptainSev004")</f>
        <v>CaptainSev004</v>
      </c>
      <c r="AA18" s="491">
        <f>IFERROR(__xludf.DUMMYFUNCTION("""COMPUTED_VALUE"""),0.3502702702702703)</f>
        <v>0.3502702703</v>
      </c>
      <c r="AB18" s="113"/>
      <c r="AC18" s="445" t="str">
        <f>IFERROR(__xludf.DUMMYFUNCTION("""COMPUTED_VALUE"""),"MysticalNovice")</f>
        <v>MysticalNovice</v>
      </c>
      <c r="AD18" s="491">
        <f>IFERROR(__xludf.DUMMYFUNCTION("""COMPUTED_VALUE"""),0.05324083410640101)</f>
        <v>0.05324083411</v>
      </c>
      <c r="AE18" s="113"/>
      <c r="AF18" s="445" t="str">
        <f>IFERROR(__xludf.DUMMYFUNCTION("""COMPUTED_VALUE"""),"Dhlyn")</f>
        <v>Dhlyn</v>
      </c>
      <c r="AG18" s="492">
        <f>IFERROR(__xludf.DUMMYFUNCTION("""COMPUTED_VALUE"""),68.44444444444444)</f>
        <v>68.44444444</v>
      </c>
      <c r="AH18" s="113"/>
      <c r="AI18" s="493" t="str">
        <f>IFERROR(__xludf.DUMMYFUNCTION("""COMPUTED_VALUE"""),"Cell x2")</f>
        <v>Cell x2</v>
      </c>
      <c r="AJ18" s="494">
        <f>IFERROR(__xludf.DUMMYFUNCTION("""COMPUTED_VALUE"""),0.7389623968915797)</f>
        <v>0.7389623969</v>
      </c>
      <c r="AK18" s="7"/>
      <c r="AL18" s="444" t="str">
        <f>IFERROR(__xludf.DUMMYFUNCTION("""COMPUTED_VALUE"""),"Dhlyn")</f>
        <v>Dhlyn</v>
      </c>
      <c r="AM18" s="363" t="str">
        <f>IFERROR(__xludf.DUMMYFUNCTION("""COMPUTED_VALUE"""),"B")</f>
        <v>B</v>
      </c>
      <c r="AN18" s="495">
        <f>IFERROR(__xludf.DUMMYFUNCTION("""COMPUTED_VALUE"""),15.400000000000002)</f>
        <v>15.4</v>
      </c>
      <c r="AO18" s="186"/>
      <c r="AP18" s="163" t="str">
        <f>IFERROR(__xludf.DUMMYFUNCTION("""COMPUTED_VALUE"""),"SPANKTR0N")</f>
        <v>SPANKTR0N</v>
      </c>
      <c r="AQ18" s="390" t="str">
        <f>IFERROR(__xludf.DUMMYFUNCTION("""COMPUTED_VALUE"""),"C+")</f>
        <v>C+</v>
      </c>
      <c r="AR18" s="475">
        <f>IFERROR(__xludf.DUMMYFUNCTION("""COMPUTED_VALUE"""),21.599999999999998)</f>
        <v>21.6</v>
      </c>
      <c r="AS18" s="186"/>
      <c r="AT18" s="390" t="str">
        <f>IFERROR(__xludf.DUMMYFUNCTION("""COMPUTED_VALUE"""),"SPANKTR0N")</f>
        <v>SPANKTR0N</v>
      </c>
      <c r="AU18" s="390" t="str">
        <f>IFERROR(__xludf.DUMMYFUNCTION("""COMPUTED_VALUE"""),"C+")</f>
        <v>C+</v>
      </c>
      <c r="AV18" s="390">
        <f>IFERROR(__xludf.DUMMYFUNCTION("""COMPUTED_VALUE"""),21.599999999999998)</f>
        <v>21.6</v>
      </c>
      <c r="AW18" s="186"/>
    </row>
    <row r="19">
      <c r="A19" s="93"/>
      <c r="B19" s="475" t="str">
        <f>IFERROR(__xludf.DUMMYFUNCTION("""COMPUTED_VALUE"""),"L1ght5aber")</f>
        <v>L1ght5aber</v>
      </c>
      <c r="C19" s="476">
        <f>IFERROR(__xludf.DUMMYFUNCTION("""COMPUTED_VALUE"""),-0.11031797534068787)</f>
        <v>-0.1103179753</v>
      </c>
      <c r="D19" s="113"/>
      <c r="E19" s="477" t="str">
        <f>IFERROR(__xludf.DUMMYFUNCTION("""COMPUTED_VALUE"""),"ixGingy")</f>
        <v>ixGingy</v>
      </c>
      <c r="F19" s="478">
        <f>IFERROR(__xludf.DUMMYFUNCTION("""COMPUTED_VALUE"""),6.779204724950209)</f>
        <v>6.779204725</v>
      </c>
      <c r="G19" s="113"/>
      <c r="H19" s="479" t="str">
        <f>IFERROR(__xludf.DUMMYFUNCTION("""COMPUTED_VALUE"""),"Cell x2")</f>
        <v>Cell x2</v>
      </c>
      <c r="I19" s="480">
        <f>IFERROR(__xludf.DUMMYFUNCTION("""COMPUTED_VALUE"""),0.03020641047155563)</f>
        <v>0.03020641047</v>
      </c>
      <c r="J19" s="113"/>
      <c r="K19" s="481" t="str">
        <f>IFERROR(__xludf.DUMMYFUNCTION("""COMPUTED_VALUE"""),"Cell x2")</f>
        <v>Cell x2</v>
      </c>
      <c r="L19" s="482">
        <f>IFERROR(__xludf.DUMMYFUNCTION("""COMPUTED_VALUE"""),0.03020641047155563)</f>
        <v>0.03020641047</v>
      </c>
      <c r="M19" s="113"/>
      <c r="N19" s="483" t="str">
        <f>IFERROR(__xludf.DUMMYFUNCTION("""COMPUTED_VALUE"""),"Mavbrid")</f>
        <v>Mavbrid</v>
      </c>
      <c r="O19" s="484">
        <f>IFERROR(__xludf.DUMMYFUNCTION("""COMPUTED_VALUE"""),0.5291643952963164)</f>
        <v>0.5291643953</v>
      </c>
      <c r="P19" s="113"/>
      <c r="Q19" s="485" t="str">
        <f>IFERROR(__xludf.DUMMYFUNCTION("""COMPUTED_VALUE"""),"Lane Uppy")</f>
        <v>Lane Uppy</v>
      </c>
      <c r="R19" s="486">
        <f>IFERROR(__xludf.DUMMYFUNCTION("""COMPUTED_VALUE"""),0.46409079408681825)</f>
        <v>0.4640907941</v>
      </c>
      <c r="S19" s="113"/>
      <c r="T19" s="487" t="str">
        <f>IFERROR(__xludf.DUMMYFUNCTION("""COMPUTED_VALUE"""),"MealyKitten0")</f>
        <v>MealyKitten0</v>
      </c>
      <c r="U19" s="488">
        <f>IFERROR(__xludf.DUMMYFUNCTION("""COMPUTED_VALUE"""),0.027385159010600707)</f>
        <v>0.02738515901</v>
      </c>
      <c r="V19" s="113"/>
      <c r="W19" s="489" t="str">
        <f>IFERROR(__xludf.DUMMYFUNCTION("""COMPUTED_VALUE"""),"AwareMosquito")</f>
        <v>AwareMosquito</v>
      </c>
      <c r="X19" s="490">
        <f>IFERROR(__xludf.DUMMYFUNCTION("""COMPUTED_VALUE"""),0.08651766402307139)</f>
        <v>0.08651766402</v>
      </c>
      <c r="Y19" s="113"/>
      <c r="Z19" s="445" t="str">
        <f>IFERROR(__xludf.DUMMYFUNCTION("""COMPUTED_VALUE"""),"Scullen cx")</f>
        <v>Scullen cx</v>
      </c>
      <c r="AA19" s="491">
        <f>IFERROR(__xludf.DUMMYFUNCTION("""COMPUTED_VALUE"""),0.34773747731108495)</f>
        <v>0.3477374773</v>
      </c>
      <c r="AB19" s="113"/>
      <c r="AC19" s="445" t="str">
        <f>IFERROR(__xludf.DUMMYFUNCTION("""COMPUTED_VALUE"""),"Almighty Tycoon")</f>
        <v>Almighty Tycoon</v>
      </c>
      <c r="AD19" s="491">
        <f>IFERROR(__xludf.DUMMYFUNCTION("""COMPUTED_VALUE"""),0.052246190381951316)</f>
        <v>0.05224619038</v>
      </c>
      <c r="AE19" s="113"/>
      <c r="AF19" s="445" t="str">
        <f>IFERROR(__xludf.DUMMYFUNCTION("""COMPUTED_VALUE"""),"InfiniteRainge")</f>
        <v>InfiniteRainge</v>
      </c>
      <c r="AG19" s="492">
        <f>IFERROR(__xludf.DUMMYFUNCTION("""COMPUTED_VALUE"""),62.785714285714285)</f>
        <v>62.78571429</v>
      </c>
      <c r="AH19" s="113"/>
      <c r="AI19" s="493" t="str">
        <f>IFERROR(__xludf.DUMMYFUNCTION("""COMPUTED_VALUE"""),"MealyKitten0")</f>
        <v>MealyKitten0</v>
      </c>
      <c r="AJ19" s="494">
        <f>IFERROR(__xludf.DUMMYFUNCTION("""COMPUTED_VALUE"""),0.4740299960182277)</f>
        <v>0.474029996</v>
      </c>
      <c r="AK19" s="7"/>
      <c r="AL19" s="444" t="str">
        <f>IFERROR(__xludf.DUMMYFUNCTION("""COMPUTED_VALUE"""),"MealyKitten0")</f>
        <v>MealyKitten0</v>
      </c>
      <c r="AM19" s="363" t="str">
        <f>IFERROR(__xludf.DUMMYFUNCTION("""COMPUTED_VALUE"""),"C")</f>
        <v>C</v>
      </c>
      <c r="AN19" s="495">
        <f>IFERROR(__xludf.DUMMYFUNCTION("""COMPUTED_VALUE"""),14.900000000000002)</f>
        <v>14.9</v>
      </c>
      <c r="AO19" s="186"/>
      <c r="AP19" s="163" t="str">
        <f>IFERROR(__xludf.DUMMYFUNCTION("""COMPUTED_VALUE"""),"Hells Angel cx")</f>
        <v>Hells Angel cx</v>
      </c>
      <c r="AQ19" s="390" t="str">
        <f>IFERROR(__xludf.DUMMYFUNCTION("""COMPUTED_VALUE"""),"C+")</f>
        <v>C+</v>
      </c>
      <c r="AR19" s="475">
        <f>IFERROR(__xludf.DUMMYFUNCTION("""COMPUTED_VALUE"""),20.599999999999998)</f>
        <v>20.6</v>
      </c>
      <c r="AS19" s="186"/>
      <c r="AT19" s="390" t="str">
        <f>IFERROR(__xludf.DUMMYFUNCTION("""COMPUTED_VALUE"""),"Hells Angel cx")</f>
        <v>Hells Angel cx</v>
      </c>
      <c r="AU19" s="390" t="str">
        <f>IFERROR(__xludf.DUMMYFUNCTION("""COMPUTED_VALUE"""),"C+")</f>
        <v>C+</v>
      </c>
      <c r="AV19" s="390">
        <f>IFERROR(__xludf.DUMMYFUNCTION("""COMPUTED_VALUE"""),20.599999999999998)</f>
        <v>20.6</v>
      </c>
      <c r="AW19" s="186"/>
    </row>
    <row r="20">
      <c r="A20" s="93"/>
      <c r="B20" s="475" t="str">
        <f>IFERROR(__xludf.DUMMYFUNCTION("""COMPUTED_VALUE"""),"MysticalNovice")</f>
        <v>MysticalNovice</v>
      </c>
      <c r="C20" s="476">
        <f>IFERROR(__xludf.DUMMYFUNCTION("""COMPUTED_VALUE"""),-0.14641229379260276)</f>
        <v>-0.1464122938</v>
      </c>
      <c r="D20" s="113"/>
      <c r="E20" s="477" t="str">
        <f>IFERROR(__xludf.DUMMYFUNCTION("""COMPUTED_VALUE"""),"TommyWstSide")</f>
        <v>TommyWstSide</v>
      </c>
      <c r="F20" s="478">
        <f>IFERROR(__xludf.DUMMYFUNCTION("""COMPUTED_VALUE"""),6.77208762512694)</f>
        <v>6.772087625</v>
      </c>
      <c r="G20" s="113"/>
      <c r="H20" s="479" t="str">
        <f>IFERROR(__xludf.DUMMYFUNCTION("""COMPUTED_VALUE"""),"ActiveHate")</f>
        <v>ActiveHate</v>
      </c>
      <c r="I20" s="480">
        <f>IFERROR(__xludf.DUMMYFUNCTION("""COMPUTED_VALUE"""),0.027912443073306887)</f>
        <v>0.02791244307</v>
      </c>
      <c r="J20" s="113"/>
      <c r="K20" s="481" t="str">
        <f>IFERROR(__xludf.DUMMYFUNCTION("""COMPUTED_VALUE"""),"ActiveHate")</f>
        <v>ActiveHate</v>
      </c>
      <c r="L20" s="482">
        <f>IFERROR(__xludf.DUMMYFUNCTION("""COMPUTED_VALUE"""),0.027912443073306887)</f>
        <v>0.02791244307</v>
      </c>
      <c r="M20" s="113"/>
      <c r="N20" s="483" t="str">
        <f>IFERROR(__xludf.DUMMYFUNCTION("""COMPUTED_VALUE"""),"CaptainSev004")</f>
        <v>CaptainSev004</v>
      </c>
      <c r="O20" s="484">
        <f>IFERROR(__xludf.DUMMYFUNCTION("""COMPUTED_VALUE"""),0.5221621621621622)</f>
        <v>0.5221621622</v>
      </c>
      <c r="P20" s="113"/>
      <c r="Q20" s="485" t="str">
        <f>IFERROR(__xludf.DUMMYFUNCTION("""COMPUTED_VALUE"""),"Finesse God24")</f>
        <v>Finesse God24</v>
      </c>
      <c r="R20" s="486">
        <f>IFERROR(__xludf.DUMMYFUNCTION("""COMPUTED_VALUE"""),0.45162474756746834)</f>
        <v>0.4516247476</v>
      </c>
      <c r="S20" s="113"/>
      <c r="T20" s="487" t="str">
        <f>IFERROR(__xludf.DUMMYFUNCTION("""COMPUTED_VALUE"""),"ADhillyy")</f>
        <v>ADhillyy</v>
      </c>
      <c r="U20" s="488">
        <f>IFERROR(__xludf.DUMMYFUNCTION("""COMPUTED_VALUE"""),0.02706027060270603)</f>
        <v>0.0270602706</v>
      </c>
      <c r="V20" s="113"/>
      <c r="W20" s="489" t="str">
        <f>IFERROR(__xludf.DUMMYFUNCTION("""COMPUTED_VALUE"""),"Solace VIII")</f>
        <v>Solace VIII</v>
      </c>
      <c r="X20" s="490">
        <f>IFERROR(__xludf.DUMMYFUNCTION("""COMPUTED_VALUE"""),0.07229418170864518)</f>
        <v>0.07229418171</v>
      </c>
      <c r="Y20" s="113"/>
      <c r="Z20" s="445" t="str">
        <f>IFERROR(__xludf.DUMMYFUNCTION("""COMPUTED_VALUE"""),"Almighty Tycoon")</f>
        <v>Almighty Tycoon</v>
      </c>
      <c r="AA20" s="491">
        <f>IFERROR(__xludf.DUMMYFUNCTION("""COMPUTED_VALUE"""),0.3277261033049674)</f>
        <v>0.3277261033</v>
      </c>
      <c r="AB20" s="113"/>
      <c r="AC20" s="445" t="str">
        <f>IFERROR(__xludf.DUMMYFUNCTION("""COMPUTED_VALUE"""),"Lane Uppy")</f>
        <v>Lane Uppy</v>
      </c>
      <c r="AD20" s="491">
        <f>IFERROR(__xludf.DUMMYFUNCTION("""COMPUTED_VALUE"""),0.052047565691979616)</f>
        <v>0.05204756569</v>
      </c>
      <c r="AE20" s="113"/>
      <c r="AF20" s="445" t="str">
        <f>IFERROR(__xludf.DUMMYFUNCTION("""COMPUTED_VALUE"""),"Cell x2")</f>
        <v>Cell x2</v>
      </c>
      <c r="AG20" s="492">
        <f>IFERROR(__xludf.DUMMYFUNCTION("""COMPUTED_VALUE"""),60.125)</f>
        <v>60.125</v>
      </c>
      <c r="AH20" s="113"/>
      <c r="AI20" s="493" t="str">
        <f>IFERROR(__xludf.DUMMYFUNCTION("""COMPUTED_VALUE"""),"Lane Uppy")</f>
        <v>Lane Uppy</v>
      </c>
      <c r="AJ20" s="494">
        <f>IFERROR(__xludf.DUMMYFUNCTION("""COMPUTED_VALUE"""),0.41139178337326904)</f>
        <v>0.4113917834</v>
      </c>
      <c r="AK20" s="7"/>
      <c r="AL20" s="444" t="str">
        <f>IFERROR(__xludf.DUMMYFUNCTION("""COMPUTED_VALUE"""),"Hells Angel cx")</f>
        <v>Hells Angel cx</v>
      </c>
      <c r="AM20" s="363" t="str">
        <f>IFERROR(__xludf.DUMMYFUNCTION("""COMPUTED_VALUE"""),"C")</f>
        <v>C</v>
      </c>
      <c r="AN20" s="495">
        <f>IFERROR(__xludf.DUMMYFUNCTION("""COMPUTED_VALUE"""),14.3)</f>
        <v>14.3</v>
      </c>
      <c r="AO20" s="186"/>
      <c r="AP20" s="163" t="str">
        <f>IFERROR(__xludf.DUMMYFUNCTION("""COMPUTED_VALUE"""),"MealyKitten0")</f>
        <v>MealyKitten0</v>
      </c>
      <c r="AQ20" s="390" t="str">
        <f>IFERROR(__xludf.DUMMYFUNCTION("""COMPUTED_VALUE"""),"C")</f>
        <v>C</v>
      </c>
      <c r="AR20" s="475">
        <f>IFERROR(__xludf.DUMMYFUNCTION("""COMPUTED_VALUE"""),20.5)</f>
        <v>20.5</v>
      </c>
      <c r="AS20" s="186"/>
      <c r="AT20" s="390" t="str">
        <f>IFERROR(__xludf.DUMMYFUNCTION("""COMPUTED_VALUE"""),"MealyKitten0")</f>
        <v>MealyKitten0</v>
      </c>
      <c r="AU20" s="390" t="str">
        <f>IFERROR(__xludf.DUMMYFUNCTION("""COMPUTED_VALUE"""),"C")</f>
        <v>C</v>
      </c>
      <c r="AV20" s="390">
        <f>IFERROR(__xludf.DUMMYFUNCTION("""COMPUTED_VALUE"""),20.5)</f>
        <v>20.5</v>
      </c>
      <c r="AW20" s="186"/>
    </row>
    <row r="21">
      <c r="A21" s="93"/>
      <c r="B21" s="475" t="str">
        <f>IFERROR(__xludf.DUMMYFUNCTION("""COMPUTED_VALUE"""),"MealyKitten0")</f>
        <v>MealyKitten0</v>
      </c>
      <c r="C21" s="476">
        <f>IFERROR(__xludf.DUMMYFUNCTION("""COMPUTED_VALUE"""),-0.16413750387116754)</f>
        <v>-0.1641375039</v>
      </c>
      <c r="D21" s="113"/>
      <c r="E21" s="477" t="str">
        <f>IFERROR(__xludf.DUMMYFUNCTION("""COMPUTED_VALUE"""),"Mhurcy")</f>
        <v>Mhurcy</v>
      </c>
      <c r="F21" s="478">
        <f>IFERROR(__xludf.DUMMYFUNCTION("""COMPUTED_VALUE"""),6.679159102886924)</f>
        <v>6.679159103</v>
      </c>
      <c r="G21" s="113"/>
      <c r="H21" s="479" t="str">
        <f>IFERROR(__xludf.DUMMYFUNCTION("""COMPUTED_VALUE"""),"MysticalNovice")</f>
        <v>MysticalNovice</v>
      </c>
      <c r="I21" s="480">
        <f>IFERROR(__xludf.DUMMYFUNCTION("""COMPUTED_VALUE"""),0.02783043601016416)</f>
        <v>0.02783043601</v>
      </c>
      <c r="J21" s="113"/>
      <c r="K21" s="481" t="str">
        <f>IFERROR(__xludf.DUMMYFUNCTION("""COMPUTED_VALUE"""),"MysticalNovice")</f>
        <v>MysticalNovice</v>
      </c>
      <c r="L21" s="482">
        <f>IFERROR(__xludf.DUMMYFUNCTION("""COMPUTED_VALUE"""),0.02783043601016416)</f>
        <v>0.02783043601</v>
      </c>
      <c r="M21" s="113"/>
      <c r="N21" s="483" t="str">
        <f>IFERROR(__xludf.DUMMYFUNCTION("""COMPUTED_VALUE"""),"Dhlyn")</f>
        <v>Dhlyn</v>
      </c>
      <c r="O21" s="484">
        <f>IFERROR(__xludf.DUMMYFUNCTION("""COMPUTED_VALUE"""),0.5204756569197961)</f>
        <v>0.5204756569</v>
      </c>
      <c r="P21" s="113"/>
      <c r="Q21" s="485" t="str">
        <f>IFERROR(__xludf.DUMMYFUNCTION("""COMPUTED_VALUE"""),"ADhillyy")</f>
        <v>ADhillyy</v>
      </c>
      <c r="R21" s="486">
        <f>IFERROR(__xludf.DUMMYFUNCTION("""COMPUTED_VALUE"""),0.4391872108684195)</f>
        <v>0.4391872109</v>
      </c>
      <c r="S21" s="113"/>
      <c r="T21" s="487" t="str">
        <f>IFERROR(__xludf.DUMMYFUNCTION("""COMPUTED_VALUE"""),"L1ght5aber")</f>
        <v>L1ght5aber</v>
      </c>
      <c r="U21" s="488">
        <f>IFERROR(__xludf.DUMMYFUNCTION("""COMPUTED_VALUE"""),0.025787965616045846)</f>
        <v>0.02578796562</v>
      </c>
      <c r="V21" s="113"/>
      <c r="W21" s="489" t="str">
        <f>IFERROR(__xludf.DUMMYFUNCTION("""COMPUTED_VALUE"""),"GodSnipezX")</f>
        <v>GodSnipezX</v>
      </c>
      <c r="X21" s="490">
        <f>IFERROR(__xludf.DUMMYFUNCTION("""COMPUTED_VALUE"""),0.06969248192351249)</f>
        <v>0.06969248192</v>
      </c>
      <c r="Y21" s="113"/>
      <c r="Z21" s="445" t="str">
        <f>IFERROR(__xludf.DUMMYFUNCTION("""COMPUTED_VALUE"""),"Dior Glori")</f>
        <v>Dior Glori</v>
      </c>
      <c r="AA21" s="491">
        <f>IFERROR(__xludf.DUMMYFUNCTION("""COMPUTED_VALUE"""),0.32517807370703006)</f>
        <v>0.3251780737</v>
      </c>
      <c r="AB21" s="113"/>
      <c r="AC21" s="445" t="str">
        <f>IFERROR(__xludf.DUMMYFUNCTION("""COMPUTED_VALUE"""),"oDhmon")</f>
        <v>oDhmon</v>
      </c>
      <c r="AD21" s="491">
        <f>IFERROR(__xludf.DUMMYFUNCTION("""COMPUTED_VALUE"""),0.050188773087965995)</f>
        <v>0.05018877309</v>
      </c>
      <c r="AE21" s="113"/>
      <c r="AF21" s="445" t="str">
        <f>IFERROR(__xludf.DUMMYFUNCTION("""COMPUTED_VALUE"""),"CaptainSev004")</f>
        <v>CaptainSev004</v>
      </c>
      <c r="AG21" s="492">
        <f>IFERROR(__xludf.DUMMYFUNCTION("""COMPUTED_VALUE"""),57.333333333333336)</f>
        <v>57.33333333</v>
      </c>
      <c r="AH21" s="113"/>
      <c r="AI21" s="493" t="str">
        <f>IFERROR(__xludf.DUMMYFUNCTION("""COMPUTED_VALUE"""),"L1ght5aber")</f>
        <v>L1ght5aber</v>
      </c>
      <c r="AJ21" s="494">
        <f>IFERROR(__xludf.DUMMYFUNCTION("""COMPUTED_VALUE"""),0.38940391211643643)</f>
        <v>0.3894039121</v>
      </c>
      <c r="AK21" s="7"/>
      <c r="AL21" s="444" t="str">
        <f>IFERROR(__xludf.DUMMYFUNCTION("""COMPUTED_VALUE"""),"Mhurcy")</f>
        <v>Mhurcy</v>
      </c>
      <c r="AM21" s="363" t="str">
        <f>IFERROR(__xludf.DUMMYFUNCTION("""COMPUTED_VALUE"""),"C")</f>
        <v>C</v>
      </c>
      <c r="AN21" s="495">
        <f>IFERROR(__xludf.DUMMYFUNCTION("""COMPUTED_VALUE"""),14.0)</f>
        <v>14</v>
      </c>
      <c r="AO21" s="186"/>
      <c r="AP21" s="163" t="str">
        <f>IFERROR(__xludf.DUMMYFUNCTION("""COMPUTED_VALUE"""),"Mhurcy")</f>
        <v>Mhurcy</v>
      </c>
      <c r="AQ21" s="390" t="str">
        <f>IFERROR(__xludf.DUMMYFUNCTION("""COMPUTED_VALUE"""),"C")</f>
        <v>C</v>
      </c>
      <c r="AR21" s="475">
        <f>IFERROR(__xludf.DUMMYFUNCTION("""COMPUTED_VALUE"""),19.950000000000003)</f>
        <v>19.95</v>
      </c>
      <c r="AS21" s="186"/>
      <c r="AT21" s="390" t="str">
        <f>IFERROR(__xludf.DUMMYFUNCTION("""COMPUTED_VALUE"""),"Mhurcy")</f>
        <v>Mhurcy</v>
      </c>
      <c r="AU21" s="390" t="str">
        <f>IFERROR(__xludf.DUMMYFUNCTION("""COMPUTED_VALUE"""),"C")</f>
        <v>C</v>
      </c>
      <c r="AV21" s="390">
        <f>IFERROR(__xludf.DUMMYFUNCTION("""COMPUTED_VALUE"""),19.950000000000003)</f>
        <v>19.95</v>
      </c>
      <c r="AW21" s="186"/>
    </row>
    <row r="22">
      <c r="A22" s="93"/>
      <c r="B22" s="475" t="str">
        <f>IFERROR(__xludf.DUMMYFUNCTION("""COMPUTED_VALUE"""),"Dior Glori")</f>
        <v>Dior Glori</v>
      </c>
      <c r="C22" s="476">
        <f>IFERROR(__xludf.DUMMYFUNCTION("""COMPUTED_VALUE"""),-0.18581604211830288)</f>
        <v>-0.1858160421</v>
      </c>
      <c r="D22" s="113"/>
      <c r="E22" s="477" t="str">
        <f>IFERROR(__xludf.DUMMYFUNCTION("""COMPUTED_VALUE"""),"Almighty Tycoon")</f>
        <v>Almighty Tycoon</v>
      </c>
      <c r="F22" s="478">
        <f>IFERROR(__xludf.DUMMYFUNCTION("""COMPUTED_VALUE"""),6.580645161290323)</f>
        <v>6.580645161</v>
      </c>
      <c r="G22" s="113"/>
      <c r="H22" s="479" t="str">
        <f>IFERROR(__xludf.DUMMYFUNCTION("""COMPUTED_VALUE"""),"Dior Glori")</f>
        <v>Dior Glori</v>
      </c>
      <c r="I22" s="480">
        <f>IFERROR(__xludf.DUMMYFUNCTION("""COMPUTED_VALUE"""),0.024775472282440387)</f>
        <v>0.02477547228</v>
      </c>
      <c r="J22" s="113"/>
      <c r="K22" s="481" t="str">
        <f>IFERROR(__xludf.DUMMYFUNCTION("""COMPUTED_VALUE"""),"Dior Glori")</f>
        <v>Dior Glori</v>
      </c>
      <c r="L22" s="482">
        <f>IFERROR(__xludf.DUMMYFUNCTION("""COMPUTED_VALUE"""),0.024775472282440387)</f>
        <v>0.02477547228</v>
      </c>
      <c r="M22" s="113"/>
      <c r="N22" s="483" t="str">
        <f>IFERROR(__xludf.DUMMYFUNCTION("""COMPUTED_VALUE"""),"MoldyVolts")</f>
        <v>MoldyVolts</v>
      </c>
      <c r="O22" s="484">
        <f>IFERROR(__xludf.DUMMYFUNCTION("""COMPUTED_VALUE"""),0.515602216389618)</f>
        <v>0.5156022164</v>
      </c>
      <c r="P22" s="113"/>
      <c r="Q22" s="485" t="str">
        <f>IFERROR(__xludf.DUMMYFUNCTION("""COMPUTED_VALUE"""),"Hells Angel cx")</f>
        <v>Hells Angel cx</v>
      </c>
      <c r="R22" s="486">
        <f>IFERROR(__xludf.DUMMYFUNCTION("""COMPUTED_VALUE"""),0.4318058784192593)</f>
        <v>0.4318058784</v>
      </c>
      <c r="S22" s="113"/>
      <c r="T22" s="487" t="str">
        <f>IFERROR(__xludf.DUMMYFUNCTION("""COMPUTED_VALUE"""),"Almighty Tycoon")</f>
        <v>Almighty Tycoon</v>
      </c>
      <c r="U22" s="488">
        <f>IFERROR(__xludf.DUMMYFUNCTION("""COMPUTED_VALUE"""),0.02471169686985173)</f>
        <v>0.02471169687</v>
      </c>
      <c r="V22" s="113"/>
      <c r="W22" s="489" t="str">
        <f>IFERROR(__xludf.DUMMYFUNCTION("""COMPUTED_VALUE"""),"MealyKitten0")</f>
        <v>MealyKitten0</v>
      </c>
      <c r="X22" s="490">
        <f>IFERROR(__xludf.DUMMYFUNCTION("""COMPUTED_VALUE"""),0.0668964119197243)</f>
        <v>0.06689641192</v>
      </c>
      <c r="Y22" s="113"/>
      <c r="Z22" s="445" t="str">
        <f>IFERROR(__xludf.DUMMYFUNCTION("""COMPUTED_VALUE"""),"L1ght5aber")</f>
        <v>L1ght5aber</v>
      </c>
      <c r="AA22" s="491">
        <f>IFERROR(__xludf.DUMMYFUNCTION("""COMPUTED_VALUE"""),0.3201384382435648)</f>
        <v>0.3201384382</v>
      </c>
      <c r="AB22" s="113"/>
      <c r="AC22" s="445" t="str">
        <f>IFERROR(__xludf.DUMMYFUNCTION("""COMPUTED_VALUE"""),"CaptainSev004")</f>
        <v>CaptainSev004</v>
      </c>
      <c r="AD22" s="491">
        <f>IFERROR(__xludf.DUMMYFUNCTION("""COMPUTED_VALUE"""),0.04864864864864865)</f>
        <v>0.04864864865</v>
      </c>
      <c r="AE22" s="113"/>
      <c r="AF22" s="445" t="str">
        <f>IFERROR(__xludf.DUMMYFUNCTION("""COMPUTED_VALUE"""),"ixGingy")</f>
        <v>ixGingy</v>
      </c>
      <c r="AG22" s="492">
        <f>IFERROR(__xludf.DUMMYFUNCTION("""COMPUTED_VALUE"""),56.16216216216216)</f>
        <v>56.16216216</v>
      </c>
      <c r="AH22" s="113"/>
      <c r="AI22" s="493" t="str">
        <f>IFERROR(__xludf.DUMMYFUNCTION("""COMPUTED_VALUE"""),"Mhurcy")</f>
        <v>Mhurcy</v>
      </c>
      <c r="AJ22" s="494">
        <f>IFERROR(__xludf.DUMMYFUNCTION("""COMPUTED_VALUE"""),0.3540110179683875)</f>
        <v>0.354011018</v>
      </c>
      <c r="AK22" s="7"/>
      <c r="AL22" s="444" t="str">
        <f>IFERROR(__xludf.DUMMYFUNCTION("""COMPUTED_VALUE"""),"Lane Uppy")</f>
        <v>Lane Uppy</v>
      </c>
      <c r="AM22" s="363" t="str">
        <f>IFERROR(__xludf.DUMMYFUNCTION("""COMPUTED_VALUE"""),"C")</f>
        <v>C</v>
      </c>
      <c r="AN22" s="495">
        <f>IFERROR(__xludf.DUMMYFUNCTION("""COMPUTED_VALUE"""),13.5)</f>
        <v>13.5</v>
      </c>
      <c r="AO22" s="186"/>
      <c r="AP22" s="163" t="str">
        <f>IFERROR(__xludf.DUMMYFUNCTION("""COMPUTED_VALUE"""),"Scullen cx")</f>
        <v>Scullen cx</v>
      </c>
      <c r="AQ22" s="390" t="str">
        <f>IFERROR(__xludf.DUMMYFUNCTION("""COMPUTED_VALUE"""),"C-")</f>
        <v>C-</v>
      </c>
      <c r="AR22" s="475">
        <f>IFERROR(__xludf.DUMMYFUNCTION("""COMPUTED_VALUE"""),18.95)</f>
        <v>18.95</v>
      </c>
      <c r="AS22" s="186"/>
      <c r="AT22" s="390" t="str">
        <f>IFERROR(__xludf.DUMMYFUNCTION("""COMPUTED_VALUE"""),"Scullen cx")</f>
        <v>Scullen cx</v>
      </c>
      <c r="AU22" s="390" t="str">
        <f>IFERROR(__xludf.DUMMYFUNCTION("""COMPUTED_VALUE"""),"C-")</f>
        <v>C-</v>
      </c>
      <c r="AV22" s="390">
        <f>IFERROR(__xludf.DUMMYFUNCTION("""COMPUTED_VALUE"""),18.95)</f>
        <v>18.95</v>
      </c>
      <c r="AW22" s="186"/>
    </row>
    <row r="23">
      <c r="A23" s="93"/>
      <c r="B23" s="475" t="str">
        <f>IFERROR(__xludf.DUMMYFUNCTION("""COMPUTED_VALUE"""),"Mhurcy")</f>
        <v>Mhurcy</v>
      </c>
      <c r="C23" s="476">
        <f>IFERROR(__xludf.DUMMYFUNCTION("""COMPUTED_VALUE"""),-0.2002693681559993)</f>
        <v>-0.2002693682</v>
      </c>
      <c r="D23" s="113"/>
      <c r="E23" s="477" t="str">
        <f>IFERROR(__xludf.DUMMYFUNCTION("""COMPUTED_VALUE"""),"L1ght5aber")</f>
        <v>L1ght5aber</v>
      </c>
      <c r="F23" s="478">
        <f>IFERROR(__xludf.DUMMYFUNCTION("""COMPUTED_VALUE"""),6.573653471771577)</f>
        <v>6.573653472</v>
      </c>
      <c r="G23" s="113"/>
      <c r="H23" s="479" t="str">
        <f>IFERROR(__xludf.DUMMYFUNCTION("""COMPUTED_VALUE"""),"Mhurcy")</f>
        <v>Mhurcy</v>
      </c>
      <c r="I23" s="480">
        <f>IFERROR(__xludf.DUMMYFUNCTION("""COMPUTED_VALUE"""),0.024594483808631492)</f>
        <v>0.02459448381</v>
      </c>
      <c r="J23" s="113"/>
      <c r="K23" s="481" t="str">
        <f>IFERROR(__xludf.DUMMYFUNCTION("""COMPUTED_VALUE"""),"Mhurcy")</f>
        <v>Mhurcy</v>
      </c>
      <c r="L23" s="482">
        <f>IFERROR(__xludf.DUMMYFUNCTION("""COMPUTED_VALUE"""),0.024594483808631492)</f>
        <v>0.02459448381</v>
      </c>
      <c r="M23" s="113"/>
      <c r="N23" s="483" t="str">
        <f>IFERROR(__xludf.DUMMYFUNCTION("""COMPUTED_VALUE"""),"Almighty Tycoon")</f>
        <v>Almighty Tycoon</v>
      </c>
      <c r="O23" s="484">
        <f>IFERROR(__xludf.DUMMYFUNCTION("""COMPUTED_VALUE"""),0.5082129428062537)</f>
        <v>0.5082129428</v>
      </c>
      <c r="P23" s="113"/>
      <c r="Q23" s="485" t="str">
        <f>IFERROR(__xludf.DUMMYFUNCTION("""COMPUTED_VALUE"""),"L1ght5aber")</f>
        <v>L1ght5aber</v>
      </c>
      <c r="R23" s="486">
        <f>IFERROR(__xludf.DUMMYFUNCTION("""COMPUTED_VALUE"""),0.42829331602855286)</f>
        <v>0.428293316</v>
      </c>
      <c r="S23" s="113"/>
      <c r="T23" s="487" t="str">
        <f>IFERROR(__xludf.DUMMYFUNCTION("""COMPUTED_VALUE"""),"Hells Angel cx")</f>
        <v>Hells Angel cx</v>
      </c>
      <c r="U23" s="488">
        <f>IFERROR(__xludf.DUMMYFUNCTION("""COMPUTED_VALUE"""),0.024513338139870222)</f>
        <v>0.02451333814</v>
      </c>
      <c r="V23" s="113"/>
      <c r="W23" s="489" t="str">
        <f>IFERROR(__xludf.DUMMYFUNCTION("""COMPUTED_VALUE"""),"Finesse God24")</f>
        <v>Finesse God24</v>
      </c>
      <c r="X23" s="490">
        <f>IFERROR(__xludf.DUMMYFUNCTION("""COMPUTED_VALUE"""),0.06583760058522312)</f>
        <v>0.06583760059</v>
      </c>
      <c r="Y23" s="113"/>
      <c r="Z23" s="445" t="str">
        <f>IFERROR(__xludf.DUMMYFUNCTION("""COMPUTED_VALUE"""),"TommyWstSide")</f>
        <v>TommyWstSide</v>
      </c>
      <c r="AA23" s="491">
        <f>IFERROR(__xludf.DUMMYFUNCTION("""COMPUTED_VALUE"""),0.3185840707964602)</f>
        <v>0.3185840708</v>
      </c>
      <c r="AB23" s="113"/>
      <c r="AC23" s="445" t="str">
        <f>IFERROR(__xludf.DUMMYFUNCTION("""COMPUTED_VALUE"""),"MuNgO PuNgO")</f>
        <v>MuNgO PuNgO</v>
      </c>
      <c r="AD23" s="491">
        <f>IFERROR(__xludf.DUMMYFUNCTION("""COMPUTED_VALUE"""),0.04731861198738171)</f>
        <v>0.04731861199</v>
      </c>
      <c r="AE23" s="113"/>
      <c r="AF23" s="445" t="str">
        <f>IFERROR(__xludf.DUMMYFUNCTION("""COMPUTED_VALUE"""),"Almighty Tycoon")</f>
        <v>Almighty Tycoon</v>
      </c>
      <c r="AG23" s="492">
        <f>IFERROR(__xludf.DUMMYFUNCTION("""COMPUTED_VALUE"""),55.18181818181818)</f>
        <v>55.18181818</v>
      </c>
      <c r="AH23" s="113"/>
      <c r="AI23" s="493" t="str">
        <f>IFERROR(__xludf.DUMMYFUNCTION("""COMPUTED_VALUE"""),"Dior Glori")</f>
        <v>Dior Glori</v>
      </c>
      <c r="AJ23" s="494">
        <f>IFERROR(__xludf.DUMMYFUNCTION("""COMPUTED_VALUE"""),0.31748440472503653)</f>
        <v>0.3174844047</v>
      </c>
      <c r="AK23" s="7"/>
      <c r="AL23" s="444" t="str">
        <f>IFERROR(__xludf.DUMMYFUNCTION("""COMPUTED_VALUE"""),"Scullen cx")</f>
        <v>Scullen cx</v>
      </c>
      <c r="AM23" s="363" t="str">
        <f>IFERROR(__xludf.DUMMYFUNCTION("""COMPUTED_VALUE"""),"C")</f>
        <v>C</v>
      </c>
      <c r="AN23" s="495">
        <f>IFERROR(__xludf.DUMMYFUNCTION("""COMPUTED_VALUE"""),13.400000000000002)</f>
        <v>13.4</v>
      </c>
      <c r="AO23" s="186"/>
      <c r="AP23" s="163" t="str">
        <f>IFERROR(__xludf.DUMMYFUNCTION("""COMPUTED_VALUE"""),"Lane Uppy")</f>
        <v>Lane Uppy</v>
      </c>
      <c r="AQ23" s="390" t="str">
        <f>IFERROR(__xludf.DUMMYFUNCTION("""COMPUTED_VALUE"""),"C-")</f>
        <v>C-</v>
      </c>
      <c r="AR23" s="475">
        <f>IFERROR(__xludf.DUMMYFUNCTION("""COMPUTED_VALUE"""),18.549999999999997)</f>
        <v>18.55</v>
      </c>
      <c r="AS23" s="186"/>
      <c r="AT23" s="390" t="str">
        <f>IFERROR(__xludf.DUMMYFUNCTION("""COMPUTED_VALUE"""),"Lane Uppy")</f>
        <v>Lane Uppy</v>
      </c>
      <c r="AU23" s="390" t="str">
        <f>IFERROR(__xludf.DUMMYFUNCTION("""COMPUTED_VALUE"""),"C-")</f>
        <v>C-</v>
      </c>
      <c r="AV23" s="390">
        <f>IFERROR(__xludf.DUMMYFUNCTION("""COMPUTED_VALUE"""),18.549999999999997)</f>
        <v>18.55</v>
      </c>
      <c r="AW23" s="186"/>
    </row>
    <row r="24">
      <c r="A24" s="93"/>
      <c r="B24" s="475" t="str">
        <f>IFERROR(__xludf.DUMMYFUNCTION("""COMPUTED_VALUE"""),"Finesse God24")</f>
        <v>Finesse God24</v>
      </c>
      <c r="C24" s="476">
        <f>IFERROR(__xludf.DUMMYFUNCTION("""COMPUTED_VALUE"""),-0.4406095098219203)</f>
        <v>-0.4406095098</v>
      </c>
      <c r="D24" s="113"/>
      <c r="E24" s="477" t="str">
        <f>IFERROR(__xludf.DUMMYFUNCTION("""COMPUTED_VALUE"""),"Luner Panda")</f>
        <v>Luner Panda</v>
      </c>
      <c r="F24" s="478">
        <f>IFERROR(__xludf.DUMMYFUNCTION("""COMPUTED_VALUE"""),6.419944255187365)</f>
        <v>6.419944255</v>
      </c>
      <c r="G24" s="113"/>
      <c r="H24" s="479" t="str">
        <f>IFERROR(__xludf.DUMMYFUNCTION("""COMPUTED_VALUE"""),"CaptainSev004")</f>
        <v>CaptainSev004</v>
      </c>
      <c r="I24" s="480">
        <f>IFERROR(__xludf.DUMMYFUNCTION("""COMPUTED_VALUE"""),0.022702702702702703)</f>
        <v>0.0227027027</v>
      </c>
      <c r="J24" s="113"/>
      <c r="K24" s="481" t="str">
        <f>IFERROR(__xludf.DUMMYFUNCTION("""COMPUTED_VALUE"""),"CaptainSev004")</f>
        <v>CaptainSev004</v>
      </c>
      <c r="L24" s="482">
        <f>IFERROR(__xludf.DUMMYFUNCTION("""COMPUTED_VALUE"""),0.022702702702702703)</f>
        <v>0.0227027027</v>
      </c>
      <c r="M24" s="113"/>
      <c r="N24" s="483" t="str">
        <f>IFERROR(__xludf.DUMMYFUNCTION("""COMPUTED_VALUE"""),"Lane Uppy")</f>
        <v>Lane Uppy</v>
      </c>
      <c r="O24" s="484">
        <f>IFERROR(__xludf.DUMMYFUNCTION("""COMPUTED_VALUE"""),0.5031264683558029)</f>
        <v>0.5031264684</v>
      </c>
      <c r="P24" s="113"/>
      <c r="Q24" s="485" t="str">
        <f>IFERROR(__xludf.DUMMYFUNCTION("""COMPUTED_VALUE"""),"L0RNA SHORE")</f>
        <v>L0RNA SHORE</v>
      </c>
      <c r="R24" s="486">
        <f>IFERROR(__xludf.DUMMYFUNCTION("""COMPUTED_VALUE"""),0.38677918424753865)</f>
        <v>0.3867791842</v>
      </c>
      <c r="S24" s="113"/>
      <c r="T24" s="487" t="str">
        <f>IFERROR(__xludf.DUMMYFUNCTION("""COMPUTED_VALUE"""),"Lane Uppy")</f>
        <v>Lane Uppy</v>
      </c>
      <c r="U24" s="488">
        <f>IFERROR(__xludf.DUMMYFUNCTION("""COMPUTED_VALUE"""),0.023956723338485315)</f>
        <v>0.02395672334</v>
      </c>
      <c r="V24" s="113"/>
      <c r="W24" s="489" t="str">
        <f>IFERROR(__xludf.DUMMYFUNCTION("""COMPUTED_VALUE"""),"ASpence501")</f>
        <v>ASpence501</v>
      </c>
      <c r="X24" s="490">
        <f>IFERROR(__xludf.DUMMYFUNCTION("""COMPUTED_VALUE"""),0.06120407242481903)</f>
        <v>0.06120407242</v>
      </c>
      <c r="Y24" s="113"/>
      <c r="Z24" s="445" t="str">
        <f>IFERROR(__xludf.DUMMYFUNCTION("""COMPUTED_VALUE"""),"MealyKitten0")</f>
        <v>MealyKitten0</v>
      </c>
      <c r="AA24" s="491">
        <f>IFERROR(__xludf.DUMMYFUNCTION("""COMPUTED_VALUE"""),0.3127903375658099)</f>
        <v>0.3127903376</v>
      </c>
      <c r="AB24" s="113"/>
      <c r="AC24" s="445" t="str">
        <f>IFERROR(__xludf.DUMMYFUNCTION("""COMPUTED_VALUE"""),"ASpence501")</f>
        <v>ASpence501</v>
      </c>
      <c r="AD24" s="491">
        <f>IFERROR(__xludf.DUMMYFUNCTION("""COMPUTED_VALUE"""),0.04275111331024245)</f>
        <v>0.04275111331</v>
      </c>
      <c r="AE24" s="113"/>
      <c r="AF24" s="445" t="str">
        <f>IFERROR(__xludf.DUMMYFUNCTION("""COMPUTED_VALUE"""),"MuNgO PuNgO")</f>
        <v>MuNgO PuNgO</v>
      </c>
      <c r="AG24" s="492">
        <f>IFERROR(__xludf.DUMMYFUNCTION("""COMPUTED_VALUE"""),54.5)</f>
        <v>54.5</v>
      </c>
      <c r="AH24" s="113"/>
      <c r="AI24" s="493" t="str">
        <f>IFERROR(__xludf.DUMMYFUNCTION("""COMPUTED_VALUE"""),"Finesse God24")</f>
        <v>Finesse God24</v>
      </c>
      <c r="AJ24" s="494">
        <f>IFERROR(__xludf.DUMMYFUNCTION("""COMPUTED_VALUE"""),0.011015237745548008)</f>
        <v>0.01101523775</v>
      </c>
      <c r="AK24" s="7"/>
      <c r="AL24" s="444" t="str">
        <f>IFERROR(__xludf.DUMMYFUNCTION("""COMPUTED_VALUE"""),"Dior Glori")</f>
        <v>Dior Glori</v>
      </c>
      <c r="AM24" s="363" t="str">
        <f>IFERROR(__xludf.DUMMYFUNCTION("""COMPUTED_VALUE"""),"C")</f>
        <v>C</v>
      </c>
      <c r="AN24" s="495">
        <f>IFERROR(__xludf.DUMMYFUNCTION("""COMPUTED_VALUE"""),12.899999999999999)</f>
        <v>12.9</v>
      </c>
      <c r="AO24" s="186"/>
      <c r="AP24" s="163" t="str">
        <f>IFERROR(__xludf.DUMMYFUNCTION("""COMPUTED_VALUE"""),"Dior Glori")</f>
        <v>Dior Glori</v>
      </c>
      <c r="AQ24" s="390" t="str">
        <f>IFERROR(__xludf.DUMMYFUNCTION("""COMPUTED_VALUE"""),"D+")</f>
        <v>D+</v>
      </c>
      <c r="AR24" s="475">
        <f>IFERROR(__xludf.DUMMYFUNCTION("""COMPUTED_VALUE"""),17.35)</f>
        <v>17.35</v>
      </c>
      <c r="AS24" s="186"/>
      <c r="AT24" s="390" t="str">
        <f>IFERROR(__xludf.DUMMYFUNCTION("""COMPUTED_VALUE"""),"Dior Glori")</f>
        <v>Dior Glori</v>
      </c>
      <c r="AU24" s="390" t="str">
        <f>IFERROR(__xludf.DUMMYFUNCTION("""COMPUTED_VALUE"""),"D+")</f>
        <v>D+</v>
      </c>
      <c r="AV24" s="390">
        <f>IFERROR(__xludf.DUMMYFUNCTION("""COMPUTED_VALUE"""),17.35)</f>
        <v>17.35</v>
      </c>
      <c r="AW24" s="186"/>
    </row>
    <row r="25">
      <c r="A25" s="93"/>
      <c r="B25" s="475" t="str">
        <f>IFERROR(__xludf.DUMMYFUNCTION("""COMPUTED_VALUE"""),"Almighty Tycoon")</f>
        <v>Almighty Tycoon</v>
      </c>
      <c r="C25" s="476">
        <f>IFERROR(__xludf.DUMMYFUNCTION("""COMPUTED_VALUE"""),-0.45359192558875916)</f>
        <v>-0.4535919256</v>
      </c>
      <c r="D25" s="113"/>
      <c r="E25" s="477" t="str">
        <f>IFERROR(__xludf.DUMMYFUNCTION("""COMPUTED_VALUE"""),"MoldyVolts")</f>
        <v>MoldyVolts</v>
      </c>
      <c r="F25" s="478">
        <f>IFERROR(__xludf.DUMMYFUNCTION("""COMPUTED_VALUE"""),6.404199475065616)</f>
        <v>6.404199475</v>
      </c>
      <c r="G25" s="113"/>
      <c r="H25" s="479" t="str">
        <f>IFERROR(__xludf.DUMMYFUNCTION("""COMPUTED_VALUE"""),"Luner Panda")</f>
        <v>Luner Panda</v>
      </c>
      <c r="I25" s="480">
        <f>IFERROR(__xludf.DUMMYFUNCTION("""COMPUTED_VALUE"""),0.021678538247135337)</f>
        <v>0.02167853825</v>
      </c>
      <c r="J25" s="113"/>
      <c r="K25" s="481" t="str">
        <f>IFERROR(__xludf.DUMMYFUNCTION("""COMPUTED_VALUE"""),"Luner Panda")</f>
        <v>Luner Panda</v>
      </c>
      <c r="L25" s="482">
        <f>IFERROR(__xludf.DUMMYFUNCTION("""COMPUTED_VALUE"""),0.021678538247135337)</f>
        <v>0.02167853825</v>
      </c>
      <c r="M25" s="113"/>
      <c r="N25" s="483" t="str">
        <f>IFERROR(__xludf.DUMMYFUNCTION("""COMPUTED_VALUE"""),"Mhurcy")</f>
        <v>Mhurcy</v>
      </c>
      <c r="O25" s="484">
        <f>IFERROR(__xludf.DUMMYFUNCTION("""COMPUTED_VALUE"""),0.4954031738595772)</f>
        <v>0.4954031739</v>
      </c>
      <c r="P25" s="113"/>
      <c r="Q25" s="485" t="str">
        <f>IFERROR(__xludf.DUMMYFUNCTION("""COMPUTED_VALUE"""),"Almighty Tycoon")</f>
        <v>Almighty Tycoon</v>
      </c>
      <c r="R25" s="486">
        <f>IFERROR(__xludf.DUMMYFUNCTION("""COMPUTED_VALUE"""),0.3799722936869187)</f>
        <v>0.3799722937</v>
      </c>
      <c r="S25" s="113"/>
      <c r="T25" s="487" t="str">
        <f>IFERROR(__xludf.DUMMYFUNCTION("""COMPUTED_VALUE"""),"L0RNA SHORE")</f>
        <v>L0RNA SHORE</v>
      </c>
      <c r="U25" s="488">
        <f>IFERROR(__xludf.DUMMYFUNCTION("""COMPUTED_VALUE"""),0.022222222222222223)</f>
        <v>0.02222222222</v>
      </c>
      <c r="V25" s="113"/>
      <c r="W25" s="489" t="str">
        <f>IFERROR(__xludf.DUMMYFUNCTION("""COMPUTED_VALUE"""),"DlGITAL PAIN")</f>
        <v>DlGITAL PAIN</v>
      </c>
      <c r="X25" s="490">
        <f>IFERROR(__xludf.DUMMYFUNCTION("""COMPUTED_VALUE"""),0.061201591241372276)</f>
        <v>0.06120159124</v>
      </c>
      <c r="Y25" s="113"/>
      <c r="Z25" s="445" t="str">
        <f>IFERROR(__xludf.DUMMYFUNCTION("""COMPUTED_VALUE"""),"Luner Panda")</f>
        <v>Luner Panda</v>
      </c>
      <c r="AA25" s="491">
        <f>IFERROR(__xludf.DUMMYFUNCTION("""COMPUTED_VALUE"""),0.2880148652833695)</f>
        <v>0.2880148653</v>
      </c>
      <c r="AB25" s="113"/>
      <c r="AC25" s="445" t="str">
        <f>IFERROR(__xludf.DUMMYFUNCTION("""COMPUTED_VALUE"""),"Itzreelz")</f>
        <v>Itzreelz</v>
      </c>
      <c r="AD25" s="491">
        <f>IFERROR(__xludf.DUMMYFUNCTION("""COMPUTED_VALUE"""),0.04132669280491682)</f>
        <v>0.0413266928</v>
      </c>
      <c r="AE25" s="113"/>
      <c r="AF25" s="445" t="str">
        <f>IFERROR(__xludf.DUMMYFUNCTION("""COMPUTED_VALUE"""),"Lane Uppy")</f>
        <v>Lane Uppy</v>
      </c>
      <c r="AG25" s="492">
        <f>IFERROR(__xludf.DUMMYFUNCTION("""COMPUTED_VALUE"""),53.916666666666664)</f>
        <v>53.91666667</v>
      </c>
      <c r="AH25" s="113"/>
      <c r="AI25" s="493" t="str">
        <f>IFERROR(__xludf.DUMMYFUNCTION("""COMPUTED_VALUE"""),"Almighty Tycoon")</f>
        <v>Almighty Tycoon</v>
      </c>
      <c r="AJ25" s="494">
        <f>IFERROR(__xludf.DUMMYFUNCTION("""COMPUTED_VALUE"""),-0.020286298568507166)</f>
        <v>-0.02028629857</v>
      </c>
      <c r="AK25" s="7"/>
      <c r="AL25" s="444" t="str">
        <f>IFERROR(__xludf.DUMMYFUNCTION("""COMPUTED_VALUE"""),"Mavbrid")</f>
        <v>Mavbrid</v>
      </c>
      <c r="AM25" s="363" t="str">
        <f>IFERROR(__xludf.DUMMYFUNCTION("""COMPUTED_VALUE"""),"C")</f>
        <v>C</v>
      </c>
      <c r="AN25" s="495">
        <f>IFERROR(__xludf.DUMMYFUNCTION("""COMPUTED_VALUE"""),12.100000000000001)</f>
        <v>12.1</v>
      </c>
      <c r="AO25" s="186"/>
      <c r="AP25" s="163" t="str">
        <f>IFERROR(__xludf.DUMMYFUNCTION("""COMPUTED_VALUE"""),"Mavbrid")</f>
        <v>Mavbrid</v>
      </c>
      <c r="AQ25" s="390" t="str">
        <f>IFERROR(__xludf.DUMMYFUNCTION("""COMPUTED_VALUE"""),"D+")</f>
        <v>D+</v>
      </c>
      <c r="AR25" s="475">
        <f>IFERROR(__xludf.DUMMYFUNCTION("""COMPUTED_VALUE"""),17.25)</f>
        <v>17.25</v>
      </c>
      <c r="AS25" s="186"/>
      <c r="AT25" s="390" t="str">
        <f>IFERROR(__xludf.DUMMYFUNCTION("""COMPUTED_VALUE"""),"Mavbrid")</f>
        <v>Mavbrid</v>
      </c>
      <c r="AU25" s="390" t="str">
        <f>IFERROR(__xludf.DUMMYFUNCTION("""COMPUTED_VALUE"""),"D+")</f>
        <v>D+</v>
      </c>
      <c r="AV25" s="390">
        <f>IFERROR(__xludf.DUMMYFUNCTION("""COMPUTED_VALUE"""),17.25)</f>
        <v>17.25</v>
      </c>
      <c r="AW25" s="186"/>
    </row>
    <row r="26">
      <c r="A26" s="93"/>
      <c r="B26" s="475" t="str">
        <f>IFERROR(__xludf.DUMMYFUNCTION("""COMPUTED_VALUE"""),"CaptainSev004")</f>
        <v>CaptainSev004</v>
      </c>
      <c r="C26" s="476">
        <f>IFERROR(__xludf.DUMMYFUNCTION("""COMPUTED_VALUE"""),-0.4540540540540541)</f>
        <v>-0.4540540541</v>
      </c>
      <c r="D26" s="113"/>
      <c r="E26" s="477" t="str">
        <f>IFERROR(__xludf.DUMMYFUNCTION("""COMPUTED_VALUE"""),"CaptainSev004")</f>
        <v>CaptainSev004</v>
      </c>
      <c r="F26" s="478">
        <f>IFERROR(__xludf.DUMMYFUNCTION("""COMPUTED_VALUE"""),6.376216216216217)</f>
        <v>6.376216216</v>
      </c>
      <c r="G26" s="113"/>
      <c r="H26" s="479" t="str">
        <f>IFERROR(__xludf.DUMMYFUNCTION("""COMPUTED_VALUE"""),"Scullen cx")</f>
        <v>Scullen cx</v>
      </c>
      <c r="I26" s="480">
        <f>IFERROR(__xludf.DUMMYFUNCTION("""COMPUTED_VALUE"""),0.021017100277043593)</f>
        <v>0.02101710028</v>
      </c>
      <c r="J26" s="113"/>
      <c r="K26" s="481" t="str">
        <f>IFERROR(__xludf.DUMMYFUNCTION("""COMPUTED_VALUE"""),"Scullen cx")</f>
        <v>Scullen cx</v>
      </c>
      <c r="L26" s="482">
        <f>IFERROR(__xludf.DUMMYFUNCTION("""COMPUTED_VALUE"""),0.021017100277043593)</f>
        <v>0.02101710028</v>
      </c>
      <c r="M26" s="113"/>
      <c r="N26" s="483" t="str">
        <f>IFERROR(__xludf.DUMMYFUNCTION("""COMPUTED_VALUE"""),"ADhillyy")</f>
        <v>ADhillyy</v>
      </c>
      <c r="O26" s="484">
        <f>IFERROR(__xludf.DUMMYFUNCTION("""COMPUTED_VALUE"""),0.4743221877378931)</f>
        <v>0.4743221877</v>
      </c>
      <c r="P26" s="113"/>
      <c r="Q26" s="485" t="str">
        <f>IFERROR(__xludf.DUMMYFUNCTION("""COMPUTED_VALUE"""),"Dior Glori")</f>
        <v>Dior Glori</v>
      </c>
      <c r="R26" s="486">
        <f>IFERROR(__xludf.DUMMYFUNCTION("""COMPUTED_VALUE"""),0.37472901827191085)</f>
        <v>0.3747290183</v>
      </c>
      <c r="S26" s="113"/>
      <c r="T26" s="487" t="str">
        <f>IFERROR(__xludf.DUMMYFUNCTION("""COMPUTED_VALUE"""),"MoldyVolts")</f>
        <v>MoldyVolts</v>
      </c>
      <c r="U26" s="488">
        <f>IFERROR(__xludf.DUMMYFUNCTION("""COMPUTED_VALUE"""),0.021154693697664168)</f>
        <v>0.0211546937</v>
      </c>
      <c r="V26" s="113"/>
      <c r="W26" s="489" t="str">
        <f>IFERROR(__xludf.DUMMYFUNCTION("""COMPUTED_VALUE"""),"TommyWstSide")</f>
        <v>TommyWstSide</v>
      </c>
      <c r="X26" s="490">
        <f>IFERROR(__xludf.DUMMYFUNCTION("""COMPUTED_VALUE"""),0.05890675983945021)</f>
        <v>0.05890675984</v>
      </c>
      <c r="Y26" s="113"/>
      <c r="Z26" s="445" t="str">
        <f>IFERROR(__xludf.DUMMYFUNCTION("""COMPUTED_VALUE"""),"Mhurcy")</f>
        <v>Mhurcy</v>
      </c>
      <c r="AA26" s="491">
        <f>IFERROR(__xludf.DUMMYFUNCTION("""COMPUTED_VALUE"""),0.2810798149557885)</f>
        <v>0.281079815</v>
      </c>
      <c r="AB26" s="113"/>
      <c r="AC26" s="445" t="str">
        <f>IFERROR(__xludf.DUMMYFUNCTION("""COMPUTED_VALUE"""),"Dhlyn")</f>
        <v>Dhlyn</v>
      </c>
      <c r="AD26" s="491">
        <f>IFERROR(__xludf.DUMMYFUNCTION("""COMPUTED_VALUE"""),0.03903567426898471)</f>
        <v>0.03903567427</v>
      </c>
      <c r="AE26" s="113"/>
      <c r="AF26" s="445" t="str">
        <f>IFERROR(__xludf.DUMMYFUNCTION("""COMPUTED_VALUE"""),"ADhillyy")</f>
        <v>ADhillyy</v>
      </c>
      <c r="AG26" s="492">
        <f>IFERROR(__xludf.DUMMYFUNCTION("""COMPUTED_VALUE"""),50.8125)</f>
        <v>50.8125</v>
      </c>
      <c r="AH26" s="113"/>
      <c r="AI26" s="493" t="str">
        <f>IFERROR(__xludf.DUMMYFUNCTION("""COMPUTED_VALUE"""),"CaptainSev004")</f>
        <v>CaptainSev004</v>
      </c>
      <c r="AJ26" s="494">
        <f>IFERROR(__xludf.DUMMYFUNCTION("""COMPUTED_VALUE"""),-0.05081081081081081)</f>
        <v>-0.05081081081</v>
      </c>
      <c r="AK26" s="7"/>
      <c r="AL26" s="444" t="str">
        <f>IFERROR(__xludf.DUMMYFUNCTION("""COMPUTED_VALUE"""),"L1ght5aber")</f>
        <v>L1ght5aber</v>
      </c>
      <c r="AM26" s="363" t="str">
        <f>IFERROR(__xludf.DUMMYFUNCTION("""COMPUTED_VALUE"""),"C")</f>
        <v>C</v>
      </c>
      <c r="AN26" s="495">
        <f>IFERROR(__xludf.DUMMYFUNCTION("""COMPUTED_VALUE"""),12.1)</f>
        <v>12.1</v>
      </c>
      <c r="AO26" s="186"/>
      <c r="AP26" s="163" t="str">
        <f>IFERROR(__xludf.DUMMYFUNCTION("""COMPUTED_VALUE"""),"L1ght5aber")</f>
        <v>L1ght5aber</v>
      </c>
      <c r="AQ26" s="390" t="str">
        <f>IFERROR(__xludf.DUMMYFUNCTION("""COMPUTED_VALUE"""),"D")</f>
        <v>D</v>
      </c>
      <c r="AR26" s="475">
        <f>IFERROR(__xludf.DUMMYFUNCTION("""COMPUTED_VALUE"""),16.849999999999998)</f>
        <v>16.85</v>
      </c>
      <c r="AS26" s="186"/>
      <c r="AT26" s="390" t="str">
        <f>IFERROR(__xludf.DUMMYFUNCTION("""COMPUTED_VALUE"""),"L1ght5aber")</f>
        <v>L1ght5aber</v>
      </c>
      <c r="AU26" s="390" t="str">
        <f>IFERROR(__xludf.DUMMYFUNCTION("""COMPUTED_VALUE"""),"D")</f>
        <v>D</v>
      </c>
      <c r="AV26" s="390">
        <f>IFERROR(__xludf.DUMMYFUNCTION("""COMPUTED_VALUE"""),16.849999999999998)</f>
        <v>16.85</v>
      </c>
      <c r="AW26" s="186"/>
    </row>
    <row r="27">
      <c r="A27" s="93"/>
      <c r="B27" s="475" t="str">
        <f>IFERROR(__xludf.DUMMYFUNCTION("""COMPUTED_VALUE"""),"MoldyVolts")</f>
        <v>MoldyVolts</v>
      </c>
      <c r="C27" s="476">
        <f>IFERROR(__xludf.DUMMYFUNCTION("""COMPUTED_VALUE"""),-0.6299212598425197)</f>
        <v>-0.6299212598</v>
      </c>
      <c r="D27" s="113"/>
      <c r="E27" s="477" t="str">
        <f>IFERROR(__xludf.DUMMYFUNCTION("""COMPUTED_VALUE"""),"Lane Uppy")</f>
        <v>Lane Uppy</v>
      </c>
      <c r="F27" s="478">
        <f>IFERROR(__xludf.DUMMYFUNCTION("""COMPUTED_VALUE"""),6.2283586944735605)</f>
        <v>6.228358694</v>
      </c>
      <c r="G27" s="113"/>
      <c r="H27" s="479" t="str">
        <f>IFERROR(__xludf.DUMMYFUNCTION("""COMPUTED_VALUE"""),"MoldyVolts")</f>
        <v>MoldyVolts</v>
      </c>
      <c r="I27" s="480">
        <f>IFERROR(__xludf.DUMMYFUNCTION("""COMPUTED_VALUE"""),0.019830854476523767)</f>
        <v>0.01983085448</v>
      </c>
      <c r="J27" s="113"/>
      <c r="K27" s="481" t="str">
        <f>IFERROR(__xludf.DUMMYFUNCTION("""COMPUTED_VALUE"""),"MoldyVolts")</f>
        <v>MoldyVolts</v>
      </c>
      <c r="L27" s="482">
        <f>IFERROR(__xludf.DUMMYFUNCTION("""COMPUTED_VALUE"""),0.019830854476523767)</f>
        <v>0.01983085448</v>
      </c>
      <c r="M27" s="113"/>
      <c r="N27" s="483" t="str">
        <f>IFERROR(__xludf.DUMMYFUNCTION("""COMPUTED_VALUE"""),"GodSnipezX")</f>
        <v>GodSnipezX</v>
      </c>
      <c r="O27" s="484">
        <f>IFERROR(__xludf.DUMMYFUNCTION("""COMPUTED_VALUE"""),0.4700152564253022)</f>
        <v>0.4700152564</v>
      </c>
      <c r="P27" s="113"/>
      <c r="Q27" s="485" t="str">
        <f>IFERROR(__xludf.DUMMYFUNCTION("""COMPUTED_VALUE"""),"TommyWstSide")</f>
        <v>TommyWstSide</v>
      </c>
      <c r="R27" s="486">
        <f>IFERROR(__xludf.DUMMYFUNCTION("""COMPUTED_VALUE"""),0.3690700710866096)</f>
        <v>0.3690700711</v>
      </c>
      <c r="S27" s="113"/>
      <c r="T27" s="487" t="str">
        <f>IFERROR(__xludf.DUMMYFUNCTION("""COMPUTED_VALUE"""),"Mavbrid")</f>
        <v>Mavbrid</v>
      </c>
      <c r="U27" s="488">
        <f>IFERROR(__xludf.DUMMYFUNCTION("""COMPUTED_VALUE"""),0.01935483870967742)</f>
        <v>0.01935483871</v>
      </c>
      <c r="V27" s="113"/>
      <c r="W27" s="489" t="str">
        <f>IFERROR(__xludf.DUMMYFUNCTION("""COMPUTED_VALUE"""),"Almighty Tycoon")</f>
        <v>Almighty Tycoon</v>
      </c>
      <c r="X27" s="490">
        <f>IFERROR(__xludf.DUMMYFUNCTION("""COMPUTED_VALUE"""),0.051837888784165884)</f>
        <v>0.05183788878</v>
      </c>
      <c r="Y27" s="113"/>
      <c r="Z27" s="445" t="str">
        <f>IFERROR(__xludf.DUMMYFUNCTION("""COMPUTED_VALUE"""),"MoldyVolts")</f>
        <v>MoldyVolts</v>
      </c>
      <c r="AA27" s="491">
        <f>IFERROR(__xludf.DUMMYFUNCTION("""COMPUTED_VALUE"""),0.2752989209682123)</f>
        <v>0.275298921</v>
      </c>
      <c r="AB27" s="113"/>
      <c r="AC27" s="445" t="str">
        <f>IFERROR(__xludf.DUMMYFUNCTION("""COMPUTED_VALUE"""),"Solace VIII")</f>
        <v>Solace VIII</v>
      </c>
      <c r="AD27" s="491">
        <f>IFERROR(__xludf.DUMMYFUNCTION("""COMPUTED_VALUE"""),0.03368184688793769)</f>
        <v>0.03368184689</v>
      </c>
      <c r="AE27" s="113"/>
      <c r="AF27" s="445" t="str">
        <f>IFERROR(__xludf.DUMMYFUNCTION("""COMPUTED_VALUE"""),"yLuxe")</f>
        <v>yLuxe</v>
      </c>
      <c r="AG27" s="492">
        <f>IFERROR(__xludf.DUMMYFUNCTION("""COMPUTED_VALUE"""),50.142857142857146)</f>
        <v>50.14285714</v>
      </c>
      <c r="AH27" s="113"/>
      <c r="AI27" s="493" t="str">
        <f>IFERROR(__xludf.DUMMYFUNCTION("""COMPUTED_VALUE"""),"Scullen cx")</f>
        <v>Scullen cx</v>
      </c>
      <c r="AJ27" s="494">
        <f>IFERROR(__xludf.DUMMYFUNCTION("""COMPUTED_VALUE"""),-0.12545616660828582)</f>
        <v>-0.1254561666</v>
      </c>
      <c r="AK27" s="7"/>
      <c r="AL27" s="444" t="str">
        <f>IFERROR(__xludf.DUMMYFUNCTION("""COMPUTED_VALUE"""),"EllisGotMyPills")</f>
        <v>EllisGotMyPills</v>
      </c>
      <c r="AM27" s="363" t="str">
        <f>IFERROR(__xludf.DUMMYFUNCTION("""COMPUTED_VALUE"""),"D")</f>
        <v>D</v>
      </c>
      <c r="AN27" s="495">
        <f>IFERROR(__xludf.DUMMYFUNCTION("""COMPUTED_VALUE"""),11.3)</f>
        <v>11.3</v>
      </c>
      <c r="AO27" s="186"/>
      <c r="AP27" s="163" t="str">
        <f>IFERROR(__xludf.DUMMYFUNCTION("""COMPUTED_VALUE"""),"EllisGotMyPills")</f>
        <v>EllisGotMyPills</v>
      </c>
      <c r="AQ27" s="390" t="str">
        <f>IFERROR(__xludf.DUMMYFUNCTION("""COMPUTED_VALUE"""),"D")</f>
        <v>D</v>
      </c>
      <c r="AR27" s="475">
        <f>IFERROR(__xludf.DUMMYFUNCTION("""COMPUTED_VALUE"""),15.549999999999999)</f>
        <v>15.55</v>
      </c>
      <c r="AS27" s="186"/>
      <c r="AT27" s="390" t="str">
        <f>IFERROR(__xludf.DUMMYFUNCTION("""COMPUTED_VALUE"""),"EllisGotMyPills")</f>
        <v>EllisGotMyPills</v>
      </c>
      <c r="AU27" s="390" t="str">
        <f>IFERROR(__xludf.DUMMYFUNCTION("""COMPUTED_VALUE"""),"D")</f>
        <v>D</v>
      </c>
      <c r="AV27" s="390">
        <f>IFERROR(__xludf.DUMMYFUNCTION("""COMPUTED_VALUE"""),15.549999999999999)</f>
        <v>15.55</v>
      </c>
      <c r="AW27" s="186"/>
    </row>
    <row r="28">
      <c r="A28" s="93"/>
      <c r="B28" s="475" t="str">
        <f>IFERROR(__xludf.DUMMYFUNCTION("""COMPUTED_VALUE"""),"Laser Wins")</f>
        <v>Laser Wins</v>
      </c>
      <c r="C28" s="476">
        <f>IFERROR(__xludf.DUMMYFUNCTION("""COMPUTED_VALUE"""),-0.6806672624366995)</f>
        <v>-0.6806672624</v>
      </c>
      <c r="D28" s="113"/>
      <c r="E28" s="477" t="str">
        <f>IFERROR(__xludf.DUMMYFUNCTION("""COMPUTED_VALUE"""),"Dior Glori")</f>
        <v>Dior Glori</v>
      </c>
      <c r="F28" s="478">
        <f>IFERROR(__xludf.DUMMYFUNCTION("""COMPUTED_VALUE"""),6.094766181480335)</f>
        <v>6.094766181</v>
      </c>
      <c r="G28" s="113"/>
      <c r="H28" s="479" t="str">
        <f>IFERROR(__xludf.DUMMYFUNCTION("""COMPUTED_VALUE"""),"Almighty Tycoon")</f>
        <v>Almighty Tycoon</v>
      </c>
      <c r="I28" s="480">
        <f>IFERROR(__xludf.DUMMYFUNCTION("""COMPUTED_VALUE"""),0.018998614684345935)</f>
        <v>0.01899861468</v>
      </c>
      <c r="J28" s="113"/>
      <c r="K28" s="481" t="str">
        <f>IFERROR(__xludf.DUMMYFUNCTION("""COMPUTED_VALUE"""),"Almighty Tycoon")</f>
        <v>Almighty Tycoon</v>
      </c>
      <c r="L28" s="482">
        <f>IFERROR(__xludf.DUMMYFUNCTION("""COMPUTED_VALUE"""),0.018998614684345935)</f>
        <v>0.01899861468</v>
      </c>
      <c r="M28" s="113"/>
      <c r="N28" s="483" t="str">
        <f>IFERROR(__xludf.DUMMYFUNCTION("""COMPUTED_VALUE"""),"EllisGotMyPills")</f>
        <v>EllisGotMyPills</v>
      </c>
      <c r="O28" s="484">
        <f>IFERROR(__xludf.DUMMYFUNCTION("""COMPUTED_VALUE"""),0.4693351085961554)</f>
        <v>0.4693351086</v>
      </c>
      <c r="P28" s="113"/>
      <c r="Q28" s="485" t="str">
        <f>IFERROR(__xludf.DUMMYFUNCTION("""COMPUTED_VALUE"""),"MoldyVolts")</f>
        <v>MoldyVolts</v>
      </c>
      <c r="R28" s="486">
        <f>IFERROR(__xludf.DUMMYFUNCTION("""COMPUTED_VALUE"""),0.36395450568678916)</f>
        <v>0.3639545057</v>
      </c>
      <c r="S28" s="113"/>
      <c r="T28" s="487" t="str">
        <f>IFERROR(__xludf.DUMMYFUNCTION("""COMPUTED_VALUE"""),"Luner Panda")</f>
        <v>Luner Panda</v>
      </c>
      <c r="U28" s="488">
        <f>IFERROR(__xludf.DUMMYFUNCTION("""COMPUTED_VALUE"""),0.018411967779056387)</f>
        <v>0.01841196778</v>
      </c>
      <c r="V28" s="113"/>
      <c r="W28" s="489" t="str">
        <f>IFERROR(__xludf.DUMMYFUNCTION("""COMPUTED_VALUE"""),"Lane Uppy")</f>
        <v>Lane Uppy</v>
      </c>
      <c r="X28" s="490">
        <f>IFERROR(__xludf.DUMMYFUNCTION("""COMPUTED_VALUE"""),0.04724240363623349)</f>
        <v>0.04724240364</v>
      </c>
      <c r="Y28" s="113"/>
      <c r="Z28" s="445" t="str">
        <f>IFERROR(__xludf.DUMMYFUNCTION("""COMPUTED_VALUE"""),"Doerstopper")</f>
        <v>Doerstopper</v>
      </c>
      <c r="AA28" s="491">
        <f>IFERROR(__xludf.DUMMYFUNCTION("""COMPUTED_VALUE"""),0.27108704108195447)</f>
        <v>0.2710870411</v>
      </c>
      <c r="AB28" s="113"/>
      <c r="AC28" s="445" t="str">
        <f>IFERROR(__xludf.DUMMYFUNCTION("""COMPUTED_VALUE"""),"ActiveHate")</f>
        <v>ActiveHate</v>
      </c>
      <c r="AD28" s="491">
        <f>IFERROR(__xludf.DUMMYFUNCTION("""COMPUTED_VALUE"""),0.032319670926986926)</f>
        <v>0.03231967093</v>
      </c>
      <c r="AE28" s="113"/>
      <c r="AF28" s="445" t="str">
        <f>IFERROR(__xludf.DUMMYFUNCTION("""COMPUTED_VALUE"""),"Finesse God24")</f>
        <v>Finesse God24</v>
      </c>
      <c r="AG28" s="492">
        <f>IFERROR(__xludf.DUMMYFUNCTION("""COMPUTED_VALUE"""),48.166666666666664)</f>
        <v>48.16666667</v>
      </c>
      <c r="AH28" s="113"/>
      <c r="AI28" s="493" t="str">
        <f>IFERROR(__xludf.DUMMYFUNCTION("""COMPUTED_VALUE"""),"Laser Wins")</f>
        <v>Laser Wins</v>
      </c>
      <c r="AJ28" s="494">
        <f>IFERROR(__xludf.DUMMYFUNCTION("""COMPUTED_VALUE"""),-0.1602961828162901)</f>
        <v>-0.1602961828</v>
      </c>
      <c r="AK28" s="7"/>
      <c r="AL28" s="444" t="str">
        <f>IFERROR(__xludf.DUMMYFUNCTION("""COMPUTED_VALUE"""),"ActiveHate")</f>
        <v>ActiveHate</v>
      </c>
      <c r="AM28" s="363" t="str">
        <f>IFERROR(__xludf.DUMMYFUNCTION("""COMPUTED_VALUE"""),"D")</f>
        <v>D</v>
      </c>
      <c r="AN28" s="495">
        <f>IFERROR(__xludf.DUMMYFUNCTION("""COMPUTED_VALUE"""),10.700000000000001)</f>
        <v>10.7</v>
      </c>
      <c r="AO28" s="186"/>
      <c r="AP28" s="163" t="str">
        <f>IFERROR(__xludf.DUMMYFUNCTION("""COMPUTED_VALUE"""),"ActiveHate")</f>
        <v>ActiveHate</v>
      </c>
      <c r="AQ28" s="390" t="str">
        <f>IFERROR(__xludf.DUMMYFUNCTION("""COMPUTED_VALUE"""),"D-")</f>
        <v>D-</v>
      </c>
      <c r="AR28" s="475">
        <f>IFERROR(__xludf.DUMMYFUNCTION("""COMPUTED_VALUE"""),14.3)</f>
        <v>14.3</v>
      </c>
      <c r="AS28" s="186"/>
      <c r="AT28" s="390" t="str">
        <f>IFERROR(__xludf.DUMMYFUNCTION("""COMPUTED_VALUE"""),"ActiveHate")</f>
        <v>ActiveHate</v>
      </c>
      <c r="AU28" s="390" t="str">
        <f>IFERROR(__xludf.DUMMYFUNCTION("""COMPUTED_VALUE"""),"D-")</f>
        <v>D-</v>
      </c>
      <c r="AV28" s="390">
        <f>IFERROR(__xludf.DUMMYFUNCTION("""COMPUTED_VALUE"""),14.3)</f>
        <v>14.3</v>
      </c>
      <c r="AW28" s="186"/>
    </row>
    <row r="29">
      <c r="A29" s="93"/>
      <c r="B29" s="475" t="str">
        <f>IFERROR(__xludf.DUMMYFUNCTION("""COMPUTED_VALUE"""),"AwareMosquito")</f>
        <v>AwareMosquito</v>
      </c>
      <c r="C29" s="476">
        <f>IFERROR(__xludf.DUMMYFUNCTION("""COMPUTED_VALUE"""),-0.6856879889553612)</f>
        <v>-0.685687989</v>
      </c>
      <c r="D29" s="113"/>
      <c r="E29" s="477" t="str">
        <f>IFERROR(__xludf.DUMMYFUNCTION("""COMPUTED_VALUE"""),"Hells Angel cx")</f>
        <v>Hells Angel cx</v>
      </c>
      <c r="F29" s="478">
        <f>IFERROR(__xludf.DUMMYFUNCTION("""COMPUTED_VALUE"""),5.496927045186766)</f>
        <v>5.496927045</v>
      </c>
      <c r="G29" s="113"/>
      <c r="H29" s="479" t="str">
        <f>IFERROR(__xludf.DUMMYFUNCTION("""COMPUTED_VALUE"""),"Laser Wins")</f>
        <v>Laser Wins</v>
      </c>
      <c r="I29" s="480">
        <f>IFERROR(__xludf.DUMMYFUNCTION("""COMPUTED_VALUE"""),0.013404825737265416)</f>
        <v>0.01340482574</v>
      </c>
      <c r="J29" s="113"/>
      <c r="K29" s="481" t="str">
        <f>IFERROR(__xludf.DUMMYFUNCTION("""COMPUTED_VALUE"""),"Laser Wins")</f>
        <v>Laser Wins</v>
      </c>
      <c r="L29" s="482">
        <f>IFERROR(__xludf.DUMMYFUNCTION("""COMPUTED_VALUE"""),0.013404825737265416)</f>
        <v>0.01340482574</v>
      </c>
      <c r="M29" s="113"/>
      <c r="N29" s="483" t="str">
        <f>IFERROR(__xludf.DUMMYFUNCTION("""COMPUTED_VALUE"""),"ActiveHate")</f>
        <v>ActiveHate</v>
      </c>
      <c r="O29" s="484">
        <f>IFERROR(__xludf.DUMMYFUNCTION("""COMPUTED_VALUE"""),0.46422800058763036)</f>
        <v>0.4642280006</v>
      </c>
      <c r="P29" s="113"/>
      <c r="Q29" s="485" t="str">
        <f>IFERROR(__xludf.DUMMYFUNCTION("""COMPUTED_VALUE"""),"AwareMosquito")</f>
        <v>AwareMosquito</v>
      </c>
      <c r="R29" s="486">
        <f>IFERROR(__xludf.DUMMYFUNCTION("""COMPUTED_VALUE"""),0.36355269213069485)</f>
        <v>0.3635526921</v>
      </c>
      <c r="S29" s="113"/>
      <c r="T29" s="487" t="str">
        <f>IFERROR(__xludf.DUMMYFUNCTION("""COMPUTED_VALUE"""),"EllisGotMyPills")</f>
        <v>EllisGotMyPills</v>
      </c>
      <c r="U29" s="488">
        <f>IFERROR(__xludf.DUMMYFUNCTION("""COMPUTED_VALUE"""),0.01615798922800718)</f>
        <v>0.01615798923</v>
      </c>
      <c r="V29" s="113"/>
      <c r="W29" s="489" t="str">
        <f>IFERROR(__xludf.DUMMYFUNCTION("""COMPUTED_VALUE"""),"MuNgO PuNgO")</f>
        <v>MuNgO PuNgO</v>
      </c>
      <c r="X29" s="490">
        <f>IFERROR(__xludf.DUMMYFUNCTION("""COMPUTED_VALUE"""),0.046966731898238745)</f>
        <v>0.0469667319</v>
      </c>
      <c r="Y29" s="113"/>
      <c r="Z29" s="445" t="str">
        <f>IFERROR(__xludf.DUMMYFUNCTION("""COMPUTED_VALUE"""),"GodSnipezX")</f>
        <v>GodSnipezX</v>
      </c>
      <c r="AA29" s="491">
        <f>IFERROR(__xludf.DUMMYFUNCTION("""COMPUTED_VALUE"""),0.257012087783124)</f>
        <v>0.2570120878</v>
      </c>
      <c r="AB29" s="113"/>
      <c r="AC29" s="445" t="str">
        <f>IFERROR(__xludf.DUMMYFUNCTION("""COMPUTED_VALUE"""),"GodSnipezX")</f>
        <v>GodSnipezX</v>
      </c>
      <c r="AD29" s="491">
        <f>IFERROR(__xludf.DUMMYFUNCTION("""COMPUTED_VALUE"""),0.031686421781481046)</f>
        <v>0.03168642178</v>
      </c>
      <c r="AE29" s="113"/>
      <c r="AF29" s="445" t="str">
        <f>IFERROR(__xludf.DUMMYFUNCTION("""COMPUTED_VALUE"""),"L1ght5aber")</f>
        <v>L1ght5aber</v>
      </c>
      <c r="AG29" s="492">
        <f>IFERROR(__xludf.DUMMYFUNCTION("""COMPUTED_VALUE"""),43.625)</f>
        <v>43.625</v>
      </c>
      <c r="AH29" s="113"/>
      <c r="AI29" s="493" t="str">
        <f>IFERROR(__xludf.DUMMYFUNCTION("""COMPUTED_VALUE"""),"MoldyVolts")</f>
        <v>MoldyVolts</v>
      </c>
      <c r="AJ29" s="494">
        <f>IFERROR(__xludf.DUMMYFUNCTION("""COMPUTED_VALUE"""),-0.2302524684414448)</f>
        <v>-0.2302524684</v>
      </c>
      <c r="AK29" s="7"/>
      <c r="AL29" s="444" t="str">
        <f>IFERROR(__xludf.DUMMYFUNCTION("""COMPUTED_VALUE"""),"MoldyVolts")</f>
        <v>MoldyVolts</v>
      </c>
      <c r="AM29" s="363" t="str">
        <f>IFERROR(__xludf.DUMMYFUNCTION("""COMPUTED_VALUE"""),"D")</f>
        <v>D</v>
      </c>
      <c r="AN29" s="495">
        <f>IFERROR(__xludf.DUMMYFUNCTION("""COMPUTED_VALUE"""),10.6)</f>
        <v>10.6</v>
      </c>
      <c r="AO29" s="186"/>
      <c r="AP29" s="163" t="str">
        <f>IFERROR(__xludf.DUMMYFUNCTION("""COMPUTED_VALUE"""),"MoldyVolts")</f>
        <v>MoldyVolts</v>
      </c>
      <c r="AQ29" s="390" t="str">
        <f>IFERROR(__xludf.DUMMYFUNCTION("""COMPUTED_VALUE"""),"E+")</f>
        <v>E+</v>
      </c>
      <c r="AR29" s="475">
        <f>IFERROR(__xludf.DUMMYFUNCTION("""COMPUTED_VALUE"""),13.650000000000002)</f>
        <v>13.65</v>
      </c>
      <c r="AS29" s="186"/>
      <c r="AT29" s="390" t="str">
        <f>IFERROR(__xludf.DUMMYFUNCTION("""COMPUTED_VALUE"""),"MoldyVolts")</f>
        <v>MoldyVolts</v>
      </c>
      <c r="AU29" s="390" t="str">
        <f>IFERROR(__xludf.DUMMYFUNCTION("""COMPUTED_VALUE"""),"E+")</f>
        <v>E+</v>
      </c>
      <c r="AV29" s="390">
        <f>IFERROR(__xludf.DUMMYFUNCTION("""COMPUTED_VALUE"""),13.650000000000002)</f>
        <v>13.65</v>
      </c>
      <c r="AW29" s="186"/>
    </row>
    <row r="30">
      <c r="A30" s="93"/>
      <c r="B30" s="475" t="str">
        <f>IFERROR(__xludf.DUMMYFUNCTION("""COMPUTED_VALUE"""),"ActiveHate")</f>
        <v>ActiveHate</v>
      </c>
      <c r="C30" s="476">
        <f>IFERROR(__xludf.DUMMYFUNCTION("""COMPUTED_VALUE"""),-0.7506978110768326)</f>
        <v>-0.7506978111</v>
      </c>
      <c r="D30" s="113"/>
      <c r="E30" s="477" t="str">
        <f>IFERROR(__xludf.DUMMYFUNCTION("""COMPUTED_VALUE"""),"Doerstopper")</f>
        <v>Doerstopper</v>
      </c>
      <c r="F30" s="478">
        <f>IFERROR(__xludf.DUMMYFUNCTION("""COMPUTED_VALUE"""),5.337362736004309)</f>
        <v>5.337362736</v>
      </c>
      <c r="G30" s="113"/>
      <c r="H30" s="479" t="str">
        <f>IFERROR(__xludf.DUMMYFUNCTION("""COMPUTED_VALUE"""),"MealyKitten0")</f>
        <v>MealyKitten0</v>
      </c>
      <c r="I30" s="480">
        <f>IFERROR(__xludf.DUMMYFUNCTION("""COMPUTED_VALUE"""),0.012387736141220193)</f>
        <v>0.01238773614</v>
      </c>
      <c r="J30" s="113"/>
      <c r="K30" s="481" t="str">
        <f>IFERROR(__xludf.DUMMYFUNCTION("""COMPUTED_VALUE"""),"MealyKitten0")</f>
        <v>MealyKitten0</v>
      </c>
      <c r="L30" s="482">
        <f>IFERROR(__xludf.DUMMYFUNCTION("""COMPUTED_VALUE"""),0.012387736141220193)</f>
        <v>0.01238773614</v>
      </c>
      <c r="M30" s="113"/>
      <c r="N30" s="483" t="str">
        <f>IFERROR(__xludf.DUMMYFUNCTION("""COMPUTED_VALUE"""),"TommyWstSide")</f>
        <v>TommyWstSide</v>
      </c>
      <c r="O30" s="484">
        <f>IFERROR(__xludf.DUMMYFUNCTION("""COMPUTED_VALUE"""),0.4508922094878863)</f>
        <v>0.4508922095</v>
      </c>
      <c r="P30" s="113"/>
      <c r="Q30" s="485" t="str">
        <f>IFERROR(__xludf.DUMMYFUNCTION("""COMPUTED_VALUE"""),"CaptainSev004")</f>
        <v>CaptainSev004</v>
      </c>
      <c r="R30" s="486">
        <f>IFERROR(__xludf.DUMMYFUNCTION("""COMPUTED_VALUE"""),0.36324324324324325)</f>
        <v>0.3632432432</v>
      </c>
      <c r="S30" s="113"/>
      <c r="T30" s="487" t="str">
        <f>IFERROR(__xludf.DUMMYFUNCTION("""COMPUTED_VALUE"""),"Dior Glori")</f>
        <v>Dior Glori</v>
      </c>
      <c r="U30" s="488">
        <f>IFERROR(__xludf.DUMMYFUNCTION("""COMPUTED_VALUE"""),0.01580135440180587)</f>
        <v>0.0158013544</v>
      </c>
      <c r="V30" s="113"/>
      <c r="W30" s="489" t="str">
        <f>IFERROR(__xludf.DUMMYFUNCTION("""COMPUTED_VALUE"""),"CaptainSev004")</f>
        <v>CaptainSev004</v>
      </c>
      <c r="X30" s="490">
        <f>IFERROR(__xludf.DUMMYFUNCTION("""COMPUTED_VALUE"""),0.03861003861003861)</f>
        <v>0.03861003861</v>
      </c>
      <c r="Y30" s="113"/>
      <c r="Z30" s="445" t="str">
        <f>IFERROR(__xludf.DUMMYFUNCTION("""COMPUTED_VALUE"""),"Finesse God24")</f>
        <v>Finesse God24</v>
      </c>
      <c r="AA30" s="491">
        <f>IFERROR(__xludf.DUMMYFUNCTION("""COMPUTED_VALUE"""),0.2533504681476042)</f>
        <v>0.2533504681</v>
      </c>
      <c r="AB30" s="113"/>
      <c r="AC30" s="445" t="str">
        <f>IFERROR(__xludf.DUMMYFUNCTION("""COMPUTED_VALUE"""),"Luner Panda")</f>
        <v>Luner Panda</v>
      </c>
      <c r="AD30" s="491">
        <f>IFERROR(__xludf.DUMMYFUNCTION("""COMPUTED_VALUE"""),0.030969340353050483)</f>
        <v>0.03096934035</v>
      </c>
      <c r="AE30" s="113"/>
      <c r="AF30" s="445" t="str">
        <f>IFERROR(__xludf.DUMMYFUNCTION("""COMPUTED_VALUE"""),"Mhurcy")</f>
        <v>Mhurcy</v>
      </c>
      <c r="AG30" s="492">
        <f>IFERROR(__xludf.DUMMYFUNCTION("""COMPUTED_VALUE"""),43.05)</f>
        <v>43.05</v>
      </c>
      <c r="AH30" s="113"/>
      <c r="AI30" s="493" t="str">
        <f>IFERROR(__xludf.DUMMYFUNCTION("""COMPUTED_VALUE"""),"ActiveHate")</f>
        <v>ActiveHate</v>
      </c>
      <c r="AJ30" s="494">
        <f>IFERROR(__xludf.DUMMYFUNCTION("""COMPUTED_VALUE"""),-0.23211400029381518)</f>
        <v>-0.2321140003</v>
      </c>
      <c r="AK30" s="7"/>
      <c r="AL30" s="444" t="str">
        <f>IFERROR(__xludf.DUMMYFUNCTION("""COMPUTED_VALUE"""),"Finesse God24")</f>
        <v>Finesse God24</v>
      </c>
      <c r="AM30" s="363" t="str">
        <f>IFERROR(__xludf.DUMMYFUNCTION("""COMPUTED_VALUE"""),"D")</f>
        <v>D</v>
      </c>
      <c r="AN30" s="495">
        <f>IFERROR(__xludf.DUMMYFUNCTION("""COMPUTED_VALUE"""),10.2)</f>
        <v>10.2</v>
      </c>
      <c r="AO30" s="186"/>
      <c r="AP30" s="163" t="str">
        <f>IFERROR(__xludf.DUMMYFUNCTION("""COMPUTED_VALUE"""),"Finesse God24")</f>
        <v>Finesse God24</v>
      </c>
      <c r="AQ30" s="390" t="str">
        <f>IFERROR(__xludf.DUMMYFUNCTION("""COMPUTED_VALUE"""),"E+")</f>
        <v>E+</v>
      </c>
      <c r="AR30" s="475">
        <f>IFERROR(__xludf.DUMMYFUNCTION("""COMPUTED_VALUE"""),13.65)</f>
        <v>13.65</v>
      </c>
      <c r="AS30" s="186"/>
      <c r="AT30" s="390" t="str">
        <f>IFERROR(__xludf.DUMMYFUNCTION("""COMPUTED_VALUE"""),"Finesse God24")</f>
        <v>Finesse God24</v>
      </c>
      <c r="AU30" s="390" t="str">
        <f>IFERROR(__xludf.DUMMYFUNCTION("""COMPUTED_VALUE"""),"E+")</f>
        <v>E+</v>
      </c>
      <c r="AV30" s="390">
        <f>IFERROR(__xludf.DUMMYFUNCTION("""COMPUTED_VALUE"""),13.65)</f>
        <v>13.65</v>
      </c>
      <c r="AW30" s="186"/>
    </row>
    <row r="31">
      <c r="A31" s="93"/>
      <c r="B31" s="475" t="str">
        <f>IFERROR(__xludf.DUMMYFUNCTION("""COMPUTED_VALUE"""),"Scullen cx")</f>
        <v>Scullen cx</v>
      </c>
      <c r="C31" s="476">
        <f>IFERROR(__xludf.DUMMYFUNCTION("""COMPUTED_VALUE"""),-0.752794319014107)</f>
        <v>-0.752794319</v>
      </c>
      <c r="D31" s="113"/>
      <c r="E31" s="477" t="str">
        <f>IFERROR(__xludf.DUMMYFUNCTION("""COMPUTED_VALUE"""),"Dhlyn")</f>
        <v>Dhlyn</v>
      </c>
      <c r="F31" s="478">
        <f>IFERROR(__xludf.DUMMYFUNCTION("""COMPUTED_VALUE"""),5.170058192069975)</f>
        <v>5.170058192</v>
      </c>
      <c r="G31" s="113"/>
      <c r="H31" s="479" t="str">
        <f>IFERROR(__xludf.DUMMYFUNCTION("""COMPUTED_VALUE"""),"Doerstopper")</f>
        <v>Doerstopper</v>
      </c>
      <c r="I31" s="480">
        <f>IFERROR(__xludf.DUMMYFUNCTION("""COMPUTED_VALUE"""),0.010771670506567728)</f>
        <v>0.01077167051</v>
      </c>
      <c r="J31" s="113"/>
      <c r="K31" s="481" t="str">
        <f>IFERROR(__xludf.DUMMYFUNCTION("""COMPUTED_VALUE"""),"Doerstopper")</f>
        <v>Doerstopper</v>
      </c>
      <c r="L31" s="482">
        <f>IFERROR(__xludf.DUMMYFUNCTION("""COMPUTED_VALUE"""),0.010771670506567728)</f>
        <v>0.01077167051</v>
      </c>
      <c r="M31" s="113"/>
      <c r="N31" s="483" t="str">
        <f>IFERROR(__xludf.DUMMYFUNCTION("""COMPUTED_VALUE"""),"Finesse God24")</f>
        <v>Finesse God24</v>
      </c>
      <c r="O31" s="484">
        <f>IFERROR(__xludf.DUMMYFUNCTION("""COMPUTED_VALUE"""),0.41857903433082433)</f>
        <v>0.4185790343</v>
      </c>
      <c r="P31" s="113"/>
      <c r="Q31" s="485" t="str">
        <f>IFERROR(__xludf.DUMMYFUNCTION("""COMPUTED_VALUE"""),"Mavbrid")</f>
        <v>Mavbrid</v>
      </c>
      <c r="R31" s="486">
        <f>IFERROR(__xludf.DUMMYFUNCTION("""COMPUTED_VALUE"""),0.33642239700957866)</f>
        <v>0.336422397</v>
      </c>
      <c r="S31" s="113"/>
      <c r="T31" s="487" t="str">
        <f>IFERROR(__xludf.DUMMYFUNCTION("""COMPUTED_VALUE"""),"AwareMosquito")</f>
        <v>AwareMosquito</v>
      </c>
      <c r="U31" s="488">
        <f>IFERROR(__xludf.DUMMYFUNCTION("""COMPUTED_VALUE"""),0.014705882352941176)</f>
        <v>0.01470588235</v>
      </c>
      <c r="V31" s="113"/>
      <c r="W31" s="489" t="str">
        <f>IFERROR(__xludf.DUMMYFUNCTION("""COMPUTED_VALUE"""),"MysticalNovice")</f>
        <v>MysticalNovice</v>
      </c>
      <c r="X31" s="490">
        <f>IFERROR(__xludf.DUMMYFUNCTION("""COMPUTED_VALUE"""),0.03837237189223759)</f>
        <v>0.03837237189</v>
      </c>
      <c r="Y31" s="113"/>
      <c r="Z31" s="445" t="str">
        <f>IFERROR(__xludf.DUMMYFUNCTION("""COMPUTED_VALUE"""),"ADhillyy")</f>
        <v>ADhillyy</v>
      </c>
      <c r="AA31" s="491">
        <f>IFERROR(__xludf.DUMMYFUNCTION("""COMPUTED_VALUE"""),0.24945833577326226)</f>
        <v>0.2494583358</v>
      </c>
      <c r="AB31" s="113"/>
      <c r="AC31" s="445" t="str">
        <f>IFERROR(__xludf.DUMMYFUNCTION("""COMPUTED_VALUE"""),"TommyWstSide")</f>
        <v>TommyWstSide</v>
      </c>
      <c r="AD31" s="491">
        <f>IFERROR(__xludf.DUMMYFUNCTION("""COMPUTED_VALUE"""),0.02959524154939794)</f>
        <v>0.02959524155</v>
      </c>
      <c r="AE31" s="113"/>
      <c r="AF31" s="445" t="str">
        <f>IFERROR(__xludf.DUMMYFUNCTION("""COMPUTED_VALUE"""),"MoldyVolts")</f>
        <v>MoldyVolts</v>
      </c>
      <c r="AG31" s="492">
        <f>IFERROR(__xludf.DUMMYFUNCTION("""COMPUTED_VALUE"""),39.12068965517241)</f>
        <v>39.12068966</v>
      </c>
      <c r="AH31" s="113"/>
      <c r="AI31" s="493" t="str">
        <f>IFERROR(__xludf.DUMMYFUNCTION("""COMPUTED_VALUE"""),"AwareMosquito")</f>
        <v>AwareMosquito</v>
      </c>
      <c r="AJ31" s="494">
        <f>IFERROR(__xludf.DUMMYFUNCTION("""COMPUTED_VALUE"""),-0.24713529682466634)</f>
        <v>-0.2471352968</v>
      </c>
      <c r="AK31" s="7"/>
      <c r="AL31" s="444" t="str">
        <f>IFERROR(__xludf.DUMMYFUNCTION("""COMPUTED_VALUE"""),"CaptainSev004")</f>
        <v>CaptainSev004</v>
      </c>
      <c r="AM31" s="363" t="str">
        <f>IFERROR(__xludf.DUMMYFUNCTION("""COMPUTED_VALUE"""),"D")</f>
        <v>D</v>
      </c>
      <c r="AN31" s="495">
        <f>IFERROR(__xludf.DUMMYFUNCTION("""COMPUTED_VALUE"""),9.5)</f>
        <v>9.5</v>
      </c>
      <c r="AO31" s="186"/>
      <c r="AP31" s="163" t="str">
        <f>IFERROR(__xludf.DUMMYFUNCTION("""COMPUTED_VALUE"""),"CaptainSev004")</f>
        <v>CaptainSev004</v>
      </c>
      <c r="AQ31" s="390" t="str">
        <f>IFERROR(__xludf.DUMMYFUNCTION("""COMPUTED_VALUE"""),"E")</f>
        <v>E</v>
      </c>
      <c r="AR31" s="475">
        <f>IFERROR(__xludf.DUMMYFUNCTION("""COMPUTED_VALUE"""),13.3)</f>
        <v>13.3</v>
      </c>
      <c r="AS31" s="186"/>
      <c r="AT31" s="390" t="str">
        <f>IFERROR(__xludf.DUMMYFUNCTION("""COMPUTED_VALUE"""),"CaptainSev004")</f>
        <v>CaptainSev004</v>
      </c>
      <c r="AU31" s="390" t="str">
        <f>IFERROR(__xludf.DUMMYFUNCTION("""COMPUTED_VALUE"""),"E")</f>
        <v>E</v>
      </c>
      <c r="AV31" s="390">
        <f>IFERROR(__xludf.DUMMYFUNCTION("""COMPUTED_VALUE"""),13.3)</f>
        <v>13.3</v>
      </c>
      <c r="AW31" s="186"/>
    </row>
    <row r="32">
      <c r="A32" s="93"/>
      <c r="B32" s="475" t="str">
        <f>IFERROR(__xludf.DUMMYFUNCTION("""COMPUTED_VALUE"""),"TommyWstSide")</f>
        <v>TommyWstSide</v>
      </c>
      <c r="C32" s="476">
        <f>IFERROR(__xludf.DUMMYFUNCTION("""COMPUTED_VALUE"""),-0.8077760046423909)</f>
        <v>-0.8077760046</v>
      </c>
      <c r="D32" s="113"/>
      <c r="E32" s="477" t="str">
        <f>IFERROR(__xludf.DUMMYFUNCTION("""COMPUTED_VALUE"""),"yLuxe")</f>
        <v>yLuxe</v>
      </c>
      <c r="F32" s="478">
        <f>IFERROR(__xludf.DUMMYFUNCTION("""COMPUTED_VALUE"""),5.017827683465489)</f>
        <v>5.017827683</v>
      </c>
      <c r="G32" s="113"/>
      <c r="H32" s="479" t="str">
        <f>IFERROR(__xludf.DUMMYFUNCTION("""COMPUTED_VALUE"""),"AwareMosquito")</f>
        <v>AwareMosquito</v>
      </c>
      <c r="I32" s="480">
        <f>IFERROR(__xludf.DUMMYFUNCTION("""COMPUTED_VALUE"""),0.009203865623561895)</f>
        <v>0.009203865624</v>
      </c>
      <c r="J32" s="113"/>
      <c r="K32" s="481" t="str">
        <f>IFERROR(__xludf.DUMMYFUNCTION("""COMPUTED_VALUE"""),"AwareMosquito")</f>
        <v>AwareMosquito</v>
      </c>
      <c r="L32" s="482">
        <f>IFERROR(__xludf.DUMMYFUNCTION("""COMPUTED_VALUE"""),0.009203865623561895)</f>
        <v>0.009203865624</v>
      </c>
      <c r="M32" s="113"/>
      <c r="N32" s="483" t="str">
        <f>IFERROR(__xludf.DUMMYFUNCTION("""COMPUTED_VALUE"""),"Luner Panda")</f>
        <v>Luner Panda</v>
      </c>
      <c r="O32" s="484">
        <f>IFERROR(__xludf.DUMMYFUNCTION("""COMPUTED_VALUE"""),0.3995044905543512)</f>
        <v>0.3995044906</v>
      </c>
      <c r="P32" s="113"/>
      <c r="Q32" s="485" t="str">
        <f>IFERROR(__xludf.DUMMYFUNCTION("""COMPUTED_VALUE"""),"Luner Panda")</f>
        <v>Luner Panda</v>
      </c>
      <c r="R32" s="486">
        <f>IFERROR(__xludf.DUMMYFUNCTION("""COMPUTED_VALUE"""),0.3313719417776402)</f>
        <v>0.3313719418</v>
      </c>
      <c r="S32" s="113"/>
      <c r="T32" s="487" t="str">
        <f>IFERROR(__xludf.DUMMYFUNCTION("""COMPUTED_VALUE"""),"TommyWstSide")</f>
        <v>TommyWstSide</v>
      </c>
      <c r="U32" s="488">
        <f>IFERROR(__xludf.DUMMYFUNCTION("""COMPUTED_VALUE"""),0.014660965180207697)</f>
        <v>0.01466096518</v>
      </c>
      <c r="V32" s="113"/>
      <c r="W32" s="489" t="str">
        <f>IFERROR(__xludf.DUMMYFUNCTION("""COMPUTED_VALUE"""),"L1ght5aber")</f>
        <v>L1ght5aber</v>
      </c>
      <c r="X32" s="490">
        <f>IFERROR(__xludf.DUMMYFUNCTION("""COMPUTED_VALUE"""),0.034342133505044004)</f>
        <v>0.03434213351</v>
      </c>
      <c r="Y32" s="113"/>
      <c r="Z32" s="445" t="str">
        <f>IFERROR(__xludf.DUMMYFUNCTION("""COMPUTED_VALUE"""),"Lane Uppy")</f>
        <v>Lane Uppy</v>
      </c>
      <c r="AA32" s="491">
        <f>IFERROR(__xludf.DUMMYFUNCTION("""COMPUTED_VALUE"""),0.245057288466404)</f>
        <v>0.2450572885</v>
      </c>
      <c r="AB32" s="113"/>
      <c r="AC32" s="445" t="str">
        <f>IFERROR(__xludf.DUMMYFUNCTION("""COMPUTED_VALUE"""),"Mavbrid")</f>
        <v>Mavbrid</v>
      </c>
      <c r="AD32" s="491">
        <f>IFERROR(__xludf.DUMMYFUNCTION("""COMPUTED_VALUE"""),0.029203333073748148)</f>
        <v>0.02920333307</v>
      </c>
      <c r="AE32" s="113"/>
      <c r="AF32" s="445" t="str">
        <f>IFERROR(__xludf.DUMMYFUNCTION("""COMPUTED_VALUE"""),"Scullen cx")</f>
        <v>Scullen cx</v>
      </c>
      <c r="AG32" s="492">
        <f>IFERROR(__xludf.DUMMYFUNCTION("""COMPUTED_VALUE"""),37.292682926829265)</f>
        <v>37.29268293</v>
      </c>
      <c r="AH32" s="113"/>
      <c r="AI32" s="493" t="str">
        <f>IFERROR(__xludf.DUMMYFUNCTION("""COMPUTED_VALUE"""),"Doerstopper")</f>
        <v>Doerstopper</v>
      </c>
      <c r="AJ32" s="494">
        <f>IFERROR(__xludf.DUMMYFUNCTION("""COMPUTED_VALUE"""),-0.3287313189840132)</f>
        <v>-0.328731319</v>
      </c>
      <c r="AK32" s="7"/>
      <c r="AL32" s="444" t="str">
        <f>IFERROR(__xludf.DUMMYFUNCTION("""COMPUTED_VALUE"""),"ADhillyy")</f>
        <v>ADhillyy</v>
      </c>
      <c r="AM32" s="363" t="str">
        <f>IFERROR(__xludf.DUMMYFUNCTION("""COMPUTED_VALUE"""),"D")</f>
        <v>D</v>
      </c>
      <c r="AN32" s="495">
        <f>IFERROR(__xludf.DUMMYFUNCTION("""COMPUTED_VALUE"""),9.400000000000002)</f>
        <v>9.4</v>
      </c>
      <c r="AO32" s="186"/>
      <c r="AP32" s="163" t="str">
        <f>IFERROR(__xludf.DUMMYFUNCTION("""COMPUTED_VALUE"""),"Almighty Tycoon")</f>
        <v>Almighty Tycoon</v>
      </c>
      <c r="AQ32" s="390" t="str">
        <f>IFERROR(__xludf.DUMMYFUNCTION("""COMPUTED_VALUE"""),"E")</f>
        <v>E</v>
      </c>
      <c r="AR32" s="475">
        <f>IFERROR(__xludf.DUMMYFUNCTION("""COMPUTED_VALUE"""),12.75)</f>
        <v>12.75</v>
      </c>
      <c r="AS32" s="186"/>
      <c r="AT32" s="390" t="str">
        <f>IFERROR(__xludf.DUMMYFUNCTION("""COMPUTED_VALUE"""),"Almighty Tycoon")</f>
        <v>Almighty Tycoon</v>
      </c>
      <c r="AU32" s="390" t="str">
        <f>IFERROR(__xludf.DUMMYFUNCTION("""COMPUTED_VALUE"""),"E")</f>
        <v>E</v>
      </c>
      <c r="AV32" s="390">
        <f>IFERROR(__xludf.DUMMYFUNCTION("""COMPUTED_VALUE"""),12.75)</f>
        <v>12.75</v>
      </c>
      <c r="AW32" s="186"/>
    </row>
    <row r="33">
      <c r="A33" s="93"/>
      <c r="B33" s="475" t="str">
        <f>IFERROR(__xludf.DUMMYFUNCTION("""COMPUTED_VALUE"""),"Luner Panda")</f>
        <v>Luner Panda</v>
      </c>
      <c r="C33" s="476">
        <f>IFERROR(__xludf.DUMMYFUNCTION("""COMPUTED_VALUE"""),-0.8144936512852277)</f>
        <v>-0.8144936513</v>
      </c>
      <c r="D33" s="113"/>
      <c r="E33" s="477" t="str">
        <f>IFERROR(__xludf.DUMMYFUNCTION("""COMPUTED_VALUE"""),"L0RNA SHORE")</f>
        <v>L0RNA SHORE</v>
      </c>
      <c r="F33" s="478">
        <f>IFERROR(__xludf.DUMMYFUNCTION("""COMPUTED_VALUE"""),4.812470698546647)</f>
        <v>4.812470699</v>
      </c>
      <c r="G33" s="113"/>
      <c r="H33" s="479" t="str">
        <f>IFERROR(__xludf.DUMMYFUNCTION("""COMPUTED_VALUE"""),"ADhillyy")</f>
        <v>ADhillyy</v>
      </c>
      <c r="I33" s="480">
        <f>IFERROR(__xludf.DUMMYFUNCTION("""COMPUTED_VALUE"""),0.007026995373894712)</f>
        <v>0.007026995374</v>
      </c>
      <c r="J33" s="113"/>
      <c r="K33" s="481" t="str">
        <f>IFERROR(__xludf.DUMMYFUNCTION("""COMPUTED_VALUE"""),"ADhillyy")</f>
        <v>ADhillyy</v>
      </c>
      <c r="L33" s="482">
        <f>IFERROR(__xludf.DUMMYFUNCTION("""COMPUTED_VALUE"""),0.007026995373894712)</f>
        <v>0.007026995374</v>
      </c>
      <c r="M33" s="113"/>
      <c r="N33" s="483" t="str">
        <f>IFERROR(__xludf.DUMMYFUNCTION("""COMPUTED_VALUE"""),"MuNgO PuNgO")</f>
        <v>MuNgO PuNgO</v>
      </c>
      <c r="O33" s="484">
        <f>IFERROR(__xludf.DUMMYFUNCTION("""COMPUTED_VALUE"""),0.37854889589905366)</f>
        <v>0.3785488959</v>
      </c>
      <c r="P33" s="113"/>
      <c r="Q33" s="485" t="str">
        <f>IFERROR(__xludf.DUMMYFUNCTION("""COMPUTED_VALUE"""),"MuNgO PuNgO")</f>
        <v>MuNgO PuNgO</v>
      </c>
      <c r="R33" s="486">
        <f>IFERROR(__xludf.DUMMYFUNCTION("""COMPUTED_VALUE"""),0.3312302839116719)</f>
        <v>0.3312302839</v>
      </c>
      <c r="S33" s="113"/>
      <c r="T33" s="487" t="str">
        <f>IFERROR(__xludf.DUMMYFUNCTION("""COMPUTED_VALUE"""),"Finesse God24")</f>
        <v>Finesse God24</v>
      </c>
      <c r="U33" s="488">
        <f>IFERROR(__xludf.DUMMYFUNCTION("""COMPUTED_VALUE"""),0.01384083044982699)</f>
        <v>0.01384083045</v>
      </c>
      <c r="V33" s="113"/>
      <c r="W33" s="489" t="str">
        <f>IFERROR(__xludf.DUMMYFUNCTION("""COMPUTED_VALUE"""),"InfiniteRainge")</f>
        <v>InfiniteRainge</v>
      </c>
      <c r="X33" s="490">
        <f>IFERROR(__xludf.DUMMYFUNCTION("""COMPUTED_VALUE"""),0.024961863819165164)</f>
        <v>0.02496186382</v>
      </c>
      <c r="Y33" s="113"/>
      <c r="Z33" s="445" t="str">
        <f>IFERROR(__xludf.DUMMYFUNCTION("""COMPUTED_VALUE"""),"MuNgO PuNgO")</f>
        <v>MuNgO PuNgO</v>
      </c>
      <c r="AA33" s="491">
        <f>IFERROR(__xludf.DUMMYFUNCTION("""COMPUTED_VALUE"""),0.23659305993690852)</f>
        <v>0.2365930599</v>
      </c>
      <c r="AB33" s="113"/>
      <c r="AC33" s="445" t="str">
        <f>IFERROR(__xludf.DUMMYFUNCTION("""COMPUTED_VALUE"""),"EllisGotMyPills")</f>
        <v>EllisGotMyPills</v>
      </c>
      <c r="AD33" s="491">
        <f>IFERROR(__xludf.DUMMYFUNCTION("""COMPUTED_VALUE"""),0.02163601564450362)</f>
        <v>0.02163601564</v>
      </c>
      <c r="AE33" s="113"/>
      <c r="AF33" s="445" t="str">
        <f>IFERROR(__xludf.DUMMYFUNCTION("""COMPUTED_VALUE"""),"Hells Angel cx")</f>
        <v>Hells Angel cx</v>
      </c>
      <c r="AG33" s="492">
        <f>IFERROR(__xludf.DUMMYFUNCTION("""COMPUTED_VALUE"""),31.522727272727273)</f>
        <v>31.52272727</v>
      </c>
      <c r="AH33" s="113"/>
      <c r="AI33" s="493" t="str">
        <f>IFERROR(__xludf.DUMMYFUNCTION("""COMPUTED_VALUE"""),"Luner Panda")</f>
        <v>Luner Panda</v>
      </c>
      <c r="AJ33" s="494">
        <f>IFERROR(__xludf.DUMMYFUNCTION("""COMPUTED_VALUE"""),-0.3402645666504447)</f>
        <v>-0.3402645667</v>
      </c>
      <c r="AK33" s="7"/>
      <c r="AL33" s="444" t="str">
        <f>IFERROR(__xludf.DUMMYFUNCTION("""COMPUTED_VALUE"""),"Almighty Tycoon")</f>
        <v>Almighty Tycoon</v>
      </c>
      <c r="AM33" s="363" t="str">
        <f>IFERROR(__xludf.DUMMYFUNCTION("""COMPUTED_VALUE"""),"D")</f>
        <v>D</v>
      </c>
      <c r="AN33" s="495">
        <f>IFERROR(__xludf.DUMMYFUNCTION("""COMPUTED_VALUE"""),9.2)</f>
        <v>9.2</v>
      </c>
      <c r="AO33" s="186"/>
      <c r="AP33" s="163" t="str">
        <f>IFERROR(__xludf.DUMMYFUNCTION("""COMPUTED_VALUE"""),"ADhillyy")</f>
        <v>ADhillyy</v>
      </c>
      <c r="AQ33" s="390" t="str">
        <f>IFERROR(__xludf.DUMMYFUNCTION("""COMPUTED_VALUE"""),"E-")</f>
        <v>E-</v>
      </c>
      <c r="AR33" s="475">
        <f>IFERROR(__xludf.DUMMYFUNCTION("""COMPUTED_VALUE"""),12.45)</f>
        <v>12.45</v>
      </c>
      <c r="AS33" s="186"/>
      <c r="AT33" s="390" t="str">
        <f>IFERROR(__xludf.DUMMYFUNCTION("""COMPUTED_VALUE"""),"ADhillyy")</f>
        <v>ADhillyy</v>
      </c>
      <c r="AU33" s="390" t="str">
        <f>IFERROR(__xludf.DUMMYFUNCTION("""COMPUTED_VALUE"""),"E-")</f>
        <v>E-</v>
      </c>
      <c r="AV33" s="390">
        <f>IFERROR(__xludf.DUMMYFUNCTION("""COMPUTED_VALUE"""),12.45)</f>
        <v>12.45</v>
      </c>
      <c r="AW33" s="186"/>
    </row>
    <row r="34">
      <c r="A34" s="93"/>
      <c r="B34" s="475" t="str">
        <f>IFERROR(__xludf.DUMMYFUNCTION("""COMPUTED_VALUE"""),"ADhillyy")</f>
        <v>ADhillyy</v>
      </c>
      <c r="C34" s="476">
        <f>IFERROR(__xludf.DUMMYFUNCTION("""COMPUTED_VALUE"""),-0.9837793523452597)</f>
        <v>-0.9837793523</v>
      </c>
      <c r="D34" s="113"/>
      <c r="E34" s="477" t="str">
        <f>IFERROR(__xludf.DUMMYFUNCTION("""COMPUTED_VALUE"""),"Mavbrid")</f>
        <v>Mavbrid</v>
      </c>
      <c r="F34" s="478">
        <f>IFERROR(__xludf.DUMMYFUNCTION("""COMPUTED_VALUE"""),4.787010357448796)</f>
        <v>4.787010357</v>
      </c>
      <c r="G34" s="113"/>
      <c r="H34" s="479" t="str">
        <f>IFERROR(__xludf.DUMMYFUNCTION("""COMPUTED_VALUE"""),"TommyWstSide")</f>
        <v>TommyWstSide</v>
      </c>
      <c r="I34" s="480">
        <f>IFERROR(__xludf.DUMMYFUNCTION("""COMPUTED_VALUE"""),0.005222689685187872)</f>
        <v>0.005222689685</v>
      </c>
      <c r="J34" s="113"/>
      <c r="K34" s="481" t="str">
        <f>IFERROR(__xludf.DUMMYFUNCTION("""COMPUTED_VALUE"""),"TommyWstSide")</f>
        <v>TommyWstSide</v>
      </c>
      <c r="L34" s="482">
        <f>IFERROR(__xludf.DUMMYFUNCTION("""COMPUTED_VALUE"""),0.005222689685187872)</f>
        <v>0.005222689685</v>
      </c>
      <c r="M34" s="113"/>
      <c r="N34" s="483" t="str">
        <f>IFERROR(__xludf.DUMMYFUNCTION("""COMPUTED_VALUE"""),"Doerstopper")</f>
        <v>Doerstopper</v>
      </c>
      <c r="O34" s="484">
        <f>IFERROR(__xludf.DUMMYFUNCTION("""COMPUTED_VALUE"""),0.31776427994374795)</f>
        <v>0.3177642799</v>
      </c>
      <c r="P34" s="113"/>
      <c r="Q34" s="485" t="str">
        <f>IFERROR(__xludf.DUMMYFUNCTION("""COMPUTED_VALUE"""),"EllisGotMyPills")</f>
        <v>EllisGotMyPills</v>
      </c>
      <c r="R34" s="486">
        <f>IFERROR(__xludf.DUMMYFUNCTION("""COMPUTED_VALUE"""),0.22135308313222934)</f>
        <v>0.2213530831</v>
      </c>
      <c r="S34" s="113"/>
      <c r="T34" s="487" t="str">
        <f>IFERROR(__xludf.DUMMYFUNCTION("""COMPUTED_VALUE"""),"CaptainSev004")</f>
        <v>CaptainSev004</v>
      </c>
      <c r="U34" s="488">
        <f>IFERROR(__xludf.DUMMYFUNCTION("""COMPUTED_VALUE"""),0.012790697674418604)</f>
        <v>0.01279069767</v>
      </c>
      <c r="V34" s="113"/>
      <c r="W34" s="489" t="str">
        <f>IFERROR(__xludf.DUMMYFUNCTION("""COMPUTED_VALUE"""),"MoldyVolts")</f>
        <v>MoldyVolts</v>
      </c>
      <c r="X34" s="490">
        <f>IFERROR(__xludf.DUMMYFUNCTION("""COMPUTED_VALUE"""),0.023128517462030682)</f>
        <v>0.02312851746</v>
      </c>
      <c r="Y34" s="113"/>
      <c r="Z34" s="445" t="str">
        <f>IFERROR(__xludf.DUMMYFUNCTION("""COMPUTED_VALUE"""),"ActiveHate")</f>
        <v>ActiveHate</v>
      </c>
      <c r="AA34" s="491">
        <f>IFERROR(__xludf.DUMMYFUNCTION("""COMPUTED_VALUE"""),0.23505215219626854)</f>
        <v>0.2350521522</v>
      </c>
      <c r="AB34" s="113"/>
      <c r="AC34" s="445" t="str">
        <f>IFERROR(__xludf.DUMMYFUNCTION("""COMPUTED_VALUE"""),"Laser Wins")</f>
        <v>Laser Wins</v>
      </c>
      <c r="AD34" s="491">
        <f>IFERROR(__xludf.DUMMYFUNCTION("""COMPUTED_VALUE"""),0.020851951146857315)</f>
        <v>0.02085195115</v>
      </c>
      <c r="AE34" s="113"/>
      <c r="AF34" s="445" t="str">
        <f>IFERROR(__xludf.DUMMYFUNCTION("""COMPUTED_VALUE"""),"Dior Glori")</f>
        <v>Dior Glori</v>
      </c>
      <c r="AG34" s="492">
        <f>IFERROR(__xludf.DUMMYFUNCTION("""COMPUTED_VALUE"""),27.6875)</f>
        <v>27.6875</v>
      </c>
      <c r="AH34" s="113"/>
      <c r="AI34" s="493" t="str">
        <f>IFERROR(__xludf.DUMMYFUNCTION("""COMPUTED_VALUE"""),"TommyWstSide")</f>
        <v>TommyWstSide</v>
      </c>
      <c r="AJ34" s="494">
        <f>IFERROR(__xludf.DUMMYFUNCTION("""COMPUTED_VALUE"""),-0.41013450498435267)</f>
        <v>-0.410134505</v>
      </c>
      <c r="AK34" s="7"/>
      <c r="AL34" s="444" t="str">
        <f>IFERROR(__xludf.DUMMYFUNCTION("""COMPUTED_VALUE"""),"AwareMosquito")</f>
        <v>AwareMosquito</v>
      </c>
      <c r="AM34" s="363" t="str">
        <f>IFERROR(__xludf.DUMMYFUNCTION("""COMPUTED_VALUE"""),"E")</f>
        <v>E</v>
      </c>
      <c r="AN34" s="495">
        <f>IFERROR(__xludf.DUMMYFUNCTION("""COMPUTED_VALUE"""),7.9)</f>
        <v>7.9</v>
      </c>
      <c r="AO34" s="186"/>
      <c r="AP34" s="163" t="str">
        <f>IFERROR(__xludf.DUMMYFUNCTION("""COMPUTED_VALUE"""),"Luner Panda")</f>
        <v>Luner Panda</v>
      </c>
      <c r="AQ34" s="390" t="str">
        <f>IFERROR(__xludf.DUMMYFUNCTION("""COMPUTED_VALUE"""),"E-")</f>
        <v>E-</v>
      </c>
      <c r="AR34" s="475">
        <f>IFERROR(__xludf.DUMMYFUNCTION("""COMPUTED_VALUE"""),10.950000000000001)</f>
        <v>10.95</v>
      </c>
      <c r="AS34" s="186"/>
      <c r="AT34" s="390" t="str">
        <f>IFERROR(__xludf.DUMMYFUNCTION("""COMPUTED_VALUE"""),"Luner Panda")</f>
        <v>Luner Panda</v>
      </c>
      <c r="AU34" s="390" t="str">
        <f>IFERROR(__xludf.DUMMYFUNCTION("""COMPUTED_VALUE"""),"E-")</f>
        <v>E-</v>
      </c>
      <c r="AV34" s="390">
        <f>IFERROR(__xludf.DUMMYFUNCTION("""COMPUTED_VALUE"""),10.950000000000001)</f>
        <v>10.95</v>
      </c>
      <c r="AW34" s="186"/>
    </row>
    <row r="35">
      <c r="A35" s="93"/>
      <c r="B35" s="475" t="str">
        <f>IFERROR(__xludf.DUMMYFUNCTION("""COMPUTED_VALUE"""),"Doerstopper")</f>
        <v>Doerstopper</v>
      </c>
      <c r="C35" s="476">
        <f>IFERROR(__xludf.DUMMYFUNCTION("""COMPUTED_VALUE"""),-1.0466473175548308)</f>
        <v>-1.046647318</v>
      </c>
      <c r="D35" s="113"/>
      <c r="E35" s="477" t="str">
        <f>IFERROR(__xludf.DUMMYFUNCTION("""COMPUTED_VALUE"""),"Laser Wins")</f>
        <v>Laser Wins</v>
      </c>
      <c r="F35" s="478">
        <f>IFERROR(__xludf.DUMMYFUNCTION("""COMPUTED_VALUE"""),4.204647006255586)</f>
        <v>4.204647006</v>
      </c>
      <c r="G35" s="113"/>
      <c r="H35" s="479" t="str">
        <f>IFERROR(__xludf.DUMMYFUNCTION("""COMPUTED_VALUE"""),"Finesse God24")</f>
        <v>Finesse God24</v>
      </c>
      <c r="I35" s="480">
        <f>IFERROR(__xludf.DUMMYFUNCTION("""COMPUTED_VALUE"""),0.0)</f>
        <v>0</v>
      </c>
      <c r="J35" s="113"/>
      <c r="K35" s="481" t="str">
        <f>IFERROR(__xludf.DUMMYFUNCTION("""COMPUTED_VALUE"""),"Finesse God24")</f>
        <v>Finesse God24</v>
      </c>
      <c r="L35" s="482">
        <f>IFERROR(__xludf.DUMMYFUNCTION("""COMPUTED_VALUE"""),0.0)</f>
        <v>0</v>
      </c>
      <c r="M35" s="113"/>
      <c r="N35" s="483" t="str">
        <f>IFERROR(__xludf.DUMMYFUNCTION("""COMPUTED_VALUE"""),"AwareMosquito")</f>
        <v>AwareMosquito</v>
      </c>
      <c r="O35" s="484">
        <f>IFERROR(__xludf.DUMMYFUNCTION("""COMPUTED_VALUE"""),0.3175333640128854)</f>
        <v>0.317533364</v>
      </c>
      <c r="P35" s="113"/>
      <c r="Q35" s="485" t="str">
        <f>IFERROR(__xludf.DUMMYFUNCTION("""COMPUTED_VALUE"""),"Doerstopper")</f>
        <v>Doerstopper</v>
      </c>
      <c r="R35" s="486">
        <f>IFERROR(__xludf.DUMMYFUNCTION("""COMPUTED_VALUE"""),0.18850423386493523)</f>
        <v>0.1885042339</v>
      </c>
      <c r="S35" s="113"/>
      <c r="T35" s="487" t="str">
        <f>IFERROR(__xludf.DUMMYFUNCTION("""COMPUTED_VALUE"""),"Laser Wins")</f>
        <v>Laser Wins</v>
      </c>
      <c r="U35" s="488">
        <f>IFERROR(__xludf.DUMMYFUNCTION("""COMPUTED_VALUE"""),0.008888888888888889)</f>
        <v>0.008888888889</v>
      </c>
      <c r="V35" s="113"/>
      <c r="W35" s="489" t="str">
        <f>IFERROR(__xludf.DUMMYFUNCTION("""COMPUTED_VALUE"""),"ADhillyy")</f>
        <v>ADhillyy</v>
      </c>
      <c r="X35" s="490">
        <f>IFERROR(__xludf.DUMMYFUNCTION("""COMPUTED_VALUE"""),0.013996617484108007)</f>
        <v>0.01399661748</v>
      </c>
      <c r="Y35" s="113"/>
      <c r="Z35" s="445" t="str">
        <f>IFERROR(__xludf.DUMMYFUNCTION("""COMPUTED_VALUE"""),"Laser Wins")</f>
        <v>Laser Wins</v>
      </c>
      <c r="AA35" s="491">
        <f>IFERROR(__xludf.DUMMYFUNCTION("""COMPUTED_VALUE"""),0.2025618111408996)</f>
        <v>0.2025618111</v>
      </c>
      <c r="AB35" s="113"/>
      <c r="AC35" s="445" t="str">
        <f>IFERROR(__xludf.DUMMYFUNCTION("""COMPUTED_VALUE"""),"Doerstopper")</f>
        <v>Doerstopper</v>
      </c>
      <c r="AD35" s="491">
        <f>IFERROR(__xludf.DUMMYFUNCTION("""COMPUTED_VALUE"""),0.019748062595374167)</f>
        <v>0.0197480626</v>
      </c>
      <c r="AE35" s="113"/>
      <c r="AF35" s="445" t="str">
        <f>IFERROR(__xludf.DUMMYFUNCTION("""COMPUTED_VALUE"""),"L0RNA SHORE")</f>
        <v>L0RNA SHORE</v>
      </c>
      <c r="AG35" s="492">
        <f>IFERROR(__xludf.DUMMYFUNCTION("""COMPUTED_VALUE"""),25.24390243902439)</f>
        <v>25.24390244</v>
      </c>
      <c r="AH35" s="113"/>
      <c r="AI35" s="493" t="str">
        <f>IFERROR(__xludf.DUMMYFUNCTION("""COMPUTED_VALUE"""),"ADhillyy")</f>
        <v>ADhillyy</v>
      </c>
      <c r="AJ35" s="494">
        <f>IFERROR(__xludf.DUMMYFUNCTION("""COMPUTED_VALUE"""),-0.5292075260922249)</f>
        <v>-0.5292075261</v>
      </c>
      <c r="AK35" s="7"/>
      <c r="AL35" s="444" t="str">
        <f>IFERROR(__xludf.DUMMYFUNCTION("""COMPUTED_VALUE"""),"MuNgO PuNgO")</f>
        <v>MuNgO PuNgO</v>
      </c>
      <c r="AM35" s="363" t="str">
        <f>IFERROR(__xludf.DUMMYFUNCTION("""COMPUTED_VALUE"""),"E")</f>
        <v>E</v>
      </c>
      <c r="AN35" s="495">
        <f>IFERROR(__xludf.DUMMYFUNCTION("""COMPUTED_VALUE"""),7.800000000000001)</f>
        <v>7.8</v>
      </c>
      <c r="AO35" s="186"/>
      <c r="AP35" s="163" t="str">
        <f>IFERROR(__xludf.DUMMYFUNCTION("""COMPUTED_VALUE"""),"AwareMosquito")</f>
        <v>AwareMosquito</v>
      </c>
      <c r="AQ35" s="390" t="str">
        <f>IFERROR(__xludf.DUMMYFUNCTION("""COMPUTED_VALUE"""),"F+")</f>
        <v>F+</v>
      </c>
      <c r="AR35" s="475">
        <f>IFERROR(__xludf.DUMMYFUNCTION("""COMPUTED_VALUE"""),10.7)</f>
        <v>10.7</v>
      </c>
      <c r="AS35" s="186"/>
      <c r="AT35" s="390" t="str">
        <f>IFERROR(__xludf.DUMMYFUNCTION("""COMPUTED_VALUE"""),"AwareMosquito")</f>
        <v>AwareMosquito</v>
      </c>
      <c r="AU35" s="390" t="str">
        <f>IFERROR(__xludf.DUMMYFUNCTION("""COMPUTED_VALUE"""),"F+")</f>
        <v>F+</v>
      </c>
      <c r="AV35" s="390">
        <f>IFERROR(__xludf.DUMMYFUNCTION("""COMPUTED_VALUE"""),10.7)</f>
        <v>10.7</v>
      </c>
      <c r="AW35" s="186"/>
    </row>
    <row r="36">
      <c r="A36" s="93"/>
      <c r="B36" s="475" t="str">
        <f>IFERROR(__xludf.DUMMYFUNCTION("""COMPUTED_VALUE"""),"MuNgO PuNgO")</f>
        <v>MuNgO PuNgO</v>
      </c>
      <c r="C36" s="476">
        <f>IFERROR(__xludf.DUMMYFUNCTION("""COMPUTED_VALUE"""),-1.9637223974763407)</f>
        <v>-1.963722397</v>
      </c>
      <c r="D36" s="113"/>
      <c r="E36" s="477" t="str">
        <f>IFERROR(__xludf.DUMMYFUNCTION("""COMPUTED_VALUE"""),"EllisGotMyPills")</f>
        <v>EllisGotMyPills</v>
      </c>
      <c r="F36" s="478">
        <f>IFERROR(__xludf.DUMMYFUNCTION("""COMPUTED_VALUE"""),3.3402679537322126)</f>
        <v>3.340267954</v>
      </c>
      <c r="G36" s="113"/>
      <c r="H36" s="479" t="str">
        <f>IFERROR(__xludf.DUMMYFUNCTION("""COMPUTED_VALUE"""),"MuNgO PuNgO")</f>
        <v>MuNgO PuNgO</v>
      </c>
      <c r="I36" s="480">
        <f>IFERROR(__xludf.DUMMYFUNCTION("""COMPUTED_VALUE"""),0.0)</f>
        <v>0</v>
      </c>
      <c r="J36" s="113"/>
      <c r="K36" s="481" t="str">
        <f>IFERROR(__xludf.DUMMYFUNCTION("""COMPUTED_VALUE"""),"MuNgO PuNgO")</f>
        <v>MuNgO PuNgO</v>
      </c>
      <c r="L36" s="482">
        <f>IFERROR(__xludf.DUMMYFUNCTION("""COMPUTED_VALUE"""),0.0)</f>
        <v>0</v>
      </c>
      <c r="M36" s="113"/>
      <c r="N36" s="483" t="str">
        <f>IFERROR(__xludf.DUMMYFUNCTION("""COMPUTED_VALUE"""),"Laser Wins")</f>
        <v>Laser Wins</v>
      </c>
      <c r="O36" s="484">
        <f>IFERROR(__xludf.DUMMYFUNCTION("""COMPUTED_VALUE"""),0.2889484658921656)</f>
        <v>0.2889484659</v>
      </c>
      <c r="P36" s="113"/>
      <c r="Q36" s="485" t="str">
        <f>IFERROR(__xludf.DUMMYFUNCTION("""COMPUTED_VALUE"""),"Laser Wins")</f>
        <v>Laser Wins</v>
      </c>
      <c r="R36" s="486">
        <f>IFERROR(__xludf.DUMMYFUNCTION("""COMPUTED_VALUE"""),0.14894250819183796)</f>
        <v>0.1489425082</v>
      </c>
      <c r="S36" s="113"/>
      <c r="T36" s="487" t="str">
        <f>IFERROR(__xludf.DUMMYFUNCTION("""COMPUTED_VALUE"""),"Doerstopper")</f>
        <v>Doerstopper</v>
      </c>
      <c r="U36" s="488">
        <f>IFERROR(__xludf.DUMMYFUNCTION("""COMPUTED_VALUE"""),0.006843455945252352)</f>
        <v>0.006843455945</v>
      </c>
      <c r="V36" s="113"/>
      <c r="W36" s="489" t="str">
        <f>IFERROR(__xludf.DUMMYFUNCTION("""COMPUTED_VALUE"""),"ActiveHate")</f>
        <v>ActiveHate</v>
      </c>
      <c r="X36" s="490">
        <f>IFERROR(__xludf.DUMMYFUNCTION("""COMPUTED_VALUE"""),0.002934344051840078)</f>
        <v>0.002934344052</v>
      </c>
      <c r="Y36" s="113"/>
      <c r="Z36" s="445" t="str">
        <f>IFERROR(__xludf.DUMMYFUNCTION("""COMPUTED_VALUE"""),"AwareMosquito")</f>
        <v>AwareMosquito</v>
      </c>
      <c r="AA36" s="491">
        <f>IFERROR(__xludf.DUMMYFUNCTION("""COMPUTED_VALUE"""),0.17487344684767603)</f>
        <v>0.1748734468</v>
      </c>
      <c r="AB36" s="113"/>
      <c r="AC36" s="445" t="str">
        <f>IFERROR(__xludf.DUMMYFUNCTION("""COMPUTED_VALUE"""),"AwareMosquito")</f>
        <v>AwareMosquito</v>
      </c>
      <c r="AD36" s="491">
        <f>IFERROR(__xludf.DUMMYFUNCTION("""COMPUTED_VALUE"""),0.009203865623561895)</f>
        <v>0.009203865624</v>
      </c>
      <c r="AE36" s="113"/>
      <c r="AF36" s="445" t="str">
        <f>IFERROR(__xludf.DUMMYFUNCTION("""COMPUTED_VALUE"""),"MealyKitten0")</f>
        <v>MealyKitten0</v>
      </c>
      <c r="AG36" s="492">
        <f>IFERROR(__xludf.DUMMYFUNCTION("""COMPUTED_VALUE"""),23.102040816326532)</f>
        <v>23.10204082</v>
      </c>
      <c r="AH36" s="113"/>
      <c r="AI36" s="493" t="str">
        <f>IFERROR(__xludf.DUMMYFUNCTION("""COMPUTED_VALUE"""),"MuNgO PuNgO")</f>
        <v>MuNgO PuNgO</v>
      </c>
      <c r="AJ36" s="494">
        <f>IFERROR(__xludf.DUMMYFUNCTION("""COMPUTED_VALUE"""),-1.6324921135646688)</f>
        <v>-1.632492114</v>
      </c>
      <c r="AK36" s="7"/>
      <c r="AL36" s="444" t="str">
        <f>IFERROR(__xludf.DUMMYFUNCTION("""COMPUTED_VALUE"""),"Luner Panda")</f>
        <v>Luner Panda</v>
      </c>
      <c r="AM36" s="363" t="str">
        <f>IFERROR(__xludf.DUMMYFUNCTION("""COMPUTED_VALUE"""),"E")</f>
        <v>E</v>
      </c>
      <c r="AN36" s="495">
        <f>IFERROR(__xludf.DUMMYFUNCTION("""COMPUTED_VALUE"""),7.500000000000001)</f>
        <v>7.5</v>
      </c>
      <c r="AO36" s="186"/>
      <c r="AP36" s="163" t="str">
        <f>IFERROR(__xludf.DUMMYFUNCTION("""COMPUTED_VALUE"""),"MuNgO PuNgO")</f>
        <v>MuNgO PuNgO</v>
      </c>
      <c r="AQ36" s="390" t="str">
        <f>IFERROR(__xludf.DUMMYFUNCTION("""COMPUTED_VALUE"""),"F+")</f>
        <v>F+</v>
      </c>
      <c r="AR36" s="475">
        <f>IFERROR(__xludf.DUMMYFUNCTION("""COMPUTED_VALUE"""),10.350000000000001)</f>
        <v>10.35</v>
      </c>
      <c r="AS36" s="186"/>
      <c r="AT36" s="390" t="str">
        <f>IFERROR(__xludf.DUMMYFUNCTION("""COMPUTED_VALUE"""),"MuNgO PuNgO")</f>
        <v>MuNgO PuNgO</v>
      </c>
      <c r="AU36" s="390" t="str">
        <f>IFERROR(__xludf.DUMMYFUNCTION("""COMPUTED_VALUE"""),"F+")</f>
        <v>F+</v>
      </c>
      <c r="AV36" s="390">
        <f>IFERROR(__xludf.DUMMYFUNCTION("""COMPUTED_VALUE"""),10.350000000000001)</f>
        <v>10.35</v>
      </c>
      <c r="AW36" s="186"/>
    </row>
    <row r="37">
      <c r="A37" s="93"/>
      <c r="B37" s="475"/>
      <c r="C37" s="476"/>
      <c r="D37" s="113"/>
      <c r="E37" s="477"/>
      <c r="F37" s="478"/>
      <c r="G37" s="113"/>
      <c r="H37" s="479"/>
      <c r="I37" s="480"/>
      <c r="J37" s="113"/>
      <c r="K37" s="481"/>
      <c r="L37" s="482"/>
      <c r="M37" s="113"/>
      <c r="N37" s="483"/>
      <c r="O37" s="484"/>
      <c r="P37" s="113"/>
      <c r="Q37" s="485"/>
      <c r="R37" s="486"/>
      <c r="S37" s="113"/>
      <c r="T37" s="487"/>
      <c r="U37" s="488"/>
      <c r="V37" s="113"/>
      <c r="W37" s="489"/>
      <c r="X37" s="490"/>
      <c r="Y37" s="113"/>
      <c r="Z37" s="445"/>
      <c r="AA37" s="491"/>
      <c r="AB37" s="113"/>
      <c r="AC37" s="445"/>
      <c r="AD37" s="491"/>
      <c r="AE37" s="113"/>
      <c r="AF37" s="445"/>
      <c r="AG37" s="492"/>
      <c r="AH37" s="113"/>
      <c r="AI37" s="493"/>
      <c r="AJ37" s="494"/>
      <c r="AK37" s="7"/>
      <c r="AL37" s="444" t="str">
        <f>IFERROR(__xludf.DUMMYFUNCTION("""COMPUTED_VALUE"""),"TommyWstSide")</f>
        <v>TommyWstSide</v>
      </c>
      <c r="AM37" s="363" t="str">
        <f>IFERROR(__xludf.DUMMYFUNCTION("""COMPUTED_VALUE"""),"E")</f>
        <v>E</v>
      </c>
      <c r="AN37" s="495">
        <f>IFERROR(__xludf.DUMMYFUNCTION("""COMPUTED_VALUE"""),6.700000000000001)</f>
        <v>6.7</v>
      </c>
      <c r="AO37" s="186"/>
      <c r="AP37" s="163" t="str">
        <f>IFERROR(__xludf.DUMMYFUNCTION("""COMPUTED_VALUE"""),"TommyWstSide")</f>
        <v>TommyWstSide</v>
      </c>
      <c r="AQ37" s="390" t="str">
        <f>IFERROR(__xludf.DUMMYFUNCTION("""COMPUTED_VALUE"""),"F")</f>
        <v>F</v>
      </c>
      <c r="AR37" s="475">
        <f>IFERROR(__xludf.DUMMYFUNCTION("""COMPUTED_VALUE"""),9.450000000000001)</f>
        <v>9.45</v>
      </c>
      <c r="AS37" s="186"/>
      <c r="AT37" s="390" t="str">
        <f>IFERROR(__xludf.DUMMYFUNCTION("""COMPUTED_VALUE"""),"TommyWstSide")</f>
        <v>TommyWstSide</v>
      </c>
      <c r="AU37" s="390" t="str">
        <f>IFERROR(__xludf.DUMMYFUNCTION("""COMPUTED_VALUE"""),"F")</f>
        <v>F</v>
      </c>
      <c r="AV37" s="390">
        <f>IFERROR(__xludf.DUMMYFUNCTION("""COMPUTED_VALUE"""),9.450000000000001)</f>
        <v>9.45</v>
      </c>
      <c r="AW37" s="186"/>
    </row>
    <row r="38">
      <c r="A38" s="93"/>
      <c r="B38" s="475"/>
      <c r="C38" s="476"/>
      <c r="D38" s="113"/>
      <c r="E38" s="477"/>
      <c r="F38" s="478"/>
      <c r="G38" s="113"/>
      <c r="H38" s="479"/>
      <c r="I38" s="480"/>
      <c r="J38" s="113"/>
      <c r="K38" s="481"/>
      <c r="L38" s="482"/>
      <c r="M38" s="113"/>
      <c r="N38" s="483"/>
      <c r="O38" s="484"/>
      <c r="P38" s="113"/>
      <c r="Q38" s="485"/>
      <c r="R38" s="486"/>
      <c r="S38" s="113"/>
      <c r="T38" s="487"/>
      <c r="U38" s="488"/>
      <c r="V38" s="113"/>
      <c r="W38" s="489"/>
      <c r="X38" s="490"/>
      <c r="Y38" s="113"/>
      <c r="Z38" s="445"/>
      <c r="AA38" s="491"/>
      <c r="AB38" s="113"/>
      <c r="AC38" s="445"/>
      <c r="AD38" s="491"/>
      <c r="AE38" s="113"/>
      <c r="AF38" s="445"/>
      <c r="AG38" s="492"/>
      <c r="AH38" s="113"/>
      <c r="AI38" s="493"/>
      <c r="AJ38" s="494"/>
      <c r="AK38" s="7"/>
      <c r="AL38" s="444" t="str">
        <f>IFERROR(__xludf.DUMMYFUNCTION("""COMPUTED_VALUE"""),"Laser Wins")</f>
        <v>Laser Wins</v>
      </c>
      <c r="AM38" s="363" t="str">
        <f>IFERROR(__xludf.DUMMYFUNCTION("""COMPUTED_VALUE"""),"E")</f>
        <v>E</v>
      </c>
      <c r="AN38" s="495">
        <f>IFERROR(__xludf.DUMMYFUNCTION("""COMPUTED_VALUE"""),6.600000000000001)</f>
        <v>6.6</v>
      </c>
      <c r="AO38" s="186"/>
      <c r="AP38" s="163" t="str">
        <f>IFERROR(__xludf.DUMMYFUNCTION("""COMPUTED_VALUE"""),"Laser Wins")</f>
        <v>Laser Wins</v>
      </c>
      <c r="AQ38" s="390" t="str">
        <f>IFERROR(__xludf.DUMMYFUNCTION("""COMPUTED_VALUE"""),"F")</f>
        <v>F</v>
      </c>
      <c r="AR38" s="475">
        <f>IFERROR(__xludf.DUMMYFUNCTION("""COMPUTED_VALUE"""),8.55)</f>
        <v>8.55</v>
      </c>
      <c r="AS38" s="186"/>
      <c r="AT38" s="390" t="str">
        <f>IFERROR(__xludf.DUMMYFUNCTION("""COMPUTED_VALUE"""),"Laser Wins")</f>
        <v>Laser Wins</v>
      </c>
      <c r="AU38" s="390" t="str">
        <f>IFERROR(__xludf.DUMMYFUNCTION("""COMPUTED_VALUE"""),"F")</f>
        <v>F</v>
      </c>
      <c r="AV38" s="390">
        <f>IFERROR(__xludf.DUMMYFUNCTION("""COMPUTED_VALUE"""),8.55)</f>
        <v>8.55</v>
      </c>
      <c r="AW38" s="186"/>
    </row>
    <row r="39">
      <c r="A39" s="93"/>
      <c r="B39" s="475"/>
      <c r="C39" s="476"/>
      <c r="D39" s="113"/>
      <c r="E39" s="477"/>
      <c r="F39" s="478"/>
      <c r="G39" s="113"/>
      <c r="H39" s="479"/>
      <c r="I39" s="480"/>
      <c r="J39" s="113"/>
      <c r="K39" s="481"/>
      <c r="L39" s="482"/>
      <c r="M39" s="113"/>
      <c r="N39" s="483"/>
      <c r="O39" s="484"/>
      <c r="P39" s="113"/>
      <c r="Q39" s="485"/>
      <c r="R39" s="486"/>
      <c r="S39" s="113"/>
      <c r="T39" s="487"/>
      <c r="U39" s="488"/>
      <c r="V39" s="113"/>
      <c r="W39" s="489"/>
      <c r="X39" s="490"/>
      <c r="Y39" s="113"/>
      <c r="Z39" s="445"/>
      <c r="AA39" s="491"/>
      <c r="AB39" s="113"/>
      <c r="AC39" s="445"/>
      <c r="AD39" s="491"/>
      <c r="AE39" s="113"/>
      <c r="AF39" s="445"/>
      <c r="AG39" s="492"/>
      <c r="AH39" s="113"/>
      <c r="AI39" s="493"/>
      <c r="AJ39" s="494"/>
      <c r="AK39" s="7"/>
      <c r="AL39" s="444" t="str">
        <f>IFERROR(__xludf.DUMMYFUNCTION("""COMPUTED_VALUE"""),"Doerstopper")</f>
        <v>Doerstopper</v>
      </c>
      <c r="AM39" s="363" t="str">
        <f>IFERROR(__xludf.DUMMYFUNCTION("""COMPUTED_VALUE"""),"E")</f>
        <v>E</v>
      </c>
      <c r="AN39" s="495">
        <f>IFERROR(__xludf.DUMMYFUNCTION("""COMPUTED_VALUE"""),5.800000000000001)</f>
        <v>5.8</v>
      </c>
      <c r="AO39" s="186"/>
      <c r="AP39" s="163" t="str">
        <f>IFERROR(__xludf.DUMMYFUNCTION("""COMPUTED_VALUE"""),"Doerstopper")</f>
        <v>Doerstopper</v>
      </c>
      <c r="AQ39" s="390" t="str">
        <f>IFERROR(__xludf.DUMMYFUNCTION("""COMPUTED_VALUE"""),"F-")</f>
        <v>F-</v>
      </c>
      <c r="AR39" s="475">
        <f>IFERROR(__xludf.DUMMYFUNCTION("""COMPUTED_VALUE"""),7.800000000000001)</f>
        <v>7.8</v>
      </c>
      <c r="AS39" s="186"/>
      <c r="AT39" s="390" t="str">
        <f>IFERROR(__xludf.DUMMYFUNCTION("""COMPUTED_VALUE"""),"Doerstopper")</f>
        <v>Doerstopper</v>
      </c>
      <c r="AU39" s="390" t="str">
        <f>IFERROR(__xludf.DUMMYFUNCTION("""COMPUTED_VALUE"""),"F-")</f>
        <v>F-</v>
      </c>
      <c r="AV39" s="390">
        <f>IFERROR(__xludf.DUMMYFUNCTION("""COMPUTED_VALUE"""),7.800000000000001)</f>
        <v>7.8</v>
      </c>
      <c r="AW39" s="186"/>
    </row>
    <row r="40">
      <c r="A40" s="186"/>
      <c r="B40" s="496"/>
      <c r="C40" s="497"/>
      <c r="D40" s="496"/>
      <c r="E40" s="496"/>
      <c r="F40" s="497"/>
      <c r="G40" s="496"/>
      <c r="H40" s="496"/>
      <c r="I40" s="497"/>
      <c r="J40" s="496"/>
      <c r="K40" s="496"/>
      <c r="L40" s="497"/>
      <c r="M40" s="496"/>
      <c r="N40" s="496"/>
      <c r="O40" s="497"/>
      <c r="P40" s="496"/>
      <c r="Q40" s="496"/>
      <c r="R40" s="497"/>
      <c r="S40" s="496"/>
      <c r="T40" s="496"/>
      <c r="U40" s="497"/>
      <c r="V40" s="496"/>
      <c r="W40" s="496"/>
      <c r="X40" s="497"/>
      <c r="Y40" s="496"/>
      <c r="Z40" s="201"/>
      <c r="AA40" s="498"/>
      <c r="AB40" s="496"/>
      <c r="AC40" s="201"/>
      <c r="AD40" s="498"/>
      <c r="AE40" s="496"/>
      <c r="AF40" s="201"/>
      <c r="AG40" s="499"/>
      <c r="AH40" s="496"/>
      <c r="AI40" s="496"/>
      <c r="AJ40" s="497"/>
      <c r="AK40" s="17"/>
      <c r="AL40" s="17" t="str">
        <f>IFERROR(__xludf.DUMMYFUNCTION("""COMPUTED_VALUE"""),"Judasey")</f>
        <v>Judasey</v>
      </c>
      <c r="AM40" s="186" t="str">
        <f>IFERROR(__xludf.DUMMYFUNCTION("""COMPUTED_VALUE"""),"E")</f>
        <v>E</v>
      </c>
      <c r="AN40" s="186">
        <f>IFERROR(__xludf.DUMMYFUNCTION("""COMPUTED_VALUE"""),5.4)</f>
        <v>5.4</v>
      </c>
      <c r="AO40" s="186"/>
      <c r="AP40" s="186"/>
      <c r="AQ40" s="186"/>
      <c r="AR40" s="186"/>
      <c r="AS40" s="186"/>
      <c r="AT40" s="186"/>
      <c r="AU40" s="186"/>
      <c r="AV40" s="186"/>
      <c r="AW40" s="186"/>
    </row>
    <row r="41" hidden="1"/>
    <row r="42" hidden="1">
      <c r="A42" s="186"/>
      <c r="B42" s="475"/>
      <c r="C42" s="476"/>
      <c r="D42" s="113"/>
      <c r="E42" s="477"/>
      <c r="F42" s="478"/>
      <c r="G42" s="113"/>
      <c r="H42" s="479"/>
      <c r="I42" s="480"/>
      <c r="J42" s="113"/>
      <c r="K42" s="481"/>
      <c r="L42" s="482"/>
      <c r="M42" s="113"/>
      <c r="N42" s="483"/>
      <c r="O42" s="484"/>
      <c r="P42" s="113"/>
      <c r="Q42" s="485"/>
      <c r="R42" s="486"/>
      <c r="S42" s="113"/>
      <c r="T42" s="487"/>
      <c r="U42" s="488"/>
      <c r="V42" s="113"/>
      <c r="W42" s="489"/>
      <c r="X42" s="490"/>
      <c r="Y42" s="113"/>
      <c r="Z42" s="445"/>
      <c r="AA42" s="500"/>
      <c r="AB42" s="113"/>
      <c r="AC42" s="445"/>
      <c r="AD42" s="500"/>
      <c r="AE42" s="113"/>
      <c r="AF42" s="445"/>
      <c r="AG42" s="501"/>
      <c r="AH42" s="113"/>
      <c r="AI42" s="493"/>
      <c r="AJ42" s="494"/>
      <c r="AK42" s="7"/>
      <c r="AL42" s="502" t="s">
        <v>324</v>
      </c>
      <c r="AN42" s="186"/>
      <c r="AO42" s="186"/>
      <c r="AP42" s="186"/>
      <c r="AQ42" s="186"/>
      <c r="AR42" s="186"/>
      <c r="AS42" s="186"/>
      <c r="AT42" s="186"/>
      <c r="AU42" s="186"/>
      <c r="AV42" s="186"/>
      <c r="AW42" s="186"/>
    </row>
    <row r="43" hidden="1">
      <c r="A43" s="186"/>
      <c r="B43" s="475"/>
      <c r="C43" s="476"/>
      <c r="D43" s="113"/>
      <c r="E43" s="477"/>
      <c r="F43" s="478"/>
      <c r="G43" s="113"/>
      <c r="H43" s="479"/>
      <c r="I43" s="480"/>
      <c r="J43" s="113"/>
      <c r="K43" s="481"/>
      <c r="L43" s="482"/>
      <c r="M43" s="113"/>
      <c r="N43" s="483"/>
      <c r="O43" s="484"/>
      <c r="P43" s="113"/>
      <c r="Q43" s="485"/>
      <c r="R43" s="486"/>
      <c r="S43" s="113"/>
      <c r="T43" s="487"/>
      <c r="U43" s="488"/>
      <c r="V43" s="113"/>
      <c r="W43" s="489"/>
      <c r="X43" s="490"/>
      <c r="Y43" s="113"/>
      <c r="Z43" s="445"/>
      <c r="AA43" s="500"/>
      <c r="AB43" s="113"/>
      <c r="AC43" s="445"/>
      <c r="AD43" s="500"/>
      <c r="AE43" s="113"/>
      <c r="AF43" s="445"/>
      <c r="AG43" s="501"/>
      <c r="AH43" s="113"/>
      <c r="AI43" s="493"/>
      <c r="AJ43" s="494"/>
      <c r="AK43" s="7"/>
      <c r="AN43" s="186"/>
      <c r="AO43" s="186"/>
      <c r="AP43" s="186"/>
      <c r="AQ43" s="186"/>
      <c r="AR43" s="186"/>
      <c r="AS43" s="186"/>
      <c r="AT43" s="186"/>
      <c r="AU43" s="186"/>
      <c r="AV43" s="186"/>
      <c r="AW43" s="186"/>
    </row>
    <row r="44" hidden="1">
      <c r="A44" s="186"/>
      <c r="B44" s="475"/>
      <c r="C44" s="476"/>
      <c r="D44" s="113"/>
      <c r="E44" s="477"/>
      <c r="F44" s="478"/>
      <c r="G44" s="113"/>
      <c r="H44" s="479"/>
      <c r="I44" s="480"/>
      <c r="J44" s="113"/>
      <c r="K44" s="481"/>
      <c r="L44" s="482"/>
      <c r="M44" s="113"/>
      <c r="N44" s="483"/>
      <c r="O44" s="484"/>
      <c r="P44" s="113"/>
      <c r="Q44" s="485"/>
      <c r="R44" s="486"/>
      <c r="S44" s="113"/>
      <c r="T44" s="487"/>
      <c r="U44" s="488"/>
      <c r="V44" s="113"/>
      <c r="W44" s="489"/>
      <c r="X44" s="490"/>
      <c r="Y44" s="113"/>
      <c r="Z44" s="445"/>
      <c r="AA44" s="500"/>
      <c r="AB44" s="113"/>
      <c r="AC44" s="445"/>
      <c r="AD44" s="500"/>
      <c r="AE44" s="113"/>
      <c r="AF44" s="445"/>
      <c r="AG44" s="501"/>
      <c r="AH44" s="113"/>
      <c r="AI44" s="493"/>
      <c r="AJ44" s="494"/>
      <c r="AK44" s="7"/>
      <c r="AN44" s="186"/>
      <c r="AO44" s="186"/>
      <c r="AP44" s="186"/>
      <c r="AQ44" s="186"/>
      <c r="AR44" s="186"/>
      <c r="AS44" s="186"/>
      <c r="AT44" s="186"/>
      <c r="AU44" s="186"/>
      <c r="AV44" s="186"/>
      <c r="AW44" s="186"/>
    </row>
    <row r="45" hidden="1">
      <c r="A45" s="186"/>
      <c r="B45" s="475"/>
      <c r="C45" s="476"/>
      <c r="D45" s="113"/>
      <c r="E45" s="477"/>
      <c r="F45" s="478"/>
      <c r="G45" s="113"/>
      <c r="H45" s="479"/>
      <c r="I45" s="480"/>
      <c r="J45" s="113"/>
      <c r="K45" s="481"/>
      <c r="L45" s="482"/>
      <c r="M45" s="113"/>
      <c r="N45" s="483"/>
      <c r="O45" s="484"/>
      <c r="P45" s="113"/>
      <c r="Q45" s="485"/>
      <c r="R45" s="486"/>
      <c r="S45" s="113"/>
      <c r="T45" s="487"/>
      <c r="U45" s="488"/>
      <c r="V45" s="113"/>
      <c r="W45" s="489"/>
      <c r="X45" s="490"/>
      <c r="Y45" s="113"/>
      <c r="Z45" s="445"/>
      <c r="AA45" s="500"/>
      <c r="AB45" s="113"/>
      <c r="AC45" s="445"/>
      <c r="AD45" s="500"/>
      <c r="AE45" s="113"/>
      <c r="AF45" s="445"/>
      <c r="AG45" s="501"/>
      <c r="AH45" s="113"/>
      <c r="AI45" s="493"/>
      <c r="AJ45" s="494"/>
      <c r="AK45" s="7"/>
      <c r="AN45" s="186"/>
      <c r="AO45" s="186"/>
      <c r="AP45" s="186"/>
      <c r="AQ45" s="186"/>
      <c r="AR45" s="186"/>
      <c r="AS45" s="186"/>
      <c r="AT45" s="186"/>
      <c r="AU45" s="186"/>
      <c r="AV45" s="186"/>
      <c r="AW45" s="186"/>
    </row>
    <row r="46" hidden="1">
      <c r="A46" s="186"/>
      <c r="B46" s="475"/>
      <c r="C46" s="476"/>
      <c r="D46" s="113"/>
      <c r="E46" s="477"/>
      <c r="F46" s="478"/>
      <c r="G46" s="113"/>
      <c r="H46" s="479"/>
      <c r="I46" s="480"/>
      <c r="J46" s="113"/>
      <c r="K46" s="481"/>
      <c r="L46" s="482"/>
      <c r="M46" s="113"/>
      <c r="N46" s="483"/>
      <c r="O46" s="484"/>
      <c r="P46" s="113"/>
      <c r="Q46" s="485"/>
      <c r="R46" s="486"/>
      <c r="S46" s="113"/>
      <c r="T46" s="487"/>
      <c r="U46" s="488"/>
      <c r="V46" s="113"/>
      <c r="W46" s="489"/>
      <c r="X46" s="490"/>
      <c r="Y46" s="113"/>
      <c r="Z46" s="445"/>
      <c r="AA46" s="500"/>
      <c r="AB46" s="113"/>
      <c r="AC46" s="445"/>
      <c r="AD46" s="500"/>
      <c r="AE46" s="113"/>
      <c r="AF46" s="445"/>
      <c r="AG46" s="501"/>
      <c r="AH46" s="113"/>
      <c r="AI46" s="493"/>
      <c r="AJ46" s="494"/>
      <c r="AK46" s="7"/>
      <c r="AL46" s="17"/>
      <c r="AM46" s="186"/>
      <c r="AN46" s="186"/>
      <c r="AO46" s="186"/>
      <c r="AP46" s="186"/>
      <c r="AQ46" s="186"/>
      <c r="AR46" s="186"/>
      <c r="AS46" s="186"/>
      <c r="AT46" s="186"/>
      <c r="AU46" s="186"/>
      <c r="AV46" s="186"/>
      <c r="AW46" s="186"/>
    </row>
    <row r="47" hidden="1">
      <c r="A47" s="186"/>
      <c r="B47" s="475"/>
      <c r="C47" s="476"/>
      <c r="D47" s="113"/>
      <c r="E47" s="477"/>
      <c r="F47" s="478"/>
      <c r="G47" s="113"/>
      <c r="H47" s="479"/>
      <c r="I47" s="480"/>
      <c r="J47" s="113"/>
      <c r="K47" s="481"/>
      <c r="L47" s="482"/>
      <c r="M47" s="113"/>
      <c r="N47" s="483"/>
      <c r="O47" s="484"/>
      <c r="P47" s="113"/>
      <c r="Q47" s="485"/>
      <c r="R47" s="486"/>
      <c r="S47" s="113"/>
      <c r="T47" s="487"/>
      <c r="U47" s="488"/>
      <c r="V47" s="113"/>
      <c r="W47" s="489"/>
      <c r="X47" s="490"/>
      <c r="Y47" s="113"/>
      <c r="Z47" s="445"/>
      <c r="AA47" s="500"/>
      <c r="AB47" s="113"/>
      <c r="AC47" s="445"/>
      <c r="AD47" s="500"/>
      <c r="AE47" s="113"/>
      <c r="AF47" s="445"/>
      <c r="AG47" s="501"/>
      <c r="AH47" s="113"/>
      <c r="AI47" s="493"/>
      <c r="AJ47" s="494"/>
      <c r="AK47" s="7"/>
      <c r="AL47" s="17"/>
      <c r="AM47" s="186"/>
      <c r="AN47" s="186"/>
      <c r="AO47" s="186"/>
      <c r="AP47" s="186"/>
      <c r="AQ47" s="186"/>
      <c r="AR47" s="186"/>
      <c r="AS47" s="186"/>
      <c r="AT47" s="186"/>
      <c r="AU47" s="186"/>
      <c r="AV47" s="186"/>
      <c r="AW47" s="186"/>
    </row>
    <row r="48" hidden="1">
      <c r="A48" s="186"/>
      <c r="B48" s="423"/>
      <c r="C48" s="424"/>
      <c r="D48" s="17"/>
      <c r="E48" s="425"/>
      <c r="F48" s="426"/>
      <c r="G48" s="17"/>
      <c r="H48" s="427"/>
      <c r="I48" s="428"/>
      <c r="J48" s="17"/>
      <c r="K48" s="429"/>
      <c r="L48" s="430"/>
      <c r="M48" s="17"/>
      <c r="N48" s="431"/>
      <c r="O48" s="432"/>
      <c r="P48" s="17"/>
      <c r="Q48" s="433"/>
      <c r="R48" s="434"/>
      <c r="S48" s="17"/>
      <c r="T48" s="435"/>
      <c r="U48" s="436"/>
      <c r="V48" s="17"/>
      <c r="W48" s="437"/>
      <c r="X48" s="438"/>
      <c r="Y48" s="17"/>
      <c r="Z48" s="445"/>
      <c r="AA48" s="500"/>
      <c r="AB48" s="17"/>
      <c r="AC48" s="445"/>
      <c r="AD48" s="500"/>
      <c r="AE48" s="17"/>
      <c r="AF48" s="445"/>
      <c r="AG48" s="501"/>
      <c r="AH48" s="17"/>
      <c r="AI48" s="442"/>
      <c r="AJ48" s="443"/>
      <c r="AK48" s="7"/>
      <c r="AL48" s="17"/>
      <c r="AM48" s="186"/>
      <c r="AN48" s="186"/>
      <c r="AO48" s="186"/>
      <c r="AP48" s="186"/>
      <c r="AQ48" s="186"/>
      <c r="AR48" s="186"/>
      <c r="AS48" s="186"/>
      <c r="AT48" s="186"/>
      <c r="AU48" s="186"/>
      <c r="AV48" s="186"/>
      <c r="AW48" s="186"/>
    </row>
    <row r="49" hidden="1">
      <c r="A49" s="186"/>
      <c r="B49" s="423"/>
      <c r="C49" s="424"/>
      <c r="D49" s="17"/>
      <c r="E49" s="425"/>
      <c r="F49" s="426"/>
      <c r="G49" s="17"/>
      <c r="H49" s="427"/>
      <c r="I49" s="428"/>
      <c r="J49" s="17"/>
      <c r="K49" s="429"/>
      <c r="L49" s="430"/>
      <c r="M49" s="17"/>
      <c r="N49" s="431"/>
      <c r="O49" s="432"/>
      <c r="P49" s="17"/>
      <c r="Q49" s="433"/>
      <c r="R49" s="434"/>
      <c r="S49" s="17"/>
      <c r="T49" s="435"/>
      <c r="U49" s="436"/>
      <c r="V49" s="17"/>
      <c r="W49" s="437"/>
      <c r="X49" s="438"/>
      <c r="Y49" s="17"/>
      <c r="Z49" s="445"/>
      <c r="AA49" s="500"/>
      <c r="AB49" s="17"/>
      <c r="AC49" s="445"/>
      <c r="AD49" s="500"/>
      <c r="AE49" s="17"/>
      <c r="AF49" s="445"/>
      <c r="AG49" s="501"/>
      <c r="AH49" s="17"/>
      <c r="AI49" s="442"/>
      <c r="AJ49" s="443"/>
      <c r="AK49" s="7"/>
      <c r="AL49" s="17"/>
      <c r="AM49" s="186"/>
      <c r="AN49" s="186"/>
      <c r="AO49" s="186"/>
      <c r="AP49" s="186"/>
      <c r="AQ49" s="186"/>
      <c r="AR49" s="186"/>
      <c r="AS49" s="186"/>
      <c r="AT49" s="186"/>
      <c r="AU49" s="186"/>
      <c r="AV49" s="186"/>
      <c r="AW49" s="186"/>
    </row>
    <row r="50" hidden="1">
      <c r="A50" s="186"/>
      <c r="B50" s="423"/>
      <c r="C50" s="424"/>
      <c r="D50" s="17"/>
      <c r="E50" s="425"/>
      <c r="F50" s="426"/>
      <c r="G50" s="17"/>
      <c r="H50" s="427"/>
      <c r="I50" s="428"/>
      <c r="J50" s="17"/>
      <c r="K50" s="429"/>
      <c r="L50" s="430"/>
      <c r="M50" s="17"/>
      <c r="N50" s="431"/>
      <c r="O50" s="432"/>
      <c r="P50" s="17"/>
      <c r="Q50" s="433"/>
      <c r="R50" s="434"/>
      <c r="S50" s="17"/>
      <c r="T50" s="435"/>
      <c r="U50" s="436"/>
      <c r="V50" s="17"/>
      <c r="W50" s="437"/>
      <c r="X50" s="438"/>
      <c r="Y50" s="17"/>
      <c r="Z50" s="445"/>
      <c r="AA50" s="500"/>
      <c r="AB50" s="17"/>
      <c r="AC50" s="445"/>
      <c r="AD50" s="500"/>
      <c r="AE50" s="17"/>
      <c r="AF50" s="445"/>
      <c r="AG50" s="501"/>
      <c r="AH50" s="17"/>
      <c r="AI50" s="442"/>
      <c r="AJ50" s="443"/>
      <c r="AK50" s="7"/>
      <c r="AL50" s="17"/>
      <c r="AM50" s="186"/>
      <c r="AN50" s="186"/>
      <c r="AO50" s="186"/>
      <c r="AP50" s="186"/>
      <c r="AQ50" s="186"/>
      <c r="AR50" s="186"/>
      <c r="AS50" s="186"/>
      <c r="AT50" s="186"/>
      <c r="AU50" s="186"/>
      <c r="AV50" s="186"/>
      <c r="AW50" s="186"/>
    </row>
  </sheetData>
  <mergeCells count="5">
    <mergeCell ref="A3:A6"/>
    <mergeCell ref="AK3:AK6"/>
    <mergeCell ref="A8:A16"/>
    <mergeCell ref="AK8:AK16"/>
    <mergeCell ref="AL42:AM45"/>
  </mergeCells>
  <conditionalFormatting sqref="AM1:AM41 AM46:AM50">
    <cfRule type="cellIs" dxfId="7" priority="1" operator="equal">
      <formula>"S"</formula>
    </cfRule>
  </conditionalFormatting>
  <conditionalFormatting sqref="AM1:AM41 AM46:AM50">
    <cfRule type="cellIs" dxfId="8" priority="2" operator="equal">
      <formula>"A"</formula>
    </cfRule>
  </conditionalFormatting>
  <conditionalFormatting sqref="AM1:AM41 AM46:AM50">
    <cfRule type="cellIs" dxfId="9" priority="3" operator="equal">
      <formula>"B"</formula>
    </cfRule>
  </conditionalFormatting>
  <conditionalFormatting sqref="AM1:AM41 AM46:AM50">
    <cfRule type="cellIs" dxfId="2" priority="4" operator="equal">
      <formula>"C"</formula>
    </cfRule>
  </conditionalFormatting>
  <conditionalFormatting sqref="AM1:AM41 AM46:AM50">
    <cfRule type="cellIs" dxfId="10" priority="5" operator="equal">
      <formula>"D"</formula>
    </cfRule>
  </conditionalFormatting>
  <conditionalFormatting sqref="AM1:AM41 AM46:AM50">
    <cfRule type="cellIs" dxfId="11" priority="6" operator="equal">
      <formula>"E"</formula>
    </cfRule>
  </conditionalFormatting>
  <conditionalFormatting sqref="AM1:AM41 AM46:AM50">
    <cfRule type="cellIs" dxfId="12" priority="7" operator="equal">
      <formula>"F"</formula>
    </cfRule>
  </conditionalFormatting>
  <conditionalFormatting sqref="AQ1:AQ50">
    <cfRule type="cellIs" dxfId="7" priority="8" operator="equal">
      <formula>"S+"</formula>
    </cfRule>
  </conditionalFormatting>
  <conditionalFormatting sqref="AQ1:AQ50">
    <cfRule type="cellIs" dxfId="7" priority="9" operator="equal">
      <formula>"S"</formula>
    </cfRule>
  </conditionalFormatting>
  <conditionalFormatting sqref="AQ1:AQ50">
    <cfRule type="cellIs" dxfId="13" priority="10" operator="equal">
      <formula>"S-"</formula>
    </cfRule>
  </conditionalFormatting>
  <conditionalFormatting sqref="AQ1:AQ50">
    <cfRule type="cellIs" dxfId="14" priority="11" operator="equal">
      <formula>"A+"</formula>
    </cfRule>
  </conditionalFormatting>
  <conditionalFormatting sqref="AQ1:AQ50">
    <cfRule type="cellIs" dxfId="14" priority="12" operator="equal">
      <formula>"A"</formula>
    </cfRule>
  </conditionalFormatting>
  <conditionalFormatting sqref="AQ1:AQ50">
    <cfRule type="cellIs" dxfId="14" priority="13" operator="equal">
      <formula>"A-"</formula>
    </cfRule>
  </conditionalFormatting>
  <conditionalFormatting sqref="AQ1:AQ50">
    <cfRule type="cellIs" dxfId="9" priority="14" operator="equal">
      <formula>"B+"</formula>
    </cfRule>
  </conditionalFormatting>
  <conditionalFormatting sqref="AQ1:AQ50">
    <cfRule type="cellIs" dxfId="9" priority="15" operator="equal">
      <formula>"B"</formula>
    </cfRule>
  </conditionalFormatting>
  <conditionalFormatting sqref="AQ1:AQ50">
    <cfRule type="cellIs" dxfId="9" priority="16" operator="equal">
      <formula>"B-"</formula>
    </cfRule>
  </conditionalFormatting>
  <conditionalFormatting sqref="AQ1:AQ50">
    <cfRule type="cellIs" dxfId="2" priority="17" operator="equal">
      <formula>"C+"</formula>
    </cfRule>
  </conditionalFormatting>
  <conditionalFormatting sqref="AQ1:AQ50">
    <cfRule type="cellIs" dxfId="2" priority="18" operator="equal">
      <formula>"C"</formula>
    </cfRule>
  </conditionalFormatting>
  <conditionalFormatting sqref="AQ1:AQ50">
    <cfRule type="cellIs" dxfId="2" priority="19" operator="equal">
      <formula>"C-"</formula>
    </cfRule>
  </conditionalFormatting>
  <conditionalFormatting sqref="AQ1:AQ50">
    <cfRule type="cellIs" dxfId="10" priority="20" operator="equal">
      <formula>"D+"</formula>
    </cfRule>
  </conditionalFormatting>
  <conditionalFormatting sqref="AQ1:AQ50">
    <cfRule type="cellIs" dxfId="10" priority="21" operator="equal">
      <formula>"D"</formula>
    </cfRule>
  </conditionalFormatting>
  <conditionalFormatting sqref="AQ1:AQ50">
    <cfRule type="cellIs" dxfId="10" priority="22" operator="equal">
      <formula>"D-"</formula>
    </cfRule>
  </conditionalFormatting>
  <conditionalFormatting sqref="AQ1:AQ50">
    <cfRule type="cellIs" dxfId="15" priority="23" operator="equal">
      <formula>"E+"</formula>
    </cfRule>
  </conditionalFormatting>
  <conditionalFormatting sqref="AQ1:AQ50">
    <cfRule type="cellIs" dxfId="15" priority="24" operator="equal">
      <formula>"E"</formula>
    </cfRule>
  </conditionalFormatting>
  <conditionalFormatting sqref="AQ1:AQ50">
    <cfRule type="cellIs" dxfId="15" priority="25" operator="equal">
      <formula>"E-"</formula>
    </cfRule>
  </conditionalFormatting>
  <conditionalFormatting sqref="AQ1:AQ50">
    <cfRule type="cellIs" dxfId="16" priority="26" operator="equal">
      <formula>"F+"</formula>
    </cfRule>
  </conditionalFormatting>
  <conditionalFormatting sqref="AQ1:AQ50">
    <cfRule type="cellIs" dxfId="16" priority="27" operator="equal">
      <formula>"F"</formula>
    </cfRule>
  </conditionalFormatting>
  <conditionalFormatting sqref="AQ1:AQ50">
    <cfRule type="cellIs" dxfId="16" priority="28" operator="equal">
      <formula>"F-"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7.13"/>
    <col customWidth="1" min="2" max="2" width="15.88"/>
    <col customWidth="1" hidden="1" min="3" max="3" width="8.88"/>
    <col customWidth="1" min="4" max="4" width="5.88"/>
    <col customWidth="1" min="5" max="5" width="9.75"/>
    <col customWidth="1" min="6" max="6" width="14.25"/>
    <col customWidth="1" min="7" max="7" width="5.63"/>
    <col customWidth="1" min="8" max="8" width="8.0"/>
    <col customWidth="1" min="9" max="9" width="4.75"/>
    <col customWidth="1" min="10" max="10" width="6.5"/>
    <col customWidth="1" min="11" max="11" width="6.63"/>
    <col customWidth="1" min="12" max="12" width="5.13"/>
    <col customWidth="1" min="13" max="13" width="6.88"/>
    <col customWidth="1" min="14" max="14" width="6.13"/>
    <col customWidth="1" min="15" max="15" width="8.5"/>
    <col customWidth="1" min="16" max="17" width="9.5"/>
    <col customWidth="1" min="18" max="18" width="7.0"/>
    <col customWidth="1" min="19" max="19" width="9.13"/>
    <col customWidth="1" min="20" max="20" width="10.38"/>
    <col customWidth="1" min="21" max="21" width="8.38"/>
    <col customWidth="1" min="22" max="22" width="9.38"/>
    <col customWidth="1" min="23" max="23" width="13.25"/>
    <col customWidth="1" min="24" max="24" width="11.63"/>
    <col customWidth="1" min="25" max="26" width="6.38"/>
    <col customWidth="1" min="27" max="27" width="6.13"/>
    <col customWidth="1" min="28" max="32" width="6.38"/>
    <col customWidth="1" min="33" max="33" width="7.25"/>
    <col customWidth="1" min="34" max="34" width="7.63"/>
    <col customWidth="1" min="35" max="35" width="8.25"/>
    <col customWidth="1" min="36" max="36" width="12.5"/>
    <col customWidth="1" min="37" max="37" width="8.5"/>
    <col customWidth="1" min="38" max="38" width="8.88"/>
    <col customWidth="1" min="39" max="39" width="9.75"/>
  </cols>
  <sheetData>
    <row r="1">
      <c r="A1" s="503">
        <v>1.0</v>
      </c>
      <c r="B1" s="503" t="s">
        <v>325</v>
      </c>
      <c r="C1" s="504" t="s">
        <v>326</v>
      </c>
      <c r="D1" s="503" t="s">
        <v>327</v>
      </c>
      <c r="E1" s="503" t="s">
        <v>328</v>
      </c>
      <c r="F1" s="503" t="s">
        <v>329</v>
      </c>
      <c r="G1" s="503" t="s">
        <v>20</v>
      </c>
      <c r="H1" s="503" t="s">
        <v>330</v>
      </c>
      <c r="I1" s="503" t="s">
        <v>21</v>
      </c>
      <c r="J1" s="503" t="s">
        <v>23</v>
      </c>
      <c r="K1" s="503" t="s">
        <v>24</v>
      </c>
      <c r="L1" s="505" t="s">
        <v>331</v>
      </c>
      <c r="M1" s="503" t="s">
        <v>22</v>
      </c>
      <c r="N1" s="503" t="s">
        <v>25</v>
      </c>
      <c r="O1" s="503" t="s">
        <v>26</v>
      </c>
      <c r="P1" s="503" t="s">
        <v>28</v>
      </c>
      <c r="Q1" s="503" t="s">
        <v>332</v>
      </c>
      <c r="R1" s="503" t="s">
        <v>333</v>
      </c>
      <c r="S1" s="506" t="s">
        <v>334</v>
      </c>
      <c r="T1" s="507" t="s">
        <v>335</v>
      </c>
      <c r="U1" s="507" t="s">
        <v>336</v>
      </c>
      <c r="V1" s="508" t="s">
        <v>337</v>
      </c>
      <c r="W1" s="507" t="s">
        <v>338</v>
      </c>
      <c r="X1" s="508" t="s">
        <v>339</v>
      </c>
      <c r="Y1" s="507" t="s">
        <v>340</v>
      </c>
      <c r="Z1" s="507" t="s">
        <v>341</v>
      </c>
      <c r="AA1" s="507" t="s">
        <v>342</v>
      </c>
      <c r="AB1" s="507" t="s">
        <v>343</v>
      </c>
      <c r="AC1" s="507" t="s">
        <v>344</v>
      </c>
      <c r="AD1" s="507" t="s">
        <v>345</v>
      </c>
      <c r="AE1" s="507" t="s">
        <v>346</v>
      </c>
      <c r="AF1" s="507" t="s">
        <v>347</v>
      </c>
      <c r="AG1" s="507" t="s">
        <v>348</v>
      </c>
      <c r="AH1" s="508" t="s">
        <v>349</v>
      </c>
      <c r="AI1" s="508" t="s">
        <v>40</v>
      </c>
      <c r="AJ1" s="508" t="s">
        <v>350</v>
      </c>
      <c r="AK1" s="507" t="s">
        <v>41</v>
      </c>
      <c r="AL1" s="507" t="s">
        <v>351</v>
      </c>
      <c r="AM1" s="507" t="s">
        <v>352</v>
      </c>
    </row>
    <row r="2">
      <c r="A2" s="509" t="s">
        <v>353</v>
      </c>
      <c r="B2" s="510" t="str">
        <f t="array" ref="B2">IFERROR(INDEX(TeamInfo!$C1:$C$45,MATCH($A$2,TeamInfo!A:A,0),0),"")</f>
        <v>Mavbrid</v>
      </c>
      <c r="C2" s="511" t="str">
        <f t="array" ref="C2">IFERROR(INDEX('Player Efficiency'!$1:$45,MATCH(B2,'Player Efficiency'!A:A,0),2),"")</f>
        <v/>
      </c>
      <c r="D2" s="512" t="str">
        <f t="array" ref="D2">IFERROR(INDEX('PlayerGrades+'!$1:$47,MATCH(B2,'PlayerGrades+'!L:L,0),22),"")</f>
        <v>D+</v>
      </c>
      <c r="E2" s="512">
        <f t="array" ref="E2">IFERROR(INDEX('PlayerGrades+'!$1:$47,MATCH(B2,'PlayerGrades+'!L:L,0),23),"")</f>
        <v>17.25</v>
      </c>
      <c r="F2" s="513" t="str">
        <f t="array" ref="F2">IFERROR(INDEX(TeamInfo!$D1:$D$45,MATCH($A$2,TeamInfo!A:A,0),0),"")</f>
        <v>East</v>
      </c>
      <c r="G2" s="16">
        <f t="array" ref="G2">IFERROR(INDEX('Halo Reach Stats'!$1:$46,MATCH($B2,'Halo Reach Stats'!$A:$A,0),5),"")</f>
        <v>50</v>
      </c>
      <c r="H2" s="16">
        <f t="array" ref="H2">IFERROR(INDEX('Halo Reach Stats'!$1:$46,MATCH($B2,'Halo Reach Stats'!$A:$A,0),6),"")</f>
        <v>345</v>
      </c>
      <c r="I2" s="16">
        <f t="array" ref="I2">IFERROR(INDEX('Halo Reach Stats'!$1:$46,MATCH($B2,'Halo Reach Stats'!$A:$A,0),7),"")</f>
        <v>2015</v>
      </c>
      <c r="J2" s="16">
        <f t="array" ref="J2">IFERROR(INDEX('Halo Reach Stats'!$1:$46,MATCH($B2,'Halo Reach Stats'!$A:$A,0),8),"")</f>
        <v>1948</v>
      </c>
      <c r="K2" s="16">
        <f t="array" ref="K2">IFERROR(INDEX('Halo Reach Stats'!$1:$46,MATCH($B2,'Halo Reach Stats'!$A:$A,0),9),"")</f>
        <v>67</v>
      </c>
      <c r="L2" s="514">
        <f t="shared" ref="L2:L5" si="1">I2/J2</f>
        <v>1.034394251</v>
      </c>
      <c r="M2" s="16">
        <f t="array" ref="M2">IFERROR(INDEX('Halo Reach Stats'!$1:$46,MATCH($B2,'Halo Reach Stats'!$A:$A,0),10),"")</f>
        <v>135</v>
      </c>
      <c r="N2" s="16">
        <f t="array" ref="N2">IFERROR(INDEX('Halo Reach Stats'!$1:$46,MATCH($B2,'Halo Reach Stats'!$A:$A,0),11),"")</f>
        <v>13</v>
      </c>
      <c r="O2" s="16">
        <f t="array" ref="O2">IFERROR(INDEX('Halo Reach Stats'!$1:$46,MATCH($B2,'Halo Reach Stats'!$A:$A,0),12),"")</f>
        <v>25</v>
      </c>
      <c r="P2" s="16">
        <f t="array" ref="P2">IFERROR(INDEX('Halo Reach Stats'!$1:$46,MATCH($B2,'Halo Reach Stats'!$A:$A,0),14),"")</f>
        <v>51364</v>
      </c>
      <c r="Q2" s="16">
        <f t="array" ref="Q2">IFERROR(INDEX('Halo Reach Stats'!$1:$46,MATCH($B2,'Halo Reach Stats'!$A:$A,0),16),"")</f>
        <v>16378</v>
      </c>
      <c r="R2" s="16">
        <f t="array" ref="R2">IFERROR(INDEX('Halo Reach Stats'!$1:$46,MATCH($B2,'Halo Reach Stats'!$A:$A,0),15),"")</f>
        <v>22</v>
      </c>
      <c r="S2" s="16">
        <f t="array" ref="S2">IFERROR(INDEX('Halo Reach Stats'!$1:$46,MATCH($B2,'Halo Reach Stats'!$A:$A,0),18),"")</f>
        <v>43</v>
      </c>
      <c r="T2" s="16">
        <f t="array" ref="T2">IFERROR(INDEX('Halo Reach Stats'!$1:$46,MATCH($B2,'Halo Reach Stats'!$A:$A,0),19),"")</f>
        <v>4</v>
      </c>
      <c r="U2" s="16">
        <f t="array" ref="U2">IFERROR(INDEX('Halo Reach Stats'!$1:$46,MATCH($B2,'Halo Reach Stats'!$A:$A,0),20),"")</f>
        <v>0</v>
      </c>
      <c r="V2" s="16">
        <f t="array" ref="V2">IFERROR(INDEX('Halo Reach Stats'!$1:$46,MATCH($B2,'Halo Reach Stats'!$A:$A,0),21),"")</f>
        <v>0</v>
      </c>
      <c r="W2" s="16">
        <f t="array" ref="W2">IFERROR(INDEX('Halo Reach Stats'!$1:$46,MATCH($B2,'Halo Reach Stats'!$A:$A,0),22),"")</f>
        <v>17</v>
      </c>
      <c r="X2" s="16">
        <f t="array" ref="X2">IFERROR(INDEX('Halo Reach Stats'!$1:$46,MATCH($B2,'Halo Reach Stats'!$A:$A,0),23),"")</f>
        <v>0</v>
      </c>
      <c r="Y2" s="16">
        <f t="array" ref="Y2">IFERROR(INDEX('Halo Reach Stats'!$1:$46,MATCH($B2,'Halo Reach Stats'!$A:$A,0),24),"")</f>
        <v>249</v>
      </c>
      <c r="Z2" s="16">
        <f t="array" ref="Z2">IFERROR(INDEX('Halo Reach Stats'!$1:$46,MATCH($B2,'Halo Reach Stats'!$A:$A,0),25),"")</f>
        <v>34</v>
      </c>
      <c r="AA2" s="16">
        <f t="array" ref="AA2">IFERROR(INDEX('Halo Reach Stats'!$1:$46,MATCH($B2,'Halo Reach Stats'!$A:$A,0),26),"")</f>
        <v>2</v>
      </c>
      <c r="AB2" s="16">
        <f t="array" ref="AB2">IFERROR(INDEX('Halo Reach Stats'!$1:$46,MATCH($B2,'Halo Reach Stats'!$A:$A,0),27),"")</f>
        <v>1</v>
      </c>
      <c r="AC2" s="16">
        <f t="array" ref="AC2">IFERROR(INDEX('Halo Reach Stats'!$1:$46,MATCH($B2,'Halo Reach Stats'!$A:$A,0),28),"")</f>
        <v>1</v>
      </c>
      <c r="AD2" s="16">
        <f t="array" ref="AD2">IFERROR(INDEX('Halo Reach Stats'!$1:$46,MATCH($B2,'Halo Reach Stats'!$A:$A,0),29),"")</f>
        <v>1</v>
      </c>
      <c r="AE2" s="16">
        <f t="array" ref="AE2">IFERROR(INDEX('Halo Reach Stats'!$1:$46,MATCH($B2,'Halo Reach Stats'!$A:$A,0),30),"")</f>
        <v>0</v>
      </c>
      <c r="AF2" s="16">
        <f t="array" ref="AF2">IFERROR(INDEX('Halo Reach Stats'!$1:$46,MATCH($B2,'Halo Reach Stats'!$A:$A,0),31),"")</f>
        <v>0</v>
      </c>
      <c r="AG2" s="16">
        <f t="array" ref="AG2">IFERROR(INDEX('Halo Reach Stats'!$1:$46,MATCH($B2,'Halo Reach Stats'!$A:$A,0),32),"")</f>
        <v>0</v>
      </c>
      <c r="AH2" s="16">
        <f t="array" ref="AH2">IFERROR(INDEX('Halo Reach Stats'!$1:$46,MATCH($B2,'Halo Reach Stats'!$A:$A,0),33),"")</f>
        <v>0</v>
      </c>
      <c r="AI2" s="16">
        <f t="array" ref="AI2">IFERROR(INDEX('Halo Reach Stats'!$1:$46,MATCH($B2,'Halo Reach Stats'!$A:$A,0),34),"")</f>
        <v>54</v>
      </c>
      <c r="AJ2" s="16">
        <f t="array" ref="AJ2">IFERROR(INDEX('Halo Reach Stats'!$1:$46,MATCH($B2,'Halo Reach Stats'!$A:$A,0),35),"")</f>
        <v>1</v>
      </c>
      <c r="AK2" s="16">
        <f t="array" ref="AK2">IFERROR(INDEX('Halo Reach Stats'!$1:$46,MATCH($B2,'Halo Reach Stats'!$A:$A,0),36),"")</f>
        <v>318</v>
      </c>
      <c r="AL2" s="16">
        <f t="array" ref="AL2">IFERROR(INDEX('Halo Reach Stats'!$1:$46,MATCH($B2,'Halo Reach Stats'!$A:$A,0),37),"")</f>
        <v>274</v>
      </c>
      <c r="AM2" s="16">
        <f t="array" ref="AM2">IFERROR(INDEX('Halo Reach Stats'!$1:$46,MATCH($B2,'Halo Reach Stats'!$A:$A,0),38),"")</f>
        <v>19</v>
      </c>
    </row>
    <row r="3">
      <c r="A3" s="515" t="str">
        <f t="array" ref="A3">IFERROR(INDEX(TeamInfo!$1:$45,MATCH(A2,TeamInfo!A:A,0),2),"")</f>
        <v>Rated R</v>
      </c>
      <c r="B3" s="516" t="str">
        <f t="array" ref="B3">IFERROR(INDEX(TeamInfo!$C2:$C$45,MATCH($A$2,TeamInfo!A:A,0),0),"")</f>
        <v>Judasey</v>
      </c>
      <c r="C3" s="511" t="str">
        <f t="array" ref="C3">IFERROR(INDEX('Player Efficiency'!$1:$45,MATCH(B3,'Player Efficiency'!A:A,0),2),"")</f>
        <v/>
      </c>
      <c r="D3" s="512" t="str">
        <f t="array" ref="D3">IFERROR(INDEX('PlayerGrades+'!$1:$47,MATCH(B3,'PlayerGrades+'!L:L,0),22),"")</f>
        <v/>
      </c>
      <c r="E3" s="512" t="str">
        <f t="array" ref="E3">IFERROR(INDEX('PlayerGrades+'!$1:$47,MATCH(B3,'PlayerGrades+'!L:L,0),23),"")</f>
        <v/>
      </c>
      <c r="F3" s="16" t="str">
        <f t="array" ref="F3">IFERROR(INDEX(TeamInfo!$D2:$D$45,MATCH($A$2,TeamInfo!A:A,0),0),"")</f>
        <v>East</v>
      </c>
      <c r="G3" s="16">
        <f t="array" ref="G3">IFERROR(INDEX('Halo Reach Stats'!$1:$46,MATCH($B3,'Halo Reach Stats'!$A:$A,0),5),"")</f>
        <v>2</v>
      </c>
      <c r="H3" s="16">
        <f t="array" ref="H3">IFERROR(INDEX('Halo Reach Stats'!$1:$46,MATCH($B3,'Halo Reach Stats'!$A:$A,0),6),"")</f>
        <v>2</v>
      </c>
      <c r="I3" s="16">
        <f t="array" ref="I3">IFERROR(INDEX('Halo Reach Stats'!$1:$46,MATCH($B3,'Halo Reach Stats'!$A:$A,0),7),"")</f>
        <v>481</v>
      </c>
      <c r="J3" s="16">
        <f t="array" ref="J3">IFERROR(INDEX('Halo Reach Stats'!$1:$46,MATCH($B3,'Halo Reach Stats'!$A:$A,0),8),"")</f>
        <v>404</v>
      </c>
      <c r="K3" s="16">
        <f t="array" ref="K3">IFERROR(INDEX('Halo Reach Stats'!$1:$46,MATCH($B3,'Halo Reach Stats'!$A:$A,0),9),"")</f>
        <v>77</v>
      </c>
      <c r="L3" s="514">
        <f t="shared" si="1"/>
        <v>1.190594059</v>
      </c>
      <c r="M3" s="16">
        <f t="array" ref="M3">IFERROR(INDEX('Halo Reach Stats'!$1:$46,MATCH($B3,'Halo Reach Stats'!$A:$A,0),10),"")</f>
        <v>35</v>
      </c>
      <c r="N3" s="16">
        <f t="array" ref="N3">IFERROR(INDEX('Halo Reach Stats'!$1:$46,MATCH($B3,'Halo Reach Stats'!$A:$A,0),11),"")</f>
        <v>7</v>
      </c>
      <c r="O3" s="16">
        <f t="array" ref="O3">IFERROR(INDEX('Halo Reach Stats'!$1:$46,MATCH($B3,'Halo Reach Stats'!$A:$A,0),12),"")</f>
        <v>20</v>
      </c>
      <c r="P3" s="16">
        <f t="array" ref="P3">IFERROR(INDEX('Halo Reach Stats'!$1:$46,MATCH($B3,'Halo Reach Stats'!$A:$A,0),14),"")</f>
        <v>7072</v>
      </c>
      <c r="Q3" s="16">
        <f t="array" ref="Q3">IFERROR(INDEX('Halo Reach Stats'!$1:$46,MATCH($B3,'Halo Reach Stats'!$A:$A,0),16),"")</f>
        <v>45</v>
      </c>
      <c r="R3" s="16">
        <f t="array" ref="R3">IFERROR(INDEX('Halo Reach Stats'!$1:$46,MATCH($B3,'Halo Reach Stats'!$A:$A,0),15),"")</f>
        <v>13</v>
      </c>
      <c r="S3" s="16">
        <f t="array" ref="S3">IFERROR(INDEX('Halo Reach Stats'!$1:$46,MATCH($B3,'Halo Reach Stats'!$A:$A,0),18),"")</f>
        <v>12</v>
      </c>
      <c r="T3" s="16">
        <f t="array" ref="T3">IFERROR(INDEX('Halo Reach Stats'!$1:$46,MATCH($B3,'Halo Reach Stats'!$A:$A,0),19),"")</f>
        <v>0</v>
      </c>
      <c r="U3" s="16">
        <f t="array" ref="U3">IFERROR(INDEX('Halo Reach Stats'!$1:$46,MATCH($B3,'Halo Reach Stats'!$A:$A,0),20),"")</f>
        <v>0</v>
      </c>
      <c r="V3" s="16">
        <f t="array" ref="V3">IFERROR(INDEX('Halo Reach Stats'!$1:$46,MATCH($B3,'Halo Reach Stats'!$A:$A,0),21),"")</f>
        <v>0</v>
      </c>
      <c r="W3" s="16">
        <f t="array" ref="W3">IFERROR(INDEX('Halo Reach Stats'!$1:$46,MATCH($B3,'Halo Reach Stats'!$A:$A,0),22),"")</f>
        <v>12</v>
      </c>
      <c r="X3" s="16">
        <f t="array" ref="X3">IFERROR(INDEX('Halo Reach Stats'!$1:$46,MATCH($B3,'Halo Reach Stats'!$A:$A,0),23),"")</f>
        <v>0</v>
      </c>
      <c r="Y3" s="16">
        <f t="array" ref="Y3">IFERROR(INDEX('Halo Reach Stats'!$1:$46,MATCH($B3,'Halo Reach Stats'!$A:$A,0),24),"")</f>
        <v>83</v>
      </c>
      <c r="Z3" s="16">
        <f t="array" ref="Z3">IFERROR(INDEX('Halo Reach Stats'!$1:$46,MATCH($B3,'Halo Reach Stats'!$A:$A,0),25),"")</f>
        <v>19</v>
      </c>
      <c r="AA3" s="16">
        <f t="array" ref="AA3">IFERROR(INDEX('Halo Reach Stats'!$1:$46,MATCH($B3,'Halo Reach Stats'!$A:$A,0),26),"")</f>
        <v>3</v>
      </c>
      <c r="AB3" s="16">
        <f t="array" ref="AB3">IFERROR(INDEX('Halo Reach Stats'!$1:$46,MATCH($B3,'Halo Reach Stats'!$A:$A,0),27),"")</f>
        <v>1</v>
      </c>
      <c r="AC3" s="16">
        <f t="array" ref="AC3">IFERROR(INDEX('Halo Reach Stats'!$1:$46,MATCH($B3,'Halo Reach Stats'!$A:$A,0),28),"")</f>
        <v>1</v>
      </c>
      <c r="AD3" s="16">
        <f t="array" ref="AD3">IFERROR(INDEX('Halo Reach Stats'!$1:$46,MATCH($B3,'Halo Reach Stats'!$A:$A,0),29),"")</f>
        <v>0</v>
      </c>
      <c r="AE3" s="16">
        <f t="array" ref="AE3">IFERROR(INDEX('Halo Reach Stats'!$1:$46,MATCH($B3,'Halo Reach Stats'!$A:$A,0),30),"")</f>
        <v>0</v>
      </c>
      <c r="AF3" s="16">
        <f t="array" ref="AF3">IFERROR(INDEX('Halo Reach Stats'!$1:$46,MATCH($B3,'Halo Reach Stats'!$A:$A,0),31),"")</f>
        <v>0</v>
      </c>
      <c r="AG3" s="16">
        <f t="array" ref="AG3">IFERROR(INDEX('Halo Reach Stats'!$1:$46,MATCH($B3,'Halo Reach Stats'!$A:$A,0),32),"")</f>
        <v>0</v>
      </c>
      <c r="AH3" s="16">
        <f t="array" ref="AH3">IFERROR(INDEX('Halo Reach Stats'!$1:$46,MATCH($B3,'Halo Reach Stats'!$A:$A,0),33),"")</f>
        <v>0</v>
      </c>
      <c r="AI3" s="16">
        <f t="array" ref="AI3">IFERROR(INDEX('Halo Reach Stats'!$1:$46,MATCH($B3,'Halo Reach Stats'!$A:$A,0),34),"")</f>
        <v>21</v>
      </c>
      <c r="AJ3" s="16">
        <f t="array" ref="AJ3">IFERROR(INDEX('Halo Reach Stats'!$1:$46,MATCH($B3,'Halo Reach Stats'!$A:$A,0),35),"")</f>
        <v>0</v>
      </c>
      <c r="AK3" s="16">
        <f t="array" ref="AK3">IFERROR(INDEX('Halo Reach Stats'!$1:$46,MATCH($B3,'Halo Reach Stats'!$A:$A,0),36),"")</f>
        <v>45</v>
      </c>
      <c r="AL3" s="16">
        <f t="array" ref="AL3">IFERROR(INDEX('Halo Reach Stats'!$1:$46,MATCH($B3,'Halo Reach Stats'!$A:$A,0),37),"")</f>
        <v>68</v>
      </c>
      <c r="AM3" s="16">
        <f t="array" ref="AM3">IFERROR(INDEX('Halo Reach Stats'!$1:$46,MATCH($B3,'Halo Reach Stats'!$A:$A,0),38),"")</f>
        <v>1</v>
      </c>
    </row>
    <row r="4">
      <c r="A4" s="517" t="str">
        <f>VLOOKUP(A2,TeamInfo!$1:$49,6,0)</f>
        <v>15-14</v>
      </c>
      <c r="B4" s="516" t="str">
        <f t="array" ref="B4">IFERROR(INDEX(TeamInfo!$C3:$C$45,MATCH($A$2,TeamInfo!A:A,0),0),"")</f>
        <v>MysticalNovice</v>
      </c>
      <c r="C4" s="511" t="str">
        <f t="array" ref="C4">IFERROR(INDEX('Player Efficiency'!$1:$45,MATCH(B4,'Player Efficiency'!A:A,0),2),"")</f>
        <v/>
      </c>
      <c r="D4" s="512" t="str">
        <f t="array" ref="D4">IFERROR(INDEX('PlayerGrades+'!$1:$47,MATCH(B4,'PlayerGrades+'!L:L,0),22),"")</f>
        <v>A-</v>
      </c>
      <c r="E4" s="512">
        <f t="array" ref="E4">IFERROR(INDEX('PlayerGrades+'!$1:$47,MATCH(B4,'PlayerGrades+'!L:L,0),23),"")</f>
        <v>24.65</v>
      </c>
      <c r="F4" s="16" t="str">
        <f t="array" ref="F4">IFERROR(INDEX(TeamInfo!$D3:$D$45,MATCH($A$2,TeamInfo!A:A,0),0),"")</f>
        <v>West</v>
      </c>
      <c r="G4" s="16">
        <f t="array" ref="G4">IFERROR(INDEX('Halo Reach Stats'!$1:$46,MATCH($B4,'Halo Reach Stats'!$A:$A,0),5),"")</f>
        <v>6</v>
      </c>
      <c r="H4" s="16">
        <f t="array" ref="H4">IFERROR(INDEX('Halo Reach Stats'!$1:$46,MATCH($B4,'Halo Reach Stats'!$A:$A,0),6),"")</f>
        <v>10</v>
      </c>
      <c r="I4" s="16">
        <f t="array" ref="I4">IFERROR(INDEX('Halo Reach Stats'!$1:$46,MATCH($B4,'Halo Reach Stats'!$A:$A,0),7),"")</f>
        <v>3306</v>
      </c>
      <c r="J4" s="16">
        <f t="array" ref="J4">IFERROR(INDEX('Halo Reach Stats'!$1:$46,MATCH($B4,'Halo Reach Stats'!$A:$A,0),8),"")</f>
        <v>3584</v>
      </c>
      <c r="K4" s="16">
        <f t="array" ref="K4">IFERROR(INDEX('Halo Reach Stats'!$1:$46,MATCH($B4,'Halo Reach Stats'!$A:$A,0),9),"")</f>
        <v>-278</v>
      </c>
      <c r="L4" s="514">
        <f t="shared" si="1"/>
        <v>0.9224330357</v>
      </c>
      <c r="M4" s="16">
        <f t="array" ref="M4">IFERROR(INDEX('Halo Reach Stats'!$1:$46,MATCH($B4,'Halo Reach Stats'!$A:$A,0),10),"")</f>
        <v>157</v>
      </c>
      <c r="N4" s="16">
        <f t="array" ref="N4">IFERROR(INDEX('Halo Reach Stats'!$1:$46,MATCH($B4,'Halo Reach Stats'!$A:$A,0),11),"")</f>
        <v>6</v>
      </c>
      <c r="O4" s="16">
        <f t="array" ref="O4">IFERROR(INDEX('Halo Reach Stats'!$1:$46,MATCH($B4,'Halo Reach Stats'!$A:$A,0),12),"")</f>
        <v>44</v>
      </c>
      <c r="P4" s="16">
        <f t="array" ref="P4">IFERROR(INDEX('Halo Reach Stats'!$1:$46,MATCH($B4,'Halo Reach Stats'!$A:$A,0),14),"")</f>
        <v>49586</v>
      </c>
      <c r="Q4" s="16">
        <f t="array" ref="Q4">IFERROR(INDEX('Halo Reach Stats'!$1:$46,MATCH($B4,'Halo Reach Stats'!$A:$A,0),16),"")</f>
        <v>450</v>
      </c>
      <c r="R4" s="16">
        <f t="array" ref="R4">IFERROR(INDEX('Halo Reach Stats'!$1:$46,MATCH($B4,'Halo Reach Stats'!$A:$A,0),15),"")</f>
        <v>10</v>
      </c>
      <c r="S4" s="16">
        <f t="array" ref="S4">IFERROR(INDEX('Halo Reach Stats'!$1:$46,MATCH($B4,'Halo Reach Stats'!$A:$A,0),18),"")</f>
        <v>23</v>
      </c>
      <c r="T4" s="16">
        <f t="array" ref="T4">IFERROR(INDEX('Halo Reach Stats'!$1:$46,MATCH($B4,'Halo Reach Stats'!$A:$A,0),19),"")</f>
        <v>0</v>
      </c>
      <c r="U4" s="16">
        <f t="array" ref="U4">IFERROR(INDEX('Halo Reach Stats'!$1:$46,MATCH($B4,'Halo Reach Stats'!$A:$A,0),20),"")</f>
        <v>0</v>
      </c>
      <c r="V4" s="16">
        <f t="array" ref="V4">IFERROR(INDEX('Halo Reach Stats'!$1:$46,MATCH($B4,'Halo Reach Stats'!$A:$A,0),21),"")</f>
        <v>0</v>
      </c>
      <c r="W4" s="16">
        <f t="array" ref="W4">IFERROR(INDEX('Halo Reach Stats'!$1:$46,MATCH($B4,'Halo Reach Stats'!$A:$A,0),22),"")</f>
        <v>19</v>
      </c>
      <c r="X4" s="16">
        <f t="array" ref="X4">IFERROR(INDEX('Halo Reach Stats'!$1:$46,MATCH($B4,'Halo Reach Stats'!$A:$A,0),23),"")</f>
        <v>0</v>
      </c>
      <c r="Y4" s="16">
        <f t="array" ref="Y4">IFERROR(INDEX('Halo Reach Stats'!$1:$46,MATCH($B4,'Halo Reach Stats'!$A:$A,0),24),"")</f>
        <v>583</v>
      </c>
      <c r="Z4" s="16">
        <f t="array" ref="Z4">IFERROR(INDEX('Halo Reach Stats'!$1:$46,MATCH($B4,'Halo Reach Stats'!$A:$A,0),25),"")</f>
        <v>118</v>
      </c>
      <c r="AA4" s="16">
        <f t="array" ref="AA4">IFERROR(INDEX('Halo Reach Stats'!$1:$46,MATCH($B4,'Halo Reach Stats'!$A:$A,0),26),"")</f>
        <v>21</v>
      </c>
      <c r="AB4" s="16">
        <f t="array" ref="AB4">IFERROR(INDEX('Halo Reach Stats'!$1:$46,MATCH($B4,'Halo Reach Stats'!$A:$A,0),27),"")</f>
        <v>4</v>
      </c>
      <c r="AC4" s="16">
        <f t="array" ref="AC4">IFERROR(INDEX('Halo Reach Stats'!$1:$46,MATCH($B4,'Halo Reach Stats'!$A:$A,0),28),"")</f>
        <v>0</v>
      </c>
      <c r="AD4" s="16">
        <f t="array" ref="AD4">IFERROR(INDEX('Halo Reach Stats'!$1:$46,MATCH($B4,'Halo Reach Stats'!$A:$A,0),29),"")</f>
        <v>0</v>
      </c>
      <c r="AE4" s="16">
        <f t="array" ref="AE4">IFERROR(INDEX('Halo Reach Stats'!$1:$46,MATCH($B4,'Halo Reach Stats'!$A:$A,0),30),"")</f>
        <v>0</v>
      </c>
      <c r="AF4" s="16">
        <f t="array" ref="AF4">IFERROR(INDEX('Halo Reach Stats'!$1:$46,MATCH($B4,'Halo Reach Stats'!$A:$A,0),31),"")</f>
        <v>0</v>
      </c>
      <c r="AG4" s="16">
        <f t="array" ref="AG4">IFERROR(INDEX('Halo Reach Stats'!$1:$46,MATCH($B4,'Halo Reach Stats'!$A:$A,0),32),"")</f>
        <v>0</v>
      </c>
      <c r="AH4" s="16">
        <f t="array" ref="AH4">IFERROR(INDEX('Halo Reach Stats'!$1:$46,MATCH($B4,'Halo Reach Stats'!$A:$A,0),33),"")</f>
        <v>0</v>
      </c>
      <c r="AI4" s="16">
        <f t="array" ref="AI4">IFERROR(INDEX('Halo Reach Stats'!$1:$46,MATCH($B4,'Halo Reach Stats'!$A:$A,0),34),"")</f>
        <v>99</v>
      </c>
      <c r="AJ4" s="16">
        <f t="array" ref="AJ4">IFERROR(INDEX('Halo Reach Stats'!$1:$46,MATCH($B4,'Halo Reach Stats'!$A:$A,0),35),"")</f>
        <v>4</v>
      </c>
      <c r="AK4" s="16">
        <f t="array" ref="AK4">IFERROR(INDEX('Halo Reach Stats'!$1:$46,MATCH($B4,'Halo Reach Stats'!$A:$A,0),36),"")</f>
        <v>324</v>
      </c>
      <c r="AL4" s="16">
        <f t="array" ref="AL4">IFERROR(INDEX('Halo Reach Stats'!$1:$46,MATCH($B4,'Halo Reach Stats'!$A:$A,0),37),"")</f>
        <v>452</v>
      </c>
      <c r="AM4" s="16">
        <f t="array" ref="AM4">IFERROR(INDEX('Halo Reach Stats'!$1:$46,MATCH($B4,'Halo Reach Stats'!$A:$A,0),38),"")</f>
        <v>18</v>
      </c>
    </row>
    <row r="5">
      <c r="A5" s="518" t="str">
        <f>IF(((E2+E3+E4+E5)/4)&lt;='PlayerGrades+'!$Y$44,"F-",IF(((E2+E3+E4+E5)/4)&lt;'PlayerGrades+'!$Y$43,"F",IF(((E2+E3+E4+E5)/4)&lt;'PlayerGrades+'!$Y$42,"F+",IF(((E2+E3+E4+E5)/4)&lt;'PlayerGrades+'!$Y$41,"E-",IF(((E2+E3+E4+E5)/4)&lt;'PlayerGrades+'!$Y$40,"E",IF(((E2+E3+E4+E5)/4)&lt;'PlayerGrades+'!$Y$39,"E+",IF(((E2+E3+E4+E5)/4)&lt;'PlayerGrades+'!$Y$38,"D-",IF(((E2+E3+E4+E5)/4)&lt;'PlayerGrades+'!$Y$37,"D",IF(((E2+E3+E4+E5)/4)&lt;'PlayerGrades+'!$Y$36,"D+",IF(((E2+E3+E4+E5)/4)&lt;'PlayerGrades+'!$Y$35,"C-",IF(((E2+E3+E4+E5)/4)&lt;'PlayerGrades+'!$Y$34,"C",IF(((E2+E3+E4+E5)/4)&lt;'PlayerGrades+'!$Y$33,"C+",IF(((E2+E3+E4+E5)/4)&lt;'PlayerGrades+'!$Y$32,"B-",IF(((E2+E3+E4+E5)/4)&lt;'PlayerGrades+'!$Y$31,"B",IF(((E2+E3+E4+E5)/4)&lt;'PlayerGrades+'!$Y$30,"B+",IF(((E2+E3+E4+E5)/4)&lt;'PlayerGrades+'!$Y$29,"A-",IF(((E2+E3+E4+E5)/4)&lt;'PlayerGrades+'!$Y$28,"A",IF(((E2+E3+E4+E5)/4)&lt;'PlayerGrades+'!$Y$27,"A+",IF(((E2+E3+E4+E5)/4)&lt;'PlayerGrades+'!$Y$26,"S-",IF(((E2+E3+E4+E5)/4)&lt;'PlayerGrades+'!$Y$25,"S","S+"))))))))))))))))))))</f>
        <v>D-</v>
      </c>
      <c r="B5" s="516" t="str">
        <f t="array" ref="B5">IFERROR(INDEX(TeamInfo!$C4:$C$45,MATCH($A$2,TeamInfo!A:A,0),0),"")</f>
        <v>MoldyVolts</v>
      </c>
      <c r="C5" s="511" t="str">
        <f t="array" ref="C5">IFERROR(INDEX('Player Efficiency'!$1:$45,MATCH(B5,'Player Efficiency'!A:A,0),2),"")</f>
        <v/>
      </c>
      <c r="D5" s="512" t="str">
        <f t="array" ref="D5">IFERROR(INDEX('PlayerGrades+'!$1:$47,MATCH(B5,'PlayerGrades+'!L:L,0),22),"")</f>
        <v>E+</v>
      </c>
      <c r="E5" s="512">
        <f t="array" ref="E5">IFERROR(INDEX('PlayerGrades+'!$1:$47,MATCH(B5,'PlayerGrades+'!L:L,0),23),"")</f>
        <v>13.65</v>
      </c>
      <c r="F5" s="16" t="str">
        <f t="array" ref="F5">IFERROR(INDEX(TeamInfo!$D4:$D$45,MATCH($A$2,TeamInfo!A:A,0),0),"")</f>
        <v>North Central</v>
      </c>
      <c r="G5" s="16">
        <f t="array" ref="G5">IFERROR(INDEX('Halo Reach Stats'!$1:$46,MATCH($B5,'Halo Reach Stats'!$A:$A,0),5),"")</f>
        <v>5</v>
      </c>
      <c r="H5" s="16">
        <f t="array" ref="H5">IFERROR(INDEX('Halo Reach Stats'!$1:$46,MATCH($B5,'Halo Reach Stats'!$A:$A,0),6),"")</f>
        <v>5</v>
      </c>
      <c r="I5" s="16">
        <f t="array" ref="I5">IFERROR(INDEX('Halo Reach Stats'!$1:$46,MATCH($B5,'Halo Reach Stats'!$A:$A,0),7),"")</f>
        <v>2269</v>
      </c>
      <c r="J5" s="16">
        <f t="array" ref="J5">IFERROR(INDEX('Halo Reach Stats'!$1:$46,MATCH($B5,'Halo Reach Stats'!$A:$A,0),8),"")</f>
        <v>3015</v>
      </c>
      <c r="K5" s="16">
        <f t="array" ref="K5">IFERROR(INDEX('Halo Reach Stats'!$1:$46,MATCH($B5,'Halo Reach Stats'!$A:$A,0),9),"")</f>
        <v>-746</v>
      </c>
      <c r="L5" s="514">
        <f t="shared" si="1"/>
        <v>0.7525704809</v>
      </c>
      <c r="M5" s="16">
        <f t="array" ref="M5">IFERROR(INDEX('Halo Reach Stats'!$1:$46,MATCH($B5,'Halo Reach Stats'!$A:$A,0),10),"")</f>
        <v>206</v>
      </c>
      <c r="N5" s="16">
        <f t="array" ref="N5">IFERROR(INDEX('Halo Reach Stats'!$1:$46,MATCH($B5,'Halo Reach Stats'!$A:$A,0),11),"")</f>
        <v>7</v>
      </c>
      <c r="O5" s="16">
        <f t="array" ref="O5">IFERROR(INDEX('Halo Reach Stats'!$1:$46,MATCH($B5,'Halo Reach Stats'!$A:$A,0),12),"")</f>
        <v>58</v>
      </c>
      <c r="P5" s="16">
        <f t="array" ref="P5">IFERROR(INDEX('Halo Reach Stats'!$1:$46,MATCH($B5,'Halo Reach Stats'!$A:$A,0),14),"")</f>
        <v>51435</v>
      </c>
      <c r="Q5" s="16">
        <f t="array" ref="Q5">IFERROR(INDEX('Halo Reach Stats'!$1:$46,MATCH($B5,'Halo Reach Stats'!$A:$A,0),16),"")</f>
        <v>449</v>
      </c>
      <c r="R5" s="16">
        <f t="array" ref="R5">IFERROR(INDEX('Halo Reach Stats'!$1:$46,MATCH($B5,'Halo Reach Stats'!$A:$A,0),15),"")</f>
        <v>13</v>
      </c>
      <c r="S5" s="16">
        <f t="array" ref="S5">IFERROR(INDEX('Halo Reach Stats'!$1:$46,MATCH($B5,'Halo Reach Stats'!$A:$A,0),18),"")</f>
        <v>17</v>
      </c>
      <c r="T5" s="16">
        <f t="array" ref="T5">IFERROR(INDEX('Halo Reach Stats'!$1:$46,MATCH($B5,'Halo Reach Stats'!$A:$A,0),19),"")</f>
        <v>0</v>
      </c>
      <c r="U5" s="16">
        <f t="array" ref="U5">IFERROR(INDEX('Halo Reach Stats'!$1:$46,MATCH($B5,'Halo Reach Stats'!$A:$A,0),20),"")</f>
        <v>0</v>
      </c>
      <c r="V5" s="16">
        <f t="array" ref="V5">IFERROR(INDEX('Halo Reach Stats'!$1:$46,MATCH($B5,'Halo Reach Stats'!$A:$A,0),21),"")</f>
        <v>0</v>
      </c>
      <c r="W5" s="16">
        <f t="array" ref="W5">IFERROR(INDEX('Halo Reach Stats'!$1:$46,MATCH($B5,'Halo Reach Stats'!$A:$A,0),22),"")</f>
        <v>15</v>
      </c>
      <c r="X5" s="16">
        <f t="array" ref="X5">IFERROR(INDEX('Halo Reach Stats'!$1:$46,MATCH($B5,'Halo Reach Stats'!$A:$A,0),23),"")</f>
        <v>0</v>
      </c>
      <c r="Y5" s="16">
        <f t="array" ref="Y5">IFERROR(INDEX('Halo Reach Stats'!$1:$46,MATCH($B5,'Halo Reach Stats'!$A:$A,0),24),"")</f>
        <v>264</v>
      </c>
      <c r="Z5" s="16">
        <f t="array" ref="Z5">IFERROR(INDEX('Halo Reach Stats'!$1:$46,MATCH($B5,'Halo Reach Stats'!$A:$A,0),25),"")</f>
        <v>37</v>
      </c>
      <c r="AA5" s="16">
        <f t="array" ref="AA5">IFERROR(INDEX('Halo Reach Stats'!$1:$46,MATCH($B5,'Halo Reach Stats'!$A:$A,0),26),"")</f>
        <v>10</v>
      </c>
      <c r="AB5" s="16">
        <f t="array" ref="AB5">IFERROR(INDEX('Halo Reach Stats'!$1:$46,MATCH($B5,'Halo Reach Stats'!$A:$A,0),27),"")</f>
        <v>1</v>
      </c>
      <c r="AC5" s="16">
        <f t="array" ref="AC5">IFERROR(INDEX('Halo Reach Stats'!$1:$46,MATCH($B5,'Halo Reach Stats'!$A:$A,0),28),"")</f>
        <v>0</v>
      </c>
      <c r="AD5" s="16">
        <f t="array" ref="AD5">IFERROR(INDEX('Halo Reach Stats'!$1:$46,MATCH($B5,'Halo Reach Stats'!$A:$A,0),29),"")</f>
        <v>0</v>
      </c>
      <c r="AE5" s="16">
        <f t="array" ref="AE5">IFERROR(INDEX('Halo Reach Stats'!$1:$46,MATCH($B5,'Halo Reach Stats'!$A:$A,0),30),"")</f>
        <v>0</v>
      </c>
      <c r="AF5" s="16">
        <f t="array" ref="AF5">IFERROR(INDEX('Halo Reach Stats'!$1:$46,MATCH($B5,'Halo Reach Stats'!$A:$A,0),31),"")</f>
        <v>0</v>
      </c>
      <c r="AG5" s="16">
        <f t="array" ref="AG5">IFERROR(INDEX('Halo Reach Stats'!$1:$46,MATCH($B5,'Halo Reach Stats'!$A:$A,0),32),"")</f>
        <v>0</v>
      </c>
      <c r="AH5" s="16">
        <f t="array" ref="AH5">IFERROR(INDEX('Halo Reach Stats'!$1:$46,MATCH($B5,'Halo Reach Stats'!$A:$A,0),33),"")</f>
        <v>0</v>
      </c>
      <c r="AI5" s="16">
        <f t="array" ref="AI5">IFERROR(INDEX('Halo Reach Stats'!$1:$46,MATCH($B5,'Halo Reach Stats'!$A:$A,0),34),"")</f>
        <v>115</v>
      </c>
      <c r="AJ5" s="16">
        <f t="array" ref="AJ5">IFERROR(INDEX('Halo Reach Stats'!$1:$46,MATCH($B5,'Halo Reach Stats'!$A:$A,0),35),"")</f>
        <v>0</v>
      </c>
      <c r="AK5" s="16">
        <f t="array" ref="AK5">IFERROR(INDEX('Halo Reach Stats'!$1:$46,MATCH($B5,'Halo Reach Stats'!$A:$A,0),36),"")</f>
        <v>236</v>
      </c>
      <c r="AL5" s="16">
        <f t="array" ref="AL5">IFERROR(INDEX('Halo Reach Stats'!$1:$46,MATCH($B5,'Halo Reach Stats'!$A:$A,0),37),"")</f>
        <v>312</v>
      </c>
      <c r="AM5" s="16">
        <f t="array" ref="AM5">IFERROR(INDEX('Halo Reach Stats'!$1:$46,MATCH($B5,'Halo Reach Stats'!$A:$A,0),38),"")</f>
        <v>27</v>
      </c>
    </row>
    <row r="6">
      <c r="A6" s="519"/>
      <c r="B6" s="520" t="s">
        <v>354</v>
      </c>
      <c r="C6" s="521">
        <f>SUM(C2:C5)/4</f>
        <v>0</v>
      </c>
      <c r="D6" s="522"/>
      <c r="E6" s="523">
        <f>SUM(E2:E5)/4</f>
        <v>13.8875</v>
      </c>
      <c r="F6" s="524" t="s">
        <v>355</v>
      </c>
      <c r="G6" s="525">
        <f t="shared" ref="G6:K6" si="2">SUM(G2:G5)</f>
        <v>63</v>
      </c>
      <c r="H6" s="525">
        <f t="shared" si="2"/>
        <v>362</v>
      </c>
      <c r="I6" s="525">
        <f t="shared" si="2"/>
        <v>8071</v>
      </c>
      <c r="J6" s="525">
        <f t="shared" si="2"/>
        <v>8951</v>
      </c>
      <c r="K6" s="525">
        <f t="shared" si="2"/>
        <v>-880</v>
      </c>
      <c r="L6" s="526">
        <f>SUM(L2:L5)/4</f>
        <v>0.9749979566</v>
      </c>
      <c r="M6" s="525">
        <f t="shared" ref="M6:AM6" si="3">SUM(M2:M5)</f>
        <v>533</v>
      </c>
      <c r="N6" s="525">
        <f t="shared" si="3"/>
        <v>33</v>
      </c>
      <c r="O6" s="525">
        <f t="shared" si="3"/>
        <v>147</v>
      </c>
      <c r="P6" s="525">
        <f t="shared" si="3"/>
        <v>159457</v>
      </c>
      <c r="Q6" s="525">
        <f t="shared" si="3"/>
        <v>17322</v>
      </c>
      <c r="R6" s="525">
        <f t="shared" si="3"/>
        <v>58</v>
      </c>
      <c r="S6" s="525">
        <f t="shared" si="3"/>
        <v>95</v>
      </c>
      <c r="T6" s="525">
        <f t="shared" si="3"/>
        <v>4</v>
      </c>
      <c r="U6" s="525">
        <f t="shared" si="3"/>
        <v>0</v>
      </c>
      <c r="V6" s="525">
        <f t="shared" si="3"/>
        <v>0</v>
      </c>
      <c r="W6" s="525">
        <f t="shared" si="3"/>
        <v>63</v>
      </c>
      <c r="X6" s="525">
        <f t="shared" si="3"/>
        <v>0</v>
      </c>
      <c r="Y6" s="525">
        <f t="shared" si="3"/>
        <v>1179</v>
      </c>
      <c r="Z6" s="525">
        <f t="shared" si="3"/>
        <v>208</v>
      </c>
      <c r="AA6" s="525">
        <f t="shared" si="3"/>
        <v>36</v>
      </c>
      <c r="AB6" s="525">
        <f t="shared" si="3"/>
        <v>7</v>
      </c>
      <c r="AC6" s="525">
        <f t="shared" si="3"/>
        <v>2</v>
      </c>
      <c r="AD6" s="525">
        <f t="shared" si="3"/>
        <v>1</v>
      </c>
      <c r="AE6" s="525">
        <f t="shared" si="3"/>
        <v>0</v>
      </c>
      <c r="AF6" s="525">
        <f t="shared" si="3"/>
        <v>0</v>
      </c>
      <c r="AG6" s="525">
        <f t="shared" si="3"/>
        <v>0</v>
      </c>
      <c r="AH6" s="525">
        <f t="shared" si="3"/>
        <v>0</v>
      </c>
      <c r="AI6" s="525">
        <f t="shared" si="3"/>
        <v>289</v>
      </c>
      <c r="AJ6" s="525">
        <f t="shared" si="3"/>
        <v>5</v>
      </c>
      <c r="AK6" s="525">
        <f t="shared" si="3"/>
        <v>923</v>
      </c>
      <c r="AL6" s="525">
        <f t="shared" si="3"/>
        <v>1106</v>
      </c>
      <c r="AM6" s="525">
        <f t="shared" si="3"/>
        <v>65</v>
      </c>
    </row>
    <row r="7">
      <c r="A7" s="527" t="s">
        <v>356</v>
      </c>
      <c r="B7" s="510" t="str">
        <f t="array" ref="B7">IFERROR(INDEX(TeamInfo!$C1:$C$45,MATCH($A$7,TeamInfo!A:A,0),0),"")</f>
        <v>ADhillyy</v>
      </c>
      <c r="C7" s="511" t="str">
        <f t="array" ref="C7">IFERROR(INDEX('Player Efficiency'!$1:$45,MATCH(B7,'Player Efficiency'!A:A,0),2),"")</f>
        <v/>
      </c>
      <c r="D7" s="512" t="str">
        <f t="array" ref="D7">IFERROR(INDEX('PlayerGrades+'!$1:$47,MATCH(B7,'PlayerGrades+'!L:L,0),22),"")</f>
        <v>E-</v>
      </c>
      <c r="E7" s="512">
        <f t="array" ref="E7">IFERROR(INDEX('PlayerGrades+'!$1:$47,MATCH(B7,'PlayerGrades+'!L:L,0),23),"")</f>
        <v>12.45</v>
      </c>
      <c r="F7" s="513" t="str">
        <f t="array" ref="F7">IFERROR(INDEX(TeamInfo!$D1:$D$45,MATCH($A$7,TeamInfo!A:A,0),0),"")</f>
        <v>Canada</v>
      </c>
      <c r="G7" s="16">
        <f t="array" ref="G7">IFERROR(INDEX('Halo Reach Stats'!$1:$46,MATCH($B7,'Halo Reach Stats'!$A:$A,0),5),"")</f>
        <v>1</v>
      </c>
      <c r="H7" s="16">
        <f t="array" ref="H7">IFERROR(INDEX('Halo Reach Stats'!$1:$46,MATCH($B7,'Halo Reach Stats'!$A:$A,0),6),"")</f>
        <v>1</v>
      </c>
      <c r="I7" s="16">
        <f t="array" ref="I7">IFERROR(INDEX('Halo Reach Stats'!$1:$46,MATCH($B7,'Halo Reach Stats'!$A:$A,0),7),"")</f>
        <v>813</v>
      </c>
      <c r="J7" s="16">
        <f t="array" ref="J7">IFERROR(INDEX('Halo Reach Stats'!$1:$46,MATCH($B7,'Halo Reach Stats'!$A:$A,0),8),"")</f>
        <v>1157</v>
      </c>
      <c r="K7" s="16">
        <f t="array" ref="K7">IFERROR(INDEX('Halo Reach Stats'!$1:$46,MATCH($B7,'Halo Reach Stats'!$A:$A,0),9),"")</f>
        <v>-344</v>
      </c>
      <c r="L7" s="514">
        <f t="shared" ref="L7:L10" si="4">I7/J7</f>
        <v>0.7026793431</v>
      </c>
      <c r="M7" s="16">
        <f t="array" ref="M7">IFERROR(INDEX('Halo Reach Stats'!$1:$46,MATCH($B7,'Halo Reach Stats'!$A:$A,0),10),"")</f>
        <v>64</v>
      </c>
      <c r="N7" s="16">
        <f t="array" ref="N7">IFERROR(INDEX('Halo Reach Stats'!$1:$46,MATCH($B7,'Halo Reach Stats'!$A:$A,0),11),"")</f>
        <v>6</v>
      </c>
      <c r="O7" s="16">
        <f t="array" ref="O7">IFERROR(INDEX('Halo Reach Stats'!$1:$46,MATCH($B7,'Halo Reach Stats'!$A:$A,0),12),"")</f>
        <v>16</v>
      </c>
      <c r="P7" s="16">
        <f t="array" ref="P7">IFERROR(INDEX('Halo Reach Stats'!$1:$46,MATCH($B7,'Halo Reach Stats'!$A:$A,0),14),"")</f>
        <v>17077</v>
      </c>
      <c r="Q7" s="16">
        <f t="array" ref="Q7">IFERROR(INDEX('Halo Reach Stats'!$1:$46,MATCH($B7,'Halo Reach Stats'!$A:$A,0),16),"")</f>
        <v>70</v>
      </c>
      <c r="R7" s="16">
        <f t="array" ref="R7">IFERROR(INDEX('Halo Reach Stats'!$1:$46,MATCH($B7,'Halo Reach Stats'!$A:$A,0),15),"")</f>
        <v>10</v>
      </c>
      <c r="S7" s="16">
        <f t="array" ref="S7">IFERROR(INDEX('Halo Reach Stats'!$1:$46,MATCH($B7,'Halo Reach Stats'!$A:$A,0),18),"")</f>
        <v>2</v>
      </c>
      <c r="T7" s="16">
        <f t="array" ref="T7">IFERROR(INDEX('Halo Reach Stats'!$1:$46,MATCH($B7,'Halo Reach Stats'!$A:$A,0),19),"")</f>
        <v>0</v>
      </c>
      <c r="U7" s="16">
        <f t="array" ref="U7">IFERROR(INDEX('Halo Reach Stats'!$1:$46,MATCH($B7,'Halo Reach Stats'!$A:$A,0),20),"")</f>
        <v>0</v>
      </c>
      <c r="V7" s="16">
        <f t="array" ref="V7">IFERROR(INDEX('Halo Reach Stats'!$1:$46,MATCH($B7,'Halo Reach Stats'!$A:$A,0),21),"")</f>
        <v>0</v>
      </c>
      <c r="W7" s="16">
        <f t="array" ref="W7">IFERROR(INDEX('Halo Reach Stats'!$1:$46,MATCH($B7,'Halo Reach Stats'!$A:$A,0),22),"")</f>
        <v>2</v>
      </c>
      <c r="X7" s="16">
        <f t="array" ref="X7">IFERROR(INDEX('Halo Reach Stats'!$1:$46,MATCH($B7,'Halo Reach Stats'!$A:$A,0),23),"")</f>
        <v>0</v>
      </c>
      <c r="Y7" s="16">
        <f t="array" ref="Y7">IFERROR(INDEX('Halo Reach Stats'!$1:$46,MATCH($B7,'Halo Reach Stats'!$A:$A,0),24),"")</f>
        <v>103</v>
      </c>
      <c r="Z7" s="16">
        <f t="array" ref="Z7">IFERROR(INDEX('Halo Reach Stats'!$1:$46,MATCH($B7,'Halo Reach Stats'!$A:$A,0),25),"")</f>
        <v>20</v>
      </c>
      <c r="AA7" s="16">
        <f t="array" ref="AA7">IFERROR(INDEX('Halo Reach Stats'!$1:$46,MATCH($B7,'Halo Reach Stats'!$A:$A,0),26),"")</f>
        <v>2</v>
      </c>
      <c r="AB7" s="16">
        <f t="array" ref="AB7">IFERROR(INDEX('Halo Reach Stats'!$1:$46,MATCH($B7,'Halo Reach Stats'!$A:$A,0),27),"")</f>
        <v>0</v>
      </c>
      <c r="AC7" s="16">
        <f t="array" ref="AC7">IFERROR(INDEX('Halo Reach Stats'!$1:$46,MATCH($B7,'Halo Reach Stats'!$A:$A,0),28),"")</f>
        <v>0</v>
      </c>
      <c r="AD7" s="16">
        <f t="array" ref="AD7">IFERROR(INDEX('Halo Reach Stats'!$1:$46,MATCH($B7,'Halo Reach Stats'!$A:$A,0),29),"")</f>
        <v>0</v>
      </c>
      <c r="AE7" s="16">
        <f t="array" ref="AE7">IFERROR(INDEX('Halo Reach Stats'!$1:$46,MATCH($B7,'Halo Reach Stats'!$A:$A,0),30),"")</f>
        <v>0</v>
      </c>
      <c r="AF7" s="16">
        <f t="array" ref="AF7">IFERROR(INDEX('Halo Reach Stats'!$1:$46,MATCH($B7,'Halo Reach Stats'!$A:$A,0),31),"")</f>
        <v>0</v>
      </c>
      <c r="AG7" s="16">
        <f t="array" ref="AG7">IFERROR(INDEX('Halo Reach Stats'!$1:$46,MATCH($B7,'Halo Reach Stats'!$A:$A,0),32),"")</f>
        <v>0</v>
      </c>
      <c r="AH7" s="16">
        <f t="array" ref="AH7">IFERROR(INDEX('Halo Reach Stats'!$1:$46,MATCH($B7,'Halo Reach Stats'!$A:$A,0),33),"")</f>
        <v>0</v>
      </c>
      <c r="AI7" s="16">
        <f t="array" ref="AI7">IFERROR(INDEX('Halo Reach Stats'!$1:$46,MATCH($B7,'Halo Reach Stats'!$A:$A,0),34),"")</f>
        <v>26</v>
      </c>
      <c r="AJ7" s="16">
        <f t="array" ref="AJ7">IFERROR(INDEX('Halo Reach Stats'!$1:$46,MATCH($B7,'Halo Reach Stats'!$A:$A,0),35),"")</f>
        <v>0</v>
      </c>
      <c r="AK7" s="16">
        <f t="array" ref="AK7">IFERROR(INDEX('Halo Reach Stats'!$1:$46,MATCH($B7,'Halo Reach Stats'!$A:$A,0),36),"")</f>
        <v>71</v>
      </c>
      <c r="AL7" s="16">
        <f t="array" ref="AL7">IFERROR(INDEX('Halo Reach Stats'!$1:$46,MATCH($B7,'Halo Reach Stats'!$A:$A,0),37),"")</f>
        <v>127</v>
      </c>
      <c r="AM7" s="16">
        <f t="array" ref="AM7">IFERROR(INDEX('Halo Reach Stats'!$1:$46,MATCH($B7,'Halo Reach Stats'!$A:$A,0),38),"")</f>
        <v>13</v>
      </c>
    </row>
    <row r="8">
      <c r="A8" s="515" t="str">
        <f t="array" ref="A8">IFERROR(INDEX(TeamInfo!$1:$45,MATCH(A7,TeamInfo!A:A,0),2),"")</f>
        <v>British Beaters</v>
      </c>
      <c r="B8" s="516" t="str">
        <f t="array" ref="B8">IFERROR(INDEX(TeamInfo!$C2:$C$45,MATCH($A$7,TeamInfo!A:A,0),0),"")</f>
        <v>Finesse God24</v>
      </c>
      <c r="C8" s="511" t="str">
        <f t="array" ref="C8">IFERROR(INDEX('Player Efficiency'!$1:$45,MATCH(B8,'Player Efficiency'!A:A,0),2),"")</f>
        <v/>
      </c>
      <c r="D8" s="512" t="str">
        <f t="array" ref="D8">IFERROR(INDEX('PlayerGrades+'!$1:$47,MATCH(B8,'PlayerGrades+'!L:L,0),22),"")</f>
        <v>E+</v>
      </c>
      <c r="E8" s="512">
        <f t="array" ref="E8">IFERROR(INDEX('PlayerGrades+'!$1:$47,MATCH(B8,'PlayerGrades+'!L:L,0),23),"")</f>
        <v>13.65</v>
      </c>
      <c r="F8" s="16" t="str">
        <f t="array" ref="F8">IFERROR(INDEX(TeamInfo!$D2:$D$45,MATCH($A$7,TeamInfo!A:A,0),0),"")</f>
        <v>South Central</v>
      </c>
      <c r="G8" s="16">
        <f t="array" ref="G8">IFERROR(INDEX('Halo Reach Stats'!$1:$46,MATCH($B8,'Halo Reach Stats'!$A:$A,0),5),"")</f>
        <v>0</v>
      </c>
      <c r="H8" s="16">
        <f t="array" ref="H8">IFERROR(INDEX('Halo Reach Stats'!$1:$46,MATCH($B8,'Halo Reach Stats'!$A:$A,0),6),"")</f>
        <v>3</v>
      </c>
      <c r="I8" s="16">
        <f t="array" ref="I8">IFERROR(INDEX('Halo Reach Stats'!$1:$46,MATCH($B8,'Halo Reach Stats'!$A:$A,0),7),"")</f>
        <v>289</v>
      </c>
      <c r="J8" s="16">
        <f t="array" ref="J8">IFERROR(INDEX('Halo Reach Stats'!$1:$46,MATCH($B8,'Halo Reach Stats'!$A:$A,0),8),"")</f>
        <v>344</v>
      </c>
      <c r="K8" s="16">
        <f t="array" ref="K8">IFERROR(INDEX('Halo Reach Stats'!$1:$46,MATCH($B8,'Halo Reach Stats'!$A:$A,0),9),"")</f>
        <v>-55</v>
      </c>
      <c r="L8" s="514">
        <f t="shared" si="4"/>
        <v>0.8401162791</v>
      </c>
      <c r="M8" s="16">
        <f t="array" ref="M8">IFERROR(INDEX('Halo Reach Stats'!$1:$46,MATCH($B8,'Halo Reach Stats'!$A:$A,0),10),"")</f>
        <v>15</v>
      </c>
      <c r="N8" s="16">
        <f t="array" ref="N8">IFERROR(INDEX('Halo Reach Stats'!$1:$46,MATCH($B8,'Halo Reach Stats'!$A:$A,0),11),"")</f>
        <v>4</v>
      </c>
      <c r="O8" s="16">
        <f t="array" ref="O8">IFERROR(INDEX('Halo Reach Stats'!$1:$46,MATCH($B8,'Halo Reach Stats'!$A:$A,0),12),"")</f>
        <v>6</v>
      </c>
      <c r="P8" s="16">
        <f t="array" ref="P8">IFERROR(INDEX('Halo Reach Stats'!$1:$46,MATCH($B8,'Halo Reach Stats'!$A:$A,0),14),"")</f>
        <v>5447</v>
      </c>
      <c r="Q8" s="16">
        <f t="array" ref="Q8">IFERROR(INDEX('Halo Reach Stats'!$1:$46,MATCH($B8,'Halo Reach Stats'!$A:$A,0),16),"")</f>
        <v>21</v>
      </c>
      <c r="R8" s="16">
        <f t="array" ref="R8">IFERROR(INDEX('Halo Reach Stats'!$1:$46,MATCH($B8,'Halo Reach Stats'!$A:$A,0),15),"")</f>
        <v>11</v>
      </c>
      <c r="S8" s="16">
        <f t="array" ref="S8">IFERROR(INDEX('Halo Reach Stats'!$1:$46,MATCH($B8,'Halo Reach Stats'!$A:$A,0),18),"")</f>
        <v>0</v>
      </c>
      <c r="T8" s="16">
        <f t="array" ref="T8">IFERROR(INDEX('Halo Reach Stats'!$1:$46,MATCH($B8,'Halo Reach Stats'!$A:$A,0),19),"")</f>
        <v>0</v>
      </c>
      <c r="U8" s="16">
        <f t="array" ref="U8">IFERROR(INDEX('Halo Reach Stats'!$1:$46,MATCH($B8,'Halo Reach Stats'!$A:$A,0),20),"")</f>
        <v>0</v>
      </c>
      <c r="V8" s="16">
        <f t="array" ref="V8">IFERROR(INDEX('Halo Reach Stats'!$1:$46,MATCH($B8,'Halo Reach Stats'!$A:$A,0),21),"")</f>
        <v>0</v>
      </c>
      <c r="W8" s="16">
        <f t="array" ref="W8">IFERROR(INDEX('Halo Reach Stats'!$1:$46,MATCH($B8,'Halo Reach Stats'!$A:$A,0),22),"")</f>
        <v>0</v>
      </c>
      <c r="X8" s="16">
        <f t="array" ref="X8">IFERROR(INDEX('Halo Reach Stats'!$1:$46,MATCH($B8,'Halo Reach Stats'!$A:$A,0),23),"")</f>
        <v>0</v>
      </c>
      <c r="Y8" s="16">
        <f t="array" ref="Y8">IFERROR(INDEX('Halo Reach Stats'!$1:$46,MATCH($B8,'Halo Reach Stats'!$A:$A,0),24),"")</f>
        <v>37</v>
      </c>
      <c r="Z8" s="16">
        <f t="array" ref="Z8">IFERROR(INDEX('Halo Reach Stats'!$1:$46,MATCH($B8,'Halo Reach Stats'!$A:$A,0),25),"")</f>
        <v>4</v>
      </c>
      <c r="AA8" s="16">
        <f t="array" ref="AA8">IFERROR(INDEX('Halo Reach Stats'!$1:$46,MATCH($B8,'Halo Reach Stats'!$A:$A,0),26),"")</f>
        <v>0</v>
      </c>
      <c r="AB8" s="16">
        <f t="array" ref="AB8">IFERROR(INDEX('Halo Reach Stats'!$1:$46,MATCH($B8,'Halo Reach Stats'!$A:$A,0),27),"")</f>
        <v>0</v>
      </c>
      <c r="AC8" s="16">
        <f t="array" ref="AC8">IFERROR(INDEX('Halo Reach Stats'!$1:$46,MATCH($B8,'Halo Reach Stats'!$A:$A,0),28),"")</f>
        <v>0</v>
      </c>
      <c r="AD8" s="16">
        <f t="array" ref="AD8">IFERROR(INDEX('Halo Reach Stats'!$1:$46,MATCH($B8,'Halo Reach Stats'!$A:$A,0),29),"")</f>
        <v>0</v>
      </c>
      <c r="AE8" s="16">
        <f t="array" ref="AE8">IFERROR(INDEX('Halo Reach Stats'!$1:$46,MATCH($B8,'Halo Reach Stats'!$A:$A,0),30),"")</f>
        <v>0</v>
      </c>
      <c r="AF8" s="16">
        <f t="array" ref="AF8">IFERROR(INDEX('Halo Reach Stats'!$1:$46,MATCH($B8,'Halo Reach Stats'!$A:$A,0),31),"")</f>
        <v>0</v>
      </c>
      <c r="AG8" s="16">
        <f t="array" ref="AG8">IFERROR(INDEX('Halo Reach Stats'!$1:$46,MATCH($B8,'Halo Reach Stats'!$A:$A,0),32),"")</f>
        <v>0</v>
      </c>
      <c r="AH8" s="16">
        <f t="array" ref="AH8">IFERROR(INDEX('Halo Reach Stats'!$1:$46,MATCH($B8,'Halo Reach Stats'!$A:$A,0),33),"")</f>
        <v>0</v>
      </c>
      <c r="AI8" s="16">
        <f t="array" ref="AI8">IFERROR(INDEX('Halo Reach Stats'!$1:$46,MATCH($B8,'Halo Reach Stats'!$A:$A,0),34),"")</f>
        <v>11</v>
      </c>
      <c r="AJ8" s="16">
        <f t="array" ref="AJ8">IFERROR(INDEX('Halo Reach Stats'!$1:$46,MATCH($B8,'Halo Reach Stats'!$A:$A,0),35),"")</f>
        <v>0</v>
      </c>
      <c r="AK8" s="16">
        <f t="array" ref="AK8">IFERROR(INDEX('Halo Reach Stats'!$1:$46,MATCH($B8,'Halo Reach Stats'!$A:$A,0),36),"")</f>
        <v>23</v>
      </c>
      <c r="AL8" s="16">
        <f t="array" ref="AL8">IFERROR(INDEX('Halo Reach Stats'!$1:$46,MATCH($B8,'Halo Reach Stats'!$A:$A,0),37),"")</f>
        <v>33</v>
      </c>
      <c r="AM8" s="16">
        <f t="array" ref="AM8">IFERROR(INDEX('Halo Reach Stats'!$1:$46,MATCH($B8,'Halo Reach Stats'!$A:$A,0),38),"")</f>
        <v>3</v>
      </c>
    </row>
    <row r="9">
      <c r="A9" s="517" t="str">
        <f>VLOOKUP(A7,TeamInfo!$1:$49,6,0)</f>
        <v>1-15</v>
      </c>
      <c r="B9" s="516" t="str">
        <f t="array" ref="B9">IFERROR(INDEX(TeamInfo!$C3:$C$45,MATCH($A$7,TeamInfo!A:A,0),0),"")</f>
        <v>Mhurcy</v>
      </c>
      <c r="C9" s="511" t="str">
        <f t="array" ref="C9">IFERROR(INDEX('Player Efficiency'!$1:$45,MATCH(B9,'Player Efficiency'!A:A,0),2),"")</f>
        <v/>
      </c>
      <c r="D9" s="512" t="str">
        <f t="array" ref="D9">IFERROR(INDEX('PlayerGrades+'!$1:$47,MATCH(B9,'PlayerGrades+'!L:L,0),22),"")</f>
        <v>C</v>
      </c>
      <c r="E9" s="512">
        <f t="array" ref="E9">IFERROR(INDEX('PlayerGrades+'!$1:$47,MATCH(B9,'PlayerGrades+'!L:L,0),23),"")</f>
        <v>19.95</v>
      </c>
      <c r="F9" s="16" t="str">
        <f t="array" ref="F9">IFERROR(INDEX(TeamInfo!$D3:$D$45,MATCH($A$7,TeamInfo!A:A,0),0),"")</f>
        <v>South Central</v>
      </c>
      <c r="G9" s="16">
        <f t="array" ref="G9">IFERROR(INDEX('Halo Reach Stats'!$1:$46,MATCH($B9,'Halo Reach Stats'!$A:$A,0),5),"")</f>
        <v>2</v>
      </c>
      <c r="H9" s="16">
        <f t="array" ref="H9">IFERROR(INDEX('Halo Reach Stats'!$1:$46,MATCH($B9,'Halo Reach Stats'!$A:$A,0),6),"")</f>
        <v>13</v>
      </c>
      <c r="I9" s="16">
        <f t="array" ref="I9">IFERROR(INDEX('Halo Reach Stats'!$1:$46,MATCH($B9,'Halo Reach Stats'!$A:$A,0),7),"")</f>
        <v>861</v>
      </c>
      <c r="J9" s="16">
        <f t="array" ref="J9">IFERROR(INDEX('Halo Reach Stats'!$1:$46,MATCH($B9,'Halo Reach Stats'!$A:$A,0),8),"")</f>
        <v>979</v>
      </c>
      <c r="K9" s="16">
        <f t="array" ref="K9">IFERROR(INDEX('Halo Reach Stats'!$1:$46,MATCH($B9,'Halo Reach Stats'!$A:$A,0),9),"")</f>
        <v>-118</v>
      </c>
      <c r="L9" s="514">
        <f t="shared" si="4"/>
        <v>0.8794688458</v>
      </c>
      <c r="M9" s="16">
        <f t="array" ref="M9">IFERROR(INDEX('Halo Reach Stats'!$1:$46,MATCH($B9,'Halo Reach Stats'!$A:$A,0),10),"")</f>
        <v>61</v>
      </c>
      <c r="N9" s="16">
        <f t="array" ref="N9">IFERROR(INDEX('Halo Reach Stats'!$1:$46,MATCH($B9,'Halo Reach Stats'!$A:$A,0),11),"")</f>
        <v>9</v>
      </c>
      <c r="O9" s="16">
        <f t="array" ref="O9">IFERROR(INDEX('Halo Reach Stats'!$1:$46,MATCH($B9,'Halo Reach Stats'!$A:$A,0),12),"")</f>
        <v>20</v>
      </c>
      <c r="P9" s="16">
        <f t="array" ref="P9">IFERROR(INDEX('Halo Reach Stats'!$1:$46,MATCH($B9,'Halo Reach Stats'!$A:$A,0),14),"")</f>
        <v>17077</v>
      </c>
      <c r="Q9" s="16">
        <f t="array" ref="Q9">IFERROR(INDEX('Halo Reach Stats'!$1:$46,MATCH($B9,'Halo Reach Stats'!$A:$A,0),16),"")</f>
        <v>437</v>
      </c>
      <c r="R9" s="16">
        <f t="array" ref="R9">IFERROR(INDEX('Halo Reach Stats'!$1:$46,MATCH($B9,'Halo Reach Stats'!$A:$A,0),15),"")</f>
        <v>13</v>
      </c>
      <c r="S9" s="16">
        <f t="array" ref="S9">IFERROR(INDEX('Halo Reach Stats'!$1:$46,MATCH($B9,'Halo Reach Stats'!$A:$A,0),18),"")</f>
        <v>7</v>
      </c>
      <c r="T9" s="16">
        <f t="array" ref="T9">IFERROR(INDEX('Halo Reach Stats'!$1:$46,MATCH($B9,'Halo Reach Stats'!$A:$A,0),19),"")</f>
        <v>0</v>
      </c>
      <c r="U9" s="16">
        <f t="array" ref="U9">IFERROR(INDEX('Halo Reach Stats'!$1:$46,MATCH($B9,'Halo Reach Stats'!$A:$A,0),20),"")</f>
        <v>0</v>
      </c>
      <c r="V9" s="16">
        <f t="array" ref="V9">IFERROR(INDEX('Halo Reach Stats'!$1:$46,MATCH($B9,'Halo Reach Stats'!$A:$A,0),21),"")</f>
        <v>0</v>
      </c>
      <c r="W9" s="16">
        <f t="array" ref="W9">IFERROR(INDEX('Halo Reach Stats'!$1:$46,MATCH($B9,'Halo Reach Stats'!$A:$A,0),22),"")</f>
        <v>6</v>
      </c>
      <c r="X9" s="16">
        <f t="array" ref="X9">IFERROR(INDEX('Halo Reach Stats'!$1:$46,MATCH($B9,'Halo Reach Stats'!$A:$A,0),23),"")</f>
        <v>0</v>
      </c>
      <c r="Y9" s="16">
        <f t="array" ref="Y9">IFERROR(INDEX('Halo Reach Stats'!$1:$46,MATCH($B9,'Halo Reach Stats'!$A:$A,0),24),"")</f>
        <v>124</v>
      </c>
      <c r="Z9" s="16">
        <f t="array" ref="Z9">IFERROR(INDEX('Halo Reach Stats'!$1:$46,MATCH($B9,'Halo Reach Stats'!$A:$A,0),25),"")</f>
        <v>20</v>
      </c>
      <c r="AA9" s="16">
        <f t="array" ref="AA9">IFERROR(INDEX('Halo Reach Stats'!$1:$46,MATCH($B9,'Halo Reach Stats'!$A:$A,0),26),"")</f>
        <v>5</v>
      </c>
      <c r="AB9" s="16">
        <f t="array" ref="AB9">IFERROR(INDEX('Halo Reach Stats'!$1:$46,MATCH($B9,'Halo Reach Stats'!$A:$A,0),27),"")</f>
        <v>0</v>
      </c>
      <c r="AC9" s="16">
        <f t="array" ref="AC9">IFERROR(INDEX('Halo Reach Stats'!$1:$46,MATCH($B9,'Halo Reach Stats'!$A:$A,0),28),"")</f>
        <v>0</v>
      </c>
      <c r="AD9" s="16">
        <f t="array" ref="AD9">IFERROR(INDEX('Halo Reach Stats'!$1:$46,MATCH($B9,'Halo Reach Stats'!$A:$A,0),29),"")</f>
        <v>0</v>
      </c>
      <c r="AE9" s="16">
        <f t="array" ref="AE9">IFERROR(INDEX('Halo Reach Stats'!$1:$46,MATCH($B9,'Halo Reach Stats'!$A:$A,0),30),"")</f>
        <v>0</v>
      </c>
      <c r="AF9" s="16">
        <f t="array" ref="AF9">IFERROR(INDEX('Halo Reach Stats'!$1:$46,MATCH($B9,'Halo Reach Stats'!$A:$A,0),31),"")</f>
        <v>0</v>
      </c>
      <c r="AG9" s="16">
        <f t="array" ref="AG9">IFERROR(INDEX('Halo Reach Stats'!$1:$46,MATCH($B9,'Halo Reach Stats'!$A:$A,0),32),"")</f>
        <v>0</v>
      </c>
      <c r="AH9" s="16">
        <f t="array" ref="AH9">IFERROR(INDEX('Halo Reach Stats'!$1:$46,MATCH($B9,'Halo Reach Stats'!$A:$A,0),33),"")</f>
        <v>0</v>
      </c>
      <c r="AI9" s="16">
        <f t="array" ref="AI9">IFERROR(INDEX('Halo Reach Stats'!$1:$46,MATCH($B9,'Halo Reach Stats'!$A:$A,0),34),"")</f>
        <v>51</v>
      </c>
      <c r="AJ9" s="16">
        <f t="array" ref="AJ9">IFERROR(INDEX('Halo Reach Stats'!$1:$46,MATCH($B9,'Halo Reach Stats'!$A:$A,0),35),"")</f>
        <v>0</v>
      </c>
      <c r="AK9" s="16">
        <f t="array" ref="AK9">IFERROR(INDEX('Halo Reach Stats'!$1:$46,MATCH($B9,'Halo Reach Stats'!$A:$A,0),36),"")</f>
        <v>80</v>
      </c>
      <c r="AL9" s="16">
        <f t="array" ref="AL9">IFERROR(INDEX('Halo Reach Stats'!$1:$46,MATCH($B9,'Halo Reach Stats'!$A:$A,0),37),"")</f>
        <v>118</v>
      </c>
      <c r="AM9" s="16">
        <f t="array" ref="AM9">IFERROR(INDEX('Halo Reach Stats'!$1:$46,MATCH($B9,'Halo Reach Stats'!$A:$A,0),38),"")</f>
        <v>5</v>
      </c>
    </row>
    <row r="10">
      <c r="A10" s="518" t="str">
        <f>IF(((E7+E8+E9+E10)/4)&lt;='PlayerGrades+'!$Y$44,"F-",IF(((E7+E8+E9+E10)/4)&lt;'PlayerGrades+'!$Y$43,"F",IF(((E7+E8+E9+E10)/4)&lt;'PlayerGrades+'!$Y$42,"F+",IF(((E7+E8+E9+E10)/4)&lt;'PlayerGrades+'!$Y$41,"E-",IF(((E7+E8+E9+E10)/4)&lt;'PlayerGrades+'!$Y$40,"E",IF(((E7+E8+E9+E10)/4)&lt;'PlayerGrades+'!$Y$39,"E+",IF(((E7+E8+E9+E10)/4)&lt;'PlayerGrades+'!$Y$38,"D-",IF(((E7+E8+E9+E10)/4)&lt;'PlayerGrades+'!$Y$37,"D",IF(((E7+E8+E9+E10)/4)&lt;'PlayerGrades+'!$Y$36,"D+",IF(((E7+E8+E9+E10)/4)&lt;'PlayerGrades+'!$Y$35,"C-",IF(((E7+E8+E9+E10)/4)&lt;'PlayerGrades+'!$Y$34,"C",IF(((E7+E8+E9+E10)/4)&lt;'PlayerGrades+'!$Y$33,"C+",IF(((E7+E8+E9+E10)/4)&lt;'PlayerGrades+'!$Y$32,"B-",IF(((E7+E8+E9+E10)/4)&lt;'PlayerGrades+'!$Y$31,"B",IF(((E7+E8+E9+E10)/4)&lt;'PlayerGrades+'!$Y$30,"B+",IF(((E7+E8+E9+E10)/4)&lt;'PlayerGrades+'!$Y$29,"A-",IF(((E7+E8+E9+E10)/4)&lt;'PlayerGrades+'!$Y$28,"A",IF(((E7+E8+E9+E10)/4)&lt;'PlayerGrades+'!$Y$27,"A+",IF(((E7+E8+E9+E10)/4)&lt;'PlayerGrades+'!$Y$26,"S-",IF(((E7+E8+E9+E10)/4)&lt;'PlayerGrades+'!$Y$25,"S","S+"))))))))))))))))))))</f>
        <v>D</v>
      </c>
      <c r="B10" s="516" t="str">
        <f t="array" ref="B10">IFERROR(INDEX(TeamInfo!$C4:$C$45,MATCH($A$7,TeamInfo!A:A,0),0),"")</f>
        <v>L0rna Shore</v>
      </c>
      <c r="C10" s="511" t="str">
        <f t="array" ref="C10">IFERROR(INDEX('Player Efficiency'!$1:$45,MATCH(B10,'Player Efficiency'!A:A,0),2),"")</f>
        <v/>
      </c>
      <c r="D10" s="512" t="str">
        <f t="array" ref="D10">IFERROR(INDEX('PlayerGrades+'!$1:$47,MATCH(B10,'PlayerGrades+'!L:L,0),22),"")</f>
        <v>B-</v>
      </c>
      <c r="E10" s="512">
        <f t="array" ref="E10">IFERROR(INDEX('PlayerGrades+'!$1:$47,MATCH(B10,'PlayerGrades+'!L:L,0),23),"")</f>
        <v>22.4</v>
      </c>
      <c r="F10" s="16" t="str">
        <f t="array" ref="F10">IFERROR(INDEX(TeamInfo!$D4:$D$45,MATCH($A$7,TeamInfo!A:A,0),0),"")</f>
        <v>East</v>
      </c>
      <c r="G10" s="16">
        <f t="array" ref="G10">IFERROR(INDEX('Halo Reach Stats'!$1:$46,MATCH($B10,'Halo Reach Stats'!$A:$A,0),5),"")</f>
        <v>27</v>
      </c>
      <c r="H10" s="16">
        <f t="array" ref="H10">IFERROR(INDEX('Halo Reach Stats'!$1:$46,MATCH($B10,'Halo Reach Stats'!$A:$A,0),6),"")</f>
        <v>142</v>
      </c>
      <c r="I10" s="16">
        <f t="array" ref="I10">IFERROR(INDEX('Halo Reach Stats'!$1:$46,MATCH($B10,'Halo Reach Stats'!$A:$A,0),7),"")</f>
        <v>1035</v>
      </c>
      <c r="J10" s="16">
        <f t="array" ref="J10">IFERROR(INDEX('Halo Reach Stats'!$1:$46,MATCH($B10,'Halo Reach Stats'!$A:$A,0),8),"")</f>
        <v>942</v>
      </c>
      <c r="K10" s="16">
        <f t="array" ref="K10">IFERROR(INDEX('Halo Reach Stats'!$1:$46,MATCH($B10,'Halo Reach Stats'!$A:$A,0),9),"")</f>
        <v>93</v>
      </c>
      <c r="L10" s="514">
        <f t="shared" si="4"/>
        <v>1.098726115</v>
      </c>
      <c r="M10" s="16">
        <f t="array" ref="M10">IFERROR(INDEX('Halo Reach Stats'!$1:$46,MATCH($B10,'Halo Reach Stats'!$A:$A,0),10),"")</f>
        <v>76</v>
      </c>
      <c r="N10" s="16">
        <f t="array" ref="N10">IFERROR(INDEX('Halo Reach Stats'!$1:$46,MATCH($B10,'Halo Reach Stats'!$A:$A,0),11),"")</f>
        <v>13</v>
      </c>
      <c r="O10" s="16">
        <f t="array" ref="O10">IFERROR(INDEX('Halo Reach Stats'!$1:$46,MATCH($B10,'Halo Reach Stats'!$A:$A,0),12),"")</f>
        <v>41</v>
      </c>
      <c r="P10" s="16">
        <f t="array" ref="P10">IFERROR(INDEX('Halo Reach Stats'!$1:$46,MATCH($B10,'Halo Reach Stats'!$A:$A,0),14),"")</f>
        <v>25596</v>
      </c>
      <c r="Q10" s="16">
        <f t="array" ref="Q10">IFERROR(INDEX('Halo Reach Stats'!$1:$46,MATCH($B10,'Halo Reach Stats'!$A:$A,0),16),"")</f>
        <v>7914</v>
      </c>
      <c r="R10" s="16">
        <f t="array" ref="R10">IFERROR(INDEX('Halo Reach Stats'!$1:$46,MATCH($B10,'Halo Reach Stats'!$A:$A,0),15),"")</f>
        <v>22</v>
      </c>
      <c r="S10" s="16">
        <f t="array" ref="S10">IFERROR(INDEX('Halo Reach Stats'!$1:$46,MATCH($B10,'Halo Reach Stats'!$A:$A,0),18),"")</f>
        <v>19</v>
      </c>
      <c r="T10" s="16">
        <f t="array" ref="T10">IFERROR(INDEX('Halo Reach Stats'!$1:$46,MATCH($B10,'Halo Reach Stats'!$A:$A,0),19),"")</f>
        <v>1</v>
      </c>
      <c r="U10" s="16">
        <f t="array" ref="U10">IFERROR(INDEX('Halo Reach Stats'!$1:$46,MATCH($B10,'Halo Reach Stats'!$A:$A,0),20),"")</f>
        <v>0</v>
      </c>
      <c r="V10" s="16">
        <f t="array" ref="V10">IFERROR(INDEX('Halo Reach Stats'!$1:$46,MATCH($B10,'Halo Reach Stats'!$A:$A,0),21),"")</f>
        <v>0</v>
      </c>
      <c r="W10" s="16">
        <f t="array" ref="W10">IFERROR(INDEX('Halo Reach Stats'!$1:$46,MATCH($B10,'Halo Reach Stats'!$A:$A,0),22),"")</f>
        <v>8</v>
      </c>
      <c r="X10" s="16">
        <f t="array" ref="X10">IFERROR(INDEX('Halo Reach Stats'!$1:$46,MATCH($B10,'Halo Reach Stats'!$A:$A,0),23),"")</f>
        <v>0</v>
      </c>
      <c r="Y10" s="16">
        <f t="array" ref="Y10">IFERROR(INDEX('Halo Reach Stats'!$1:$46,MATCH($B10,'Halo Reach Stats'!$A:$A,0),24),"")</f>
        <v>142</v>
      </c>
      <c r="Z10" s="16">
        <f t="array" ref="Z10">IFERROR(INDEX('Halo Reach Stats'!$1:$46,MATCH($B10,'Halo Reach Stats'!$A:$A,0),25),"")</f>
        <v>20</v>
      </c>
      <c r="AA10" s="16">
        <f t="array" ref="AA10">IFERROR(INDEX('Halo Reach Stats'!$1:$46,MATCH($B10,'Halo Reach Stats'!$A:$A,0),26),"")</f>
        <v>2</v>
      </c>
      <c r="AB10" s="16">
        <f t="array" ref="AB10">IFERROR(INDEX('Halo Reach Stats'!$1:$46,MATCH($B10,'Halo Reach Stats'!$A:$A,0),27),"")</f>
        <v>1</v>
      </c>
      <c r="AC10" s="16">
        <f t="array" ref="AC10">IFERROR(INDEX('Halo Reach Stats'!$1:$46,MATCH($B10,'Halo Reach Stats'!$A:$A,0),28),"")</f>
        <v>0</v>
      </c>
      <c r="AD10" s="16">
        <f t="array" ref="AD10">IFERROR(INDEX('Halo Reach Stats'!$1:$46,MATCH($B10,'Halo Reach Stats'!$A:$A,0),29),"")</f>
        <v>0</v>
      </c>
      <c r="AE10" s="16">
        <f t="array" ref="AE10">IFERROR(INDEX('Halo Reach Stats'!$1:$46,MATCH($B10,'Halo Reach Stats'!$A:$A,0),30),"")</f>
        <v>0</v>
      </c>
      <c r="AF10" s="16">
        <f t="array" ref="AF10">IFERROR(INDEX('Halo Reach Stats'!$1:$46,MATCH($B10,'Halo Reach Stats'!$A:$A,0),31),"")</f>
        <v>0</v>
      </c>
      <c r="AG10" s="16">
        <f t="array" ref="AG10">IFERROR(INDEX('Halo Reach Stats'!$1:$46,MATCH($B10,'Halo Reach Stats'!$A:$A,0),32),"")</f>
        <v>0</v>
      </c>
      <c r="AH10" s="16">
        <f t="array" ref="AH10">IFERROR(INDEX('Halo Reach Stats'!$1:$46,MATCH($B10,'Halo Reach Stats'!$A:$A,0),33),"")</f>
        <v>0</v>
      </c>
      <c r="AI10" s="16">
        <f t="array" ref="AI10">IFERROR(INDEX('Halo Reach Stats'!$1:$46,MATCH($B10,'Halo Reach Stats'!$A:$A,0),34),"")</f>
        <v>41</v>
      </c>
      <c r="AJ10" s="16">
        <f t="array" ref="AJ10">IFERROR(INDEX('Halo Reach Stats'!$1:$46,MATCH($B10,'Halo Reach Stats'!$A:$A,0),35),"")</f>
        <v>0</v>
      </c>
      <c r="AK10" s="16">
        <f t="array" ref="AK10">IFERROR(INDEX('Halo Reach Stats'!$1:$46,MATCH($B10,'Halo Reach Stats'!$A:$A,0),36),"")</f>
        <v>175</v>
      </c>
      <c r="AL10" s="16">
        <f t="array" ref="AL10">IFERROR(INDEX('Halo Reach Stats'!$1:$46,MATCH($B10,'Halo Reach Stats'!$A:$A,0),37),"")</f>
        <v>125</v>
      </c>
      <c r="AM10" s="16">
        <f t="array" ref="AM10">IFERROR(INDEX('Halo Reach Stats'!$1:$46,MATCH($B10,'Halo Reach Stats'!$A:$A,0),38),"")</f>
        <v>27</v>
      </c>
    </row>
    <row r="11">
      <c r="A11" s="519"/>
      <c r="B11" s="520" t="s">
        <v>354</v>
      </c>
      <c r="C11" s="521">
        <f>SUM(C7:C10)/4</f>
        <v>0</v>
      </c>
      <c r="D11" s="528"/>
      <c r="E11" s="529">
        <f>SUM(E7:E10)/4</f>
        <v>17.1125</v>
      </c>
      <c r="F11" s="524" t="s">
        <v>355</v>
      </c>
      <c r="G11" s="525">
        <f t="shared" ref="G11:K11" si="5">SUM(G7:G10)</f>
        <v>30</v>
      </c>
      <c r="H11" s="525">
        <f t="shared" si="5"/>
        <v>159</v>
      </c>
      <c r="I11" s="525">
        <f t="shared" si="5"/>
        <v>2998</v>
      </c>
      <c r="J11" s="525">
        <f t="shared" si="5"/>
        <v>3422</v>
      </c>
      <c r="K11" s="525">
        <f t="shared" si="5"/>
        <v>-424</v>
      </c>
      <c r="L11" s="526">
        <f>SUM(L7:L10)/4</f>
        <v>0.8802476457</v>
      </c>
      <c r="M11" s="525">
        <f t="shared" ref="M11:Q11" si="6">SUM(M7:M10)</f>
        <v>216</v>
      </c>
      <c r="N11" s="525">
        <f t="shared" si="6"/>
        <v>32</v>
      </c>
      <c r="O11" s="525">
        <f t="shared" si="6"/>
        <v>83</v>
      </c>
      <c r="P11" s="525">
        <f t="shared" si="6"/>
        <v>65197</v>
      </c>
      <c r="Q11" s="525">
        <f t="shared" si="6"/>
        <v>8442</v>
      </c>
      <c r="R11" s="525">
        <f>SUM(R7:R10)/4</f>
        <v>14</v>
      </c>
      <c r="S11" s="525">
        <f t="shared" ref="S11:AM11" si="7">SUM(S7:S10)</f>
        <v>28</v>
      </c>
      <c r="T11" s="525">
        <f t="shared" si="7"/>
        <v>1</v>
      </c>
      <c r="U11" s="525">
        <f t="shared" si="7"/>
        <v>0</v>
      </c>
      <c r="V11" s="525">
        <f t="shared" si="7"/>
        <v>0</v>
      </c>
      <c r="W11" s="525">
        <f t="shared" si="7"/>
        <v>16</v>
      </c>
      <c r="X11" s="525">
        <f t="shared" si="7"/>
        <v>0</v>
      </c>
      <c r="Y11" s="525">
        <f t="shared" si="7"/>
        <v>406</v>
      </c>
      <c r="Z11" s="525">
        <f t="shared" si="7"/>
        <v>64</v>
      </c>
      <c r="AA11" s="525">
        <f t="shared" si="7"/>
        <v>9</v>
      </c>
      <c r="AB11" s="525">
        <f t="shared" si="7"/>
        <v>1</v>
      </c>
      <c r="AC11" s="525">
        <f t="shared" si="7"/>
        <v>0</v>
      </c>
      <c r="AD11" s="525">
        <f t="shared" si="7"/>
        <v>0</v>
      </c>
      <c r="AE11" s="525">
        <f t="shared" si="7"/>
        <v>0</v>
      </c>
      <c r="AF11" s="525">
        <f t="shared" si="7"/>
        <v>0</v>
      </c>
      <c r="AG11" s="525">
        <f t="shared" si="7"/>
        <v>0</v>
      </c>
      <c r="AH11" s="525">
        <f t="shared" si="7"/>
        <v>0</v>
      </c>
      <c r="AI11" s="525">
        <f t="shared" si="7"/>
        <v>129</v>
      </c>
      <c r="AJ11" s="525">
        <f t="shared" si="7"/>
        <v>0</v>
      </c>
      <c r="AK11" s="525">
        <f t="shared" si="7"/>
        <v>349</v>
      </c>
      <c r="AL11" s="525">
        <f t="shared" si="7"/>
        <v>403</v>
      </c>
      <c r="AM11" s="525">
        <f t="shared" si="7"/>
        <v>48</v>
      </c>
    </row>
    <row r="12">
      <c r="A12" s="527" t="s">
        <v>357</v>
      </c>
      <c r="B12" s="530" t="str">
        <f t="array" ref="B12">IFERROR(INDEX(TeamInfo!$C1:$C$45,MATCH($A$12,TeamInfo!A:A,0),0),"")</f>
        <v>ActiveHate</v>
      </c>
      <c r="C12" s="14" t="str">
        <f t="array" ref="C12">IFERROR(INDEX('Player Efficiency'!$1:$45,MATCH(B12,'Player Efficiency'!A:A,0),2),"")</f>
        <v/>
      </c>
      <c r="D12" s="512" t="str">
        <f t="array" ref="D12">IFERROR(INDEX('PlayerGrades+'!$1:$47,MATCH(B12,'PlayerGrades+'!L:L,0),22),"")</f>
        <v>D-</v>
      </c>
      <c r="E12" s="512">
        <f t="array" ref="E12">IFERROR(INDEX('PlayerGrades+'!$1:$47,MATCH(B12,'PlayerGrades+'!L:L,0),23),"")</f>
        <v>14.3</v>
      </c>
      <c r="F12" s="513" t="str">
        <f t="array" ref="F12">IFERROR(INDEX(TeamInfo!$D1:$D$45,MATCH($A$12,TeamInfo!A:A,0),0),"")</f>
        <v>East</v>
      </c>
      <c r="G12" s="16">
        <f t="array" ref="G12">IFERROR(INDEX('Halo Reach Stats'!$1:$46,MATCH($B12,'Halo Reach Stats'!$A:$A,0),5),"")</f>
        <v>0</v>
      </c>
      <c r="H12" s="16">
        <f t="array" ref="H12">IFERROR(INDEX('Halo Reach Stats'!$1:$46,MATCH($B12,'Halo Reach Stats'!$A:$A,0),6),"")</f>
        <v>1</v>
      </c>
      <c r="I12" s="16">
        <f t="array" ref="I12">IFERROR(INDEX('Halo Reach Stats'!$1:$46,MATCH($B12,'Halo Reach Stats'!$A:$A,0),7),"")</f>
        <v>2097</v>
      </c>
      <c r="J12" s="16">
        <f t="array" ref="J12">IFERROR(INDEX('Halo Reach Stats'!$1:$46,MATCH($B12,'Halo Reach Stats'!$A:$A,0),8),"")</f>
        <v>2764</v>
      </c>
      <c r="K12" s="16">
        <f t="array" ref="K12">IFERROR(INDEX('Halo Reach Stats'!$1:$46,MATCH($B12,'Halo Reach Stats'!$A:$A,0),9),"")</f>
        <v>-667</v>
      </c>
      <c r="L12" s="514">
        <f t="shared" ref="L12:L15" si="8">I12/J12</f>
        <v>0.758683068</v>
      </c>
      <c r="M12" s="16">
        <f t="array" ref="M12">IFERROR(INDEX('Halo Reach Stats'!$1:$46,MATCH($B12,'Halo Reach Stats'!$A:$A,0),10),"")</f>
        <v>156</v>
      </c>
      <c r="N12" s="16">
        <f t="array" ref="N12">IFERROR(INDEX('Halo Reach Stats'!$1:$46,MATCH($B12,'Halo Reach Stats'!$A:$A,0),11),"")</f>
        <v>6</v>
      </c>
      <c r="O12" s="16">
        <f t="array" ref="O12">IFERROR(INDEX('Halo Reach Stats'!$1:$46,MATCH($B12,'Halo Reach Stats'!$A:$A,0),12),"")</f>
        <v>22</v>
      </c>
      <c r="P12" s="16">
        <f t="array" ref="P12">IFERROR(INDEX('Halo Reach Stats'!$1:$46,MATCH($B12,'Halo Reach Stats'!$A:$A,0),14),"")</f>
        <v>40842</v>
      </c>
      <c r="Q12" s="16">
        <f t="array" ref="Q12">IFERROR(INDEX('Halo Reach Stats'!$1:$46,MATCH($B12,'Halo Reach Stats'!$A:$A,0),16),"")</f>
        <v>53</v>
      </c>
      <c r="R12" s="16">
        <f t="array" ref="R12">IFERROR(INDEX('Halo Reach Stats'!$1:$46,MATCH($B12,'Halo Reach Stats'!$A:$A,0),15),"")</f>
        <v>11</v>
      </c>
      <c r="S12" s="16">
        <f t="array" ref="S12">IFERROR(INDEX('Halo Reach Stats'!$1:$46,MATCH($B12,'Halo Reach Stats'!$A:$A,0),18),"")</f>
        <v>19</v>
      </c>
      <c r="T12" s="16">
        <f t="array" ref="T12">IFERROR(INDEX('Halo Reach Stats'!$1:$46,MATCH($B12,'Halo Reach Stats'!$A:$A,0),19),"")</f>
        <v>0</v>
      </c>
      <c r="U12" s="16">
        <f t="array" ref="U12">IFERROR(INDEX('Halo Reach Stats'!$1:$46,MATCH($B12,'Halo Reach Stats'!$A:$A,0),20),"")</f>
        <v>0</v>
      </c>
      <c r="V12" s="16">
        <f t="array" ref="V12">IFERROR(INDEX('Halo Reach Stats'!$1:$46,MATCH($B12,'Halo Reach Stats'!$A:$A,0),21),"")</f>
        <v>0</v>
      </c>
      <c r="W12" s="16">
        <f t="array" ref="W12">IFERROR(INDEX('Halo Reach Stats'!$1:$46,MATCH($B12,'Halo Reach Stats'!$A:$A,0),22),"")</f>
        <v>17</v>
      </c>
      <c r="X12" s="16">
        <f t="array" ref="X12">IFERROR(INDEX('Halo Reach Stats'!$1:$46,MATCH($B12,'Halo Reach Stats'!$A:$A,0),23),"")</f>
        <v>0</v>
      </c>
      <c r="Y12" s="16">
        <f t="array" ref="Y12">IFERROR(INDEX('Halo Reach Stats'!$1:$46,MATCH($B12,'Halo Reach Stats'!$A:$A,0),24),"")</f>
        <v>286</v>
      </c>
      <c r="Z12" s="16">
        <f t="array" ref="Z12">IFERROR(INDEX('Halo Reach Stats'!$1:$46,MATCH($B12,'Halo Reach Stats'!$A:$A,0),25),"")</f>
        <v>57</v>
      </c>
      <c r="AA12" s="16">
        <f t="array" ref="AA12">IFERROR(INDEX('Halo Reach Stats'!$1:$46,MATCH($B12,'Halo Reach Stats'!$A:$A,0),26),"")</f>
        <v>10</v>
      </c>
      <c r="AB12" s="16">
        <f t="array" ref="AB12">IFERROR(INDEX('Halo Reach Stats'!$1:$46,MATCH($B12,'Halo Reach Stats'!$A:$A,0),27),"")</f>
        <v>0</v>
      </c>
      <c r="AC12" s="16">
        <f t="array" ref="AC12">IFERROR(INDEX('Halo Reach Stats'!$1:$46,MATCH($B12,'Halo Reach Stats'!$A:$A,0),28),"")</f>
        <v>0</v>
      </c>
      <c r="AD12" s="16">
        <f t="array" ref="AD12">IFERROR(INDEX('Halo Reach Stats'!$1:$46,MATCH($B12,'Halo Reach Stats'!$A:$A,0),29),"")</f>
        <v>0</v>
      </c>
      <c r="AE12" s="16">
        <f t="array" ref="AE12">IFERROR(INDEX('Halo Reach Stats'!$1:$46,MATCH($B12,'Halo Reach Stats'!$A:$A,0),30),"")</f>
        <v>0</v>
      </c>
      <c r="AF12" s="16">
        <f t="array" ref="AF12">IFERROR(INDEX('Halo Reach Stats'!$1:$46,MATCH($B12,'Halo Reach Stats'!$A:$A,0),31),"")</f>
        <v>0</v>
      </c>
      <c r="AG12" s="16">
        <f t="array" ref="AG12">IFERROR(INDEX('Halo Reach Stats'!$1:$46,MATCH($B12,'Halo Reach Stats'!$A:$A,0),32),"")</f>
        <v>0</v>
      </c>
      <c r="AH12" s="16">
        <f t="array" ref="AH12">IFERROR(INDEX('Halo Reach Stats'!$1:$46,MATCH($B12,'Halo Reach Stats'!$A:$A,0),33),"")</f>
        <v>0</v>
      </c>
      <c r="AI12" s="16">
        <f t="array" ref="AI12">IFERROR(INDEX('Halo Reach Stats'!$1:$46,MATCH($B12,'Halo Reach Stats'!$A:$A,0),34),"")</f>
        <v>51</v>
      </c>
      <c r="AJ12" s="16">
        <f t="array" ref="AJ12">IFERROR(INDEX('Halo Reach Stats'!$1:$46,MATCH($B12,'Halo Reach Stats'!$A:$A,0),35),"")</f>
        <v>0</v>
      </c>
      <c r="AK12" s="16">
        <f t="array" ref="AK12">IFERROR(INDEX('Halo Reach Stats'!$1:$46,MATCH($B12,'Halo Reach Stats'!$A:$A,0),36),"")</f>
        <v>160</v>
      </c>
      <c r="AL12" s="16">
        <f t="array" ref="AL12">IFERROR(INDEX('Halo Reach Stats'!$1:$46,MATCH($B12,'Halo Reach Stats'!$A:$A,0),37),"")</f>
        <v>336</v>
      </c>
      <c r="AM12" s="16">
        <f t="array" ref="AM12">IFERROR(INDEX('Halo Reach Stats'!$1:$46,MATCH($B12,'Halo Reach Stats'!$A:$A,0),38),"")</f>
        <v>13</v>
      </c>
    </row>
    <row r="13">
      <c r="A13" s="531" t="str">
        <f t="array" ref="A13">IFERROR(INDEX(TeamInfo!$1:$45,MATCH(A12,TeamInfo!A:A,0),2),"")</f>
        <v>Tips N' Tricks</v>
      </c>
      <c r="B13" s="1" t="str">
        <f t="array" ref="B13">IFERROR(INDEX(TeamInfo!$C2:$C$45,MATCH($A$12,TeamInfo!A:A,0),0),"")</f>
        <v>DLGITAL PAIN</v>
      </c>
      <c r="C13" s="14" t="str">
        <f t="array" ref="C13">IFERROR(INDEX('Player Efficiency'!$1:$45,MATCH(B13,'Player Efficiency'!A:A,0),2),"")</f>
        <v/>
      </c>
      <c r="D13" s="512" t="str">
        <f t="array" ref="D13">IFERROR(INDEX('PlayerGrades+'!$1:$47,MATCH(B13,'PlayerGrades+'!L:L,0),22),"")</f>
        <v>S</v>
      </c>
      <c r="E13" s="512">
        <f t="array" ref="E13">IFERROR(INDEX('PlayerGrades+'!$1:$47,MATCH(B13,'PlayerGrades+'!L:L,0),23),"")</f>
        <v>32.05</v>
      </c>
      <c r="F13" s="16" t="str">
        <f t="array" ref="F13">IFERROR(INDEX(TeamInfo!$D2:$D$45,MATCH($A$12,TeamInfo!A:A,0),0),"")</f>
        <v>East</v>
      </c>
      <c r="G13" s="16">
        <f t="array" ref="G13">IFERROR(INDEX('Halo Reach Stats'!$1:$46,MATCH($B13,'Halo Reach Stats'!$A:$A,0),5),"")</f>
        <v>7</v>
      </c>
      <c r="H13" s="16">
        <f t="array" ref="H13">IFERROR(INDEX('Halo Reach Stats'!$1:$46,MATCH($B13,'Halo Reach Stats'!$A:$A,0),6),"")</f>
        <v>23</v>
      </c>
      <c r="I13" s="16">
        <f t="array" ref="I13">IFERROR(INDEX('Halo Reach Stats'!$1:$46,MATCH($B13,'Halo Reach Stats'!$A:$A,0),7),"")</f>
        <v>3704</v>
      </c>
      <c r="J13" s="16">
        <f t="array" ref="J13">IFERROR(INDEX('Halo Reach Stats'!$1:$46,MATCH($B13,'Halo Reach Stats'!$A:$A,0),8),"")</f>
        <v>2930</v>
      </c>
      <c r="K13" s="16">
        <f t="array" ref="K13">IFERROR(INDEX('Halo Reach Stats'!$1:$46,MATCH($B13,'Halo Reach Stats'!$A:$A,0),9),"")</f>
        <v>774</v>
      </c>
      <c r="L13" s="514">
        <f t="shared" si="8"/>
        <v>1.264163823</v>
      </c>
      <c r="M13" s="16">
        <f t="array" ref="M13">IFERROR(INDEX('Halo Reach Stats'!$1:$46,MATCH($B13,'Halo Reach Stats'!$A:$A,0),10),"")</f>
        <v>222</v>
      </c>
      <c r="N13" s="16">
        <f t="array" ref="N13">IFERROR(INDEX('Halo Reach Stats'!$1:$46,MATCH($B13,'Halo Reach Stats'!$A:$A,0),11),"")</f>
        <v>11</v>
      </c>
      <c r="O13" s="16">
        <f t="array" ref="O13">IFERROR(INDEX('Halo Reach Stats'!$1:$46,MATCH($B13,'Halo Reach Stats'!$A:$A,0),12),"")</f>
        <v>52</v>
      </c>
      <c r="P13" s="16">
        <f t="array" ref="P13">IFERROR(INDEX('Halo Reach Stats'!$1:$46,MATCH($B13,'Halo Reach Stats'!$A:$A,0),14),"")</f>
        <v>58027</v>
      </c>
      <c r="Q13" s="16">
        <f t="array" ref="Q13">IFERROR(INDEX('Halo Reach Stats'!$1:$46,MATCH($B13,'Halo Reach Stats'!$A:$A,0),16),"")</f>
        <v>795</v>
      </c>
      <c r="R13" s="16">
        <f t="array" ref="R13">IFERROR(INDEX('Halo Reach Stats'!$1:$46,MATCH($B13,'Halo Reach Stats'!$A:$A,0),15),"")</f>
        <v>15</v>
      </c>
      <c r="S13" s="16">
        <f t="array" ref="S13">IFERROR(INDEX('Halo Reach Stats'!$1:$46,MATCH($B13,'Halo Reach Stats'!$A:$A,0),18),"")</f>
        <v>92</v>
      </c>
      <c r="T13" s="16">
        <f t="array" ref="T13">IFERROR(INDEX('Halo Reach Stats'!$1:$46,MATCH($B13,'Halo Reach Stats'!$A:$A,0),19),"")</f>
        <v>2</v>
      </c>
      <c r="U13" s="16">
        <f t="array" ref="U13">IFERROR(INDEX('Halo Reach Stats'!$1:$46,MATCH($B13,'Halo Reach Stats'!$A:$A,0),20),"")</f>
        <v>0</v>
      </c>
      <c r="V13" s="16">
        <f t="array" ref="V13">IFERROR(INDEX('Halo Reach Stats'!$1:$46,MATCH($B13,'Halo Reach Stats'!$A:$A,0),21),"")</f>
        <v>0</v>
      </c>
      <c r="W13" s="16">
        <f t="array" ref="W13">IFERROR(INDEX('Halo Reach Stats'!$1:$46,MATCH($B13,'Halo Reach Stats'!$A:$A,0),22),"")</f>
        <v>83</v>
      </c>
      <c r="X13" s="16">
        <f t="array" ref="X13">IFERROR(INDEX('Halo Reach Stats'!$1:$46,MATCH($B13,'Halo Reach Stats'!$A:$A,0),23),"")</f>
        <v>0</v>
      </c>
      <c r="Y13" s="16">
        <f t="array" ref="Y13">IFERROR(INDEX('Halo Reach Stats'!$1:$46,MATCH($B13,'Halo Reach Stats'!$A:$A,0),24),"")</f>
        <v>634</v>
      </c>
      <c r="Z13" s="16">
        <f t="array" ref="Z13">IFERROR(INDEX('Halo Reach Stats'!$1:$46,MATCH($B13,'Halo Reach Stats'!$A:$A,0),25),"")</f>
        <v>114</v>
      </c>
      <c r="AA13" s="16">
        <f t="array" ref="AA13">IFERROR(INDEX('Halo Reach Stats'!$1:$46,MATCH($B13,'Halo Reach Stats'!$A:$A,0),26),"")</f>
        <v>23</v>
      </c>
      <c r="AB13" s="16">
        <f t="array" ref="AB13">IFERROR(INDEX('Halo Reach Stats'!$1:$46,MATCH($B13,'Halo Reach Stats'!$A:$A,0),27),"")</f>
        <v>10</v>
      </c>
      <c r="AC13" s="16">
        <f t="array" ref="AC13">IFERROR(INDEX('Halo Reach Stats'!$1:$46,MATCH($B13,'Halo Reach Stats'!$A:$A,0),28),"")</f>
        <v>6</v>
      </c>
      <c r="AD13" s="16">
        <f t="array" ref="AD13">IFERROR(INDEX('Halo Reach Stats'!$1:$46,MATCH($B13,'Halo Reach Stats'!$A:$A,0),29),"")</f>
        <v>3</v>
      </c>
      <c r="AE13" s="16">
        <f t="array" ref="AE13">IFERROR(INDEX('Halo Reach Stats'!$1:$46,MATCH($B13,'Halo Reach Stats'!$A:$A,0),30),"")</f>
        <v>0</v>
      </c>
      <c r="AF13" s="16">
        <f t="array" ref="AF13">IFERROR(INDEX('Halo Reach Stats'!$1:$46,MATCH($B13,'Halo Reach Stats'!$A:$A,0),31),"")</f>
        <v>0</v>
      </c>
      <c r="AG13" s="16">
        <f t="array" ref="AG13">IFERROR(INDEX('Halo Reach Stats'!$1:$46,MATCH($B13,'Halo Reach Stats'!$A:$A,0),32),"")</f>
        <v>0</v>
      </c>
      <c r="AH13" s="16">
        <f t="array" ref="AH13">IFERROR(INDEX('Halo Reach Stats'!$1:$46,MATCH($B13,'Halo Reach Stats'!$A:$A,0),33),"")</f>
        <v>2</v>
      </c>
      <c r="AI13" s="16">
        <f t="array" ref="AI13">IFERROR(INDEX('Halo Reach Stats'!$1:$46,MATCH($B13,'Halo Reach Stats'!$A:$A,0),34),"")</f>
        <v>127</v>
      </c>
      <c r="AJ13" s="16">
        <f t="array" ref="AJ13">IFERROR(INDEX('Halo Reach Stats'!$1:$46,MATCH($B13,'Halo Reach Stats'!$A:$A,0),35),"")</f>
        <v>1</v>
      </c>
      <c r="AK13" s="16">
        <f t="array" ref="AK13">IFERROR(INDEX('Halo Reach Stats'!$1:$46,MATCH($B13,'Halo Reach Stats'!$A:$A,0),36),"")</f>
        <v>510</v>
      </c>
      <c r="AL13" s="16">
        <f t="array" ref="AL13">IFERROR(INDEX('Halo Reach Stats'!$1:$46,MATCH($B13,'Halo Reach Stats'!$A:$A,0),37),"")</f>
        <v>413</v>
      </c>
      <c r="AM13" s="16">
        <f t="array" ref="AM13">IFERROR(INDEX('Halo Reach Stats'!$1:$46,MATCH($B13,'Halo Reach Stats'!$A:$A,0),38),"")</f>
        <v>35</v>
      </c>
    </row>
    <row r="14">
      <c r="A14" s="517" t="str">
        <f>VLOOKUP(A12,TeamInfo!$1:$49,6,0)</f>
        <v>15-6</v>
      </c>
      <c r="B14" s="1" t="str">
        <f t="array" ref="B14">IFERROR(INDEX(TeamInfo!$C3:$C$45,MATCH($A$12,TeamInfo!A:A,0),0),"")</f>
        <v>Solace VIII</v>
      </c>
      <c r="C14" s="14" t="str">
        <f t="array" ref="C14">IFERROR(INDEX('Player Efficiency'!$1:$45,MATCH(B14,'Player Efficiency'!A:A,0),2),"")</f>
        <v/>
      </c>
      <c r="D14" s="512" t="str">
        <f t="array" ref="D14">IFERROR(INDEX('PlayerGrades+'!$1:$47,MATCH(B14,'PlayerGrades+'!L:L,0),22),"")</f>
        <v>S-</v>
      </c>
      <c r="E14" s="512">
        <f t="array" ref="E14">IFERROR(INDEX('PlayerGrades+'!$1:$47,MATCH(B14,'PlayerGrades+'!L:L,0),23),"")</f>
        <v>30.55</v>
      </c>
      <c r="F14" s="16" t="str">
        <f t="array" ref="F14">IFERROR(INDEX(TeamInfo!$D3:$D$45,MATCH($A$12,TeamInfo!A:A,0),0),"")</f>
        <v>North Central</v>
      </c>
      <c r="G14" s="16">
        <f t="array" ref="G14">IFERROR(INDEX('Halo Reach Stats'!$1:$46,MATCH($B14,'Halo Reach Stats'!$A:$A,0),5),"")</f>
        <v>9</v>
      </c>
      <c r="H14" s="16">
        <f t="array" ref="H14">IFERROR(INDEX('Halo Reach Stats'!$1:$46,MATCH($B14,'Halo Reach Stats'!$A:$A,0),6),"")</f>
        <v>17</v>
      </c>
      <c r="I14" s="16">
        <f t="array" ref="I14">IFERROR(INDEX('Halo Reach Stats'!$1:$46,MATCH($B14,'Halo Reach Stats'!$A:$A,0),7),"")</f>
        <v>2781</v>
      </c>
      <c r="J14" s="16">
        <f t="array" ref="J14">IFERROR(INDEX('Halo Reach Stats'!$1:$46,MATCH($B14,'Halo Reach Stats'!$A:$A,0),8),"")</f>
        <v>2488</v>
      </c>
      <c r="K14" s="16">
        <f t="array" ref="K14">IFERROR(INDEX('Halo Reach Stats'!$1:$46,MATCH($B14,'Halo Reach Stats'!$A:$A,0),9),"")</f>
        <v>293</v>
      </c>
      <c r="L14" s="514">
        <f t="shared" si="8"/>
        <v>1.117765273</v>
      </c>
      <c r="M14" s="16">
        <f t="array" ref="M14">IFERROR(INDEX('Halo Reach Stats'!$1:$46,MATCH($B14,'Halo Reach Stats'!$A:$A,0),10),"")</f>
        <v>189</v>
      </c>
      <c r="N14" s="16">
        <f t="array" ref="N14">IFERROR(INDEX('Halo Reach Stats'!$1:$46,MATCH($B14,'Halo Reach Stats'!$A:$A,0),11),"")</f>
        <v>7</v>
      </c>
      <c r="O14" s="16">
        <f t="array" ref="O14">IFERROR(INDEX('Halo Reach Stats'!$1:$46,MATCH($B14,'Halo Reach Stats'!$A:$A,0),12),"")</f>
        <v>24</v>
      </c>
      <c r="P14" s="16">
        <f t="array" ref="P14">IFERROR(INDEX('Halo Reach Stats'!$1:$46,MATCH($B14,'Halo Reach Stats'!$A:$A,0),14),"")</f>
        <v>42753</v>
      </c>
      <c r="Q14" s="16">
        <f t="array" ref="Q14">IFERROR(INDEX('Halo Reach Stats'!$1:$46,MATCH($B14,'Halo Reach Stats'!$A:$A,0),16),"")</f>
        <v>404</v>
      </c>
      <c r="R14" s="16">
        <f t="array" ref="R14">IFERROR(INDEX('Halo Reach Stats'!$1:$46,MATCH($B14,'Halo Reach Stats'!$A:$A,0),15),"")</f>
        <v>13</v>
      </c>
      <c r="S14" s="16">
        <f t="array" ref="S14">IFERROR(INDEX('Halo Reach Stats'!$1:$46,MATCH($B14,'Halo Reach Stats'!$A:$A,0),18),"")</f>
        <v>56</v>
      </c>
      <c r="T14" s="16">
        <f t="array" ref="T14">IFERROR(INDEX('Halo Reach Stats'!$1:$46,MATCH($B14,'Halo Reach Stats'!$A:$A,0),19),"")</f>
        <v>0</v>
      </c>
      <c r="U14" s="16">
        <f t="array" ref="U14">IFERROR(INDEX('Halo Reach Stats'!$1:$46,MATCH($B14,'Halo Reach Stats'!$A:$A,0),20),"")</f>
        <v>0</v>
      </c>
      <c r="V14" s="16">
        <f t="array" ref="V14">IFERROR(INDEX('Halo Reach Stats'!$1:$46,MATCH($B14,'Halo Reach Stats'!$A:$A,0),21),"")</f>
        <v>0</v>
      </c>
      <c r="W14" s="16">
        <f t="array" ref="W14">IFERROR(INDEX('Halo Reach Stats'!$1:$46,MATCH($B14,'Halo Reach Stats'!$A:$A,0),22),"")</f>
        <v>49</v>
      </c>
      <c r="X14" s="16">
        <f t="array" ref="X14">IFERROR(INDEX('Halo Reach Stats'!$1:$46,MATCH($B14,'Halo Reach Stats'!$A:$A,0),23),"")</f>
        <v>0</v>
      </c>
      <c r="Y14" s="16">
        <f t="array" ref="Y14">IFERROR(INDEX('Halo Reach Stats'!$1:$46,MATCH($B14,'Halo Reach Stats'!$A:$A,0),24),"")</f>
        <v>429</v>
      </c>
      <c r="Z14" s="16">
        <f t="array" ref="Z14">IFERROR(INDEX('Halo Reach Stats'!$1:$46,MATCH($B14,'Halo Reach Stats'!$A:$A,0),25),"")</f>
        <v>73</v>
      </c>
      <c r="AA14" s="16">
        <f t="array" ref="AA14">IFERROR(INDEX('Halo Reach Stats'!$1:$46,MATCH($B14,'Halo Reach Stats'!$A:$A,0),26),"")</f>
        <v>16</v>
      </c>
      <c r="AB14" s="16">
        <f t="array" ref="AB14">IFERROR(INDEX('Halo Reach Stats'!$1:$46,MATCH($B14,'Halo Reach Stats'!$A:$A,0),27),"")</f>
        <v>4</v>
      </c>
      <c r="AC14" s="16">
        <f t="array" ref="AC14">IFERROR(INDEX('Halo Reach Stats'!$1:$46,MATCH($B14,'Halo Reach Stats'!$A:$A,0),28),"")</f>
        <v>1</v>
      </c>
      <c r="AD14" s="16">
        <f t="array" ref="AD14">IFERROR(INDEX('Halo Reach Stats'!$1:$46,MATCH($B14,'Halo Reach Stats'!$A:$A,0),29),"")</f>
        <v>0</v>
      </c>
      <c r="AE14" s="16">
        <f t="array" ref="AE14">IFERROR(INDEX('Halo Reach Stats'!$1:$46,MATCH($B14,'Halo Reach Stats'!$A:$A,0),30),"")</f>
        <v>0</v>
      </c>
      <c r="AF14" s="16">
        <f t="array" ref="AF14">IFERROR(INDEX('Halo Reach Stats'!$1:$46,MATCH($B14,'Halo Reach Stats'!$A:$A,0),31),"")</f>
        <v>0</v>
      </c>
      <c r="AG14" s="16">
        <f t="array" ref="AG14">IFERROR(INDEX('Halo Reach Stats'!$1:$46,MATCH($B14,'Halo Reach Stats'!$A:$A,0),32),"")</f>
        <v>0</v>
      </c>
      <c r="AH14" s="16">
        <f t="array" ref="AH14">IFERROR(INDEX('Halo Reach Stats'!$1:$46,MATCH($B14,'Halo Reach Stats'!$A:$A,0),33),"")</f>
        <v>0</v>
      </c>
      <c r="AI14" s="16">
        <f t="array" ref="AI14">IFERROR(INDEX('Halo Reach Stats'!$1:$46,MATCH($B14,'Halo Reach Stats'!$A:$A,0),34),"")</f>
        <v>101</v>
      </c>
      <c r="AJ14" s="16">
        <f t="array" ref="AJ14">IFERROR(INDEX('Halo Reach Stats'!$1:$46,MATCH($B14,'Halo Reach Stats'!$A:$A,0),35),"")</f>
        <v>0</v>
      </c>
      <c r="AK14" s="16">
        <f t="array" ref="AK14">IFERROR(INDEX('Halo Reach Stats'!$1:$46,MATCH($B14,'Halo Reach Stats'!$A:$A,0),36),"")</f>
        <v>278</v>
      </c>
      <c r="AL14" s="16">
        <f t="array" ref="AL14">IFERROR(INDEX('Halo Reach Stats'!$1:$46,MATCH($B14,'Halo Reach Stats'!$A:$A,0),37),"")</f>
        <v>313</v>
      </c>
      <c r="AM14" s="16">
        <f t="array" ref="AM14">IFERROR(INDEX('Halo Reach Stats'!$1:$46,MATCH($B14,'Halo Reach Stats'!$A:$A,0),38),"")</f>
        <v>23</v>
      </c>
    </row>
    <row r="15">
      <c r="A15" s="518" t="str">
        <f>IF(((E12+E13+E14+E15)/4)&lt;='PlayerGrades+'!$Y$44,"F-",IF(((E12+E13+E14+E15)/4)&lt;'PlayerGrades+'!$Y$43,"F",IF(((E12+E13+E14+E15)/4)&lt;'PlayerGrades+'!$Y$42,"F+",IF(((E12+E13+E14+E15)/4)&lt;'PlayerGrades+'!$Y$41,"E-",IF(((E12+E13+E14+E15)/4)&lt;'PlayerGrades+'!$Y$40,"E",IF(((E12+E13+E14+E15)/4)&lt;'PlayerGrades+'!$Y$39,"E+",IF(((E12+E13+E14+E15)/4)&lt;'PlayerGrades+'!$Y$38,"D-",IF(((E12+E13+E14+E15)/4)&lt;'PlayerGrades+'!$Y$37,"D",IF(((E12+E13+E14+E15)/4)&lt;'PlayerGrades+'!$Y$36,"D+",IF(((E12+E13+E14+E15)/4)&lt;'PlayerGrades+'!$Y$35,"C-",IF(((E12+E13+E14+E15)/4)&lt;'PlayerGrades+'!$Y$34,"C",IF(((E12+E13+E14+E15)/4)&lt;'PlayerGrades+'!$Y$33,"C+",IF(((E12+E13+E14+E15)/4)&lt;'PlayerGrades+'!$Y$32,"B-",IF(((E12+E13+E14+E15)/4)&lt;'PlayerGrades+'!$Y$31,"B",IF(((E12+E13+E14+E15)/4)&lt;'PlayerGrades+'!$Y$30,"B+",IF(((E12+E13+E14+E15)/4)&lt;'PlayerGrades+'!$Y$29,"A-",IF(((E12+E13+E14+E15)/4)&lt;'PlayerGrades+'!$Y$28,"A",IF(((E12+E13+E14+E15)/4)&lt;'PlayerGrades+'!$Y$27,"A+",IF(((E12+E13+E14+E15)/4)&lt;'PlayerGrades+'!$Y$26,"S-",IF(((E12+E13+E14+E15)/4)&lt;'PlayerGrades+'!$Y$25,"S","S+"))))))))))))))))))))</f>
        <v>B</v>
      </c>
      <c r="B15" s="1" t="str">
        <f t="array" ref="B15">IFERROR(INDEX(TeamInfo!$C4:$C$45,MATCH($A$12,TeamInfo!A:A,0),0),"")</f>
        <v>EllisGotMyPills</v>
      </c>
      <c r="C15" s="14" t="str">
        <f t="array" ref="C15">IFERROR(INDEX('Player Efficiency'!$1:$45,MATCH(B15,'Player Efficiency'!A:A,0),2),"")</f>
        <v/>
      </c>
      <c r="D15" s="512" t="str">
        <f t="array" ref="D15">IFERROR(INDEX('PlayerGrades+'!$1:$47,MATCH(B15,'PlayerGrades+'!L:L,0),22),"")</f>
        <v>D</v>
      </c>
      <c r="E15" s="512">
        <f t="array" ref="E15">IFERROR(INDEX('PlayerGrades+'!$1:$47,MATCH(B15,'PlayerGrades+'!L:L,0),23),"")</f>
        <v>15.55</v>
      </c>
      <c r="F15" s="16" t="str">
        <f t="array" ref="F15">IFERROR(INDEX(TeamInfo!$D4:$D$45,MATCH($A$12,TeamInfo!A:A,0),0),"")</f>
        <v>West Europe</v>
      </c>
      <c r="G15" s="16">
        <f t="array" ref="G15">IFERROR(INDEX('Halo Reach Stats'!$1:$46,MATCH($B15,'Halo Reach Stats'!$A:$A,0),5),"")</f>
        <v>59</v>
      </c>
      <c r="H15" s="16">
        <f t="array" ref="H15">IFERROR(INDEX('Halo Reach Stats'!$1:$46,MATCH($B15,'Halo Reach Stats'!$A:$A,0),6),"")</f>
        <v>337</v>
      </c>
      <c r="I15" s="16">
        <f t="array" ref="I15">IFERROR(INDEX('Halo Reach Stats'!$1:$46,MATCH($B15,'Halo Reach Stats'!$A:$A,0),7),"")</f>
        <v>1114</v>
      </c>
      <c r="J15" s="16">
        <f t="array" ref="J15">IFERROR(INDEX('Halo Reach Stats'!$1:$46,MATCH($B15,'Halo Reach Stats'!$A:$A,0),8),"")</f>
        <v>846</v>
      </c>
      <c r="K15" s="16">
        <f t="array" ref="K15">IFERROR(INDEX('Halo Reach Stats'!$1:$46,MATCH($B15,'Halo Reach Stats'!$A:$A,0),9),"")</f>
        <v>268</v>
      </c>
      <c r="L15" s="514">
        <f t="shared" si="8"/>
        <v>1.31678487</v>
      </c>
      <c r="M15" s="16">
        <f t="array" ref="M15">IFERROR(INDEX('Halo Reach Stats'!$1:$46,MATCH($B15,'Halo Reach Stats'!$A:$A,0),10),"")</f>
        <v>47</v>
      </c>
      <c r="N15" s="16">
        <f t="array" ref="N15">IFERROR(INDEX('Halo Reach Stats'!$1:$46,MATCH($B15,'Halo Reach Stats'!$A:$A,0),11),"")</f>
        <v>10</v>
      </c>
      <c r="O15" s="16">
        <f t="array" ref="O15">IFERROR(INDEX('Halo Reach Stats'!$1:$46,MATCH($B15,'Halo Reach Stats'!$A:$A,0),12),"")</f>
        <v>13</v>
      </c>
      <c r="P15" s="16">
        <f t="array" ref="P15">IFERROR(INDEX('Halo Reach Stats'!$1:$46,MATCH($B15,'Halo Reach Stats'!$A:$A,0),14),"")</f>
        <v>36051</v>
      </c>
      <c r="Q15" s="16">
        <f t="array" ref="Q15">IFERROR(INDEX('Halo Reach Stats'!$1:$46,MATCH($B15,'Halo Reach Stats'!$A:$A,0),16),"")</f>
        <v>19443</v>
      </c>
      <c r="R15" s="16">
        <f t="array" ref="R15">IFERROR(INDEX('Halo Reach Stats'!$1:$46,MATCH($B15,'Halo Reach Stats'!$A:$A,0),15),"")</f>
        <v>37</v>
      </c>
      <c r="S15" s="16">
        <f t="array" ref="S15">IFERROR(INDEX('Halo Reach Stats'!$1:$46,MATCH($B15,'Halo Reach Stats'!$A:$A,0),18),"")</f>
        <v>36</v>
      </c>
      <c r="T15" s="16">
        <f t="array" ref="T15">IFERROR(INDEX('Halo Reach Stats'!$1:$46,MATCH($B15,'Halo Reach Stats'!$A:$A,0),19),"")</f>
        <v>3</v>
      </c>
      <c r="U15" s="16">
        <f t="array" ref="U15">IFERROR(INDEX('Halo Reach Stats'!$1:$46,MATCH($B15,'Halo Reach Stats'!$A:$A,0),20),"")</f>
        <v>0</v>
      </c>
      <c r="V15" s="16">
        <f t="array" ref="V15">IFERROR(INDEX('Halo Reach Stats'!$1:$46,MATCH($B15,'Halo Reach Stats'!$A:$A,0),21),"")</f>
        <v>0</v>
      </c>
      <c r="W15" s="16">
        <f t="array" ref="W15">IFERROR(INDEX('Halo Reach Stats'!$1:$46,MATCH($B15,'Halo Reach Stats'!$A:$A,0),22),"")</f>
        <v>6</v>
      </c>
      <c r="X15" s="16">
        <f t="array" ref="X15">IFERROR(INDEX('Halo Reach Stats'!$1:$46,MATCH($B15,'Halo Reach Stats'!$A:$A,0),23),"")</f>
        <v>0</v>
      </c>
      <c r="Y15" s="16">
        <f t="array" ref="Y15">IFERROR(INDEX('Halo Reach Stats'!$1:$46,MATCH($B15,'Halo Reach Stats'!$A:$A,0),24),"")</f>
        <v>115</v>
      </c>
      <c r="Z15" s="16">
        <f t="array" ref="Z15">IFERROR(INDEX('Halo Reach Stats'!$1:$46,MATCH($B15,'Halo Reach Stats'!$A:$A,0),25),"")</f>
        <v>15</v>
      </c>
      <c r="AA15" s="16">
        <f t="array" ref="AA15">IFERROR(INDEX('Halo Reach Stats'!$1:$46,MATCH($B15,'Halo Reach Stats'!$A:$A,0),26),"")</f>
        <v>3</v>
      </c>
      <c r="AB15" s="16">
        <f t="array" ref="AB15">IFERROR(INDEX('Halo Reach Stats'!$1:$46,MATCH($B15,'Halo Reach Stats'!$A:$A,0),27),"")</f>
        <v>0</v>
      </c>
      <c r="AC15" s="16">
        <f t="array" ref="AC15">IFERROR(INDEX('Halo Reach Stats'!$1:$46,MATCH($B15,'Halo Reach Stats'!$A:$A,0),28),"")</f>
        <v>0</v>
      </c>
      <c r="AD15" s="16">
        <f t="array" ref="AD15">IFERROR(INDEX('Halo Reach Stats'!$1:$46,MATCH($B15,'Halo Reach Stats'!$A:$A,0),29),"")</f>
        <v>0</v>
      </c>
      <c r="AE15" s="16">
        <f t="array" ref="AE15">IFERROR(INDEX('Halo Reach Stats'!$1:$46,MATCH($B15,'Halo Reach Stats'!$A:$A,0),30),"")</f>
        <v>0</v>
      </c>
      <c r="AF15" s="16">
        <f t="array" ref="AF15">IFERROR(INDEX('Halo Reach Stats'!$1:$46,MATCH($B15,'Halo Reach Stats'!$A:$A,0),31),"")</f>
        <v>0</v>
      </c>
      <c r="AG15" s="16">
        <f t="array" ref="AG15">IFERROR(INDEX('Halo Reach Stats'!$1:$46,MATCH($B15,'Halo Reach Stats'!$A:$A,0),32),"")</f>
        <v>0</v>
      </c>
      <c r="AH15" s="16">
        <f t="array" ref="AH15">IFERROR(INDEX('Halo Reach Stats'!$1:$46,MATCH($B15,'Halo Reach Stats'!$A:$A,0),33),"")</f>
        <v>0</v>
      </c>
      <c r="AI15" s="16">
        <f t="array" ref="AI15">IFERROR(INDEX('Halo Reach Stats'!$1:$46,MATCH($B15,'Halo Reach Stats'!$A:$A,0),34),"")</f>
        <v>17</v>
      </c>
      <c r="AJ15" s="16">
        <f t="array" ref="AJ15">IFERROR(INDEX('Halo Reach Stats'!$1:$46,MATCH($B15,'Halo Reach Stats'!$A:$A,0),35),"")</f>
        <v>0</v>
      </c>
      <c r="AK15" s="16">
        <f t="array" ref="AK15">IFERROR(INDEX('Halo Reach Stats'!$1:$46,MATCH($B15,'Halo Reach Stats'!$A:$A,0),36),"")</f>
        <v>235</v>
      </c>
      <c r="AL15" s="16">
        <f t="array" ref="AL15">IFERROR(INDEX('Halo Reach Stats'!$1:$46,MATCH($B15,'Halo Reach Stats'!$A:$A,0),37),"")</f>
        <v>117</v>
      </c>
      <c r="AM15" s="16">
        <f t="array" ref="AM15">IFERROR(INDEX('Halo Reach Stats'!$1:$46,MATCH($B15,'Halo Reach Stats'!$A:$A,0),38),"")</f>
        <v>17</v>
      </c>
    </row>
    <row r="16">
      <c r="A16" s="532"/>
      <c r="B16" s="520" t="s">
        <v>354</v>
      </c>
      <c r="C16" s="533">
        <f>SUM(C12:C15)/4</f>
        <v>0</v>
      </c>
      <c r="D16" s="528"/>
      <c r="E16" s="529">
        <f>SUM(E12:E15)/4</f>
        <v>23.1125</v>
      </c>
      <c r="F16" s="524" t="s">
        <v>355</v>
      </c>
      <c r="G16" s="525">
        <f t="shared" ref="G16:K16" si="9">SUM(G12:G15)</f>
        <v>75</v>
      </c>
      <c r="H16" s="525">
        <f t="shared" si="9"/>
        <v>378</v>
      </c>
      <c r="I16" s="525">
        <f t="shared" si="9"/>
        <v>9696</v>
      </c>
      <c r="J16" s="525">
        <f t="shared" si="9"/>
        <v>9028</v>
      </c>
      <c r="K16" s="525">
        <f t="shared" si="9"/>
        <v>668</v>
      </c>
      <c r="L16" s="526">
        <f>SUM(L12:L15)/4</f>
        <v>1.114349258</v>
      </c>
      <c r="M16" s="525">
        <f t="shared" ref="M16:Q16" si="10">SUM(M12:M15)</f>
        <v>614</v>
      </c>
      <c r="N16" s="525">
        <f t="shared" si="10"/>
        <v>34</v>
      </c>
      <c r="O16" s="525">
        <f t="shared" si="10"/>
        <v>111</v>
      </c>
      <c r="P16" s="525">
        <f t="shared" si="10"/>
        <v>177673</v>
      </c>
      <c r="Q16" s="525">
        <f t="shared" si="10"/>
        <v>20695</v>
      </c>
      <c r="R16" s="525">
        <f>SUM(R12:R15)/4</f>
        <v>19</v>
      </c>
      <c r="S16" s="525">
        <f t="shared" ref="S16:AM16" si="11">SUM(S12:S15)</f>
        <v>203</v>
      </c>
      <c r="T16" s="525">
        <f t="shared" si="11"/>
        <v>5</v>
      </c>
      <c r="U16" s="525">
        <f t="shared" si="11"/>
        <v>0</v>
      </c>
      <c r="V16" s="525">
        <f t="shared" si="11"/>
        <v>0</v>
      </c>
      <c r="W16" s="525">
        <f t="shared" si="11"/>
        <v>155</v>
      </c>
      <c r="X16" s="525">
        <f t="shared" si="11"/>
        <v>0</v>
      </c>
      <c r="Y16" s="525">
        <f t="shared" si="11"/>
        <v>1464</v>
      </c>
      <c r="Z16" s="525">
        <f t="shared" si="11"/>
        <v>259</v>
      </c>
      <c r="AA16" s="525">
        <f t="shared" si="11"/>
        <v>52</v>
      </c>
      <c r="AB16" s="525">
        <f t="shared" si="11"/>
        <v>14</v>
      </c>
      <c r="AC16" s="525">
        <f t="shared" si="11"/>
        <v>7</v>
      </c>
      <c r="AD16" s="525">
        <f t="shared" si="11"/>
        <v>3</v>
      </c>
      <c r="AE16" s="525">
        <f t="shared" si="11"/>
        <v>0</v>
      </c>
      <c r="AF16" s="525">
        <f t="shared" si="11"/>
        <v>0</v>
      </c>
      <c r="AG16" s="525">
        <f t="shared" si="11"/>
        <v>0</v>
      </c>
      <c r="AH16" s="525">
        <f t="shared" si="11"/>
        <v>2</v>
      </c>
      <c r="AI16" s="525">
        <f t="shared" si="11"/>
        <v>296</v>
      </c>
      <c r="AJ16" s="525">
        <f t="shared" si="11"/>
        <v>1</v>
      </c>
      <c r="AK16" s="525">
        <f t="shared" si="11"/>
        <v>1183</v>
      </c>
      <c r="AL16" s="525">
        <f t="shared" si="11"/>
        <v>1179</v>
      </c>
      <c r="AM16" s="525">
        <f t="shared" si="11"/>
        <v>88</v>
      </c>
    </row>
    <row r="17">
      <c r="A17" s="534" t="s">
        <v>358</v>
      </c>
      <c r="B17" s="530" t="str">
        <f t="array" ref="B17">IFERROR(INDEX(TeamInfo!$C1:$C$45,MATCH($A$17,TeamInfo!A:A,0),0),"")</f>
        <v>Dior Glori</v>
      </c>
      <c r="C17" s="14" t="str">
        <f t="array" ref="C17">IFERROR(INDEX('Player Efficiency'!$1:$45,MATCH(B17,'Player Efficiency'!A:A,0),2),"")</f>
        <v/>
      </c>
      <c r="D17" s="512" t="str">
        <f t="array" ref="D17">IFERROR(INDEX('PlayerGrades+'!$1:$47,MATCH(B17,'PlayerGrades+'!L:L,0),22),"")</f>
        <v>D+</v>
      </c>
      <c r="E17" s="512">
        <f t="array" ref="E17">IFERROR(INDEX('PlayerGrades+'!$1:$47,MATCH(B17,'PlayerGrades+'!L:L,0),23),"")</f>
        <v>17.35</v>
      </c>
      <c r="F17" s="513" t="str">
        <f t="array" ref="F17">IFERROR(INDEX(TeamInfo!$D1:$D$45,MATCH($A$17,TeamInfo!A:A,0),0),"")</f>
        <v>East</v>
      </c>
      <c r="G17" s="16">
        <f t="array" ref="G17">IFERROR(INDEX('Halo Reach Stats'!$1:$46,MATCH($B17,'Halo Reach Stats'!$A:$A,0),5),"")</f>
        <v>9</v>
      </c>
      <c r="H17" s="16">
        <f t="array" ref="H17">IFERROR(INDEX('Halo Reach Stats'!$1:$46,MATCH($B17,'Halo Reach Stats'!$A:$A,0),6),"")</f>
        <v>42</v>
      </c>
      <c r="I17" s="16">
        <f t="array" ref="I17">IFERROR(INDEX('Halo Reach Stats'!$1:$46,MATCH($B17,'Halo Reach Stats'!$A:$A,0),7),"")</f>
        <v>886</v>
      </c>
      <c r="J17" s="16">
        <f t="array" ref="J17">IFERROR(INDEX('Halo Reach Stats'!$1:$46,MATCH($B17,'Halo Reach Stats'!$A:$A,0),8),"")</f>
        <v>1014</v>
      </c>
      <c r="K17" s="16">
        <f t="array" ref="K17">IFERROR(INDEX('Halo Reach Stats'!$1:$46,MATCH($B17,'Halo Reach Stats'!$A:$A,0),9),"")</f>
        <v>-128</v>
      </c>
      <c r="L17" s="514">
        <f t="shared" ref="L17:L20" si="12">I17/J17</f>
        <v>0.8737672584</v>
      </c>
      <c r="M17" s="16">
        <f t="array" ref="M17">IFERROR(INDEX('Halo Reach Stats'!$1:$46,MATCH($B17,'Halo Reach Stats'!$A:$A,0),10),"")</f>
        <v>68</v>
      </c>
      <c r="N17" s="16">
        <f t="array" ref="N17">IFERROR(INDEX('Halo Reach Stats'!$1:$46,MATCH($B17,'Halo Reach Stats'!$A:$A,0),11),"")</f>
        <v>8</v>
      </c>
      <c r="O17" s="16">
        <f t="array" ref="O17">IFERROR(INDEX('Halo Reach Stats'!$1:$46,MATCH($B17,'Halo Reach Stats'!$A:$A,0),12),"")</f>
        <v>32</v>
      </c>
      <c r="P17" s="16">
        <f t="array" ref="P17">IFERROR(INDEX('Halo Reach Stats'!$1:$46,MATCH($B17,'Halo Reach Stats'!$A:$A,0),14),"")</f>
        <v>19374</v>
      </c>
      <c r="Q17" s="16">
        <f t="array" ref="Q17">IFERROR(INDEX('Halo Reach Stats'!$1:$46,MATCH($B17,'Halo Reach Stats'!$A:$A,0),16),"")</f>
        <v>2011</v>
      </c>
      <c r="R17" s="16">
        <f t="array" ref="R17">IFERROR(INDEX('Halo Reach Stats'!$1:$46,MATCH($B17,'Halo Reach Stats'!$A:$A,0),15),"")</f>
        <v>14</v>
      </c>
      <c r="S17" s="16">
        <f t="array" ref="S17">IFERROR(INDEX('Halo Reach Stats'!$1:$46,MATCH($B17,'Halo Reach Stats'!$A:$A,0),18),"")</f>
        <v>8</v>
      </c>
      <c r="T17" s="16">
        <f t="array" ref="T17">IFERROR(INDEX('Halo Reach Stats'!$1:$46,MATCH($B17,'Halo Reach Stats'!$A:$A,0),19),"")</f>
        <v>0</v>
      </c>
      <c r="U17" s="16">
        <f t="array" ref="U17">IFERROR(INDEX('Halo Reach Stats'!$1:$46,MATCH($B17,'Halo Reach Stats'!$A:$A,0),20),"")</f>
        <v>0</v>
      </c>
      <c r="V17" s="16">
        <f t="array" ref="V17">IFERROR(INDEX('Halo Reach Stats'!$1:$46,MATCH($B17,'Halo Reach Stats'!$A:$A,0),21),"")</f>
        <v>0</v>
      </c>
      <c r="W17" s="16">
        <f t="array" ref="W17">IFERROR(INDEX('Halo Reach Stats'!$1:$46,MATCH($B17,'Halo Reach Stats'!$A:$A,0),22),"")</f>
        <v>5</v>
      </c>
      <c r="X17" s="16">
        <f t="array" ref="X17">IFERROR(INDEX('Halo Reach Stats'!$1:$46,MATCH($B17,'Halo Reach Stats'!$A:$A,0),23),"")</f>
        <v>0</v>
      </c>
      <c r="Y17" s="16">
        <f t="array" ref="Y17">IFERROR(INDEX('Halo Reach Stats'!$1:$46,MATCH($B17,'Halo Reach Stats'!$A:$A,0),24),"")</f>
        <v>107</v>
      </c>
      <c r="Z17" s="16">
        <f t="array" ref="Z17">IFERROR(INDEX('Halo Reach Stats'!$1:$46,MATCH($B17,'Halo Reach Stats'!$A:$A,0),25),"")</f>
        <v>13</v>
      </c>
      <c r="AA17" s="16">
        <f t="array" ref="AA17">IFERROR(INDEX('Halo Reach Stats'!$1:$46,MATCH($B17,'Halo Reach Stats'!$A:$A,0),26),"")</f>
        <v>1</v>
      </c>
      <c r="AB17" s="16">
        <f t="array" ref="AB17">IFERROR(INDEX('Halo Reach Stats'!$1:$46,MATCH($B17,'Halo Reach Stats'!$A:$A,0),27),"")</f>
        <v>0</v>
      </c>
      <c r="AC17" s="16">
        <f t="array" ref="AC17">IFERROR(INDEX('Halo Reach Stats'!$1:$46,MATCH($B17,'Halo Reach Stats'!$A:$A,0),28),"")</f>
        <v>0</v>
      </c>
      <c r="AD17" s="16">
        <f t="array" ref="AD17">IFERROR(INDEX('Halo Reach Stats'!$1:$46,MATCH($B17,'Halo Reach Stats'!$A:$A,0),29),"")</f>
        <v>0</v>
      </c>
      <c r="AE17" s="16">
        <f t="array" ref="AE17">IFERROR(INDEX('Halo Reach Stats'!$1:$46,MATCH($B17,'Halo Reach Stats'!$A:$A,0),30),"")</f>
        <v>0</v>
      </c>
      <c r="AF17" s="16">
        <f t="array" ref="AF17">IFERROR(INDEX('Halo Reach Stats'!$1:$46,MATCH($B17,'Halo Reach Stats'!$A:$A,0),31),"")</f>
        <v>0</v>
      </c>
      <c r="AG17" s="16">
        <f t="array" ref="AG17">IFERROR(INDEX('Halo Reach Stats'!$1:$46,MATCH($B17,'Halo Reach Stats'!$A:$A,0),32),"")</f>
        <v>0</v>
      </c>
      <c r="AH17" s="16">
        <f t="array" ref="AH17">IFERROR(INDEX('Halo Reach Stats'!$1:$46,MATCH($B17,'Halo Reach Stats'!$A:$A,0),33),"")</f>
        <v>0</v>
      </c>
      <c r="AI17" s="16">
        <f t="array" ref="AI17">IFERROR(INDEX('Halo Reach Stats'!$1:$46,MATCH($B17,'Halo Reach Stats'!$A:$A,0),34),"")</f>
        <v>43</v>
      </c>
      <c r="AJ17" s="16">
        <f t="array" ref="AJ17">IFERROR(INDEX('Halo Reach Stats'!$1:$46,MATCH($B17,'Halo Reach Stats'!$A:$A,0),35),"")</f>
        <v>2</v>
      </c>
      <c r="AK17" s="16">
        <f t="array" ref="AK17">IFERROR(INDEX('Halo Reach Stats'!$1:$46,MATCH($B17,'Halo Reach Stats'!$A:$A,0),36),"")</f>
        <v>105</v>
      </c>
      <c r="AL17" s="16">
        <f t="array" ref="AL17">IFERROR(INDEX('Halo Reach Stats'!$1:$46,MATCH($B17,'Halo Reach Stats'!$A:$A,0),37),"")</f>
        <v>128</v>
      </c>
      <c r="AM17" s="16">
        <f t="array" ref="AM17">IFERROR(INDEX('Halo Reach Stats'!$1:$46,MATCH($B17,'Halo Reach Stats'!$A:$A,0),38),"")</f>
        <v>8</v>
      </c>
    </row>
    <row r="18">
      <c r="A18" s="531" t="str">
        <f t="array" ref="A18">IFERROR(INDEX(TeamInfo!$1:$45,MATCH(A17,TeamInfo!A:A,0),2),"")</f>
        <v>TV Boys</v>
      </c>
      <c r="B18" s="1" t="str">
        <f t="array" ref="B18">IFERROR(INDEX(TeamInfo!$C2:$C$45,MATCH($A$17,TeamInfo!A:A,0),0),"")</f>
        <v>Cell x2</v>
      </c>
      <c r="C18" s="14" t="str">
        <f t="array" ref="C18">IFERROR(INDEX('Player Efficiency'!$1:$45,MATCH(B18,'Player Efficiency'!A:A,0),2),"")</f>
        <v/>
      </c>
      <c r="D18" s="512" t="str">
        <f t="array" ref="D18">IFERROR(INDEX('PlayerGrades+'!$1:$47,MATCH(B18,'PlayerGrades+'!L:L,0),22),"")</f>
        <v>A-</v>
      </c>
      <c r="E18" s="512">
        <f t="array" ref="E18">IFERROR(INDEX('PlayerGrades+'!$1:$47,MATCH(B18,'PlayerGrades+'!L:L,0),23),"")</f>
        <v>24.8</v>
      </c>
      <c r="F18" s="16" t="str">
        <f t="array" ref="F18">IFERROR(INDEX(TeamInfo!$D2:$D$45,MATCH($A$17,TeamInfo!A:A,0),0),"")</f>
        <v>West</v>
      </c>
      <c r="G18" s="16">
        <f t="array" ref="G18">IFERROR(INDEX('Halo Reach Stats'!$1:$46,MATCH($B18,'Halo Reach Stats'!$A:$A,0),5),"")</f>
        <v>14</v>
      </c>
      <c r="H18" s="16">
        <f t="array" ref="H18">IFERROR(INDEX('Halo Reach Stats'!$1:$46,MATCH($B18,'Halo Reach Stats'!$A:$A,0),6),"")</f>
        <v>23</v>
      </c>
      <c r="I18" s="16">
        <f t="array" ref="I18">IFERROR(INDEX('Halo Reach Stats'!$1:$46,MATCH($B18,'Halo Reach Stats'!$A:$A,0),7),"")</f>
        <v>962</v>
      </c>
      <c r="J18" s="16">
        <f t="array" ref="J18">IFERROR(INDEX('Halo Reach Stats'!$1:$46,MATCH($B18,'Halo Reach Stats'!$A:$A,0),8),"")</f>
        <v>1031</v>
      </c>
      <c r="K18" s="16">
        <f t="array" ref="K18">IFERROR(INDEX('Halo Reach Stats'!$1:$46,MATCH($B18,'Halo Reach Stats'!$A:$A,0),9),"")</f>
        <v>-69</v>
      </c>
      <c r="L18" s="514">
        <f t="shared" si="12"/>
        <v>0.9330746848</v>
      </c>
      <c r="M18" s="16">
        <f t="array" ref="M18">IFERROR(INDEX('Halo Reach Stats'!$1:$46,MATCH($B18,'Halo Reach Stats'!$A:$A,0),10),"")</f>
        <v>62</v>
      </c>
      <c r="N18" s="16">
        <f t="array" ref="N18">IFERROR(INDEX('Halo Reach Stats'!$1:$46,MATCH($B18,'Halo Reach Stats'!$A:$A,0),11),"")</f>
        <v>7</v>
      </c>
      <c r="O18" s="16">
        <f t="array" ref="O18">IFERROR(INDEX('Halo Reach Stats'!$1:$46,MATCH($B18,'Halo Reach Stats'!$A:$A,0),12),"")</f>
        <v>16</v>
      </c>
      <c r="P18" s="16">
        <f t="array" ref="P18">IFERROR(INDEX('Halo Reach Stats'!$1:$46,MATCH($B18,'Halo Reach Stats'!$A:$A,0),14),"")</f>
        <v>17877</v>
      </c>
      <c r="Q18" s="16">
        <f t="array" ref="Q18">IFERROR(INDEX('Halo Reach Stats'!$1:$46,MATCH($B18,'Halo Reach Stats'!$A:$A,0),16),"")</f>
        <v>1593</v>
      </c>
      <c r="R18" s="16">
        <f t="array" ref="R18">IFERROR(INDEX('Halo Reach Stats'!$1:$46,MATCH($B18,'Halo Reach Stats'!$A:$A,0),15),"")</f>
        <v>13</v>
      </c>
      <c r="S18" s="16">
        <f t="array" ref="S18">IFERROR(INDEX('Halo Reach Stats'!$1:$46,MATCH($B18,'Halo Reach Stats'!$A:$A,0),18),"")</f>
        <v>9</v>
      </c>
      <c r="T18" s="16">
        <f t="array" ref="T18">IFERROR(INDEX('Halo Reach Stats'!$1:$46,MATCH($B18,'Halo Reach Stats'!$A:$A,0),19),"")</f>
        <v>0</v>
      </c>
      <c r="U18" s="16">
        <f t="array" ref="U18">IFERROR(INDEX('Halo Reach Stats'!$1:$46,MATCH($B18,'Halo Reach Stats'!$A:$A,0),20),"")</f>
        <v>0</v>
      </c>
      <c r="V18" s="16">
        <f t="array" ref="V18">IFERROR(INDEX('Halo Reach Stats'!$1:$46,MATCH($B18,'Halo Reach Stats'!$A:$A,0),21),"")</f>
        <v>0</v>
      </c>
      <c r="W18" s="16">
        <f t="array" ref="W18">IFERROR(INDEX('Halo Reach Stats'!$1:$46,MATCH($B18,'Halo Reach Stats'!$A:$A,0),22),"")</f>
        <v>6</v>
      </c>
      <c r="X18" s="16">
        <f t="array" ref="X18">IFERROR(INDEX('Halo Reach Stats'!$1:$46,MATCH($B18,'Halo Reach Stats'!$A:$A,0),23),"")</f>
        <v>0</v>
      </c>
      <c r="Y18" s="16">
        <f t="array" ref="Y18">IFERROR(INDEX('Halo Reach Stats'!$1:$46,MATCH($B18,'Halo Reach Stats'!$A:$A,0),24),"")</f>
        <v>132</v>
      </c>
      <c r="Z18" s="16">
        <f t="array" ref="Z18">IFERROR(INDEX('Halo Reach Stats'!$1:$46,MATCH($B18,'Halo Reach Stats'!$A:$A,0),25),"")</f>
        <v>26</v>
      </c>
      <c r="AA18" s="16">
        <f t="array" ref="AA18">IFERROR(INDEX('Halo Reach Stats'!$1:$46,MATCH($B18,'Halo Reach Stats'!$A:$A,0),26),"")</f>
        <v>5</v>
      </c>
      <c r="AB18" s="16">
        <f t="array" ref="AB18">IFERROR(INDEX('Halo Reach Stats'!$1:$46,MATCH($B18,'Halo Reach Stats'!$A:$A,0),27),"")</f>
        <v>0</v>
      </c>
      <c r="AC18" s="16">
        <f t="array" ref="AC18">IFERROR(INDEX('Halo Reach Stats'!$1:$46,MATCH($B18,'Halo Reach Stats'!$A:$A,0),28),"")</f>
        <v>0</v>
      </c>
      <c r="AD18" s="16">
        <f t="array" ref="AD18">IFERROR(INDEX('Halo Reach Stats'!$1:$46,MATCH($B18,'Halo Reach Stats'!$A:$A,0),29),"")</f>
        <v>0</v>
      </c>
      <c r="AE18" s="16">
        <f t="array" ref="AE18">IFERROR(INDEX('Halo Reach Stats'!$1:$46,MATCH($B18,'Halo Reach Stats'!$A:$A,0),30),"")</f>
        <v>0</v>
      </c>
      <c r="AF18" s="16">
        <f t="array" ref="AF18">IFERROR(INDEX('Halo Reach Stats'!$1:$46,MATCH($B18,'Halo Reach Stats'!$A:$A,0),31),"")</f>
        <v>0</v>
      </c>
      <c r="AG18" s="16">
        <f t="array" ref="AG18">IFERROR(INDEX('Halo Reach Stats'!$1:$46,MATCH($B18,'Halo Reach Stats'!$A:$A,0),32),"")</f>
        <v>0</v>
      </c>
      <c r="AH18" s="16">
        <f t="array" ref="AH18">IFERROR(INDEX('Halo Reach Stats'!$1:$46,MATCH($B18,'Halo Reach Stats'!$A:$A,0),33),"")</f>
        <v>0</v>
      </c>
      <c r="AI18" s="16">
        <f t="array" ref="AI18">IFERROR(INDEX('Halo Reach Stats'!$1:$46,MATCH($B18,'Halo Reach Stats'!$A:$A,0),34),"")</f>
        <v>37</v>
      </c>
      <c r="AJ18" s="16">
        <f t="array" ref="AJ18">IFERROR(INDEX('Halo Reach Stats'!$1:$46,MATCH($B18,'Halo Reach Stats'!$A:$A,0),35),"")</f>
        <v>0</v>
      </c>
      <c r="AK18" s="16">
        <f t="array" ref="AK18">IFERROR(INDEX('Halo Reach Stats'!$1:$46,MATCH($B18,'Halo Reach Stats'!$A:$A,0),36),"")</f>
        <v>120</v>
      </c>
      <c r="AL18" s="16">
        <f t="array" ref="AL18">IFERROR(INDEX('Halo Reach Stats'!$1:$46,MATCH($B18,'Halo Reach Stats'!$A:$A,0),37),"")</f>
        <v>108</v>
      </c>
      <c r="AM18" s="16">
        <f t="array" ref="AM18">IFERROR(INDEX('Halo Reach Stats'!$1:$46,MATCH($B18,'Halo Reach Stats'!$A:$A,0),38),"")</f>
        <v>13</v>
      </c>
    </row>
    <row r="19">
      <c r="A19" s="517" t="str">
        <f>VLOOKUP(A17,TeamInfo!$1:$49,6,0)</f>
        <v>6-10</v>
      </c>
      <c r="B19" s="1" t="str">
        <f t="array" ref="B19">IFERROR(INDEX(TeamInfo!$C3:$C$45,MATCH($A$17,TeamInfo!A:A,0),0),"")</f>
        <v>MealyKitten0</v>
      </c>
      <c r="C19" s="14" t="str">
        <f t="array" ref="C19">IFERROR(INDEX('Player Efficiency'!$1:$45,MATCH(B19,'Player Efficiency'!A:A,0),2),"")</f>
        <v/>
      </c>
      <c r="D19" s="512" t="str">
        <f t="array" ref="D19">IFERROR(INDEX('PlayerGrades+'!$1:$47,MATCH(B19,'PlayerGrades+'!L:L,0),22),"")</f>
        <v>C</v>
      </c>
      <c r="E19" s="512">
        <f t="array" ref="E19">IFERROR(INDEX('PlayerGrades+'!$1:$47,MATCH(B19,'PlayerGrades+'!L:L,0),23),"")</f>
        <v>20.5</v>
      </c>
      <c r="F19" s="16" t="str">
        <f t="array" ref="F19">IFERROR(INDEX(TeamInfo!$D3:$D$45,MATCH($A$17,TeamInfo!A:A,0),0),"")</f>
        <v>East</v>
      </c>
      <c r="G19" s="16">
        <f t="array" ref="G19">IFERROR(INDEX('Halo Reach Stats'!$1:$46,MATCH($B19,'Halo Reach Stats'!$A:$A,0),5),"")</f>
        <v>5</v>
      </c>
      <c r="H19" s="16">
        <f t="array" ref="H19">IFERROR(INDEX('Halo Reach Stats'!$1:$46,MATCH($B19,'Halo Reach Stats'!$A:$A,0),6),"")</f>
        <v>6</v>
      </c>
      <c r="I19" s="16">
        <f t="array" ref="I19">IFERROR(INDEX('Halo Reach Stats'!$1:$46,MATCH($B19,'Halo Reach Stats'!$A:$A,0),7),"")</f>
        <v>1132</v>
      </c>
      <c r="J19" s="16">
        <f t="array" ref="J19">IFERROR(INDEX('Halo Reach Stats'!$1:$46,MATCH($B19,'Halo Reach Stats'!$A:$A,0),8),"")</f>
        <v>1262</v>
      </c>
      <c r="K19" s="16">
        <f t="array" ref="K19">IFERROR(INDEX('Halo Reach Stats'!$1:$46,MATCH($B19,'Halo Reach Stats'!$A:$A,0),9),"")</f>
        <v>-130</v>
      </c>
      <c r="L19" s="514">
        <f t="shared" si="12"/>
        <v>0.8969889065</v>
      </c>
      <c r="M19" s="16">
        <f t="array" ref="M19">IFERROR(INDEX('Halo Reach Stats'!$1:$46,MATCH($B19,'Halo Reach Stats'!$A:$A,0),10),"")</f>
        <v>77</v>
      </c>
      <c r="N19" s="16">
        <f t="array" ref="N19">IFERROR(INDEX('Halo Reach Stats'!$1:$46,MATCH($B19,'Halo Reach Stats'!$A:$A,0),11),"")</f>
        <v>6</v>
      </c>
      <c r="O19" s="16">
        <f t="array" ref="O19">IFERROR(INDEX('Halo Reach Stats'!$1:$46,MATCH($B19,'Halo Reach Stats'!$A:$A,0),12),"")</f>
        <v>49</v>
      </c>
      <c r="P19" s="16">
        <f t="array" ref="P19">IFERROR(INDEX('Halo Reach Stats'!$1:$46,MATCH($B19,'Halo Reach Stats'!$A:$A,0),14),"")</f>
        <v>19374</v>
      </c>
      <c r="Q19" s="16">
        <f t="array" ref="Q19">IFERROR(INDEX('Halo Reach Stats'!$1:$46,MATCH($B19,'Halo Reach Stats'!$A:$A,0),16),"")</f>
        <v>358</v>
      </c>
      <c r="R19" s="16">
        <f t="array" ref="R19">IFERROR(INDEX('Halo Reach Stats'!$1:$46,MATCH($B19,'Halo Reach Stats'!$A:$A,0),15),"")</f>
        <v>11</v>
      </c>
      <c r="S19" s="16">
        <f t="array" ref="S19">IFERROR(INDEX('Halo Reach Stats'!$1:$46,MATCH($B19,'Halo Reach Stats'!$A:$A,0),18),"")</f>
        <v>4</v>
      </c>
      <c r="T19" s="16">
        <f t="array" ref="T19">IFERROR(INDEX('Halo Reach Stats'!$1:$46,MATCH($B19,'Halo Reach Stats'!$A:$A,0),19),"")</f>
        <v>0</v>
      </c>
      <c r="U19" s="16">
        <f t="array" ref="U19">IFERROR(INDEX('Halo Reach Stats'!$1:$46,MATCH($B19,'Halo Reach Stats'!$A:$A,0),20),"")</f>
        <v>0</v>
      </c>
      <c r="V19" s="16">
        <f t="array" ref="V19">IFERROR(INDEX('Halo Reach Stats'!$1:$46,MATCH($B19,'Halo Reach Stats'!$A:$A,0),21),"")</f>
        <v>0</v>
      </c>
      <c r="W19" s="16">
        <f t="array" ref="W19">IFERROR(INDEX('Halo Reach Stats'!$1:$46,MATCH($B19,'Halo Reach Stats'!$A:$A,0),22),"")</f>
        <v>3</v>
      </c>
      <c r="X19" s="16">
        <f t="array" ref="X19">IFERROR(INDEX('Halo Reach Stats'!$1:$46,MATCH($B19,'Halo Reach Stats'!$A:$A,0),23),"")</f>
        <v>0</v>
      </c>
      <c r="Y19" s="16">
        <f t="array" ref="Y19">IFERROR(INDEX('Halo Reach Stats'!$1:$46,MATCH($B19,'Halo Reach Stats'!$A:$A,0),24),"")</f>
        <v>152</v>
      </c>
      <c r="Z19" s="16">
        <f t="array" ref="Z19">IFERROR(INDEX('Halo Reach Stats'!$1:$46,MATCH($B19,'Halo Reach Stats'!$A:$A,0),25),"")</f>
        <v>26</v>
      </c>
      <c r="AA19" s="16">
        <f t="array" ref="AA19">IFERROR(INDEX('Halo Reach Stats'!$1:$46,MATCH($B19,'Halo Reach Stats'!$A:$A,0),26),"")</f>
        <v>4</v>
      </c>
      <c r="AB19" s="16">
        <f t="array" ref="AB19">IFERROR(INDEX('Halo Reach Stats'!$1:$46,MATCH($B19,'Halo Reach Stats'!$A:$A,0),27),"")</f>
        <v>1</v>
      </c>
      <c r="AC19" s="16">
        <f t="array" ref="AC19">IFERROR(INDEX('Halo Reach Stats'!$1:$46,MATCH($B19,'Halo Reach Stats'!$A:$A,0),28),"")</f>
        <v>0</v>
      </c>
      <c r="AD19" s="16">
        <f t="array" ref="AD19">IFERROR(INDEX('Halo Reach Stats'!$1:$46,MATCH($B19,'Halo Reach Stats'!$A:$A,0),29),"")</f>
        <v>0</v>
      </c>
      <c r="AE19" s="16">
        <f t="array" ref="AE19">IFERROR(INDEX('Halo Reach Stats'!$1:$46,MATCH($B19,'Halo Reach Stats'!$A:$A,0),30),"")</f>
        <v>0</v>
      </c>
      <c r="AF19" s="16">
        <f t="array" ref="AF19">IFERROR(INDEX('Halo Reach Stats'!$1:$46,MATCH($B19,'Halo Reach Stats'!$A:$A,0),31),"")</f>
        <v>0</v>
      </c>
      <c r="AG19" s="16">
        <f t="array" ref="AG19">IFERROR(INDEX('Halo Reach Stats'!$1:$46,MATCH($B19,'Halo Reach Stats'!$A:$A,0),32),"")</f>
        <v>0</v>
      </c>
      <c r="AH19" s="16">
        <f t="array" ref="AH19">IFERROR(INDEX('Halo Reach Stats'!$1:$46,MATCH($B19,'Halo Reach Stats'!$A:$A,0),33),"")</f>
        <v>0</v>
      </c>
      <c r="AI19" s="16">
        <f t="array" ref="AI19">IFERROR(INDEX('Halo Reach Stats'!$1:$46,MATCH($B19,'Halo Reach Stats'!$A:$A,0),34),"")</f>
        <v>29</v>
      </c>
      <c r="AJ19" s="16">
        <f t="array" ref="AJ19">IFERROR(INDEX('Halo Reach Stats'!$1:$46,MATCH($B19,'Halo Reach Stats'!$A:$A,0),35),"")</f>
        <v>0</v>
      </c>
      <c r="AK19" s="16">
        <f t="array" ref="AK19">IFERROR(INDEX('Halo Reach Stats'!$1:$46,MATCH($B19,'Halo Reach Stats'!$A:$A,0),36),"")</f>
        <v>101</v>
      </c>
      <c r="AL19" s="16">
        <f t="array" ref="AL19">IFERROR(INDEX('Halo Reach Stats'!$1:$46,MATCH($B19,'Halo Reach Stats'!$A:$A,0),37),"")</f>
        <v>154</v>
      </c>
      <c r="AM19" s="16">
        <f t="array" ref="AM19">IFERROR(INDEX('Halo Reach Stats'!$1:$46,MATCH($B19,'Halo Reach Stats'!$A:$A,0),38),"")</f>
        <v>17</v>
      </c>
    </row>
    <row r="20">
      <c r="A20" s="518" t="str">
        <f>IF(((E17+E18+E19+E20)/4)&lt;='PlayerGrades+'!$Y$44,"F-",IF(((E17+E18+E19+E20)/4)&lt;'PlayerGrades+'!$Y$43,"F",IF(((E17+E18+E19+E20)/4)&lt;'PlayerGrades+'!$Y$42,"F+",IF(((E17+E18+E19+E20)/4)&lt;'PlayerGrades+'!$Y$41,"E-",IF(((E17+E18+E19+E20)/4)&lt;'PlayerGrades+'!$Y$40,"E",IF(((E17+E18+E19+E20)/4)&lt;'PlayerGrades+'!$Y$39,"E+",IF(((E17+E18+E19+E20)/4)&lt;'PlayerGrades+'!$Y$38,"D-",IF(((E17+E18+E19+E20)/4)&lt;'PlayerGrades+'!$Y$37,"D",IF(((E17+E18+E19+E20)/4)&lt;'PlayerGrades+'!$Y$36,"D+",IF(((E17+E18+E19+E20)/4)&lt;'PlayerGrades+'!$Y$35,"C-",IF(((E17+E18+E19+E20)/4)&lt;'PlayerGrades+'!$Y$34,"C",IF(((E17+E18+E19+E20)/4)&lt;'PlayerGrades+'!$Y$33,"C+",IF(((E17+E18+E19+E20)/4)&lt;'PlayerGrades+'!$Y$32,"B-",IF(((E17+E18+E19+E20)/4)&lt;'PlayerGrades+'!$Y$31,"B",IF(((E17+E18+E19+E20)/4)&lt;'PlayerGrades+'!$Y$30,"B+",IF(((E17+E18+E19+E20)/4)&lt;'PlayerGrades+'!$Y$29,"A-",IF(((E17+E18+E19+E20)/4)&lt;'PlayerGrades+'!$Y$28,"A",IF(((E17+E18+E19+E20)/4)&lt;'PlayerGrades+'!$Y$27,"A+",IF(((E17+E18+E19+E20)/4)&lt;'PlayerGrades+'!$Y$26,"S-",IF(((E17+E18+E19+E20)/4)&lt;'PlayerGrades+'!$Y$25,"S","S+"))))))))))))))))))))</f>
        <v>C-</v>
      </c>
      <c r="B20" s="1" t="str">
        <f t="array" ref="B20">IFERROR(INDEX(TeamInfo!$C4:$C$45,MATCH($A$17,TeamInfo!A:A,0),0),"")</f>
        <v>Luner Panda</v>
      </c>
      <c r="C20" s="14" t="str">
        <f t="array" ref="C20">IFERROR(INDEX('Player Efficiency'!$1:$45,MATCH(B20,'Player Efficiency'!A:A,0),2),"")</f>
        <v/>
      </c>
      <c r="D20" s="512" t="str">
        <f t="array" ref="D20">IFERROR(INDEX('PlayerGrades+'!$1:$47,MATCH(B20,'PlayerGrades+'!L:L,0),22),"")</f>
        <v>E-</v>
      </c>
      <c r="E20" s="512">
        <f t="array" ref="E20">IFERROR(INDEX('PlayerGrades+'!$1:$47,MATCH(B20,'PlayerGrades+'!L:L,0),23),"")</f>
        <v>10.95</v>
      </c>
      <c r="F20" s="16" t="str">
        <f t="array" ref="F20">IFERROR(INDEX(TeamInfo!$D4:$D$45,MATCH($A$17,TeamInfo!A:A,0),0),"")</f>
        <v>Canada</v>
      </c>
      <c r="G20" s="16">
        <f t="array" ref="G20">IFERROR(INDEX('Halo Reach Stats'!$1:$46,MATCH($B20,'Halo Reach Stats'!$A:$A,0),5),"")</f>
        <v>10</v>
      </c>
      <c r="H20" s="16">
        <f t="array" ref="H20">IFERROR(INDEX('Halo Reach Stats'!$1:$46,MATCH($B20,'Halo Reach Stats'!$A:$A,0),6),"")</f>
        <v>56</v>
      </c>
      <c r="I20" s="16">
        <f t="array" ref="I20">IFERROR(INDEX('Halo Reach Stats'!$1:$46,MATCH($B20,'Halo Reach Stats'!$A:$A,0),7),"")</f>
        <v>869</v>
      </c>
      <c r="J20" s="16">
        <f t="array" ref="J20">IFERROR(INDEX('Halo Reach Stats'!$1:$46,MATCH($B20,'Halo Reach Stats'!$A:$A,0),8),"")</f>
        <v>1168</v>
      </c>
      <c r="K20" s="16">
        <f t="array" ref="K20">IFERROR(INDEX('Halo Reach Stats'!$1:$46,MATCH($B20,'Halo Reach Stats'!$A:$A,0),9),"")</f>
        <v>-299</v>
      </c>
      <c r="L20" s="514">
        <f t="shared" si="12"/>
        <v>0.7440068493</v>
      </c>
      <c r="M20" s="16">
        <f t="array" ref="M20">IFERROR(INDEX('Halo Reach Stats'!$1:$46,MATCH($B20,'Halo Reach Stats'!$A:$A,0),10),"")</f>
        <v>36</v>
      </c>
      <c r="N20" s="16">
        <f t="array" ref="N20">IFERROR(INDEX('Halo Reach Stats'!$1:$46,MATCH($B20,'Halo Reach Stats'!$A:$A,0),11),"")</f>
        <v>9</v>
      </c>
      <c r="O20" s="16">
        <f t="array" ref="O20">IFERROR(INDEX('Halo Reach Stats'!$1:$46,MATCH($B20,'Halo Reach Stats'!$A:$A,0),12),"")</f>
        <v>10</v>
      </c>
      <c r="P20" s="16">
        <f t="array" ref="P20">IFERROR(INDEX('Halo Reach Stats'!$1:$46,MATCH($B20,'Halo Reach Stats'!$A:$A,0),14),"")</f>
        <v>19374</v>
      </c>
      <c r="Q20" s="16">
        <f t="array" ref="Q20">IFERROR(INDEX('Halo Reach Stats'!$1:$46,MATCH($B20,'Halo Reach Stats'!$A:$A,0),16),"")</f>
        <v>2317</v>
      </c>
      <c r="R20" s="16">
        <f t="array" ref="R20">IFERROR(INDEX('Halo Reach Stats'!$1:$46,MATCH($B20,'Halo Reach Stats'!$A:$A,0),15),"")</f>
        <v>12</v>
      </c>
      <c r="S20" s="16">
        <f t="array" ref="S20">IFERROR(INDEX('Halo Reach Stats'!$1:$46,MATCH($B20,'Halo Reach Stats'!$A:$A,0),18),"")</f>
        <v>7</v>
      </c>
      <c r="T20" s="16">
        <f t="array" ref="T20">IFERROR(INDEX('Halo Reach Stats'!$1:$46,MATCH($B20,'Halo Reach Stats'!$A:$A,0),19),"")</f>
        <v>0</v>
      </c>
      <c r="U20" s="16">
        <f t="array" ref="U20">IFERROR(INDEX('Halo Reach Stats'!$1:$46,MATCH($B20,'Halo Reach Stats'!$A:$A,0),20),"")</f>
        <v>0</v>
      </c>
      <c r="V20" s="16">
        <f t="array" ref="V20">IFERROR(INDEX('Halo Reach Stats'!$1:$46,MATCH($B20,'Halo Reach Stats'!$A:$A,0),21),"")</f>
        <v>0</v>
      </c>
      <c r="W20" s="16">
        <f t="array" ref="W20">IFERROR(INDEX('Halo Reach Stats'!$1:$46,MATCH($B20,'Halo Reach Stats'!$A:$A,0),22),"")</f>
        <v>5</v>
      </c>
      <c r="X20" s="16">
        <f t="array" ref="X20">IFERROR(INDEX('Halo Reach Stats'!$1:$46,MATCH($B20,'Halo Reach Stats'!$A:$A,0),23),"")</f>
        <v>0</v>
      </c>
      <c r="Y20" s="16">
        <f t="array" ref="Y20">IFERROR(INDEX('Halo Reach Stats'!$1:$46,MATCH($B20,'Halo Reach Stats'!$A:$A,0),24),"")</f>
        <v>91</v>
      </c>
      <c r="Z20" s="16">
        <f t="array" ref="Z20">IFERROR(INDEX('Halo Reach Stats'!$1:$46,MATCH($B20,'Halo Reach Stats'!$A:$A,0),25),"")</f>
        <v>11</v>
      </c>
      <c r="AA20" s="16">
        <f t="array" ref="AA20">IFERROR(INDEX('Halo Reach Stats'!$1:$46,MATCH($B20,'Halo Reach Stats'!$A:$A,0),26),"")</f>
        <v>2</v>
      </c>
      <c r="AB20" s="16">
        <f t="array" ref="AB20">IFERROR(INDEX('Halo Reach Stats'!$1:$46,MATCH($B20,'Halo Reach Stats'!$A:$A,0),27),"")</f>
        <v>2</v>
      </c>
      <c r="AC20" s="16">
        <f t="array" ref="AC20">IFERROR(INDEX('Halo Reach Stats'!$1:$46,MATCH($B20,'Halo Reach Stats'!$A:$A,0),28),"")</f>
        <v>1</v>
      </c>
      <c r="AD20" s="16">
        <f t="array" ref="AD20">IFERROR(INDEX('Halo Reach Stats'!$1:$46,MATCH($B20,'Halo Reach Stats'!$A:$A,0),29),"")</f>
        <v>0</v>
      </c>
      <c r="AE20" s="16">
        <f t="array" ref="AE20">IFERROR(INDEX('Halo Reach Stats'!$1:$46,MATCH($B20,'Halo Reach Stats'!$A:$A,0),30),"")</f>
        <v>0</v>
      </c>
      <c r="AF20" s="16">
        <f t="array" ref="AF20">IFERROR(INDEX('Halo Reach Stats'!$1:$46,MATCH($B20,'Halo Reach Stats'!$A:$A,0),31),"")</f>
        <v>0</v>
      </c>
      <c r="AG20" s="16">
        <f t="array" ref="AG20">IFERROR(INDEX('Halo Reach Stats'!$1:$46,MATCH($B20,'Halo Reach Stats'!$A:$A,0),32),"")</f>
        <v>0</v>
      </c>
      <c r="AH20" s="16">
        <f t="array" ref="AH20">IFERROR(INDEX('Halo Reach Stats'!$1:$46,MATCH($B20,'Halo Reach Stats'!$A:$A,0),33),"")</f>
        <v>0</v>
      </c>
      <c r="AI20" s="16">
        <f t="array" ref="AI20">IFERROR(INDEX('Halo Reach Stats'!$1:$46,MATCH($B20,'Halo Reach Stats'!$A:$A,0),34),"")</f>
        <v>25</v>
      </c>
      <c r="AJ20" s="16">
        <f t="array" ref="AJ20">IFERROR(INDEX('Halo Reach Stats'!$1:$46,MATCH($B20,'Halo Reach Stats'!$A:$A,0),35),"")</f>
        <v>0</v>
      </c>
      <c r="AK20" s="16">
        <f t="array" ref="AK20">IFERROR(INDEX('Halo Reach Stats'!$1:$46,MATCH($B20,'Halo Reach Stats'!$A:$A,0),36),"")</f>
        <v>93</v>
      </c>
      <c r="AL20" s="16">
        <f t="array" ref="AL20">IFERROR(INDEX('Halo Reach Stats'!$1:$46,MATCH($B20,'Halo Reach Stats'!$A:$A,0),37),"")</f>
        <v>102</v>
      </c>
      <c r="AM20" s="16">
        <f t="array" ref="AM20">IFERROR(INDEX('Halo Reach Stats'!$1:$46,MATCH($B20,'Halo Reach Stats'!$A:$A,0),38),"")</f>
        <v>6</v>
      </c>
    </row>
    <row r="21">
      <c r="A21" s="532"/>
      <c r="B21" s="520" t="s">
        <v>354</v>
      </c>
      <c r="C21" s="533">
        <f>SUM(C17:C20)/4</f>
        <v>0</v>
      </c>
      <c r="D21" s="528"/>
      <c r="E21" s="529">
        <f>SUM(E17:E20)/4</f>
        <v>18.4</v>
      </c>
      <c r="F21" s="524" t="s">
        <v>355</v>
      </c>
      <c r="G21" s="525">
        <f t="shared" ref="G21:K21" si="13">SUM(G17:G20)</f>
        <v>38</v>
      </c>
      <c r="H21" s="525">
        <f t="shared" si="13"/>
        <v>127</v>
      </c>
      <c r="I21" s="525">
        <f t="shared" si="13"/>
        <v>3849</v>
      </c>
      <c r="J21" s="525">
        <f t="shared" si="13"/>
        <v>4475</v>
      </c>
      <c r="K21" s="525">
        <f t="shared" si="13"/>
        <v>-626</v>
      </c>
      <c r="L21" s="526">
        <f>SUM(L17:L20)/4</f>
        <v>0.8619594247</v>
      </c>
      <c r="M21" s="525">
        <f t="shared" ref="M21:Q21" si="14">SUM(M17:M20)</f>
        <v>243</v>
      </c>
      <c r="N21" s="525">
        <f t="shared" si="14"/>
        <v>30</v>
      </c>
      <c r="O21" s="525">
        <f t="shared" si="14"/>
        <v>107</v>
      </c>
      <c r="P21" s="525">
        <f t="shared" si="14"/>
        <v>75999</v>
      </c>
      <c r="Q21" s="525">
        <f t="shared" si="14"/>
        <v>6279</v>
      </c>
      <c r="R21" s="525">
        <f>SUM(R17:R20)/4</f>
        <v>12.5</v>
      </c>
      <c r="S21" s="525">
        <f t="shared" ref="S21:AM21" si="15">SUM(S17:S20)</f>
        <v>28</v>
      </c>
      <c r="T21" s="525">
        <f t="shared" si="15"/>
        <v>0</v>
      </c>
      <c r="U21" s="525">
        <f t="shared" si="15"/>
        <v>0</v>
      </c>
      <c r="V21" s="525">
        <f t="shared" si="15"/>
        <v>0</v>
      </c>
      <c r="W21" s="525">
        <f t="shared" si="15"/>
        <v>19</v>
      </c>
      <c r="X21" s="525">
        <f t="shared" si="15"/>
        <v>0</v>
      </c>
      <c r="Y21" s="525">
        <f t="shared" si="15"/>
        <v>482</v>
      </c>
      <c r="Z21" s="525">
        <f t="shared" si="15"/>
        <v>76</v>
      </c>
      <c r="AA21" s="525">
        <f t="shared" si="15"/>
        <v>12</v>
      </c>
      <c r="AB21" s="525">
        <f t="shared" si="15"/>
        <v>3</v>
      </c>
      <c r="AC21" s="525">
        <f t="shared" si="15"/>
        <v>1</v>
      </c>
      <c r="AD21" s="525">
        <f t="shared" si="15"/>
        <v>0</v>
      </c>
      <c r="AE21" s="525">
        <f t="shared" si="15"/>
        <v>0</v>
      </c>
      <c r="AF21" s="525">
        <f t="shared" si="15"/>
        <v>0</v>
      </c>
      <c r="AG21" s="525">
        <f t="shared" si="15"/>
        <v>0</v>
      </c>
      <c r="AH21" s="525">
        <f t="shared" si="15"/>
        <v>0</v>
      </c>
      <c r="AI21" s="525">
        <f t="shared" si="15"/>
        <v>134</v>
      </c>
      <c r="AJ21" s="525">
        <f t="shared" si="15"/>
        <v>2</v>
      </c>
      <c r="AK21" s="525">
        <f t="shared" si="15"/>
        <v>419</v>
      </c>
      <c r="AL21" s="525">
        <f t="shared" si="15"/>
        <v>492</v>
      </c>
      <c r="AM21" s="525">
        <f t="shared" si="15"/>
        <v>44</v>
      </c>
    </row>
    <row r="22">
      <c r="A22" s="534" t="s">
        <v>359</v>
      </c>
      <c r="B22" s="530" t="str">
        <f t="array" ref="B22">IFERROR(INDEX(TeamInfo!$C1:$C$45,MATCH($A$22,TeamInfo!A:A,0),0),"")</f>
        <v>Dhlyn</v>
      </c>
      <c r="C22" s="14" t="str">
        <f t="array" ref="C22">IFERROR(INDEX('Player Efficiency'!$1:$45,MATCH(B22,'Player Efficiency'!A:A,0),2),"")</f>
        <v/>
      </c>
      <c r="D22" s="512" t="str">
        <f t="array" ref="D22">IFERROR(INDEX('PlayerGrades+'!$1:$47,MATCH(B22,'PlayerGrades+'!L:L,0),22),"")</f>
        <v>B-</v>
      </c>
      <c r="E22" s="512">
        <f t="array" ref="E22">IFERROR(INDEX('PlayerGrades+'!$1:$47,MATCH(B22,'PlayerGrades+'!L:L,0),23),"")</f>
        <v>22.05</v>
      </c>
      <c r="F22" s="513" t="str">
        <f t="array" ref="F22">IFERROR(INDEX(TeamInfo!$D1:$D$45,MATCH($A$22,TeamInfo!A:A,0),0),"")</f>
        <v>South Central</v>
      </c>
      <c r="G22" s="16">
        <f t="array" ref="G22">IFERROR(INDEX('Halo Reach Stats'!$1:$46,MATCH($B22,'Halo Reach Stats'!$A:$A,0),5),"")</f>
        <v>38</v>
      </c>
      <c r="H22" s="16">
        <f t="array" ref="H22">IFERROR(INDEX('Halo Reach Stats'!$1:$46,MATCH($B22,'Halo Reach Stats'!$A:$A,0),6),"")</f>
        <v>271</v>
      </c>
      <c r="I22" s="16">
        <f t="array" ref="I22">IFERROR(INDEX('Halo Reach Stats'!$1:$46,MATCH($B22,'Halo Reach Stats'!$A:$A,0),7),"")</f>
        <v>1232</v>
      </c>
      <c r="J22" s="16">
        <f t="array" ref="J22">IFERROR(INDEX('Halo Reach Stats'!$1:$46,MATCH($B22,'Halo Reach Stats'!$A:$A,0),8),"")</f>
        <v>1094</v>
      </c>
      <c r="K22" s="16">
        <f t="array" ref="K22">IFERROR(INDEX('Halo Reach Stats'!$1:$46,MATCH($B22,'Halo Reach Stats'!$A:$A,0),9),"")</f>
        <v>138</v>
      </c>
      <c r="L22" s="514">
        <f t="shared" ref="L22:L25" si="16">I22/J22</f>
        <v>1.126142596</v>
      </c>
      <c r="M22" s="16">
        <f t="array" ref="M22">IFERROR(INDEX('Halo Reach Stats'!$1:$46,MATCH($B22,'Halo Reach Stats'!$A:$A,0),10),"")</f>
        <v>58</v>
      </c>
      <c r="N22" s="16">
        <f t="array" ref="N22">IFERROR(INDEX('Halo Reach Stats'!$1:$46,MATCH($B22,'Halo Reach Stats'!$A:$A,0),11),"")</f>
        <v>15</v>
      </c>
      <c r="O22" s="16">
        <f t="array" ref="O22">IFERROR(INDEX('Halo Reach Stats'!$1:$46,MATCH($B22,'Halo Reach Stats'!$A:$A,0),12),"")</f>
        <v>18</v>
      </c>
      <c r="P22" s="16">
        <f t="array" ref="P22">IFERROR(INDEX('Halo Reach Stats'!$1:$46,MATCH($B22,'Halo Reach Stats'!$A:$A,0),14),"")</f>
        <v>27667</v>
      </c>
      <c r="Q22" s="16">
        <f t="array" ref="Q22">IFERROR(INDEX('Halo Reach Stats'!$1:$46,MATCH($B22,'Halo Reach Stats'!$A:$A,0),16),"")</f>
        <v>10537</v>
      </c>
      <c r="R22" s="16">
        <f t="array" ref="R22">IFERROR(INDEX('Halo Reach Stats'!$1:$46,MATCH($B22,'Halo Reach Stats'!$A:$A,0),15),"")</f>
        <v>20</v>
      </c>
      <c r="S22" s="16">
        <f t="array" ref="S22">IFERROR(INDEX('Halo Reach Stats'!$1:$46,MATCH($B22,'Halo Reach Stats'!$A:$A,0),18),"")</f>
        <v>37</v>
      </c>
      <c r="T22" s="16">
        <f t="array" ref="T22">IFERROR(INDEX('Halo Reach Stats'!$1:$46,MATCH($B22,'Halo Reach Stats'!$A:$A,0),19),"")</f>
        <v>5</v>
      </c>
      <c r="U22" s="16">
        <f t="array" ref="U22">IFERROR(INDEX('Halo Reach Stats'!$1:$46,MATCH($B22,'Halo Reach Stats'!$A:$A,0),20),"")</f>
        <v>1</v>
      </c>
      <c r="V22" s="16">
        <f t="array" ref="V22">IFERROR(INDEX('Halo Reach Stats'!$1:$46,MATCH($B22,'Halo Reach Stats'!$A:$A,0),21),"")</f>
        <v>0</v>
      </c>
      <c r="W22" s="16">
        <f t="array" ref="W22">IFERROR(INDEX('Halo Reach Stats'!$1:$46,MATCH($B22,'Halo Reach Stats'!$A:$A,0),22),"")</f>
        <v>8</v>
      </c>
      <c r="X22" s="16">
        <f t="array" ref="X22">IFERROR(INDEX('Halo Reach Stats'!$1:$46,MATCH($B22,'Halo Reach Stats'!$A:$A,0),23),"")</f>
        <v>0</v>
      </c>
      <c r="Y22" s="16">
        <f t="array" ref="Y22">IFERROR(INDEX('Halo Reach Stats'!$1:$46,MATCH($B22,'Halo Reach Stats'!$A:$A,0),24),"")</f>
        <v>175</v>
      </c>
      <c r="Z22" s="16">
        <f t="array" ref="Z22">IFERROR(INDEX('Halo Reach Stats'!$1:$46,MATCH($B22,'Halo Reach Stats'!$A:$A,0),25),"")</f>
        <v>31</v>
      </c>
      <c r="AA22" s="16">
        <f t="array" ref="AA22">IFERROR(INDEX('Halo Reach Stats'!$1:$46,MATCH($B22,'Halo Reach Stats'!$A:$A,0),26),"")</f>
        <v>8</v>
      </c>
      <c r="AB22" s="16">
        <f t="array" ref="AB22">IFERROR(INDEX('Halo Reach Stats'!$1:$46,MATCH($B22,'Halo Reach Stats'!$A:$A,0),27),"")</f>
        <v>3</v>
      </c>
      <c r="AC22" s="16">
        <f t="array" ref="AC22">IFERROR(INDEX('Halo Reach Stats'!$1:$46,MATCH($B22,'Halo Reach Stats'!$A:$A,0),28),"")</f>
        <v>0</v>
      </c>
      <c r="AD22" s="16">
        <f t="array" ref="AD22">IFERROR(INDEX('Halo Reach Stats'!$1:$46,MATCH($B22,'Halo Reach Stats'!$A:$A,0),29),"")</f>
        <v>0</v>
      </c>
      <c r="AE22" s="16">
        <f t="array" ref="AE22">IFERROR(INDEX('Halo Reach Stats'!$1:$46,MATCH($B22,'Halo Reach Stats'!$A:$A,0),30),"")</f>
        <v>0</v>
      </c>
      <c r="AF22" s="16">
        <f t="array" ref="AF22">IFERROR(INDEX('Halo Reach Stats'!$1:$46,MATCH($B22,'Halo Reach Stats'!$A:$A,0),31),"")</f>
        <v>0</v>
      </c>
      <c r="AG22" s="16">
        <f t="array" ref="AG22">IFERROR(INDEX('Halo Reach Stats'!$1:$46,MATCH($B22,'Halo Reach Stats'!$A:$A,0),32),"")</f>
        <v>0</v>
      </c>
      <c r="AH22" s="16">
        <f t="array" ref="AH22">IFERROR(INDEX('Halo Reach Stats'!$1:$46,MATCH($B22,'Halo Reach Stats'!$A:$A,0),33),"")</f>
        <v>0</v>
      </c>
      <c r="AI22" s="16">
        <f t="array" ref="AI22">IFERROR(INDEX('Halo Reach Stats'!$1:$46,MATCH($B22,'Halo Reach Stats'!$A:$A,0),34),"")</f>
        <v>26</v>
      </c>
      <c r="AJ22" s="16">
        <f t="array" ref="AJ22">IFERROR(INDEX('Halo Reach Stats'!$1:$46,MATCH($B22,'Halo Reach Stats'!$A:$A,0),35),"")</f>
        <v>1</v>
      </c>
      <c r="AK22" s="16">
        <f t="array" ref="AK22">IFERROR(INDEX('Halo Reach Stats'!$1:$46,MATCH($B22,'Halo Reach Stats'!$A:$A,0),36),"")</f>
        <v>182</v>
      </c>
      <c r="AL22" s="16">
        <f t="array" ref="AL22">IFERROR(INDEX('Halo Reach Stats'!$1:$46,MATCH($B22,'Halo Reach Stats'!$A:$A,0),37),"")</f>
        <v>127</v>
      </c>
      <c r="AM22" s="16">
        <f t="array" ref="AM22">IFERROR(INDEX('Halo Reach Stats'!$1:$46,MATCH($B22,'Halo Reach Stats'!$A:$A,0),38),"")</f>
        <v>21</v>
      </c>
    </row>
    <row r="23">
      <c r="A23" s="531" t="str">
        <f t="array" ref="A23">IFERROR(INDEX(TeamInfo!$1:$45,MATCH(A22,TeamInfo!A:A,0),2),"")</f>
        <v>Do It Fart?</v>
      </c>
      <c r="B23" s="1" t="str">
        <f t="array" ref="B23">IFERROR(INDEX(TeamInfo!$C2:$C$45,MATCH($A$22,TeamInfo!A:A,0),0),"")</f>
        <v>Itzreelz</v>
      </c>
      <c r="C23" s="14" t="str">
        <f t="array" ref="C23">IFERROR(INDEX('Player Efficiency'!$1:$45,MATCH(B23,'Player Efficiency'!A:A,0),2),"")</f>
        <v/>
      </c>
      <c r="D23" s="512" t="str">
        <f t="array" ref="D23">IFERROR(INDEX('PlayerGrades+'!$1:$47,MATCH(B23,'PlayerGrades+'!L:L,0),22),"")</f>
        <v>S+</v>
      </c>
      <c r="E23" s="512">
        <f t="array" ref="E23">IFERROR(INDEX('PlayerGrades+'!$1:$47,MATCH(B23,'PlayerGrades+'!L:L,0),23),"")</f>
        <v>33.05</v>
      </c>
      <c r="F23" s="16" t="str">
        <f t="array" ref="F23">IFERROR(INDEX(TeamInfo!$D2:$D$45,MATCH($A$22,TeamInfo!A:A,0),0),"")</f>
        <v>East</v>
      </c>
      <c r="G23" s="16">
        <f t="array" ref="G23">IFERROR(INDEX('Halo Reach Stats'!$1:$46,MATCH($B23,'Halo Reach Stats'!$A:$A,0),5),"")</f>
        <v>14</v>
      </c>
      <c r="H23" s="16">
        <f t="array" ref="H23">IFERROR(INDEX('Halo Reach Stats'!$1:$46,MATCH($B23,'Halo Reach Stats'!$A:$A,0),6),"")</f>
        <v>40</v>
      </c>
      <c r="I23" s="16">
        <f t="array" ref="I23">IFERROR(INDEX('Halo Reach Stats'!$1:$46,MATCH($B23,'Halo Reach Stats'!$A:$A,0),7),"")</f>
        <v>2386</v>
      </c>
      <c r="J23" s="16">
        <f t="array" ref="J23">IFERROR(INDEX('Halo Reach Stats'!$1:$46,MATCH($B23,'Halo Reach Stats'!$A:$A,0),8),"")</f>
        <v>1944</v>
      </c>
      <c r="K23" s="16">
        <f t="array" ref="K23">IFERROR(INDEX('Halo Reach Stats'!$1:$46,MATCH($B23,'Halo Reach Stats'!$A:$A,0),9),"")</f>
        <v>442</v>
      </c>
      <c r="L23" s="514">
        <f t="shared" si="16"/>
        <v>1.227366255</v>
      </c>
      <c r="M23" s="16">
        <f t="array" ref="M23">IFERROR(INDEX('Halo Reach Stats'!$1:$46,MATCH($B23,'Halo Reach Stats'!$A:$A,0),10),"")</f>
        <v>145</v>
      </c>
      <c r="N23" s="16">
        <f t="array" ref="N23">IFERROR(INDEX('Halo Reach Stats'!$1:$46,MATCH($B23,'Halo Reach Stats'!$A:$A,0),11),"")</f>
        <v>14</v>
      </c>
      <c r="O23" s="16">
        <f t="array" ref="O23">IFERROR(INDEX('Halo Reach Stats'!$1:$46,MATCH($B23,'Halo Reach Stats'!$A:$A,0),12),"")</f>
        <v>26</v>
      </c>
      <c r="P23" s="16">
        <f t="array" ref="P23">IFERROR(INDEX('Halo Reach Stats'!$1:$46,MATCH($B23,'Halo Reach Stats'!$A:$A,0),14),"")</f>
        <v>37748</v>
      </c>
      <c r="Q23" s="16">
        <f t="array" ref="Q23">IFERROR(INDEX('Halo Reach Stats'!$1:$46,MATCH($B23,'Halo Reach Stats'!$A:$A,0),16),"")</f>
        <v>1796</v>
      </c>
      <c r="R23" s="16">
        <f t="array" ref="R23">IFERROR(INDEX('Halo Reach Stats'!$1:$46,MATCH($B23,'Halo Reach Stats'!$A:$A,0),15),"")</f>
        <v>15</v>
      </c>
      <c r="S23" s="16">
        <f t="array" ref="S23">IFERROR(INDEX('Halo Reach Stats'!$1:$46,MATCH($B23,'Halo Reach Stats'!$A:$A,0),18),"")</f>
        <v>65</v>
      </c>
      <c r="T23" s="16">
        <f t="array" ref="T23">IFERROR(INDEX('Halo Reach Stats'!$1:$46,MATCH($B23,'Halo Reach Stats'!$A:$A,0),19),"")</f>
        <v>2</v>
      </c>
      <c r="U23" s="16">
        <f t="array" ref="U23">IFERROR(INDEX('Halo Reach Stats'!$1:$46,MATCH($B23,'Halo Reach Stats'!$A:$A,0),20),"")</f>
        <v>0</v>
      </c>
      <c r="V23" s="16">
        <f t="array" ref="V23">IFERROR(INDEX('Halo Reach Stats'!$1:$46,MATCH($B23,'Halo Reach Stats'!$A:$A,0),21),"")</f>
        <v>0</v>
      </c>
      <c r="W23" s="16">
        <f t="array" ref="W23">IFERROR(INDEX('Halo Reach Stats'!$1:$46,MATCH($B23,'Halo Reach Stats'!$A:$A,0),22),"")</f>
        <v>55</v>
      </c>
      <c r="X23" s="16">
        <f t="array" ref="X23">IFERROR(INDEX('Halo Reach Stats'!$1:$46,MATCH($B23,'Halo Reach Stats'!$A:$A,0),23),"")</f>
        <v>0</v>
      </c>
      <c r="Y23" s="16">
        <f t="array" ref="Y23">IFERROR(INDEX('Halo Reach Stats'!$1:$46,MATCH($B23,'Halo Reach Stats'!$A:$A,0),24),"")</f>
        <v>389</v>
      </c>
      <c r="Z23" s="16">
        <f t="array" ref="Z23">IFERROR(INDEX('Halo Reach Stats'!$1:$46,MATCH($B23,'Halo Reach Stats'!$A:$A,0),25),"")</f>
        <v>92</v>
      </c>
      <c r="AA23" s="16">
        <f t="array" ref="AA23">IFERROR(INDEX('Halo Reach Stats'!$1:$46,MATCH($B23,'Halo Reach Stats'!$A:$A,0),26),"")</f>
        <v>27</v>
      </c>
      <c r="AB23" s="16">
        <f t="array" ref="AB23">IFERROR(INDEX('Halo Reach Stats'!$1:$46,MATCH($B23,'Halo Reach Stats'!$A:$A,0),27),"")</f>
        <v>11</v>
      </c>
      <c r="AC23" s="16">
        <f t="array" ref="AC23">IFERROR(INDEX('Halo Reach Stats'!$1:$46,MATCH($B23,'Halo Reach Stats'!$A:$A,0),28),"")</f>
        <v>2</v>
      </c>
      <c r="AD23" s="16">
        <f t="array" ref="AD23">IFERROR(INDEX('Halo Reach Stats'!$1:$46,MATCH($B23,'Halo Reach Stats'!$A:$A,0),29),"")</f>
        <v>0</v>
      </c>
      <c r="AE23" s="16">
        <f t="array" ref="AE23">IFERROR(INDEX('Halo Reach Stats'!$1:$46,MATCH($B23,'Halo Reach Stats'!$A:$A,0),30),"")</f>
        <v>0</v>
      </c>
      <c r="AF23" s="16">
        <f t="array" ref="AF23">IFERROR(INDEX('Halo Reach Stats'!$1:$46,MATCH($B23,'Halo Reach Stats'!$A:$A,0),31),"")</f>
        <v>0</v>
      </c>
      <c r="AG23" s="16">
        <f t="array" ref="AG23">IFERROR(INDEX('Halo Reach Stats'!$1:$46,MATCH($B23,'Halo Reach Stats'!$A:$A,0),32),"")</f>
        <v>0</v>
      </c>
      <c r="AH23" s="16">
        <f t="array" ref="AH23">IFERROR(INDEX('Halo Reach Stats'!$1:$46,MATCH($B23,'Halo Reach Stats'!$A:$A,0),33),"")</f>
        <v>1</v>
      </c>
      <c r="AI23" s="16">
        <f t="array" ref="AI23">IFERROR(INDEX('Halo Reach Stats'!$1:$46,MATCH($B23,'Halo Reach Stats'!$A:$A,0),34),"")</f>
        <v>109</v>
      </c>
      <c r="AJ23" s="16">
        <f t="array" ref="AJ23">IFERROR(INDEX('Halo Reach Stats'!$1:$46,MATCH($B23,'Halo Reach Stats'!$A:$A,0),35),"")</f>
        <v>0</v>
      </c>
      <c r="AK23" s="16">
        <f t="array" ref="AK23">IFERROR(INDEX('Halo Reach Stats'!$1:$46,MATCH($B23,'Halo Reach Stats'!$A:$A,0),36),"")</f>
        <v>266</v>
      </c>
      <c r="AL23" s="16">
        <f t="array" ref="AL23">IFERROR(INDEX('Halo Reach Stats'!$1:$46,MATCH($B23,'Halo Reach Stats'!$A:$A,0),37),"")</f>
        <v>275</v>
      </c>
      <c r="AM23" s="16">
        <f t="array" ref="AM23">IFERROR(INDEX('Halo Reach Stats'!$1:$46,MATCH($B23,'Halo Reach Stats'!$A:$A,0),38),"")</f>
        <v>19</v>
      </c>
    </row>
    <row r="24">
      <c r="A24" s="517" t="str">
        <f>VLOOKUP(A22,TeamInfo!$1:$49,6,0)</f>
        <v>10-9</v>
      </c>
      <c r="B24" s="1" t="str">
        <f t="array" ref="B24">IFERROR(INDEX(TeamInfo!$C3:$C$45,MATCH($A$22,TeamInfo!A:A,0),0),"")</f>
        <v>Lane Uppy</v>
      </c>
      <c r="C24" s="14" t="str">
        <f t="array" ref="C24">IFERROR(INDEX('Player Efficiency'!$1:$45,MATCH(B24,'Player Efficiency'!A:A,0),2),"")</f>
        <v/>
      </c>
      <c r="D24" s="512" t="str">
        <f t="array" ref="D24">IFERROR(INDEX('PlayerGrades+'!$1:$47,MATCH(B24,'PlayerGrades+'!L:L,0),22),"")</f>
        <v>C-</v>
      </c>
      <c r="E24" s="512">
        <f t="array" ref="E24">IFERROR(INDEX('PlayerGrades+'!$1:$47,MATCH(B24,'PlayerGrades+'!L:L,0),23),"")</f>
        <v>18.55</v>
      </c>
      <c r="F24" s="16" t="str">
        <f t="array" ref="F24">IFERROR(INDEX(TeamInfo!$D3:$D$45,MATCH($A$22,TeamInfo!A:A,0),0),"")</f>
        <v>North Central</v>
      </c>
      <c r="G24" s="16">
        <f t="array" ref="G24">IFERROR(INDEX('Halo Reach Stats'!$1:$46,MATCH($B24,'Halo Reach Stats'!$A:$A,0),5),"")</f>
        <v>4</v>
      </c>
      <c r="H24" s="16">
        <f t="array" ref="H24">IFERROR(INDEX('Halo Reach Stats'!$1:$46,MATCH($B24,'Halo Reach Stats'!$A:$A,0),6),"")</f>
        <v>7</v>
      </c>
      <c r="I24" s="16">
        <f t="array" ref="I24">IFERROR(INDEX('Halo Reach Stats'!$1:$46,MATCH($B24,'Halo Reach Stats'!$A:$A,0),7),"")</f>
        <v>1294</v>
      </c>
      <c r="J24" s="16">
        <f t="array" ref="J24">IFERROR(INDEX('Halo Reach Stats'!$1:$46,MATCH($B24,'Halo Reach Stats'!$A:$A,0),8),"")</f>
        <v>1459</v>
      </c>
      <c r="K24" s="16">
        <f t="array" ref="K24">IFERROR(INDEX('Halo Reach Stats'!$1:$46,MATCH($B24,'Halo Reach Stats'!$A:$A,0),9),"")</f>
        <v>-165</v>
      </c>
      <c r="L24" s="514">
        <f t="shared" si="16"/>
        <v>0.8869088417</v>
      </c>
      <c r="M24" s="16">
        <f t="array" ref="M24">IFERROR(INDEX('Halo Reach Stats'!$1:$46,MATCH($B24,'Halo Reach Stats'!$A:$A,0),10),"")</f>
        <v>119</v>
      </c>
      <c r="N24" s="16">
        <f t="array" ref="N24">IFERROR(INDEX('Halo Reach Stats'!$1:$46,MATCH($B24,'Halo Reach Stats'!$A:$A,0),11),"")</f>
        <v>7</v>
      </c>
      <c r="O24" s="16">
        <f t="array" ref="O24">IFERROR(INDEX('Halo Reach Stats'!$1:$46,MATCH($B24,'Halo Reach Stats'!$A:$A,0),12),"")</f>
        <v>24</v>
      </c>
      <c r="P24" s="16">
        <f t="array" ref="P24">IFERROR(INDEX('Halo Reach Stats'!$1:$46,MATCH($B24,'Halo Reach Stats'!$A:$A,0),14),"")</f>
        <v>27667</v>
      </c>
      <c r="Q24" s="16">
        <f t="array" ref="Q24">IFERROR(INDEX('Halo Reach Stats'!$1:$46,MATCH($B24,'Halo Reach Stats'!$A:$A,0),16),"")</f>
        <v>274</v>
      </c>
      <c r="R24" s="16">
        <f t="array" ref="R24">IFERROR(INDEX('Halo Reach Stats'!$1:$46,MATCH($B24,'Halo Reach Stats'!$A:$A,0),15),"")</f>
        <v>14</v>
      </c>
      <c r="S24" s="16">
        <f t="array" ref="S24">IFERROR(INDEX('Halo Reach Stats'!$1:$46,MATCH($B24,'Halo Reach Stats'!$A:$A,0),18),"")</f>
        <v>16</v>
      </c>
      <c r="T24" s="16">
        <f t="array" ref="T24">IFERROR(INDEX('Halo Reach Stats'!$1:$46,MATCH($B24,'Halo Reach Stats'!$A:$A,0),19),"")</f>
        <v>0</v>
      </c>
      <c r="U24" s="16">
        <f t="array" ref="U24">IFERROR(INDEX('Halo Reach Stats'!$1:$46,MATCH($B24,'Halo Reach Stats'!$A:$A,0),20),"")</f>
        <v>0</v>
      </c>
      <c r="V24" s="16">
        <f t="array" ref="V24">IFERROR(INDEX('Halo Reach Stats'!$1:$46,MATCH($B24,'Halo Reach Stats'!$A:$A,0),21),"")</f>
        <v>0</v>
      </c>
      <c r="W24" s="16">
        <f t="array" ref="W24">IFERROR(INDEX('Halo Reach Stats'!$1:$46,MATCH($B24,'Halo Reach Stats'!$A:$A,0),22),"")</f>
        <v>14</v>
      </c>
      <c r="X24" s="16">
        <f t="array" ref="X24">IFERROR(INDEX('Halo Reach Stats'!$1:$46,MATCH($B24,'Halo Reach Stats'!$A:$A,0),23),"")</f>
        <v>0</v>
      </c>
      <c r="Y24" s="16">
        <f t="array" ref="Y24">IFERROR(INDEX('Halo Reach Stats'!$1:$46,MATCH($B24,'Halo Reach Stats'!$A:$A,0),24),"")</f>
        <v>183</v>
      </c>
      <c r="Z24" s="16">
        <f t="array" ref="Z24">IFERROR(INDEX('Halo Reach Stats'!$1:$46,MATCH($B24,'Halo Reach Stats'!$A:$A,0),25),"")</f>
        <v>28</v>
      </c>
      <c r="AA24" s="16">
        <f t="array" ref="AA24">IFERROR(INDEX('Halo Reach Stats'!$1:$46,MATCH($B24,'Halo Reach Stats'!$A:$A,0),26),"")</f>
        <v>2</v>
      </c>
      <c r="AB24" s="16">
        <f t="array" ref="AB24">IFERROR(INDEX('Halo Reach Stats'!$1:$46,MATCH($B24,'Halo Reach Stats'!$A:$A,0),27),"")</f>
        <v>1</v>
      </c>
      <c r="AC24" s="16">
        <f t="array" ref="AC24">IFERROR(INDEX('Halo Reach Stats'!$1:$46,MATCH($B24,'Halo Reach Stats'!$A:$A,0),28),"")</f>
        <v>0</v>
      </c>
      <c r="AD24" s="16">
        <f t="array" ref="AD24">IFERROR(INDEX('Halo Reach Stats'!$1:$46,MATCH($B24,'Halo Reach Stats'!$A:$A,0),29),"")</f>
        <v>0</v>
      </c>
      <c r="AE24" s="16">
        <f t="array" ref="AE24">IFERROR(INDEX('Halo Reach Stats'!$1:$46,MATCH($B24,'Halo Reach Stats'!$A:$A,0),30),"")</f>
        <v>0</v>
      </c>
      <c r="AF24" s="16">
        <f t="array" ref="AF24">IFERROR(INDEX('Halo Reach Stats'!$1:$46,MATCH($B24,'Halo Reach Stats'!$A:$A,0),31),"")</f>
        <v>0</v>
      </c>
      <c r="AG24" s="16">
        <f t="array" ref="AG24">IFERROR(INDEX('Halo Reach Stats'!$1:$46,MATCH($B24,'Halo Reach Stats'!$A:$A,0),32),"")</f>
        <v>0</v>
      </c>
      <c r="AH24" s="16">
        <f t="array" ref="AH24">IFERROR(INDEX('Halo Reach Stats'!$1:$46,MATCH($B24,'Halo Reach Stats'!$A:$A,0),33),"")</f>
        <v>0</v>
      </c>
      <c r="AI24" s="16">
        <f t="array" ref="AI24">IFERROR(INDEX('Halo Reach Stats'!$1:$46,MATCH($B24,'Halo Reach Stats'!$A:$A,0),34),"")</f>
        <v>64</v>
      </c>
      <c r="AJ24" s="16">
        <f t="array" ref="AJ24">IFERROR(INDEX('Halo Reach Stats'!$1:$46,MATCH($B24,'Halo Reach Stats'!$A:$A,0),35),"")</f>
        <v>0</v>
      </c>
      <c r="AK24" s="16">
        <f t="array" ref="AK24">IFERROR(INDEX('Halo Reach Stats'!$1:$46,MATCH($B24,'Halo Reach Stats'!$A:$A,0),36),"")</f>
        <v>113</v>
      </c>
      <c r="AL24" s="16">
        <f t="array" ref="AL24">IFERROR(INDEX('Halo Reach Stats'!$1:$46,MATCH($B24,'Halo Reach Stats'!$A:$A,0),37),"")</f>
        <v>172</v>
      </c>
      <c r="AM24" s="16">
        <f t="array" ref="AM24">IFERROR(INDEX('Halo Reach Stats'!$1:$46,MATCH($B24,'Halo Reach Stats'!$A:$A,0),38),"")</f>
        <v>13</v>
      </c>
    </row>
    <row r="25">
      <c r="A25" s="518" t="str">
        <f>IF(((E22+E23+E24+E25)/4)&lt;='PlayerGrades+'!$Y$44,"F-",IF(((E22+E23+E24+E25)/4)&lt;'PlayerGrades+'!$Y$43,"F",IF(((E22+E23+E24+E25)/4)&lt;'PlayerGrades+'!$Y$42,"F+",IF(((E22+E23+E24+E25)/4)&lt;'PlayerGrades+'!$Y$41,"E-",IF(((E22+E23+E24+E25)/4)&lt;'PlayerGrades+'!$Y$40,"E",IF(((E22+E23+E24+E25)/4)&lt;'PlayerGrades+'!$Y$39,"E+",IF(((E22+E23+E24+E25)/4)&lt;'PlayerGrades+'!$Y$38,"D-",IF(((E22+E23+E24+E25)/4)&lt;'PlayerGrades+'!$Y$37,"D",IF(((E22+E23+E24+E25)/4)&lt;'PlayerGrades+'!$Y$36,"D+",IF(((E22+E23+E24+E25)/4)&lt;'PlayerGrades+'!$Y$35,"C-",IF(((E22+E23+E24+E25)/4)&lt;'PlayerGrades+'!$Y$34,"C",IF(((E22+E23+E24+E25)/4)&lt;'PlayerGrades+'!$Y$33,"C+",IF(((E22+E23+E24+E25)/4)&lt;'PlayerGrades+'!$Y$32,"B-",IF(((E22+E23+E24+E25)/4)&lt;'PlayerGrades+'!$Y$31,"B",IF(((E22+E23+E24+E25)/4)&lt;'PlayerGrades+'!$Y$30,"B+",IF(((E22+E23+E24+E25)/4)&lt;'PlayerGrades+'!$Y$29,"A-",IF(((E22+E23+E24+E25)/4)&lt;'PlayerGrades+'!$Y$28,"A",IF(((E22+E23+E24+E25)/4)&lt;'PlayerGrades+'!$Y$27,"A+",IF(((E22+E23+E24+E25)/4)&lt;'PlayerGrades+'!$Y$26,"S-",IF(((E22+E23+E24+E25)/4)&lt;'PlayerGrades+'!$Y$25,"S","S+"))))))))))))))))))))</f>
        <v>B+</v>
      </c>
      <c r="B25" s="1" t="str">
        <f t="array" ref="B25">IFERROR(INDEX(TeamInfo!$C4:$C$45,MATCH($A$22,TeamInfo!A:A,0),0),"")</f>
        <v>SPANKTR0N</v>
      </c>
      <c r="C25" s="14" t="str">
        <f t="array" ref="C25">IFERROR(INDEX('Player Efficiency'!$1:$45,MATCH(B25,'Player Efficiency'!A:A,0),2),"")</f>
        <v/>
      </c>
      <c r="D25" s="512" t="str">
        <f t="array" ref="D25">IFERROR(INDEX('PlayerGrades+'!$1:$47,MATCH(B25,'PlayerGrades+'!L:L,0),22),"")</f>
        <v>C+</v>
      </c>
      <c r="E25" s="512">
        <f t="array" ref="E25">IFERROR(INDEX('PlayerGrades+'!$1:$47,MATCH(B25,'PlayerGrades+'!L:L,0),23),"")</f>
        <v>21.6</v>
      </c>
      <c r="F25" s="16" t="str">
        <f t="array" ref="F25">IFERROR(INDEX(TeamInfo!$D4:$D$45,MATCH($A$22,TeamInfo!A:A,0),0),"")</f>
        <v>North Central</v>
      </c>
      <c r="G25" s="16">
        <f t="array" ref="G25">IFERROR(INDEX('Halo Reach Stats'!$1:$46,MATCH($B25,'Halo Reach Stats'!$A:$A,0),5),"")</f>
        <v>4</v>
      </c>
      <c r="H25" s="16">
        <f t="array" ref="H25">IFERROR(INDEX('Halo Reach Stats'!$1:$46,MATCH($B25,'Halo Reach Stats'!$A:$A,0),6),"")</f>
        <v>7</v>
      </c>
      <c r="I25" s="16">
        <f t="array" ref="I25">IFERROR(INDEX('Halo Reach Stats'!$1:$46,MATCH($B25,'Halo Reach Stats'!$A:$A,0),7),"")</f>
        <v>1351</v>
      </c>
      <c r="J25" s="16">
        <f t="array" ref="J25">IFERROR(INDEX('Halo Reach Stats'!$1:$46,MATCH($B25,'Halo Reach Stats'!$A:$A,0),8),"")</f>
        <v>1413</v>
      </c>
      <c r="K25" s="16">
        <f t="array" ref="K25">IFERROR(INDEX('Halo Reach Stats'!$1:$46,MATCH($B25,'Halo Reach Stats'!$A:$A,0),9),"")</f>
        <v>-62</v>
      </c>
      <c r="L25" s="514">
        <f t="shared" si="16"/>
        <v>0.9561217268</v>
      </c>
      <c r="M25" s="16">
        <f t="array" ref="M25">IFERROR(INDEX('Halo Reach Stats'!$1:$46,MATCH($B25,'Halo Reach Stats'!$A:$A,0),10),"")</f>
        <v>100</v>
      </c>
      <c r="N25" s="16">
        <f t="array" ref="N25">IFERROR(INDEX('Halo Reach Stats'!$1:$46,MATCH($B25,'Halo Reach Stats'!$A:$A,0),11),"")</f>
        <v>10</v>
      </c>
      <c r="O25" s="16">
        <f t="array" ref="O25">IFERROR(INDEX('Halo Reach Stats'!$1:$46,MATCH($B25,'Halo Reach Stats'!$A:$A,0),12),"")</f>
        <v>23</v>
      </c>
      <c r="P25" s="16">
        <f t="array" ref="P25">IFERROR(INDEX('Halo Reach Stats'!$1:$46,MATCH($B25,'Halo Reach Stats'!$A:$A,0),14),"")</f>
        <v>26392</v>
      </c>
      <c r="Q25" s="16">
        <f t="array" ref="Q25">IFERROR(INDEX('Halo Reach Stats'!$1:$46,MATCH($B25,'Halo Reach Stats'!$A:$A,0),16),"")</f>
        <v>53</v>
      </c>
      <c r="R25" s="16">
        <f t="array" ref="R25">IFERROR(INDEX('Halo Reach Stats'!$1:$46,MATCH($B25,'Halo Reach Stats'!$A:$A,0),15),"")</f>
        <v>14</v>
      </c>
      <c r="S25" s="16">
        <f t="array" ref="S25">IFERROR(INDEX('Halo Reach Stats'!$1:$46,MATCH($B25,'Halo Reach Stats'!$A:$A,0),18),"")</f>
        <v>27</v>
      </c>
      <c r="T25" s="16">
        <f t="array" ref="T25">IFERROR(INDEX('Halo Reach Stats'!$1:$46,MATCH($B25,'Halo Reach Stats'!$A:$A,0),19),"")</f>
        <v>2</v>
      </c>
      <c r="U25" s="16">
        <f t="array" ref="U25">IFERROR(INDEX('Halo Reach Stats'!$1:$46,MATCH($B25,'Halo Reach Stats'!$A:$A,0),20),"")</f>
        <v>0</v>
      </c>
      <c r="V25" s="16">
        <f t="array" ref="V25">IFERROR(INDEX('Halo Reach Stats'!$1:$46,MATCH($B25,'Halo Reach Stats'!$A:$A,0),21),"")</f>
        <v>0</v>
      </c>
      <c r="W25" s="16">
        <f t="array" ref="W25">IFERROR(INDEX('Halo Reach Stats'!$1:$46,MATCH($B25,'Halo Reach Stats'!$A:$A,0),22),"")</f>
        <v>27</v>
      </c>
      <c r="X25" s="16">
        <f t="array" ref="X25">IFERROR(INDEX('Halo Reach Stats'!$1:$46,MATCH($B25,'Halo Reach Stats'!$A:$A,0),23),"")</f>
        <v>0</v>
      </c>
      <c r="Y25" s="16">
        <f t="array" ref="Y25">IFERROR(INDEX('Halo Reach Stats'!$1:$46,MATCH($B25,'Halo Reach Stats'!$A:$A,0),24),"")</f>
        <v>192</v>
      </c>
      <c r="Z25" s="16">
        <f t="array" ref="Z25">IFERROR(INDEX('Halo Reach Stats'!$1:$46,MATCH($B25,'Halo Reach Stats'!$A:$A,0),25),"")</f>
        <v>43</v>
      </c>
      <c r="AA25" s="16">
        <f t="array" ref="AA25">IFERROR(INDEX('Halo Reach Stats'!$1:$46,MATCH($B25,'Halo Reach Stats'!$A:$A,0),26),"")</f>
        <v>17</v>
      </c>
      <c r="AB25" s="16">
        <f t="array" ref="AB25">IFERROR(INDEX('Halo Reach Stats'!$1:$46,MATCH($B25,'Halo Reach Stats'!$A:$A,0),27),"")</f>
        <v>4</v>
      </c>
      <c r="AC25" s="16">
        <f t="array" ref="AC25">IFERROR(INDEX('Halo Reach Stats'!$1:$46,MATCH($B25,'Halo Reach Stats'!$A:$A,0),28),"")</f>
        <v>2</v>
      </c>
      <c r="AD25" s="16">
        <f t="array" ref="AD25">IFERROR(INDEX('Halo Reach Stats'!$1:$46,MATCH($B25,'Halo Reach Stats'!$A:$A,0),29),"")</f>
        <v>0</v>
      </c>
      <c r="AE25" s="16">
        <f t="array" ref="AE25">IFERROR(INDEX('Halo Reach Stats'!$1:$46,MATCH($B25,'Halo Reach Stats'!$A:$A,0),30),"")</f>
        <v>0</v>
      </c>
      <c r="AF25" s="16">
        <f t="array" ref="AF25">IFERROR(INDEX('Halo Reach Stats'!$1:$46,MATCH($B25,'Halo Reach Stats'!$A:$A,0),31),"")</f>
        <v>0</v>
      </c>
      <c r="AG25" s="16">
        <f t="array" ref="AG25">IFERROR(INDEX('Halo Reach Stats'!$1:$46,MATCH($B25,'Halo Reach Stats'!$A:$A,0),32),"")</f>
        <v>0</v>
      </c>
      <c r="AH25" s="16">
        <f t="array" ref="AH25">IFERROR(INDEX('Halo Reach Stats'!$1:$46,MATCH($B25,'Halo Reach Stats'!$A:$A,0),33),"")</f>
        <v>0</v>
      </c>
      <c r="AI25" s="16">
        <f t="array" ref="AI25">IFERROR(INDEX('Halo Reach Stats'!$1:$46,MATCH($B25,'Halo Reach Stats'!$A:$A,0),34),"")</f>
        <v>48</v>
      </c>
      <c r="AJ25" s="16">
        <f t="array" ref="AJ25">IFERROR(INDEX('Halo Reach Stats'!$1:$46,MATCH($B25,'Halo Reach Stats'!$A:$A,0),35),"")</f>
        <v>0</v>
      </c>
      <c r="AK25" s="16">
        <f t="array" ref="AK25">IFERROR(INDEX('Halo Reach Stats'!$1:$46,MATCH($B25,'Halo Reach Stats'!$A:$A,0),36),"")</f>
        <v>126</v>
      </c>
      <c r="AL25" s="16">
        <f t="array" ref="AL25">IFERROR(INDEX('Halo Reach Stats'!$1:$46,MATCH($B25,'Halo Reach Stats'!$A:$A,0),37),"")</f>
        <v>155</v>
      </c>
      <c r="AM25" s="16">
        <f t="array" ref="AM25">IFERROR(INDEX('Halo Reach Stats'!$1:$46,MATCH($B25,'Halo Reach Stats'!$A:$A,0),38),"")</f>
        <v>11</v>
      </c>
    </row>
    <row r="26">
      <c r="A26" s="532"/>
      <c r="B26" s="520" t="s">
        <v>354</v>
      </c>
      <c r="C26" s="533">
        <f>SUM(C22:C25)/4</f>
        <v>0</v>
      </c>
      <c r="D26" s="528"/>
      <c r="E26" s="529">
        <f>SUM(E22:E25)/4</f>
        <v>23.8125</v>
      </c>
      <c r="F26" s="524" t="s">
        <v>355</v>
      </c>
      <c r="G26" s="525">
        <f t="shared" ref="G26:K26" si="17">SUM(G22:G25)</f>
        <v>60</v>
      </c>
      <c r="H26" s="525">
        <f t="shared" si="17"/>
        <v>325</v>
      </c>
      <c r="I26" s="525">
        <f t="shared" si="17"/>
        <v>6263</v>
      </c>
      <c r="J26" s="525">
        <f t="shared" si="17"/>
        <v>5910</v>
      </c>
      <c r="K26" s="525">
        <f t="shared" si="17"/>
        <v>353</v>
      </c>
      <c r="L26" s="526">
        <f>SUM(L22:L25)/4</f>
        <v>1.049134855</v>
      </c>
      <c r="M26" s="525">
        <f t="shared" ref="M26:Q26" si="18">SUM(M22:M25)</f>
        <v>422</v>
      </c>
      <c r="N26" s="525">
        <f t="shared" si="18"/>
        <v>46</v>
      </c>
      <c r="O26" s="525">
        <f t="shared" si="18"/>
        <v>91</v>
      </c>
      <c r="P26" s="525">
        <f t="shared" si="18"/>
        <v>119474</v>
      </c>
      <c r="Q26" s="525">
        <f t="shared" si="18"/>
        <v>12660</v>
      </c>
      <c r="R26" s="525">
        <f>SUM(R22:R25)/4</f>
        <v>15.75</v>
      </c>
      <c r="S26" s="525">
        <f t="shared" ref="S26:AM26" si="19">SUM(S22:S25)</f>
        <v>145</v>
      </c>
      <c r="T26" s="525">
        <f t="shared" si="19"/>
        <v>9</v>
      </c>
      <c r="U26" s="525">
        <f t="shared" si="19"/>
        <v>1</v>
      </c>
      <c r="V26" s="525">
        <f t="shared" si="19"/>
        <v>0</v>
      </c>
      <c r="W26" s="525">
        <f t="shared" si="19"/>
        <v>104</v>
      </c>
      <c r="X26" s="525">
        <f t="shared" si="19"/>
        <v>0</v>
      </c>
      <c r="Y26" s="525">
        <f t="shared" si="19"/>
        <v>939</v>
      </c>
      <c r="Z26" s="525">
        <f t="shared" si="19"/>
        <v>194</v>
      </c>
      <c r="AA26" s="525">
        <f t="shared" si="19"/>
        <v>54</v>
      </c>
      <c r="AB26" s="525">
        <f t="shared" si="19"/>
        <v>19</v>
      </c>
      <c r="AC26" s="525">
        <f t="shared" si="19"/>
        <v>4</v>
      </c>
      <c r="AD26" s="525">
        <f t="shared" si="19"/>
        <v>0</v>
      </c>
      <c r="AE26" s="525">
        <f t="shared" si="19"/>
        <v>0</v>
      </c>
      <c r="AF26" s="525">
        <f t="shared" si="19"/>
        <v>0</v>
      </c>
      <c r="AG26" s="525">
        <f t="shared" si="19"/>
        <v>0</v>
      </c>
      <c r="AH26" s="525">
        <f t="shared" si="19"/>
        <v>1</v>
      </c>
      <c r="AI26" s="525">
        <f t="shared" si="19"/>
        <v>247</v>
      </c>
      <c r="AJ26" s="525">
        <f t="shared" si="19"/>
        <v>1</v>
      </c>
      <c r="AK26" s="525">
        <f t="shared" si="19"/>
        <v>687</v>
      </c>
      <c r="AL26" s="525">
        <f t="shared" si="19"/>
        <v>729</v>
      </c>
      <c r="AM26" s="525">
        <f t="shared" si="19"/>
        <v>64</v>
      </c>
    </row>
    <row r="27">
      <c r="A27" s="534" t="s">
        <v>360</v>
      </c>
      <c r="B27" s="530" t="str">
        <f t="array" ref="B27">IFERROR(INDEX(TeamInfo!$C1:$C$45,MATCH($A$27,TeamInfo!A:A,0),0),"")</f>
        <v>Hells Angel cx</v>
      </c>
      <c r="C27" s="14" t="str">
        <f t="array" ref="C27">IFERROR(INDEX('Player Efficiency'!$1:$45,MATCH(B27,'Player Efficiency'!A:A,0),2),"")</f>
        <v/>
      </c>
      <c r="D27" s="512" t="str">
        <f t="array" ref="D27">IFERROR(INDEX('PlayerGrades+'!$1:$47,MATCH(B27,'PlayerGrades+'!L:L,0),22),"")</f>
        <v>C+</v>
      </c>
      <c r="E27" s="512">
        <f t="array" ref="E27">IFERROR(INDEX('PlayerGrades+'!$1:$47,MATCH(B27,'PlayerGrades+'!L:L,0),23),"")</f>
        <v>20.6</v>
      </c>
      <c r="F27" s="513" t="str">
        <f t="array" ref="F27">IFERROR(INDEX(TeamInfo!$D1:$D$45,MATCH($A$27,TeamInfo!A:A,0),0),"")</f>
        <v>East</v>
      </c>
      <c r="G27" s="16">
        <f t="array" ref="G27">IFERROR(INDEX('Halo Reach Stats'!$1:$46,MATCH($B27,'Halo Reach Stats'!$A:$A,0),5),"")</f>
        <v>54</v>
      </c>
      <c r="H27" s="16">
        <f t="array" ref="H27">IFERROR(INDEX('Halo Reach Stats'!$1:$46,MATCH($B27,'Halo Reach Stats'!$A:$A,0),6),"")</f>
        <v>278</v>
      </c>
      <c r="I27" s="16">
        <f t="array" ref="I27">IFERROR(INDEX('Halo Reach Stats'!$1:$46,MATCH($B27,'Halo Reach Stats'!$A:$A,0),7),"")</f>
        <v>1387</v>
      </c>
      <c r="J27" s="16">
        <f t="array" ref="J27">IFERROR(INDEX('Halo Reach Stats'!$1:$46,MATCH($B27,'Halo Reach Stats'!$A:$A,0),8),"")</f>
        <v>1391</v>
      </c>
      <c r="K27" s="16">
        <f t="array" ref="K27">IFERROR(INDEX('Halo Reach Stats'!$1:$46,MATCH($B27,'Halo Reach Stats'!$A:$A,0),9),"")</f>
        <v>-4</v>
      </c>
      <c r="L27" s="514">
        <f t="shared" ref="L27:L30" si="20">I27/J27</f>
        <v>0.997124371</v>
      </c>
      <c r="M27" s="16">
        <f t="array" ref="M27">IFERROR(INDEX('Halo Reach Stats'!$1:$46,MATCH($B27,'Halo Reach Stats'!$A:$A,0),10),"")</f>
        <v>99</v>
      </c>
      <c r="N27" s="16">
        <f t="array" ref="N27">IFERROR(INDEX('Halo Reach Stats'!$1:$46,MATCH($B27,'Halo Reach Stats'!$A:$A,0),11),"")</f>
        <v>12</v>
      </c>
      <c r="O27" s="16">
        <f t="array" ref="O27">IFERROR(INDEX('Halo Reach Stats'!$1:$46,MATCH($B27,'Halo Reach Stats'!$A:$A,0),12),"")</f>
        <v>44</v>
      </c>
      <c r="P27" s="16">
        <f t="array" ref="P27">IFERROR(INDEX('Halo Reach Stats'!$1:$46,MATCH($B27,'Halo Reach Stats'!$A:$A,0),14),"")</f>
        <v>31403</v>
      </c>
      <c r="Q27" s="16">
        <f t="array" ref="Q27">IFERROR(INDEX('Halo Reach Stats'!$1:$46,MATCH($B27,'Halo Reach Stats'!$A:$A,0),16),"")</f>
        <v>9125</v>
      </c>
      <c r="R27" s="16">
        <f t="array" ref="R27">IFERROR(INDEX('Halo Reach Stats'!$1:$46,MATCH($B27,'Halo Reach Stats'!$A:$A,0),15),"")</f>
        <v>18</v>
      </c>
      <c r="S27" s="16">
        <f t="array" ref="S27">IFERROR(INDEX('Halo Reach Stats'!$1:$46,MATCH($B27,'Halo Reach Stats'!$A:$A,0),18),"")</f>
        <v>24</v>
      </c>
      <c r="T27" s="16">
        <f t="array" ref="T27">IFERROR(INDEX('Halo Reach Stats'!$1:$46,MATCH($B27,'Halo Reach Stats'!$A:$A,0),19),"")</f>
        <v>3</v>
      </c>
      <c r="U27" s="16">
        <f t="array" ref="U27">IFERROR(INDEX('Halo Reach Stats'!$1:$46,MATCH($B27,'Halo Reach Stats'!$A:$A,0),20),"")</f>
        <v>0</v>
      </c>
      <c r="V27" s="16">
        <f t="array" ref="V27">IFERROR(INDEX('Halo Reach Stats'!$1:$46,MATCH($B27,'Halo Reach Stats'!$A:$A,0),21),"")</f>
        <v>0</v>
      </c>
      <c r="W27" s="16">
        <f t="array" ref="W27">IFERROR(INDEX('Halo Reach Stats'!$1:$46,MATCH($B27,'Halo Reach Stats'!$A:$A,0),22),"")</f>
        <v>3</v>
      </c>
      <c r="X27" s="16">
        <f t="array" ref="X27">IFERROR(INDEX('Halo Reach Stats'!$1:$46,MATCH($B27,'Halo Reach Stats'!$A:$A,0),23),"")</f>
        <v>0</v>
      </c>
      <c r="Y27" s="16">
        <f t="array" ref="Y27">IFERROR(INDEX('Halo Reach Stats'!$1:$46,MATCH($B27,'Halo Reach Stats'!$A:$A,0),24),"")</f>
        <v>192</v>
      </c>
      <c r="Z27" s="16">
        <f t="array" ref="Z27">IFERROR(INDEX('Halo Reach Stats'!$1:$46,MATCH($B27,'Halo Reach Stats'!$A:$A,0),25),"")</f>
        <v>29</v>
      </c>
      <c r="AA27" s="16">
        <f t="array" ref="AA27">IFERROR(INDEX('Halo Reach Stats'!$1:$46,MATCH($B27,'Halo Reach Stats'!$A:$A,0),26),"")</f>
        <v>5</v>
      </c>
      <c r="AB27" s="16">
        <f t="array" ref="AB27">IFERROR(INDEX('Halo Reach Stats'!$1:$46,MATCH($B27,'Halo Reach Stats'!$A:$A,0),27),"")</f>
        <v>0</v>
      </c>
      <c r="AC27" s="16">
        <f t="array" ref="AC27">IFERROR(INDEX('Halo Reach Stats'!$1:$46,MATCH($B27,'Halo Reach Stats'!$A:$A,0),28),"")</f>
        <v>0</v>
      </c>
      <c r="AD27" s="16">
        <f t="array" ref="AD27">IFERROR(INDEX('Halo Reach Stats'!$1:$46,MATCH($B27,'Halo Reach Stats'!$A:$A,0),29),"")</f>
        <v>0</v>
      </c>
      <c r="AE27" s="16">
        <f t="array" ref="AE27">IFERROR(INDEX('Halo Reach Stats'!$1:$46,MATCH($B27,'Halo Reach Stats'!$A:$A,0),30),"")</f>
        <v>0</v>
      </c>
      <c r="AF27" s="16">
        <f t="array" ref="AF27">IFERROR(INDEX('Halo Reach Stats'!$1:$46,MATCH($B27,'Halo Reach Stats'!$A:$A,0),31),"")</f>
        <v>0</v>
      </c>
      <c r="AG27" s="16">
        <f t="array" ref="AG27">IFERROR(INDEX('Halo Reach Stats'!$1:$46,MATCH($B27,'Halo Reach Stats'!$A:$A,0),32),"")</f>
        <v>0</v>
      </c>
      <c r="AH27" s="16">
        <f t="array" ref="AH27">IFERROR(INDEX('Halo Reach Stats'!$1:$46,MATCH($B27,'Halo Reach Stats'!$A:$A,0),33),"")</f>
        <v>0</v>
      </c>
      <c r="AI27" s="16">
        <f t="array" ref="AI27">IFERROR(INDEX('Halo Reach Stats'!$1:$46,MATCH($B27,'Halo Reach Stats'!$A:$A,0),34),"")</f>
        <v>18</v>
      </c>
      <c r="AJ27" s="16">
        <f t="array" ref="AJ27">IFERROR(INDEX('Halo Reach Stats'!$1:$46,MATCH($B27,'Halo Reach Stats'!$A:$A,0),35),"")</f>
        <v>0</v>
      </c>
      <c r="AK27" s="16">
        <f t="array" ref="AK27">IFERROR(INDEX('Halo Reach Stats'!$1:$46,MATCH($B27,'Halo Reach Stats'!$A:$A,0),36),"")</f>
        <v>211</v>
      </c>
      <c r="AL27" s="16">
        <f t="array" ref="AL27">IFERROR(INDEX('Halo Reach Stats'!$1:$46,MATCH($B27,'Halo Reach Stats'!$A:$A,0),37),"")</f>
        <v>191</v>
      </c>
      <c r="AM27" s="16">
        <f t="array" ref="AM27">IFERROR(INDEX('Halo Reach Stats'!$1:$46,MATCH($B27,'Halo Reach Stats'!$A:$A,0),38),"")</f>
        <v>19</v>
      </c>
    </row>
    <row r="28">
      <c r="A28" s="531" t="str">
        <f t="array" ref="A28">IFERROR(INDEX(TeamInfo!$1:$45,MATCH(A27,TeamInfo!A:A,0),2),"")</f>
        <v>Hammers N' Roses</v>
      </c>
      <c r="B28" s="1" t="str">
        <f t="array" ref="B28">IFERROR(INDEX(TeamInfo!$C2:$C$45,MATCH($A$27,TeamInfo!A:A,0),0),"")</f>
        <v>Beautytism</v>
      </c>
      <c r="C28" s="14" t="str">
        <f t="array" ref="C28">IFERROR(INDEX('Player Efficiency'!$1:$45,MATCH(B28,'Player Efficiency'!A:A,0),2),"")</f>
        <v/>
      </c>
      <c r="D28" s="512" t="str">
        <f t="array" ref="D28">IFERROR(INDEX('PlayerGrades+'!$1:$47,MATCH(B28,'PlayerGrades+'!L:L,0),22),"")</f>
        <v>B+</v>
      </c>
      <c r="E28" s="512">
        <f t="array" ref="E28">IFERROR(INDEX('PlayerGrades+'!$1:$47,MATCH(B28,'PlayerGrades+'!L:L,0),23),"")</f>
        <v>23.55</v>
      </c>
      <c r="F28" s="16" t="str">
        <f t="array" ref="F28">IFERROR(INDEX(TeamInfo!$D2:$D$45,MATCH($A$27,TeamInfo!A:A,0),0),"")</f>
        <v>East</v>
      </c>
      <c r="G28" s="16">
        <f t="array" ref="G28">IFERROR(INDEX('Halo Reach Stats'!$1:$46,MATCH($B28,'Halo Reach Stats'!$A:$A,0),5),"")</f>
        <v>4</v>
      </c>
      <c r="H28" s="16">
        <f t="array" ref="H28">IFERROR(INDEX('Halo Reach Stats'!$1:$46,MATCH($B28,'Halo Reach Stats'!$A:$A,0),6),"")</f>
        <v>5</v>
      </c>
      <c r="I28" s="16">
        <f t="array" ref="I28">IFERROR(INDEX('Halo Reach Stats'!$1:$46,MATCH($B28,'Halo Reach Stats'!$A:$A,0),7),"")</f>
        <v>1598</v>
      </c>
      <c r="J28" s="16">
        <f t="array" ref="J28">IFERROR(INDEX('Halo Reach Stats'!$1:$46,MATCH($B28,'Halo Reach Stats'!$A:$A,0),8),"")</f>
        <v>1361</v>
      </c>
      <c r="K28" s="16">
        <f t="array" ref="K28">IFERROR(INDEX('Halo Reach Stats'!$1:$46,MATCH($B28,'Halo Reach Stats'!$A:$A,0),9),"")</f>
        <v>237</v>
      </c>
      <c r="L28" s="514">
        <f t="shared" si="20"/>
        <v>1.174136664</v>
      </c>
      <c r="M28" s="16">
        <f t="array" ref="M28">IFERROR(INDEX('Halo Reach Stats'!$1:$46,MATCH($B28,'Halo Reach Stats'!$A:$A,0),10),"")</f>
        <v>146</v>
      </c>
      <c r="N28" s="16">
        <f t="array" ref="N28">IFERROR(INDEX('Halo Reach Stats'!$1:$46,MATCH($B28,'Halo Reach Stats'!$A:$A,0),11),"")</f>
        <v>9</v>
      </c>
      <c r="O28" s="16">
        <f t="array" ref="O28">IFERROR(INDEX('Halo Reach Stats'!$1:$46,MATCH($B28,'Halo Reach Stats'!$A:$A,0),12),"")</f>
        <v>82</v>
      </c>
      <c r="P28" s="16">
        <f t="array" ref="P28">IFERROR(INDEX('Halo Reach Stats'!$1:$46,MATCH($B28,'Halo Reach Stats'!$A:$A,0),14),"")</f>
        <v>31403</v>
      </c>
      <c r="Q28" s="16">
        <f t="array" ref="Q28">IFERROR(INDEX('Halo Reach Stats'!$1:$46,MATCH($B28,'Halo Reach Stats'!$A:$A,0),16),"")</f>
        <v>219</v>
      </c>
      <c r="R28" s="16">
        <f t="array" ref="R28">IFERROR(INDEX('Halo Reach Stats'!$1:$46,MATCH($B28,'Halo Reach Stats'!$A:$A,0),15),"")</f>
        <v>18</v>
      </c>
      <c r="S28" s="16">
        <f t="array" ref="S28">IFERROR(INDEX('Halo Reach Stats'!$1:$46,MATCH($B28,'Halo Reach Stats'!$A:$A,0),18),"")</f>
        <v>37</v>
      </c>
      <c r="T28" s="16">
        <f t="array" ref="T28">IFERROR(INDEX('Halo Reach Stats'!$1:$46,MATCH($B28,'Halo Reach Stats'!$A:$A,0),19),"")</f>
        <v>0</v>
      </c>
      <c r="U28" s="16">
        <f t="array" ref="U28">IFERROR(INDEX('Halo Reach Stats'!$1:$46,MATCH($B28,'Halo Reach Stats'!$A:$A,0),20),"")</f>
        <v>0</v>
      </c>
      <c r="V28" s="16">
        <f t="array" ref="V28">IFERROR(INDEX('Halo Reach Stats'!$1:$46,MATCH($B28,'Halo Reach Stats'!$A:$A,0),21),"")</f>
        <v>0</v>
      </c>
      <c r="W28" s="16">
        <f t="array" ref="W28">IFERROR(INDEX('Halo Reach Stats'!$1:$46,MATCH($B28,'Halo Reach Stats'!$A:$A,0),22),"")</f>
        <v>34</v>
      </c>
      <c r="X28" s="16">
        <f t="array" ref="X28">IFERROR(INDEX('Halo Reach Stats'!$1:$46,MATCH($B28,'Halo Reach Stats'!$A:$A,0),23),"")</f>
        <v>0</v>
      </c>
      <c r="Y28" s="16">
        <f t="array" ref="Y28">IFERROR(INDEX('Halo Reach Stats'!$1:$46,MATCH($B28,'Halo Reach Stats'!$A:$A,0),24),"")</f>
        <v>191</v>
      </c>
      <c r="Z28" s="16">
        <f t="array" ref="Z28">IFERROR(INDEX('Halo Reach Stats'!$1:$46,MATCH($B28,'Halo Reach Stats'!$A:$A,0),25),"")</f>
        <v>25</v>
      </c>
      <c r="AA28" s="16">
        <f t="array" ref="AA28">IFERROR(INDEX('Halo Reach Stats'!$1:$46,MATCH($B28,'Halo Reach Stats'!$A:$A,0),26),"")</f>
        <v>5</v>
      </c>
      <c r="AB28" s="16">
        <f t="array" ref="AB28">IFERROR(INDEX('Halo Reach Stats'!$1:$46,MATCH($B28,'Halo Reach Stats'!$A:$A,0),27),"")</f>
        <v>2</v>
      </c>
      <c r="AC28" s="16">
        <f t="array" ref="AC28">IFERROR(INDEX('Halo Reach Stats'!$1:$46,MATCH($B28,'Halo Reach Stats'!$A:$A,0),28),"")</f>
        <v>2</v>
      </c>
      <c r="AD28" s="16">
        <f t="array" ref="AD28">IFERROR(INDEX('Halo Reach Stats'!$1:$46,MATCH($B28,'Halo Reach Stats'!$A:$A,0),29),"")</f>
        <v>0</v>
      </c>
      <c r="AE28" s="16">
        <f t="array" ref="AE28">IFERROR(INDEX('Halo Reach Stats'!$1:$46,MATCH($B28,'Halo Reach Stats'!$A:$A,0),30),"")</f>
        <v>0</v>
      </c>
      <c r="AF28" s="16">
        <f t="array" ref="AF28">IFERROR(INDEX('Halo Reach Stats'!$1:$46,MATCH($B28,'Halo Reach Stats'!$A:$A,0),31),"")</f>
        <v>0</v>
      </c>
      <c r="AG28" s="16">
        <f t="array" ref="AG28">IFERROR(INDEX('Halo Reach Stats'!$1:$46,MATCH($B28,'Halo Reach Stats'!$A:$A,0),32),"")</f>
        <v>0</v>
      </c>
      <c r="AH28" s="16">
        <f t="array" ref="AH28">IFERROR(INDEX('Halo Reach Stats'!$1:$46,MATCH($B28,'Halo Reach Stats'!$A:$A,0),33),"")</f>
        <v>0</v>
      </c>
      <c r="AI28" s="16">
        <f t="array" ref="AI28">IFERROR(INDEX('Halo Reach Stats'!$1:$46,MATCH($B28,'Halo Reach Stats'!$A:$A,0),34),"")</f>
        <v>74</v>
      </c>
      <c r="AJ28" s="16">
        <f t="array" ref="AJ28">IFERROR(INDEX('Halo Reach Stats'!$1:$46,MATCH($B28,'Halo Reach Stats'!$A:$A,0),35),"")</f>
        <v>0</v>
      </c>
      <c r="AK28" s="16">
        <f t="array" ref="AK28">IFERROR(INDEX('Halo Reach Stats'!$1:$46,MATCH($B28,'Halo Reach Stats'!$A:$A,0),36),"")</f>
        <v>213</v>
      </c>
      <c r="AL28" s="16">
        <f t="array" ref="AL28">IFERROR(INDEX('Halo Reach Stats'!$1:$46,MATCH($B28,'Halo Reach Stats'!$A:$A,0),37),"")</f>
        <v>190</v>
      </c>
      <c r="AM28" s="16">
        <f t="array" ref="AM28">IFERROR(INDEX('Halo Reach Stats'!$1:$46,MATCH($B28,'Halo Reach Stats'!$A:$A,0),38),"")</f>
        <v>21</v>
      </c>
    </row>
    <row r="29">
      <c r="A29" s="517" t="str">
        <f>VLOOKUP(A27,TeamInfo!$1:$49,6,0)</f>
        <v>9-11</v>
      </c>
      <c r="B29" s="1" t="str">
        <f t="array" ref="B29">IFERROR(INDEX(TeamInfo!$C3:$C$45,MATCH($A$27,TeamInfo!A:A,0),0),"")</f>
        <v>Scullen cx</v>
      </c>
      <c r="C29" s="14" t="str">
        <f t="array" ref="C29">IFERROR(INDEX('Player Efficiency'!$1:$45,MATCH(B29,'Player Efficiency'!A:A,0),2),"")</f>
        <v/>
      </c>
      <c r="D29" s="512" t="str">
        <f t="array" ref="D29">IFERROR(INDEX('PlayerGrades+'!$1:$47,MATCH(B29,'PlayerGrades+'!L:L,0),22),"")</f>
        <v>C-</v>
      </c>
      <c r="E29" s="512">
        <f t="array" ref="E29">IFERROR(INDEX('PlayerGrades+'!$1:$47,MATCH(B29,'PlayerGrades+'!L:L,0),23),"")</f>
        <v>18.95</v>
      </c>
      <c r="F29" s="16" t="str">
        <f t="array" ref="F29">IFERROR(INDEX(TeamInfo!$D3:$D$45,MATCH($A$27,TeamInfo!A:A,0),0),"")</f>
        <v>North Central</v>
      </c>
      <c r="G29" s="16">
        <f t="array" ref="G29">IFERROR(INDEX('Halo Reach Stats'!$1:$46,MATCH($B29,'Halo Reach Stats'!$A:$A,0),5),"")</f>
        <v>10</v>
      </c>
      <c r="H29" s="16">
        <f t="array" ref="H29">IFERROR(INDEX('Halo Reach Stats'!$1:$46,MATCH($B29,'Halo Reach Stats'!$A:$A,0),6),"")</f>
        <v>18</v>
      </c>
      <c r="I29" s="16">
        <f t="array" ref="I29">IFERROR(INDEX('Halo Reach Stats'!$1:$46,MATCH($B29,'Halo Reach Stats'!$A:$A,0),7),"")</f>
        <v>1529</v>
      </c>
      <c r="J29" s="16">
        <f t="array" ref="J29">IFERROR(INDEX('Halo Reach Stats'!$1:$46,MATCH($B29,'Halo Reach Stats'!$A:$A,0),8),"")</f>
        <v>2040</v>
      </c>
      <c r="K29" s="16">
        <f t="array" ref="K29">IFERROR(INDEX('Halo Reach Stats'!$1:$46,MATCH($B29,'Halo Reach Stats'!$A:$A,0),9),"")</f>
        <v>-511</v>
      </c>
      <c r="L29" s="514">
        <f t="shared" si="20"/>
        <v>0.7495098039</v>
      </c>
      <c r="M29" s="16">
        <f t="array" ref="M29">IFERROR(INDEX('Halo Reach Stats'!$1:$46,MATCH($B29,'Halo Reach Stats'!$A:$A,0),10),"")</f>
        <v>117</v>
      </c>
      <c r="N29" s="16">
        <f t="array" ref="N29">IFERROR(INDEX('Halo Reach Stats'!$1:$46,MATCH($B29,'Halo Reach Stats'!$A:$A,0),11),"")</f>
        <v>7</v>
      </c>
      <c r="O29" s="16">
        <f t="array" ref="O29">IFERROR(INDEX('Halo Reach Stats'!$1:$46,MATCH($B29,'Halo Reach Stats'!$A:$A,0),12),"")</f>
        <v>41</v>
      </c>
      <c r="P29" s="16">
        <f t="array" ref="P29">IFERROR(INDEX('Halo Reach Stats'!$1:$46,MATCH($B29,'Halo Reach Stats'!$A:$A,0),14),"")</f>
        <v>31403</v>
      </c>
      <c r="Q29" s="16">
        <f t="array" ref="Q29">IFERROR(INDEX('Halo Reach Stats'!$1:$46,MATCH($B29,'Halo Reach Stats'!$A:$A,0),16),"")</f>
        <v>575</v>
      </c>
      <c r="R29" s="16">
        <f t="array" ref="R29">IFERROR(INDEX('Halo Reach Stats'!$1:$46,MATCH($B29,'Halo Reach Stats'!$A:$A,0),15),"")</f>
        <v>11</v>
      </c>
      <c r="S29" s="16">
        <f t="array" ref="S29">IFERROR(INDEX('Halo Reach Stats'!$1:$46,MATCH($B29,'Halo Reach Stats'!$A:$A,0),18),"")</f>
        <v>11</v>
      </c>
      <c r="T29" s="16">
        <f t="array" ref="T29">IFERROR(INDEX('Halo Reach Stats'!$1:$46,MATCH($B29,'Halo Reach Stats'!$A:$A,0),19),"")</f>
        <v>0</v>
      </c>
      <c r="U29" s="16">
        <f t="array" ref="U29">IFERROR(INDEX('Halo Reach Stats'!$1:$46,MATCH($B29,'Halo Reach Stats'!$A:$A,0),20),"")</f>
        <v>0</v>
      </c>
      <c r="V29" s="16">
        <f t="array" ref="V29">IFERROR(INDEX('Halo Reach Stats'!$1:$46,MATCH($B29,'Halo Reach Stats'!$A:$A,0),21),"")</f>
        <v>0</v>
      </c>
      <c r="W29" s="16">
        <f t="array" ref="W29">IFERROR(INDEX('Halo Reach Stats'!$1:$46,MATCH($B29,'Halo Reach Stats'!$A:$A,0),22),"")</f>
        <v>10</v>
      </c>
      <c r="X29" s="16">
        <f t="array" ref="X29">IFERROR(INDEX('Halo Reach Stats'!$1:$46,MATCH($B29,'Halo Reach Stats'!$A:$A,0),23),"")</f>
        <v>0</v>
      </c>
      <c r="Y29" s="16">
        <f t="array" ref="Y29">IFERROR(INDEX('Halo Reach Stats'!$1:$46,MATCH($B29,'Halo Reach Stats'!$A:$A,0),24),"")</f>
        <v>230</v>
      </c>
      <c r="Z29" s="16">
        <f t="array" ref="Z29">IFERROR(INDEX('Halo Reach Stats'!$1:$46,MATCH($B29,'Halo Reach Stats'!$A:$A,0),25),"")</f>
        <v>37</v>
      </c>
      <c r="AA29" s="16">
        <f t="array" ref="AA29">IFERROR(INDEX('Halo Reach Stats'!$1:$46,MATCH($B29,'Halo Reach Stats'!$A:$A,0),26),"")</f>
        <v>6</v>
      </c>
      <c r="AB29" s="16">
        <f t="array" ref="AB29">IFERROR(INDEX('Halo Reach Stats'!$1:$46,MATCH($B29,'Halo Reach Stats'!$A:$A,0),27),"")</f>
        <v>2</v>
      </c>
      <c r="AC29" s="16">
        <f t="array" ref="AC29">IFERROR(INDEX('Halo Reach Stats'!$1:$46,MATCH($B29,'Halo Reach Stats'!$A:$A,0),28),"")</f>
        <v>1</v>
      </c>
      <c r="AD29" s="16">
        <f t="array" ref="AD29">IFERROR(INDEX('Halo Reach Stats'!$1:$46,MATCH($B29,'Halo Reach Stats'!$A:$A,0),29),"")</f>
        <v>0</v>
      </c>
      <c r="AE29" s="16">
        <f t="array" ref="AE29">IFERROR(INDEX('Halo Reach Stats'!$1:$46,MATCH($B29,'Halo Reach Stats'!$A:$A,0),30),"")</f>
        <v>0</v>
      </c>
      <c r="AF29" s="16">
        <f t="array" ref="AF29">IFERROR(INDEX('Halo Reach Stats'!$1:$46,MATCH($B29,'Halo Reach Stats'!$A:$A,0),31),"")</f>
        <v>0</v>
      </c>
      <c r="AG29" s="16">
        <f t="array" ref="AG29">IFERROR(INDEX('Halo Reach Stats'!$1:$46,MATCH($B29,'Halo Reach Stats'!$A:$A,0),32),"")</f>
        <v>0</v>
      </c>
      <c r="AH29" s="16">
        <f t="array" ref="AH29">IFERROR(INDEX('Halo Reach Stats'!$1:$46,MATCH($B29,'Halo Reach Stats'!$A:$A,0),33),"")</f>
        <v>0</v>
      </c>
      <c r="AI29" s="16">
        <f t="array" ref="AI29">IFERROR(INDEX('Halo Reach Stats'!$1:$46,MATCH($B29,'Halo Reach Stats'!$A:$A,0),34),"")</f>
        <v>33</v>
      </c>
      <c r="AJ29" s="16">
        <f t="array" ref="AJ29">IFERROR(INDEX('Halo Reach Stats'!$1:$46,MATCH($B29,'Halo Reach Stats'!$A:$A,0),35),"")</f>
        <v>0</v>
      </c>
      <c r="AK29" s="16">
        <f t="array" ref="AK29">IFERROR(INDEX('Halo Reach Stats'!$1:$46,MATCH($B29,'Halo Reach Stats'!$A:$A,0),36),"")</f>
        <v>182</v>
      </c>
      <c r="AL29" s="16">
        <f t="array" ref="AL29">IFERROR(INDEX('Halo Reach Stats'!$1:$46,MATCH($B29,'Halo Reach Stats'!$A:$A,0),37),"")</f>
        <v>199</v>
      </c>
      <c r="AM29" s="16">
        <f t="array" ref="AM29">IFERROR(INDEX('Halo Reach Stats'!$1:$46,MATCH($B29,'Halo Reach Stats'!$A:$A,0),38),"")</f>
        <v>22</v>
      </c>
    </row>
    <row r="30">
      <c r="A30" s="518" t="str">
        <f>IF(((E27+E28+E29+E30)/4)&lt;='PlayerGrades+'!$Y$44,"F-",IF(((E27+E28+E29+E30)/4)&lt;'PlayerGrades+'!$Y$43,"F",IF(((E27+E28+E29+E30)/4)&lt;'PlayerGrades+'!$Y$42,"F+",IF(((E27+E28+E29+E30)/4)&lt;'PlayerGrades+'!$Y$41,"E-",IF(((E27+E28+E29+E30)/4)&lt;'PlayerGrades+'!$Y$40,"E",IF(((E27+E28+E29+E30)/4)&lt;'PlayerGrades+'!$Y$39,"E+",IF(((E27+E28+E29+E30)/4)&lt;'PlayerGrades+'!$Y$38,"D-",IF(((E27+E28+E29+E30)/4)&lt;'PlayerGrades+'!$Y$37,"D",IF(((E27+E28+E29+E30)/4)&lt;'PlayerGrades+'!$Y$36,"D+",IF(((E27+E28+E29+E30)/4)&lt;'PlayerGrades+'!$Y$35,"C-",IF(((E27+E28+E29+E30)/4)&lt;'PlayerGrades+'!$Y$34,"C",IF(((E27+E28+E29+E30)/4)&lt;'PlayerGrades+'!$Y$33,"C+",IF(((E27+E28+E29+E30)/4)&lt;'PlayerGrades+'!$Y$32,"B-",IF(((E27+E28+E29+E30)/4)&lt;'PlayerGrades+'!$Y$31,"B",IF(((E27+E28+E29+E30)/4)&lt;'PlayerGrades+'!$Y$30,"B+",IF(((E27+E28+E29+E30)/4)&lt;'PlayerGrades+'!$Y$29,"A-",IF(((E27+E28+E29+E30)/4)&lt;'PlayerGrades+'!$Y$28,"A",IF(((E27+E28+E29+E30)/4)&lt;'PlayerGrades+'!$Y$27,"A+",IF(((E27+E28+E29+E30)/4)&lt;'PlayerGrades+'!$Y$26,"S-",IF(((E27+E28+E29+E30)/4)&lt;'PlayerGrades+'!$Y$25,"S","S+"))))))))))))))))))))</f>
        <v>C-</v>
      </c>
      <c r="B30" s="1" t="str">
        <f t="array" ref="B30">IFERROR(INDEX(TeamInfo!$C4:$C$45,MATCH($A$27,TeamInfo!A:A,0),0),"")</f>
        <v>TommyWstSide</v>
      </c>
      <c r="C30" s="14" t="str">
        <f t="array" ref="C30">IFERROR(INDEX('Player Efficiency'!$1:$45,MATCH(B30,'Player Efficiency'!A:A,0),2),"")</f>
        <v/>
      </c>
      <c r="D30" s="512" t="str">
        <f t="array" ref="D30">IFERROR(INDEX('PlayerGrades+'!$1:$47,MATCH(B30,'PlayerGrades+'!L:L,0),22),"")</f>
        <v>F</v>
      </c>
      <c r="E30" s="512">
        <f t="array" ref="E30">IFERROR(INDEX('PlayerGrades+'!$1:$47,MATCH(B30,'PlayerGrades+'!L:L,0),23),"")</f>
        <v>9.45</v>
      </c>
      <c r="F30" s="16" t="str">
        <f t="array" ref="F30">IFERROR(INDEX(TeamInfo!$D4:$D$45,MATCH($A$27,TeamInfo!A:A,0),0),"")</f>
        <v>North Central</v>
      </c>
      <c r="G30" s="16">
        <f t="array" ref="G30">IFERROR(INDEX('Halo Reach Stats'!$1:$46,MATCH($B30,'Halo Reach Stats'!$A:$A,0),5),"")</f>
        <v>3</v>
      </c>
      <c r="H30" s="16">
        <f t="array" ref="H30">IFERROR(INDEX('Halo Reach Stats'!$1:$46,MATCH($B30,'Halo Reach Stats'!$A:$A,0),6),"")</f>
        <v>14</v>
      </c>
      <c r="I30" s="16">
        <f t="array" ref="I30">IFERROR(INDEX('Halo Reach Stats'!$1:$46,MATCH($B30,'Halo Reach Stats'!$A:$A,0),7),"")</f>
        <v>1637</v>
      </c>
      <c r="J30" s="16">
        <f t="array" ref="J30">IFERROR(INDEX('Halo Reach Stats'!$1:$46,MATCH($B30,'Halo Reach Stats'!$A:$A,0),8),"")</f>
        <v>2177</v>
      </c>
      <c r="K30" s="16">
        <f t="array" ref="K30">IFERROR(INDEX('Halo Reach Stats'!$1:$46,MATCH($B30,'Halo Reach Stats'!$A:$A,0),9),"")</f>
        <v>-540</v>
      </c>
      <c r="L30" s="514">
        <f t="shared" si="20"/>
        <v>0.7519522278</v>
      </c>
      <c r="M30" s="16">
        <f t="array" ref="M30">IFERROR(INDEX('Halo Reach Stats'!$1:$46,MATCH($B30,'Halo Reach Stats'!$A:$A,0),10),"")</f>
        <v>76</v>
      </c>
      <c r="N30" s="16">
        <f t="array" ref="N30">IFERROR(INDEX('Halo Reach Stats'!$1:$46,MATCH($B30,'Halo Reach Stats'!$A:$A,0),11),"")</f>
        <v>7</v>
      </c>
      <c r="O30" s="16">
        <f t="array" ref="O30">IFERROR(INDEX('Halo Reach Stats'!$1:$46,MATCH($B30,'Halo Reach Stats'!$A:$A,0),12),"")</f>
        <v>17</v>
      </c>
      <c r="P30" s="16">
        <f t="array" ref="P30">IFERROR(INDEX('Halo Reach Stats'!$1:$46,MATCH($B30,'Halo Reach Stats'!$A:$A,0),14),"")</f>
        <v>34465</v>
      </c>
      <c r="Q30" s="16">
        <f t="array" ref="Q30">IFERROR(INDEX('Halo Reach Stats'!$1:$46,MATCH($B30,'Halo Reach Stats'!$A:$A,0),16),"")</f>
        <v>166</v>
      </c>
      <c r="R30" s="16">
        <f t="array" ref="R30">IFERROR(INDEX('Halo Reach Stats'!$1:$46,MATCH($B30,'Halo Reach Stats'!$A:$A,0),15),"")</f>
        <v>11</v>
      </c>
      <c r="S30" s="16">
        <f t="array" ref="S30">IFERROR(INDEX('Halo Reach Stats'!$1:$46,MATCH($B30,'Halo Reach Stats'!$A:$A,0),18),"")</f>
        <v>3</v>
      </c>
      <c r="T30" s="16">
        <f t="array" ref="T30">IFERROR(INDEX('Halo Reach Stats'!$1:$46,MATCH($B30,'Halo Reach Stats'!$A:$A,0),19),"")</f>
        <v>0</v>
      </c>
      <c r="U30" s="16">
        <f t="array" ref="U30">IFERROR(INDEX('Halo Reach Stats'!$1:$46,MATCH($B30,'Halo Reach Stats'!$A:$A,0),20),"")</f>
        <v>0</v>
      </c>
      <c r="V30" s="16">
        <f t="array" ref="V30">IFERROR(INDEX('Halo Reach Stats'!$1:$46,MATCH($B30,'Halo Reach Stats'!$A:$A,0),21),"")</f>
        <v>0</v>
      </c>
      <c r="W30" s="16">
        <f t="array" ref="W30">IFERROR(INDEX('Halo Reach Stats'!$1:$46,MATCH($B30,'Halo Reach Stats'!$A:$A,0),22),"")</f>
        <v>2</v>
      </c>
      <c r="X30" s="16">
        <f t="array" ref="X30">IFERROR(INDEX('Halo Reach Stats'!$1:$46,MATCH($B30,'Halo Reach Stats'!$A:$A,0),23),"")</f>
        <v>0</v>
      </c>
      <c r="Y30" s="16">
        <f t="array" ref="Y30">IFERROR(INDEX('Halo Reach Stats'!$1:$46,MATCH($B30,'Halo Reach Stats'!$A:$A,0),24),"")</f>
        <v>188</v>
      </c>
      <c r="Z30" s="16">
        <f t="array" ref="Z30">IFERROR(INDEX('Halo Reach Stats'!$1:$46,MATCH($B30,'Halo Reach Stats'!$A:$A,0),25),"")</f>
        <v>18</v>
      </c>
      <c r="AA30" s="16">
        <f t="array" ref="AA30">IFERROR(INDEX('Halo Reach Stats'!$1:$46,MATCH($B30,'Halo Reach Stats'!$A:$A,0),26),"")</f>
        <v>6</v>
      </c>
      <c r="AB30" s="16">
        <f t="array" ref="AB30">IFERROR(INDEX('Halo Reach Stats'!$1:$46,MATCH($B30,'Halo Reach Stats'!$A:$A,0),27),"")</f>
        <v>0</v>
      </c>
      <c r="AC30" s="16">
        <f t="array" ref="AC30">IFERROR(INDEX('Halo Reach Stats'!$1:$46,MATCH($B30,'Halo Reach Stats'!$A:$A,0),28),"")</f>
        <v>0</v>
      </c>
      <c r="AD30" s="16">
        <f t="array" ref="AD30">IFERROR(INDEX('Halo Reach Stats'!$1:$46,MATCH($B30,'Halo Reach Stats'!$A:$A,0),29),"")</f>
        <v>0</v>
      </c>
      <c r="AE30" s="16">
        <f t="array" ref="AE30">IFERROR(INDEX('Halo Reach Stats'!$1:$46,MATCH($B30,'Halo Reach Stats'!$A:$A,0),30),"")</f>
        <v>0</v>
      </c>
      <c r="AF30" s="16">
        <f t="array" ref="AF30">IFERROR(INDEX('Halo Reach Stats'!$1:$46,MATCH($B30,'Halo Reach Stats'!$A:$A,0),31),"")</f>
        <v>0</v>
      </c>
      <c r="AG30" s="16">
        <f t="array" ref="AG30">IFERROR(INDEX('Halo Reach Stats'!$1:$46,MATCH($B30,'Halo Reach Stats'!$A:$A,0),32),"")</f>
        <v>0</v>
      </c>
      <c r="AH30" s="16">
        <f t="array" ref="AH30">IFERROR(INDEX('Halo Reach Stats'!$1:$46,MATCH($B30,'Halo Reach Stats'!$A:$A,0),33),"")</f>
        <v>0</v>
      </c>
      <c r="AI30" s="16">
        <f t="array" ref="AI30">IFERROR(INDEX('Halo Reach Stats'!$1:$46,MATCH($B30,'Halo Reach Stats'!$A:$A,0),34),"")</f>
        <v>50</v>
      </c>
      <c r="AJ30" s="16">
        <f t="array" ref="AJ30">IFERROR(INDEX('Halo Reach Stats'!$1:$46,MATCH($B30,'Halo Reach Stats'!$A:$A,0),35),"")</f>
        <v>0</v>
      </c>
      <c r="AK30" s="16">
        <f t="array" ref="AK30">IFERROR(INDEX('Halo Reach Stats'!$1:$46,MATCH($B30,'Halo Reach Stats'!$A:$A,0),36),"")</f>
        <v>183</v>
      </c>
      <c r="AL30" s="16">
        <f t="array" ref="AL30">IFERROR(INDEX('Halo Reach Stats'!$1:$46,MATCH($B30,'Halo Reach Stats'!$A:$A,0),37),"")</f>
        <v>215</v>
      </c>
      <c r="AM30" s="16">
        <f t="array" ref="AM30">IFERROR(INDEX('Halo Reach Stats'!$1:$46,MATCH($B30,'Halo Reach Stats'!$A:$A,0),38),"")</f>
        <v>14</v>
      </c>
    </row>
    <row r="31">
      <c r="A31" s="532"/>
      <c r="B31" s="520" t="s">
        <v>354</v>
      </c>
      <c r="C31" s="533">
        <f>SUM(C27:C30)/4</f>
        <v>0</v>
      </c>
      <c r="D31" s="528"/>
      <c r="E31" s="529">
        <f>SUM(E27:E30)/4</f>
        <v>18.1375</v>
      </c>
      <c r="F31" s="524" t="s">
        <v>355</v>
      </c>
      <c r="G31" s="525">
        <f t="shared" ref="G31:K31" si="21">SUM(G27:G30)</f>
        <v>71</v>
      </c>
      <c r="H31" s="525">
        <f t="shared" si="21"/>
        <v>315</v>
      </c>
      <c r="I31" s="525">
        <f t="shared" si="21"/>
        <v>6151</v>
      </c>
      <c r="J31" s="525">
        <f t="shared" si="21"/>
        <v>6969</v>
      </c>
      <c r="K31" s="525">
        <f t="shared" si="21"/>
        <v>-818</v>
      </c>
      <c r="L31" s="526">
        <f>SUM(L27:L30)/4</f>
        <v>0.9181807667</v>
      </c>
      <c r="M31" s="525">
        <f t="shared" ref="M31:Q31" si="22">SUM(M27:M30)</f>
        <v>438</v>
      </c>
      <c r="N31" s="525">
        <f t="shared" si="22"/>
        <v>35</v>
      </c>
      <c r="O31" s="525">
        <f t="shared" si="22"/>
        <v>184</v>
      </c>
      <c r="P31" s="525">
        <f t="shared" si="22"/>
        <v>128674</v>
      </c>
      <c r="Q31" s="525">
        <f t="shared" si="22"/>
        <v>10085</v>
      </c>
      <c r="R31" s="525">
        <f>SUM(R27:R30)/4</f>
        <v>14.5</v>
      </c>
      <c r="S31" s="525">
        <f t="shared" ref="S31:AM31" si="23">SUM(S27:S30)</f>
        <v>75</v>
      </c>
      <c r="T31" s="525">
        <f t="shared" si="23"/>
        <v>3</v>
      </c>
      <c r="U31" s="525">
        <f t="shared" si="23"/>
        <v>0</v>
      </c>
      <c r="V31" s="525">
        <f t="shared" si="23"/>
        <v>0</v>
      </c>
      <c r="W31" s="525">
        <f t="shared" si="23"/>
        <v>49</v>
      </c>
      <c r="X31" s="525">
        <f t="shared" si="23"/>
        <v>0</v>
      </c>
      <c r="Y31" s="525">
        <f t="shared" si="23"/>
        <v>801</v>
      </c>
      <c r="Z31" s="525">
        <f t="shared" si="23"/>
        <v>109</v>
      </c>
      <c r="AA31" s="525">
        <f t="shared" si="23"/>
        <v>22</v>
      </c>
      <c r="AB31" s="525">
        <f t="shared" si="23"/>
        <v>4</v>
      </c>
      <c r="AC31" s="525">
        <f t="shared" si="23"/>
        <v>3</v>
      </c>
      <c r="AD31" s="525">
        <f t="shared" si="23"/>
        <v>0</v>
      </c>
      <c r="AE31" s="525">
        <f t="shared" si="23"/>
        <v>0</v>
      </c>
      <c r="AF31" s="525">
        <f t="shared" si="23"/>
        <v>0</v>
      </c>
      <c r="AG31" s="525">
        <f t="shared" si="23"/>
        <v>0</v>
      </c>
      <c r="AH31" s="525">
        <f t="shared" si="23"/>
        <v>0</v>
      </c>
      <c r="AI31" s="525">
        <f t="shared" si="23"/>
        <v>175</v>
      </c>
      <c r="AJ31" s="525">
        <f t="shared" si="23"/>
        <v>0</v>
      </c>
      <c r="AK31" s="525">
        <f t="shared" si="23"/>
        <v>789</v>
      </c>
      <c r="AL31" s="525">
        <f t="shared" si="23"/>
        <v>795</v>
      </c>
      <c r="AM31" s="525">
        <f t="shared" si="23"/>
        <v>76</v>
      </c>
    </row>
    <row r="32">
      <c r="A32" s="534" t="s">
        <v>361</v>
      </c>
      <c r="B32" s="530" t="str">
        <f t="array" ref="B32">IFERROR(INDEX(TeamInfo!$C1:$C$45,MATCH($A$32,TeamInfo!A:A,0),0),"")</f>
        <v>InfiniteRainge</v>
      </c>
      <c r="C32" s="14" t="str">
        <f t="array" ref="C32">IFERROR(INDEX('Player Efficiency'!$1:$45,MATCH(B32,'Player Efficiency'!A:A,0),2),"")</f>
        <v/>
      </c>
      <c r="D32" s="512" t="str">
        <f t="array" ref="D32">IFERROR(INDEX('PlayerGrades+'!$1:$47,MATCH(B32,'PlayerGrades+'!L:L,0),22),"")</f>
        <v>A</v>
      </c>
      <c r="E32" s="512">
        <f t="array" ref="E32">IFERROR(INDEX('PlayerGrades+'!$1:$47,MATCH(B32,'PlayerGrades+'!L:L,0),23),"")</f>
        <v>27.8</v>
      </c>
      <c r="F32" s="513" t="str">
        <f t="array" ref="F32">IFERROR(INDEX(TeamInfo!$D1:$D$45,MATCH($A$32,TeamInfo!A:A,0),0),"")</f>
        <v>West</v>
      </c>
      <c r="G32" s="16">
        <f t="array" ref="G32">IFERROR(INDEX('Halo Reach Stats'!$1:$46,MATCH($B32,'Halo Reach Stats'!$A:$A,0),5),"")</f>
        <v>1</v>
      </c>
      <c r="H32" s="16">
        <f t="array" ref="H32">IFERROR(INDEX('Halo Reach Stats'!$1:$46,MATCH($B32,'Halo Reach Stats'!$A:$A,0),6),"")</f>
        <v>5</v>
      </c>
      <c r="I32" s="16">
        <f t="array" ref="I32">IFERROR(INDEX('Halo Reach Stats'!$1:$46,MATCH($B32,'Halo Reach Stats'!$A:$A,0),7),"")</f>
        <v>1758</v>
      </c>
      <c r="J32" s="16">
        <f t="array" ref="J32">IFERROR(INDEX('Halo Reach Stats'!$1:$46,MATCH($B32,'Halo Reach Stats'!$A:$A,0),8),"")</f>
        <v>1574</v>
      </c>
      <c r="K32" s="16">
        <f t="array" ref="K32">IFERROR(INDEX('Halo Reach Stats'!$1:$46,MATCH($B32,'Halo Reach Stats'!$A:$A,0),9),"")</f>
        <v>184</v>
      </c>
      <c r="L32" s="514">
        <f t="shared" ref="L32:L35" si="24">I32/J32</f>
        <v>1.116899619</v>
      </c>
      <c r="M32" s="16">
        <f t="array" ref="M32">IFERROR(INDEX('Halo Reach Stats'!$1:$46,MATCH($B32,'Halo Reach Stats'!$A:$A,0),10),"")</f>
        <v>122</v>
      </c>
      <c r="N32" s="16">
        <f t="array" ref="N32">IFERROR(INDEX('Halo Reach Stats'!$1:$46,MATCH($B32,'Halo Reach Stats'!$A:$A,0),11),"")</f>
        <v>8</v>
      </c>
      <c r="O32" s="16">
        <f t="array" ref="O32">IFERROR(INDEX('Halo Reach Stats'!$1:$46,MATCH($B32,'Halo Reach Stats'!$A:$A,0),12),"")</f>
        <v>28</v>
      </c>
      <c r="P32" s="16">
        <f t="array" ref="P32">IFERROR(INDEX('Halo Reach Stats'!$1:$46,MATCH($B32,'Halo Reach Stats'!$A:$A,0),14),"")</f>
        <v>28735</v>
      </c>
      <c r="Q32" s="16">
        <f t="array" ref="Q32">IFERROR(INDEX('Halo Reach Stats'!$1:$46,MATCH($B32,'Halo Reach Stats'!$A:$A,0),16),"")</f>
        <v>109</v>
      </c>
      <c r="R32" s="16">
        <f t="array" ref="R32">IFERROR(INDEX('Halo Reach Stats'!$1:$46,MATCH($B32,'Halo Reach Stats'!$A:$A,0),15),"")</f>
        <v>14</v>
      </c>
      <c r="S32" s="16">
        <f t="array" ref="S32">IFERROR(INDEX('Halo Reach Stats'!$1:$46,MATCH($B32,'Halo Reach Stats'!$A:$A,0),18),"")</f>
        <v>34</v>
      </c>
      <c r="T32" s="16">
        <f t="array" ref="T32">IFERROR(INDEX('Halo Reach Stats'!$1:$46,MATCH($B32,'Halo Reach Stats'!$A:$A,0),19),"")</f>
        <v>0</v>
      </c>
      <c r="U32" s="16">
        <f t="array" ref="U32">IFERROR(INDEX('Halo Reach Stats'!$1:$46,MATCH($B32,'Halo Reach Stats'!$A:$A,0),20),"")</f>
        <v>0</v>
      </c>
      <c r="V32" s="16">
        <f t="array" ref="V32">IFERROR(INDEX('Halo Reach Stats'!$1:$46,MATCH($B32,'Halo Reach Stats'!$A:$A,0),21),"")</f>
        <v>0</v>
      </c>
      <c r="W32" s="16">
        <f t="array" ref="W32">IFERROR(INDEX('Halo Reach Stats'!$1:$46,MATCH($B32,'Halo Reach Stats'!$A:$A,0),22),"")</f>
        <v>29</v>
      </c>
      <c r="X32" s="16">
        <f t="array" ref="X32">IFERROR(INDEX('Halo Reach Stats'!$1:$46,MATCH($B32,'Halo Reach Stats'!$A:$A,0),23),"")</f>
        <v>0</v>
      </c>
      <c r="Y32" s="16">
        <f t="array" ref="Y32">IFERROR(INDEX('Halo Reach Stats'!$1:$46,MATCH($B32,'Halo Reach Stats'!$A:$A,0),24),"")</f>
        <v>282</v>
      </c>
      <c r="Z32" s="16">
        <f t="array" ref="Z32">IFERROR(INDEX('Halo Reach Stats'!$1:$46,MATCH($B32,'Halo Reach Stats'!$A:$A,0),25),"")</f>
        <v>52</v>
      </c>
      <c r="AA32" s="16">
        <f t="array" ref="AA32">IFERROR(INDEX('Halo Reach Stats'!$1:$46,MATCH($B32,'Halo Reach Stats'!$A:$A,0),26),"")</f>
        <v>14</v>
      </c>
      <c r="AB32" s="16">
        <f t="array" ref="AB32">IFERROR(INDEX('Halo Reach Stats'!$1:$46,MATCH($B32,'Halo Reach Stats'!$A:$A,0),27),"")</f>
        <v>4</v>
      </c>
      <c r="AC32" s="16">
        <f t="array" ref="AC32">IFERROR(INDEX('Halo Reach Stats'!$1:$46,MATCH($B32,'Halo Reach Stats'!$A:$A,0),28),"")</f>
        <v>1</v>
      </c>
      <c r="AD32" s="16">
        <f t="array" ref="AD32">IFERROR(INDEX('Halo Reach Stats'!$1:$46,MATCH($B32,'Halo Reach Stats'!$A:$A,0),29),"")</f>
        <v>0</v>
      </c>
      <c r="AE32" s="16">
        <f t="array" ref="AE32">IFERROR(INDEX('Halo Reach Stats'!$1:$46,MATCH($B32,'Halo Reach Stats'!$A:$A,0),30),"")</f>
        <v>0</v>
      </c>
      <c r="AF32" s="16">
        <f t="array" ref="AF32">IFERROR(INDEX('Halo Reach Stats'!$1:$46,MATCH($B32,'Halo Reach Stats'!$A:$A,0),31),"")</f>
        <v>0</v>
      </c>
      <c r="AG32" s="16">
        <f t="array" ref="AG32">IFERROR(INDEX('Halo Reach Stats'!$1:$46,MATCH($B32,'Halo Reach Stats'!$A:$A,0),32),"")</f>
        <v>0</v>
      </c>
      <c r="AH32" s="16">
        <f t="array" ref="AH32">IFERROR(INDEX('Halo Reach Stats'!$1:$46,MATCH($B32,'Halo Reach Stats'!$A:$A,0),33),"")</f>
        <v>0</v>
      </c>
      <c r="AI32" s="16">
        <f t="array" ref="AI32">IFERROR(INDEX('Halo Reach Stats'!$1:$46,MATCH($B32,'Halo Reach Stats'!$A:$A,0),34),"")</f>
        <v>54</v>
      </c>
      <c r="AJ32" s="16">
        <f t="array" ref="AJ32">IFERROR(INDEX('Halo Reach Stats'!$1:$46,MATCH($B32,'Halo Reach Stats'!$A:$A,0),35),"")</f>
        <v>0</v>
      </c>
      <c r="AK32" s="16">
        <f t="array" ref="AK32">IFERROR(INDEX('Halo Reach Stats'!$1:$46,MATCH($B32,'Halo Reach Stats'!$A:$A,0),36),"")</f>
        <v>215</v>
      </c>
      <c r="AL32" s="16">
        <f t="array" ref="AL32">IFERROR(INDEX('Halo Reach Stats'!$1:$46,MATCH($B32,'Halo Reach Stats'!$A:$A,0),37),"")</f>
        <v>249</v>
      </c>
      <c r="AM32" s="16">
        <f t="array" ref="AM32">IFERROR(INDEX('Halo Reach Stats'!$1:$46,MATCH($B32,'Halo Reach Stats'!$A:$A,0),38),"")</f>
        <v>16</v>
      </c>
    </row>
    <row r="33">
      <c r="A33" s="531" t="str">
        <f t="array" ref="A33">IFERROR(INDEX(TeamInfo!$1:$45,MATCH(A32,TeamInfo!A:A,0),2),"")</f>
        <v>Qwib Qwibs Ambition</v>
      </c>
      <c r="B33" s="1" t="str">
        <f t="array" ref="B33">IFERROR(INDEX(TeamInfo!$C2:$C$45,MATCH($A$32,TeamInfo!A:A,0),0),"")</f>
        <v>L1ght5aber</v>
      </c>
      <c r="C33" s="14" t="str">
        <f t="array" ref="C33">IFERROR(INDEX('Player Efficiency'!$1:$45,MATCH(B33,'Player Efficiency'!A:A,0),2),"")</f>
        <v/>
      </c>
      <c r="D33" s="512" t="str">
        <f t="array" ref="D33">IFERROR(INDEX('PlayerGrades+'!$1:$47,MATCH(B33,'PlayerGrades+'!L:L,0),22),"")</f>
        <v>D</v>
      </c>
      <c r="E33" s="512">
        <f t="array" ref="E33">IFERROR(INDEX('PlayerGrades+'!$1:$47,MATCH(B33,'PlayerGrades+'!L:L,0),23),"")</f>
        <v>16.85</v>
      </c>
      <c r="F33" s="16" t="str">
        <f t="array" ref="F33">IFERROR(INDEX(TeamInfo!$D2:$D$45,MATCH($A$32,TeamInfo!A:A,0),0),"")</f>
        <v>West</v>
      </c>
      <c r="G33" s="16">
        <f t="array" ref="G33">IFERROR(INDEX('Halo Reach Stats'!$1:$46,MATCH($B33,'Halo Reach Stats'!$A:$A,0),5),"")</f>
        <v>5</v>
      </c>
      <c r="H33" s="16">
        <f t="array" ref="H33">IFERROR(INDEX('Halo Reach Stats'!$1:$46,MATCH($B33,'Halo Reach Stats'!$A:$A,0),6),"")</f>
        <v>3</v>
      </c>
      <c r="I33" s="16">
        <f t="array" ref="I33">IFERROR(INDEX('Halo Reach Stats'!$1:$46,MATCH($B33,'Halo Reach Stats'!$A:$A,0),7),"")</f>
        <v>1396</v>
      </c>
      <c r="J33" s="16">
        <f t="array" ref="J33">IFERROR(INDEX('Halo Reach Stats'!$1:$46,MATCH($B33,'Halo Reach Stats'!$A:$A,0),8),"")</f>
        <v>1545</v>
      </c>
      <c r="K33" s="16">
        <f t="array" ref="K33">IFERROR(INDEX('Halo Reach Stats'!$1:$46,MATCH($B33,'Halo Reach Stats'!$A:$A,0),9),"")</f>
        <v>-149</v>
      </c>
      <c r="L33" s="514">
        <f t="shared" si="24"/>
        <v>0.9035598706</v>
      </c>
      <c r="M33" s="16">
        <f t="array" ref="M33">IFERROR(INDEX('Halo Reach Stats'!$1:$46,MATCH($B33,'Halo Reach Stats'!$A:$A,0),10),"")</f>
        <v>98</v>
      </c>
      <c r="N33" s="16">
        <f t="array" ref="N33">IFERROR(INDEX('Halo Reach Stats'!$1:$46,MATCH($B33,'Halo Reach Stats'!$A:$A,0),11),"")</f>
        <v>7</v>
      </c>
      <c r="O33" s="16">
        <f t="array" ref="O33">IFERROR(INDEX('Halo Reach Stats'!$1:$46,MATCH($B33,'Halo Reach Stats'!$A:$A,0),12),"")</f>
        <v>32</v>
      </c>
      <c r="P33" s="16">
        <f t="array" ref="P33">IFERROR(INDEX('Halo Reach Stats'!$1:$46,MATCH($B33,'Halo Reach Stats'!$A:$A,0),14),"")</f>
        <v>27738</v>
      </c>
      <c r="Q33" s="16">
        <f t="array" ref="Q33">IFERROR(INDEX('Halo Reach Stats'!$1:$46,MATCH($B33,'Halo Reach Stats'!$A:$A,0),16),"")</f>
        <v>216</v>
      </c>
      <c r="R33" s="16">
        <f t="array" ref="R33">IFERROR(INDEX('Halo Reach Stats'!$1:$46,MATCH($B33,'Halo Reach Stats'!$A:$A,0),15),"")</f>
        <v>14</v>
      </c>
      <c r="S33" s="16">
        <f t="array" ref="S33">IFERROR(INDEX('Halo Reach Stats'!$1:$46,MATCH($B33,'Halo Reach Stats'!$A:$A,0),18),"")</f>
        <v>19</v>
      </c>
      <c r="T33" s="16">
        <f t="array" ref="T33">IFERROR(INDEX('Halo Reach Stats'!$1:$46,MATCH($B33,'Halo Reach Stats'!$A:$A,0),19),"")</f>
        <v>0</v>
      </c>
      <c r="U33" s="16">
        <f t="array" ref="U33">IFERROR(INDEX('Halo Reach Stats'!$1:$46,MATCH($B33,'Halo Reach Stats'!$A:$A,0),20),"")</f>
        <v>0</v>
      </c>
      <c r="V33" s="16">
        <f t="array" ref="V33">IFERROR(INDEX('Halo Reach Stats'!$1:$46,MATCH($B33,'Halo Reach Stats'!$A:$A,0),21),"")</f>
        <v>0</v>
      </c>
      <c r="W33" s="16">
        <f t="array" ref="W33">IFERROR(INDEX('Halo Reach Stats'!$1:$46,MATCH($B33,'Halo Reach Stats'!$A:$A,0),22),"")</f>
        <v>16</v>
      </c>
      <c r="X33" s="16">
        <f t="array" ref="X33">IFERROR(INDEX('Halo Reach Stats'!$1:$46,MATCH($B33,'Halo Reach Stats'!$A:$A,0),23),"")</f>
        <v>0</v>
      </c>
      <c r="Y33" s="16">
        <f t="array" ref="Y33">IFERROR(INDEX('Halo Reach Stats'!$1:$46,MATCH($B33,'Halo Reach Stats'!$A:$A,0),24),"")</f>
        <v>162</v>
      </c>
      <c r="Z33" s="16">
        <f t="array" ref="Z33">IFERROR(INDEX('Halo Reach Stats'!$1:$46,MATCH($B33,'Halo Reach Stats'!$A:$A,0),25),"")</f>
        <v>28</v>
      </c>
      <c r="AA33" s="16">
        <f t="array" ref="AA33">IFERROR(INDEX('Halo Reach Stats'!$1:$46,MATCH($B33,'Halo Reach Stats'!$A:$A,0),26),"")</f>
        <v>5</v>
      </c>
      <c r="AB33" s="16">
        <f t="array" ref="AB33">IFERROR(INDEX('Halo Reach Stats'!$1:$46,MATCH($B33,'Halo Reach Stats'!$A:$A,0),27),"")</f>
        <v>2</v>
      </c>
      <c r="AC33" s="16">
        <f t="array" ref="AC33">IFERROR(INDEX('Halo Reach Stats'!$1:$46,MATCH($B33,'Halo Reach Stats'!$A:$A,0),28),"")</f>
        <v>1</v>
      </c>
      <c r="AD33" s="16">
        <f t="array" ref="AD33">IFERROR(INDEX('Halo Reach Stats'!$1:$46,MATCH($B33,'Halo Reach Stats'!$A:$A,0),29),"")</f>
        <v>0</v>
      </c>
      <c r="AE33" s="16">
        <f t="array" ref="AE33">IFERROR(INDEX('Halo Reach Stats'!$1:$46,MATCH($B33,'Halo Reach Stats'!$A:$A,0),30),"")</f>
        <v>0</v>
      </c>
      <c r="AF33" s="16">
        <f t="array" ref="AF33">IFERROR(INDEX('Halo Reach Stats'!$1:$46,MATCH($B33,'Halo Reach Stats'!$A:$A,0),31),"")</f>
        <v>0</v>
      </c>
      <c r="AG33" s="16">
        <f t="array" ref="AG33">IFERROR(INDEX('Halo Reach Stats'!$1:$46,MATCH($B33,'Halo Reach Stats'!$A:$A,0),32),"")</f>
        <v>0</v>
      </c>
      <c r="AH33" s="16">
        <f t="array" ref="AH33">IFERROR(INDEX('Halo Reach Stats'!$1:$46,MATCH($B33,'Halo Reach Stats'!$A:$A,0),33),"")</f>
        <v>0</v>
      </c>
      <c r="AI33" s="16">
        <f t="array" ref="AI33">IFERROR(INDEX('Halo Reach Stats'!$1:$46,MATCH($B33,'Halo Reach Stats'!$A:$A,0),34),"")</f>
        <v>33</v>
      </c>
      <c r="AJ33" s="16">
        <f t="array" ref="AJ33">IFERROR(INDEX('Halo Reach Stats'!$1:$46,MATCH($B33,'Halo Reach Stats'!$A:$A,0),35),"")</f>
        <v>0</v>
      </c>
      <c r="AK33" s="16">
        <f t="array" ref="AK33">IFERROR(INDEX('Halo Reach Stats'!$1:$46,MATCH($B33,'Halo Reach Stats'!$A:$A,0),36),"")</f>
        <v>148</v>
      </c>
      <c r="AL33" s="16">
        <f t="array" ref="AL33">IFERROR(INDEX('Halo Reach Stats'!$1:$46,MATCH($B33,'Halo Reach Stats'!$A:$A,0),37),"")</f>
        <v>195</v>
      </c>
      <c r="AM33" s="16">
        <f t="array" ref="AM33">IFERROR(INDEX('Halo Reach Stats'!$1:$46,MATCH($B33,'Halo Reach Stats'!$A:$A,0),38),"")</f>
        <v>9</v>
      </c>
    </row>
    <row r="34">
      <c r="A34" s="517" t="str">
        <f>VLOOKUP(A32,TeamInfo!$1:$49,6,0)</f>
        <v>7-9</v>
      </c>
      <c r="B34" s="1" t="str">
        <f t="array" ref="B34">IFERROR(INDEX(TeamInfo!$C3:$C$45,MATCH($A$32,TeamInfo!A:A,0),0),"")</f>
        <v>CaptainSev004</v>
      </c>
      <c r="C34" s="14" t="str">
        <f t="array" ref="C34">IFERROR(INDEX('Player Efficiency'!$1:$45,MATCH(B34,'Player Efficiency'!A:A,0),2),"")</f>
        <v/>
      </c>
      <c r="D34" s="512" t="str">
        <f t="array" ref="D34">IFERROR(INDEX('PlayerGrades+'!$1:$47,MATCH(B34,'PlayerGrades+'!L:L,0),22),"")</f>
        <v>E</v>
      </c>
      <c r="E34" s="512">
        <f t="array" ref="E34">IFERROR(INDEX('PlayerGrades+'!$1:$47,MATCH(B34,'PlayerGrades+'!L:L,0),23),"")</f>
        <v>13.3</v>
      </c>
      <c r="F34" s="16" t="str">
        <f t="array" ref="F34">IFERROR(INDEX(TeamInfo!$D3:$D$45,MATCH($A$32,TeamInfo!A:A,0),0),"")</f>
        <v>West Europe</v>
      </c>
      <c r="G34" s="16">
        <f t="array" ref="G34">IFERROR(INDEX('Halo Reach Stats'!$1:$46,MATCH($B34,'Halo Reach Stats'!$A:$A,0),5),"")</f>
        <v>2</v>
      </c>
      <c r="H34" s="16">
        <f t="array" ref="H34">IFERROR(INDEX('Halo Reach Stats'!$1:$46,MATCH($B34,'Halo Reach Stats'!$A:$A,0),6),"")</f>
        <v>4</v>
      </c>
      <c r="I34" s="16">
        <f t="array" ref="I34">IFERROR(INDEX('Halo Reach Stats'!$1:$46,MATCH($B34,'Halo Reach Stats'!$A:$A,0),7),"")</f>
        <v>860</v>
      </c>
      <c r="J34" s="16">
        <f t="array" ref="J34">IFERROR(INDEX('Halo Reach Stats'!$1:$46,MATCH($B34,'Halo Reach Stats'!$A:$A,0),8),"")</f>
        <v>1053</v>
      </c>
      <c r="K34" s="16">
        <f t="array" ref="K34">IFERROR(INDEX('Halo Reach Stats'!$1:$46,MATCH($B34,'Halo Reach Stats'!$A:$A,0),9),"")</f>
        <v>-193</v>
      </c>
      <c r="L34" s="514">
        <f t="shared" si="24"/>
        <v>0.81671415</v>
      </c>
      <c r="M34" s="16">
        <f t="array" ref="M34">IFERROR(INDEX('Halo Reach Stats'!$1:$46,MATCH($B34,'Halo Reach Stats'!$A:$A,0),10),"")</f>
        <v>53</v>
      </c>
      <c r="N34" s="16">
        <f t="array" ref="N34">IFERROR(INDEX('Halo Reach Stats'!$1:$46,MATCH($B34,'Halo Reach Stats'!$A:$A,0),11),"")</f>
        <v>6</v>
      </c>
      <c r="O34" s="16">
        <f t="array" ref="O34">IFERROR(INDEX('Halo Reach Stats'!$1:$46,MATCH($B34,'Halo Reach Stats'!$A:$A,0),12),"")</f>
        <v>15</v>
      </c>
      <c r="P34" s="16">
        <f t="array" ref="P34">IFERROR(INDEX('Halo Reach Stats'!$1:$46,MATCH($B34,'Halo Reach Stats'!$A:$A,0),14),"")</f>
        <v>18500</v>
      </c>
      <c r="Q34" s="16">
        <f t="array" ref="Q34">IFERROR(INDEX('Halo Reach Stats'!$1:$46,MATCH($B34,'Halo Reach Stats'!$A:$A,0),16),"")</f>
        <v>148</v>
      </c>
      <c r="R34" s="16">
        <f t="array" ref="R34">IFERROR(INDEX('Halo Reach Stats'!$1:$46,MATCH($B34,'Halo Reach Stats'!$A:$A,0),15),"")</f>
        <v>13</v>
      </c>
      <c r="S34" s="16">
        <f t="array" ref="S34">IFERROR(INDEX('Halo Reach Stats'!$1:$46,MATCH($B34,'Halo Reach Stats'!$A:$A,0),18),"")</f>
        <v>7</v>
      </c>
      <c r="T34" s="16">
        <f t="array" ref="T34">IFERROR(INDEX('Halo Reach Stats'!$1:$46,MATCH($B34,'Halo Reach Stats'!$A:$A,0),19),"")</f>
        <v>0</v>
      </c>
      <c r="U34" s="16">
        <f t="array" ref="U34">IFERROR(INDEX('Halo Reach Stats'!$1:$46,MATCH($B34,'Halo Reach Stats'!$A:$A,0),20),"")</f>
        <v>0</v>
      </c>
      <c r="V34" s="16">
        <f t="array" ref="V34">IFERROR(INDEX('Halo Reach Stats'!$1:$46,MATCH($B34,'Halo Reach Stats'!$A:$A,0),21),"")</f>
        <v>0</v>
      </c>
      <c r="W34" s="16">
        <f t="array" ref="W34">IFERROR(INDEX('Halo Reach Stats'!$1:$46,MATCH($B34,'Halo Reach Stats'!$A:$A,0),22),"")</f>
        <v>6</v>
      </c>
      <c r="X34" s="16">
        <f t="array" ref="X34">IFERROR(INDEX('Halo Reach Stats'!$1:$46,MATCH($B34,'Halo Reach Stats'!$A:$A,0),23),"")</f>
        <v>0</v>
      </c>
      <c r="Y34" s="16">
        <f t="array" ref="Y34">IFERROR(INDEX('Halo Reach Stats'!$1:$46,MATCH($B34,'Halo Reach Stats'!$A:$A,0),24),"")</f>
        <v>101</v>
      </c>
      <c r="Z34" s="16">
        <f t="array" ref="Z34">IFERROR(INDEX('Halo Reach Stats'!$1:$46,MATCH($B34,'Halo Reach Stats'!$A:$A,0),25),"")</f>
        <v>11</v>
      </c>
      <c r="AA34" s="16">
        <f t="array" ref="AA34">IFERROR(INDEX('Halo Reach Stats'!$1:$46,MATCH($B34,'Halo Reach Stats'!$A:$A,0),26),"")</f>
        <v>0</v>
      </c>
      <c r="AB34" s="16">
        <f t="array" ref="AB34">IFERROR(INDEX('Halo Reach Stats'!$1:$46,MATCH($B34,'Halo Reach Stats'!$A:$A,0),27),"")</f>
        <v>0</v>
      </c>
      <c r="AC34" s="16">
        <f t="array" ref="AC34">IFERROR(INDEX('Halo Reach Stats'!$1:$46,MATCH($B34,'Halo Reach Stats'!$A:$A,0),28),"")</f>
        <v>0</v>
      </c>
      <c r="AD34" s="16">
        <f t="array" ref="AD34">IFERROR(INDEX('Halo Reach Stats'!$1:$46,MATCH($B34,'Halo Reach Stats'!$A:$A,0),29),"")</f>
        <v>0</v>
      </c>
      <c r="AE34" s="16">
        <f t="array" ref="AE34">IFERROR(INDEX('Halo Reach Stats'!$1:$46,MATCH($B34,'Halo Reach Stats'!$A:$A,0),30),"")</f>
        <v>0</v>
      </c>
      <c r="AF34" s="16">
        <f t="array" ref="AF34">IFERROR(INDEX('Halo Reach Stats'!$1:$46,MATCH($B34,'Halo Reach Stats'!$A:$A,0),31),"")</f>
        <v>0</v>
      </c>
      <c r="AG34" s="16">
        <f t="array" ref="AG34">IFERROR(INDEX('Halo Reach Stats'!$1:$46,MATCH($B34,'Halo Reach Stats'!$A:$A,0),32),"")</f>
        <v>0</v>
      </c>
      <c r="AH34" s="16">
        <f t="array" ref="AH34">IFERROR(INDEX('Halo Reach Stats'!$1:$46,MATCH($B34,'Halo Reach Stats'!$A:$A,0),33),"")</f>
        <v>0</v>
      </c>
      <c r="AI34" s="16">
        <f t="array" ref="AI34">IFERROR(INDEX('Halo Reach Stats'!$1:$46,MATCH($B34,'Halo Reach Stats'!$A:$A,0),34),"")</f>
        <v>30</v>
      </c>
      <c r="AJ34" s="16">
        <f t="array" ref="AJ34">IFERROR(INDEX('Halo Reach Stats'!$1:$46,MATCH($B34,'Halo Reach Stats'!$A:$A,0),35),"")</f>
        <v>0</v>
      </c>
      <c r="AK34" s="16">
        <f t="array" ref="AK34">IFERROR(INDEX('Halo Reach Stats'!$1:$46,MATCH($B34,'Halo Reach Stats'!$A:$A,0),36),"")</f>
        <v>108</v>
      </c>
      <c r="AL34" s="16">
        <f t="array" ref="AL34">IFERROR(INDEX('Halo Reach Stats'!$1:$46,MATCH($B34,'Halo Reach Stats'!$A:$A,0),37),"")</f>
        <v>127</v>
      </c>
      <c r="AM34" s="16">
        <f t="array" ref="AM34">IFERROR(INDEX('Halo Reach Stats'!$1:$46,MATCH($B34,'Halo Reach Stats'!$A:$A,0),38),"")</f>
        <v>5</v>
      </c>
    </row>
    <row r="35">
      <c r="A35" s="518" t="str">
        <f>IF(((E32+E33+E34+E35)/4)&lt;='PlayerGrades+'!$Y$44,"F-",IF(((E32+E33+E34+E35)/4)&lt;'PlayerGrades+'!$Y$43,"F",IF(((E32+E33+E34+E35)/4)&lt;'PlayerGrades+'!$Y$42,"F+",IF(((E32+E33+E34+E35)/4)&lt;'PlayerGrades+'!$Y$41,"E-",IF(((E32+E33+E34+E35)/4)&lt;'PlayerGrades+'!$Y$40,"E",IF(((E32+E33+E34+E35)/4)&lt;'PlayerGrades+'!$Y$39,"E+",IF(((E32+E33+E34+E35)/4)&lt;'PlayerGrades+'!$Y$38,"D-",IF(((E32+E33+E34+E35)/4)&lt;'PlayerGrades+'!$Y$37,"D",IF(((E32+E33+E34+E35)/4)&lt;'PlayerGrades+'!$Y$36,"D+",IF(((E32+E33+E34+E35)/4)&lt;'PlayerGrades+'!$Y$35,"C-",IF(((E32+E33+E34+E35)/4)&lt;'PlayerGrades+'!$Y$34,"C",IF(((E32+E33+E34+E35)/4)&lt;'PlayerGrades+'!$Y$33,"C+",IF(((E32+E33+E34+E35)/4)&lt;'PlayerGrades+'!$Y$32,"B-",IF(((E32+E33+E34+E35)/4)&lt;'PlayerGrades+'!$Y$31,"B",IF(((E32+E33+E34+E35)/4)&lt;'PlayerGrades+'!$Y$30,"B+",IF(((E32+E33+E34+E35)/4)&lt;'PlayerGrades+'!$Y$29,"A-",IF(((E32+E33+E34+E35)/4)&lt;'PlayerGrades+'!$Y$28,"A",IF(((E32+E33+E34+E35)/4)&lt;'PlayerGrades+'!$Y$27,"A+",IF(((E32+E33+E34+E35)/4)&lt;'PlayerGrades+'!$Y$26,"S-",IF(((E32+E33+E34+E35)/4)&lt;'PlayerGrades+'!$Y$25,"S","S+"))))))))))))))))))))</f>
        <v>D</v>
      </c>
      <c r="B35" s="1" t="str">
        <f t="array" ref="B35">IFERROR(INDEX(TeamInfo!$C4:$C$45,MATCH($A$32,TeamInfo!A:A,0),0),"")</f>
        <v>Doerstopper</v>
      </c>
      <c r="C35" s="14" t="str">
        <f t="array" ref="C35">IFERROR(INDEX('Player Efficiency'!$1:$45,MATCH(B35,'Player Efficiency'!A:A,0),2),"")</f>
        <v/>
      </c>
      <c r="D35" s="512" t="str">
        <f t="array" ref="D35">IFERROR(INDEX('PlayerGrades+'!$1:$47,MATCH(B35,'PlayerGrades+'!L:L,0),22),"")</f>
        <v>F-</v>
      </c>
      <c r="E35" s="512">
        <f t="array" ref="E35">IFERROR(INDEX('PlayerGrades+'!$1:$47,MATCH(B35,'PlayerGrades+'!L:L,0),23),"")</f>
        <v>7.8</v>
      </c>
      <c r="F35" s="16" t="str">
        <f t="array" ref="F35">IFERROR(INDEX(TeamInfo!$D4:$D$45,MATCH($A$32,TeamInfo!A:A,0),0),"")</f>
        <v>North Central</v>
      </c>
      <c r="G35" s="16">
        <f t="array" ref="G35">IFERROR(INDEX('Halo Reach Stats'!$1:$46,MATCH($B35,'Halo Reach Stats'!$A:$A,0),5),"")</f>
        <v>45</v>
      </c>
      <c r="H35" s="16">
        <f t="array" ref="H35">IFERROR(INDEX('Halo Reach Stats'!$1:$46,MATCH($B35,'Halo Reach Stats'!$A:$A,0),6),"")</f>
        <v>145</v>
      </c>
      <c r="I35" s="16">
        <f t="array" ref="I35">IFERROR(INDEX('Halo Reach Stats'!$1:$46,MATCH($B35,'Halo Reach Stats'!$A:$A,0),7),"")</f>
        <v>1169</v>
      </c>
      <c r="J35" s="16">
        <f t="array" ref="J35">IFERROR(INDEX('Halo Reach Stats'!$1:$46,MATCH($B35,'Halo Reach Stats'!$A:$A,0),8),"")</f>
        <v>1778</v>
      </c>
      <c r="K35" s="16">
        <f t="array" ref="K35">IFERROR(INDEX('Halo Reach Stats'!$1:$46,MATCH($B35,'Halo Reach Stats'!$A:$A,0),9),"")</f>
        <v>-609</v>
      </c>
      <c r="L35" s="514">
        <f t="shared" si="24"/>
        <v>0.657480315</v>
      </c>
      <c r="M35" s="16">
        <f t="array" ref="M35">IFERROR(INDEX('Halo Reach Stats'!$1:$46,MATCH($B35,'Halo Reach Stats'!$A:$A,0),10),"")</f>
        <v>26</v>
      </c>
      <c r="N35" s="16">
        <f t="array" ref="N35">IFERROR(INDEX('Halo Reach Stats'!$1:$46,MATCH($B35,'Halo Reach Stats'!$A:$A,0),11),"")</f>
        <v>7</v>
      </c>
      <c r="O35" s="16">
        <f t="array" ref="O35">IFERROR(INDEX('Halo Reach Stats'!$1:$46,MATCH($B35,'Halo Reach Stats'!$A:$A,0),12),"")</f>
        <v>11</v>
      </c>
      <c r="P35" s="16">
        <f t="array" ref="P35">IFERROR(INDEX('Halo Reach Stats'!$1:$46,MATCH($B35,'Halo Reach Stats'!$A:$A,0),14),"")</f>
        <v>33421</v>
      </c>
      <c r="Q35" s="16">
        <f t="array" ref="Q35">IFERROR(INDEX('Halo Reach Stats'!$1:$46,MATCH($B35,'Halo Reach Stats'!$A:$A,0),16),"")</f>
        <v>10839</v>
      </c>
      <c r="R35" s="16">
        <f t="array" ref="R35">IFERROR(INDEX('Halo Reach Stats'!$1:$46,MATCH($B35,'Halo Reach Stats'!$A:$A,0),15),"")</f>
        <v>14</v>
      </c>
      <c r="S35" s="16">
        <f t="array" ref="S35">IFERROR(INDEX('Halo Reach Stats'!$1:$46,MATCH($B35,'Halo Reach Stats'!$A:$A,0),18),"")</f>
        <v>6</v>
      </c>
      <c r="T35" s="16">
        <f t="array" ref="T35">IFERROR(INDEX('Halo Reach Stats'!$1:$46,MATCH($B35,'Halo Reach Stats'!$A:$A,0),19),"")</f>
        <v>0</v>
      </c>
      <c r="U35" s="16">
        <f t="array" ref="U35">IFERROR(INDEX('Halo Reach Stats'!$1:$46,MATCH($B35,'Halo Reach Stats'!$A:$A,0),20),"")</f>
        <v>0</v>
      </c>
      <c r="V35" s="16">
        <f t="array" ref="V35">IFERROR(INDEX('Halo Reach Stats'!$1:$46,MATCH($B35,'Halo Reach Stats'!$A:$A,0),21),"")</f>
        <v>0</v>
      </c>
      <c r="W35" s="16">
        <f t="array" ref="W35">IFERROR(INDEX('Halo Reach Stats'!$1:$46,MATCH($B35,'Halo Reach Stats'!$A:$A,0),22),"")</f>
        <v>0</v>
      </c>
      <c r="X35" s="16">
        <f t="array" ref="X35">IFERROR(INDEX('Halo Reach Stats'!$1:$46,MATCH($B35,'Halo Reach Stats'!$A:$A,0),23),"")</f>
        <v>1</v>
      </c>
      <c r="Y35" s="16">
        <f t="array" ref="Y35">IFERROR(INDEX('Halo Reach Stats'!$1:$46,MATCH($B35,'Halo Reach Stats'!$A:$A,0),24),"")</f>
        <v>97</v>
      </c>
      <c r="Z35" s="16">
        <f t="array" ref="Z35">IFERROR(INDEX('Halo Reach Stats'!$1:$46,MATCH($B35,'Halo Reach Stats'!$A:$A,0),25),"")</f>
        <v>6</v>
      </c>
      <c r="AA35" s="16">
        <f t="array" ref="AA35">IFERROR(INDEX('Halo Reach Stats'!$1:$46,MATCH($B35,'Halo Reach Stats'!$A:$A,0),26),"")</f>
        <v>1</v>
      </c>
      <c r="AB35" s="16">
        <f t="array" ref="AB35">IFERROR(INDEX('Halo Reach Stats'!$1:$46,MATCH($B35,'Halo Reach Stats'!$A:$A,0),27),"")</f>
        <v>1</v>
      </c>
      <c r="AC35" s="16">
        <f t="array" ref="AC35">IFERROR(INDEX('Halo Reach Stats'!$1:$46,MATCH($B35,'Halo Reach Stats'!$A:$A,0),28),"")</f>
        <v>0</v>
      </c>
      <c r="AD35" s="16">
        <f t="array" ref="AD35">IFERROR(INDEX('Halo Reach Stats'!$1:$46,MATCH($B35,'Halo Reach Stats'!$A:$A,0),29),"")</f>
        <v>0</v>
      </c>
      <c r="AE35" s="16">
        <f t="array" ref="AE35">IFERROR(INDEX('Halo Reach Stats'!$1:$46,MATCH($B35,'Halo Reach Stats'!$A:$A,0),30),"")</f>
        <v>0</v>
      </c>
      <c r="AF35" s="16">
        <f t="array" ref="AF35">IFERROR(INDEX('Halo Reach Stats'!$1:$46,MATCH($B35,'Halo Reach Stats'!$A:$A,0),31),"")</f>
        <v>0</v>
      </c>
      <c r="AG35" s="16">
        <f t="array" ref="AG35">IFERROR(INDEX('Halo Reach Stats'!$1:$46,MATCH($B35,'Halo Reach Stats'!$A:$A,0),32),"")</f>
        <v>0</v>
      </c>
      <c r="AH35" s="16">
        <f t="array" ref="AH35">IFERROR(INDEX('Halo Reach Stats'!$1:$46,MATCH($B35,'Halo Reach Stats'!$A:$A,0),33),"")</f>
        <v>0</v>
      </c>
      <c r="AI35" s="16">
        <f t="array" ref="AI35">IFERROR(INDEX('Halo Reach Stats'!$1:$46,MATCH($B35,'Halo Reach Stats'!$A:$A,0),34),"")</f>
        <v>14</v>
      </c>
      <c r="AJ35" s="16">
        <f t="array" ref="AJ35">IFERROR(INDEX('Halo Reach Stats'!$1:$46,MATCH($B35,'Halo Reach Stats'!$A:$A,0),35),"")</f>
        <v>1</v>
      </c>
      <c r="AK35" s="16">
        <f t="array" ref="AK35">IFERROR(INDEX('Halo Reach Stats'!$1:$46,MATCH($B35,'Halo Reach Stats'!$A:$A,0),36),"")</f>
        <v>151</v>
      </c>
      <c r="AL35" s="16">
        <f t="array" ref="AL35">IFERROR(INDEX('Halo Reach Stats'!$1:$46,MATCH($B35,'Halo Reach Stats'!$A:$A,0),37),"")</f>
        <v>150</v>
      </c>
      <c r="AM35" s="16">
        <f t="array" ref="AM35">IFERROR(INDEX('Halo Reach Stats'!$1:$46,MATCH($B35,'Halo Reach Stats'!$A:$A,0),38),"")</f>
        <v>12</v>
      </c>
    </row>
    <row r="36">
      <c r="A36" s="532"/>
      <c r="B36" s="520" t="s">
        <v>354</v>
      </c>
      <c r="C36" s="533">
        <f>SUM(C32:C35)/4</f>
        <v>0</v>
      </c>
      <c r="D36" s="528"/>
      <c r="E36" s="529">
        <f>SUM(E32:E35)/4</f>
        <v>16.4375</v>
      </c>
      <c r="F36" s="524" t="s">
        <v>355</v>
      </c>
      <c r="G36" s="525">
        <f t="shared" ref="G36:K36" si="25">SUM(G32:G35)</f>
        <v>53</v>
      </c>
      <c r="H36" s="525">
        <f t="shared" si="25"/>
        <v>157</v>
      </c>
      <c r="I36" s="525">
        <f t="shared" si="25"/>
        <v>5183</v>
      </c>
      <c r="J36" s="525">
        <f t="shared" si="25"/>
        <v>5950</v>
      </c>
      <c r="K36" s="525">
        <f t="shared" si="25"/>
        <v>-767</v>
      </c>
      <c r="L36" s="526">
        <f>SUM(L32:L35)/4</f>
        <v>0.8736634886</v>
      </c>
      <c r="M36" s="525">
        <f t="shared" ref="M36:Q36" si="26">SUM(M32:M35)</f>
        <v>299</v>
      </c>
      <c r="N36" s="525">
        <f t="shared" si="26"/>
        <v>28</v>
      </c>
      <c r="O36" s="525">
        <f t="shared" si="26"/>
        <v>86</v>
      </c>
      <c r="P36" s="525">
        <f t="shared" si="26"/>
        <v>108394</v>
      </c>
      <c r="Q36" s="525">
        <f t="shared" si="26"/>
        <v>11312</v>
      </c>
      <c r="R36" s="525">
        <f>SUM(R32:R35)/4</f>
        <v>13.75</v>
      </c>
      <c r="S36" s="525">
        <f t="shared" ref="S36:AM36" si="27">SUM(S32:S35)</f>
        <v>66</v>
      </c>
      <c r="T36" s="525">
        <f t="shared" si="27"/>
        <v>0</v>
      </c>
      <c r="U36" s="525">
        <f t="shared" si="27"/>
        <v>0</v>
      </c>
      <c r="V36" s="525">
        <f t="shared" si="27"/>
        <v>0</v>
      </c>
      <c r="W36" s="525">
        <f t="shared" si="27"/>
        <v>51</v>
      </c>
      <c r="X36" s="525">
        <f t="shared" si="27"/>
        <v>1</v>
      </c>
      <c r="Y36" s="525">
        <f t="shared" si="27"/>
        <v>642</v>
      </c>
      <c r="Z36" s="525">
        <f t="shared" si="27"/>
        <v>97</v>
      </c>
      <c r="AA36" s="525">
        <f t="shared" si="27"/>
        <v>20</v>
      </c>
      <c r="AB36" s="525">
        <f t="shared" si="27"/>
        <v>7</v>
      </c>
      <c r="AC36" s="525">
        <f t="shared" si="27"/>
        <v>2</v>
      </c>
      <c r="AD36" s="525">
        <f t="shared" si="27"/>
        <v>0</v>
      </c>
      <c r="AE36" s="525">
        <f t="shared" si="27"/>
        <v>0</v>
      </c>
      <c r="AF36" s="525">
        <f t="shared" si="27"/>
        <v>0</v>
      </c>
      <c r="AG36" s="525">
        <f t="shared" si="27"/>
        <v>0</v>
      </c>
      <c r="AH36" s="525">
        <f t="shared" si="27"/>
        <v>0</v>
      </c>
      <c r="AI36" s="525">
        <f t="shared" si="27"/>
        <v>131</v>
      </c>
      <c r="AJ36" s="525">
        <f t="shared" si="27"/>
        <v>1</v>
      </c>
      <c r="AK36" s="525">
        <f t="shared" si="27"/>
        <v>622</v>
      </c>
      <c r="AL36" s="525">
        <f t="shared" si="27"/>
        <v>721</v>
      </c>
      <c r="AM36" s="525">
        <f t="shared" si="27"/>
        <v>42</v>
      </c>
    </row>
    <row r="37">
      <c r="A37" s="534" t="s">
        <v>362</v>
      </c>
      <c r="B37" s="530" t="str">
        <f t="array" ref="B37">IFERROR(INDEX(TeamInfo!$C1:$C$45,MATCH($A$37,TeamInfo!A:A,0),0),"")</f>
        <v>oDhmon</v>
      </c>
      <c r="C37" s="14" t="str">
        <f t="array" ref="C37">IFERROR(INDEX('Player Efficiency'!$1:$45,MATCH(B37,'Player Efficiency'!A:A,0),2),"")</f>
        <v/>
      </c>
      <c r="D37" s="512" t="str">
        <f t="array" ref="D37">IFERROR(INDEX('PlayerGrades+'!$1:$47,MATCH(B37,'PlayerGrades+'!L:L,0),22),"")</f>
        <v>S-</v>
      </c>
      <c r="E37" s="512">
        <f t="array" ref="E37">IFERROR(INDEX('PlayerGrades+'!$1:$47,MATCH(B37,'PlayerGrades+'!L:L,0),23),"")</f>
        <v>31.4</v>
      </c>
      <c r="F37" s="513" t="str">
        <f t="array" ref="F37">IFERROR(INDEX(TeamInfo!$D1:$D$45,MATCH($A$37,TeamInfo!A:A,0),0),"")</f>
        <v>East</v>
      </c>
      <c r="G37" s="16">
        <f t="array" ref="G37">IFERROR(INDEX('Halo Reach Stats'!$1:$46,MATCH($B37,'Halo Reach Stats'!$A:$A,0),5),"")</f>
        <v>12</v>
      </c>
      <c r="H37" s="16">
        <f t="array" ref="H37">IFERROR(INDEX('Halo Reach Stats'!$1:$46,MATCH($B37,'Halo Reach Stats'!$A:$A,0),6),"")</f>
        <v>26</v>
      </c>
      <c r="I37" s="16">
        <f t="array" ref="I37">IFERROR(INDEX('Halo Reach Stats'!$1:$46,MATCH($B37,'Halo Reach Stats'!$A:$A,0),7),"")</f>
        <v>2828</v>
      </c>
      <c r="J37" s="16">
        <f t="array" ref="J37">IFERROR(INDEX('Halo Reach Stats'!$1:$46,MATCH($B37,'Halo Reach Stats'!$A:$A,0),8),"")</f>
        <v>2136</v>
      </c>
      <c r="K37" s="16">
        <f t="array" ref="K37">IFERROR(INDEX('Halo Reach Stats'!$1:$46,MATCH($B37,'Halo Reach Stats'!$A:$A,0),9),"")</f>
        <v>692</v>
      </c>
      <c r="L37" s="514">
        <f t="shared" ref="L37:L40" si="28">I37/J37</f>
        <v>1.323970037</v>
      </c>
      <c r="M37" s="16">
        <f t="array" ref="M37">IFERROR(INDEX('Halo Reach Stats'!$1:$46,MATCH($B37,'Halo Reach Stats'!$A:$A,0),10),"")</f>
        <v>147</v>
      </c>
      <c r="N37" s="16">
        <f t="array" ref="N37">IFERROR(INDEX('Halo Reach Stats'!$1:$46,MATCH($B37,'Halo Reach Stats'!$A:$A,0),11),"")</f>
        <v>9</v>
      </c>
      <c r="O37" s="16">
        <f t="array" ref="O37">IFERROR(INDEX('Halo Reach Stats'!$1:$46,MATCH($B37,'Halo Reach Stats'!$A:$A,0),12),"")</f>
        <v>37</v>
      </c>
      <c r="P37" s="16">
        <f t="array" ref="P37">IFERROR(INDEX('Halo Reach Stats'!$1:$46,MATCH($B37,'Halo Reach Stats'!$A:$A,0),14),"")</f>
        <v>44233</v>
      </c>
      <c r="Q37" s="16">
        <f t="array" ref="Q37">IFERROR(INDEX('Halo Reach Stats'!$1:$46,MATCH($B37,'Halo Reach Stats'!$A:$A,0),16),"")</f>
        <v>1605</v>
      </c>
      <c r="R37" s="16">
        <f t="array" ref="R37">IFERROR(INDEX('Halo Reach Stats'!$1:$46,MATCH($B37,'Halo Reach Stats'!$A:$A,0),15),"")</f>
        <v>16</v>
      </c>
      <c r="S37" s="16">
        <f t="array" ref="S37">IFERROR(INDEX('Halo Reach Stats'!$1:$46,MATCH($B37,'Halo Reach Stats'!$A:$A,0),18),"")</f>
        <v>68</v>
      </c>
      <c r="T37" s="16">
        <f t="array" ref="T37">IFERROR(INDEX('Halo Reach Stats'!$1:$46,MATCH($B37,'Halo Reach Stats'!$A:$A,0),19),"")</f>
        <v>0</v>
      </c>
      <c r="U37" s="16">
        <f t="array" ref="U37">IFERROR(INDEX('Halo Reach Stats'!$1:$46,MATCH($B37,'Halo Reach Stats'!$A:$A,0),20),"")</f>
        <v>0</v>
      </c>
      <c r="V37" s="16">
        <f t="array" ref="V37">IFERROR(INDEX('Halo Reach Stats'!$1:$46,MATCH($B37,'Halo Reach Stats'!$A:$A,0),21),"")</f>
        <v>0</v>
      </c>
      <c r="W37" s="16">
        <f t="array" ref="W37">IFERROR(INDEX('Halo Reach Stats'!$1:$46,MATCH($B37,'Halo Reach Stats'!$A:$A,0),22),"")</f>
        <v>61</v>
      </c>
      <c r="X37" s="16">
        <f t="array" ref="X37">IFERROR(INDEX('Halo Reach Stats'!$1:$46,MATCH($B37,'Halo Reach Stats'!$A:$A,0),23),"")</f>
        <v>0</v>
      </c>
      <c r="Y37" s="16">
        <f t="array" ref="Y37">IFERROR(INDEX('Halo Reach Stats'!$1:$46,MATCH($B37,'Halo Reach Stats'!$A:$A,0),24),"")</f>
        <v>472</v>
      </c>
      <c r="Z37" s="16">
        <f t="array" ref="Z37">IFERROR(INDEX('Halo Reach Stats'!$1:$46,MATCH($B37,'Halo Reach Stats'!$A:$A,0),25),"")</f>
        <v>73</v>
      </c>
      <c r="AA37" s="16">
        <f t="array" ref="AA37">IFERROR(INDEX('Halo Reach Stats'!$1:$46,MATCH($B37,'Halo Reach Stats'!$A:$A,0),26),"")</f>
        <v>13</v>
      </c>
      <c r="AB37" s="16">
        <f t="array" ref="AB37">IFERROR(INDEX('Halo Reach Stats'!$1:$46,MATCH($B37,'Halo Reach Stats'!$A:$A,0),27),"")</f>
        <v>3</v>
      </c>
      <c r="AC37" s="16">
        <f t="array" ref="AC37">IFERROR(INDEX('Halo Reach Stats'!$1:$46,MATCH($B37,'Halo Reach Stats'!$A:$A,0),28),"")</f>
        <v>2</v>
      </c>
      <c r="AD37" s="16">
        <f t="array" ref="AD37">IFERROR(INDEX('Halo Reach Stats'!$1:$46,MATCH($B37,'Halo Reach Stats'!$A:$A,0),29),"")</f>
        <v>1</v>
      </c>
      <c r="AE37" s="16">
        <f t="array" ref="AE37">IFERROR(INDEX('Halo Reach Stats'!$1:$46,MATCH($B37,'Halo Reach Stats'!$A:$A,0),30),"")</f>
        <v>0</v>
      </c>
      <c r="AF37" s="16">
        <f t="array" ref="AF37">IFERROR(INDEX('Halo Reach Stats'!$1:$46,MATCH($B37,'Halo Reach Stats'!$A:$A,0),31),"")</f>
        <v>0</v>
      </c>
      <c r="AG37" s="16">
        <f t="array" ref="AG37">IFERROR(INDEX('Halo Reach Stats'!$1:$46,MATCH($B37,'Halo Reach Stats'!$A:$A,0),32),"")</f>
        <v>0</v>
      </c>
      <c r="AH37" s="16">
        <f t="array" ref="AH37">IFERROR(INDEX('Halo Reach Stats'!$1:$46,MATCH($B37,'Halo Reach Stats'!$A:$A,0),33),"")</f>
        <v>0</v>
      </c>
      <c r="AI37" s="16">
        <f t="array" ref="AI37">IFERROR(INDEX('Halo Reach Stats'!$1:$46,MATCH($B37,'Halo Reach Stats'!$A:$A,0),34),"")</f>
        <v>221</v>
      </c>
      <c r="AJ37" s="16">
        <f t="array" ref="AJ37">IFERROR(INDEX('Halo Reach Stats'!$1:$46,MATCH($B37,'Halo Reach Stats'!$A:$A,0),35),"")</f>
        <v>0</v>
      </c>
      <c r="AK37" s="16">
        <f t="array" ref="AK37">IFERROR(INDEX('Halo Reach Stats'!$1:$46,MATCH($B37,'Halo Reach Stats'!$A:$A,0),36),"")</f>
        <v>318</v>
      </c>
      <c r="AL37" s="16">
        <f t="array" ref="AL37">IFERROR(INDEX('Halo Reach Stats'!$1:$46,MATCH($B37,'Halo Reach Stats'!$A:$A,0),37),"")</f>
        <v>311</v>
      </c>
      <c r="AM37" s="16">
        <f t="array" ref="AM37">IFERROR(INDEX('Halo Reach Stats'!$1:$46,MATCH($B37,'Halo Reach Stats'!$A:$A,0),38),"")</f>
        <v>17</v>
      </c>
    </row>
    <row r="38">
      <c r="A38" s="531" t="str">
        <f t="array" ref="A38">IFERROR(INDEX(TeamInfo!$1:$45,MATCH(A37,TeamInfo!A:A,0),2),"")</f>
        <v>Yodie Gang</v>
      </c>
      <c r="B38" s="1" t="str">
        <f t="array" ref="B38">IFERROR(INDEX(TeamInfo!$C2:$C$45,MATCH($A$37,TeamInfo!A:A,0),0),"")</f>
        <v>ixGingy</v>
      </c>
      <c r="C38" s="14" t="str">
        <f t="array" ref="C38">IFERROR(INDEX('Player Efficiency'!$1:$45,MATCH(B38,'Player Efficiency'!A:A,0),2),"")</f>
        <v/>
      </c>
      <c r="D38" s="512" t="str">
        <f t="array" ref="D38">IFERROR(INDEX('PlayerGrades+'!$1:$47,MATCH(B38,'PlayerGrades+'!L:L,0),22),"")</f>
        <v>A+</v>
      </c>
      <c r="E38" s="512">
        <f t="array" ref="E38">IFERROR(INDEX('PlayerGrades+'!$1:$47,MATCH(B38,'PlayerGrades+'!L:L,0),23),"")</f>
        <v>29.65</v>
      </c>
      <c r="F38" s="16" t="str">
        <f t="array" ref="F38">IFERROR(INDEX(TeamInfo!$D2:$D$45,MATCH($A$37,TeamInfo!A:A,0),0),"")</f>
        <v>North Central</v>
      </c>
      <c r="G38" s="16">
        <f t="array" ref="G38">IFERROR(INDEX('Halo Reach Stats'!$1:$46,MATCH($B38,'Halo Reach Stats'!$A:$A,0),5),"")</f>
        <v>48</v>
      </c>
      <c r="H38" s="16">
        <f t="array" ref="H38">IFERROR(INDEX('Halo Reach Stats'!$1:$46,MATCH($B38,'Halo Reach Stats'!$A:$A,0),6),"")</f>
        <v>290</v>
      </c>
      <c r="I38" s="16">
        <f t="array" ref="I38">IFERROR(INDEX('Halo Reach Stats'!$1:$46,MATCH($B38,'Halo Reach Stats'!$A:$A,0),7),"")</f>
        <v>4156</v>
      </c>
      <c r="J38" s="16">
        <f t="array" ref="J38">IFERROR(INDEX('Halo Reach Stats'!$1:$46,MATCH($B38,'Halo Reach Stats'!$A:$A,0),8),"")</f>
        <v>3797</v>
      </c>
      <c r="K38" s="16">
        <f t="array" ref="K38">IFERROR(INDEX('Halo Reach Stats'!$1:$46,MATCH($B38,'Halo Reach Stats'!$A:$A,0),9),"")</f>
        <v>359</v>
      </c>
      <c r="L38" s="514">
        <f t="shared" si="28"/>
        <v>1.094548328</v>
      </c>
      <c r="M38" s="16">
        <f t="array" ref="M38">IFERROR(INDEX('Halo Reach Stats'!$1:$46,MATCH($B38,'Halo Reach Stats'!$A:$A,0),10),"")</f>
        <v>273</v>
      </c>
      <c r="N38" s="16">
        <f t="array" ref="N38">IFERROR(INDEX('Halo Reach Stats'!$1:$46,MATCH($B38,'Halo Reach Stats'!$A:$A,0),11),"")</f>
        <v>13</v>
      </c>
      <c r="O38" s="16">
        <f t="array" ref="O38">IFERROR(INDEX('Halo Reach Stats'!$1:$46,MATCH($B38,'Halo Reach Stats'!$A:$A,0),12),"")</f>
        <v>74</v>
      </c>
      <c r="P38" s="16">
        <f t="array" ref="P38">IFERROR(INDEX('Halo Reach Stats'!$1:$46,MATCH($B38,'Halo Reach Stats'!$A:$A,0),14),"")</f>
        <v>72805</v>
      </c>
      <c r="Q38" s="16">
        <f t="array" ref="Q38">IFERROR(INDEX('Halo Reach Stats'!$1:$46,MATCH($B38,'Halo Reach Stats'!$A:$A,0),16),"")</f>
        <v>10023</v>
      </c>
      <c r="R38" s="16">
        <f t="array" ref="R38">IFERROR(INDEX('Halo Reach Stats'!$1:$46,MATCH($B38,'Halo Reach Stats'!$A:$A,0),15),"")</f>
        <v>15</v>
      </c>
      <c r="S38" s="16">
        <f t="array" ref="S38">IFERROR(INDEX('Halo Reach Stats'!$1:$46,MATCH($B38,'Halo Reach Stats'!$A:$A,0),18),"")</f>
        <v>84</v>
      </c>
      <c r="T38" s="16">
        <f t="array" ref="T38">IFERROR(INDEX('Halo Reach Stats'!$1:$46,MATCH($B38,'Halo Reach Stats'!$A:$A,0),19),"")</f>
        <v>3</v>
      </c>
      <c r="U38" s="16">
        <f t="array" ref="U38">IFERROR(INDEX('Halo Reach Stats'!$1:$46,MATCH($B38,'Halo Reach Stats'!$A:$A,0),20),"")</f>
        <v>0</v>
      </c>
      <c r="V38" s="16">
        <f t="array" ref="V38">IFERROR(INDEX('Halo Reach Stats'!$1:$46,MATCH($B38,'Halo Reach Stats'!$A:$A,0),21),"")</f>
        <v>0</v>
      </c>
      <c r="W38" s="16">
        <f t="array" ref="W38">IFERROR(INDEX('Halo Reach Stats'!$1:$46,MATCH($B38,'Halo Reach Stats'!$A:$A,0),22),"")</f>
        <v>46</v>
      </c>
      <c r="X38" s="16">
        <f t="array" ref="X38">IFERROR(INDEX('Halo Reach Stats'!$1:$46,MATCH($B38,'Halo Reach Stats'!$A:$A,0),23),"")</f>
        <v>0</v>
      </c>
      <c r="Y38" s="16">
        <f t="array" ref="Y38">IFERROR(INDEX('Halo Reach Stats'!$1:$46,MATCH($B38,'Halo Reach Stats'!$A:$A,0),24),"")</f>
        <v>608</v>
      </c>
      <c r="Z38" s="16">
        <f t="array" ref="Z38">IFERROR(INDEX('Halo Reach Stats'!$1:$46,MATCH($B38,'Halo Reach Stats'!$A:$A,0),25),"")</f>
        <v>111</v>
      </c>
      <c r="AA38" s="16">
        <f t="array" ref="AA38">IFERROR(INDEX('Halo Reach Stats'!$1:$46,MATCH($B38,'Halo Reach Stats'!$A:$A,0),26),"")</f>
        <v>26</v>
      </c>
      <c r="AB38" s="16">
        <f t="array" ref="AB38">IFERROR(INDEX('Halo Reach Stats'!$1:$46,MATCH($B38,'Halo Reach Stats'!$A:$A,0),27),"")</f>
        <v>5</v>
      </c>
      <c r="AC38" s="16">
        <f t="array" ref="AC38">IFERROR(INDEX('Halo Reach Stats'!$1:$46,MATCH($B38,'Halo Reach Stats'!$A:$A,0),28),"")</f>
        <v>0</v>
      </c>
      <c r="AD38" s="16">
        <f t="array" ref="AD38">IFERROR(INDEX('Halo Reach Stats'!$1:$46,MATCH($B38,'Halo Reach Stats'!$A:$A,0),29),"")</f>
        <v>0</v>
      </c>
      <c r="AE38" s="16">
        <f t="array" ref="AE38">IFERROR(INDEX('Halo Reach Stats'!$1:$46,MATCH($B38,'Halo Reach Stats'!$A:$A,0),30),"")</f>
        <v>0</v>
      </c>
      <c r="AF38" s="16">
        <f t="array" ref="AF38">IFERROR(INDEX('Halo Reach Stats'!$1:$46,MATCH($B38,'Halo Reach Stats'!$A:$A,0),31),"")</f>
        <v>0</v>
      </c>
      <c r="AG38" s="16">
        <f t="array" ref="AG38">IFERROR(INDEX('Halo Reach Stats'!$1:$46,MATCH($B38,'Halo Reach Stats'!$A:$A,0),32),"")</f>
        <v>0</v>
      </c>
      <c r="AH38" s="16">
        <f t="array" ref="AH38">IFERROR(INDEX('Halo Reach Stats'!$1:$46,MATCH($B38,'Halo Reach Stats'!$A:$A,0),33),"")</f>
        <v>0</v>
      </c>
      <c r="AI38" s="16">
        <f t="array" ref="AI38">IFERROR(INDEX('Halo Reach Stats'!$1:$46,MATCH($B38,'Halo Reach Stats'!$A:$A,0),34),"")</f>
        <v>193</v>
      </c>
      <c r="AJ38" s="16">
        <f t="array" ref="AJ38">IFERROR(INDEX('Halo Reach Stats'!$1:$46,MATCH($B38,'Halo Reach Stats'!$A:$A,0),35),"")</f>
        <v>1</v>
      </c>
      <c r="AK38" s="16">
        <f t="array" ref="AK38">IFERROR(INDEX('Halo Reach Stats'!$1:$46,MATCH($B38,'Halo Reach Stats'!$A:$A,0),36),"")</f>
        <v>489</v>
      </c>
      <c r="AL38" s="16">
        <f t="array" ref="AL38">IFERROR(INDEX('Halo Reach Stats'!$1:$46,MATCH($B38,'Halo Reach Stats'!$A:$A,0),37),"")</f>
        <v>518</v>
      </c>
      <c r="AM38" s="16">
        <f t="array" ref="AM38">IFERROR(INDEX('Halo Reach Stats'!$1:$46,MATCH($B38,'Halo Reach Stats'!$A:$A,0),38),"")</f>
        <v>42</v>
      </c>
    </row>
    <row r="39">
      <c r="A39" s="517" t="str">
        <f>VLOOKUP(A37,TeamInfo!$1:$49,6,0)</f>
        <v>11-11</v>
      </c>
      <c r="B39" s="1" t="str">
        <f t="array" ref="B39">IFERROR(INDEX(TeamInfo!$C3:$C$45,MATCH($A$37,TeamInfo!A:A,0),0),"")</f>
        <v>zahils</v>
      </c>
      <c r="C39" s="14" t="str">
        <f t="array" ref="C39">IFERROR(INDEX('Player Efficiency'!$1:$45,MATCH(B39,'Player Efficiency'!A:A,0),2),"")</f>
        <v/>
      </c>
      <c r="D39" s="512" t="str">
        <f t="array" ref="D39">IFERROR(INDEX('PlayerGrades+'!$1:$47,MATCH(B39,'PlayerGrades+'!L:L,0),22),"")</f>
        <v/>
      </c>
      <c r="E39" s="512" t="str">
        <f t="array" ref="E39">IFERROR(INDEX('PlayerGrades+'!$1:$47,MATCH(B39,'PlayerGrades+'!L:L,0),23),"")</f>
        <v/>
      </c>
      <c r="F39" s="16" t="str">
        <f t="array" ref="F39">IFERROR(INDEX(TeamInfo!$D3:$D$45,MATCH($A$37,TeamInfo!A:A,0),0),"")</f>
        <v>East</v>
      </c>
      <c r="G39" s="16" t="str">
        <f t="array" ref="G39">IFERROR(INDEX('Halo Reach Stats'!$1:$46,MATCH($B39,'Halo Reach Stats'!$A:$A,0),5),"")</f>
        <v/>
      </c>
      <c r="H39" s="16" t="str">
        <f t="array" ref="H39">IFERROR(INDEX('Halo Reach Stats'!$1:$46,MATCH($B39,'Halo Reach Stats'!$A:$A,0),6),"")</f>
        <v/>
      </c>
      <c r="I39" s="16" t="str">
        <f t="array" ref="I39">IFERROR(INDEX('Halo Reach Stats'!$1:$46,MATCH($B39,'Halo Reach Stats'!$A:$A,0),7),"")</f>
        <v/>
      </c>
      <c r="J39" s="16" t="str">
        <f t="array" ref="J39">IFERROR(INDEX('Halo Reach Stats'!$1:$46,MATCH($B39,'Halo Reach Stats'!$A:$A,0),8),"")</f>
        <v/>
      </c>
      <c r="K39" s="16" t="str">
        <f t="array" ref="K39">IFERROR(INDEX('Halo Reach Stats'!$1:$46,MATCH($B39,'Halo Reach Stats'!$A:$A,0),9),"")</f>
        <v/>
      </c>
      <c r="L39" s="514" t="str">
        <f t="shared" si="28"/>
        <v>#DIV/0!</v>
      </c>
      <c r="M39" s="16" t="str">
        <f t="array" ref="M39">IFERROR(INDEX('Halo Reach Stats'!$1:$46,MATCH($B39,'Halo Reach Stats'!$A:$A,0),10),"")</f>
        <v/>
      </c>
      <c r="N39" s="16" t="str">
        <f t="array" ref="N39">IFERROR(INDEX('Halo Reach Stats'!$1:$46,MATCH($B39,'Halo Reach Stats'!$A:$A,0),11),"")</f>
        <v/>
      </c>
      <c r="O39" s="16" t="str">
        <f t="array" ref="O39">IFERROR(INDEX('Halo Reach Stats'!$1:$46,MATCH($B39,'Halo Reach Stats'!$A:$A,0),12),"")</f>
        <v/>
      </c>
      <c r="P39" s="16" t="str">
        <f t="array" ref="P39">IFERROR(INDEX('Halo Reach Stats'!$1:$46,MATCH($B39,'Halo Reach Stats'!$A:$A,0),14),"")</f>
        <v/>
      </c>
      <c r="Q39" s="16" t="str">
        <f t="array" ref="Q39">IFERROR(INDEX('Halo Reach Stats'!$1:$46,MATCH($B39,'Halo Reach Stats'!$A:$A,0),16),"")</f>
        <v/>
      </c>
      <c r="R39" s="16" t="str">
        <f t="array" ref="R39">IFERROR(INDEX('Halo Reach Stats'!$1:$46,MATCH($B39,'Halo Reach Stats'!$A:$A,0),15),"")</f>
        <v/>
      </c>
      <c r="S39" s="16" t="str">
        <f t="array" ref="S39">IFERROR(INDEX('Halo Reach Stats'!$1:$46,MATCH($B39,'Halo Reach Stats'!$A:$A,0),18),"")</f>
        <v/>
      </c>
      <c r="T39" s="16" t="str">
        <f t="array" ref="T39">IFERROR(INDEX('Halo Reach Stats'!$1:$46,MATCH($B39,'Halo Reach Stats'!$A:$A,0),19),"")</f>
        <v/>
      </c>
      <c r="U39" s="16" t="str">
        <f t="array" ref="U39">IFERROR(INDEX('Halo Reach Stats'!$1:$46,MATCH($B39,'Halo Reach Stats'!$A:$A,0),20),"")</f>
        <v/>
      </c>
      <c r="V39" s="16" t="str">
        <f t="array" ref="V39">IFERROR(INDEX('Halo Reach Stats'!$1:$46,MATCH($B39,'Halo Reach Stats'!$A:$A,0),21),"")</f>
        <v/>
      </c>
      <c r="W39" s="16" t="str">
        <f t="array" ref="W39">IFERROR(INDEX('Halo Reach Stats'!$1:$46,MATCH($B39,'Halo Reach Stats'!$A:$A,0),22),"")</f>
        <v/>
      </c>
      <c r="X39" s="16" t="str">
        <f t="array" ref="X39">IFERROR(INDEX('Halo Reach Stats'!$1:$46,MATCH($B39,'Halo Reach Stats'!$A:$A,0),23),"")</f>
        <v/>
      </c>
      <c r="Y39" s="16" t="str">
        <f t="array" ref="Y39">IFERROR(INDEX('Halo Reach Stats'!$1:$46,MATCH($B39,'Halo Reach Stats'!$A:$A,0),24),"")</f>
        <v/>
      </c>
      <c r="Z39" s="16" t="str">
        <f t="array" ref="Z39">IFERROR(INDEX('Halo Reach Stats'!$1:$46,MATCH($B39,'Halo Reach Stats'!$A:$A,0),25),"")</f>
        <v/>
      </c>
      <c r="AA39" s="16" t="str">
        <f t="array" ref="AA39">IFERROR(INDEX('Halo Reach Stats'!$1:$46,MATCH($B39,'Halo Reach Stats'!$A:$A,0),26),"")</f>
        <v/>
      </c>
      <c r="AB39" s="16" t="str">
        <f t="array" ref="AB39">IFERROR(INDEX('Halo Reach Stats'!$1:$46,MATCH($B39,'Halo Reach Stats'!$A:$A,0),27),"")</f>
        <v/>
      </c>
      <c r="AC39" s="16" t="str">
        <f t="array" ref="AC39">IFERROR(INDEX('Halo Reach Stats'!$1:$46,MATCH($B39,'Halo Reach Stats'!$A:$A,0),28),"")</f>
        <v/>
      </c>
      <c r="AD39" s="16" t="str">
        <f t="array" ref="AD39">IFERROR(INDEX('Halo Reach Stats'!$1:$46,MATCH($B39,'Halo Reach Stats'!$A:$A,0),29),"")</f>
        <v/>
      </c>
      <c r="AE39" s="16" t="str">
        <f t="array" ref="AE39">IFERROR(INDEX('Halo Reach Stats'!$1:$46,MATCH($B39,'Halo Reach Stats'!$A:$A,0),30),"")</f>
        <v/>
      </c>
      <c r="AF39" s="16" t="str">
        <f t="array" ref="AF39">IFERROR(INDEX('Halo Reach Stats'!$1:$46,MATCH($B39,'Halo Reach Stats'!$A:$A,0),31),"")</f>
        <v/>
      </c>
      <c r="AG39" s="16" t="str">
        <f t="array" ref="AG39">IFERROR(INDEX('Halo Reach Stats'!$1:$46,MATCH($B39,'Halo Reach Stats'!$A:$A,0),32),"")</f>
        <v/>
      </c>
      <c r="AH39" s="16" t="str">
        <f t="array" ref="AH39">IFERROR(INDEX('Halo Reach Stats'!$1:$46,MATCH($B39,'Halo Reach Stats'!$A:$A,0),33),"")</f>
        <v/>
      </c>
      <c r="AI39" s="16" t="str">
        <f t="array" ref="AI39">IFERROR(INDEX('Halo Reach Stats'!$1:$46,MATCH($B39,'Halo Reach Stats'!$A:$A,0),34),"")</f>
        <v/>
      </c>
      <c r="AJ39" s="16" t="str">
        <f t="array" ref="AJ39">IFERROR(INDEX('Halo Reach Stats'!$1:$46,MATCH($B39,'Halo Reach Stats'!$A:$A,0),35),"")</f>
        <v/>
      </c>
      <c r="AK39" s="16" t="str">
        <f t="array" ref="AK39">IFERROR(INDEX('Halo Reach Stats'!$1:$46,MATCH($B39,'Halo Reach Stats'!$A:$A,0),36),"")</f>
        <v/>
      </c>
      <c r="AL39" s="16" t="str">
        <f t="array" ref="AL39">IFERROR(INDEX('Halo Reach Stats'!$1:$46,MATCH($B39,'Halo Reach Stats'!$A:$A,0),37),"")</f>
        <v/>
      </c>
      <c r="AM39" s="16" t="str">
        <f t="array" ref="AM39">IFERROR(INDEX('Halo Reach Stats'!$1:$46,MATCH($B39,'Halo Reach Stats'!$A:$A,0),38),"")</f>
        <v/>
      </c>
    </row>
    <row r="40">
      <c r="A40" s="518" t="str">
        <f>IF(((E37+E38+E39+E40)/4)&lt;='PlayerGrades+'!$Y$44,"F-",IF(((E37+E38+E39+E40)/4)&lt;'PlayerGrades+'!$Y$43,"F",IF(((E37+E38+E39+E40)/4)&lt;'PlayerGrades+'!$Y$42,"F+",IF(((E37+E38+E39+E40)/4)&lt;'PlayerGrades+'!$Y$41,"E-",IF(((E37+E38+E39+E40)/4)&lt;'PlayerGrades+'!$Y$40,"E",IF(((E37+E38+E39+E40)/4)&lt;'PlayerGrades+'!$Y$39,"E+",IF(((E37+E38+E39+E40)/4)&lt;'PlayerGrades+'!$Y$38,"D-",IF(((E37+E38+E39+E40)/4)&lt;'PlayerGrades+'!$Y$37,"D",IF(((E37+E38+E39+E40)/4)&lt;'PlayerGrades+'!$Y$36,"D+",IF(((E37+E38+E39+E40)/4)&lt;'PlayerGrades+'!$Y$35,"C-",IF(((E37+E38+E39+E40)/4)&lt;'PlayerGrades+'!$Y$34,"C",IF(((E37+E38+E39+E40)/4)&lt;'PlayerGrades+'!$Y$33,"C+",IF(((E37+E38+E39+E40)/4)&lt;'PlayerGrades+'!$Y$32,"B-",IF(((E37+E38+E39+E40)/4)&lt;'PlayerGrades+'!$Y$31,"B",IF(((E37+E38+E39+E40)/4)&lt;'PlayerGrades+'!$Y$30,"B+",IF(((E37+E38+E39+E40)/4)&lt;'PlayerGrades+'!$Y$29,"A-",IF(((E37+E38+E39+E40)/4)&lt;'PlayerGrades+'!$Y$28,"A",IF(((E37+E38+E39+E40)/4)&lt;'PlayerGrades+'!$Y$27,"A+",IF(((E37+E38+E39+E40)/4)&lt;'PlayerGrades+'!$Y$26,"S-",IF(((E37+E38+E39+E40)/4)&lt;'PlayerGrades+'!$Y$25,"S","S+"))))))))))))))))))))</f>
        <v>D+</v>
      </c>
      <c r="B40" s="1" t="str">
        <f t="array" ref="B40">IFERROR(INDEX(TeamInfo!$C4:$C$45,MATCH($A$37,TeamInfo!A:A,0),0),"")</f>
        <v>Laser Wins</v>
      </c>
      <c r="C40" s="14" t="str">
        <f t="array" ref="C40">IFERROR(INDEX('Player Efficiency'!$1:$45,MATCH(B40,'Player Efficiency'!A:A,0),2),"")</f>
        <v/>
      </c>
      <c r="D40" s="512" t="str">
        <f t="array" ref="D40">IFERROR(INDEX('PlayerGrades+'!$1:$47,MATCH(B40,'PlayerGrades+'!L:L,0),22),"")</f>
        <v>F</v>
      </c>
      <c r="E40" s="512">
        <f t="array" ref="E40">IFERROR(INDEX('PlayerGrades+'!$1:$47,MATCH(B40,'PlayerGrades+'!L:L,0),23),"")</f>
        <v>8.55</v>
      </c>
      <c r="F40" s="16" t="str">
        <f t="array" ref="F40">IFERROR(INDEX(TeamInfo!$D4:$D$45,MATCH($A$37,TeamInfo!A:A,0),0),"")</f>
        <v>West</v>
      </c>
      <c r="G40" s="16">
        <f t="array" ref="G40">IFERROR(INDEX('Halo Reach Stats'!$1:$46,MATCH($B40,'Halo Reach Stats'!$A:$A,0),5),"")</f>
        <v>39</v>
      </c>
      <c r="H40" s="16">
        <f t="array" ref="H40">IFERROR(INDEX('Halo Reach Stats'!$1:$46,MATCH($B40,'Halo Reach Stats'!$A:$A,0),6),"")</f>
        <v>112</v>
      </c>
      <c r="I40" s="16">
        <f t="array" ref="I40">IFERROR(INDEX('Halo Reach Stats'!$1:$46,MATCH($B40,'Halo Reach Stats'!$A:$A,0),7),"")</f>
        <v>1125</v>
      </c>
      <c r="J40" s="16">
        <f t="array" ref="J40">IFERROR(INDEX('Halo Reach Stats'!$1:$46,MATCH($B40,'Halo Reach Stats'!$A:$A,0),8),"")</f>
        <v>1640</v>
      </c>
      <c r="K40" s="16">
        <f t="array" ref="K40">IFERROR(INDEX('Halo Reach Stats'!$1:$46,MATCH($B40,'Halo Reach Stats'!$A:$A,0),9),"")</f>
        <v>-515</v>
      </c>
      <c r="L40" s="514">
        <f t="shared" si="28"/>
        <v>0.6859756098</v>
      </c>
      <c r="M40" s="16">
        <f t="array" ref="M40">IFERROR(INDEX('Halo Reach Stats'!$1:$46,MATCH($B40,'Halo Reach Stats'!$A:$A,0),10),"")</f>
        <v>58</v>
      </c>
      <c r="N40" s="16">
        <f t="array" ref="N40">IFERROR(INDEX('Halo Reach Stats'!$1:$46,MATCH($B40,'Halo Reach Stats'!$A:$A,0),11),"")</f>
        <v>8</v>
      </c>
      <c r="O40" s="16">
        <f t="array" ref="O40">IFERROR(INDEX('Halo Reach Stats'!$1:$46,MATCH($B40,'Halo Reach Stats'!$A:$A,0),12),"")</f>
        <v>14</v>
      </c>
      <c r="P40" s="16">
        <f t="array" ref="P40">IFERROR(INDEX('Halo Reach Stats'!$1:$46,MATCH($B40,'Halo Reach Stats'!$A:$A,0),14),"")</f>
        <v>40284</v>
      </c>
      <c r="Q40" s="16">
        <f t="array" ref="Q40">IFERROR(INDEX('Halo Reach Stats'!$1:$46,MATCH($B40,'Halo Reach Stats'!$A:$A,0),16),"")</f>
        <v>14865</v>
      </c>
      <c r="R40" s="16">
        <f t="array" ref="R40">IFERROR(INDEX('Halo Reach Stats'!$1:$46,MATCH($B40,'Halo Reach Stats'!$A:$A,0),15),"")</f>
        <v>20</v>
      </c>
      <c r="S40" s="16">
        <f t="array" ref="S40">IFERROR(INDEX('Halo Reach Stats'!$1:$46,MATCH($B40,'Halo Reach Stats'!$A:$A,0),18),"")</f>
        <v>9</v>
      </c>
      <c r="T40" s="16">
        <f t="array" ref="T40">IFERROR(INDEX('Halo Reach Stats'!$1:$46,MATCH($B40,'Halo Reach Stats'!$A:$A,0),19),"")</f>
        <v>0</v>
      </c>
      <c r="U40" s="16">
        <f t="array" ref="U40">IFERROR(INDEX('Halo Reach Stats'!$1:$46,MATCH($B40,'Halo Reach Stats'!$A:$A,0),20),"")</f>
        <v>0</v>
      </c>
      <c r="V40" s="16">
        <f t="array" ref="V40">IFERROR(INDEX('Halo Reach Stats'!$1:$46,MATCH($B40,'Halo Reach Stats'!$A:$A,0),21),"")</f>
        <v>0</v>
      </c>
      <c r="W40" s="16">
        <f t="array" ref="W40">IFERROR(INDEX('Halo Reach Stats'!$1:$46,MATCH($B40,'Halo Reach Stats'!$A:$A,0),22),"")</f>
        <v>0</v>
      </c>
      <c r="X40" s="16">
        <f t="array" ref="X40">IFERROR(INDEX('Halo Reach Stats'!$1:$46,MATCH($B40,'Halo Reach Stats'!$A:$A,0),23),"")</f>
        <v>0</v>
      </c>
      <c r="Y40" s="16">
        <f t="array" ref="Y40">IFERROR(INDEX('Halo Reach Stats'!$1:$46,MATCH($B40,'Halo Reach Stats'!$A:$A,0),24),"")</f>
        <v>90</v>
      </c>
      <c r="Z40" s="16">
        <f t="array" ref="Z40">IFERROR(INDEX('Halo Reach Stats'!$1:$46,MATCH($B40,'Halo Reach Stats'!$A:$A,0),25),"")</f>
        <v>9</v>
      </c>
      <c r="AA40" s="16">
        <f t="array" ref="AA40">IFERROR(INDEX('Halo Reach Stats'!$1:$46,MATCH($B40,'Halo Reach Stats'!$A:$A,0),26),"")</f>
        <v>1</v>
      </c>
      <c r="AB40" s="16">
        <f t="array" ref="AB40">IFERROR(INDEX('Halo Reach Stats'!$1:$46,MATCH($B40,'Halo Reach Stats'!$A:$A,0),27),"")</f>
        <v>0</v>
      </c>
      <c r="AC40" s="16">
        <f t="array" ref="AC40">IFERROR(INDEX('Halo Reach Stats'!$1:$46,MATCH($B40,'Halo Reach Stats'!$A:$A,0),28),"")</f>
        <v>0</v>
      </c>
      <c r="AD40" s="16">
        <f t="array" ref="AD40">IFERROR(INDEX('Halo Reach Stats'!$1:$46,MATCH($B40,'Halo Reach Stats'!$A:$A,0),29),"")</f>
        <v>0</v>
      </c>
      <c r="AE40" s="16">
        <f t="array" ref="AE40">IFERROR(INDEX('Halo Reach Stats'!$1:$46,MATCH($B40,'Halo Reach Stats'!$A:$A,0),30),"")</f>
        <v>0</v>
      </c>
      <c r="AF40" s="16">
        <f t="array" ref="AF40">IFERROR(INDEX('Halo Reach Stats'!$1:$46,MATCH($B40,'Halo Reach Stats'!$A:$A,0),31),"")</f>
        <v>0</v>
      </c>
      <c r="AG40" s="16">
        <f t="array" ref="AG40">IFERROR(INDEX('Halo Reach Stats'!$1:$46,MATCH($B40,'Halo Reach Stats'!$A:$A,0),32),"")</f>
        <v>0</v>
      </c>
      <c r="AH40" s="16">
        <f t="array" ref="AH40">IFERROR(INDEX('Halo Reach Stats'!$1:$46,MATCH($B40,'Halo Reach Stats'!$A:$A,0),33),"")</f>
        <v>0</v>
      </c>
      <c r="AI40" s="16">
        <f t="array" ref="AI40">IFERROR(INDEX('Halo Reach Stats'!$1:$46,MATCH($B40,'Halo Reach Stats'!$A:$A,0),34),"")</f>
        <v>38</v>
      </c>
      <c r="AJ40" s="16">
        <f t="array" ref="AJ40">IFERROR(INDEX('Halo Reach Stats'!$1:$46,MATCH($B40,'Halo Reach Stats'!$A:$A,0),35),"")</f>
        <v>0</v>
      </c>
      <c r="AK40" s="16">
        <f t="array" ref="AK40">IFERROR(INDEX('Halo Reach Stats'!$1:$46,MATCH($B40,'Halo Reach Stats'!$A:$A,0),36),"")</f>
        <v>136</v>
      </c>
      <c r="AL40" s="16">
        <f t="array" ref="AL40">IFERROR(INDEX('Halo Reach Stats'!$1:$46,MATCH($B40,'Halo Reach Stats'!$A:$A,0),37),"")</f>
        <v>169</v>
      </c>
      <c r="AM40" s="16">
        <f t="array" ref="AM40">IFERROR(INDEX('Halo Reach Stats'!$1:$46,MATCH($B40,'Halo Reach Stats'!$A:$A,0),38),"")</f>
        <v>12</v>
      </c>
    </row>
    <row r="41">
      <c r="A41" s="532"/>
      <c r="B41" s="520" t="s">
        <v>354</v>
      </c>
      <c r="C41" s="533">
        <f>SUM(C37:C40)/4</f>
        <v>0</v>
      </c>
      <c r="D41" s="528"/>
      <c r="E41" s="529">
        <f>SUM(E37:E40)/4</f>
        <v>17.4</v>
      </c>
      <c r="F41" s="524" t="s">
        <v>355</v>
      </c>
      <c r="G41" s="525">
        <f t="shared" ref="G41:K41" si="29">SUM(G37:G40)</f>
        <v>99</v>
      </c>
      <c r="H41" s="525">
        <f t="shared" si="29"/>
        <v>428</v>
      </c>
      <c r="I41" s="525">
        <f t="shared" si="29"/>
        <v>8109</v>
      </c>
      <c r="J41" s="525">
        <f t="shared" si="29"/>
        <v>7573</v>
      </c>
      <c r="K41" s="525">
        <f t="shared" si="29"/>
        <v>536</v>
      </c>
      <c r="L41" s="526" t="str">
        <f>SUM(L37:L40)/4</f>
        <v>#DIV/0!</v>
      </c>
      <c r="M41" s="525">
        <f t="shared" ref="M41:Q41" si="30">SUM(M37:M40)</f>
        <v>478</v>
      </c>
      <c r="N41" s="525">
        <f t="shared" si="30"/>
        <v>30</v>
      </c>
      <c r="O41" s="525">
        <f t="shared" si="30"/>
        <v>125</v>
      </c>
      <c r="P41" s="525">
        <f t="shared" si="30"/>
        <v>157322</v>
      </c>
      <c r="Q41" s="525">
        <f t="shared" si="30"/>
        <v>26493</v>
      </c>
      <c r="R41" s="525">
        <f>SUM(R37:R40)/4</f>
        <v>12.75</v>
      </c>
      <c r="S41" s="525">
        <f t="shared" ref="S41:AM41" si="31">SUM(S37:S40)</f>
        <v>161</v>
      </c>
      <c r="T41" s="525">
        <f t="shared" si="31"/>
        <v>3</v>
      </c>
      <c r="U41" s="525">
        <f t="shared" si="31"/>
        <v>0</v>
      </c>
      <c r="V41" s="525">
        <f t="shared" si="31"/>
        <v>0</v>
      </c>
      <c r="W41" s="525">
        <f t="shared" si="31"/>
        <v>107</v>
      </c>
      <c r="X41" s="525">
        <f t="shared" si="31"/>
        <v>0</v>
      </c>
      <c r="Y41" s="525">
        <f t="shared" si="31"/>
        <v>1170</v>
      </c>
      <c r="Z41" s="525">
        <f t="shared" si="31"/>
        <v>193</v>
      </c>
      <c r="AA41" s="525">
        <f t="shared" si="31"/>
        <v>40</v>
      </c>
      <c r="AB41" s="525">
        <f t="shared" si="31"/>
        <v>8</v>
      </c>
      <c r="AC41" s="525">
        <f t="shared" si="31"/>
        <v>2</v>
      </c>
      <c r="AD41" s="525">
        <f t="shared" si="31"/>
        <v>1</v>
      </c>
      <c r="AE41" s="525">
        <f t="shared" si="31"/>
        <v>0</v>
      </c>
      <c r="AF41" s="525">
        <f t="shared" si="31"/>
        <v>0</v>
      </c>
      <c r="AG41" s="525">
        <f t="shared" si="31"/>
        <v>0</v>
      </c>
      <c r="AH41" s="525">
        <f t="shared" si="31"/>
        <v>0</v>
      </c>
      <c r="AI41" s="525">
        <f t="shared" si="31"/>
        <v>452</v>
      </c>
      <c r="AJ41" s="525">
        <f t="shared" si="31"/>
        <v>1</v>
      </c>
      <c r="AK41" s="525">
        <f t="shared" si="31"/>
        <v>943</v>
      </c>
      <c r="AL41" s="525">
        <f t="shared" si="31"/>
        <v>998</v>
      </c>
      <c r="AM41" s="525">
        <f t="shared" si="31"/>
        <v>71</v>
      </c>
    </row>
    <row r="42">
      <c r="A42" s="534" t="s">
        <v>363</v>
      </c>
      <c r="B42" s="530" t="str">
        <f t="array" ref="B42">IFERROR(INDEX(TeamInfo!$C1:$C$45,MATCH($A$42,TeamInfo!A:A,0),0),"")</f>
        <v>unbes</v>
      </c>
      <c r="C42" s="14" t="str">
        <f t="array" ref="C42">IFERROR(INDEX('Player Efficiency'!$1:$45,MATCH(B42,'Player Efficiency'!A:A,0),2),"")</f>
        <v/>
      </c>
      <c r="D42" s="512" t="str">
        <f t="array" ref="D42">IFERROR(INDEX('PlayerGrades+'!$1:$47,MATCH(B42,'PlayerGrades+'!L:L,0),22),"")</f>
        <v/>
      </c>
      <c r="E42" s="512" t="str">
        <f t="array" ref="E42">IFERROR(INDEX('PlayerGrades+'!$1:$47,MATCH(B42,'PlayerGrades+'!L:L,0),23),"")</f>
        <v/>
      </c>
      <c r="F42" s="513" t="str">
        <f t="array" ref="F42">IFERROR(INDEX(TeamInfo!$D1:$D$45,MATCH($A$42,TeamInfo!A:A,0),0),"")</f>
        <v>East</v>
      </c>
      <c r="G42" s="16" t="str">
        <f t="array" ref="G42">IFERROR(INDEX('Halo Reach Stats'!$1:$46,MATCH($B42,'Halo Reach Stats'!$A:$A,0),5),"")</f>
        <v/>
      </c>
      <c r="H42" s="16" t="str">
        <f t="array" ref="H42">IFERROR(INDEX('Halo Reach Stats'!$1:$46,MATCH($B42,'Halo Reach Stats'!$A:$A,0),6),"")</f>
        <v/>
      </c>
      <c r="I42" s="16" t="str">
        <f t="array" ref="I42">IFERROR(INDEX('Halo Reach Stats'!$1:$46,MATCH($B42,'Halo Reach Stats'!$A:$A,0),7),"")</f>
        <v/>
      </c>
      <c r="J42" s="16" t="str">
        <f t="array" ref="J42">IFERROR(INDEX('Halo Reach Stats'!$1:$46,MATCH($B42,'Halo Reach Stats'!$A:$A,0),8),"")</f>
        <v/>
      </c>
      <c r="K42" s="16" t="str">
        <f t="array" ref="K42">IFERROR(INDEX('Halo Reach Stats'!$1:$46,MATCH($B42,'Halo Reach Stats'!$A:$A,0),9),"")</f>
        <v/>
      </c>
      <c r="L42" s="514" t="str">
        <f t="shared" ref="L42:L45" si="32">I42/J42</f>
        <v>#DIV/0!</v>
      </c>
      <c r="M42" s="16" t="str">
        <f t="array" ref="M42">IFERROR(INDEX('Halo Reach Stats'!$1:$46,MATCH($B42,'Halo Reach Stats'!$A:$A,0),10),"")</f>
        <v/>
      </c>
      <c r="N42" s="16" t="str">
        <f t="array" ref="N42">IFERROR(INDEX('Halo Reach Stats'!$1:$46,MATCH($B42,'Halo Reach Stats'!$A:$A,0),11),"")</f>
        <v/>
      </c>
      <c r="O42" s="16" t="str">
        <f t="array" ref="O42">IFERROR(INDEX('Halo Reach Stats'!$1:$46,MATCH($B42,'Halo Reach Stats'!$A:$A,0),12),"")</f>
        <v/>
      </c>
      <c r="P42" s="16" t="str">
        <f t="array" ref="P42">IFERROR(INDEX('Halo Reach Stats'!$1:$46,MATCH($B42,'Halo Reach Stats'!$A:$A,0),14),"")</f>
        <v/>
      </c>
      <c r="Q42" s="16" t="str">
        <f t="array" ref="Q42">IFERROR(INDEX('Halo Reach Stats'!$1:$46,MATCH($B42,'Halo Reach Stats'!$A:$A,0),14),"")</f>
        <v/>
      </c>
      <c r="R42" s="16" t="str">
        <f t="array" ref="R42">IFERROR(INDEX('Halo Reach Stats'!$1:$46,MATCH($B42,'Halo Reach Stats'!$A:$A,0),15),"")</f>
        <v/>
      </c>
      <c r="S42" s="16" t="str">
        <f t="array" ref="S42">IFERROR(INDEX('Halo Reach Stats'!$1:$46,MATCH($B42,'Halo Reach Stats'!$A:$A,0),18),"")</f>
        <v/>
      </c>
      <c r="T42" s="16" t="str">
        <f t="array" ref="T42">IFERROR(INDEX('Halo Reach Stats'!$1:$46,MATCH($B42,'Halo Reach Stats'!$A:$A,0),19),"")</f>
        <v/>
      </c>
      <c r="U42" s="16" t="str">
        <f t="array" ref="U42">IFERROR(INDEX('Halo Reach Stats'!$1:$46,MATCH($B42,'Halo Reach Stats'!$A:$A,0),20),"")</f>
        <v/>
      </c>
      <c r="V42" s="16" t="str">
        <f t="array" ref="V42">IFERROR(INDEX('Halo Reach Stats'!$1:$46,MATCH($B42,'Halo Reach Stats'!$A:$A,0),21),"")</f>
        <v/>
      </c>
      <c r="W42" s="16" t="str">
        <f t="array" ref="W42">IFERROR(INDEX('Halo Reach Stats'!$1:$46,MATCH($B42,'Halo Reach Stats'!$A:$A,0),22),"")</f>
        <v/>
      </c>
      <c r="X42" s="16" t="str">
        <f t="array" ref="X42">IFERROR(INDEX('Halo Reach Stats'!$1:$46,MATCH($B42,'Halo Reach Stats'!$A:$A,0),23),"")</f>
        <v/>
      </c>
      <c r="Y42" s="16" t="str">
        <f t="array" ref="Y42">IFERROR(INDEX('Halo Reach Stats'!$1:$46,MATCH($B42,'Halo Reach Stats'!$A:$A,0),24),"")</f>
        <v/>
      </c>
      <c r="Z42" s="16" t="str">
        <f t="array" ref="Z42">IFERROR(INDEX('Halo Reach Stats'!$1:$46,MATCH($B42,'Halo Reach Stats'!$A:$A,0),25),"")</f>
        <v/>
      </c>
      <c r="AA42" s="16" t="str">
        <f t="array" ref="AA42">IFERROR(INDEX('Halo Reach Stats'!$1:$46,MATCH($B42,'Halo Reach Stats'!$A:$A,0),26),"")</f>
        <v/>
      </c>
      <c r="AB42" s="16" t="str">
        <f t="array" ref="AB42">IFERROR(INDEX('Halo Reach Stats'!$1:$46,MATCH($B42,'Halo Reach Stats'!$A:$A,0),27),"")</f>
        <v/>
      </c>
      <c r="AC42" s="16" t="str">
        <f t="array" ref="AC42">IFERROR(INDEX('Halo Reach Stats'!$1:$46,MATCH($B42,'Halo Reach Stats'!$A:$A,0),28),"")</f>
        <v/>
      </c>
      <c r="AD42" s="16" t="str">
        <f t="array" ref="AD42">IFERROR(INDEX('Halo Reach Stats'!$1:$46,MATCH($B42,'Halo Reach Stats'!$A:$A,0),29),"")</f>
        <v/>
      </c>
      <c r="AE42" s="16" t="str">
        <f t="array" ref="AE42">IFERROR(INDEX('Halo Reach Stats'!$1:$46,MATCH($B42,'Halo Reach Stats'!$A:$A,0),30),"")</f>
        <v/>
      </c>
      <c r="AF42" s="16" t="str">
        <f t="array" ref="AF42">IFERROR(INDEX('Halo Reach Stats'!$1:$46,MATCH($B42,'Halo Reach Stats'!$A:$A,0),31),"")</f>
        <v/>
      </c>
      <c r="AG42" s="16" t="str">
        <f t="array" ref="AG42">IFERROR(INDEX('Halo Reach Stats'!$1:$46,MATCH($B42,'Halo Reach Stats'!$A:$A,0),32),"")</f>
        <v/>
      </c>
      <c r="AH42" s="16" t="str">
        <f t="array" ref="AH42">IFERROR(INDEX('Halo Reach Stats'!$1:$46,MATCH($B42,'Halo Reach Stats'!$A:$A,0),33),"")</f>
        <v/>
      </c>
      <c r="AI42" s="16" t="str">
        <f t="array" ref="AI42">IFERROR(INDEX('Halo Reach Stats'!$1:$46,MATCH($B42,'Halo Reach Stats'!$A:$A,0),34),"")</f>
        <v/>
      </c>
      <c r="AJ42" s="16" t="str">
        <f t="array" ref="AJ42">IFERROR(INDEX('Halo Reach Stats'!$1:$46,MATCH($B42,'Halo Reach Stats'!$A:$A,0),35),"")</f>
        <v/>
      </c>
      <c r="AK42" s="16" t="str">
        <f t="array" ref="AK42">IFERROR(INDEX('Halo Reach Stats'!$1:$46,MATCH($B42,'Halo Reach Stats'!$A:$A,0),36),"")</f>
        <v/>
      </c>
      <c r="AL42" s="16" t="str">
        <f t="array" ref="AL42">IFERROR(INDEX('Halo Reach Stats'!$1:$46,MATCH($B42,'Halo Reach Stats'!$A:$A,0),37),"")</f>
        <v/>
      </c>
      <c r="AM42" s="16" t="str">
        <f t="array" ref="AM42">IFERROR(INDEX('Halo Reach Stats'!$1:$46,MATCH($B42,'Halo Reach Stats'!$A:$A,0),38),"")</f>
        <v/>
      </c>
    </row>
    <row r="43">
      <c r="A43" s="531" t="str">
        <f t="array" ref="A43">IFERROR(INDEX(TeamInfo!$1:$45,MATCH(A42,TeamInfo!A:A,0),2),"")</f>
        <v>Carry The Coach</v>
      </c>
      <c r="B43" s="1" t="str">
        <f t="array" ref="B43">IFERROR(INDEX(TeamInfo!$C2:$C$46,MATCH($A$42,TeamInfo!A:A,0),0),"")</f>
        <v>Impuritive</v>
      </c>
      <c r="C43" s="14" t="str">
        <f t="array" ref="C43">IFERROR(INDEX('Player Efficiency'!$1:$45,MATCH(B43,'Player Efficiency'!A:A,0),2),"")</f>
        <v/>
      </c>
      <c r="D43" s="512" t="str">
        <f t="array" ref="D43">IFERROR(INDEX('PlayerGrades+'!$1:$47,MATCH(B43,'PlayerGrades+'!L:L,0),22),"")</f>
        <v/>
      </c>
      <c r="E43" s="512" t="str">
        <f t="array" ref="E43">IFERROR(INDEX('PlayerGrades+'!$1:$47,MATCH(B43,'PlayerGrades+'!L:L,0),23),"")</f>
        <v/>
      </c>
      <c r="F43" s="16" t="str">
        <f t="array" ref="F43">IFERROR(INDEX(TeamInfo!$D2:$D$45,MATCH($A$42,TeamInfo!A:A,0),0),"")</f>
        <v>West Europe</v>
      </c>
      <c r="G43" s="16" t="str">
        <f t="array" ref="G43">IFERROR(INDEX('Halo Reach Stats'!$1:$46,MATCH($B43,'Halo Reach Stats'!$A:$A,0),5),"")</f>
        <v/>
      </c>
      <c r="H43" s="16" t="str">
        <f t="array" ref="H43">IFERROR(INDEX('Halo Reach Stats'!$1:$46,MATCH($B43,'Halo Reach Stats'!$A:$A,0),6),"")</f>
        <v/>
      </c>
      <c r="I43" s="16" t="str">
        <f t="array" ref="I43">IFERROR(INDEX('Halo Reach Stats'!$1:$46,MATCH($B43,'Halo Reach Stats'!$A:$A,0),7),"")</f>
        <v/>
      </c>
      <c r="J43" s="16" t="str">
        <f t="array" ref="J43">IFERROR(INDEX('Halo Reach Stats'!$1:$46,MATCH($B43,'Halo Reach Stats'!$A:$A,0),8),"")</f>
        <v/>
      </c>
      <c r="K43" s="16" t="str">
        <f t="array" ref="K43">IFERROR(INDEX('Halo Reach Stats'!$1:$46,MATCH($B43,'Halo Reach Stats'!$A:$A,0),9),"")</f>
        <v/>
      </c>
      <c r="L43" s="514" t="str">
        <f t="shared" si="32"/>
        <v>#DIV/0!</v>
      </c>
      <c r="M43" s="16" t="str">
        <f t="array" ref="M43">IFERROR(INDEX('Halo Reach Stats'!$1:$46,MATCH($B43,'Halo Reach Stats'!$A:$A,0),10),"")</f>
        <v/>
      </c>
      <c r="N43" s="16" t="str">
        <f t="array" ref="N43">IFERROR(INDEX('Halo Reach Stats'!$1:$46,MATCH($B43,'Halo Reach Stats'!$A:$A,0),11),"")</f>
        <v/>
      </c>
      <c r="O43" s="16" t="str">
        <f t="array" ref="O43">IFERROR(INDEX('Halo Reach Stats'!$1:$46,MATCH($B43,'Halo Reach Stats'!$A:$A,0),12),"")</f>
        <v/>
      </c>
      <c r="P43" s="16" t="str">
        <f t="array" ref="P43">IFERROR(INDEX('Halo Reach Stats'!$1:$46,MATCH($B43,'Halo Reach Stats'!$A:$A,0),14),"")</f>
        <v/>
      </c>
      <c r="Q43" s="16" t="str">
        <f t="array" ref="Q43">IFERROR(INDEX('Halo Reach Stats'!$1:$46,MATCH($B43,'Halo Reach Stats'!$A:$A,0),14),"")</f>
        <v/>
      </c>
      <c r="R43" s="16" t="str">
        <f t="array" ref="R43">IFERROR(INDEX('Halo Reach Stats'!$1:$46,MATCH($B43,'Halo Reach Stats'!$A:$A,0),15),"")</f>
        <v/>
      </c>
      <c r="S43" s="16" t="str">
        <f t="array" ref="S43">IFERROR(INDEX('Halo Reach Stats'!$1:$46,MATCH($B43,'Halo Reach Stats'!$A:$A,0),18),"")</f>
        <v/>
      </c>
      <c r="T43" s="16" t="str">
        <f t="array" ref="T43">IFERROR(INDEX('Halo Reach Stats'!$1:$46,MATCH($B43,'Halo Reach Stats'!$A:$A,0),19),"")</f>
        <v/>
      </c>
      <c r="U43" s="16" t="str">
        <f t="array" ref="U43">IFERROR(INDEX('Halo Reach Stats'!$1:$46,MATCH($B43,'Halo Reach Stats'!$A:$A,0),20),"")</f>
        <v/>
      </c>
      <c r="V43" s="16" t="str">
        <f t="array" ref="V43">IFERROR(INDEX('Halo Reach Stats'!$1:$46,MATCH($B43,'Halo Reach Stats'!$A:$A,0),21),"")</f>
        <v/>
      </c>
      <c r="W43" s="16" t="str">
        <f t="array" ref="W43">IFERROR(INDEX('Halo Reach Stats'!$1:$46,MATCH($B43,'Halo Reach Stats'!$A:$A,0),22),"")</f>
        <v/>
      </c>
      <c r="X43" s="16" t="str">
        <f t="array" ref="X43">IFERROR(INDEX('Halo Reach Stats'!$1:$46,MATCH($B43,'Halo Reach Stats'!$A:$A,0),23),"")</f>
        <v/>
      </c>
      <c r="Y43" s="16" t="str">
        <f t="array" ref="Y43">IFERROR(INDEX('Halo Reach Stats'!$1:$46,MATCH($B43,'Halo Reach Stats'!$A:$A,0),24),"")</f>
        <v/>
      </c>
      <c r="Z43" s="16" t="str">
        <f t="array" ref="Z43">IFERROR(INDEX('Halo Reach Stats'!$1:$46,MATCH($B43,'Halo Reach Stats'!$A:$A,0),25),"")</f>
        <v/>
      </c>
      <c r="AA43" s="16" t="str">
        <f t="array" ref="AA43">IFERROR(INDEX('Halo Reach Stats'!$1:$46,MATCH($B43,'Halo Reach Stats'!$A:$A,0),26),"")</f>
        <v/>
      </c>
      <c r="AB43" s="16" t="str">
        <f t="array" ref="AB43">IFERROR(INDEX('Halo Reach Stats'!$1:$46,MATCH($B43,'Halo Reach Stats'!$A:$A,0),27),"")</f>
        <v/>
      </c>
      <c r="AC43" s="16" t="str">
        <f t="array" ref="AC43">IFERROR(INDEX('Halo Reach Stats'!$1:$46,MATCH($B43,'Halo Reach Stats'!$A:$A,0),28),"")</f>
        <v/>
      </c>
      <c r="AD43" s="16" t="str">
        <f t="array" ref="AD43">IFERROR(INDEX('Halo Reach Stats'!$1:$46,MATCH($B43,'Halo Reach Stats'!$A:$A,0),29),"")</f>
        <v/>
      </c>
      <c r="AE43" s="16" t="str">
        <f t="array" ref="AE43">IFERROR(INDEX('Halo Reach Stats'!$1:$46,MATCH($B43,'Halo Reach Stats'!$A:$A,0),30),"")</f>
        <v/>
      </c>
      <c r="AF43" s="16" t="str">
        <f t="array" ref="AF43">IFERROR(INDEX('Halo Reach Stats'!$1:$46,MATCH($B43,'Halo Reach Stats'!$A:$A,0),31),"")</f>
        <v/>
      </c>
      <c r="AG43" s="16" t="str">
        <f t="array" ref="AG43">IFERROR(INDEX('Halo Reach Stats'!$1:$46,MATCH($B43,'Halo Reach Stats'!$A:$A,0),32),"")</f>
        <v/>
      </c>
      <c r="AH43" s="16" t="str">
        <f t="array" ref="AH43">IFERROR(INDEX('Halo Reach Stats'!$1:$46,MATCH($B43,'Halo Reach Stats'!$A:$A,0),33),"")</f>
        <v/>
      </c>
      <c r="AI43" s="16" t="str">
        <f t="array" ref="AI43">IFERROR(INDEX('Halo Reach Stats'!$1:$46,MATCH($B43,'Halo Reach Stats'!$A:$A,0),34),"")</f>
        <v/>
      </c>
      <c r="AJ43" s="16" t="str">
        <f t="array" ref="AJ43">IFERROR(INDEX('Halo Reach Stats'!$1:$46,MATCH($B43,'Halo Reach Stats'!$A:$A,0),35),"")</f>
        <v/>
      </c>
      <c r="AK43" s="16" t="str">
        <f t="array" ref="AK43">IFERROR(INDEX('Halo Reach Stats'!$1:$46,MATCH($B43,'Halo Reach Stats'!$A:$A,0),36),"")</f>
        <v/>
      </c>
      <c r="AL43" s="16" t="str">
        <f t="array" ref="AL43">IFERROR(INDEX('Halo Reach Stats'!$1:$46,MATCH($B43,'Halo Reach Stats'!$A:$A,0),37),"")</f>
        <v/>
      </c>
      <c r="AM43" s="16" t="str">
        <f t="array" ref="AM43">IFERROR(INDEX('Halo Reach Stats'!$1:$46,MATCH($B43,'Halo Reach Stats'!$A:$A,0),38),"")</f>
        <v/>
      </c>
    </row>
    <row r="44">
      <c r="A44" s="517" t="str">
        <f>VLOOKUP(A42,TeamInfo!$1:$49,6,0)</f>
        <v>0-0</v>
      </c>
      <c r="B44" s="1" t="str">
        <f t="array" ref="B44">IFERROR(INDEX(TeamInfo!$C3:$C$45,MATCH($A$42,TeamInfo!A:A,0),0),"")</f>
        <v>Zelynthia</v>
      </c>
      <c r="C44" s="14" t="str">
        <f t="array" ref="C44">IFERROR(INDEX('Player Efficiency'!$1:$45,MATCH(B44,'Player Efficiency'!A:A,0),2),"")</f>
        <v/>
      </c>
      <c r="D44" s="512" t="str">
        <f t="array" ref="D44">IFERROR(INDEX('PlayerGrades+'!$1:$47,MATCH(B44,'PlayerGrades+'!L:L,0),22),"")</f>
        <v/>
      </c>
      <c r="E44" s="512" t="str">
        <f t="array" ref="E44">IFERROR(INDEX('PlayerGrades+'!$1:$47,MATCH(B44,'PlayerGrades+'!L:L,0),23),"")</f>
        <v/>
      </c>
      <c r="F44" s="16" t="str">
        <f t="array" ref="F44">IFERROR(INDEX(TeamInfo!$D3:$D$45,MATCH($A$42,TeamInfo!A:A,0),0),"")</f>
        <v>West</v>
      </c>
      <c r="G44" s="16" t="str">
        <f t="array" ref="G44">IFERROR(INDEX('Halo Reach Stats'!$1:$46,MATCH($B44,'Halo Reach Stats'!$A:$A,0),5),"")</f>
        <v/>
      </c>
      <c r="H44" s="16" t="str">
        <f t="array" ref="H44">IFERROR(INDEX('Halo Reach Stats'!$1:$46,MATCH($B44,'Halo Reach Stats'!$A:$A,0),6),"")</f>
        <v/>
      </c>
      <c r="I44" s="16" t="str">
        <f t="array" ref="I44">IFERROR(INDEX('Halo Reach Stats'!$1:$46,MATCH($B44,'Halo Reach Stats'!$A:$A,0),7),"")</f>
        <v/>
      </c>
      <c r="J44" s="16" t="str">
        <f t="array" ref="J44">IFERROR(INDEX('Halo Reach Stats'!$1:$46,MATCH($B44,'Halo Reach Stats'!$A:$A,0),8),"")</f>
        <v/>
      </c>
      <c r="K44" s="16" t="str">
        <f t="array" ref="K44">IFERROR(INDEX('Halo Reach Stats'!$1:$46,MATCH($B44,'Halo Reach Stats'!$A:$A,0),9),"")</f>
        <v/>
      </c>
      <c r="L44" s="514" t="str">
        <f t="shared" si="32"/>
        <v>#DIV/0!</v>
      </c>
      <c r="M44" s="16" t="str">
        <f t="array" ref="M44">IFERROR(INDEX('Halo Reach Stats'!$1:$46,MATCH($B44,'Halo Reach Stats'!$A:$A,0),10),"")</f>
        <v/>
      </c>
      <c r="N44" s="16" t="str">
        <f t="array" ref="N44">IFERROR(INDEX('Halo Reach Stats'!$1:$46,MATCH($B44,'Halo Reach Stats'!$A:$A,0),11),"")</f>
        <v/>
      </c>
      <c r="O44" s="16" t="str">
        <f t="array" ref="O44">IFERROR(INDEX('Halo Reach Stats'!$1:$46,MATCH($B44,'Halo Reach Stats'!$A:$A,0),12),"")</f>
        <v/>
      </c>
      <c r="P44" s="16" t="str">
        <f t="array" ref="P44">IFERROR(INDEX('Halo Reach Stats'!$1:$46,MATCH($B44,'Halo Reach Stats'!$A:$A,0),14),"")</f>
        <v/>
      </c>
      <c r="Q44" s="16" t="str">
        <f t="array" ref="Q44">IFERROR(INDEX('Halo Reach Stats'!$1:$46,MATCH($B44,'Halo Reach Stats'!$A:$A,0),14),"")</f>
        <v/>
      </c>
      <c r="R44" s="16" t="str">
        <f t="array" ref="R44">IFERROR(INDEX('Halo Reach Stats'!$1:$46,MATCH($B44,'Halo Reach Stats'!$A:$A,0),15),"")</f>
        <v/>
      </c>
      <c r="S44" s="16" t="str">
        <f t="array" ref="S44">IFERROR(INDEX('Halo Reach Stats'!$1:$46,MATCH($B44,'Halo Reach Stats'!$A:$A,0),18),"")</f>
        <v/>
      </c>
      <c r="T44" s="16" t="str">
        <f t="array" ref="T44">IFERROR(INDEX('Halo Reach Stats'!$1:$46,MATCH($B44,'Halo Reach Stats'!$A:$A,0),19),"")</f>
        <v/>
      </c>
      <c r="U44" s="16" t="str">
        <f t="array" ref="U44">IFERROR(INDEX('Halo Reach Stats'!$1:$46,MATCH($B44,'Halo Reach Stats'!$A:$A,0),20),"")</f>
        <v/>
      </c>
      <c r="V44" s="16" t="str">
        <f t="array" ref="V44">IFERROR(INDEX('Halo Reach Stats'!$1:$46,MATCH($B44,'Halo Reach Stats'!$A:$A,0),21),"")</f>
        <v/>
      </c>
      <c r="W44" s="16" t="str">
        <f t="array" ref="W44">IFERROR(INDEX('Halo Reach Stats'!$1:$46,MATCH($B44,'Halo Reach Stats'!$A:$A,0),22),"")</f>
        <v/>
      </c>
      <c r="X44" s="16" t="str">
        <f t="array" ref="X44">IFERROR(INDEX('Halo Reach Stats'!$1:$46,MATCH($B44,'Halo Reach Stats'!$A:$A,0),23),"")</f>
        <v/>
      </c>
      <c r="Y44" s="16" t="str">
        <f t="array" ref="Y44">IFERROR(INDEX('Halo Reach Stats'!$1:$46,MATCH($B44,'Halo Reach Stats'!$A:$A,0),24),"")</f>
        <v/>
      </c>
      <c r="Z44" s="16" t="str">
        <f t="array" ref="Z44">IFERROR(INDEX('Halo Reach Stats'!$1:$46,MATCH($B44,'Halo Reach Stats'!$A:$A,0),25),"")</f>
        <v/>
      </c>
      <c r="AA44" s="16" t="str">
        <f t="array" ref="AA44">IFERROR(INDEX('Halo Reach Stats'!$1:$46,MATCH($B44,'Halo Reach Stats'!$A:$A,0),26),"")</f>
        <v/>
      </c>
      <c r="AB44" s="16" t="str">
        <f t="array" ref="AB44">IFERROR(INDEX('Halo Reach Stats'!$1:$46,MATCH($B44,'Halo Reach Stats'!$A:$A,0),27),"")</f>
        <v/>
      </c>
      <c r="AC44" s="16" t="str">
        <f t="array" ref="AC44">IFERROR(INDEX('Halo Reach Stats'!$1:$46,MATCH($B44,'Halo Reach Stats'!$A:$A,0),28),"")</f>
        <v/>
      </c>
      <c r="AD44" s="16" t="str">
        <f t="array" ref="AD44">IFERROR(INDEX('Halo Reach Stats'!$1:$46,MATCH($B44,'Halo Reach Stats'!$A:$A,0),29),"")</f>
        <v/>
      </c>
      <c r="AE44" s="16" t="str">
        <f t="array" ref="AE44">IFERROR(INDEX('Halo Reach Stats'!$1:$46,MATCH($B44,'Halo Reach Stats'!$A:$A,0),30),"")</f>
        <v/>
      </c>
      <c r="AF44" s="16" t="str">
        <f t="array" ref="AF44">IFERROR(INDEX('Halo Reach Stats'!$1:$46,MATCH($B44,'Halo Reach Stats'!$A:$A,0),31),"")</f>
        <v/>
      </c>
      <c r="AG44" s="16" t="str">
        <f t="array" ref="AG44">IFERROR(INDEX('Halo Reach Stats'!$1:$46,MATCH($B44,'Halo Reach Stats'!$A:$A,0),32),"")</f>
        <v/>
      </c>
      <c r="AH44" s="16" t="str">
        <f t="array" ref="AH44">IFERROR(INDEX('Halo Reach Stats'!$1:$46,MATCH($B44,'Halo Reach Stats'!$A:$A,0),33),"")</f>
        <v/>
      </c>
      <c r="AI44" s="16" t="str">
        <f t="array" ref="AI44">IFERROR(INDEX('Halo Reach Stats'!$1:$46,MATCH($B44,'Halo Reach Stats'!$A:$A,0),34),"")</f>
        <v/>
      </c>
      <c r="AJ44" s="16" t="str">
        <f t="array" ref="AJ44">IFERROR(INDEX('Halo Reach Stats'!$1:$46,MATCH($B44,'Halo Reach Stats'!$A:$A,0),35),"")</f>
        <v/>
      </c>
      <c r="AK44" s="16" t="str">
        <f t="array" ref="AK44">IFERROR(INDEX('Halo Reach Stats'!$1:$46,MATCH($B44,'Halo Reach Stats'!$A:$A,0),36),"")</f>
        <v/>
      </c>
      <c r="AL44" s="16" t="str">
        <f t="array" ref="AL44">IFERROR(INDEX('Halo Reach Stats'!$1:$46,MATCH($B44,'Halo Reach Stats'!$A:$A,0),37),"")</f>
        <v/>
      </c>
      <c r="AM44" s="16" t="str">
        <f t="array" ref="AM44">IFERROR(INDEX('Halo Reach Stats'!$1:$46,MATCH($B44,'Halo Reach Stats'!$A:$A,0),38),"")</f>
        <v/>
      </c>
    </row>
    <row r="45">
      <c r="A45" s="518" t="str">
        <f>IF(((E42+E43+E44+E45)/4)&lt;='PlayerGrades+'!$Y$44,"F-",IF(((E42+E43+E44+E45)/4)&lt;'PlayerGrades+'!$Y$43,"F",IF(((E42+E43+E44+E45)/4)&lt;'PlayerGrades+'!$Y$42,"F+",IF(((E42+E43+E44+E45)/4)&lt;'PlayerGrades+'!$Y$41,"E-",IF(((E42+E43+E44+E45)/4)&lt;'PlayerGrades+'!$Y$40,"E",IF(((E42+E43+E44+E45)/4)&lt;'PlayerGrades+'!$Y$39,"E+",IF(((E42+E43+E44+E45)/4)&lt;'PlayerGrades+'!$Y$38,"D-",IF(((E42+E43+E44+E45)/4)&lt;'PlayerGrades+'!$Y$37,"D",IF(((E42+E43+E44+E45)/4)&lt;'PlayerGrades+'!$Y$36,"D+",IF(((E42+E43+E44+E45)/4)&lt;'PlayerGrades+'!$Y$35,"C-",IF(((E42+E43+E44+E45)/4)&lt;'PlayerGrades+'!$Y$34,"C",IF(((E42+E43+E44+E45)/4)&lt;'PlayerGrades+'!$Y$33,"C+",IF(((E42+E43+E44+E45)/4)&lt;'PlayerGrades+'!$Y$32,"B-",IF(((E42+E43+E44+E45)/4)&lt;'PlayerGrades+'!$Y$31,"B",IF(((E42+E43+E44+E45)/4)&lt;'PlayerGrades+'!$Y$30,"B+",IF(((E42+E43+E44+E45)/4)&lt;'PlayerGrades+'!$Y$29,"A-",IF(((E42+E43+E44+E45)/4)&lt;'PlayerGrades+'!$Y$28,"A",IF(((E42+E43+E44+E45)/4)&lt;'PlayerGrades+'!$Y$27,"A+",IF(((E42+E43+E44+E45)/4)&lt;'PlayerGrades+'!$Y$26,"S-",IF(((E42+E43+E44+E45)/4)&lt;'PlayerGrades+'!$Y$25,"S","S+"))))))))))))))))))))</f>
        <v>F-</v>
      </c>
      <c r="B45" s="1" t="str">
        <f t="array" ref="B45">IFERROR(INDEX(TeamInfo!$C4:$C$45,MATCH($A$42,TeamInfo!A:A,0),0),"")</f>
        <v>OhhMy Misery</v>
      </c>
      <c r="C45" s="14" t="str">
        <f t="array" ref="C45">IFERROR(INDEX('Player Efficiency'!$1:$45,MATCH(B45,'Player Efficiency'!A:A,0),2),"")</f>
        <v/>
      </c>
      <c r="D45" s="512" t="str">
        <f t="array" ref="D45">IFERROR(INDEX('PlayerGrades+'!$1:$47,MATCH(B45,'PlayerGrades+'!L:L,0),22),"")</f>
        <v/>
      </c>
      <c r="E45" s="512" t="str">
        <f t="array" ref="E45">IFERROR(INDEX('PlayerGrades+'!$1:$47,MATCH(B45,'PlayerGrades+'!L:L,0),23),"")</f>
        <v/>
      </c>
      <c r="F45" s="16" t="str">
        <f t="array" ref="F45">IFERROR(INDEX(TeamInfo!$D4:$D$45,MATCH($A$42,TeamInfo!A:A,0),0),"")</f>
        <v>West</v>
      </c>
      <c r="G45" s="16" t="str">
        <f t="array" ref="G45">IFERROR(INDEX('Halo Reach Stats'!$1:$46,MATCH($B45,'Halo Reach Stats'!$A:$A,0),5),"")</f>
        <v/>
      </c>
      <c r="H45" s="16" t="str">
        <f t="array" ref="H45">IFERROR(INDEX('Halo Reach Stats'!$1:$46,MATCH($B45,'Halo Reach Stats'!$A:$A,0),6),"")</f>
        <v/>
      </c>
      <c r="I45" s="16" t="str">
        <f t="array" ref="I45">IFERROR(INDEX('Halo Reach Stats'!$1:$46,MATCH($B45,'Halo Reach Stats'!$A:$A,0),7),"")</f>
        <v/>
      </c>
      <c r="J45" s="16" t="str">
        <f t="array" ref="J45">IFERROR(INDEX('Halo Reach Stats'!$1:$46,MATCH($B45,'Halo Reach Stats'!$A:$A,0),8),"")</f>
        <v/>
      </c>
      <c r="K45" s="16" t="str">
        <f t="array" ref="K45">IFERROR(INDEX('Halo Reach Stats'!$1:$46,MATCH($B45,'Halo Reach Stats'!$A:$A,0),9),"")</f>
        <v/>
      </c>
      <c r="L45" s="514" t="str">
        <f t="shared" si="32"/>
        <v>#DIV/0!</v>
      </c>
      <c r="M45" s="16" t="str">
        <f t="array" ref="M45">IFERROR(INDEX('Halo Reach Stats'!$1:$46,MATCH($B45,'Halo Reach Stats'!$A:$A,0),10),"")</f>
        <v/>
      </c>
      <c r="N45" s="16" t="str">
        <f t="array" ref="N45">IFERROR(INDEX('Halo Reach Stats'!$1:$46,MATCH($B45,'Halo Reach Stats'!$A:$A,0),11),"")</f>
        <v/>
      </c>
      <c r="O45" s="16" t="str">
        <f t="array" ref="O45">IFERROR(INDEX('Halo Reach Stats'!$1:$46,MATCH($B45,'Halo Reach Stats'!$A:$A,0),12),"")</f>
        <v/>
      </c>
      <c r="P45" s="16" t="str">
        <f t="array" ref="P45">IFERROR(INDEX('Halo Reach Stats'!$1:$46,MATCH($B45,'Halo Reach Stats'!$A:$A,0),14),"")</f>
        <v/>
      </c>
      <c r="Q45" s="16" t="str">
        <f t="array" ref="Q45">IFERROR(INDEX('Halo Reach Stats'!$1:$46,MATCH($B45,'Halo Reach Stats'!$A:$A,0),16),"")</f>
        <v/>
      </c>
      <c r="R45" s="16" t="str">
        <f t="array" ref="R45">IFERROR(INDEX('Halo Reach Stats'!$1:$46,MATCH($B45,'Halo Reach Stats'!$A:$A,0),15),"")</f>
        <v/>
      </c>
      <c r="S45" s="16" t="str">
        <f t="array" ref="S45">IFERROR(INDEX('Halo Reach Stats'!$1:$46,MATCH($B45,'Halo Reach Stats'!$A:$A,0),18),"")</f>
        <v/>
      </c>
      <c r="T45" s="16" t="str">
        <f t="array" ref="T45">IFERROR(INDEX('Halo Reach Stats'!$1:$46,MATCH($B45,'Halo Reach Stats'!$A:$A,0),19),"")</f>
        <v/>
      </c>
      <c r="U45" s="16" t="str">
        <f t="array" ref="U45">IFERROR(INDEX('Halo Reach Stats'!$1:$46,MATCH($B45,'Halo Reach Stats'!$A:$A,0),20),"")</f>
        <v/>
      </c>
      <c r="V45" s="16" t="str">
        <f t="array" ref="V45">IFERROR(INDEX('Halo Reach Stats'!$1:$46,MATCH($B45,'Halo Reach Stats'!$A:$A,0),21),"")</f>
        <v/>
      </c>
      <c r="W45" s="16" t="str">
        <f t="array" ref="W45">IFERROR(INDEX('Halo Reach Stats'!$1:$46,MATCH($B45,'Halo Reach Stats'!$A:$A,0),22),"")</f>
        <v/>
      </c>
      <c r="X45" s="16" t="str">
        <f t="array" ref="X45">IFERROR(INDEX('Halo Reach Stats'!$1:$46,MATCH($B45,'Halo Reach Stats'!$A:$A,0),23),"")</f>
        <v/>
      </c>
      <c r="Y45" s="16" t="str">
        <f t="array" ref="Y45">IFERROR(INDEX('Halo Reach Stats'!$1:$46,MATCH($B45,'Halo Reach Stats'!$A:$A,0),24),"")</f>
        <v/>
      </c>
      <c r="Z45" s="16" t="str">
        <f t="array" ref="Z45">IFERROR(INDEX('Halo Reach Stats'!$1:$46,MATCH($B45,'Halo Reach Stats'!$A:$A,0),25),"")</f>
        <v/>
      </c>
      <c r="AA45" s="16" t="str">
        <f t="array" ref="AA45">IFERROR(INDEX('Halo Reach Stats'!$1:$46,MATCH($B45,'Halo Reach Stats'!$A:$A,0),26),"")</f>
        <v/>
      </c>
      <c r="AB45" s="16" t="str">
        <f t="array" ref="AB45">IFERROR(INDEX('Halo Reach Stats'!$1:$46,MATCH($B45,'Halo Reach Stats'!$A:$A,0),27),"")</f>
        <v/>
      </c>
      <c r="AC45" s="16" t="str">
        <f t="array" ref="AC45">IFERROR(INDEX('Halo Reach Stats'!$1:$46,MATCH($B45,'Halo Reach Stats'!$A:$A,0),28),"")</f>
        <v/>
      </c>
      <c r="AD45" s="16" t="str">
        <f t="array" ref="AD45">IFERROR(INDEX('Halo Reach Stats'!$1:$46,MATCH($B45,'Halo Reach Stats'!$A:$A,0),29),"")</f>
        <v/>
      </c>
      <c r="AE45" s="16" t="str">
        <f t="array" ref="AE45">IFERROR(INDEX('Halo Reach Stats'!$1:$46,MATCH($B45,'Halo Reach Stats'!$A:$A,0),30),"")</f>
        <v/>
      </c>
      <c r="AF45" s="16" t="str">
        <f t="array" ref="AF45">IFERROR(INDEX('Halo Reach Stats'!$1:$46,MATCH($B45,'Halo Reach Stats'!$A:$A,0),31),"")</f>
        <v/>
      </c>
      <c r="AG45" s="16" t="str">
        <f t="array" ref="AG45">IFERROR(INDEX('Halo Reach Stats'!$1:$46,MATCH($B45,'Halo Reach Stats'!$A:$A,0),32),"")</f>
        <v/>
      </c>
      <c r="AH45" s="16" t="str">
        <f t="array" ref="AH45">IFERROR(INDEX('Halo Reach Stats'!$1:$46,MATCH($B45,'Halo Reach Stats'!$A:$A,0),33),"")</f>
        <v/>
      </c>
      <c r="AI45" s="16" t="str">
        <f t="array" ref="AI45">IFERROR(INDEX('Halo Reach Stats'!$1:$46,MATCH($B45,'Halo Reach Stats'!$A:$A,0),34),"")</f>
        <v/>
      </c>
      <c r="AJ45" s="16" t="str">
        <f t="array" ref="AJ45">IFERROR(INDEX('Halo Reach Stats'!$1:$46,MATCH($B45,'Halo Reach Stats'!$A:$A,0),35),"")</f>
        <v/>
      </c>
      <c r="AK45" s="16" t="str">
        <f t="array" ref="AK45">IFERROR(INDEX('Halo Reach Stats'!$1:$46,MATCH($B45,'Halo Reach Stats'!$A:$A,0),36),"")</f>
        <v/>
      </c>
      <c r="AL45" s="16" t="str">
        <f t="array" ref="AL45">IFERROR(INDEX('Halo Reach Stats'!$1:$46,MATCH($B45,'Halo Reach Stats'!$A:$A,0),37),"")</f>
        <v/>
      </c>
      <c r="AM45" s="16" t="str">
        <f t="array" ref="AM45">IFERROR(INDEX('Halo Reach Stats'!$1:$46,MATCH($B45,'Halo Reach Stats'!$A:$A,0),38),"")</f>
        <v/>
      </c>
    </row>
    <row r="46">
      <c r="A46" s="532"/>
      <c r="B46" s="520" t="s">
        <v>354</v>
      </c>
      <c r="C46" s="533">
        <f>SUM(C42:C45)/4</f>
        <v>0</v>
      </c>
      <c r="D46" s="528"/>
      <c r="E46" s="529">
        <f>SUM(E42:E45)/4</f>
        <v>0</v>
      </c>
      <c r="F46" s="524" t="s">
        <v>355</v>
      </c>
      <c r="G46" s="525">
        <f t="shared" ref="G46:K46" si="33">SUM(G42:G45)</f>
        <v>0</v>
      </c>
      <c r="H46" s="525">
        <f t="shared" si="33"/>
        <v>0</v>
      </c>
      <c r="I46" s="525">
        <f t="shared" si="33"/>
        <v>0</v>
      </c>
      <c r="J46" s="525">
        <f t="shared" si="33"/>
        <v>0</v>
      </c>
      <c r="K46" s="525">
        <f t="shared" si="33"/>
        <v>0</v>
      </c>
      <c r="L46" s="526" t="str">
        <f>SUM(L42:L45)/4</f>
        <v>#DIV/0!</v>
      </c>
      <c r="M46" s="525">
        <f t="shared" ref="M46:Q46" si="34">SUM(M42:M45)</f>
        <v>0</v>
      </c>
      <c r="N46" s="525">
        <f t="shared" si="34"/>
        <v>0</v>
      </c>
      <c r="O46" s="525">
        <f t="shared" si="34"/>
        <v>0</v>
      </c>
      <c r="P46" s="525">
        <f t="shared" si="34"/>
        <v>0</v>
      </c>
      <c r="Q46" s="525">
        <f t="shared" si="34"/>
        <v>0</v>
      </c>
      <c r="R46" s="525">
        <f>SUM(R42:R45)/4</f>
        <v>0</v>
      </c>
      <c r="S46" s="525">
        <f t="shared" ref="S46:AM46" si="35">SUM(S42:S45)</f>
        <v>0</v>
      </c>
      <c r="T46" s="525">
        <f t="shared" si="35"/>
        <v>0</v>
      </c>
      <c r="U46" s="525">
        <f t="shared" si="35"/>
        <v>0</v>
      </c>
      <c r="V46" s="525">
        <f t="shared" si="35"/>
        <v>0</v>
      </c>
      <c r="W46" s="525">
        <f t="shared" si="35"/>
        <v>0</v>
      </c>
      <c r="X46" s="525">
        <f t="shared" si="35"/>
        <v>0</v>
      </c>
      <c r="Y46" s="525">
        <f t="shared" si="35"/>
        <v>0</v>
      </c>
      <c r="Z46" s="525">
        <f t="shared" si="35"/>
        <v>0</v>
      </c>
      <c r="AA46" s="525">
        <f t="shared" si="35"/>
        <v>0</v>
      </c>
      <c r="AB46" s="525">
        <f t="shared" si="35"/>
        <v>0</v>
      </c>
      <c r="AC46" s="525">
        <f t="shared" si="35"/>
        <v>0</v>
      </c>
      <c r="AD46" s="525">
        <f t="shared" si="35"/>
        <v>0</v>
      </c>
      <c r="AE46" s="525">
        <f t="shared" si="35"/>
        <v>0</v>
      </c>
      <c r="AF46" s="525">
        <f t="shared" si="35"/>
        <v>0</v>
      </c>
      <c r="AG46" s="525">
        <f t="shared" si="35"/>
        <v>0</v>
      </c>
      <c r="AH46" s="525">
        <f t="shared" si="35"/>
        <v>0</v>
      </c>
      <c r="AI46" s="525">
        <f t="shared" si="35"/>
        <v>0</v>
      </c>
      <c r="AJ46" s="525">
        <f t="shared" si="35"/>
        <v>0</v>
      </c>
      <c r="AK46" s="525">
        <f t="shared" si="35"/>
        <v>0</v>
      </c>
      <c r="AL46" s="525">
        <f t="shared" si="35"/>
        <v>0</v>
      </c>
      <c r="AM46" s="525">
        <f t="shared" si="35"/>
        <v>0</v>
      </c>
    </row>
    <row r="47">
      <c r="A47" s="534" t="s">
        <v>364</v>
      </c>
      <c r="B47" s="530" t="str">
        <f t="array" ref="B47">IFERROR(INDEX(TeamInfo!$C1:$C$45,MATCH($A$47,TeamInfo!A:A,0),0),"")</f>
        <v>yLuxe</v>
      </c>
      <c r="C47" s="14" t="str">
        <f t="array" ref="C47">IFERROR(INDEX('Player Efficiency'!$1:$45,MATCH(B47,'Player Efficiency'!A:A,0),2),"")</f>
        <v/>
      </c>
      <c r="D47" s="512" t="str">
        <f t="array" ref="D47">IFERROR(INDEX('PlayerGrades+'!$1:$47,MATCH(B47,'PlayerGrades+'!L:L,0),22),"")</f>
        <v>A</v>
      </c>
      <c r="E47" s="512">
        <f t="array" ref="E47">IFERROR(INDEX('PlayerGrades+'!$1:$47,MATCH(B47,'PlayerGrades+'!L:L,0),23),"")</f>
        <v>25.3</v>
      </c>
      <c r="F47" s="513" t="str">
        <f t="array" ref="F47">IFERROR(INDEX(TeamInfo!$D1:$D$45,MATCH($A$47,TeamInfo!A:A,0),0),"")</f>
        <v>East</v>
      </c>
      <c r="G47" s="16">
        <f t="array" ref="G47">IFERROR(INDEX('Halo Reach Stats'!$1:$46,MATCH($B47,'Halo Reach Stats'!$A:$A,0),5),"")</f>
        <v>73</v>
      </c>
      <c r="H47" s="16">
        <f t="array" ref="H47">IFERROR(INDEX('Halo Reach Stats'!$1:$46,MATCH($B47,'Halo Reach Stats'!$A:$A,0),6),"")</f>
        <v>455</v>
      </c>
      <c r="I47" s="16">
        <f t="array" ref="I47">IFERROR(INDEX('Halo Reach Stats'!$1:$46,MATCH($B47,'Halo Reach Stats'!$A:$A,0),7),"")</f>
        <v>1755</v>
      </c>
      <c r="J47" s="16">
        <f t="array" ref="J47">IFERROR(INDEX('Halo Reach Stats'!$1:$46,MATCH($B47,'Halo Reach Stats'!$A:$A,0),8),"")</f>
        <v>1331</v>
      </c>
      <c r="K47" s="16">
        <f t="array" ref="K47">IFERROR(INDEX('Halo Reach Stats'!$1:$46,MATCH($B47,'Halo Reach Stats'!$A:$A,0),9),"")</f>
        <v>424</v>
      </c>
      <c r="L47" s="514">
        <f t="shared" ref="L47:L50" si="36">I47/J47</f>
        <v>1.318557476</v>
      </c>
      <c r="M47" s="16">
        <f t="array" ref="M47">IFERROR(INDEX('Halo Reach Stats'!$1:$46,MATCH($B47,'Halo Reach Stats'!$A:$A,0),10),"")</f>
        <v>57</v>
      </c>
      <c r="N47" s="16">
        <f t="array" ref="N47">IFERROR(INDEX('Halo Reach Stats'!$1:$46,MATCH($B47,'Halo Reach Stats'!$A:$A,0),11),"")</f>
        <v>22</v>
      </c>
      <c r="O47" s="16">
        <f t="array" ref="O47">IFERROR(INDEX('Halo Reach Stats'!$1:$46,MATCH($B47,'Halo Reach Stats'!$A:$A,0),12),"")</f>
        <v>35</v>
      </c>
      <c r="P47" s="16">
        <f t="array" ref="P47">IFERROR(INDEX('Halo Reach Stats'!$1:$46,MATCH($B47,'Halo Reach Stats'!$A:$A,0),14),"")</f>
        <v>37582</v>
      </c>
      <c r="Q47" s="16">
        <f t="array" ref="Q47">IFERROR(INDEX('Halo Reach Stats'!$1:$46,MATCH($B47,'Halo Reach Stats'!$A:$A,0),16),"")</f>
        <v>15028</v>
      </c>
      <c r="R47" s="16">
        <f t="array" ref="R47">IFERROR(INDEX('Halo Reach Stats'!$1:$46,MATCH($B47,'Halo Reach Stats'!$A:$A,0),15),"")</f>
        <v>23</v>
      </c>
      <c r="S47" s="16">
        <f t="array" ref="S47">IFERROR(INDEX('Halo Reach Stats'!$1:$46,MATCH($B47,'Halo Reach Stats'!$A:$A,0),18),"")</f>
        <v>60</v>
      </c>
      <c r="T47" s="16">
        <f t="array" ref="T47">IFERROR(INDEX('Halo Reach Stats'!$1:$46,MATCH($B47,'Halo Reach Stats'!$A:$A,0),19),"")</f>
        <v>6</v>
      </c>
      <c r="U47" s="16">
        <f t="array" ref="U47">IFERROR(INDEX('Halo Reach Stats'!$1:$46,MATCH($B47,'Halo Reach Stats'!$A:$A,0),20),"")</f>
        <v>2</v>
      </c>
      <c r="V47" s="16">
        <f t="array" ref="V47">IFERROR(INDEX('Halo Reach Stats'!$1:$46,MATCH($B47,'Halo Reach Stats'!$A:$A,0),21),"")</f>
        <v>1</v>
      </c>
      <c r="W47" s="16">
        <f t="array" ref="W47">IFERROR(INDEX('Halo Reach Stats'!$1:$46,MATCH($B47,'Halo Reach Stats'!$A:$A,0),22),"")</f>
        <v>11</v>
      </c>
      <c r="X47" s="16">
        <f t="array" ref="X47">IFERROR(INDEX('Halo Reach Stats'!$1:$46,MATCH($B47,'Halo Reach Stats'!$A:$A,0),23),"")</f>
        <v>0</v>
      </c>
      <c r="Y47" s="16">
        <f t="array" ref="Y47">IFERROR(INDEX('Halo Reach Stats'!$1:$46,MATCH($B47,'Halo Reach Stats'!$A:$A,0),24),"")</f>
        <v>222</v>
      </c>
      <c r="Z47" s="16">
        <f t="array" ref="Z47">IFERROR(INDEX('Halo Reach Stats'!$1:$46,MATCH($B47,'Halo Reach Stats'!$A:$A,0),25),"")</f>
        <v>55</v>
      </c>
      <c r="AA47" s="16">
        <f t="array" ref="AA47">IFERROR(INDEX('Halo Reach Stats'!$1:$46,MATCH($B47,'Halo Reach Stats'!$A:$A,0),26),"")</f>
        <v>13</v>
      </c>
      <c r="AB47" s="16">
        <f t="array" ref="AB47">IFERROR(INDEX('Halo Reach Stats'!$1:$46,MATCH($B47,'Halo Reach Stats'!$A:$A,0),27),"")</f>
        <v>3</v>
      </c>
      <c r="AC47" s="16">
        <f t="array" ref="AC47">IFERROR(INDEX('Halo Reach Stats'!$1:$46,MATCH($B47,'Halo Reach Stats'!$A:$A,0),28),"")</f>
        <v>2</v>
      </c>
      <c r="AD47" s="16">
        <f t="array" ref="AD47">IFERROR(INDEX('Halo Reach Stats'!$1:$46,MATCH($B47,'Halo Reach Stats'!$A:$A,0),29),"")</f>
        <v>1</v>
      </c>
      <c r="AE47" s="16">
        <f t="array" ref="AE47">IFERROR(INDEX('Halo Reach Stats'!$1:$46,MATCH($B47,'Halo Reach Stats'!$A:$A,0),30),"")</f>
        <v>1</v>
      </c>
      <c r="AF47" s="16">
        <f t="array" ref="AF47">IFERROR(INDEX('Halo Reach Stats'!$1:$46,MATCH($B47,'Halo Reach Stats'!$A:$A,0),31),"")</f>
        <v>1</v>
      </c>
      <c r="AG47" s="16">
        <f t="array" ref="AG47">IFERROR(INDEX('Halo Reach Stats'!$1:$46,MATCH($B47,'Halo Reach Stats'!$A:$A,0),32),"")</f>
        <v>0</v>
      </c>
      <c r="AH47" s="16">
        <f t="array" ref="AH47">IFERROR(INDEX('Halo Reach Stats'!$1:$46,MATCH($B47,'Halo Reach Stats'!$A:$A,0),33),"")</f>
        <v>1</v>
      </c>
      <c r="AI47" s="16">
        <f t="array" ref="AI47">IFERROR(INDEX('Halo Reach Stats'!$1:$46,MATCH($B47,'Halo Reach Stats'!$A:$A,0),34),"")</f>
        <v>29</v>
      </c>
      <c r="AJ47" s="16">
        <f t="array" ref="AJ47">IFERROR(INDEX('Halo Reach Stats'!$1:$46,MATCH($B47,'Halo Reach Stats'!$A:$A,0),35),"")</f>
        <v>1</v>
      </c>
      <c r="AK47" s="16">
        <f t="array" ref="AK47">IFERROR(INDEX('Halo Reach Stats'!$1:$46,MATCH($B47,'Halo Reach Stats'!$A:$A,0),36),"")</f>
        <v>298</v>
      </c>
      <c r="AL47" s="16">
        <f t="array" ref="AL47">IFERROR(INDEX('Halo Reach Stats'!$1:$46,MATCH($B47,'Halo Reach Stats'!$A:$A,0),37),"")</f>
        <v>165</v>
      </c>
      <c r="AM47" s="16">
        <f t="array" ref="AM47">IFERROR(INDEX('Halo Reach Stats'!$1:$46,MATCH($B47,'Halo Reach Stats'!$A:$A,0),38),"")</f>
        <v>36</v>
      </c>
    </row>
    <row r="48">
      <c r="A48" s="531" t="str">
        <f t="array" ref="A48">IFERROR(INDEX(TeamInfo!$1:$45,MATCH(A47,TeamInfo!A:A,0),2),"")</f>
        <v>Like Clockwork</v>
      </c>
      <c r="B48" s="1" t="str">
        <f t="array" ref="B48">IFERROR(INDEX(TeamInfo!$C2:$C$45,MATCH($A$47,TeamInfo!A:A,0),0),"")</f>
        <v>Godsnipezx</v>
      </c>
      <c r="C48" s="14" t="str">
        <f t="array" ref="C48">IFERROR(INDEX('Player Efficiency'!$1:$45,MATCH(B48,'Player Efficiency'!A:A,0),2),"")</f>
        <v/>
      </c>
      <c r="D48" s="512" t="str">
        <f t="array" ref="D48">IFERROR(INDEX('PlayerGrades+'!$1:$47,MATCH(B48,'PlayerGrades+'!L:L,0),22),"")</f>
        <v>B+</v>
      </c>
      <c r="E48" s="512">
        <f t="array" ref="E48">IFERROR(INDEX('PlayerGrades+'!$1:$47,MATCH(B48,'PlayerGrades+'!L:L,0),23),"")</f>
        <v>23.65</v>
      </c>
      <c r="F48" s="16" t="str">
        <f t="array" ref="F48">IFERROR(INDEX(TeamInfo!$D2:$D$45,MATCH($A$47,TeamInfo!A:A,0),0),"")</f>
        <v>North Central</v>
      </c>
      <c r="G48" s="16">
        <f t="array" ref="G48">IFERROR(INDEX('Halo Reach Stats'!$1:$46,MATCH($B48,'Halo Reach Stats'!$A:$A,0),5),"")</f>
        <v>16</v>
      </c>
      <c r="H48" s="16">
        <f t="array" ref="H48">IFERROR(INDEX('Halo Reach Stats'!$1:$46,MATCH($B48,'Halo Reach Stats'!$A:$A,0),6),"")</f>
        <v>4</v>
      </c>
      <c r="I48" s="16">
        <f t="array" ref="I48">IFERROR(INDEX('Halo Reach Stats'!$1:$46,MATCH($B48,'Halo Reach Stats'!$A:$A,0),7),"")</f>
        <v>1955</v>
      </c>
      <c r="J48" s="16">
        <f t="array" ref="J48">IFERROR(INDEX('Halo Reach Stats'!$1:$46,MATCH($B48,'Halo Reach Stats'!$A:$A,0),8),"")</f>
        <v>2003</v>
      </c>
      <c r="K48" s="16">
        <f t="array" ref="K48">IFERROR(INDEX('Halo Reach Stats'!$1:$46,MATCH($B48,'Halo Reach Stats'!$A:$A,0),9),"")</f>
        <v>-48</v>
      </c>
      <c r="L48" s="514">
        <f t="shared" si="36"/>
        <v>0.9760359461</v>
      </c>
      <c r="M48" s="16">
        <f t="array" ref="M48">IFERROR(INDEX('Halo Reach Stats'!$1:$46,MATCH($B48,'Halo Reach Stats'!$A:$A,0),10),"")</f>
        <v>121</v>
      </c>
      <c r="N48" s="16">
        <f t="array" ref="N48">IFERROR(INDEX('Halo Reach Stats'!$1:$46,MATCH($B48,'Halo Reach Stats'!$A:$A,0),11),"")</f>
        <v>8</v>
      </c>
      <c r="O48" s="16">
        <f t="array" ref="O48">IFERROR(INDEX('Halo Reach Stats'!$1:$46,MATCH($B48,'Halo Reach Stats'!$A:$A,0),12),"")</f>
        <v>18</v>
      </c>
      <c r="P48" s="16">
        <f t="array" ref="P48">IFERROR(INDEX('Halo Reach Stats'!$1:$46,MATCH($B48,'Halo Reach Stats'!$A:$A,0),14),"")</f>
        <v>34084</v>
      </c>
      <c r="Q48" s="16">
        <f t="array" ref="Q48">IFERROR(INDEX('Halo Reach Stats'!$1:$46,MATCH($B48,'Halo Reach Stats'!$A:$A,0),16),"")</f>
        <v>353</v>
      </c>
      <c r="R48" s="16">
        <f t="array" ref="R48">IFERROR(INDEX('Halo Reach Stats'!$1:$46,MATCH($B48,'Halo Reach Stats'!$A:$A,0),15),"")</f>
        <v>13</v>
      </c>
      <c r="S48" s="16">
        <f t="array" ref="S48">IFERROR(INDEX('Halo Reach Stats'!$1:$46,MATCH($B48,'Halo Reach Stats'!$A:$A,0),18),"")</f>
        <v>24</v>
      </c>
      <c r="T48" s="16">
        <f t="array" ref="T48">IFERROR(INDEX('Halo Reach Stats'!$1:$46,MATCH($B48,'Halo Reach Stats'!$A:$A,0),19),"")</f>
        <v>0</v>
      </c>
      <c r="U48" s="16">
        <f t="array" ref="U48">IFERROR(INDEX('Halo Reach Stats'!$1:$46,MATCH($B48,'Halo Reach Stats'!$A:$A,0),20),"")</f>
        <v>0</v>
      </c>
      <c r="V48" s="16">
        <f t="array" ref="V48">IFERROR(INDEX('Halo Reach Stats'!$1:$46,MATCH($B48,'Halo Reach Stats'!$A:$A,0),21),"")</f>
        <v>0</v>
      </c>
      <c r="W48" s="16">
        <f t="array" ref="W48">IFERROR(INDEX('Halo Reach Stats'!$1:$46,MATCH($B48,'Halo Reach Stats'!$A:$A,0),22),"")</f>
        <v>22</v>
      </c>
      <c r="X48" s="16">
        <f t="array" ref="X48">IFERROR(INDEX('Halo Reach Stats'!$1:$46,MATCH($B48,'Halo Reach Stats'!$A:$A,0),23),"")</f>
        <v>0</v>
      </c>
      <c r="Y48" s="16">
        <f t="array" ref="Y48">IFERROR(INDEX('Halo Reach Stats'!$1:$46,MATCH($B48,'Halo Reach Stats'!$A:$A,0),24),"")</f>
        <v>279</v>
      </c>
      <c r="Z48" s="16">
        <f t="array" ref="Z48">IFERROR(INDEX('Halo Reach Stats'!$1:$46,MATCH($B48,'Halo Reach Stats'!$A:$A,0),25),"")</f>
        <v>44</v>
      </c>
      <c r="AA48" s="16">
        <f t="array" ref="AA48">IFERROR(INDEX('Halo Reach Stats'!$1:$46,MATCH($B48,'Halo Reach Stats'!$A:$A,0),26),"")</f>
        <v>10</v>
      </c>
      <c r="AB48" s="16">
        <f t="array" ref="AB48">IFERROR(INDEX('Halo Reach Stats'!$1:$46,MATCH($B48,'Halo Reach Stats'!$A:$A,0),27),"")</f>
        <v>2</v>
      </c>
      <c r="AC48" s="16">
        <f t="array" ref="AC48">IFERROR(INDEX('Halo Reach Stats'!$1:$46,MATCH($B48,'Halo Reach Stats'!$A:$A,0),28),"")</f>
        <v>0</v>
      </c>
      <c r="AD48" s="16">
        <f t="array" ref="AD48">IFERROR(INDEX('Halo Reach Stats'!$1:$46,MATCH($B48,'Halo Reach Stats'!$A:$A,0),29),"")</f>
        <v>0</v>
      </c>
      <c r="AE48" s="16">
        <f t="array" ref="AE48">IFERROR(INDEX('Halo Reach Stats'!$1:$46,MATCH($B48,'Halo Reach Stats'!$A:$A,0),30),"")</f>
        <v>0</v>
      </c>
      <c r="AF48" s="16">
        <f t="array" ref="AF48">IFERROR(INDEX('Halo Reach Stats'!$1:$46,MATCH($B48,'Halo Reach Stats'!$A:$A,0),31),"")</f>
        <v>0</v>
      </c>
      <c r="AG48" s="16">
        <f t="array" ref="AG48">IFERROR(INDEX('Halo Reach Stats'!$1:$46,MATCH($B48,'Halo Reach Stats'!$A:$A,0),32),"")</f>
        <v>0</v>
      </c>
      <c r="AH48" s="16">
        <f t="array" ref="AH48">IFERROR(INDEX('Halo Reach Stats'!$1:$46,MATCH($B48,'Halo Reach Stats'!$A:$A,0),33),"")</f>
        <v>1</v>
      </c>
      <c r="AI48" s="16">
        <f t="array" ref="AI48">IFERROR(INDEX('Halo Reach Stats'!$1:$46,MATCH($B48,'Halo Reach Stats'!$A:$A,0),34),"")</f>
        <v>112</v>
      </c>
      <c r="AJ48" s="16">
        <f t="array" ref="AJ48">IFERROR(INDEX('Halo Reach Stats'!$1:$46,MATCH($B48,'Halo Reach Stats'!$A:$A,0),35),"")</f>
        <v>0</v>
      </c>
      <c r="AK48" s="16">
        <f t="array" ref="AK48">IFERROR(INDEX('Halo Reach Stats'!$1:$46,MATCH($B48,'Halo Reach Stats'!$A:$A,0),36),"")</f>
        <v>146</v>
      </c>
      <c r="AL48" s="16">
        <f t="array" ref="AL48">IFERROR(INDEX('Halo Reach Stats'!$1:$46,MATCH($B48,'Halo Reach Stats'!$A:$A,0),37),"")</f>
        <v>243</v>
      </c>
      <c r="AM48" s="16">
        <f t="array" ref="AM48">IFERROR(INDEX('Halo Reach Stats'!$1:$46,MATCH($B48,'Halo Reach Stats'!$A:$A,0),38),"")</f>
        <v>18</v>
      </c>
    </row>
    <row r="49">
      <c r="A49" s="517" t="str">
        <f>VLOOKUP(A47,TeamInfo!$1:$49,6,0)</f>
        <v>17-6</v>
      </c>
      <c r="B49" s="1" t="str">
        <f t="array" ref="B49">IFERROR(INDEX(TeamInfo!$C3:$C$45,MATCH($A$47,TeamInfo!A:A,0),0),"")</f>
        <v>ASpence501</v>
      </c>
      <c r="C49" s="14" t="str">
        <f t="array" ref="C49">IFERROR(INDEX('Player Efficiency'!$1:$45,MATCH(B49,'Player Efficiency'!A:A,0),2),"")</f>
        <v/>
      </c>
      <c r="D49" s="512" t="str">
        <f t="array" ref="D49">IFERROR(INDEX('PlayerGrades+'!$1:$47,MATCH(B49,'PlayerGrades+'!L:L,0),22),"")</f>
        <v>A+</v>
      </c>
      <c r="E49" s="512">
        <f t="array" ref="E49">IFERROR(INDEX('PlayerGrades+'!$1:$47,MATCH(B49,'PlayerGrades+'!L:L,0),23),"")</f>
        <v>28.65</v>
      </c>
      <c r="F49" s="16" t="str">
        <f t="array" ref="F49">IFERROR(INDEX(TeamInfo!$D3:$D$45,MATCH($A$47,TeamInfo!A:A,0),0),"")</f>
        <v>East</v>
      </c>
      <c r="G49" s="16">
        <f t="array" ref="G49">IFERROR(INDEX('Halo Reach Stats'!$1:$46,MATCH($B49,'Halo Reach Stats'!$A:$A,0),5),"")</f>
        <v>8</v>
      </c>
      <c r="H49" s="16">
        <f t="array" ref="H49">IFERROR(INDEX('Halo Reach Stats'!$1:$46,MATCH($B49,'Halo Reach Stats'!$A:$A,0),6),"")</f>
        <v>18</v>
      </c>
      <c r="I49" s="16">
        <f t="array" ref="I49">IFERROR(INDEX('Halo Reach Stats'!$1:$46,MATCH($B49,'Halo Reach Stats'!$A:$A,0),7),"")</f>
        <v>3111</v>
      </c>
      <c r="J49" s="16">
        <f t="array" ref="J49">IFERROR(INDEX('Halo Reach Stats'!$1:$46,MATCH($B49,'Halo Reach Stats'!$A:$A,0),8),"")</f>
        <v>3132</v>
      </c>
      <c r="K49" s="16">
        <f t="array" ref="K49">IFERROR(INDEX('Halo Reach Stats'!$1:$46,MATCH($B49,'Halo Reach Stats'!$A:$A,0),9),"")</f>
        <v>-21</v>
      </c>
      <c r="L49" s="514">
        <f t="shared" si="36"/>
        <v>0.9932950192</v>
      </c>
      <c r="M49" s="16">
        <f t="array" ref="M49">IFERROR(INDEX('Halo Reach Stats'!$1:$46,MATCH($B49,'Halo Reach Stats'!$A:$A,0),10),"")</f>
        <v>253</v>
      </c>
      <c r="N49" s="16">
        <f t="array" ref="N49">IFERROR(INDEX('Halo Reach Stats'!$1:$46,MATCH($B49,'Halo Reach Stats'!$A:$A,0),11),"")</f>
        <v>8</v>
      </c>
      <c r="O49" s="16">
        <f t="array" ref="O49">IFERROR(INDEX('Halo Reach Stats'!$1:$46,MATCH($B49,'Halo Reach Stats'!$A:$A,0),12),"")</f>
        <v>36</v>
      </c>
      <c r="P49" s="16">
        <f t="array" ref="P49">IFERROR(INDEX('Halo Reach Stats'!$1:$46,MATCH($B49,'Halo Reach Stats'!$A:$A,0),14),"")</f>
        <v>50525</v>
      </c>
      <c r="Q49" s="16">
        <f t="array" ref="Q49">IFERROR(INDEX('Halo Reach Stats'!$1:$46,MATCH($B49,'Halo Reach Stats'!$A:$A,0),16),"")</f>
        <v>452</v>
      </c>
      <c r="R49" s="16">
        <f t="array" ref="R49">IFERROR(INDEX('Halo Reach Stats'!$1:$46,MATCH($B49,'Halo Reach Stats'!$A:$A,0),15),"")</f>
        <v>12</v>
      </c>
      <c r="S49" s="16">
        <f t="array" ref="S49">IFERROR(INDEX('Halo Reach Stats'!$1:$46,MATCH($B49,'Halo Reach Stats'!$A:$A,0),18),"")</f>
        <v>43</v>
      </c>
      <c r="T49" s="16">
        <f t="array" ref="T49">IFERROR(INDEX('Halo Reach Stats'!$1:$46,MATCH($B49,'Halo Reach Stats'!$A:$A,0),19),"")</f>
        <v>0</v>
      </c>
      <c r="U49" s="16">
        <f t="array" ref="U49">IFERROR(INDEX('Halo Reach Stats'!$1:$46,MATCH($B49,'Halo Reach Stats'!$A:$A,0),20),"")</f>
        <v>0</v>
      </c>
      <c r="V49" s="16">
        <f t="array" ref="V49">IFERROR(INDEX('Halo Reach Stats'!$1:$46,MATCH($B49,'Halo Reach Stats'!$A:$A,0),21),"")</f>
        <v>0</v>
      </c>
      <c r="W49" s="16">
        <f t="array" ref="W49">IFERROR(INDEX('Halo Reach Stats'!$1:$46,MATCH($B49,'Halo Reach Stats'!$A:$A,0),22),"")</f>
        <v>35</v>
      </c>
      <c r="X49" s="16">
        <f t="array" ref="X49">IFERROR(INDEX('Halo Reach Stats'!$1:$46,MATCH($B49,'Halo Reach Stats'!$A:$A,0),23),"")</f>
        <v>0</v>
      </c>
      <c r="Y49" s="16">
        <f t="array" ref="Y49">IFERROR(INDEX('Halo Reach Stats'!$1:$46,MATCH($B49,'Halo Reach Stats'!$A:$A,0),24),"")</f>
        <v>490</v>
      </c>
      <c r="Z49" s="16">
        <f t="array" ref="Z49">IFERROR(INDEX('Halo Reach Stats'!$1:$46,MATCH($B49,'Halo Reach Stats'!$A:$A,0),25),"")</f>
        <v>87</v>
      </c>
      <c r="AA49" s="16">
        <f t="array" ref="AA49">IFERROR(INDEX('Halo Reach Stats'!$1:$46,MATCH($B49,'Halo Reach Stats'!$A:$A,0),26),"")</f>
        <v>14</v>
      </c>
      <c r="AB49" s="16">
        <f t="array" ref="AB49">IFERROR(INDEX('Halo Reach Stats'!$1:$46,MATCH($B49,'Halo Reach Stats'!$A:$A,0),27),"")</f>
        <v>6</v>
      </c>
      <c r="AC49" s="16">
        <f t="array" ref="AC49">IFERROR(INDEX('Halo Reach Stats'!$1:$46,MATCH($B49,'Halo Reach Stats'!$A:$A,0),28),"")</f>
        <v>1</v>
      </c>
      <c r="AD49" s="16">
        <f t="array" ref="AD49">IFERROR(INDEX('Halo Reach Stats'!$1:$46,MATCH($B49,'Halo Reach Stats'!$A:$A,0),29),"")</f>
        <v>1</v>
      </c>
      <c r="AE49" s="16">
        <f t="array" ref="AE49">IFERROR(INDEX('Halo Reach Stats'!$1:$46,MATCH($B49,'Halo Reach Stats'!$A:$A,0),30),"")</f>
        <v>0</v>
      </c>
      <c r="AF49" s="16">
        <f t="array" ref="AF49">IFERROR(INDEX('Halo Reach Stats'!$1:$46,MATCH($B49,'Halo Reach Stats'!$A:$A,0),31),"")</f>
        <v>0</v>
      </c>
      <c r="AG49" s="16">
        <f t="array" ref="AG49">IFERROR(INDEX('Halo Reach Stats'!$1:$46,MATCH($B49,'Halo Reach Stats'!$A:$A,0),32),"")</f>
        <v>0</v>
      </c>
      <c r="AH49" s="16">
        <f t="array" ref="AH49">IFERROR(INDEX('Halo Reach Stats'!$1:$46,MATCH($B49,'Halo Reach Stats'!$A:$A,0),33),"")</f>
        <v>0</v>
      </c>
      <c r="AI49" s="16">
        <f t="array" ref="AI49">IFERROR(INDEX('Halo Reach Stats'!$1:$46,MATCH($B49,'Halo Reach Stats'!$A:$A,0),34),"")</f>
        <v>137</v>
      </c>
      <c r="AJ49" s="16">
        <f t="array" ref="AJ49">IFERROR(INDEX('Halo Reach Stats'!$1:$46,MATCH($B49,'Halo Reach Stats'!$A:$A,0),35),"")</f>
        <v>0</v>
      </c>
      <c r="AK49" s="16">
        <f t="array" ref="AK49">IFERROR(INDEX('Halo Reach Stats'!$1:$46,MATCH($B49,'Halo Reach Stats'!$A:$A,0),36),"")</f>
        <v>377</v>
      </c>
      <c r="AL49" s="16">
        <f t="array" ref="AL49">IFERROR(INDEX('Halo Reach Stats'!$1:$46,MATCH($B49,'Halo Reach Stats'!$A:$A,0),37),"")</f>
        <v>412</v>
      </c>
      <c r="AM49" s="16">
        <f t="array" ref="AM49">IFERROR(INDEX('Halo Reach Stats'!$1:$46,MATCH($B49,'Halo Reach Stats'!$A:$A,0),38),"")</f>
        <v>30</v>
      </c>
    </row>
    <row r="50">
      <c r="A50" s="518" t="str">
        <f>IF(((E47+E48+E49+E50)/4)&lt;='PlayerGrades+'!$Y$44,"F-",IF(((E47+E48+E49+E50)/4)&lt;'PlayerGrades+'!$Y$43,"F",IF(((E47+E48+E49+E50)/4)&lt;'PlayerGrades+'!$Y$42,"F+",IF(((E47+E48+E49+E50)/4)&lt;'PlayerGrades+'!$Y$41,"E-",IF(((E47+E48+E49+E50)/4)&lt;'PlayerGrades+'!$Y$40,"E",IF(((E47+E48+E49+E50)/4)&lt;'PlayerGrades+'!$Y$39,"E+",IF(((E47+E48+E49+E50)/4)&lt;'PlayerGrades+'!$Y$38,"D-",IF(((E47+E48+E49+E50)/4)&lt;'PlayerGrades+'!$Y$37,"D",IF(((E47+E48+E49+E50)/4)&lt;'PlayerGrades+'!$Y$36,"D+",IF(((E47+E48+E49+E50)/4)&lt;'PlayerGrades+'!$Y$35,"C-",IF(((E47+E48+E49+E50)/4)&lt;'PlayerGrades+'!$Y$34,"C",IF(((E47+E48+E49+E50)/4)&lt;'PlayerGrades+'!$Y$33,"C+",IF(((E47+E48+E49+E50)/4)&lt;'PlayerGrades+'!$Y$32,"B-",IF(((E47+E48+E49+E50)/4)&lt;'PlayerGrades+'!$Y$31,"B",IF(((E47+E48+E49+E50)/4)&lt;'PlayerGrades+'!$Y$30,"B+",IF(((E47+E48+E49+E50)/4)&lt;'PlayerGrades+'!$Y$29,"A-",IF(((E47+E48+E49+E50)/4)&lt;'PlayerGrades+'!$Y$28,"A",IF(((E47+E48+E49+E50)/4)&lt;'PlayerGrades+'!$Y$27,"A+",IF(((E47+E48+E49+E50)/4)&lt;'PlayerGrades+'!$Y$26,"S-",IF(((E47+E48+E49+E50)/4)&lt;'PlayerGrades+'!$Y$25,"S","S+"))))))))))))))))))))</f>
        <v>B</v>
      </c>
      <c r="B50" s="1" t="str">
        <f t="array" ref="B50">IFERROR(INDEX(TeamInfo!$C4:$C$45,MATCH($A$47,TeamInfo!A:A,0),0),"")</f>
        <v>Almighty Tycoon</v>
      </c>
      <c r="C50" s="14" t="str">
        <f t="array" ref="C50">IFERROR(INDEX('Player Efficiency'!$1:$45,MATCH(B50,'Player Efficiency'!A:A,0),2),"")</f>
        <v/>
      </c>
      <c r="D50" s="512" t="str">
        <f t="array" ref="D50">IFERROR(INDEX('PlayerGrades+'!$1:$47,MATCH(B50,'PlayerGrades+'!L:L,0),22),"")</f>
        <v>E</v>
      </c>
      <c r="E50" s="512">
        <f t="array" ref="E50">IFERROR(INDEX('PlayerGrades+'!$1:$47,MATCH(B50,'PlayerGrades+'!L:L,0),23),"")</f>
        <v>12.75</v>
      </c>
      <c r="F50" s="16" t="str">
        <f t="array" ref="F50">IFERROR(INDEX(TeamInfo!$D4:$D$45,MATCH($A$47,TeamInfo!A:A,0),0),"")</f>
        <v>West</v>
      </c>
      <c r="G50" s="16">
        <f t="array" ref="G50">IFERROR(INDEX('Halo Reach Stats'!$1:$46,MATCH($B50,'Halo Reach Stats'!$A:$A,0),5),"")</f>
        <v>4</v>
      </c>
      <c r="H50" s="16">
        <f t="array" ref="H50">IFERROR(INDEX('Halo Reach Stats'!$1:$46,MATCH($B50,'Halo Reach Stats'!$A:$A,0),6),"")</f>
        <v>7</v>
      </c>
      <c r="I50" s="16">
        <f t="array" ref="I50">IFERROR(INDEX('Halo Reach Stats'!$1:$46,MATCH($B50,'Halo Reach Stats'!$A:$A,0),7),"")</f>
        <v>1214</v>
      </c>
      <c r="J50" s="16">
        <f t="array" ref="J50">IFERROR(INDEX('Halo Reach Stats'!$1:$46,MATCH($B50,'Halo Reach Stats'!$A:$A,0),8),"")</f>
        <v>1481</v>
      </c>
      <c r="K50" s="16">
        <f t="array" ref="K50">IFERROR(INDEX('Halo Reach Stats'!$1:$46,MATCH($B50,'Halo Reach Stats'!$A:$A,0),9),"")</f>
        <v>-267</v>
      </c>
      <c r="L50" s="514">
        <f t="shared" si="36"/>
        <v>0.8197164078</v>
      </c>
      <c r="M50" s="16">
        <f t="array" ref="M50">IFERROR(INDEX('Halo Reach Stats'!$1:$46,MATCH($B50,'Halo Reach Stats'!$A:$A,0),10),"")</f>
        <v>76</v>
      </c>
      <c r="N50" s="16">
        <f t="array" ref="N50">IFERROR(INDEX('Halo Reach Stats'!$1:$46,MATCH($B50,'Halo Reach Stats'!$A:$A,0),11),"")</f>
        <v>8</v>
      </c>
      <c r="O50" s="16">
        <f t="array" ref="O50">IFERROR(INDEX('Halo Reach Stats'!$1:$46,MATCH($B50,'Halo Reach Stats'!$A:$A,0),12),"")</f>
        <v>22</v>
      </c>
      <c r="P50" s="16">
        <f t="array" ref="P50">IFERROR(INDEX('Halo Reach Stats'!$1:$46,MATCH($B50,'Halo Reach Stats'!$A:$A,0),14),"")</f>
        <v>25265</v>
      </c>
      <c r="Q50" s="16">
        <f t="array" ref="Q50">IFERROR(INDEX('Halo Reach Stats'!$1:$46,MATCH($B50,'Halo Reach Stats'!$A:$A,0),16),"")</f>
        <v>199</v>
      </c>
      <c r="R50" s="16">
        <f t="array" ref="R50">IFERROR(INDEX('Halo Reach Stats'!$1:$46,MATCH($B50,'Halo Reach Stats'!$A:$A,0),15),"")</f>
        <v>13</v>
      </c>
      <c r="S50" s="16">
        <f t="array" ref="S50">IFERROR(INDEX('Halo Reach Stats'!$1:$46,MATCH($B50,'Halo Reach Stats'!$A:$A,0),18),"")</f>
        <v>8</v>
      </c>
      <c r="T50" s="16">
        <f t="array" ref="T50">IFERROR(INDEX('Halo Reach Stats'!$1:$46,MATCH($B50,'Halo Reach Stats'!$A:$A,0),19),"")</f>
        <v>0</v>
      </c>
      <c r="U50" s="16">
        <f t="array" ref="U50">IFERROR(INDEX('Halo Reach Stats'!$1:$46,MATCH($B50,'Halo Reach Stats'!$A:$A,0),20),"")</f>
        <v>0</v>
      </c>
      <c r="V50" s="16">
        <f t="array" ref="V50">IFERROR(INDEX('Halo Reach Stats'!$1:$46,MATCH($B50,'Halo Reach Stats'!$A:$A,0),21),"")</f>
        <v>0</v>
      </c>
      <c r="W50" s="16">
        <f t="array" ref="W50">IFERROR(INDEX('Halo Reach Stats'!$1:$46,MATCH($B50,'Halo Reach Stats'!$A:$A,0),22),"")</f>
        <v>7</v>
      </c>
      <c r="X50" s="16">
        <f t="array" ref="X50">IFERROR(INDEX('Halo Reach Stats'!$1:$46,MATCH($B50,'Halo Reach Stats'!$A:$A,0),23),"")</f>
        <v>0</v>
      </c>
      <c r="Y50" s="16">
        <f t="array" ref="Y50">IFERROR(INDEX('Halo Reach Stats'!$1:$46,MATCH($B50,'Halo Reach Stats'!$A:$A,0),24),"")</f>
        <v>130</v>
      </c>
      <c r="Z50" s="16">
        <f t="array" ref="Z50">IFERROR(INDEX('Halo Reach Stats'!$1:$46,MATCH($B50,'Halo Reach Stats'!$A:$A,0),25),"")</f>
        <v>22</v>
      </c>
      <c r="AA50" s="16">
        <f t="array" ref="AA50">IFERROR(INDEX('Halo Reach Stats'!$1:$46,MATCH($B50,'Halo Reach Stats'!$A:$A,0),26),"")</f>
        <v>6</v>
      </c>
      <c r="AB50" s="16">
        <f t="array" ref="AB50">IFERROR(INDEX('Halo Reach Stats'!$1:$46,MATCH($B50,'Halo Reach Stats'!$A:$A,0),27),"")</f>
        <v>1</v>
      </c>
      <c r="AC50" s="16">
        <f t="array" ref="AC50">IFERROR(INDEX('Halo Reach Stats'!$1:$46,MATCH($B50,'Halo Reach Stats'!$A:$A,0),28),"")</f>
        <v>1</v>
      </c>
      <c r="AD50" s="16">
        <f t="array" ref="AD50">IFERROR(INDEX('Halo Reach Stats'!$1:$46,MATCH($B50,'Halo Reach Stats'!$A:$A,0),29),"")</f>
        <v>0</v>
      </c>
      <c r="AE50" s="16">
        <f t="array" ref="AE50">IFERROR(INDEX('Halo Reach Stats'!$1:$46,MATCH($B50,'Halo Reach Stats'!$A:$A,0),30),"")</f>
        <v>0</v>
      </c>
      <c r="AF50" s="16">
        <f t="array" ref="AF50">IFERROR(INDEX('Halo Reach Stats'!$1:$46,MATCH($B50,'Halo Reach Stats'!$A:$A,0),31),"")</f>
        <v>0</v>
      </c>
      <c r="AG50" s="16">
        <f t="array" ref="AG50">IFERROR(INDEX('Halo Reach Stats'!$1:$46,MATCH($B50,'Halo Reach Stats'!$A:$A,0),32),"")</f>
        <v>0</v>
      </c>
      <c r="AH50" s="16">
        <f t="array" ref="AH50">IFERROR(INDEX('Halo Reach Stats'!$1:$46,MATCH($B50,'Halo Reach Stats'!$A:$A,0),33),"")</f>
        <v>0</v>
      </c>
      <c r="AI50" s="16">
        <f t="array" ref="AI50">IFERROR(INDEX('Halo Reach Stats'!$1:$46,MATCH($B50,'Halo Reach Stats'!$A:$A,0),34),"")</f>
        <v>33</v>
      </c>
      <c r="AJ50" s="16">
        <f t="array" ref="AJ50">IFERROR(INDEX('Halo Reach Stats'!$1:$46,MATCH($B50,'Halo Reach Stats'!$A:$A,0),35),"")</f>
        <v>0</v>
      </c>
      <c r="AK50" s="16">
        <f t="array" ref="AK50">IFERROR(INDEX('Halo Reach Stats'!$1:$46,MATCH($B50,'Halo Reach Stats'!$A:$A,0),36),"")</f>
        <v>138</v>
      </c>
      <c r="AL50" s="16">
        <f t="array" ref="AL50">IFERROR(INDEX('Halo Reach Stats'!$1:$46,MATCH($B50,'Halo Reach Stats'!$A:$A,0),37),"")</f>
        <v>160</v>
      </c>
      <c r="AM50" s="16">
        <f t="array" ref="AM50">IFERROR(INDEX('Halo Reach Stats'!$1:$46,MATCH($B50,'Halo Reach Stats'!$A:$A,0),38),"")</f>
        <v>2</v>
      </c>
    </row>
    <row r="51">
      <c r="A51" s="532"/>
      <c r="B51" s="520" t="s">
        <v>354</v>
      </c>
      <c r="C51" s="533">
        <f>SUM(C47:C50)/4</f>
        <v>0</v>
      </c>
      <c r="D51" s="528"/>
      <c r="E51" s="529">
        <f>SUM(E47:E50)/4</f>
        <v>22.5875</v>
      </c>
      <c r="F51" s="524" t="s">
        <v>355</v>
      </c>
      <c r="G51" s="525">
        <f t="shared" ref="G51:K51" si="37">SUM(G47:G50)</f>
        <v>101</v>
      </c>
      <c r="H51" s="525">
        <f t="shared" si="37"/>
        <v>484</v>
      </c>
      <c r="I51" s="525">
        <f t="shared" si="37"/>
        <v>8035</v>
      </c>
      <c r="J51" s="525">
        <f t="shared" si="37"/>
        <v>7947</v>
      </c>
      <c r="K51" s="525">
        <f t="shared" si="37"/>
        <v>88</v>
      </c>
      <c r="L51" s="526">
        <f>SUM(L47:L50)/4</f>
        <v>1.026901212</v>
      </c>
      <c r="M51" s="525">
        <f t="shared" ref="M51:Q51" si="38">SUM(M47:M50)</f>
        <v>507</v>
      </c>
      <c r="N51" s="525">
        <f t="shared" si="38"/>
        <v>46</v>
      </c>
      <c r="O51" s="525">
        <f t="shared" si="38"/>
        <v>111</v>
      </c>
      <c r="P51" s="525">
        <f t="shared" si="38"/>
        <v>147456</v>
      </c>
      <c r="Q51" s="525">
        <f t="shared" si="38"/>
        <v>16032</v>
      </c>
      <c r="R51" s="525">
        <f>SUM(R47:R50)/4</f>
        <v>15.25</v>
      </c>
      <c r="S51" s="525">
        <f t="shared" ref="S51:AM51" si="39">SUM(S47:S50)</f>
        <v>135</v>
      </c>
      <c r="T51" s="525">
        <f t="shared" si="39"/>
        <v>6</v>
      </c>
      <c r="U51" s="525">
        <f t="shared" si="39"/>
        <v>2</v>
      </c>
      <c r="V51" s="525">
        <f t="shared" si="39"/>
        <v>1</v>
      </c>
      <c r="W51" s="525">
        <f t="shared" si="39"/>
        <v>75</v>
      </c>
      <c r="X51" s="525">
        <f t="shared" si="39"/>
        <v>0</v>
      </c>
      <c r="Y51" s="525">
        <f t="shared" si="39"/>
        <v>1121</v>
      </c>
      <c r="Z51" s="525">
        <f t="shared" si="39"/>
        <v>208</v>
      </c>
      <c r="AA51" s="525">
        <f t="shared" si="39"/>
        <v>43</v>
      </c>
      <c r="AB51" s="525">
        <f t="shared" si="39"/>
        <v>12</v>
      </c>
      <c r="AC51" s="525">
        <f t="shared" si="39"/>
        <v>4</v>
      </c>
      <c r="AD51" s="525">
        <f t="shared" si="39"/>
        <v>2</v>
      </c>
      <c r="AE51" s="525">
        <f t="shared" si="39"/>
        <v>1</v>
      </c>
      <c r="AF51" s="525">
        <f t="shared" si="39"/>
        <v>1</v>
      </c>
      <c r="AG51" s="525">
        <f t="shared" si="39"/>
        <v>0</v>
      </c>
      <c r="AH51" s="525">
        <f t="shared" si="39"/>
        <v>2</v>
      </c>
      <c r="AI51" s="525">
        <f t="shared" si="39"/>
        <v>311</v>
      </c>
      <c r="AJ51" s="525">
        <f t="shared" si="39"/>
        <v>1</v>
      </c>
      <c r="AK51" s="525">
        <f t="shared" si="39"/>
        <v>959</v>
      </c>
      <c r="AL51" s="525">
        <f t="shared" si="39"/>
        <v>980</v>
      </c>
      <c r="AM51" s="525">
        <f t="shared" si="39"/>
        <v>86</v>
      </c>
    </row>
    <row r="52" hidden="1">
      <c r="A52" s="534" t="s">
        <v>365</v>
      </c>
      <c r="B52" s="530" t="str">
        <f t="array" ref="B52">IFERROR(INDEX(TeamInfo!$C1:$C$45,MATCH($A$52,TeamInfo!A:A,0),0),"")</f>
        <v/>
      </c>
      <c r="C52" s="14" t="str">
        <f t="array" ref="C52">IFERROR(INDEX('Player Efficiency'!$1:$45,MATCH(B52,'Player Efficiency'!A:A,0),2),"")</f>
        <v/>
      </c>
      <c r="D52" s="512" t="str">
        <f t="array" ref="D52">IFERROR(INDEX(PlayerGrades!$1:$47,MATCH(B52,PlayerGrades!M:M,0),18),"")</f>
        <v/>
      </c>
      <c r="E52" s="512" t="str">
        <f t="array" ref="E52">IFERROR(INDEX(PlayerGrades!$1:$47,MATCH(B52,PlayerGrades!M:M,0),19),"")</f>
        <v/>
      </c>
      <c r="F52" s="513" t="str">
        <f t="array" ref="F52">IFERROR(INDEX(TeamInfo!$D1:$D$45,MATCH($A$52,TeamInfo!A:A,0),0),"")</f>
        <v/>
      </c>
      <c r="G52" s="16" t="str">
        <f t="array" ref="G52">IFERROR(INDEX('Halo Reach Stats'!$1:$46,MATCH($B52,'Halo Reach Stats'!$A:$A,0),8),"")</f>
        <v/>
      </c>
      <c r="H52" s="16"/>
      <c r="I52" s="16" t="str">
        <f t="array" ref="I52">IFERROR(INDEX('Halo Reach Stats'!$1:$46,MATCH($B52,'Halo Reach Stats'!$A:$A,0),9),"")</f>
        <v/>
      </c>
      <c r="J52" s="16" t="str">
        <f t="array" ref="J52">IFERROR(INDEX('Halo Reach Stats'!$1:$46,MATCH($B52,'Halo Reach Stats'!$A:$A,0),10),"")</f>
        <v/>
      </c>
      <c r="K52" s="16" t="str">
        <f t="array" ref="K52">IFERROR(INDEX('Halo Reach Stats'!$1:$46,MATCH($B52,'Halo Reach Stats'!$A:$A,0),11),"")</f>
        <v/>
      </c>
      <c r="L52" s="514" t="str">
        <f t="shared" ref="L52:L55" si="40">I52/J52</f>
        <v>#DIV/0!</v>
      </c>
      <c r="M52" s="16" t="str">
        <f t="array" ref="M52">IFERROR(INDEX('Halo Reach Stats'!$1:$46,MATCH($B52,'Halo Reach Stats'!$A:$A,0),12),"")</f>
        <v/>
      </c>
      <c r="N52" s="16" t="str">
        <f t="array" ref="N52">IFERROR(INDEX('Halo Reach Stats'!$1:$46,MATCH($B52,'Halo Reach Stats'!$A:$A,0),13),"")</f>
        <v/>
      </c>
      <c r="O52" s="16" t="str">
        <f t="array" ref="O52">IFERROR(INDEX('Halo Reach Stats'!$1:$46,MATCH($B52,'Halo Reach Stats'!$A:$A,0),14),"")</f>
        <v/>
      </c>
      <c r="P52" s="16" t="str">
        <f t="array" ref="P52">IFERROR(INDEX('Halo Reach Stats'!$1:$46,MATCH($B52,'Halo Reach Stats'!$A:$A,0),16),"")</f>
        <v/>
      </c>
      <c r="Q52" s="16"/>
      <c r="R52" s="16" t="str">
        <f t="array" ref="R52">IFERROR(INDEX('Halo Reach Stats'!$1:$46,MATCH($B52,'Halo Reach Stats'!$A:$A,0),17),"")</f>
        <v/>
      </c>
      <c r="S52" s="16" t="str">
        <f t="array" ref="S52">IFERROR(INDEX('Halo Reach Stats'!$1:$46,MATCH($B52,'Halo Reach Stats'!$A:$A,0),18),"")</f>
        <v/>
      </c>
      <c r="T52" s="16" t="str">
        <f t="array" ref="T52">IFERROR(INDEX('Halo Reach Stats'!$1:$46,MATCH($B52,'Halo Reach Stats'!$A:$A,0),19),"")</f>
        <v/>
      </c>
      <c r="U52" s="16" t="str">
        <f t="array" ref="U52">IFERROR(INDEX('Halo Reach Stats'!$1:$46,MATCH($B52,'Halo Reach Stats'!$A:$A,0),20),"")</f>
        <v/>
      </c>
      <c r="V52" s="16" t="str">
        <f t="array" ref="V52">IFERROR(INDEX('Halo Reach Stats'!$1:$46,MATCH($B52,'Halo Reach Stats'!$A:$A,0),21),"")</f>
        <v/>
      </c>
      <c r="W52" s="16" t="str">
        <f t="array" ref="W52">IFERROR(INDEX('Halo Reach Stats'!$1:$46,MATCH($B52,'Halo Reach Stats'!$A:$A,0),35),"")</f>
        <v/>
      </c>
      <c r="X52" s="16" t="str">
        <f t="array" ref="X52">IFERROR(INDEX('Halo Reach Stats'!$1:$46,MATCH($B52,'Halo Reach Stats'!$A:$A,0),22),"")</f>
        <v/>
      </c>
      <c r="Y52" s="16" t="str">
        <f t="array" ref="Y52">IFERROR(INDEX('Halo Reach Stats'!$1:$46,MATCH($B52,'Halo Reach Stats'!$A:$A,0),23),"")</f>
        <v/>
      </c>
      <c r="Z52" s="16" t="str">
        <f t="array" ref="Z52">IFERROR(INDEX('Halo Reach Stats'!$1:$46,MATCH($B52,'Halo Reach Stats'!$A:$A,0),24),"")</f>
        <v/>
      </c>
      <c r="AA52" s="16" t="str">
        <f t="array" ref="AA52">IFERROR(INDEX('Halo Reach Stats'!$1:$46,MATCH($B52,'Halo Reach Stats'!$A:$A,0),25),"")</f>
        <v/>
      </c>
      <c r="AB52" s="16" t="str">
        <f t="array" ref="AB52">IFERROR(INDEX('Halo Reach Stats'!$1:$46,MATCH($B52,'Halo Reach Stats'!$A:$A,0),26),"")</f>
        <v/>
      </c>
      <c r="AC52" s="16" t="str">
        <f t="array" ref="AC52">IFERROR(INDEX('Halo Reach Stats'!$1:$46,MATCH($B52,'Halo Reach Stats'!$A:$A,0),27),"")</f>
        <v/>
      </c>
      <c r="AD52" s="16" t="str">
        <f t="array" ref="AD52">IFERROR(INDEX('Halo Reach Stats'!$1:$46,MATCH($B52,'Halo Reach Stats'!$A:$A,0),28),"")</f>
        <v/>
      </c>
      <c r="AE52" s="16" t="str">
        <f t="array" ref="AE52">IFERROR(INDEX('Halo Reach Stats'!$1:$46,MATCH($B52,'Halo Reach Stats'!$A:$A,0),29),"")</f>
        <v/>
      </c>
      <c r="AF52" s="16" t="str">
        <f t="array" ref="AF52">IFERROR(INDEX('Halo Reach Stats'!$1:$46,MATCH($B52,'Halo Reach Stats'!$A:$A,0),30),"")</f>
        <v/>
      </c>
      <c r="AG52" s="16" t="str">
        <f t="array" ref="AG52">IFERROR(INDEX('Halo Reach Stats'!$1:$46,MATCH($B52,'Halo Reach Stats'!$A:$A,0),31),"")</f>
        <v/>
      </c>
      <c r="AH52" s="16" t="str">
        <f t="array" ref="AH52">IFERROR(INDEX('Halo Reach Stats'!$1:$46,MATCH($B52,'Halo Reach Stats'!$A:$A,0),32),"")</f>
        <v/>
      </c>
      <c r="AI52" s="16" t="str">
        <f t="array" ref="AI52">IFERROR(INDEX('Halo Reach Stats'!$1:$46,MATCH($B52,'Halo Reach Stats'!$A:$A,0),33),"")</f>
        <v/>
      </c>
      <c r="AJ52" s="16" t="str">
        <f t="array" ref="AJ52">IFERROR(INDEX('Halo Reach Stats'!$1:$46,MATCH($B52,'Halo Reach Stats'!$A:$A,0),34),"")</f>
        <v/>
      </c>
      <c r="AK52" s="16"/>
      <c r="AL52" s="16"/>
      <c r="AM52" s="16"/>
    </row>
    <row r="53" hidden="1">
      <c r="A53" s="531" t="str">
        <f t="array" ref="A53">IFERROR(INDEX(TeamInfo!$1:$45,MATCH(A52,TeamInfo!A:A,0),2),"")</f>
        <v/>
      </c>
      <c r="B53" s="1" t="str">
        <f t="array" ref="B53">IFERROR(INDEX(TeamInfo!$C2:$C$45,MATCH($A$52,TeamInfo!A:A,0),0),"")</f>
        <v/>
      </c>
      <c r="C53" s="14" t="str">
        <f t="array" ref="C53">IFERROR(INDEX('Player Efficiency'!$1:$45,MATCH(B53,'Player Efficiency'!A:A,0),2),"")</f>
        <v/>
      </c>
      <c r="D53" s="512" t="str">
        <f t="array" ref="D53">IFERROR(INDEX(PlayerGrades!$1:$47,MATCH(B53,PlayerGrades!M:M,0),18),"")</f>
        <v/>
      </c>
      <c r="E53" s="512" t="str">
        <f t="array" ref="E53">IFERROR(INDEX(PlayerGrades!$1:$47,MATCH(B53,PlayerGrades!M:M,0),19),"")</f>
        <v/>
      </c>
      <c r="F53" s="16" t="str">
        <f t="array" ref="F53">IFERROR(INDEX(TeamInfo!$D2:$D$45,MATCH($A$52,TeamInfo!A:A,0),0),"")</f>
        <v/>
      </c>
      <c r="G53" s="16" t="str">
        <f t="array" ref="G53">IFERROR(INDEX('Halo Reach Stats'!$1:$46,MATCH($B53,'Halo Reach Stats'!$A:$A,0),8),"")</f>
        <v/>
      </c>
      <c r="H53" s="16"/>
      <c r="I53" s="16" t="str">
        <f t="array" ref="I53">IFERROR(INDEX('Halo Reach Stats'!$1:$46,MATCH($B53,'Halo Reach Stats'!$A:$A,0),9),"")</f>
        <v/>
      </c>
      <c r="J53" s="16" t="str">
        <f t="array" ref="J53">IFERROR(INDEX('Halo Reach Stats'!$1:$46,MATCH($B53,'Halo Reach Stats'!$A:$A,0),10),"")</f>
        <v/>
      </c>
      <c r="K53" s="16" t="str">
        <f t="array" ref="K53">IFERROR(INDEX('Halo Reach Stats'!$1:$46,MATCH($B53,'Halo Reach Stats'!$A:$A,0),11),"")</f>
        <v/>
      </c>
      <c r="L53" s="514" t="str">
        <f t="shared" si="40"/>
        <v>#DIV/0!</v>
      </c>
      <c r="M53" s="16" t="str">
        <f t="array" ref="M53">IFERROR(INDEX('Halo Reach Stats'!$1:$46,MATCH($B53,'Halo Reach Stats'!$A:$A,0),12),"")</f>
        <v/>
      </c>
      <c r="N53" s="16" t="str">
        <f t="array" ref="N53">IFERROR(INDEX('Halo Reach Stats'!$1:$46,MATCH($B53,'Halo Reach Stats'!$A:$A,0),13),"")</f>
        <v/>
      </c>
      <c r="O53" s="16" t="str">
        <f t="array" ref="O53">IFERROR(INDEX('Halo Reach Stats'!$1:$46,MATCH($B53,'Halo Reach Stats'!$A:$A,0),14),"")</f>
        <v/>
      </c>
      <c r="P53" s="16" t="str">
        <f t="array" ref="P53">IFERROR(INDEX('Halo Reach Stats'!$1:$46,MATCH($B53,'Halo Reach Stats'!$A:$A,0),16),"")</f>
        <v/>
      </c>
      <c r="Q53" s="16"/>
      <c r="R53" s="16" t="str">
        <f t="array" ref="R53">IFERROR(INDEX('Halo Reach Stats'!$1:$46,MATCH($B53,'Halo Reach Stats'!$A:$A,0),17),"")</f>
        <v/>
      </c>
      <c r="S53" s="16" t="str">
        <f t="array" ref="S53">IFERROR(INDEX('Halo Reach Stats'!$1:$46,MATCH($B53,'Halo Reach Stats'!$A:$A,0),18),"")</f>
        <v/>
      </c>
      <c r="T53" s="16" t="str">
        <f t="array" ref="T53">IFERROR(INDEX('Halo Reach Stats'!$1:$46,MATCH($B53,'Halo Reach Stats'!$A:$A,0),19),"")</f>
        <v/>
      </c>
      <c r="U53" s="16" t="str">
        <f t="array" ref="U53">IFERROR(INDEX('Halo Reach Stats'!$1:$46,MATCH($B53,'Halo Reach Stats'!$A:$A,0),20),"")</f>
        <v/>
      </c>
      <c r="V53" s="16" t="str">
        <f t="array" ref="V53">IFERROR(INDEX('Halo Reach Stats'!$1:$46,MATCH($B53,'Halo Reach Stats'!$A:$A,0),21),"")</f>
        <v/>
      </c>
      <c r="W53" s="16" t="str">
        <f t="array" ref="W53">IFERROR(INDEX('Halo Reach Stats'!$1:$46,MATCH($B53,'Halo Reach Stats'!$A:$A,0),35),"")</f>
        <v/>
      </c>
      <c r="X53" s="16" t="str">
        <f t="array" ref="X53">IFERROR(INDEX('Halo Reach Stats'!$1:$46,MATCH($B53,'Halo Reach Stats'!$A:$A,0),22),"")</f>
        <v/>
      </c>
      <c r="Y53" s="16" t="str">
        <f t="array" ref="Y53">IFERROR(INDEX('Halo Reach Stats'!$1:$46,MATCH($B53,'Halo Reach Stats'!$A:$A,0),23),"")</f>
        <v/>
      </c>
      <c r="Z53" s="16" t="str">
        <f t="array" ref="Z53">IFERROR(INDEX('Halo Reach Stats'!$1:$46,MATCH($B53,'Halo Reach Stats'!$A:$A,0),24),"")</f>
        <v/>
      </c>
      <c r="AA53" s="16" t="str">
        <f t="array" ref="AA53">IFERROR(INDEX('Halo Reach Stats'!$1:$46,MATCH($B53,'Halo Reach Stats'!$A:$A,0),25),"")</f>
        <v/>
      </c>
      <c r="AB53" s="16" t="str">
        <f t="array" ref="AB53">IFERROR(INDEX('Halo Reach Stats'!$1:$46,MATCH($B53,'Halo Reach Stats'!$A:$A,0),26),"")</f>
        <v/>
      </c>
      <c r="AC53" s="16" t="str">
        <f t="array" ref="AC53">IFERROR(INDEX('Halo Reach Stats'!$1:$46,MATCH($B53,'Halo Reach Stats'!$A:$A,0),27),"")</f>
        <v/>
      </c>
      <c r="AD53" s="16" t="str">
        <f t="array" ref="AD53">IFERROR(INDEX('Halo Reach Stats'!$1:$46,MATCH($B53,'Halo Reach Stats'!$A:$A,0),28),"")</f>
        <v/>
      </c>
      <c r="AE53" s="16" t="str">
        <f t="array" ref="AE53">IFERROR(INDEX('Halo Reach Stats'!$1:$46,MATCH($B53,'Halo Reach Stats'!$A:$A,0),29),"")</f>
        <v/>
      </c>
      <c r="AF53" s="16" t="str">
        <f t="array" ref="AF53">IFERROR(INDEX('Halo Reach Stats'!$1:$46,MATCH($B53,'Halo Reach Stats'!$A:$A,0),30),"")</f>
        <v/>
      </c>
      <c r="AG53" s="16" t="str">
        <f t="array" ref="AG53">IFERROR(INDEX('Halo Reach Stats'!$1:$46,MATCH($B53,'Halo Reach Stats'!$A:$A,0),31),"")</f>
        <v/>
      </c>
      <c r="AH53" s="16" t="str">
        <f t="array" ref="AH53">IFERROR(INDEX('Halo Reach Stats'!$1:$46,MATCH($B53,'Halo Reach Stats'!$A:$A,0),32),"")</f>
        <v/>
      </c>
      <c r="AI53" s="16" t="str">
        <f t="array" ref="AI53">IFERROR(INDEX('Halo Reach Stats'!$1:$46,MATCH($B53,'Halo Reach Stats'!$A:$A,0),33),"")</f>
        <v/>
      </c>
      <c r="AJ53" s="16" t="str">
        <f t="array" ref="AJ53">IFERROR(INDEX('Halo Reach Stats'!$1:$46,MATCH($B53,'Halo Reach Stats'!$A:$A,0),34),"")</f>
        <v/>
      </c>
      <c r="AK53" s="16"/>
      <c r="AL53" s="16"/>
      <c r="AM53" s="16"/>
    </row>
    <row r="54" hidden="1">
      <c r="A54" s="12" t="str">
        <f t="array" ref="A54">IFERROR(INDEX(TeamInfo!$1:$45,MATCH(A52,TeamInfo!A:A,0),5),"")</f>
        <v/>
      </c>
      <c r="B54" s="1" t="str">
        <f t="array" ref="B54">IFERROR(INDEX(TeamInfo!$C3:$C$45,MATCH($A$52,TeamInfo!A:A,0),0),"")</f>
        <v/>
      </c>
      <c r="C54" s="14" t="str">
        <f t="array" ref="C54">IFERROR(INDEX('Player Efficiency'!$1:$45,MATCH(B54,'Player Efficiency'!A:A,0),2),"")</f>
        <v/>
      </c>
      <c r="D54" s="512" t="str">
        <f t="array" ref="D54">IFERROR(INDEX(PlayerGrades!$1:$47,MATCH(B54,PlayerGrades!M:M,0),18),"")</f>
        <v/>
      </c>
      <c r="E54" s="512" t="str">
        <f t="array" ref="E54">IFERROR(INDEX(PlayerGrades!$1:$47,MATCH(B54,PlayerGrades!M:M,0),19),"")</f>
        <v/>
      </c>
      <c r="F54" s="16" t="str">
        <f t="array" ref="F54">IFERROR(INDEX(TeamInfo!$D3:$D$45,MATCH($A$52,TeamInfo!A:A,0),0),"")</f>
        <v/>
      </c>
      <c r="G54" s="16" t="str">
        <f t="array" ref="G54">IFERROR(INDEX('Halo Reach Stats'!$1:$46,MATCH($B54,'Halo Reach Stats'!$A:$A,0),8),"")</f>
        <v/>
      </c>
      <c r="H54" s="16"/>
      <c r="I54" s="16" t="str">
        <f t="array" ref="I54">IFERROR(INDEX('Halo Reach Stats'!$1:$46,MATCH($B54,'Halo Reach Stats'!$A:$A,0),9),"")</f>
        <v/>
      </c>
      <c r="J54" s="16" t="str">
        <f t="array" ref="J54">IFERROR(INDEX('Halo Reach Stats'!$1:$46,MATCH($B54,'Halo Reach Stats'!$A:$A,0),10),"")</f>
        <v/>
      </c>
      <c r="K54" s="16" t="str">
        <f t="array" ref="K54">IFERROR(INDEX('Halo Reach Stats'!$1:$46,MATCH($B54,'Halo Reach Stats'!$A:$A,0),11),"")</f>
        <v/>
      </c>
      <c r="L54" s="514" t="str">
        <f t="shared" si="40"/>
        <v>#DIV/0!</v>
      </c>
      <c r="M54" s="16" t="str">
        <f t="array" ref="M54">IFERROR(INDEX('Halo Reach Stats'!$1:$46,MATCH($B54,'Halo Reach Stats'!$A:$A,0),12),"")</f>
        <v/>
      </c>
      <c r="N54" s="16" t="str">
        <f t="array" ref="N54">IFERROR(INDEX('Halo Reach Stats'!$1:$46,MATCH($B54,'Halo Reach Stats'!$A:$A,0),13),"")</f>
        <v/>
      </c>
      <c r="O54" s="16" t="str">
        <f t="array" ref="O54">IFERROR(INDEX('Halo Reach Stats'!$1:$46,MATCH($B54,'Halo Reach Stats'!$A:$A,0),14),"")</f>
        <v/>
      </c>
      <c r="P54" s="16" t="str">
        <f t="array" ref="P54">IFERROR(INDEX('Halo Reach Stats'!$1:$46,MATCH($B54,'Halo Reach Stats'!$A:$A,0),16),"")</f>
        <v/>
      </c>
      <c r="Q54" s="16"/>
      <c r="R54" s="16" t="str">
        <f t="array" ref="R54">IFERROR(INDEX('Halo Reach Stats'!$1:$46,MATCH($B54,'Halo Reach Stats'!$A:$A,0),17),"")</f>
        <v/>
      </c>
      <c r="S54" s="16" t="str">
        <f t="array" ref="S54">IFERROR(INDEX('Halo Reach Stats'!$1:$46,MATCH($B54,'Halo Reach Stats'!$A:$A,0),18),"")</f>
        <v/>
      </c>
      <c r="T54" s="16" t="str">
        <f t="array" ref="T54">IFERROR(INDEX('Halo Reach Stats'!$1:$46,MATCH($B54,'Halo Reach Stats'!$A:$A,0),19),"")</f>
        <v/>
      </c>
      <c r="U54" s="16" t="str">
        <f t="array" ref="U54">IFERROR(INDEX('Halo Reach Stats'!$1:$46,MATCH($B54,'Halo Reach Stats'!$A:$A,0),20),"")</f>
        <v/>
      </c>
      <c r="V54" s="16" t="str">
        <f t="array" ref="V54">IFERROR(INDEX('Halo Reach Stats'!$1:$46,MATCH($B54,'Halo Reach Stats'!$A:$A,0),21),"")</f>
        <v/>
      </c>
      <c r="W54" s="16" t="str">
        <f t="array" ref="W54">IFERROR(INDEX('Halo Reach Stats'!$1:$46,MATCH($B54,'Halo Reach Stats'!$A:$A,0),35),"")</f>
        <v/>
      </c>
      <c r="X54" s="16" t="str">
        <f t="array" ref="X54">IFERROR(INDEX('Halo Reach Stats'!$1:$46,MATCH($B54,'Halo Reach Stats'!$A:$A,0),22),"")</f>
        <v/>
      </c>
      <c r="Y54" s="16" t="str">
        <f t="array" ref="Y54">IFERROR(INDEX('Halo Reach Stats'!$1:$46,MATCH($B54,'Halo Reach Stats'!$A:$A,0),23),"")</f>
        <v/>
      </c>
      <c r="Z54" s="16" t="str">
        <f t="array" ref="Z54">IFERROR(INDEX('Halo Reach Stats'!$1:$46,MATCH($B54,'Halo Reach Stats'!$A:$A,0),24),"")</f>
        <v/>
      </c>
      <c r="AA54" s="16" t="str">
        <f t="array" ref="AA54">IFERROR(INDEX('Halo Reach Stats'!$1:$46,MATCH($B54,'Halo Reach Stats'!$A:$A,0),25),"")</f>
        <v/>
      </c>
      <c r="AB54" s="16" t="str">
        <f t="array" ref="AB54">IFERROR(INDEX('Halo Reach Stats'!$1:$46,MATCH($B54,'Halo Reach Stats'!$A:$A,0),26),"")</f>
        <v/>
      </c>
      <c r="AC54" s="16" t="str">
        <f t="array" ref="AC54">IFERROR(INDEX('Halo Reach Stats'!$1:$46,MATCH($B54,'Halo Reach Stats'!$A:$A,0),27),"")</f>
        <v/>
      </c>
      <c r="AD54" s="16" t="str">
        <f t="array" ref="AD54">IFERROR(INDEX('Halo Reach Stats'!$1:$46,MATCH($B54,'Halo Reach Stats'!$A:$A,0),28),"")</f>
        <v/>
      </c>
      <c r="AE54" s="16" t="str">
        <f t="array" ref="AE54">IFERROR(INDEX('Halo Reach Stats'!$1:$46,MATCH($B54,'Halo Reach Stats'!$A:$A,0),29),"")</f>
        <v/>
      </c>
      <c r="AF54" s="16" t="str">
        <f t="array" ref="AF54">IFERROR(INDEX('Halo Reach Stats'!$1:$46,MATCH($B54,'Halo Reach Stats'!$A:$A,0),30),"")</f>
        <v/>
      </c>
      <c r="AG54" s="16" t="str">
        <f t="array" ref="AG54">IFERROR(INDEX('Halo Reach Stats'!$1:$46,MATCH($B54,'Halo Reach Stats'!$A:$A,0),31),"")</f>
        <v/>
      </c>
      <c r="AH54" s="16" t="str">
        <f t="array" ref="AH54">IFERROR(INDEX('Halo Reach Stats'!$1:$46,MATCH($B54,'Halo Reach Stats'!$A:$A,0),32),"")</f>
        <v/>
      </c>
      <c r="AI54" s="16" t="str">
        <f t="array" ref="AI54">IFERROR(INDEX('Halo Reach Stats'!$1:$46,MATCH($B54,'Halo Reach Stats'!$A:$A,0),33),"")</f>
        <v/>
      </c>
      <c r="AJ54" s="16" t="str">
        <f t="array" ref="AJ54">IFERROR(INDEX('Halo Reach Stats'!$1:$46,MATCH($B54,'Halo Reach Stats'!$A:$A,0),34),"")</f>
        <v/>
      </c>
      <c r="AK54" s="16"/>
      <c r="AL54" s="16"/>
      <c r="AM54" s="16"/>
    </row>
    <row r="55" hidden="1">
      <c r="A55" s="518" t="str">
        <f>IF(((E52+E53+E54+E55)/4)&lt;=5.55,"F",IF(((E52+E53+E54+E55)/4)&lt;9.25,"E",IF(((E52+E53+E54+E55)/4)&lt;12.95,"D",IF(((E52+E53+E54+E55)/4)&lt;16.65,"C",IF(((E52+E53+E54+E55)/4)&lt;20.35,"B",IF(((E52+E53+E54+E55)/4)&lt;24.05,"A","S"))))))</f>
        <v>F</v>
      </c>
      <c r="B55" s="1" t="str">
        <f t="array" ref="B55">IFERROR(INDEX(TeamInfo!$C4:$C$45,MATCH($A$52,TeamInfo!A:A,0),0),"")</f>
        <v/>
      </c>
      <c r="C55" s="14" t="str">
        <f t="array" ref="C55">IFERROR(INDEX('Player Efficiency'!$1:$45,MATCH(B55,'Player Efficiency'!A:A,0),2),"")</f>
        <v/>
      </c>
      <c r="D55" s="512" t="str">
        <f t="array" ref="D55">IFERROR(INDEX(PlayerGrades!$1:$47,MATCH(B55,PlayerGrades!M:M,0),18),"")</f>
        <v/>
      </c>
      <c r="E55" s="512" t="str">
        <f t="array" ref="E55">IFERROR(INDEX(PlayerGrades!$1:$47,MATCH(B55,PlayerGrades!M:M,0),19),"")</f>
        <v/>
      </c>
      <c r="F55" s="16" t="str">
        <f t="array" ref="F55">IFERROR(INDEX(TeamInfo!$D4:$D$45,MATCH($A$52,TeamInfo!A:A,0),0),"")</f>
        <v/>
      </c>
      <c r="G55" s="16" t="str">
        <f t="array" ref="G55">IFERROR(INDEX('Halo Reach Stats'!$1:$46,MATCH($B55,'Halo Reach Stats'!$A:$A,0),8),"")</f>
        <v/>
      </c>
      <c r="H55" s="16"/>
      <c r="I55" s="16" t="str">
        <f t="array" ref="I55">IFERROR(INDEX('Halo Reach Stats'!$1:$46,MATCH($B55,'Halo Reach Stats'!$A:$A,0),9),"")</f>
        <v/>
      </c>
      <c r="J55" s="16" t="str">
        <f t="array" ref="J55">IFERROR(INDEX('Halo Reach Stats'!$1:$46,MATCH($B55,'Halo Reach Stats'!$A:$A,0),10),"")</f>
        <v/>
      </c>
      <c r="K55" s="16" t="str">
        <f t="array" ref="K55">IFERROR(INDEX('Halo Reach Stats'!$1:$46,MATCH($B55,'Halo Reach Stats'!$A:$A,0),11),"")</f>
        <v/>
      </c>
      <c r="L55" s="514" t="str">
        <f t="shared" si="40"/>
        <v>#DIV/0!</v>
      </c>
      <c r="M55" s="16" t="str">
        <f t="array" ref="M55">IFERROR(INDEX('Halo Reach Stats'!$1:$46,MATCH($B55,'Halo Reach Stats'!$A:$A,0),12),"")</f>
        <v/>
      </c>
      <c r="N55" s="16" t="str">
        <f t="array" ref="N55">IFERROR(INDEX('Halo Reach Stats'!$1:$46,MATCH($B55,'Halo Reach Stats'!$A:$A,0),13),"")</f>
        <v/>
      </c>
      <c r="O55" s="16" t="str">
        <f t="array" ref="O55">IFERROR(INDEX('Halo Reach Stats'!$1:$46,MATCH($B55,'Halo Reach Stats'!$A:$A,0),14),"")</f>
        <v/>
      </c>
      <c r="P55" s="16" t="str">
        <f t="array" ref="P55">IFERROR(INDEX('Halo Reach Stats'!$1:$46,MATCH($B55,'Halo Reach Stats'!$A:$A,0),16),"")</f>
        <v/>
      </c>
      <c r="Q55" s="16"/>
      <c r="R55" s="16" t="str">
        <f t="array" ref="R55">IFERROR(INDEX('Halo Reach Stats'!$1:$46,MATCH($B55,'Halo Reach Stats'!$A:$A,0),17),"")</f>
        <v/>
      </c>
      <c r="S55" s="16" t="str">
        <f t="array" ref="S55">IFERROR(INDEX('Halo Reach Stats'!$1:$46,MATCH($B55,'Halo Reach Stats'!$A:$A,0),18),"")</f>
        <v/>
      </c>
      <c r="T55" s="16" t="str">
        <f t="array" ref="T55">IFERROR(INDEX('Halo Reach Stats'!$1:$46,MATCH($B55,'Halo Reach Stats'!$A:$A,0),19),"")</f>
        <v/>
      </c>
      <c r="U55" s="16" t="str">
        <f t="array" ref="U55">IFERROR(INDEX('Halo Reach Stats'!$1:$46,MATCH($B55,'Halo Reach Stats'!$A:$A,0),20),"")</f>
        <v/>
      </c>
      <c r="V55" s="16" t="str">
        <f t="array" ref="V55">IFERROR(INDEX('Halo Reach Stats'!$1:$46,MATCH($B55,'Halo Reach Stats'!$A:$A,0),21),"")</f>
        <v/>
      </c>
      <c r="W55" s="16" t="str">
        <f t="array" ref="W55">IFERROR(INDEX('Halo Reach Stats'!$1:$46,MATCH($B55,'Halo Reach Stats'!$A:$A,0),35),"")</f>
        <v/>
      </c>
      <c r="X55" s="16" t="str">
        <f t="array" ref="X55">IFERROR(INDEX('Halo Reach Stats'!$1:$46,MATCH($B55,'Halo Reach Stats'!$A:$A,0),22),"")</f>
        <v/>
      </c>
      <c r="Y55" s="16" t="str">
        <f t="array" ref="Y55">IFERROR(INDEX('Halo Reach Stats'!$1:$46,MATCH($B55,'Halo Reach Stats'!$A:$A,0),23),"")</f>
        <v/>
      </c>
      <c r="Z55" s="16" t="str">
        <f t="array" ref="Z55">IFERROR(INDEX('Halo Reach Stats'!$1:$46,MATCH($B55,'Halo Reach Stats'!$A:$A,0),24),"")</f>
        <v/>
      </c>
      <c r="AA55" s="16" t="str">
        <f t="array" ref="AA55">IFERROR(INDEX('Halo Reach Stats'!$1:$46,MATCH($B55,'Halo Reach Stats'!$A:$A,0),25),"")</f>
        <v/>
      </c>
      <c r="AB55" s="16" t="str">
        <f t="array" ref="AB55">IFERROR(INDEX('Halo Reach Stats'!$1:$46,MATCH($B55,'Halo Reach Stats'!$A:$A,0),26),"")</f>
        <v/>
      </c>
      <c r="AC55" s="16" t="str">
        <f t="array" ref="AC55">IFERROR(INDEX('Halo Reach Stats'!$1:$46,MATCH($B55,'Halo Reach Stats'!$A:$A,0),27),"")</f>
        <v/>
      </c>
      <c r="AD55" s="16" t="str">
        <f t="array" ref="AD55">IFERROR(INDEX('Halo Reach Stats'!$1:$46,MATCH($B55,'Halo Reach Stats'!$A:$A,0),28),"")</f>
        <v/>
      </c>
      <c r="AE55" s="16" t="str">
        <f t="array" ref="AE55">IFERROR(INDEX('Halo Reach Stats'!$1:$46,MATCH($B55,'Halo Reach Stats'!$A:$A,0),29),"")</f>
        <v/>
      </c>
      <c r="AF55" s="16" t="str">
        <f t="array" ref="AF55">IFERROR(INDEX('Halo Reach Stats'!$1:$46,MATCH($B55,'Halo Reach Stats'!$A:$A,0),30),"")</f>
        <v/>
      </c>
      <c r="AG55" s="16" t="str">
        <f t="array" ref="AG55">IFERROR(INDEX('Halo Reach Stats'!$1:$46,MATCH($B55,'Halo Reach Stats'!$A:$A,0),31),"")</f>
        <v/>
      </c>
      <c r="AH55" s="16" t="str">
        <f t="array" ref="AH55">IFERROR(INDEX('Halo Reach Stats'!$1:$46,MATCH($B55,'Halo Reach Stats'!$A:$A,0),32),"")</f>
        <v/>
      </c>
      <c r="AI55" s="16" t="str">
        <f t="array" ref="AI55">IFERROR(INDEX('Halo Reach Stats'!$1:$46,MATCH($B55,'Halo Reach Stats'!$A:$A,0),33),"")</f>
        <v/>
      </c>
      <c r="AJ55" s="16" t="str">
        <f t="array" ref="AJ55">IFERROR(INDEX('Halo Reach Stats'!$1:$46,MATCH($B55,'Halo Reach Stats'!$A:$A,0),34),"")</f>
        <v/>
      </c>
      <c r="AK55" s="16"/>
      <c r="AL55" s="16"/>
      <c r="AM55" s="16"/>
    </row>
    <row r="56" hidden="1">
      <c r="A56" s="535"/>
      <c r="B56" s="520" t="s">
        <v>354</v>
      </c>
      <c r="C56" s="536">
        <f>SUM(C52:C55)/4</f>
        <v>0</v>
      </c>
      <c r="D56" s="537"/>
      <c r="E56" s="538">
        <f>SUM(E52:E55)/4</f>
        <v>0</v>
      </c>
      <c r="F56" s="539" t="s">
        <v>355</v>
      </c>
      <c r="G56" s="540">
        <f>SUM(G52:G55)</f>
        <v>0</v>
      </c>
      <c r="H56" s="540"/>
      <c r="I56" s="540">
        <f t="shared" ref="I56:K56" si="41">SUM(I52:I55)</f>
        <v>0</v>
      </c>
      <c r="J56" s="540">
        <f t="shared" si="41"/>
        <v>0</v>
      </c>
      <c r="K56" s="540">
        <f t="shared" si="41"/>
        <v>0</v>
      </c>
      <c r="L56" s="526" t="str">
        <f>SUM(L52:L55)/4</f>
        <v>#DIV/0!</v>
      </c>
      <c r="M56" s="540">
        <f t="shared" ref="M56:P56" si="42">SUM(M52:M55)</f>
        <v>0</v>
      </c>
      <c r="N56" s="540">
        <f t="shared" si="42"/>
        <v>0</v>
      </c>
      <c r="O56" s="540">
        <f t="shared" si="42"/>
        <v>0</v>
      </c>
      <c r="P56" s="540">
        <f t="shared" si="42"/>
        <v>0</v>
      </c>
      <c r="Q56" s="540"/>
      <c r="R56" s="525">
        <f>SUM(R52:R55)/4</f>
        <v>0</v>
      </c>
      <c r="S56" s="540">
        <f t="shared" ref="S56:AJ56" si="43">SUM(S52:S55)</f>
        <v>0</v>
      </c>
      <c r="T56" s="540">
        <f t="shared" si="43"/>
        <v>0</v>
      </c>
      <c r="U56" s="540">
        <f t="shared" si="43"/>
        <v>0</v>
      </c>
      <c r="V56" s="540">
        <f t="shared" si="43"/>
        <v>0</v>
      </c>
      <c r="W56" s="540">
        <f t="shared" si="43"/>
        <v>0</v>
      </c>
      <c r="X56" s="540">
        <f t="shared" si="43"/>
        <v>0</v>
      </c>
      <c r="Y56" s="540">
        <f t="shared" si="43"/>
        <v>0</v>
      </c>
      <c r="Z56" s="540">
        <f t="shared" si="43"/>
        <v>0</v>
      </c>
      <c r="AA56" s="540">
        <f t="shared" si="43"/>
        <v>0</v>
      </c>
      <c r="AB56" s="540">
        <f t="shared" si="43"/>
        <v>0</v>
      </c>
      <c r="AC56" s="540">
        <f t="shared" si="43"/>
        <v>0</v>
      </c>
      <c r="AD56" s="540">
        <f t="shared" si="43"/>
        <v>0</v>
      </c>
      <c r="AE56" s="540">
        <f t="shared" si="43"/>
        <v>0</v>
      </c>
      <c r="AF56" s="540">
        <f t="shared" si="43"/>
        <v>0</v>
      </c>
      <c r="AG56" s="540">
        <f t="shared" si="43"/>
        <v>0</v>
      </c>
      <c r="AH56" s="540">
        <f t="shared" si="43"/>
        <v>0</v>
      </c>
      <c r="AI56" s="540">
        <f t="shared" si="43"/>
        <v>0</v>
      </c>
      <c r="AJ56" s="540">
        <f t="shared" si="43"/>
        <v>0</v>
      </c>
      <c r="AK56" s="541"/>
      <c r="AL56" s="541"/>
      <c r="AM56" s="541"/>
    </row>
    <row r="57" hidden="1">
      <c r="A57" s="12" t="s">
        <v>366</v>
      </c>
      <c r="B57" s="530" t="str">
        <f t="array" ref="B57">IFERROR(INDEX(TeamInfo!$C1:$C$49,MATCH($A$57,TeamInfo!A:A,0),0),"")</f>
        <v/>
      </c>
      <c r="C57" s="542"/>
      <c r="D57" s="512" t="str">
        <f t="array" ref="D57">IFERROR(INDEX(PlayerGrades!$1:$47,MATCH(B57,PlayerGrades!M:M,0),18),"")</f>
        <v/>
      </c>
      <c r="E57" s="512" t="str">
        <f t="array" ref="E57">IFERROR(INDEX(PlayerGrades!$1:$47,MATCH(B57,PlayerGrades!M:M,0),19),"")</f>
        <v/>
      </c>
      <c r="F57" s="16" t="str">
        <f t="array" ref="F57">IFERROR(INDEX(TeamInfo!$D1:$D$49,MATCH($A$57,TeamInfo!A:A,0),0),"")</f>
        <v/>
      </c>
      <c r="G57" s="16" t="str">
        <f t="array" ref="G57">IFERROR(INDEX('Halo Reach Stats'!$1:$46,MATCH($B57,'Halo Reach Stats'!$A:$A,0),8),"")</f>
        <v/>
      </c>
      <c r="H57" s="16"/>
      <c r="I57" s="16" t="str">
        <f t="array" ref="I57">IFERROR(INDEX('Halo Reach Stats'!$1:$46,MATCH($B57,'Halo Reach Stats'!$A:$A,0),9),"")</f>
        <v/>
      </c>
      <c r="J57" s="16" t="str">
        <f t="array" ref="J57">IFERROR(INDEX('Halo Reach Stats'!$1:$46,MATCH($B57,'Halo Reach Stats'!$A:$A,0),10),"")</f>
        <v/>
      </c>
      <c r="K57" s="16" t="str">
        <f t="array" ref="K57">IFERROR(INDEX('Halo Reach Stats'!$1:$46,MATCH($B57,'Halo Reach Stats'!$A:$A,0),11),"")</f>
        <v/>
      </c>
      <c r="L57" s="514" t="str">
        <f t="shared" ref="L57:L60" si="44">I57/J57</f>
        <v>#DIV/0!</v>
      </c>
      <c r="M57" s="16" t="str">
        <f t="array" ref="M57">IFERROR(INDEX('Halo Reach Stats'!$1:$46,MATCH($B57,'Halo Reach Stats'!$A:$A,0),12),"")</f>
        <v/>
      </c>
      <c r="N57" s="16" t="str">
        <f t="array" ref="N57">IFERROR(INDEX('Halo Reach Stats'!$1:$46,MATCH($B57,'Halo Reach Stats'!$A:$A,0),13),"")</f>
        <v/>
      </c>
      <c r="O57" s="16" t="str">
        <f t="array" ref="O57">IFERROR(INDEX('Halo Reach Stats'!$1:$46,MATCH($B57,'Halo Reach Stats'!$A:$A,0),14),"")</f>
        <v/>
      </c>
      <c r="P57" s="16" t="str">
        <f t="array" ref="P57">IFERROR(INDEX('Halo Reach Stats'!$1:$46,MATCH($B57,'Halo Reach Stats'!$A:$A,0),16),"")</f>
        <v/>
      </c>
      <c r="Q57" s="16"/>
      <c r="R57" s="16" t="str">
        <f t="array" ref="R57">IFERROR(INDEX('Halo Reach Stats'!$1:$46,MATCH($B57,'Halo Reach Stats'!$A:$A,0),17),"")</f>
        <v/>
      </c>
      <c r="S57" s="16" t="str">
        <f t="array" ref="S57">IFERROR(INDEX('Halo Reach Stats'!$1:$46,MATCH($B57,'Halo Reach Stats'!$A:$A,0),18),"")</f>
        <v/>
      </c>
      <c r="T57" s="16" t="str">
        <f t="array" ref="T57">IFERROR(INDEX('Halo Reach Stats'!$1:$46,MATCH($B57,'Halo Reach Stats'!$A:$A,0),19),"")</f>
        <v/>
      </c>
      <c r="U57" s="16" t="str">
        <f t="array" ref="U57">IFERROR(INDEX('Halo Reach Stats'!$1:$46,MATCH($B57,'Halo Reach Stats'!$A:$A,0),20),"")</f>
        <v/>
      </c>
      <c r="V57" s="16" t="str">
        <f t="array" ref="V57">IFERROR(INDEX('Halo Reach Stats'!$1:$46,MATCH($B57,'Halo Reach Stats'!$A:$A,0),21),"")</f>
        <v/>
      </c>
      <c r="W57" s="16" t="str">
        <f t="array" ref="W57">IFERROR(INDEX('Halo Reach Stats'!$1:$46,MATCH($B57,'Halo Reach Stats'!$A:$A,0),35),"")</f>
        <v/>
      </c>
      <c r="X57" s="16" t="str">
        <f t="array" ref="X57">IFERROR(INDEX('Halo Reach Stats'!$1:$46,MATCH($B57,'Halo Reach Stats'!$A:$A,0),22),"")</f>
        <v/>
      </c>
      <c r="Y57" s="16" t="str">
        <f t="array" ref="Y57">IFERROR(INDEX('Halo Reach Stats'!$1:$46,MATCH($B57,'Halo Reach Stats'!$A:$A,0),23),"")</f>
        <v/>
      </c>
      <c r="Z57" s="16" t="str">
        <f t="array" ref="Z57">IFERROR(INDEX('Halo Reach Stats'!$1:$46,MATCH($B57,'Halo Reach Stats'!$A:$A,0),24),"")</f>
        <v/>
      </c>
      <c r="AA57" s="16" t="str">
        <f t="array" ref="AA57">IFERROR(INDEX('Halo Reach Stats'!$1:$46,MATCH($B57,'Halo Reach Stats'!$A:$A,0),25),"")</f>
        <v/>
      </c>
      <c r="AB57" s="16" t="str">
        <f t="array" ref="AB57">IFERROR(INDEX('Halo Reach Stats'!$1:$46,MATCH($B57,'Halo Reach Stats'!$A:$A,0),26),"")</f>
        <v/>
      </c>
      <c r="AC57" s="16" t="str">
        <f t="array" ref="AC57">IFERROR(INDEX('Halo Reach Stats'!$1:$46,MATCH($B57,'Halo Reach Stats'!$A:$A,0),27),"")</f>
        <v/>
      </c>
      <c r="AD57" s="16" t="str">
        <f t="array" ref="AD57">IFERROR(INDEX('Halo Reach Stats'!$1:$46,MATCH($B57,'Halo Reach Stats'!$A:$A,0),28),"")</f>
        <v/>
      </c>
      <c r="AE57" s="16" t="str">
        <f t="array" ref="AE57">IFERROR(INDEX('Halo Reach Stats'!$1:$46,MATCH($B57,'Halo Reach Stats'!$A:$A,0),29),"")</f>
        <v/>
      </c>
      <c r="AF57" s="16" t="str">
        <f t="array" ref="AF57">IFERROR(INDEX('Halo Reach Stats'!$1:$46,MATCH($B57,'Halo Reach Stats'!$A:$A,0),30),"")</f>
        <v/>
      </c>
      <c r="AG57" s="16" t="str">
        <f t="array" ref="AG57">IFERROR(INDEX('Halo Reach Stats'!$1:$46,MATCH($B57,'Halo Reach Stats'!$A:$A,0),31),"")</f>
        <v/>
      </c>
      <c r="AH57" s="16" t="str">
        <f t="array" ref="AH57">IFERROR(INDEX('Halo Reach Stats'!$1:$46,MATCH($B57,'Halo Reach Stats'!$A:$A,0),32),"")</f>
        <v/>
      </c>
      <c r="AI57" s="16" t="str">
        <f t="array" ref="AI57">IFERROR(INDEX('Halo Reach Stats'!$1:$46,MATCH($B57,'Halo Reach Stats'!$A:$A,0),33),"")</f>
        <v/>
      </c>
      <c r="AJ57" s="16" t="str">
        <f t="array" ref="AJ57">IFERROR(INDEX('Halo Reach Stats'!$1:$46,MATCH($B57,'Halo Reach Stats'!$A:$A,0),34),"")</f>
        <v/>
      </c>
      <c r="AK57" s="16"/>
      <c r="AL57" s="16"/>
      <c r="AM57" s="16"/>
    </row>
    <row r="58" hidden="1">
      <c r="A58" s="366" t="str">
        <f t="array" ref="A58">IFERROR(INDEX(TeamInfo!$1:$49,MATCH(A57,TeamInfo!A:A,0),2),"")</f>
        <v/>
      </c>
      <c r="B58" s="1" t="str">
        <f t="array" ref="B58">IFERROR(INDEX(TeamInfo!$C2:$C$49,MATCH($A$57,TeamInfo!A:A,0),0),"")</f>
        <v/>
      </c>
      <c r="C58" s="542"/>
      <c r="D58" s="512" t="str">
        <f t="array" ref="D58">IFERROR(INDEX(PlayerGrades!$1:$47,MATCH(B58,PlayerGrades!M:M,0),18),"")</f>
        <v/>
      </c>
      <c r="E58" s="512" t="str">
        <f t="array" ref="E58">IFERROR(INDEX(PlayerGrades!$1:$47,MATCH(B58,PlayerGrades!M:M,0),19),"")</f>
        <v/>
      </c>
      <c r="F58" s="16" t="str">
        <f t="array" ref="F58">IFERROR(INDEX(TeamInfo!$D2:$D$49,MATCH($A$57,TeamInfo!A:A,0),0),"")</f>
        <v/>
      </c>
      <c r="G58" s="16" t="str">
        <f t="array" ref="G58">IFERROR(INDEX('Halo Reach Stats'!$1:$46,MATCH($B58,'Halo Reach Stats'!$A:$A,0),8),"")</f>
        <v/>
      </c>
      <c r="H58" s="16"/>
      <c r="I58" s="16" t="str">
        <f t="array" ref="I58">IFERROR(INDEX('Halo Reach Stats'!$1:$46,MATCH($B58,'Halo Reach Stats'!$A:$A,0),9),"")</f>
        <v/>
      </c>
      <c r="J58" s="16" t="str">
        <f t="array" ref="J58">IFERROR(INDEX('Halo Reach Stats'!$1:$46,MATCH($B58,'Halo Reach Stats'!$A:$A,0),10),"")</f>
        <v/>
      </c>
      <c r="K58" s="16" t="str">
        <f t="array" ref="K58">IFERROR(INDEX('Halo Reach Stats'!$1:$46,MATCH($B58,'Halo Reach Stats'!$A:$A,0),11),"")</f>
        <v/>
      </c>
      <c r="L58" s="514" t="str">
        <f t="shared" si="44"/>
        <v>#DIV/0!</v>
      </c>
      <c r="M58" s="16" t="str">
        <f t="array" ref="M58">IFERROR(INDEX('Halo Reach Stats'!$1:$46,MATCH($B58,'Halo Reach Stats'!$A:$A,0),12),"")</f>
        <v/>
      </c>
      <c r="N58" s="16" t="str">
        <f t="array" ref="N58">IFERROR(INDEX('Halo Reach Stats'!$1:$46,MATCH($B58,'Halo Reach Stats'!$A:$A,0),13),"")</f>
        <v/>
      </c>
      <c r="O58" s="16" t="str">
        <f t="array" ref="O58">IFERROR(INDEX('Halo Reach Stats'!$1:$46,MATCH($B58,'Halo Reach Stats'!$A:$A,0),14),"")</f>
        <v/>
      </c>
      <c r="P58" s="16" t="str">
        <f t="array" ref="P58">IFERROR(INDEX('Halo Reach Stats'!$1:$46,MATCH($B58,'Halo Reach Stats'!$A:$A,0),16),"")</f>
        <v/>
      </c>
      <c r="Q58" s="16"/>
      <c r="R58" s="16" t="str">
        <f t="array" ref="R58">IFERROR(INDEX('Halo Reach Stats'!$1:$46,MATCH($B58,'Halo Reach Stats'!$A:$A,0),17),"")</f>
        <v/>
      </c>
      <c r="S58" s="16" t="str">
        <f t="array" ref="S58">IFERROR(INDEX('Halo Reach Stats'!$1:$46,MATCH($B58,'Halo Reach Stats'!$A:$A,0),18),"")</f>
        <v/>
      </c>
      <c r="T58" s="16" t="str">
        <f t="array" ref="T58">IFERROR(INDEX('Halo Reach Stats'!$1:$46,MATCH($B58,'Halo Reach Stats'!$A:$A,0),19),"")</f>
        <v/>
      </c>
      <c r="U58" s="16" t="str">
        <f t="array" ref="U58">IFERROR(INDEX('Halo Reach Stats'!$1:$46,MATCH($B58,'Halo Reach Stats'!$A:$A,0),20),"")</f>
        <v/>
      </c>
      <c r="V58" s="16" t="str">
        <f t="array" ref="V58">IFERROR(INDEX('Halo Reach Stats'!$1:$46,MATCH($B58,'Halo Reach Stats'!$A:$A,0),21),"")</f>
        <v/>
      </c>
      <c r="W58" s="16" t="str">
        <f t="array" ref="W58">IFERROR(INDEX('Halo Reach Stats'!$1:$46,MATCH($B58,'Halo Reach Stats'!$A:$A,0),35),"")</f>
        <v/>
      </c>
      <c r="X58" s="16" t="str">
        <f t="array" ref="X58">IFERROR(INDEX('Halo Reach Stats'!$1:$46,MATCH($B58,'Halo Reach Stats'!$A:$A,0),22),"")</f>
        <v/>
      </c>
      <c r="Y58" s="16" t="str">
        <f t="array" ref="Y58">IFERROR(INDEX('Halo Reach Stats'!$1:$46,MATCH($B58,'Halo Reach Stats'!$A:$A,0),23),"")</f>
        <v/>
      </c>
      <c r="Z58" s="16" t="str">
        <f t="array" ref="Z58">IFERROR(INDEX('Halo Reach Stats'!$1:$46,MATCH($B58,'Halo Reach Stats'!$A:$A,0),24),"")</f>
        <v/>
      </c>
      <c r="AA58" s="16" t="str">
        <f t="array" ref="AA58">IFERROR(INDEX('Halo Reach Stats'!$1:$46,MATCH($B58,'Halo Reach Stats'!$A:$A,0),25),"")</f>
        <v/>
      </c>
      <c r="AB58" s="16" t="str">
        <f t="array" ref="AB58">IFERROR(INDEX('Halo Reach Stats'!$1:$46,MATCH($B58,'Halo Reach Stats'!$A:$A,0),26),"")</f>
        <v/>
      </c>
      <c r="AC58" s="16" t="str">
        <f t="array" ref="AC58">IFERROR(INDEX('Halo Reach Stats'!$1:$46,MATCH($B58,'Halo Reach Stats'!$A:$A,0),27),"")</f>
        <v/>
      </c>
      <c r="AD58" s="16" t="str">
        <f t="array" ref="AD58">IFERROR(INDEX('Halo Reach Stats'!$1:$46,MATCH($B58,'Halo Reach Stats'!$A:$A,0),28),"")</f>
        <v/>
      </c>
      <c r="AE58" s="16" t="str">
        <f t="array" ref="AE58">IFERROR(INDEX('Halo Reach Stats'!$1:$46,MATCH($B58,'Halo Reach Stats'!$A:$A,0),29),"")</f>
        <v/>
      </c>
      <c r="AF58" s="16" t="str">
        <f t="array" ref="AF58">IFERROR(INDEX('Halo Reach Stats'!$1:$46,MATCH($B58,'Halo Reach Stats'!$A:$A,0),30),"")</f>
        <v/>
      </c>
      <c r="AG58" s="16" t="str">
        <f t="array" ref="AG58">IFERROR(INDEX('Halo Reach Stats'!$1:$46,MATCH($B58,'Halo Reach Stats'!$A:$A,0),31),"")</f>
        <v/>
      </c>
      <c r="AH58" s="16" t="str">
        <f t="array" ref="AH58">IFERROR(INDEX('Halo Reach Stats'!$1:$46,MATCH($B58,'Halo Reach Stats'!$A:$A,0),32),"")</f>
        <v/>
      </c>
      <c r="AI58" s="16" t="str">
        <f t="array" ref="AI58">IFERROR(INDEX('Halo Reach Stats'!$1:$46,MATCH($B58,'Halo Reach Stats'!$A:$A,0),33),"")</f>
        <v/>
      </c>
      <c r="AJ58" s="16" t="str">
        <f t="array" ref="AJ58">IFERROR(INDEX('Halo Reach Stats'!$1:$46,MATCH($B58,'Halo Reach Stats'!$A:$A,0),34),"")</f>
        <v/>
      </c>
      <c r="AK58" s="16"/>
      <c r="AL58" s="16"/>
      <c r="AM58" s="16"/>
    </row>
    <row r="59" hidden="1">
      <c r="A59" s="366"/>
      <c r="B59" s="1" t="str">
        <f t="array" ref="B59">IFERROR(INDEX(TeamInfo!$C3:$C$49,MATCH($A$57,TeamInfo!A:A,0),0),"")</f>
        <v/>
      </c>
      <c r="C59" s="542"/>
      <c r="D59" s="512" t="str">
        <f t="array" ref="D59">IFERROR(INDEX(PlayerGrades!$1:$47,MATCH(B59,PlayerGrades!M:M,0),18),"")</f>
        <v/>
      </c>
      <c r="E59" s="512" t="str">
        <f t="array" ref="E59">IFERROR(INDEX(PlayerGrades!$1:$47,MATCH(B59,PlayerGrades!M:M,0),19),"")</f>
        <v/>
      </c>
      <c r="F59" s="16" t="str">
        <f t="array" ref="F59">IFERROR(INDEX(TeamInfo!$D3:$D$49,MATCH($A$57,TeamInfo!A:A,0),0),"")</f>
        <v/>
      </c>
      <c r="G59" s="16" t="str">
        <f t="array" ref="G59">IFERROR(INDEX('Halo Reach Stats'!$1:$46,MATCH($B59,'Halo Reach Stats'!$A:$A,0),8),"")</f>
        <v/>
      </c>
      <c r="H59" s="16"/>
      <c r="I59" s="16" t="str">
        <f t="array" ref="I59">IFERROR(INDEX('Halo Reach Stats'!$1:$46,MATCH($B59,'Halo Reach Stats'!$A:$A,0),9),"")</f>
        <v/>
      </c>
      <c r="J59" s="16" t="str">
        <f t="array" ref="J59">IFERROR(INDEX('Halo Reach Stats'!$1:$46,MATCH($B59,'Halo Reach Stats'!$A:$A,0),10),"")</f>
        <v/>
      </c>
      <c r="K59" s="16" t="str">
        <f t="array" ref="K59">IFERROR(INDEX('Halo Reach Stats'!$1:$46,MATCH($B59,'Halo Reach Stats'!$A:$A,0),11),"")</f>
        <v/>
      </c>
      <c r="L59" s="514" t="str">
        <f t="shared" si="44"/>
        <v>#DIV/0!</v>
      </c>
      <c r="M59" s="16" t="str">
        <f t="array" ref="M59">IFERROR(INDEX('Halo Reach Stats'!$1:$46,MATCH($B59,'Halo Reach Stats'!$A:$A,0),12),"")</f>
        <v/>
      </c>
      <c r="N59" s="16" t="str">
        <f t="array" ref="N59">IFERROR(INDEX('Halo Reach Stats'!$1:$46,MATCH($B59,'Halo Reach Stats'!$A:$A,0),13),"")</f>
        <v/>
      </c>
      <c r="O59" s="16" t="str">
        <f t="array" ref="O59">IFERROR(INDEX('Halo Reach Stats'!$1:$46,MATCH($B59,'Halo Reach Stats'!$A:$A,0),14),"")</f>
        <v/>
      </c>
      <c r="P59" s="16" t="str">
        <f t="array" ref="P59">IFERROR(INDEX('Halo Reach Stats'!$1:$46,MATCH($B59,'Halo Reach Stats'!$A:$A,0),16),"")</f>
        <v/>
      </c>
      <c r="Q59" s="16"/>
      <c r="R59" s="16" t="str">
        <f t="array" ref="R59">IFERROR(INDEX('Halo Reach Stats'!$1:$46,MATCH($B59,'Halo Reach Stats'!$A:$A,0),17),"")</f>
        <v/>
      </c>
      <c r="S59" s="16" t="str">
        <f t="array" ref="S59">IFERROR(INDEX('Halo Reach Stats'!$1:$46,MATCH($B59,'Halo Reach Stats'!$A:$A,0),18),"")</f>
        <v/>
      </c>
      <c r="T59" s="16" t="str">
        <f t="array" ref="T59">IFERROR(INDEX('Halo Reach Stats'!$1:$46,MATCH($B59,'Halo Reach Stats'!$A:$A,0),19),"")</f>
        <v/>
      </c>
      <c r="U59" s="16" t="str">
        <f t="array" ref="U59">IFERROR(INDEX('Halo Reach Stats'!$1:$46,MATCH($B59,'Halo Reach Stats'!$A:$A,0),20),"")</f>
        <v/>
      </c>
      <c r="V59" s="16" t="str">
        <f t="array" ref="V59">IFERROR(INDEX('Halo Reach Stats'!$1:$46,MATCH($B59,'Halo Reach Stats'!$A:$A,0),21),"")</f>
        <v/>
      </c>
      <c r="W59" s="16" t="str">
        <f t="array" ref="W59">IFERROR(INDEX('Halo Reach Stats'!$1:$46,MATCH($B59,'Halo Reach Stats'!$A:$A,0),35),"")</f>
        <v/>
      </c>
      <c r="X59" s="16" t="str">
        <f t="array" ref="X59">IFERROR(INDEX('Halo Reach Stats'!$1:$46,MATCH($B59,'Halo Reach Stats'!$A:$A,0),22),"")</f>
        <v/>
      </c>
      <c r="Y59" s="16" t="str">
        <f t="array" ref="Y59">IFERROR(INDEX('Halo Reach Stats'!$1:$46,MATCH($B59,'Halo Reach Stats'!$A:$A,0),23),"")</f>
        <v/>
      </c>
      <c r="Z59" s="16" t="str">
        <f t="array" ref="Z59">IFERROR(INDEX('Halo Reach Stats'!$1:$46,MATCH($B59,'Halo Reach Stats'!$A:$A,0),24),"")</f>
        <v/>
      </c>
      <c r="AA59" s="16" t="str">
        <f t="array" ref="AA59">IFERROR(INDEX('Halo Reach Stats'!$1:$46,MATCH($B59,'Halo Reach Stats'!$A:$A,0),25),"")</f>
        <v/>
      </c>
      <c r="AB59" s="16" t="str">
        <f t="array" ref="AB59">IFERROR(INDEX('Halo Reach Stats'!$1:$46,MATCH($B59,'Halo Reach Stats'!$A:$A,0),26),"")</f>
        <v/>
      </c>
      <c r="AC59" s="16" t="str">
        <f t="array" ref="AC59">IFERROR(INDEX('Halo Reach Stats'!$1:$46,MATCH($B59,'Halo Reach Stats'!$A:$A,0),27),"")</f>
        <v/>
      </c>
      <c r="AD59" s="16" t="str">
        <f t="array" ref="AD59">IFERROR(INDEX('Halo Reach Stats'!$1:$46,MATCH($B59,'Halo Reach Stats'!$A:$A,0),28),"")</f>
        <v/>
      </c>
      <c r="AE59" s="16" t="str">
        <f t="array" ref="AE59">IFERROR(INDEX('Halo Reach Stats'!$1:$46,MATCH($B59,'Halo Reach Stats'!$A:$A,0),29),"")</f>
        <v/>
      </c>
      <c r="AF59" s="16" t="str">
        <f t="array" ref="AF59">IFERROR(INDEX('Halo Reach Stats'!$1:$46,MATCH($B59,'Halo Reach Stats'!$A:$A,0),30),"")</f>
        <v/>
      </c>
      <c r="AG59" s="16" t="str">
        <f t="array" ref="AG59">IFERROR(INDEX('Halo Reach Stats'!$1:$46,MATCH($B59,'Halo Reach Stats'!$A:$A,0),31),"")</f>
        <v/>
      </c>
      <c r="AH59" s="16" t="str">
        <f t="array" ref="AH59">IFERROR(INDEX('Halo Reach Stats'!$1:$46,MATCH($B59,'Halo Reach Stats'!$A:$A,0),32),"")</f>
        <v/>
      </c>
      <c r="AI59" s="16" t="str">
        <f t="array" ref="AI59">IFERROR(INDEX('Halo Reach Stats'!$1:$46,MATCH($B59,'Halo Reach Stats'!$A:$A,0),33),"")</f>
        <v/>
      </c>
      <c r="AJ59" s="16" t="str">
        <f t="array" ref="AJ59">IFERROR(INDEX('Halo Reach Stats'!$1:$46,MATCH($B59,'Halo Reach Stats'!$A:$A,0),34),"")</f>
        <v/>
      </c>
      <c r="AK59" s="16"/>
      <c r="AL59" s="16"/>
      <c r="AM59" s="16"/>
    </row>
    <row r="60" hidden="1">
      <c r="A60" s="543" t="str">
        <f>IF(((E57+E58+E59+E60)/4)&lt;=5.55,"F",IF(((E57+E58+E59+E60)/4)&lt;9.25,"E",IF(((E57+E58+E59+E60)/4)&lt;12.95,"D",IF(((E57+E58+E59+E60)/4)&lt;16.65,"C",IF(((E57+E58+E59+E60)/4)&lt;20.35,"B",IF(((E57+E58+E59+E60)/4)&lt;24.05,"A","S"))))))</f>
        <v>F</v>
      </c>
      <c r="B60" s="1" t="str">
        <f t="array" ref="B60">IFERROR(INDEX(TeamInfo!$C4:$C$49,MATCH($A$57,TeamInfo!A:A,0),0),"")</f>
        <v/>
      </c>
      <c r="C60" s="542"/>
      <c r="D60" s="512" t="str">
        <f t="array" ref="D60">IFERROR(INDEX(PlayerGrades!$1:$47,MATCH(B60,PlayerGrades!M:M,0),18),"")</f>
        <v/>
      </c>
      <c r="E60" s="512" t="str">
        <f t="array" ref="E60">IFERROR(INDEX(PlayerGrades!$1:$47,MATCH(B60,PlayerGrades!M:M,0),19),"")</f>
        <v/>
      </c>
      <c r="F60" s="16" t="str">
        <f t="array" ref="F60">IFERROR(INDEX(TeamInfo!$D4:$D$49,MATCH($A$57,TeamInfo!A:A,0),0),"")</f>
        <v/>
      </c>
      <c r="G60" s="16" t="str">
        <f t="array" ref="G60">IFERROR(INDEX('Halo Reach Stats'!$1:$46,MATCH($B60,'Halo Reach Stats'!$A:$A,0),8),"")</f>
        <v/>
      </c>
      <c r="H60" s="16"/>
      <c r="I60" s="16" t="str">
        <f t="array" ref="I60">IFERROR(INDEX('Halo Reach Stats'!$1:$46,MATCH($B60,'Halo Reach Stats'!$A:$A,0),9),"")</f>
        <v/>
      </c>
      <c r="J60" s="16" t="str">
        <f t="array" ref="J60">IFERROR(INDEX('Halo Reach Stats'!$1:$46,MATCH($B60,'Halo Reach Stats'!$A:$A,0),10),"")</f>
        <v/>
      </c>
      <c r="K60" s="16" t="str">
        <f t="array" ref="K60">IFERROR(INDEX('Halo Reach Stats'!$1:$46,MATCH($B60,'Halo Reach Stats'!$A:$A,0),11),"")</f>
        <v/>
      </c>
      <c r="L60" s="514" t="str">
        <f t="shared" si="44"/>
        <v>#DIV/0!</v>
      </c>
      <c r="M60" s="16" t="str">
        <f t="array" ref="M60">IFERROR(INDEX('Halo Reach Stats'!$1:$46,MATCH($B60,'Halo Reach Stats'!$A:$A,0),12),"")</f>
        <v/>
      </c>
      <c r="N60" s="16" t="str">
        <f t="array" ref="N60">IFERROR(INDEX('Halo Reach Stats'!$1:$46,MATCH($B60,'Halo Reach Stats'!$A:$A,0),13),"")</f>
        <v/>
      </c>
      <c r="O60" s="16" t="str">
        <f t="array" ref="O60">IFERROR(INDEX('Halo Reach Stats'!$1:$46,MATCH($B60,'Halo Reach Stats'!$A:$A,0),14),"")</f>
        <v/>
      </c>
      <c r="P60" s="16" t="str">
        <f t="array" ref="P60">IFERROR(INDEX('Halo Reach Stats'!$1:$46,MATCH($B60,'Halo Reach Stats'!$A:$A,0),16),"")</f>
        <v/>
      </c>
      <c r="Q60" s="16"/>
      <c r="R60" s="16" t="str">
        <f t="array" ref="R60">IFERROR(INDEX('Halo Reach Stats'!$1:$46,MATCH($B60,'Halo Reach Stats'!$A:$A,0),17),"")</f>
        <v/>
      </c>
      <c r="S60" s="16" t="str">
        <f t="array" ref="S60">IFERROR(INDEX('Halo Reach Stats'!$1:$46,MATCH($B60,'Halo Reach Stats'!$A:$A,0),18),"")</f>
        <v/>
      </c>
      <c r="T60" s="16" t="str">
        <f t="array" ref="T60">IFERROR(INDEX('Halo Reach Stats'!$1:$46,MATCH($B60,'Halo Reach Stats'!$A:$A,0),19),"")</f>
        <v/>
      </c>
      <c r="U60" s="16" t="str">
        <f t="array" ref="U60">IFERROR(INDEX('Halo Reach Stats'!$1:$46,MATCH($B60,'Halo Reach Stats'!$A:$A,0),20),"")</f>
        <v/>
      </c>
      <c r="V60" s="16" t="str">
        <f t="array" ref="V60">IFERROR(INDEX('Halo Reach Stats'!$1:$46,MATCH($B60,'Halo Reach Stats'!$A:$A,0),21),"")</f>
        <v/>
      </c>
      <c r="W60" s="16" t="str">
        <f t="array" ref="W60">IFERROR(INDEX('Halo Reach Stats'!$1:$46,MATCH($B60,'Halo Reach Stats'!$A:$A,0),35),"")</f>
        <v/>
      </c>
      <c r="X60" s="16" t="str">
        <f t="array" ref="X60">IFERROR(INDEX('Halo Reach Stats'!$1:$46,MATCH($B60,'Halo Reach Stats'!$A:$A,0),22),"")</f>
        <v/>
      </c>
      <c r="Y60" s="16" t="str">
        <f t="array" ref="Y60">IFERROR(INDEX('Halo Reach Stats'!$1:$46,MATCH($B60,'Halo Reach Stats'!$A:$A,0),23),"")</f>
        <v/>
      </c>
      <c r="Z60" s="16" t="str">
        <f t="array" ref="Z60">IFERROR(INDEX('Halo Reach Stats'!$1:$46,MATCH($B60,'Halo Reach Stats'!$A:$A,0),24),"")</f>
        <v/>
      </c>
      <c r="AA60" s="16" t="str">
        <f t="array" ref="AA60">IFERROR(INDEX('Halo Reach Stats'!$1:$46,MATCH($B60,'Halo Reach Stats'!$A:$A,0),25),"")</f>
        <v/>
      </c>
      <c r="AB60" s="16" t="str">
        <f t="array" ref="AB60">IFERROR(INDEX('Halo Reach Stats'!$1:$46,MATCH($B60,'Halo Reach Stats'!$A:$A,0),26),"")</f>
        <v/>
      </c>
      <c r="AC60" s="16" t="str">
        <f t="array" ref="AC60">IFERROR(INDEX('Halo Reach Stats'!$1:$46,MATCH($B60,'Halo Reach Stats'!$A:$A,0),27),"")</f>
        <v/>
      </c>
      <c r="AD60" s="16" t="str">
        <f t="array" ref="AD60">IFERROR(INDEX('Halo Reach Stats'!$1:$46,MATCH($B60,'Halo Reach Stats'!$A:$A,0),28),"")</f>
        <v/>
      </c>
      <c r="AE60" s="16" t="str">
        <f t="array" ref="AE60">IFERROR(INDEX('Halo Reach Stats'!$1:$46,MATCH($B60,'Halo Reach Stats'!$A:$A,0),29),"")</f>
        <v/>
      </c>
      <c r="AF60" s="16" t="str">
        <f t="array" ref="AF60">IFERROR(INDEX('Halo Reach Stats'!$1:$46,MATCH($B60,'Halo Reach Stats'!$A:$A,0),30),"")</f>
        <v/>
      </c>
      <c r="AG60" s="16" t="str">
        <f t="array" ref="AG60">IFERROR(INDEX('Halo Reach Stats'!$1:$46,MATCH($B60,'Halo Reach Stats'!$A:$A,0),31),"")</f>
        <v/>
      </c>
      <c r="AH60" s="16" t="str">
        <f t="array" ref="AH60">IFERROR(INDEX('Halo Reach Stats'!$1:$46,MATCH($B60,'Halo Reach Stats'!$A:$A,0),32),"")</f>
        <v/>
      </c>
      <c r="AI60" s="16" t="str">
        <f t="array" ref="AI60">IFERROR(INDEX('Halo Reach Stats'!$1:$46,MATCH($B60,'Halo Reach Stats'!$A:$A,0),33),"")</f>
        <v/>
      </c>
      <c r="AJ60" s="16" t="str">
        <f t="array" ref="AJ60">IFERROR(INDEX('Halo Reach Stats'!$1:$46,MATCH($B60,'Halo Reach Stats'!$A:$A,0),34),"")</f>
        <v/>
      </c>
      <c r="AK60" s="16"/>
      <c r="AL60" s="16"/>
      <c r="AM60" s="16"/>
    </row>
    <row r="61" hidden="1">
      <c r="A61" s="544"/>
      <c r="B61" s="545" t="s">
        <v>354</v>
      </c>
      <c r="C61" s="542"/>
      <c r="D61" s="546"/>
      <c r="E61" s="538">
        <f>SUM(E57:E60)/4</f>
        <v>0</v>
      </c>
      <c r="F61" s="503" t="s">
        <v>355</v>
      </c>
      <c r="G61" s="540">
        <f>SUM(G57:G60)</f>
        <v>0</v>
      </c>
      <c r="H61" s="540"/>
      <c r="I61" s="540">
        <f t="shared" ref="I61:K61" si="45">SUM(I57:I60)</f>
        <v>0</v>
      </c>
      <c r="J61" s="540">
        <f t="shared" si="45"/>
        <v>0</v>
      </c>
      <c r="K61" s="540">
        <f t="shared" si="45"/>
        <v>0</v>
      </c>
      <c r="L61" s="526" t="str">
        <f>SUM(L57:L60)/4</f>
        <v>#DIV/0!</v>
      </c>
      <c r="M61" s="540">
        <f t="shared" ref="M61:P61" si="46">SUM(M57:M60)</f>
        <v>0</v>
      </c>
      <c r="N61" s="540">
        <f t="shared" si="46"/>
        <v>0</v>
      </c>
      <c r="O61" s="540">
        <f t="shared" si="46"/>
        <v>0</v>
      </c>
      <c r="P61" s="540">
        <f t="shared" si="46"/>
        <v>0</v>
      </c>
      <c r="Q61" s="540"/>
      <c r="R61" s="525">
        <f>SUM(R57:R60)/4</f>
        <v>0</v>
      </c>
      <c r="S61" s="540">
        <f t="shared" ref="S61:AJ61" si="47">SUM(S57:S60)</f>
        <v>0</v>
      </c>
      <c r="T61" s="540">
        <f t="shared" si="47"/>
        <v>0</v>
      </c>
      <c r="U61" s="540">
        <f t="shared" si="47"/>
        <v>0</v>
      </c>
      <c r="V61" s="540">
        <f t="shared" si="47"/>
        <v>0</v>
      </c>
      <c r="W61" s="540">
        <f t="shared" si="47"/>
        <v>0</v>
      </c>
      <c r="X61" s="540">
        <f t="shared" si="47"/>
        <v>0</v>
      </c>
      <c r="Y61" s="540">
        <f t="shared" si="47"/>
        <v>0</v>
      </c>
      <c r="Z61" s="540">
        <f t="shared" si="47"/>
        <v>0</v>
      </c>
      <c r="AA61" s="540">
        <f t="shared" si="47"/>
        <v>0</v>
      </c>
      <c r="AB61" s="540">
        <f t="shared" si="47"/>
        <v>0</v>
      </c>
      <c r="AC61" s="540">
        <f t="shared" si="47"/>
        <v>0</v>
      </c>
      <c r="AD61" s="540">
        <f t="shared" si="47"/>
        <v>0</v>
      </c>
      <c r="AE61" s="540">
        <f t="shared" si="47"/>
        <v>0</v>
      </c>
      <c r="AF61" s="540">
        <f t="shared" si="47"/>
        <v>0</v>
      </c>
      <c r="AG61" s="540">
        <f t="shared" si="47"/>
        <v>0</v>
      </c>
      <c r="AH61" s="540">
        <f t="shared" si="47"/>
        <v>0</v>
      </c>
      <c r="AI61" s="540">
        <f t="shared" si="47"/>
        <v>0</v>
      </c>
      <c r="AJ61" s="540">
        <f t="shared" si="47"/>
        <v>0</v>
      </c>
      <c r="AK61" s="541"/>
      <c r="AL61" s="541"/>
      <c r="AM61" s="541"/>
    </row>
  </sheetData>
  <conditionalFormatting sqref="D2:E55 D57:E60">
    <cfRule type="containsText" dxfId="17" priority="1" operator="containsText" text="S">
      <formula>NOT(ISERROR(SEARCH(("S"),(D2))))</formula>
    </cfRule>
  </conditionalFormatting>
  <conditionalFormatting sqref="D2:E55 D57:E60">
    <cfRule type="containsText" dxfId="8" priority="2" operator="containsText" text="A">
      <formula>NOT(ISERROR(SEARCH(("A"),(D2))))</formula>
    </cfRule>
  </conditionalFormatting>
  <conditionalFormatting sqref="D2:E55 D57:E60">
    <cfRule type="containsText" dxfId="9" priority="3" operator="containsText" text="B">
      <formula>NOT(ISERROR(SEARCH(("B"),(D2))))</formula>
    </cfRule>
  </conditionalFormatting>
  <conditionalFormatting sqref="D2:E55 D57:E60">
    <cfRule type="containsText" dxfId="2" priority="4" operator="containsText" text="C">
      <formula>NOT(ISERROR(SEARCH(("C"),(D2))))</formula>
    </cfRule>
  </conditionalFormatting>
  <conditionalFormatting sqref="D2:E55 D57:E60">
    <cfRule type="containsText" dxfId="10" priority="5" operator="containsText" text="D">
      <formula>NOT(ISERROR(SEARCH(("D"),(D2))))</formula>
    </cfRule>
  </conditionalFormatting>
  <conditionalFormatting sqref="D2:E55 D57:E60">
    <cfRule type="containsText" dxfId="11" priority="6" operator="containsText" text="E">
      <formula>NOT(ISERROR(SEARCH(("E"),(D2))))</formula>
    </cfRule>
  </conditionalFormatting>
  <conditionalFormatting sqref="D2:E55 D57:E60">
    <cfRule type="containsText" dxfId="12" priority="7" operator="containsText" text="F">
      <formula>NOT(ISERROR(SEARCH(("F"),(D2))))</formula>
    </cfRule>
  </conditionalFormatting>
  <conditionalFormatting sqref="A5 A10 A15 A20 A25 A30 A35 A40 A45 A50 A55">
    <cfRule type="containsText" dxfId="17" priority="8" operator="containsText" text="S">
      <formula>NOT(ISERROR(SEARCH(("S"),(A5))))</formula>
    </cfRule>
  </conditionalFormatting>
  <conditionalFormatting sqref="A5 A10 A15 A20 A25 A30 A35 A40 A45 A50 A55">
    <cfRule type="containsText" dxfId="8" priority="9" operator="containsText" text="A">
      <formula>NOT(ISERROR(SEARCH(("A"),(A5))))</formula>
    </cfRule>
  </conditionalFormatting>
  <conditionalFormatting sqref="A5 A10 A15 A20 A25 A30 A35 A40 A45 A50 A55">
    <cfRule type="containsText" dxfId="9" priority="10" operator="containsText" text="B">
      <formula>NOT(ISERROR(SEARCH(("B"),(A5))))</formula>
    </cfRule>
  </conditionalFormatting>
  <conditionalFormatting sqref="A5 A10 A15 A20 A25 A30 A35 A40 A45 A50 A55">
    <cfRule type="containsText" dxfId="2" priority="11" operator="containsText" text="C">
      <formula>NOT(ISERROR(SEARCH(("C"),(A5))))</formula>
    </cfRule>
  </conditionalFormatting>
  <conditionalFormatting sqref="A5 A10 A15 A20 A25 A30 A35 A40 A45 A50 A55">
    <cfRule type="containsText" dxfId="10" priority="12" operator="containsText" text="D">
      <formula>NOT(ISERROR(SEARCH(("D"),(A5))))</formula>
    </cfRule>
  </conditionalFormatting>
  <conditionalFormatting sqref="A5 A10 A15 A20 A25 A30 A35 A40 A45 A50 A55">
    <cfRule type="containsText" dxfId="11" priority="13" operator="containsText" text="E">
      <formula>NOT(ISERROR(SEARCH(("E"),(A5))))</formula>
    </cfRule>
  </conditionalFormatting>
  <conditionalFormatting sqref="A5 A10 A15 A20 A25 A30 A35 A40 A45 A50 A55">
    <cfRule type="containsText" dxfId="18" priority="14" operator="containsText" text="F">
      <formula>NOT(ISERROR(SEARCH(("F"),(A5))))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6.38"/>
    <col customWidth="1" min="3" max="3" width="16.38"/>
    <col customWidth="1" min="4" max="4" width="8.88"/>
    <col customWidth="1" min="5" max="5" width="15.63"/>
    <col customWidth="1" min="6" max="6" width="2.38"/>
    <col customWidth="1" min="7" max="7" width="6.38"/>
    <col customWidth="1" min="8" max="8" width="16.38"/>
    <col customWidth="1" min="9" max="9" width="8.88"/>
    <col customWidth="1" min="10" max="10" width="13.63"/>
    <col customWidth="1" min="11" max="11" width="2.88"/>
    <col customWidth="1" min="12" max="12" width="6.38"/>
    <col customWidth="1" min="13" max="13" width="16.38"/>
    <col customWidth="1" min="14" max="14" width="8.88"/>
    <col customWidth="1" min="15" max="15" width="5.5"/>
    <col customWidth="1" min="16" max="16" width="6.13"/>
  </cols>
  <sheetData>
    <row r="1">
      <c r="A1" s="547" t="s">
        <v>367</v>
      </c>
    </row>
    <row r="2">
      <c r="A2" s="7"/>
      <c r="B2" s="548" t="s">
        <v>368</v>
      </c>
      <c r="C2" s="549"/>
      <c r="D2" s="550"/>
      <c r="E2" s="551"/>
      <c r="F2" s="552"/>
      <c r="G2" s="548" t="s">
        <v>369</v>
      </c>
      <c r="H2" s="549"/>
      <c r="I2" s="550"/>
      <c r="J2" s="17"/>
      <c r="K2" s="17"/>
      <c r="L2" s="553" t="s">
        <v>370</v>
      </c>
      <c r="O2" s="85"/>
      <c r="P2" s="7"/>
    </row>
    <row r="3">
      <c r="A3" s="7"/>
      <c r="B3" s="554" t="s">
        <v>371</v>
      </c>
      <c r="C3" s="554" t="str">
        <f>IFERROR(__xludf.DUMMYFUNCTION("QUERY('Team Report Cards'!B:L, ""SELECT B,L where not B contains 'Average Efficiency' ORDER BY L DESC LIMIT 10"", 1)"),"Player ")</f>
        <v>Player </v>
      </c>
      <c r="D3" s="554" t="str">
        <f>IFERROR(__xludf.DUMMYFUNCTION("""COMPUTED_VALUE"""),"K/D")</f>
        <v>K/D</v>
      </c>
      <c r="E3" s="555"/>
      <c r="F3" s="552"/>
      <c r="G3" s="556" t="s">
        <v>371</v>
      </c>
      <c r="H3" s="556" t="str">
        <f>IFERROR(__xludf.DUMMYFUNCTION("QUERY('Halo Reach Stats'!A:E, ""SELECT A,E ORDER BY E DESC LIMIT 10"", 1)"),"Player")</f>
        <v>Player</v>
      </c>
      <c r="I3" s="556" t="str">
        <f>IFERROR(__xludf.DUMMYFUNCTION("""COMPUTED_VALUE"""),"Goals")</f>
        <v>Goals</v>
      </c>
      <c r="J3" s="17"/>
      <c r="K3" s="17"/>
      <c r="L3" s="556" t="s">
        <v>371</v>
      </c>
      <c r="M3" s="557" t="str">
        <f>IFERROR(__xludf.DUMMYFUNCTION("QUERY('Halo Reach Stats'!A:P, ""SELECT A,P ORDER BY P DESC LIMIT 10"", 1)"),"Player")</f>
        <v>Player</v>
      </c>
      <c r="N3" s="557" t="str">
        <f>IFERROR(__xludf.DUMMYFUNCTION("""COMPUTED_VALUE"""),"Carry Time")</f>
        <v>Carry Time</v>
      </c>
      <c r="O3" s="90"/>
      <c r="P3" s="7"/>
    </row>
    <row r="4" ht="54.75" customHeight="1">
      <c r="A4" s="7"/>
      <c r="B4" s="558">
        <v>1.0</v>
      </c>
      <c r="C4" s="559" t="str">
        <f>IFERROR(__xludf.DUMMYFUNCTION("""COMPUTED_VALUE"""),"oDhmon")</f>
        <v>oDhmon</v>
      </c>
      <c r="D4" s="560">
        <f>IFERROR(__xludf.DUMMYFUNCTION("""COMPUTED_VALUE"""),1.3239700374531835)</f>
        <v>1.323970037</v>
      </c>
      <c r="E4" s="555"/>
      <c r="F4" s="552"/>
      <c r="G4" s="558">
        <v>1.0</v>
      </c>
      <c r="H4" s="559" t="str">
        <f>IFERROR(__xludf.DUMMYFUNCTION("""COMPUTED_VALUE"""),"yLuxe")</f>
        <v>yLuxe</v>
      </c>
      <c r="I4" s="561">
        <f>IFERROR(__xludf.DUMMYFUNCTION("""COMPUTED_VALUE"""),73.0)</f>
        <v>73</v>
      </c>
      <c r="J4" s="17"/>
      <c r="K4" s="17"/>
      <c r="L4" s="558">
        <v>1.0</v>
      </c>
      <c r="M4" s="562" t="str">
        <f>IFERROR(__xludf.DUMMYFUNCTION("""COMPUTED_VALUE"""),"EllisGotMyPills")</f>
        <v>EllisGotMyPills</v>
      </c>
      <c r="N4" s="563">
        <f>IFERROR(__xludf.DUMMYFUNCTION("""COMPUTED_VALUE"""),19443.0)</f>
        <v>19443</v>
      </c>
      <c r="O4" s="93"/>
      <c r="P4" s="7"/>
    </row>
    <row r="5" ht="22.5" customHeight="1">
      <c r="A5" s="7"/>
      <c r="B5" s="558">
        <v>2.0</v>
      </c>
      <c r="C5" s="564" t="str">
        <f>IFERROR(__xludf.DUMMYFUNCTION("""COMPUTED_VALUE"""),"yLuxe")</f>
        <v>yLuxe</v>
      </c>
      <c r="D5" s="565">
        <f>IFERROR(__xludf.DUMMYFUNCTION("""COMPUTED_VALUE"""),1.3185574755822689)</f>
        <v>1.318557476</v>
      </c>
      <c r="E5" s="555"/>
      <c r="F5" s="552"/>
      <c r="G5" s="558">
        <v>2.0</v>
      </c>
      <c r="H5" s="564" t="str">
        <f>IFERROR(__xludf.DUMMYFUNCTION("""COMPUTED_VALUE"""),"EllisGotMyPills")</f>
        <v>EllisGotMyPills</v>
      </c>
      <c r="I5" s="564">
        <f>IFERROR(__xludf.DUMMYFUNCTION("""COMPUTED_VALUE"""),59.0)</f>
        <v>59</v>
      </c>
      <c r="J5" s="17"/>
      <c r="K5" s="17"/>
      <c r="L5" s="558">
        <v>2.0</v>
      </c>
      <c r="M5" s="566" t="str">
        <f>IFERROR(__xludf.DUMMYFUNCTION("""COMPUTED_VALUE"""),"Mavbrid")</f>
        <v>Mavbrid</v>
      </c>
      <c r="N5" s="564">
        <f>IFERROR(__xludf.DUMMYFUNCTION("""COMPUTED_VALUE"""),16378.0)</f>
        <v>16378</v>
      </c>
      <c r="O5" s="94"/>
      <c r="P5" s="7"/>
    </row>
    <row r="6" ht="22.5" customHeight="1">
      <c r="A6" s="7"/>
      <c r="B6" s="558">
        <v>3.0</v>
      </c>
      <c r="C6" s="564" t="str">
        <f>IFERROR(__xludf.DUMMYFUNCTION("""COMPUTED_VALUE"""),"EllisGotMyPills")</f>
        <v>EllisGotMyPills</v>
      </c>
      <c r="D6" s="565">
        <f>IFERROR(__xludf.DUMMYFUNCTION("""COMPUTED_VALUE"""),1.3167848699763594)</f>
        <v>1.31678487</v>
      </c>
      <c r="E6" s="555"/>
      <c r="F6" s="552"/>
      <c r="G6" s="558">
        <v>3.0</v>
      </c>
      <c r="H6" s="564" t="str">
        <f>IFERROR(__xludf.DUMMYFUNCTION("""COMPUTED_VALUE"""),"Hells Angel cx")</f>
        <v>Hells Angel cx</v>
      </c>
      <c r="I6" s="564">
        <f>IFERROR(__xludf.DUMMYFUNCTION("""COMPUTED_VALUE"""),54.0)</f>
        <v>54</v>
      </c>
      <c r="J6" s="17"/>
      <c r="K6" s="17"/>
      <c r="L6" s="558">
        <v>3.0</v>
      </c>
      <c r="M6" s="566" t="str">
        <f>IFERROR(__xludf.DUMMYFUNCTION("""COMPUTED_VALUE"""),"yLuxe")</f>
        <v>yLuxe</v>
      </c>
      <c r="N6" s="564">
        <f>IFERROR(__xludf.DUMMYFUNCTION("""COMPUTED_VALUE"""),15028.0)</f>
        <v>15028</v>
      </c>
      <c r="O6" s="97"/>
      <c r="P6" s="7"/>
    </row>
    <row r="7" ht="22.5" customHeight="1">
      <c r="A7" s="7"/>
      <c r="B7" s="558">
        <v>4.0</v>
      </c>
      <c r="C7" s="564" t="str">
        <f>IFERROR(__xludf.DUMMYFUNCTION("""COMPUTED_VALUE"""),"DLGITAL PAIN")</f>
        <v>DLGITAL PAIN</v>
      </c>
      <c r="D7" s="565">
        <f>IFERROR(__xludf.DUMMYFUNCTION("""COMPUTED_VALUE"""),1.2641638225255973)</f>
        <v>1.264163823</v>
      </c>
      <c r="E7" s="555"/>
      <c r="F7" s="567"/>
      <c r="G7" s="558">
        <v>4.0</v>
      </c>
      <c r="H7" s="568" t="str">
        <f>IFERROR(__xludf.DUMMYFUNCTION("""COMPUTED_VALUE"""),"Mavbrid")</f>
        <v>Mavbrid</v>
      </c>
      <c r="I7" s="568">
        <f>IFERROR(__xludf.DUMMYFUNCTION("""COMPUTED_VALUE"""),50.0)</f>
        <v>50</v>
      </c>
      <c r="J7" s="17"/>
      <c r="K7" s="17"/>
      <c r="L7" s="558">
        <v>4.0</v>
      </c>
      <c r="M7" s="569" t="str">
        <f>IFERROR(__xludf.DUMMYFUNCTION("""COMPUTED_VALUE"""),"Laser Wins")</f>
        <v>Laser Wins</v>
      </c>
      <c r="N7" s="568">
        <f>IFERROR(__xludf.DUMMYFUNCTION("""COMPUTED_VALUE"""),14865.0)</f>
        <v>14865</v>
      </c>
      <c r="O7" s="93"/>
      <c r="P7" s="7"/>
    </row>
    <row r="8" ht="22.5" customHeight="1">
      <c r="A8" s="7"/>
      <c r="B8" s="558">
        <v>5.0</v>
      </c>
      <c r="C8" s="558" t="str">
        <f>IFERROR(__xludf.DUMMYFUNCTION("""COMPUTED_VALUE"""),"Itzreelz")</f>
        <v>Itzreelz</v>
      </c>
      <c r="D8" s="570">
        <f>IFERROR(__xludf.DUMMYFUNCTION("""COMPUTED_VALUE"""),1.227366255144033)</f>
        <v>1.227366255</v>
      </c>
      <c r="E8" s="571"/>
      <c r="F8" s="572"/>
      <c r="G8" s="558">
        <v>5.0</v>
      </c>
      <c r="H8" s="564" t="str">
        <f>IFERROR(__xludf.DUMMYFUNCTION("""COMPUTED_VALUE"""),"ixGingy")</f>
        <v>ixGingy</v>
      </c>
      <c r="I8" s="564">
        <f>IFERROR(__xludf.DUMMYFUNCTION("""COMPUTED_VALUE"""),48.0)</f>
        <v>48</v>
      </c>
      <c r="J8" s="17"/>
      <c r="K8" s="17"/>
      <c r="L8" s="558">
        <v>5.0</v>
      </c>
      <c r="M8" s="566" t="str">
        <f>IFERROR(__xludf.DUMMYFUNCTION("""COMPUTED_VALUE"""),"Doerstopper")</f>
        <v>Doerstopper</v>
      </c>
      <c r="N8" s="564">
        <f>IFERROR(__xludf.DUMMYFUNCTION("""COMPUTED_VALUE"""),10839.0)</f>
        <v>10839</v>
      </c>
      <c r="O8" s="106"/>
      <c r="P8" s="7"/>
    </row>
    <row r="9" ht="22.5" customHeight="1">
      <c r="A9" s="7"/>
      <c r="B9" s="558">
        <v>6.0</v>
      </c>
      <c r="C9" s="568" t="str">
        <f>IFERROR(__xludf.DUMMYFUNCTION("""COMPUTED_VALUE"""),"Judasey")</f>
        <v>Judasey</v>
      </c>
      <c r="D9" s="573">
        <f>IFERROR(__xludf.DUMMYFUNCTION("""COMPUTED_VALUE"""),1.1905940594059405)</f>
        <v>1.190594059</v>
      </c>
      <c r="E9" s="574"/>
      <c r="F9" s="575"/>
      <c r="G9" s="558">
        <v>6.0</v>
      </c>
      <c r="H9" s="558" t="str">
        <f>IFERROR(__xludf.DUMMYFUNCTION("""COMPUTED_VALUE"""),"Doerstopper")</f>
        <v>Doerstopper</v>
      </c>
      <c r="I9" s="558">
        <f>IFERROR(__xludf.DUMMYFUNCTION("""COMPUTED_VALUE"""),45.0)</f>
        <v>45</v>
      </c>
      <c r="J9" s="17"/>
      <c r="K9" s="17"/>
      <c r="L9" s="558">
        <v>6.0</v>
      </c>
      <c r="M9" s="576" t="str">
        <f>IFERROR(__xludf.DUMMYFUNCTION("""COMPUTED_VALUE"""),"Dhlyn")</f>
        <v>Dhlyn</v>
      </c>
      <c r="N9" s="558">
        <f>IFERROR(__xludf.DUMMYFUNCTION("""COMPUTED_VALUE"""),10537.0)</f>
        <v>10537</v>
      </c>
      <c r="O9" s="90"/>
      <c r="P9" s="108"/>
    </row>
    <row r="10" ht="22.5" customHeight="1">
      <c r="A10" s="7"/>
      <c r="B10" s="558">
        <v>7.0</v>
      </c>
      <c r="C10" s="558" t="str">
        <f>IFERROR(__xludf.DUMMYFUNCTION("""COMPUTED_VALUE"""),"Beautytism")</f>
        <v>Beautytism</v>
      </c>
      <c r="D10" s="570">
        <f>IFERROR(__xludf.DUMMYFUNCTION("""COMPUTED_VALUE"""),1.174136664217487)</f>
        <v>1.174136664</v>
      </c>
      <c r="E10" s="555"/>
      <c r="F10" s="552"/>
      <c r="G10" s="558">
        <v>7.0</v>
      </c>
      <c r="H10" s="558" t="str">
        <f>IFERROR(__xludf.DUMMYFUNCTION("""COMPUTED_VALUE"""),"Laser Wins")</f>
        <v>Laser Wins</v>
      </c>
      <c r="I10" s="558">
        <f>IFERROR(__xludf.DUMMYFUNCTION("""COMPUTED_VALUE"""),39.0)</f>
        <v>39</v>
      </c>
      <c r="J10" s="17"/>
      <c r="K10" s="17"/>
      <c r="L10" s="558">
        <v>7.0</v>
      </c>
      <c r="M10" s="576" t="str">
        <f>IFERROR(__xludf.DUMMYFUNCTION("""COMPUTED_VALUE"""),"ixGingy")</f>
        <v>ixGingy</v>
      </c>
      <c r="N10" s="558">
        <f>IFERROR(__xludf.DUMMYFUNCTION("""COMPUTED_VALUE"""),10023.0)</f>
        <v>10023</v>
      </c>
      <c r="O10" s="93"/>
      <c r="P10" s="7"/>
    </row>
    <row r="11" ht="22.5" customHeight="1">
      <c r="A11" s="7"/>
      <c r="B11" s="558">
        <v>8.0</v>
      </c>
      <c r="C11" s="558" t="str">
        <f>IFERROR(__xludf.DUMMYFUNCTION("""COMPUTED_VALUE"""),"Dhlyn")</f>
        <v>Dhlyn</v>
      </c>
      <c r="D11" s="570">
        <f>IFERROR(__xludf.DUMMYFUNCTION("""COMPUTED_VALUE"""),1.1261425959780622)</f>
        <v>1.126142596</v>
      </c>
      <c r="E11" s="555"/>
      <c r="F11" s="552"/>
      <c r="G11" s="558">
        <v>8.0</v>
      </c>
      <c r="H11" s="558" t="str">
        <f>IFERROR(__xludf.DUMMYFUNCTION("""COMPUTED_VALUE"""),"Dhlyn")</f>
        <v>Dhlyn</v>
      </c>
      <c r="I11" s="558">
        <f>IFERROR(__xludf.DUMMYFUNCTION("""COMPUTED_VALUE"""),38.0)</f>
        <v>38</v>
      </c>
      <c r="J11" s="17"/>
      <c r="K11" s="17"/>
      <c r="L11" s="558">
        <v>8.0</v>
      </c>
      <c r="M11" s="576" t="str">
        <f>IFERROR(__xludf.DUMMYFUNCTION("""COMPUTED_VALUE"""),"Hells Angel cx")</f>
        <v>Hells Angel cx</v>
      </c>
      <c r="N11" s="558">
        <f>IFERROR(__xludf.DUMMYFUNCTION("""COMPUTED_VALUE"""),9125.0)</f>
        <v>9125</v>
      </c>
      <c r="O11" s="106"/>
      <c r="P11" s="7"/>
    </row>
    <row r="12" ht="22.5" customHeight="1">
      <c r="A12" s="7"/>
      <c r="B12" s="558">
        <v>9.0</v>
      </c>
      <c r="C12" s="558" t="str">
        <f>IFERROR(__xludf.DUMMYFUNCTION("""COMPUTED_VALUE"""),"Solace VIII")</f>
        <v>Solace VIII</v>
      </c>
      <c r="D12" s="570">
        <f>IFERROR(__xludf.DUMMYFUNCTION("""COMPUTED_VALUE"""),1.117765273311897)</f>
        <v>1.117765273</v>
      </c>
      <c r="E12" s="555"/>
      <c r="F12" s="552"/>
      <c r="G12" s="558">
        <v>9.0</v>
      </c>
      <c r="H12" s="558" t="str">
        <f>IFERROR(__xludf.DUMMYFUNCTION("""COMPUTED_VALUE"""),"L0RNA SHORE")</f>
        <v>L0RNA SHORE</v>
      </c>
      <c r="I12" s="558">
        <f>IFERROR(__xludf.DUMMYFUNCTION("""COMPUTED_VALUE"""),27.0)</f>
        <v>27</v>
      </c>
      <c r="J12" s="17"/>
      <c r="K12" s="17"/>
      <c r="L12" s="558">
        <v>9.0</v>
      </c>
      <c r="M12" s="576" t="str">
        <f>IFERROR(__xludf.DUMMYFUNCTION("""COMPUTED_VALUE"""),"L0RNA SHORE")</f>
        <v>L0RNA SHORE</v>
      </c>
      <c r="N12" s="558">
        <f>IFERROR(__xludf.DUMMYFUNCTION("""COMPUTED_VALUE"""),7914.0)</f>
        <v>7914</v>
      </c>
      <c r="O12" s="90"/>
      <c r="P12" s="7"/>
    </row>
    <row r="13" ht="22.5" customHeight="1">
      <c r="A13" s="7"/>
      <c r="B13" s="558">
        <v>10.0</v>
      </c>
      <c r="C13" s="558" t="str">
        <f>IFERROR(__xludf.DUMMYFUNCTION("""COMPUTED_VALUE"""),"InfiniteRainge")</f>
        <v>InfiniteRainge</v>
      </c>
      <c r="D13" s="570">
        <f>IFERROR(__xludf.DUMMYFUNCTION("""COMPUTED_VALUE"""),1.1168996188055909)</f>
        <v>1.116899619</v>
      </c>
      <c r="E13" s="555"/>
      <c r="F13" s="552"/>
      <c r="G13" s="558">
        <v>10.0</v>
      </c>
      <c r="H13" s="558" t="str">
        <f>IFERROR(__xludf.DUMMYFUNCTION("""COMPUTED_VALUE"""),"GodSnipezX")</f>
        <v>GodSnipezX</v>
      </c>
      <c r="I13" s="558">
        <f>IFERROR(__xludf.DUMMYFUNCTION("""COMPUTED_VALUE"""),16.0)</f>
        <v>16</v>
      </c>
      <c r="J13" s="17"/>
      <c r="K13" s="17"/>
      <c r="L13" s="558">
        <v>10.0</v>
      </c>
      <c r="M13" s="576" t="str">
        <f>IFERROR(__xludf.DUMMYFUNCTION("""COMPUTED_VALUE"""),"Luner Panda")</f>
        <v>Luner Panda</v>
      </c>
      <c r="N13" s="558">
        <f>IFERROR(__xludf.DUMMYFUNCTION("""COMPUTED_VALUE"""),2317.0)</f>
        <v>2317</v>
      </c>
      <c r="O13" s="90"/>
      <c r="P13" s="7"/>
    </row>
    <row r="14" ht="15.75" customHeight="1">
      <c r="A14" s="7"/>
      <c r="B14" s="577"/>
      <c r="C14" s="577"/>
      <c r="D14" s="577"/>
      <c r="E14" s="555"/>
      <c r="F14" s="552"/>
      <c r="G14" s="578"/>
      <c r="H14" s="578"/>
      <c r="J14" s="17"/>
      <c r="K14" s="17"/>
      <c r="L14" s="579"/>
      <c r="M14" s="580"/>
      <c r="N14" s="581"/>
      <c r="O14" s="7"/>
      <c r="P14" s="7"/>
    </row>
    <row r="15">
      <c r="A15" s="7"/>
      <c r="B15" s="553" t="s">
        <v>372</v>
      </c>
      <c r="E15" s="551"/>
      <c r="F15" s="552"/>
      <c r="G15" s="582" t="s">
        <v>373</v>
      </c>
      <c r="J15" s="17"/>
      <c r="K15" s="17"/>
      <c r="L15" s="582" t="s">
        <v>21</v>
      </c>
      <c r="O15" s="85"/>
      <c r="P15" s="7"/>
    </row>
    <row r="16">
      <c r="A16" s="7"/>
      <c r="B16" s="556" t="s">
        <v>371</v>
      </c>
      <c r="C16" s="556" t="str">
        <f>IFERROR(__xludf.DUMMYFUNCTION("QUERY('Halo Reach Stats'!A:R, ""SELECT A,R ORDER BY R DESC LIMIT 10"", 1)"),"Player")</f>
        <v>Player</v>
      </c>
      <c r="D16" s="583" t="str">
        <f>IFERROR(__xludf.DUMMYFUNCTION("""COMPUTED_VALUE"""),"Killing Sprees")</f>
        <v>Killing Sprees</v>
      </c>
      <c r="E16" s="555"/>
      <c r="F16" s="552"/>
      <c r="G16" s="584" t="s">
        <v>371</v>
      </c>
      <c r="H16" s="585" t="str">
        <f>IFERROR(__xludf.DUMMYFUNCTION("QUERY('Halo Reach Stats'!A:AF, ""SELECT A, (X + Y + Z + AA + AB + AC + AD + AE + AF) Order by (X + Y + Z + AA + AB + AC + AD + AE + AF) Desc LIMIT 10 Label (X + Y + Z + AA + AB + AC + AD + AE + AF) 'Multikills' "")"),"Player")</f>
        <v>Player</v>
      </c>
      <c r="I16" s="585" t="str">
        <f>IFERROR(__xludf.DUMMYFUNCTION("""COMPUTED_VALUE"""),"Multikills")</f>
        <v>Multikills</v>
      </c>
      <c r="J16" s="17"/>
      <c r="K16" s="17"/>
      <c r="L16" s="584" t="s">
        <v>371</v>
      </c>
      <c r="M16" s="584" t="str">
        <f>IFERROR(__xludf.DUMMYFUNCTION("QUERY('Halo Reach Stats'!A:G, ""SELECT A,G ORDER BY G DESC LIMIT 10"", 1)"),"Player")</f>
        <v>Player</v>
      </c>
      <c r="N16" s="585" t="str">
        <f>IFERROR(__xludf.DUMMYFUNCTION("""COMPUTED_VALUE"""),"Kills")</f>
        <v>Kills</v>
      </c>
      <c r="O16" s="90"/>
      <c r="P16" s="7"/>
    </row>
    <row r="17" ht="54.75" customHeight="1">
      <c r="A17" s="7"/>
      <c r="B17" s="558">
        <v>1.0</v>
      </c>
      <c r="C17" s="559" t="str">
        <f>IFERROR(__xludf.DUMMYFUNCTION("""COMPUTED_VALUE"""),"DlGITAL PAIN")</f>
        <v>DlGITAL PAIN</v>
      </c>
      <c r="D17" s="561">
        <f>IFERROR(__xludf.DUMMYFUNCTION("""COMPUTED_VALUE"""),92.0)</f>
        <v>92</v>
      </c>
      <c r="E17" s="586"/>
      <c r="F17" s="567"/>
      <c r="G17" s="587">
        <v>1.0</v>
      </c>
      <c r="H17" s="588" t="str">
        <f>IFERROR(__xludf.DUMMYFUNCTION("""COMPUTED_VALUE"""),"DlGITAL PAIN")</f>
        <v>DlGITAL PAIN</v>
      </c>
      <c r="I17" s="589">
        <f>IFERROR(__xludf.DUMMYFUNCTION("""COMPUTED_VALUE"""),790.0)</f>
        <v>790</v>
      </c>
      <c r="J17" s="590"/>
      <c r="K17" s="590"/>
      <c r="L17" s="587">
        <v>1.0</v>
      </c>
      <c r="M17" s="588" t="str">
        <f>IFERROR(__xludf.DUMMYFUNCTION("""COMPUTED_VALUE"""),"ixGingy")</f>
        <v>ixGingy</v>
      </c>
      <c r="N17" s="591">
        <f>IFERROR(__xludf.DUMMYFUNCTION("""COMPUTED_VALUE"""),4156.0)</f>
        <v>4156</v>
      </c>
      <c r="O17" s="93"/>
      <c r="P17" s="7"/>
    </row>
    <row r="18" ht="22.5" customHeight="1">
      <c r="A18" s="7"/>
      <c r="B18" s="558">
        <v>2.0</v>
      </c>
      <c r="C18" s="564" t="str">
        <f>IFERROR(__xludf.DUMMYFUNCTION("""COMPUTED_VALUE"""),"ixGingy")</f>
        <v>ixGingy</v>
      </c>
      <c r="D18" s="564">
        <f>IFERROR(__xludf.DUMMYFUNCTION("""COMPUTED_VALUE"""),84.0)</f>
        <v>84</v>
      </c>
      <c r="E18" s="586"/>
      <c r="F18" s="567"/>
      <c r="G18" s="587">
        <v>2.0</v>
      </c>
      <c r="H18" s="558" t="str">
        <f>IFERROR(__xludf.DUMMYFUNCTION("""COMPUTED_VALUE"""),"ixGingy")</f>
        <v>ixGingy</v>
      </c>
      <c r="I18" s="558">
        <f>IFERROR(__xludf.DUMMYFUNCTION("""COMPUTED_VALUE"""),750.0)</f>
        <v>750</v>
      </c>
      <c r="J18" s="590"/>
      <c r="K18" s="590"/>
      <c r="L18" s="587">
        <v>2.0</v>
      </c>
      <c r="M18" s="558" t="str">
        <f>IFERROR(__xludf.DUMMYFUNCTION("""COMPUTED_VALUE"""),"DlGITAL PAIN")</f>
        <v>DlGITAL PAIN</v>
      </c>
      <c r="N18" s="558">
        <f>IFERROR(__xludf.DUMMYFUNCTION("""COMPUTED_VALUE"""),3704.0)</f>
        <v>3704</v>
      </c>
      <c r="O18" s="94"/>
      <c r="P18" s="7"/>
    </row>
    <row r="19" ht="22.5" customHeight="1">
      <c r="A19" s="7"/>
      <c r="B19" s="558">
        <v>3.0</v>
      </c>
      <c r="C19" s="564" t="str">
        <f>IFERROR(__xludf.DUMMYFUNCTION("""COMPUTED_VALUE"""),"oDhmon")</f>
        <v>oDhmon</v>
      </c>
      <c r="D19" s="564">
        <f>IFERROR(__xludf.DUMMYFUNCTION("""COMPUTED_VALUE"""),68.0)</f>
        <v>68</v>
      </c>
      <c r="E19" s="586"/>
      <c r="F19" s="567"/>
      <c r="G19" s="587">
        <v>3.0</v>
      </c>
      <c r="H19" s="558" t="str">
        <f>IFERROR(__xludf.DUMMYFUNCTION("""COMPUTED_VALUE"""),"MysticalNovice")</f>
        <v>MysticalNovice</v>
      </c>
      <c r="I19" s="558">
        <f>IFERROR(__xludf.DUMMYFUNCTION("""COMPUTED_VALUE"""),726.0)</f>
        <v>726</v>
      </c>
      <c r="J19" s="590"/>
      <c r="K19" s="590"/>
      <c r="L19" s="587">
        <v>3.0</v>
      </c>
      <c r="M19" s="558" t="str">
        <f>IFERROR(__xludf.DUMMYFUNCTION("""COMPUTED_VALUE"""),"MysticalNovice")</f>
        <v>MysticalNovice</v>
      </c>
      <c r="N19" s="558">
        <f>IFERROR(__xludf.DUMMYFUNCTION("""COMPUTED_VALUE"""),3306.0)</f>
        <v>3306</v>
      </c>
      <c r="O19" s="97"/>
      <c r="P19" s="7"/>
    </row>
    <row r="20" ht="22.5" customHeight="1">
      <c r="A20" s="7"/>
      <c r="B20" s="558">
        <v>4.0</v>
      </c>
      <c r="C20" s="568" t="str">
        <f>IFERROR(__xludf.DUMMYFUNCTION("""COMPUTED_VALUE"""),"Itzreelz")</f>
        <v>Itzreelz</v>
      </c>
      <c r="D20" s="568">
        <f>IFERROR(__xludf.DUMMYFUNCTION("""COMPUTED_VALUE"""),65.0)</f>
        <v>65</v>
      </c>
      <c r="E20" s="586"/>
      <c r="F20" s="567"/>
      <c r="G20" s="587">
        <v>4.0</v>
      </c>
      <c r="H20" s="592" t="str">
        <f>IFERROR(__xludf.DUMMYFUNCTION("""COMPUTED_VALUE"""),"ASpence501")</f>
        <v>ASpence501</v>
      </c>
      <c r="I20" s="592">
        <f>IFERROR(__xludf.DUMMYFUNCTION("""COMPUTED_VALUE"""),599.0)</f>
        <v>599</v>
      </c>
      <c r="J20" s="590"/>
      <c r="K20" s="590"/>
      <c r="L20" s="587">
        <v>4.0</v>
      </c>
      <c r="M20" s="592" t="str">
        <f>IFERROR(__xludf.DUMMYFUNCTION("""COMPUTED_VALUE"""),"ASpence501")</f>
        <v>ASpence501</v>
      </c>
      <c r="N20" s="592">
        <f>IFERROR(__xludf.DUMMYFUNCTION("""COMPUTED_VALUE"""),3111.0)</f>
        <v>3111</v>
      </c>
      <c r="O20" s="93"/>
      <c r="P20" s="7"/>
    </row>
    <row r="21" ht="22.5" customHeight="1">
      <c r="A21" s="7"/>
      <c r="B21" s="558">
        <v>5.0</v>
      </c>
      <c r="C21" s="564" t="str">
        <f>IFERROR(__xludf.DUMMYFUNCTION("""COMPUTED_VALUE"""),"yLuxe")</f>
        <v>yLuxe</v>
      </c>
      <c r="D21" s="564">
        <f>IFERROR(__xludf.DUMMYFUNCTION("""COMPUTED_VALUE"""),60.0)</f>
        <v>60</v>
      </c>
      <c r="E21" s="586"/>
      <c r="F21" s="593"/>
      <c r="G21" s="587">
        <v>5.0</v>
      </c>
      <c r="H21" s="558" t="str">
        <f>IFERROR(__xludf.DUMMYFUNCTION("""COMPUTED_VALUE"""),"oDhmon")</f>
        <v>oDhmon</v>
      </c>
      <c r="I21" s="558">
        <f>IFERROR(__xludf.DUMMYFUNCTION("""COMPUTED_VALUE"""),564.0)</f>
        <v>564</v>
      </c>
      <c r="J21" s="590"/>
      <c r="K21" s="590"/>
      <c r="L21" s="587">
        <v>5.0</v>
      </c>
      <c r="M21" s="558" t="str">
        <f>IFERROR(__xludf.DUMMYFUNCTION("""COMPUTED_VALUE"""),"oDhmon")</f>
        <v>oDhmon</v>
      </c>
      <c r="N21" s="558">
        <f>IFERROR(__xludf.DUMMYFUNCTION("""COMPUTED_VALUE"""),2828.0)</f>
        <v>2828</v>
      </c>
      <c r="O21" s="106"/>
      <c r="P21" s="7"/>
    </row>
    <row r="22" ht="22.5" customHeight="1">
      <c r="A22" s="7"/>
      <c r="B22" s="558">
        <v>6.0</v>
      </c>
      <c r="C22" s="558" t="str">
        <f>IFERROR(__xludf.DUMMYFUNCTION("""COMPUTED_VALUE"""),"Solace VIII")</f>
        <v>Solace VIII</v>
      </c>
      <c r="D22" s="558">
        <f>IFERROR(__xludf.DUMMYFUNCTION("""COMPUTED_VALUE"""),56.0)</f>
        <v>56</v>
      </c>
      <c r="E22" s="586"/>
      <c r="F22" s="567"/>
      <c r="G22" s="587">
        <v>6.0</v>
      </c>
      <c r="H22" s="558" t="str">
        <f>IFERROR(__xludf.DUMMYFUNCTION("""COMPUTED_VALUE"""),"Solace VIII")</f>
        <v>Solace VIII</v>
      </c>
      <c r="I22" s="558">
        <f>IFERROR(__xludf.DUMMYFUNCTION("""COMPUTED_VALUE"""),523.0)</f>
        <v>523</v>
      </c>
      <c r="J22" s="590"/>
      <c r="K22" s="590"/>
      <c r="L22" s="587">
        <v>6.0</v>
      </c>
      <c r="M22" s="558" t="str">
        <f>IFERROR(__xludf.DUMMYFUNCTION("""COMPUTED_VALUE"""),"Solace VIII")</f>
        <v>Solace VIII</v>
      </c>
      <c r="N22" s="558">
        <f>IFERROR(__xludf.DUMMYFUNCTION("""COMPUTED_VALUE"""),2781.0)</f>
        <v>2781</v>
      </c>
      <c r="O22" s="90"/>
      <c r="P22" s="108"/>
    </row>
    <row r="23" ht="22.5" customHeight="1">
      <c r="A23" s="7"/>
      <c r="B23" s="558">
        <v>7.0</v>
      </c>
      <c r="C23" s="558" t="str">
        <f>IFERROR(__xludf.DUMMYFUNCTION("""COMPUTED_VALUE"""),"ASpence501")</f>
        <v>ASpence501</v>
      </c>
      <c r="D23" s="558">
        <f>IFERROR(__xludf.DUMMYFUNCTION("""COMPUTED_VALUE"""),43.0)</f>
        <v>43</v>
      </c>
      <c r="E23" s="586"/>
      <c r="F23" s="567"/>
      <c r="G23" s="587">
        <v>7.0</v>
      </c>
      <c r="H23" s="558" t="str">
        <f>IFERROR(__xludf.DUMMYFUNCTION("""COMPUTED_VALUE"""),"Itzreelz")</f>
        <v>Itzreelz</v>
      </c>
      <c r="I23" s="558">
        <f>IFERROR(__xludf.DUMMYFUNCTION("""COMPUTED_VALUE"""),521.0)</f>
        <v>521</v>
      </c>
      <c r="J23" s="590"/>
      <c r="K23" s="590"/>
      <c r="L23" s="587">
        <v>7.0</v>
      </c>
      <c r="M23" s="558" t="str">
        <f>IFERROR(__xludf.DUMMYFUNCTION("""COMPUTED_VALUE"""),"Itzreelz")</f>
        <v>Itzreelz</v>
      </c>
      <c r="N23" s="558">
        <f>IFERROR(__xludf.DUMMYFUNCTION("""COMPUTED_VALUE"""),2386.0)</f>
        <v>2386</v>
      </c>
      <c r="O23" s="93"/>
      <c r="P23" s="7"/>
    </row>
    <row r="24" ht="22.5" customHeight="1">
      <c r="A24" s="7"/>
      <c r="B24" s="558">
        <v>8.0</v>
      </c>
      <c r="C24" s="558" t="str">
        <f>IFERROR(__xludf.DUMMYFUNCTION("""COMPUTED_VALUE"""),"Mavbrid")</f>
        <v>Mavbrid</v>
      </c>
      <c r="D24" s="558">
        <f>IFERROR(__xludf.DUMMYFUNCTION("""COMPUTED_VALUE"""),43.0)</f>
        <v>43</v>
      </c>
      <c r="E24" s="586"/>
      <c r="F24" s="567"/>
      <c r="G24" s="587">
        <v>8.0</v>
      </c>
      <c r="H24" s="558" t="str">
        <f>IFERROR(__xludf.DUMMYFUNCTION("""COMPUTED_VALUE"""),"oh zilly")</f>
        <v>oh zilly</v>
      </c>
      <c r="I24" s="558">
        <f>IFERROR(__xludf.DUMMYFUNCTION("""COMPUTED_VALUE"""),421.0)</f>
        <v>421</v>
      </c>
      <c r="J24" s="590"/>
      <c r="K24" s="590"/>
      <c r="L24" s="587">
        <v>8.0</v>
      </c>
      <c r="M24" s="558" t="str">
        <f>IFERROR(__xludf.DUMMYFUNCTION("""COMPUTED_VALUE"""),"MoldyVolts")</f>
        <v>MoldyVolts</v>
      </c>
      <c r="N24" s="558">
        <f>IFERROR(__xludf.DUMMYFUNCTION("""COMPUTED_VALUE"""),2269.0)</f>
        <v>2269</v>
      </c>
      <c r="O24" s="106"/>
      <c r="P24" s="7"/>
    </row>
    <row r="25" ht="22.5" customHeight="1">
      <c r="A25" s="7"/>
      <c r="B25" s="558">
        <v>9.0</v>
      </c>
      <c r="C25" s="558" t="str">
        <f>IFERROR(__xludf.DUMMYFUNCTION("""COMPUTED_VALUE"""),"Beautytism")</f>
        <v>Beautytism</v>
      </c>
      <c r="D25" s="558">
        <f>IFERROR(__xludf.DUMMYFUNCTION("""COMPUTED_VALUE"""),37.0)</f>
        <v>37</v>
      </c>
      <c r="E25" s="586"/>
      <c r="F25" s="567"/>
      <c r="G25" s="587">
        <v>9.0</v>
      </c>
      <c r="H25" s="558" t="str">
        <f>IFERROR(__xludf.DUMMYFUNCTION("""COMPUTED_VALUE"""),"ActiveHate")</f>
        <v>ActiveHate</v>
      </c>
      <c r="I25" s="558">
        <f>IFERROR(__xludf.DUMMYFUNCTION("""COMPUTED_VALUE"""),353.0)</f>
        <v>353</v>
      </c>
      <c r="J25" s="590"/>
      <c r="K25" s="590"/>
      <c r="L25" s="587">
        <v>9.0</v>
      </c>
      <c r="M25" s="558" t="str">
        <f>IFERROR(__xludf.DUMMYFUNCTION("""COMPUTED_VALUE"""),"oh zilly")</f>
        <v>oh zilly</v>
      </c>
      <c r="N25" s="558">
        <f>IFERROR(__xludf.DUMMYFUNCTION("""COMPUTED_VALUE"""),2234.0)</f>
        <v>2234</v>
      </c>
      <c r="O25" s="90"/>
      <c r="P25" s="7"/>
    </row>
    <row r="26" ht="22.5" customHeight="1">
      <c r="A26" s="7"/>
      <c r="B26" s="558">
        <v>10.0</v>
      </c>
      <c r="C26" s="558" t="str">
        <f>IFERROR(__xludf.DUMMYFUNCTION("""COMPUTED_VALUE"""),"Dhlyn")</f>
        <v>Dhlyn</v>
      </c>
      <c r="D26" s="558">
        <f>IFERROR(__xludf.DUMMYFUNCTION("""COMPUTED_VALUE"""),37.0)</f>
        <v>37</v>
      </c>
      <c r="E26" s="586"/>
      <c r="F26" s="567"/>
      <c r="G26" s="587">
        <v>10.0</v>
      </c>
      <c r="H26" s="558" t="str">
        <f>IFERROR(__xludf.DUMMYFUNCTION("""COMPUTED_VALUE"""),"InfiniteRainge")</f>
        <v>InfiniteRainge</v>
      </c>
      <c r="I26" s="558">
        <f>IFERROR(__xludf.DUMMYFUNCTION("""COMPUTED_VALUE"""),353.0)</f>
        <v>353</v>
      </c>
      <c r="J26" s="590"/>
      <c r="K26" s="590"/>
      <c r="L26" s="587">
        <v>10.0</v>
      </c>
      <c r="M26" s="558" t="str">
        <f>IFERROR(__xludf.DUMMYFUNCTION("""COMPUTED_VALUE"""),"ActiveHate")</f>
        <v>ActiveHate</v>
      </c>
      <c r="N26" s="558">
        <f>IFERROR(__xludf.DUMMYFUNCTION("""COMPUTED_VALUE"""),2097.0)</f>
        <v>2097</v>
      </c>
      <c r="O26" s="90"/>
      <c r="P26" s="7"/>
    </row>
    <row r="27" ht="15.75" customHeight="1">
      <c r="A27" s="7"/>
      <c r="B27" s="7"/>
      <c r="C27" s="594"/>
      <c r="D27" s="595"/>
      <c r="E27" s="594"/>
      <c r="F27" s="596"/>
      <c r="G27" s="142"/>
      <c r="H27" s="597"/>
      <c r="I27" s="598"/>
      <c r="J27" s="599"/>
      <c r="K27" s="600"/>
      <c r="L27" s="594"/>
      <c r="M27" s="601"/>
      <c r="N27" s="142"/>
      <c r="O27" s="17"/>
      <c r="P27" s="17"/>
    </row>
    <row r="28" ht="15.75" customHeight="1">
      <c r="A28" s="201"/>
      <c r="B28" s="582" t="s">
        <v>374</v>
      </c>
      <c r="E28" s="602"/>
      <c r="F28" s="602"/>
      <c r="G28" s="603"/>
      <c r="H28" s="604"/>
      <c r="I28" s="605"/>
      <c r="J28" s="606"/>
      <c r="K28" s="606"/>
      <c r="L28" s="582" t="s">
        <v>375</v>
      </c>
      <c r="O28" s="602"/>
      <c r="P28" s="201"/>
    </row>
    <row r="29" ht="15.75" customHeight="1">
      <c r="A29" s="201"/>
      <c r="B29" s="607" t="s">
        <v>371</v>
      </c>
      <c r="C29" s="607" t="str">
        <f>IFERROR(__xludf.DUMMYFUNCTION("QUERY('Halo Reach Stats'!A:N, ""SELECT A,N ORDER BY N DESC LIMIT 10"", 1)"),"Player")</f>
        <v>Player</v>
      </c>
      <c r="D29" s="608" t="str">
        <f>IFERROR(__xludf.DUMMYFUNCTION("""COMPUTED_VALUE"""),"Game Time")</f>
        <v>Game Time</v>
      </c>
      <c r="E29" s="609"/>
      <c r="F29" s="610"/>
      <c r="G29" s="611"/>
      <c r="H29" s="611"/>
      <c r="I29" s="612"/>
      <c r="J29" s="609"/>
      <c r="K29" s="609"/>
      <c r="L29" s="607" t="s">
        <v>371</v>
      </c>
      <c r="M29" s="607" t="str">
        <f>IFERROR(__xludf.DUMMYFUNCTION("QUERY('Halo Reach Stats'!A:N, ""SELECT A, (N / B) Order by (N / B) Desc LIMIT 10 Label (N / B) 'Avg. Time' "")"),"Player")</f>
        <v>Player</v>
      </c>
      <c r="N29" s="608" t="str">
        <f>IFERROR(__xludf.DUMMYFUNCTION("""COMPUTED_VALUE"""),"Avg. Time")</f>
        <v>Avg. Time</v>
      </c>
      <c r="O29" s="602"/>
      <c r="P29" s="201"/>
    </row>
    <row r="30" ht="54.75" customHeight="1">
      <c r="A30" s="201"/>
      <c r="B30" s="587">
        <v>1.0</v>
      </c>
      <c r="C30" s="588" t="str">
        <f>IFERROR(__xludf.DUMMYFUNCTION("""COMPUTED_VALUE"""),"ixGingy")</f>
        <v>ixGingy</v>
      </c>
      <c r="D30" s="613">
        <f>IFERROR(__xludf.DUMMYFUNCTION("""COMPUTED_VALUE"""),72805.0)</f>
        <v>72805</v>
      </c>
      <c r="E30" s="609"/>
      <c r="F30" s="610"/>
      <c r="G30" s="611"/>
      <c r="H30" s="614"/>
      <c r="I30" s="614"/>
      <c r="J30" s="609"/>
      <c r="K30" s="609"/>
      <c r="L30" s="587">
        <v>1.0</v>
      </c>
      <c r="M30" s="615" t="str">
        <f>IFERROR(__xludf.DUMMYFUNCTION("""COMPUTED_VALUE"""),"Judasey")</f>
        <v>Judasey</v>
      </c>
      <c r="N30" s="616">
        <f>IFERROR(__xludf.DUMMYFUNCTION("""COMPUTED_VALUE"""),2357.3333333333335)</f>
        <v>2357.333333</v>
      </c>
      <c r="O30" s="201"/>
      <c r="P30" s="201"/>
    </row>
    <row r="31" ht="22.5" customHeight="1">
      <c r="A31" s="201"/>
      <c r="B31" s="558">
        <v>2.0</v>
      </c>
      <c r="C31" s="558" t="str">
        <f>IFERROR(__xludf.DUMMYFUNCTION("""COMPUTED_VALUE"""),"DlGITAL PAIN")</f>
        <v>DlGITAL PAIN</v>
      </c>
      <c r="D31" s="617">
        <f>IFERROR(__xludf.DUMMYFUNCTION("""COMPUTED_VALUE"""),58027.0)</f>
        <v>58027</v>
      </c>
      <c r="E31" s="609"/>
      <c r="F31" s="610"/>
      <c r="G31" s="611"/>
      <c r="H31" s="611"/>
      <c r="I31" s="612"/>
      <c r="J31" s="609"/>
      <c r="K31" s="609"/>
      <c r="L31" s="587">
        <v>2.0</v>
      </c>
      <c r="M31" s="587" t="str">
        <f>IFERROR(__xludf.DUMMYFUNCTION("""COMPUTED_VALUE"""),"ActiveHate")</f>
        <v>ActiveHate</v>
      </c>
      <c r="N31" s="618">
        <f>IFERROR(__xludf.DUMMYFUNCTION("""COMPUTED_VALUE"""),2149.5789473684213)</f>
        <v>2149.578947</v>
      </c>
      <c r="O31" s="602"/>
      <c r="P31" s="201"/>
    </row>
    <row r="32" ht="22.5" customHeight="1">
      <c r="A32" s="201"/>
      <c r="B32" s="558">
        <v>3.0</v>
      </c>
      <c r="C32" s="558" t="str">
        <f>IFERROR(__xludf.DUMMYFUNCTION("""COMPUTED_VALUE"""),"MoldyVolts")</f>
        <v>MoldyVolts</v>
      </c>
      <c r="D32" s="617">
        <f>IFERROR(__xludf.DUMMYFUNCTION("""COMPUTED_VALUE"""),51435.0)</f>
        <v>51435</v>
      </c>
      <c r="E32" s="609"/>
      <c r="F32" s="610"/>
      <c r="G32" s="611"/>
      <c r="H32" s="611"/>
      <c r="I32" s="612"/>
      <c r="J32" s="609"/>
      <c r="K32" s="609"/>
      <c r="L32" s="587">
        <v>3.0</v>
      </c>
      <c r="M32" s="587" t="str">
        <f>IFERROR(__xludf.DUMMYFUNCTION("""COMPUTED_VALUE"""),"EllisGotMyPills")</f>
        <v>EllisGotMyPills</v>
      </c>
      <c r="N32" s="618">
        <f>IFERROR(__xludf.DUMMYFUNCTION("""COMPUTED_VALUE"""),2120.6470588235293)</f>
        <v>2120.647059</v>
      </c>
      <c r="O32" s="602"/>
      <c r="P32" s="201"/>
    </row>
    <row r="33" ht="22.5" customHeight="1">
      <c r="A33" s="201"/>
      <c r="B33" s="558">
        <v>4.0</v>
      </c>
      <c r="C33" s="592" t="str">
        <f>IFERROR(__xludf.DUMMYFUNCTION("""COMPUTED_VALUE"""),"Mavbrid")</f>
        <v>Mavbrid</v>
      </c>
      <c r="D33" s="617">
        <f>IFERROR(__xludf.DUMMYFUNCTION("""COMPUTED_VALUE"""),51364.0)</f>
        <v>51364</v>
      </c>
      <c r="E33" s="609"/>
      <c r="F33" s="610"/>
      <c r="G33" s="611"/>
      <c r="H33" s="619"/>
      <c r="I33" s="620"/>
      <c r="J33" s="609"/>
      <c r="K33" s="609"/>
      <c r="L33" s="587">
        <v>4.0</v>
      </c>
      <c r="M33" s="621" t="str">
        <f>IFERROR(__xludf.DUMMYFUNCTION("""COMPUTED_VALUE"""),"Solace VIII")</f>
        <v>Solace VIII</v>
      </c>
      <c r="N33" s="622">
        <f>IFERROR(__xludf.DUMMYFUNCTION("""COMPUTED_VALUE"""),2035.857142857143)</f>
        <v>2035.857143</v>
      </c>
      <c r="O33" s="201"/>
      <c r="P33" s="201"/>
    </row>
    <row r="34" ht="22.5" customHeight="1">
      <c r="A34" s="201"/>
      <c r="B34" s="558">
        <v>5.0</v>
      </c>
      <c r="C34" s="558" t="str">
        <f>IFERROR(__xludf.DUMMYFUNCTION("""COMPUTED_VALUE"""),"ASpence501")</f>
        <v>ASpence501</v>
      </c>
      <c r="D34" s="617">
        <f>IFERROR(__xludf.DUMMYFUNCTION("""COMPUTED_VALUE"""),50525.0)</f>
        <v>50525</v>
      </c>
      <c r="E34" s="609"/>
      <c r="F34" s="609"/>
      <c r="G34" s="611"/>
      <c r="H34" s="611"/>
      <c r="I34" s="612"/>
      <c r="J34" s="609"/>
      <c r="K34" s="609"/>
      <c r="L34" s="587">
        <v>5.0</v>
      </c>
      <c r="M34" s="587" t="str">
        <f>IFERROR(__xludf.DUMMYFUNCTION("""COMPUTED_VALUE"""),"oDhmon")</f>
        <v>oDhmon</v>
      </c>
      <c r="N34" s="618">
        <f>IFERROR(__xludf.DUMMYFUNCTION("""COMPUTED_VALUE"""),2010.590909090909)</f>
        <v>2010.590909</v>
      </c>
      <c r="O34" s="602"/>
      <c r="P34" s="201"/>
    </row>
    <row r="35" ht="22.5" customHeight="1">
      <c r="A35" s="201"/>
      <c r="B35" s="558">
        <v>6.0</v>
      </c>
      <c r="C35" s="558" t="str">
        <f>IFERROR(__xludf.DUMMYFUNCTION("""COMPUTED_VALUE"""),"MysticalNovice")</f>
        <v>MysticalNovice</v>
      </c>
      <c r="D35" s="617">
        <f>IFERROR(__xludf.DUMMYFUNCTION("""COMPUTED_VALUE"""),49586.0)</f>
        <v>49586</v>
      </c>
      <c r="E35" s="609"/>
      <c r="F35" s="610"/>
      <c r="G35" s="611"/>
      <c r="H35" s="611"/>
      <c r="I35" s="612"/>
      <c r="J35" s="609"/>
      <c r="K35" s="609"/>
      <c r="L35" s="587">
        <v>6.0</v>
      </c>
      <c r="M35" s="587" t="str">
        <f>IFERROR(__xludf.DUMMYFUNCTION("""COMPUTED_VALUE"""),"L1ght5aber")</f>
        <v>L1ght5aber</v>
      </c>
      <c r="N35" s="618">
        <f>IFERROR(__xludf.DUMMYFUNCTION("""COMPUTED_VALUE"""),1981.2857142857142)</f>
        <v>1981.285714</v>
      </c>
      <c r="O35" s="602"/>
      <c r="P35" s="602"/>
    </row>
    <row r="36" ht="22.5" customHeight="1">
      <c r="A36" s="201"/>
      <c r="B36" s="558">
        <v>7.0</v>
      </c>
      <c r="C36" s="558" t="str">
        <f>IFERROR(__xludf.DUMMYFUNCTION("""COMPUTED_VALUE"""),"oDhmon")</f>
        <v>oDhmon</v>
      </c>
      <c r="D36" s="617">
        <f>IFERROR(__xludf.DUMMYFUNCTION("""COMPUTED_VALUE"""),44233.0)</f>
        <v>44233</v>
      </c>
      <c r="E36" s="609"/>
      <c r="F36" s="610"/>
      <c r="G36" s="611"/>
      <c r="H36" s="611"/>
      <c r="I36" s="612"/>
      <c r="J36" s="609"/>
      <c r="K36" s="609"/>
      <c r="L36" s="587">
        <v>7.0</v>
      </c>
      <c r="M36" s="587" t="str">
        <f>IFERROR(__xludf.DUMMYFUNCTION("""COMPUTED_VALUE"""),"Doerstopper")</f>
        <v>Doerstopper</v>
      </c>
      <c r="N36" s="618">
        <f>IFERROR(__xludf.DUMMYFUNCTION("""COMPUTED_VALUE"""),1965.9411764705883)</f>
        <v>1965.941176</v>
      </c>
      <c r="O36" s="201"/>
      <c r="P36" s="201"/>
    </row>
    <row r="37" ht="22.5" customHeight="1">
      <c r="A37" s="201"/>
      <c r="B37" s="558">
        <v>8.0</v>
      </c>
      <c r="C37" s="558" t="str">
        <f>IFERROR(__xludf.DUMMYFUNCTION("""COMPUTED_VALUE"""),"Solace VIII")</f>
        <v>Solace VIII</v>
      </c>
      <c r="D37" s="617">
        <f>IFERROR(__xludf.DUMMYFUNCTION("""COMPUTED_VALUE"""),42753.0)</f>
        <v>42753</v>
      </c>
      <c r="E37" s="609"/>
      <c r="F37" s="610"/>
      <c r="G37" s="611"/>
      <c r="H37" s="611"/>
      <c r="I37" s="612"/>
      <c r="J37" s="609"/>
      <c r="K37" s="609"/>
      <c r="L37" s="587">
        <v>8.0</v>
      </c>
      <c r="M37" s="587" t="str">
        <f>IFERROR(__xludf.DUMMYFUNCTION("""COMPUTED_VALUE"""),"oh zilly")</f>
        <v>oh zilly</v>
      </c>
      <c r="N37" s="618">
        <f>IFERROR(__xludf.DUMMYFUNCTION("""COMPUTED_VALUE"""),1962.9473684210527)</f>
        <v>1962.947368</v>
      </c>
      <c r="O37" s="602"/>
      <c r="P37" s="201"/>
    </row>
    <row r="38" ht="22.5" customHeight="1">
      <c r="A38" s="201"/>
      <c r="B38" s="558">
        <v>9.0</v>
      </c>
      <c r="C38" s="587" t="str">
        <f>IFERROR(__xludf.DUMMYFUNCTION("""COMPUTED_VALUE"""),"ActiveHate")</f>
        <v>ActiveHate</v>
      </c>
      <c r="D38" s="623">
        <f>IFERROR(__xludf.DUMMYFUNCTION("""COMPUTED_VALUE"""),40842.0)</f>
        <v>40842</v>
      </c>
      <c r="E38" s="609"/>
      <c r="F38" s="610"/>
      <c r="G38" s="611"/>
      <c r="H38" s="611"/>
      <c r="I38" s="612"/>
      <c r="J38" s="609"/>
      <c r="K38" s="609"/>
      <c r="L38" s="587">
        <v>9.0</v>
      </c>
      <c r="M38" s="587" t="str">
        <f>IFERROR(__xludf.DUMMYFUNCTION("""COMPUTED_VALUE"""),"DlGITAL PAIN")</f>
        <v>DlGITAL PAIN</v>
      </c>
      <c r="N38" s="618">
        <f>IFERROR(__xludf.DUMMYFUNCTION("""COMPUTED_VALUE"""),1934.2333333333333)</f>
        <v>1934.233333</v>
      </c>
      <c r="O38" s="602"/>
      <c r="P38" s="201"/>
    </row>
    <row r="39" ht="22.5" customHeight="1">
      <c r="A39" s="201"/>
      <c r="B39" s="558">
        <v>10.0</v>
      </c>
      <c r="C39" s="587" t="str">
        <f>IFERROR(__xludf.DUMMYFUNCTION("""COMPUTED_VALUE"""),"Laser Wins")</f>
        <v>Laser Wins</v>
      </c>
      <c r="D39" s="623">
        <f>IFERROR(__xludf.DUMMYFUNCTION("""COMPUTED_VALUE"""),40284.0)</f>
        <v>40284</v>
      </c>
      <c r="E39" s="609"/>
      <c r="F39" s="610"/>
      <c r="G39" s="611"/>
      <c r="H39" s="611"/>
      <c r="I39" s="612"/>
      <c r="J39" s="609"/>
      <c r="K39" s="609"/>
      <c r="L39" s="587">
        <v>10.0</v>
      </c>
      <c r="M39" s="587" t="str">
        <f>IFERROR(__xludf.DUMMYFUNCTION("""COMPUTED_VALUE"""),"Laser Wins")</f>
        <v>Laser Wins</v>
      </c>
      <c r="N39" s="618">
        <f>IFERROR(__xludf.DUMMYFUNCTION("""COMPUTED_VALUE"""),1918.2857142857142)</f>
        <v>1918.285714</v>
      </c>
      <c r="O39" s="602"/>
      <c r="P39" s="201"/>
    </row>
    <row r="40">
      <c r="A40" s="7"/>
      <c r="B40" s="7"/>
      <c r="C40" s="17"/>
      <c r="D40" s="17"/>
      <c r="E40" s="17"/>
      <c r="F40" s="17"/>
      <c r="G40" s="17"/>
      <c r="H40" s="31"/>
      <c r="I40" s="17"/>
      <c r="J40" s="17"/>
      <c r="K40" s="17"/>
      <c r="L40" s="17"/>
      <c r="M40" s="17"/>
      <c r="N40" s="17"/>
      <c r="O40" s="17"/>
      <c r="P40" s="17"/>
    </row>
    <row r="41" ht="15.75" customHeight="1">
      <c r="A41" s="201"/>
      <c r="B41" s="582" t="s">
        <v>376</v>
      </c>
      <c r="E41" s="602"/>
      <c r="F41" s="602"/>
      <c r="G41" s="582" t="s">
        <v>377</v>
      </c>
      <c r="J41" s="606"/>
      <c r="K41" s="606"/>
      <c r="L41" s="582" t="s">
        <v>378</v>
      </c>
      <c r="O41" s="602"/>
      <c r="P41" s="201"/>
    </row>
    <row r="42" ht="15.75" customHeight="1">
      <c r="A42" s="201"/>
      <c r="B42" s="607" t="s">
        <v>371</v>
      </c>
      <c r="C42" s="607" t="str">
        <f>IFERROR(__xludf.DUMMYFUNCTION("QUERY('Halo Reach Stats'!A:K, ""SELECT A,K ORDER BY K DESC LIMIT 10"", 1)"),"Player")</f>
        <v>Player</v>
      </c>
      <c r="D42" s="608" t="str">
        <f>IFERROR(__xludf.DUMMYFUNCTION("""COMPUTED_VALUE"""),"Streak")</f>
        <v>Streak</v>
      </c>
      <c r="E42" s="609"/>
      <c r="F42" s="610"/>
      <c r="G42" s="607" t="s">
        <v>371</v>
      </c>
      <c r="H42" s="607" t="str">
        <f>IFERROR(__xludf.DUMMYFUNCTION("QUERY('Halo Reach Stats'!A:M, ""SELECT A,M ORDER BY M DESC LIMIT 10"", 1)"),"Player")</f>
        <v>Player</v>
      </c>
      <c r="I42" s="608" t="str">
        <f>IFERROR(__xludf.DUMMYFUNCTION("""COMPUTED_VALUE"""),"Time Alive")</f>
        <v>Time Alive</v>
      </c>
      <c r="J42" s="609"/>
      <c r="K42" s="609"/>
      <c r="L42" s="607" t="s">
        <v>371</v>
      </c>
      <c r="M42" s="607" t="str">
        <f>IFERROR(__xludf.DUMMYFUNCTION("QUERY('Halo Reach Stats'!A:O, ""SELECT A,O ORDER BY O DESC LIMIT 10"", 1)"),"Player")</f>
        <v>Player</v>
      </c>
      <c r="N42" s="624" t="str">
        <f>IFERROR(__xludf.DUMMYFUNCTION("""COMPUTED_VALUE"""),"Average Life")</f>
        <v>Average Life</v>
      </c>
      <c r="O42" s="602"/>
      <c r="P42" s="201"/>
    </row>
    <row r="43" ht="54.75" customHeight="1">
      <c r="A43" s="201"/>
      <c r="B43" s="587">
        <v>1.0</v>
      </c>
      <c r="C43" s="625" t="str">
        <f>IFERROR(__xludf.DUMMYFUNCTION("""COMPUTED_VALUE"""),"yLuxe")</f>
        <v>yLuxe</v>
      </c>
      <c r="D43" s="591">
        <f>IFERROR(__xludf.DUMMYFUNCTION("""COMPUTED_VALUE"""),22.0)</f>
        <v>22</v>
      </c>
      <c r="E43" s="609"/>
      <c r="F43" s="610"/>
      <c r="G43" s="587">
        <v>1.0</v>
      </c>
      <c r="H43" s="588" t="str">
        <f>IFERROR(__xludf.DUMMYFUNCTION("""COMPUTED_VALUE"""),"ixGingy")</f>
        <v>ixGingy</v>
      </c>
      <c r="I43" s="613">
        <f>IFERROR(__xludf.DUMMYFUNCTION("""COMPUTED_VALUE"""),57927.0)</f>
        <v>57927</v>
      </c>
      <c r="J43" s="609"/>
      <c r="K43" s="609"/>
      <c r="L43" s="587">
        <v>1.0</v>
      </c>
      <c r="M43" s="588" t="str">
        <f>IFERROR(__xludf.DUMMYFUNCTION("""COMPUTED_VALUE"""),"EllisGotMyPills")</f>
        <v>EllisGotMyPills</v>
      </c>
      <c r="N43" s="613">
        <f>IFERROR(__xludf.DUMMYFUNCTION("""COMPUTED_VALUE"""),37.0)</f>
        <v>37</v>
      </c>
      <c r="O43" s="201"/>
      <c r="P43" s="201"/>
    </row>
    <row r="44" ht="22.5" customHeight="1">
      <c r="A44" s="201"/>
      <c r="B44" s="587">
        <v>2.0</v>
      </c>
      <c r="C44" s="587" t="str">
        <f>IFERROR(__xludf.DUMMYFUNCTION("""COMPUTED_VALUE"""),"Dhlyn")</f>
        <v>Dhlyn</v>
      </c>
      <c r="D44" s="558">
        <f>IFERROR(__xludf.DUMMYFUNCTION("""COMPUTED_VALUE"""),15.0)</f>
        <v>15</v>
      </c>
      <c r="E44" s="609"/>
      <c r="F44" s="610"/>
      <c r="G44" s="587">
        <v>2.0</v>
      </c>
      <c r="H44" s="558" t="str">
        <f>IFERROR(__xludf.DUMMYFUNCTION("""COMPUTED_VALUE"""),"DlGITAL PAIN")</f>
        <v>DlGITAL PAIN</v>
      </c>
      <c r="I44" s="558">
        <f>IFERROR(__xludf.DUMMYFUNCTION("""COMPUTED_VALUE"""),46434.0)</f>
        <v>46434</v>
      </c>
      <c r="J44" s="609"/>
      <c r="K44" s="609"/>
      <c r="L44" s="587">
        <v>2.0</v>
      </c>
      <c r="M44" s="558" t="str">
        <f>IFERROR(__xludf.DUMMYFUNCTION("""COMPUTED_VALUE"""),"oh zilly")</f>
        <v>oh zilly</v>
      </c>
      <c r="N44" s="558">
        <f>IFERROR(__xludf.DUMMYFUNCTION("""COMPUTED_VALUE"""),23.0)</f>
        <v>23</v>
      </c>
      <c r="O44" s="602"/>
      <c r="P44" s="201"/>
    </row>
    <row r="45" ht="22.5" customHeight="1">
      <c r="A45" s="201"/>
      <c r="B45" s="587">
        <v>3.0</v>
      </c>
      <c r="C45" s="587" t="str">
        <f>IFERROR(__xludf.DUMMYFUNCTION("""COMPUTED_VALUE"""),"Itzreelz")</f>
        <v>Itzreelz</v>
      </c>
      <c r="D45" s="558">
        <f>IFERROR(__xludf.DUMMYFUNCTION("""COMPUTED_VALUE"""),14.0)</f>
        <v>14</v>
      </c>
      <c r="E45" s="609"/>
      <c r="F45" s="610"/>
      <c r="G45" s="587">
        <v>3.0</v>
      </c>
      <c r="H45" s="587" t="str">
        <f>IFERROR(__xludf.DUMMYFUNCTION("""COMPUTED_VALUE"""),"Mavbrid")</f>
        <v>Mavbrid</v>
      </c>
      <c r="I45" s="558">
        <f>IFERROR(__xludf.DUMMYFUNCTION("""COMPUTED_VALUE"""),42949.0)</f>
        <v>42949</v>
      </c>
      <c r="J45" s="609"/>
      <c r="K45" s="609"/>
      <c r="L45" s="587">
        <v>3.0</v>
      </c>
      <c r="M45" s="587" t="str">
        <f>IFERROR(__xludf.DUMMYFUNCTION("""COMPUTED_VALUE"""),"yLuxe")</f>
        <v>yLuxe</v>
      </c>
      <c r="N45" s="558">
        <f>IFERROR(__xludf.DUMMYFUNCTION("""COMPUTED_VALUE"""),23.0)</f>
        <v>23</v>
      </c>
      <c r="O45" s="602"/>
      <c r="P45" s="201"/>
    </row>
    <row r="46" ht="22.5" customHeight="1">
      <c r="A46" s="201"/>
      <c r="B46" s="587">
        <v>4.0</v>
      </c>
      <c r="C46" s="621" t="str">
        <f>IFERROR(__xludf.DUMMYFUNCTION("""COMPUTED_VALUE"""),"oh zilly")</f>
        <v>oh zilly</v>
      </c>
      <c r="D46" s="592">
        <f>IFERROR(__xludf.DUMMYFUNCTION("""COMPUTED_VALUE"""),14.0)</f>
        <v>14</v>
      </c>
      <c r="E46" s="609"/>
      <c r="F46" s="610"/>
      <c r="G46" s="587">
        <v>4.0</v>
      </c>
      <c r="H46" s="621" t="str">
        <f>IFERROR(__xludf.DUMMYFUNCTION("""COMPUTED_VALUE"""),"MoldyVolts")</f>
        <v>MoldyVolts</v>
      </c>
      <c r="I46" s="592">
        <f>IFERROR(__xludf.DUMMYFUNCTION("""COMPUTED_VALUE"""),39842.0)</f>
        <v>39842</v>
      </c>
      <c r="J46" s="609"/>
      <c r="K46" s="609"/>
      <c r="L46" s="587">
        <v>4.0</v>
      </c>
      <c r="M46" s="621" t="str">
        <f>IFERROR(__xludf.DUMMYFUNCTION("""COMPUTED_VALUE"""),"L0RNA SHORE")</f>
        <v>L0RNA SHORE</v>
      </c>
      <c r="N46" s="592">
        <f>IFERROR(__xludf.DUMMYFUNCTION("""COMPUTED_VALUE"""),22.0)</f>
        <v>22</v>
      </c>
      <c r="O46" s="201"/>
      <c r="P46" s="201"/>
    </row>
    <row r="47" ht="22.5" customHeight="1">
      <c r="A47" s="201"/>
      <c r="B47" s="587">
        <v>5.0</v>
      </c>
      <c r="C47" s="587" t="str">
        <f>IFERROR(__xludf.DUMMYFUNCTION("""COMPUTED_VALUE"""),"ixGingy")</f>
        <v>ixGingy</v>
      </c>
      <c r="D47" s="558">
        <f>IFERROR(__xludf.DUMMYFUNCTION("""COMPUTED_VALUE"""),13.0)</f>
        <v>13</v>
      </c>
      <c r="E47" s="609"/>
      <c r="F47" s="609"/>
      <c r="G47" s="587">
        <v>5.0</v>
      </c>
      <c r="H47" s="587" t="str">
        <f>IFERROR(__xludf.DUMMYFUNCTION("""COMPUTED_VALUE"""),"ASpence501")</f>
        <v>ASpence501</v>
      </c>
      <c r="I47" s="558">
        <f>IFERROR(__xludf.DUMMYFUNCTION("""COMPUTED_VALUE"""),38513.0)</f>
        <v>38513</v>
      </c>
      <c r="J47" s="609"/>
      <c r="K47" s="609"/>
      <c r="L47" s="587">
        <v>5.0</v>
      </c>
      <c r="M47" s="587" t="str">
        <f>IFERROR(__xludf.DUMMYFUNCTION("""COMPUTED_VALUE"""),"Mavbrid")</f>
        <v>Mavbrid</v>
      </c>
      <c r="N47" s="558">
        <f>IFERROR(__xludf.DUMMYFUNCTION("""COMPUTED_VALUE"""),22.0)</f>
        <v>22</v>
      </c>
      <c r="O47" s="602"/>
      <c r="P47" s="201"/>
    </row>
    <row r="48" ht="22.5" customHeight="1">
      <c r="A48" s="201"/>
      <c r="B48" s="587">
        <v>6.0</v>
      </c>
      <c r="C48" s="587" t="str">
        <f>IFERROR(__xludf.DUMMYFUNCTION("""COMPUTED_VALUE"""),"L0RNA SHORE")</f>
        <v>L0RNA SHORE</v>
      </c>
      <c r="D48" s="558">
        <f>IFERROR(__xludf.DUMMYFUNCTION("""COMPUTED_VALUE"""),13.0)</f>
        <v>13</v>
      </c>
      <c r="E48" s="609"/>
      <c r="F48" s="610"/>
      <c r="G48" s="587">
        <v>6.0</v>
      </c>
      <c r="H48" s="587" t="str">
        <f>IFERROR(__xludf.DUMMYFUNCTION("""COMPUTED_VALUE"""),"MysticalNovice")</f>
        <v>MysticalNovice</v>
      </c>
      <c r="I48" s="558">
        <f>IFERROR(__xludf.DUMMYFUNCTION("""COMPUTED_VALUE"""),36376.0)</f>
        <v>36376</v>
      </c>
      <c r="J48" s="609"/>
      <c r="K48" s="609"/>
      <c r="L48" s="587">
        <v>6.0</v>
      </c>
      <c r="M48" s="587" t="str">
        <f>IFERROR(__xludf.DUMMYFUNCTION("""COMPUTED_VALUE"""),"Dhlyn")</f>
        <v>Dhlyn</v>
      </c>
      <c r="N48" s="558">
        <f>IFERROR(__xludf.DUMMYFUNCTION("""COMPUTED_VALUE"""),20.0)</f>
        <v>20</v>
      </c>
      <c r="O48" s="602"/>
      <c r="P48" s="602"/>
    </row>
    <row r="49" ht="22.5" customHeight="1">
      <c r="A49" s="201"/>
      <c r="B49" s="587">
        <v>7.0</v>
      </c>
      <c r="C49" s="587" t="str">
        <f>IFERROR(__xludf.DUMMYFUNCTION("""COMPUTED_VALUE"""),"Mavbrid")</f>
        <v>Mavbrid</v>
      </c>
      <c r="D49" s="558">
        <f>IFERROR(__xludf.DUMMYFUNCTION("""COMPUTED_VALUE"""),13.0)</f>
        <v>13</v>
      </c>
      <c r="E49" s="609"/>
      <c r="F49" s="610"/>
      <c r="G49" s="587">
        <v>7.0</v>
      </c>
      <c r="H49" s="587" t="str">
        <f>IFERROR(__xludf.DUMMYFUNCTION("""COMPUTED_VALUE"""),"oDhmon")</f>
        <v>oDhmon</v>
      </c>
      <c r="I49" s="558">
        <f>IFERROR(__xludf.DUMMYFUNCTION("""COMPUTED_VALUE"""),35914.0)</f>
        <v>35914</v>
      </c>
      <c r="J49" s="609"/>
      <c r="K49" s="609"/>
      <c r="L49" s="587">
        <v>7.0</v>
      </c>
      <c r="M49" s="587" t="str">
        <f>IFERROR(__xludf.DUMMYFUNCTION("""COMPUTED_VALUE"""),"Laser Wins")</f>
        <v>Laser Wins</v>
      </c>
      <c r="N49" s="558">
        <f>IFERROR(__xludf.DUMMYFUNCTION("""COMPUTED_VALUE"""),20.0)</f>
        <v>20</v>
      </c>
      <c r="O49" s="201"/>
      <c r="P49" s="201"/>
    </row>
    <row r="50" ht="22.5" customHeight="1">
      <c r="A50" s="201"/>
      <c r="B50" s="587">
        <v>8.0</v>
      </c>
      <c r="C50" s="587" t="str">
        <f>IFERROR(__xludf.DUMMYFUNCTION("""COMPUTED_VALUE"""),"Hells Angel cx")</f>
        <v>Hells Angel cx</v>
      </c>
      <c r="D50" s="558">
        <f>IFERROR(__xludf.DUMMYFUNCTION("""COMPUTED_VALUE"""),12.0)</f>
        <v>12</v>
      </c>
      <c r="E50" s="609"/>
      <c r="F50" s="610"/>
      <c r="G50" s="587">
        <v>8.0</v>
      </c>
      <c r="H50" s="587" t="str">
        <f>IFERROR(__xludf.DUMMYFUNCTION("""COMPUTED_VALUE"""),"Laser Wins")</f>
        <v>Laser Wins</v>
      </c>
      <c r="I50" s="558">
        <f>IFERROR(__xludf.DUMMYFUNCTION("""COMPUTED_VALUE"""),33543.0)</f>
        <v>33543</v>
      </c>
      <c r="J50" s="609"/>
      <c r="K50" s="609"/>
      <c r="L50" s="587">
        <v>8.0</v>
      </c>
      <c r="M50" s="587" t="str">
        <f>IFERROR(__xludf.DUMMYFUNCTION("""COMPUTED_VALUE"""),"Beautytism")</f>
        <v>Beautytism</v>
      </c>
      <c r="N50" s="558">
        <f>IFERROR(__xludf.DUMMYFUNCTION("""COMPUTED_VALUE"""),18.0)</f>
        <v>18</v>
      </c>
      <c r="O50" s="602"/>
      <c r="P50" s="201"/>
    </row>
    <row r="51" ht="22.5" customHeight="1">
      <c r="A51" s="201"/>
      <c r="B51" s="587">
        <v>9.0</v>
      </c>
      <c r="C51" s="587" t="str">
        <f>IFERROR(__xludf.DUMMYFUNCTION("""COMPUTED_VALUE"""),"DlGITAL PAIN")</f>
        <v>DlGITAL PAIN</v>
      </c>
      <c r="D51" s="558">
        <f>IFERROR(__xludf.DUMMYFUNCTION("""COMPUTED_VALUE"""),11.0)</f>
        <v>11</v>
      </c>
      <c r="E51" s="609"/>
      <c r="F51" s="610"/>
      <c r="G51" s="587">
        <v>9.0</v>
      </c>
      <c r="H51" s="587" t="str">
        <f>IFERROR(__xludf.DUMMYFUNCTION("""COMPUTED_VALUE"""),"Solace VIII")</f>
        <v>Solace VIII</v>
      </c>
      <c r="I51" s="558">
        <f>IFERROR(__xludf.DUMMYFUNCTION("""COMPUTED_VALUE"""),33503.0)</f>
        <v>33503</v>
      </c>
      <c r="J51" s="609"/>
      <c r="K51" s="609"/>
      <c r="L51" s="587">
        <v>9.0</v>
      </c>
      <c r="M51" s="587" t="str">
        <f>IFERROR(__xludf.DUMMYFUNCTION("""COMPUTED_VALUE"""),"Hells Angel cx")</f>
        <v>Hells Angel cx</v>
      </c>
      <c r="N51" s="558">
        <f>IFERROR(__xludf.DUMMYFUNCTION("""COMPUTED_VALUE"""),18.0)</f>
        <v>18</v>
      </c>
      <c r="O51" s="602"/>
      <c r="P51" s="201"/>
    </row>
    <row r="52" ht="22.5" customHeight="1">
      <c r="A52" s="201"/>
      <c r="B52" s="587">
        <v>10.0</v>
      </c>
      <c r="C52" s="587" t="str">
        <f>IFERROR(__xludf.DUMMYFUNCTION("""COMPUTED_VALUE"""),"EllisGotMyPills")</f>
        <v>EllisGotMyPills</v>
      </c>
      <c r="D52" s="558">
        <f>IFERROR(__xludf.DUMMYFUNCTION("""COMPUTED_VALUE"""),10.0)</f>
        <v>10</v>
      </c>
      <c r="E52" s="609"/>
      <c r="F52" s="610"/>
      <c r="G52" s="587">
        <v>10.0</v>
      </c>
      <c r="H52" s="587" t="str">
        <f>IFERROR(__xludf.DUMMYFUNCTION("""COMPUTED_VALUE"""),"EllisGotMyPills")</f>
        <v>EllisGotMyPills</v>
      </c>
      <c r="I52" s="558">
        <f>IFERROR(__xludf.DUMMYFUNCTION("""COMPUTED_VALUE"""),31839.0)</f>
        <v>31839</v>
      </c>
      <c r="J52" s="609"/>
      <c r="K52" s="609"/>
      <c r="L52" s="587">
        <v>10.0</v>
      </c>
      <c r="M52" s="587" t="str">
        <f>IFERROR(__xludf.DUMMYFUNCTION("""COMPUTED_VALUE"""),"oDhmon")</f>
        <v>oDhmon</v>
      </c>
      <c r="N52" s="558">
        <f>IFERROR(__xludf.DUMMYFUNCTION("""COMPUTED_VALUE"""),16.0)</f>
        <v>16</v>
      </c>
      <c r="O52" s="602"/>
      <c r="P52" s="201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ht="15.75" customHeight="1">
      <c r="A54" s="201"/>
      <c r="B54" s="582" t="s">
        <v>350</v>
      </c>
      <c r="E54" s="602"/>
      <c r="F54" s="602"/>
      <c r="G54" s="626"/>
      <c r="H54" s="604"/>
      <c r="I54" s="605"/>
      <c r="J54" s="606"/>
      <c r="K54" s="606"/>
      <c r="L54" s="582" t="s">
        <v>379</v>
      </c>
      <c r="O54" s="602"/>
      <c r="P54" s="201"/>
    </row>
    <row r="55" ht="15.75" customHeight="1">
      <c r="A55" s="201"/>
      <c r="B55" s="607" t="s">
        <v>371</v>
      </c>
      <c r="C55" s="607" t="str">
        <f>IFERROR(__xludf.DUMMYFUNCTION("QUERY('Halo Reach Stats'!A:AI, ""SELECT A,AI ORDER BY AI DESC LIMIT 10"", 1)"),"Player")</f>
        <v>Player</v>
      </c>
      <c r="D55" s="627" t="str">
        <f>IFERROR(__xludf.DUMMYFUNCTION("""COMPUTED_VALUE"""),"Assassinations")</f>
        <v>Assassinations</v>
      </c>
      <c r="E55" s="609"/>
      <c r="F55" s="610"/>
      <c r="G55" s="611"/>
      <c r="H55" s="611"/>
      <c r="I55" s="628"/>
      <c r="J55" s="609"/>
      <c r="K55" s="609"/>
      <c r="L55" s="607" t="s">
        <v>371</v>
      </c>
      <c r="M55" s="607" t="str">
        <f>IFERROR(__xludf.DUMMYFUNCTION("QUERY('Halo Reach Stats'!A:AG, ""SELECT A,AG ORDER BY AG DESC LIMIT 10"", 1)"),"Player")</f>
        <v>Player</v>
      </c>
      <c r="N55" s="608" t="str">
        <f>IFERROR(__xludf.DUMMYFUNCTION("""COMPUTED_VALUE"""),"Exterms")</f>
        <v>Exterms</v>
      </c>
      <c r="O55" s="602"/>
      <c r="P55" s="201"/>
    </row>
    <row r="56" ht="54.75" customHeight="1">
      <c r="A56" s="201"/>
      <c r="B56" s="587">
        <v>1.0</v>
      </c>
      <c r="C56" s="588" t="str">
        <f>IFERROR(__xludf.DUMMYFUNCTION("""COMPUTED_VALUE"""),"MysticalNovice")</f>
        <v>MysticalNovice</v>
      </c>
      <c r="D56" s="591">
        <f>IFERROR(__xludf.DUMMYFUNCTION("""COMPUTED_VALUE"""),4.0)</f>
        <v>4</v>
      </c>
      <c r="E56" s="609"/>
      <c r="F56" s="610"/>
      <c r="G56" s="611"/>
      <c r="H56" s="629"/>
      <c r="I56" s="630"/>
      <c r="J56" s="609"/>
      <c r="K56" s="609"/>
      <c r="L56" s="587">
        <v>1.0</v>
      </c>
      <c r="M56" s="588" t="str">
        <f>IFERROR(__xludf.DUMMYFUNCTION("""COMPUTED_VALUE"""),"DlGITAL PAIN")</f>
        <v>DlGITAL PAIN</v>
      </c>
      <c r="N56" s="591">
        <f>IFERROR(__xludf.DUMMYFUNCTION("""COMPUTED_VALUE"""),2.0)</f>
        <v>2</v>
      </c>
      <c r="O56" s="201"/>
      <c r="P56" s="201"/>
    </row>
    <row r="57" ht="22.5" customHeight="1">
      <c r="A57" s="201"/>
      <c r="B57" s="587">
        <v>2.0</v>
      </c>
      <c r="C57" s="558" t="str">
        <f>IFERROR(__xludf.DUMMYFUNCTION("""COMPUTED_VALUE"""),"Dior Glori")</f>
        <v>Dior Glori</v>
      </c>
      <c r="D57" s="558">
        <f>IFERROR(__xludf.DUMMYFUNCTION("""COMPUTED_VALUE"""),2.0)</f>
        <v>2</v>
      </c>
      <c r="E57" s="609"/>
      <c r="F57" s="610"/>
      <c r="G57" s="611"/>
      <c r="H57" s="612"/>
      <c r="I57" s="612"/>
      <c r="J57" s="609"/>
      <c r="K57" s="609"/>
      <c r="L57" s="587">
        <v>2.0</v>
      </c>
      <c r="M57" s="587" t="str">
        <f>IFERROR(__xludf.DUMMYFUNCTION("""COMPUTED_VALUE"""),"GodSnipezX")</f>
        <v>GodSnipezX</v>
      </c>
      <c r="N57" s="558">
        <f>IFERROR(__xludf.DUMMYFUNCTION("""COMPUTED_VALUE"""),1.0)</f>
        <v>1</v>
      </c>
      <c r="O57" s="602"/>
      <c r="P57" s="201"/>
    </row>
    <row r="58" ht="22.5" customHeight="1">
      <c r="A58" s="201"/>
      <c r="B58" s="587">
        <v>3.0</v>
      </c>
      <c r="C58" s="587" t="str">
        <f>IFERROR(__xludf.DUMMYFUNCTION("""COMPUTED_VALUE"""),"Dhlyn")</f>
        <v>Dhlyn</v>
      </c>
      <c r="D58" s="558">
        <f>IFERROR(__xludf.DUMMYFUNCTION("""COMPUTED_VALUE"""),1.0)</f>
        <v>1</v>
      </c>
      <c r="E58" s="609"/>
      <c r="F58" s="610"/>
      <c r="G58" s="611"/>
      <c r="H58" s="611"/>
      <c r="I58" s="612"/>
      <c r="J58" s="609"/>
      <c r="K58" s="609"/>
      <c r="L58" s="587">
        <v>3.0</v>
      </c>
      <c r="M58" s="587" t="str">
        <f>IFERROR(__xludf.DUMMYFUNCTION("""COMPUTED_VALUE"""),"Itzreelz")</f>
        <v>Itzreelz</v>
      </c>
      <c r="N58" s="558">
        <f>IFERROR(__xludf.DUMMYFUNCTION("""COMPUTED_VALUE"""),1.0)</f>
        <v>1</v>
      </c>
      <c r="O58" s="602"/>
      <c r="P58" s="201"/>
    </row>
    <row r="59" ht="22.5" customHeight="1">
      <c r="A59" s="201"/>
      <c r="B59" s="587">
        <v>4.0</v>
      </c>
      <c r="C59" s="621" t="str">
        <f>IFERROR(__xludf.DUMMYFUNCTION("""COMPUTED_VALUE"""),"DlGITAL PAIN")</f>
        <v>DlGITAL PAIN</v>
      </c>
      <c r="D59" s="592">
        <f>IFERROR(__xludf.DUMMYFUNCTION("""COMPUTED_VALUE"""),1.0)</f>
        <v>1</v>
      </c>
      <c r="E59" s="609"/>
      <c r="F59" s="610"/>
      <c r="G59" s="611"/>
      <c r="H59" s="619"/>
      <c r="I59" s="620"/>
      <c r="J59" s="609"/>
      <c r="K59" s="609"/>
      <c r="L59" s="587">
        <v>4.0</v>
      </c>
      <c r="M59" s="621" t="str">
        <f>IFERROR(__xludf.DUMMYFUNCTION("""COMPUTED_VALUE"""),"yLuxe")</f>
        <v>yLuxe</v>
      </c>
      <c r="N59" s="592">
        <f>IFERROR(__xludf.DUMMYFUNCTION("""COMPUTED_VALUE"""),1.0)</f>
        <v>1</v>
      </c>
      <c r="O59" s="201"/>
      <c r="P59" s="201"/>
    </row>
    <row r="60" ht="22.5" customHeight="1">
      <c r="A60" s="201"/>
      <c r="B60" s="587">
        <v>5.0</v>
      </c>
      <c r="C60" s="587" t="str">
        <f>IFERROR(__xludf.DUMMYFUNCTION("""COMPUTED_VALUE"""),"Doerstopper")</f>
        <v>Doerstopper</v>
      </c>
      <c r="D60" s="558">
        <f>IFERROR(__xludf.DUMMYFUNCTION("""COMPUTED_VALUE"""),1.0)</f>
        <v>1</v>
      </c>
      <c r="E60" s="609"/>
      <c r="F60" s="609"/>
      <c r="G60" s="611"/>
      <c r="H60" s="611"/>
      <c r="I60" s="612"/>
      <c r="J60" s="609"/>
      <c r="K60" s="609"/>
      <c r="L60" s="587">
        <v>5.0</v>
      </c>
      <c r="M60" s="587" t="str">
        <f>IFERROR(__xludf.DUMMYFUNCTION("""COMPUTED_VALUE"""),"ActiveHate")</f>
        <v>ActiveHate</v>
      </c>
      <c r="N60" s="558">
        <f>IFERROR(__xludf.DUMMYFUNCTION("""COMPUTED_VALUE"""),0.0)</f>
        <v>0</v>
      </c>
      <c r="O60" s="602"/>
      <c r="P60" s="201"/>
    </row>
    <row r="61" ht="22.5" customHeight="1">
      <c r="A61" s="201"/>
      <c r="B61" s="587">
        <v>6.0</v>
      </c>
      <c r="C61" s="587" t="str">
        <f>IFERROR(__xludf.DUMMYFUNCTION("""COMPUTED_VALUE"""),"ixGingy")</f>
        <v>ixGingy</v>
      </c>
      <c r="D61" s="558">
        <f>IFERROR(__xludf.DUMMYFUNCTION("""COMPUTED_VALUE"""),1.0)</f>
        <v>1</v>
      </c>
      <c r="E61" s="609"/>
      <c r="F61" s="610"/>
      <c r="G61" s="611"/>
      <c r="H61" s="611"/>
      <c r="I61" s="612"/>
      <c r="J61" s="609"/>
      <c r="K61" s="609"/>
      <c r="L61" s="587">
        <v>6.0</v>
      </c>
      <c r="M61" s="587" t="str">
        <f>IFERROR(__xludf.DUMMYFUNCTION("""COMPUTED_VALUE"""),"ADhillyy")</f>
        <v>ADhillyy</v>
      </c>
      <c r="N61" s="558">
        <f>IFERROR(__xludf.DUMMYFUNCTION("""COMPUTED_VALUE"""),0.0)</f>
        <v>0</v>
      </c>
      <c r="O61" s="602"/>
      <c r="P61" s="602"/>
    </row>
    <row r="62" ht="22.5" customHeight="1">
      <c r="A62" s="201"/>
      <c r="B62" s="587">
        <v>7.0</v>
      </c>
      <c r="C62" s="587" t="str">
        <f>IFERROR(__xludf.DUMMYFUNCTION("""COMPUTED_VALUE"""),"Mavbrid")</f>
        <v>Mavbrid</v>
      </c>
      <c r="D62" s="558">
        <f>IFERROR(__xludf.DUMMYFUNCTION("""COMPUTED_VALUE"""),1.0)</f>
        <v>1</v>
      </c>
      <c r="E62" s="609"/>
      <c r="F62" s="610"/>
      <c r="G62" s="611"/>
      <c r="H62" s="611"/>
      <c r="I62" s="612"/>
      <c r="J62" s="609"/>
      <c r="K62" s="609"/>
      <c r="L62" s="587">
        <v>7.0</v>
      </c>
      <c r="M62" s="587" t="str">
        <f>IFERROR(__xludf.DUMMYFUNCTION("""COMPUTED_VALUE"""),"Almighty Tycoon")</f>
        <v>Almighty Tycoon</v>
      </c>
      <c r="N62" s="558">
        <f>IFERROR(__xludf.DUMMYFUNCTION("""COMPUTED_VALUE"""),0.0)</f>
        <v>0</v>
      </c>
      <c r="O62" s="201"/>
      <c r="P62" s="201"/>
    </row>
    <row r="63" ht="22.5" customHeight="1">
      <c r="A63" s="201"/>
      <c r="B63" s="587">
        <v>8.0</v>
      </c>
      <c r="C63" s="587" t="str">
        <f>IFERROR(__xludf.DUMMYFUNCTION("""COMPUTED_VALUE"""),"yLuxe")</f>
        <v>yLuxe</v>
      </c>
      <c r="D63" s="558">
        <f>IFERROR(__xludf.DUMMYFUNCTION("""COMPUTED_VALUE"""),1.0)</f>
        <v>1</v>
      </c>
      <c r="E63" s="609"/>
      <c r="F63" s="610"/>
      <c r="G63" s="611"/>
      <c r="H63" s="611"/>
      <c r="I63" s="612"/>
      <c r="J63" s="609"/>
      <c r="K63" s="609"/>
      <c r="L63" s="587">
        <v>8.0</v>
      </c>
      <c r="M63" s="587" t="str">
        <f>IFERROR(__xludf.DUMMYFUNCTION("""COMPUTED_VALUE"""),"ASpence501")</f>
        <v>ASpence501</v>
      </c>
      <c r="N63" s="558">
        <f>IFERROR(__xludf.DUMMYFUNCTION("""COMPUTED_VALUE"""),0.0)</f>
        <v>0</v>
      </c>
      <c r="O63" s="602"/>
      <c r="P63" s="201"/>
    </row>
    <row r="64" ht="22.5" customHeight="1">
      <c r="A64" s="201"/>
      <c r="B64" s="587">
        <v>9.0</v>
      </c>
      <c r="C64" s="587" t="str">
        <f>IFERROR(__xludf.DUMMYFUNCTION("""COMPUTED_VALUE"""),"ActiveHate")</f>
        <v>ActiveHate</v>
      </c>
      <c r="D64" s="558">
        <f>IFERROR(__xludf.DUMMYFUNCTION("""COMPUTED_VALUE"""),0.0)</f>
        <v>0</v>
      </c>
      <c r="E64" s="609"/>
      <c r="F64" s="610"/>
      <c r="G64" s="611"/>
      <c r="H64" s="611"/>
      <c r="I64" s="612"/>
      <c r="J64" s="609"/>
      <c r="K64" s="609"/>
      <c r="L64" s="587">
        <v>9.0</v>
      </c>
      <c r="M64" s="587" t="str">
        <f>IFERROR(__xludf.DUMMYFUNCTION("""COMPUTED_VALUE"""),"AwareMosquito")</f>
        <v>AwareMosquito</v>
      </c>
      <c r="N64" s="558">
        <f>IFERROR(__xludf.DUMMYFUNCTION("""COMPUTED_VALUE"""),0.0)</f>
        <v>0</v>
      </c>
      <c r="O64" s="602"/>
      <c r="P64" s="201"/>
    </row>
    <row r="65" ht="22.5" customHeight="1">
      <c r="A65" s="201"/>
      <c r="B65" s="587">
        <v>10.0</v>
      </c>
      <c r="C65" s="587" t="str">
        <f>IFERROR(__xludf.DUMMYFUNCTION("""COMPUTED_VALUE"""),"ADhillyy")</f>
        <v>ADhillyy</v>
      </c>
      <c r="D65" s="558">
        <f>IFERROR(__xludf.DUMMYFUNCTION("""COMPUTED_VALUE"""),0.0)</f>
        <v>0</v>
      </c>
      <c r="E65" s="609"/>
      <c r="F65" s="610"/>
      <c r="G65" s="611"/>
      <c r="H65" s="611"/>
      <c r="I65" s="612"/>
      <c r="J65" s="609"/>
      <c r="K65" s="609"/>
      <c r="L65" s="587">
        <v>10.0</v>
      </c>
      <c r="M65" s="587" t="str">
        <f>IFERROR(__xludf.DUMMYFUNCTION("""COMPUTED_VALUE"""),"Beautytism")</f>
        <v>Beautytism</v>
      </c>
      <c r="N65" s="558">
        <f>IFERROR(__xludf.DUMMYFUNCTION("""COMPUTED_VALUE"""),0.0)</f>
        <v>0</v>
      </c>
      <c r="O65" s="602"/>
      <c r="P65" s="201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ht="15.75" customHeight="1">
      <c r="A67" s="201"/>
      <c r="B67" s="631"/>
      <c r="E67" s="602"/>
      <c r="F67" s="602"/>
      <c r="G67" s="631"/>
      <c r="J67" s="606"/>
      <c r="K67" s="606"/>
      <c r="L67" s="631"/>
      <c r="O67" s="602"/>
      <c r="P67" s="201"/>
    </row>
    <row r="68" ht="15.75" customHeight="1">
      <c r="A68" s="201"/>
      <c r="B68" s="632"/>
      <c r="C68" s="632"/>
      <c r="D68" s="632"/>
      <c r="E68" s="201"/>
      <c r="F68" s="602"/>
      <c r="G68" s="632"/>
      <c r="H68" s="632"/>
      <c r="I68" s="632"/>
      <c r="J68" s="201"/>
      <c r="K68" s="201"/>
      <c r="L68" s="632"/>
      <c r="M68" s="632"/>
      <c r="N68" s="632"/>
      <c r="O68" s="602"/>
      <c r="P68" s="201"/>
    </row>
    <row r="69" ht="54.75" customHeight="1">
      <c r="A69" s="201"/>
      <c r="B69" s="633"/>
      <c r="C69" s="634"/>
      <c r="D69" s="88"/>
      <c r="E69" s="201"/>
      <c r="F69" s="602"/>
      <c r="G69" s="633"/>
      <c r="H69" s="635"/>
      <c r="I69" s="88"/>
      <c r="J69" s="201"/>
      <c r="K69" s="201"/>
      <c r="L69" s="633"/>
      <c r="M69" s="634"/>
      <c r="N69" s="88"/>
      <c r="O69" s="201"/>
      <c r="P69" s="201"/>
    </row>
    <row r="70" ht="22.5" customHeight="1">
      <c r="A70" s="201"/>
      <c r="B70" s="633"/>
      <c r="C70" s="633"/>
      <c r="D70" s="636"/>
      <c r="E70" s="201"/>
      <c r="F70" s="602"/>
      <c r="G70" s="633"/>
      <c r="H70" s="633"/>
      <c r="I70" s="636"/>
      <c r="J70" s="201"/>
      <c r="K70" s="201"/>
      <c r="L70" s="633"/>
      <c r="M70" s="633"/>
      <c r="N70" s="636"/>
      <c r="O70" s="602"/>
      <c r="P70" s="201"/>
    </row>
    <row r="71" ht="22.5" customHeight="1">
      <c r="A71" s="201"/>
      <c r="B71" s="633"/>
      <c r="C71" s="633"/>
      <c r="D71" s="636"/>
      <c r="E71" s="201"/>
      <c r="F71" s="602"/>
      <c r="G71" s="633"/>
      <c r="H71" s="633"/>
      <c r="I71" s="636"/>
      <c r="J71" s="201"/>
      <c r="K71" s="201"/>
      <c r="L71" s="633"/>
      <c r="M71" s="633"/>
      <c r="N71" s="636"/>
      <c r="O71" s="602"/>
      <c r="P71" s="201"/>
    </row>
    <row r="72" ht="22.5" customHeight="1">
      <c r="A72" s="201"/>
      <c r="B72" s="633"/>
      <c r="C72" s="637"/>
      <c r="D72" s="638"/>
      <c r="E72" s="201"/>
      <c r="F72" s="639"/>
      <c r="G72" s="633"/>
      <c r="H72" s="637"/>
      <c r="I72" s="638"/>
      <c r="J72" s="201"/>
      <c r="K72" s="201"/>
      <c r="L72" s="633"/>
      <c r="M72" s="637"/>
      <c r="N72" s="638"/>
      <c r="O72" s="201"/>
      <c r="P72" s="201"/>
    </row>
    <row r="73" ht="22.5" customHeight="1">
      <c r="A73" s="201"/>
      <c r="B73" s="633"/>
      <c r="C73" s="633"/>
      <c r="D73" s="636"/>
      <c r="E73" s="201"/>
      <c r="F73" s="201"/>
      <c r="G73" s="633"/>
      <c r="H73" s="633"/>
      <c r="I73" s="636"/>
      <c r="J73" s="201"/>
      <c r="K73" s="201"/>
      <c r="L73" s="633"/>
      <c r="M73" s="633"/>
      <c r="N73" s="636"/>
      <c r="O73" s="602"/>
      <c r="P73" s="201"/>
    </row>
    <row r="74" ht="22.5" customHeight="1">
      <c r="A74" s="201"/>
      <c r="B74" s="633"/>
      <c r="C74" s="633"/>
      <c r="D74" s="633"/>
      <c r="E74" s="201"/>
      <c r="F74" s="602"/>
      <c r="G74" s="633"/>
      <c r="H74" s="633"/>
      <c r="I74" s="633"/>
      <c r="J74" s="201"/>
      <c r="K74" s="201"/>
      <c r="L74" s="633"/>
      <c r="M74" s="633"/>
      <c r="N74" s="633"/>
      <c r="O74" s="602"/>
      <c r="P74" s="602"/>
    </row>
    <row r="75" ht="22.5" customHeight="1">
      <c r="A75" s="201"/>
      <c r="B75" s="633"/>
      <c r="C75" s="633"/>
      <c r="D75" s="633"/>
      <c r="E75" s="201"/>
      <c r="F75" s="602"/>
      <c r="G75" s="633"/>
      <c r="H75" s="633"/>
      <c r="I75" s="633"/>
      <c r="J75" s="201"/>
      <c r="K75" s="201"/>
      <c r="L75" s="633"/>
      <c r="M75" s="633"/>
      <c r="N75" s="633"/>
      <c r="O75" s="201"/>
      <c r="P75" s="201"/>
    </row>
    <row r="76" ht="22.5" customHeight="1">
      <c r="A76" s="201"/>
      <c r="B76" s="633"/>
      <c r="C76" s="633"/>
      <c r="D76" s="633"/>
      <c r="E76" s="201"/>
      <c r="F76" s="602"/>
      <c r="G76" s="633"/>
      <c r="H76" s="633"/>
      <c r="I76" s="633"/>
      <c r="J76" s="201"/>
      <c r="K76" s="201"/>
      <c r="L76" s="633"/>
      <c r="M76" s="633"/>
      <c r="N76" s="633"/>
      <c r="O76" s="602"/>
      <c r="P76" s="201"/>
    </row>
    <row r="77" ht="22.5" customHeight="1">
      <c r="A77" s="201"/>
      <c r="B77" s="633"/>
      <c r="C77" s="633"/>
      <c r="D77" s="633"/>
      <c r="E77" s="201"/>
      <c r="F77" s="602"/>
      <c r="G77" s="633"/>
      <c r="H77" s="633"/>
      <c r="I77" s="633"/>
      <c r="J77" s="201"/>
      <c r="K77" s="201"/>
      <c r="L77" s="633"/>
      <c r="M77" s="633"/>
      <c r="N77" s="633"/>
      <c r="O77" s="602"/>
      <c r="P77" s="201"/>
    </row>
    <row r="78" ht="22.5" customHeight="1">
      <c r="A78" s="201"/>
      <c r="B78" s="633"/>
      <c r="C78" s="633"/>
      <c r="D78" s="633"/>
      <c r="E78" s="201"/>
      <c r="F78" s="602"/>
      <c r="G78" s="633"/>
      <c r="H78" s="633"/>
      <c r="I78" s="633"/>
      <c r="J78" s="201"/>
      <c r="K78" s="201"/>
      <c r="L78" s="633"/>
      <c r="M78" s="633"/>
      <c r="N78" s="633"/>
      <c r="O78" s="602"/>
      <c r="P78" s="201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ht="15.75" customHeight="1">
      <c r="A80" s="201"/>
      <c r="B80" s="631"/>
      <c r="E80" s="602"/>
      <c r="F80" s="602"/>
      <c r="G80" s="631"/>
      <c r="J80" s="606"/>
      <c r="K80" s="606"/>
      <c r="L80" s="640"/>
      <c r="O80" s="602"/>
      <c r="P80" s="201"/>
    </row>
    <row r="81" ht="15.75" customHeight="1">
      <c r="A81" s="201"/>
      <c r="B81" s="632"/>
      <c r="C81" s="632"/>
      <c r="D81" s="632"/>
      <c r="E81" s="201"/>
      <c r="F81" s="602"/>
      <c r="G81" s="632"/>
      <c r="H81" s="632"/>
      <c r="I81" s="632"/>
      <c r="J81" s="201"/>
      <c r="K81" s="201"/>
      <c r="L81" s="641"/>
      <c r="M81" s="188"/>
      <c r="N81" s="189"/>
      <c r="O81" s="602"/>
      <c r="P81" s="201"/>
    </row>
    <row r="82" ht="54.75" customHeight="1">
      <c r="A82" s="201"/>
      <c r="B82" s="633"/>
      <c r="C82" s="635"/>
      <c r="D82" s="88"/>
      <c r="E82" s="201"/>
      <c r="F82" s="602"/>
      <c r="G82" s="633"/>
      <c r="H82" s="635"/>
      <c r="I82" s="88"/>
      <c r="J82" s="201"/>
      <c r="K82" s="201"/>
      <c r="L82" s="191"/>
      <c r="M82" s="192"/>
      <c r="N82" s="142"/>
      <c r="O82" s="201"/>
      <c r="P82" s="201"/>
    </row>
    <row r="83" ht="22.5" customHeight="1">
      <c r="A83" s="201"/>
      <c r="B83" s="633"/>
      <c r="C83" s="633"/>
      <c r="D83" s="636"/>
      <c r="E83" s="201"/>
      <c r="F83" s="602"/>
      <c r="G83" s="633"/>
      <c r="H83" s="633"/>
      <c r="I83" s="636"/>
      <c r="J83" s="201"/>
      <c r="K83" s="201"/>
      <c r="L83" s="201"/>
      <c r="M83" s="201"/>
      <c r="N83" s="201"/>
      <c r="O83" s="602"/>
      <c r="P83" s="201"/>
    </row>
    <row r="84" ht="22.5" customHeight="1">
      <c r="A84" s="201"/>
      <c r="B84" s="633"/>
      <c r="C84" s="633"/>
      <c r="D84" s="636"/>
      <c r="E84" s="201"/>
      <c r="F84" s="602"/>
      <c r="G84" s="633"/>
      <c r="H84" s="633"/>
      <c r="I84" s="636"/>
      <c r="J84" s="201"/>
      <c r="K84" s="201"/>
      <c r="L84" s="642"/>
      <c r="O84" s="602"/>
      <c r="P84" s="201"/>
    </row>
    <row r="85" ht="22.5" customHeight="1">
      <c r="A85" s="201"/>
      <c r="B85" s="633"/>
      <c r="C85" s="637"/>
      <c r="D85" s="638"/>
      <c r="E85" s="201"/>
      <c r="F85" s="639"/>
      <c r="G85" s="633"/>
      <c r="H85" s="637"/>
      <c r="I85" s="638"/>
      <c r="J85" s="201"/>
      <c r="K85" s="201"/>
      <c r="L85" s="642"/>
      <c r="O85" s="201"/>
      <c r="P85" s="201"/>
    </row>
    <row r="86" ht="22.5" customHeight="1">
      <c r="A86" s="201"/>
      <c r="B86" s="633"/>
      <c r="C86" s="633"/>
      <c r="D86" s="636"/>
      <c r="E86" s="201"/>
      <c r="F86" s="201"/>
      <c r="G86" s="633"/>
      <c r="H86" s="633"/>
      <c r="I86" s="636"/>
      <c r="J86" s="201"/>
      <c r="K86" s="201"/>
      <c r="L86" s="201"/>
      <c r="M86" s="201"/>
      <c r="N86" s="201"/>
      <c r="O86" s="602"/>
      <c r="P86" s="201"/>
    </row>
    <row r="87" ht="22.5" customHeight="1">
      <c r="A87" s="201"/>
      <c r="B87" s="633"/>
      <c r="C87" s="633"/>
      <c r="D87" s="633"/>
      <c r="E87" s="201"/>
      <c r="F87" s="602"/>
      <c r="G87" s="633"/>
      <c r="H87" s="633"/>
      <c r="I87" s="633"/>
      <c r="J87" s="201"/>
      <c r="K87" s="201"/>
      <c r="L87" s="201"/>
      <c r="M87" s="201"/>
      <c r="N87" s="201"/>
      <c r="O87" s="602"/>
      <c r="P87" s="602"/>
    </row>
    <row r="88" ht="22.5" customHeight="1">
      <c r="A88" s="201"/>
      <c r="B88" s="633"/>
      <c r="C88" s="633"/>
      <c r="D88" s="633"/>
      <c r="E88" s="201"/>
      <c r="F88" s="602"/>
      <c r="G88" s="633"/>
      <c r="H88" s="633"/>
      <c r="I88" s="633"/>
      <c r="J88" s="201"/>
      <c r="K88" s="201"/>
      <c r="L88" s="642"/>
      <c r="O88" s="201"/>
      <c r="P88" s="201"/>
    </row>
    <row r="89" ht="22.5" customHeight="1">
      <c r="A89" s="201"/>
      <c r="B89" s="633"/>
      <c r="C89" s="633"/>
      <c r="D89" s="633"/>
      <c r="E89" s="201"/>
      <c r="F89" s="602"/>
      <c r="G89" s="633"/>
      <c r="H89" s="633"/>
      <c r="I89" s="633"/>
      <c r="J89" s="201"/>
      <c r="K89" s="201"/>
      <c r="L89" s="602"/>
      <c r="M89" s="602"/>
      <c r="N89" s="602"/>
      <c r="O89" s="602"/>
      <c r="P89" s="201"/>
    </row>
    <row r="90" ht="22.5" customHeight="1">
      <c r="A90" s="201"/>
      <c r="B90" s="633"/>
      <c r="C90" s="633"/>
      <c r="D90" s="633"/>
      <c r="E90" s="201"/>
      <c r="F90" s="602"/>
      <c r="G90" s="633"/>
      <c r="H90" s="633"/>
      <c r="I90" s="633"/>
      <c r="J90" s="201"/>
      <c r="K90" s="201"/>
      <c r="L90" s="201"/>
      <c r="M90" s="201"/>
      <c r="N90" s="201"/>
      <c r="O90" s="602"/>
      <c r="P90" s="201"/>
    </row>
    <row r="91" ht="22.5" customHeight="1">
      <c r="A91" s="201"/>
      <c r="B91" s="633"/>
      <c r="C91" s="633"/>
      <c r="D91" s="633"/>
      <c r="E91" s="201"/>
      <c r="F91" s="602"/>
      <c r="G91" s="633"/>
      <c r="H91" s="633"/>
      <c r="I91" s="633"/>
      <c r="J91" s="201"/>
      <c r="K91" s="201"/>
      <c r="L91" s="643"/>
      <c r="M91" s="192"/>
      <c r="N91" s="192"/>
      <c r="O91" s="602"/>
      <c r="P91" s="201"/>
    </row>
    <row r="92" ht="22.5" customHeight="1">
      <c r="A92" s="201"/>
      <c r="B92" s="633"/>
      <c r="C92" s="633"/>
      <c r="D92" s="633"/>
      <c r="E92" s="201"/>
      <c r="F92" s="602"/>
      <c r="G92" s="633"/>
      <c r="H92" s="633"/>
      <c r="I92" s="633"/>
      <c r="J92" s="201"/>
      <c r="K92" s="201"/>
      <c r="L92" s="644"/>
      <c r="M92" s="644"/>
      <c r="N92" s="644"/>
      <c r="O92" s="602"/>
      <c r="P92" s="201"/>
    </row>
    <row r="93" ht="15.75" customHeight="1">
      <c r="A93" s="201"/>
      <c r="B93" s="631"/>
      <c r="E93" s="602"/>
      <c r="F93" s="602"/>
      <c r="G93" s="631"/>
      <c r="J93" s="606"/>
      <c r="K93" s="606"/>
      <c r="L93" s="640"/>
      <c r="O93" s="602"/>
      <c r="P93" s="201"/>
    </row>
    <row r="94" ht="15.75" customHeight="1">
      <c r="A94" s="201"/>
      <c r="B94" s="632"/>
      <c r="C94" s="632"/>
      <c r="D94" s="632"/>
      <c r="E94" s="201"/>
      <c r="F94" s="602"/>
      <c r="G94" s="632"/>
      <c r="H94" s="632"/>
      <c r="I94" s="632"/>
      <c r="J94" s="201"/>
      <c r="K94" s="201"/>
      <c r="L94" s="641"/>
      <c r="M94" s="188"/>
      <c r="N94" s="189"/>
      <c r="O94" s="602"/>
      <c r="P94" s="201"/>
    </row>
    <row r="95" ht="54.75" customHeight="1">
      <c r="A95" s="201"/>
      <c r="B95" s="633"/>
      <c r="C95" s="634"/>
      <c r="D95" s="88"/>
      <c r="E95" s="201"/>
      <c r="F95" s="602"/>
      <c r="G95" s="633"/>
      <c r="H95" s="635"/>
      <c r="I95" s="88"/>
      <c r="J95" s="201"/>
      <c r="K95" s="201"/>
      <c r="L95" s="191"/>
      <c r="M95" s="192"/>
      <c r="N95" s="142"/>
      <c r="O95" s="201"/>
      <c r="P95" s="201"/>
    </row>
    <row r="96" ht="22.5" customHeight="1">
      <c r="A96" s="201"/>
      <c r="B96" s="633"/>
      <c r="C96" s="633"/>
      <c r="D96" s="636"/>
      <c r="E96" s="201"/>
      <c r="F96" s="602"/>
      <c r="G96" s="633"/>
      <c r="H96" s="633"/>
      <c r="I96" s="636"/>
      <c r="J96" s="201"/>
      <c r="K96" s="201"/>
      <c r="L96" s="201"/>
      <c r="M96" s="201"/>
      <c r="N96" s="201"/>
      <c r="O96" s="602"/>
      <c r="P96" s="201"/>
    </row>
    <row r="97" ht="22.5" customHeight="1">
      <c r="A97" s="201"/>
      <c r="B97" s="633"/>
      <c r="C97" s="633"/>
      <c r="D97" s="636"/>
      <c r="E97" s="201"/>
      <c r="F97" s="602"/>
      <c r="G97" s="633"/>
      <c r="H97" s="633"/>
      <c r="I97" s="636"/>
      <c r="J97" s="201"/>
      <c r="K97" s="201"/>
      <c r="L97" s="642"/>
      <c r="O97" s="602"/>
      <c r="P97" s="201"/>
    </row>
    <row r="98" ht="22.5" customHeight="1">
      <c r="A98" s="201"/>
      <c r="B98" s="633"/>
      <c r="C98" s="637"/>
      <c r="D98" s="638"/>
      <c r="E98" s="201"/>
      <c r="F98" s="639"/>
      <c r="G98" s="633"/>
      <c r="H98" s="637"/>
      <c r="I98" s="638"/>
      <c r="J98" s="201"/>
      <c r="K98" s="201"/>
      <c r="L98" s="642"/>
      <c r="O98" s="201"/>
      <c r="P98" s="201"/>
    </row>
    <row r="99" ht="22.5" customHeight="1">
      <c r="A99" s="201"/>
      <c r="B99" s="633"/>
      <c r="C99" s="633"/>
      <c r="D99" s="636"/>
      <c r="E99" s="201"/>
      <c r="F99" s="201"/>
      <c r="G99" s="633"/>
      <c r="H99" s="633"/>
      <c r="I99" s="636"/>
      <c r="J99" s="201"/>
      <c r="K99" s="201"/>
      <c r="L99" s="201"/>
      <c r="M99" s="201"/>
      <c r="N99" s="201"/>
      <c r="O99" s="602"/>
      <c r="P99" s="201"/>
    </row>
    <row r="100" ht="22.5" customHeight="1">
      <c r="A100" s="201"/>
      <c r="B100" s="633"/>
      <c r="C100" s="633"/>
      <c r="D100" s="633"/>
      <c r="E100" s="201"/>
      <c r="F100" s="602"/>
      <c r="G100" s="633"/>
      <c r="H100" s="633"/>
      <c r="I100" s="633"/>
      <c r="J100" s="201"/>
      <c r="K100" s="201"/>
      <c r="L100" s="201"/>
      <c r="M100" s="201"/>
      <c r="N100" s="201"/>
      <c r="O100" s="602"/>
      <c r="P100" s="602"/>
    </row>
    <row r="101" ht="22.5" customHeight="1">
      <c r="A101" s="201"/>
      <c r="B101" s="633"/>
      <c r="C101" s="633"/>
      <c r="D101" s="633"/>
      <c r="E101" s="201"/>
      <c r="F101" s="602"/>
      <c r="G101" s="633"/>
      <c r="H101" s="633"/>
      <c r="I101" s="633"/>
      <c r="J101" s="201"/>
      <c r="K101" s="201"/>
      <c r="L101" s="642"/>
      <c r="O101" s="201"/>
      <c r="P101" s="201"/>
    </row>
    <row r="102" ht="22.5" customHeight="1">
      <c r="A102" s="201"/>
      <c r="B102" s="633"/>
      <c r="C102" s="633"/>
      <c r="D102" s="633"/>
      <c r="E102" s="201"/>
      <c r="F102" s="602"/>
      <c r="G102" s="633"/>
      <c r="H102" s="633"/>
      <c r="I102" s="633"/>
      <c r="J102" s="201"/>
      <c r="K102" s="201"/>
      <c r="L102" s="602"/>
      <c r="M102" s="602"/>
      <c r="N102" s="602"/>
      <c r="O102" s="602"/>
      <c r="P102" s="201"/>
    </row>
    <row r="103" ht="22.5" customHeight="1">
      <c r="A103" s="201"/>
      <c r="B103" s="633"/>
      <c r="C103" s="633"/>
      <c r="D103" s="633"/>
      <c r="E103" s="201"/>
      <c r="F103" s="602"/>
      <c r="G103" s="633"/>
      <c r="H103" s="633"/>
      <c r="I103" s="633"/>
      <c r="J103" s="201"/>
      <c r="K103" s="201"/>
      <c r="L103" s="201"/>
      <c r="M103" s="201"/>
      <c r="N103" s="201"/>
      <c r="O103" s="602"/>
      <c r="P103" s="201"/>
    </row>
    <row r="104" ht="22.5" customHeight="1">
      <c r="A104" s="201"/>
      <c r="B104" s="633"/>
      <c r="C104" s="633"/>
      <c r="D104" s="633"/>
      <c r="E104" s="201"/>
      <c r="F104" s="602"/>
      <c r="G104" s="633"/>
      <c r="H104" s="633"/>
      <c r="I104" s="633"/>
      <c r="J104" s="201"/>
      <c r="K104" s="201"/>
      <c r="L104" s="643"/>
      <c r="M104" s="192"/>
      <c r="N104" s="192"/>
      <c r="O104" s="602"/>
      <c r="P104" s="201"/>
    </row>
    <row r="105" ht="22.5" customHeight="1">
      <c r="A105" s="201"/>
      <c r="B105" s="645"/>
      <c r="C105" s="645"/>
      <c r="D105" s="645"/>
      <c r="E105" s="201"/>
      <c r="F105" s="602"/>
      <c r="G105" s="645"/>
      <c r="H105" s="645"/>
      <c r="I105" s="645"/>
      <c r="J105" s="201"/>
      <c r="K105" s="201"/>
      <c r="L105" s="644"/>
      <c r="M105" s="644"/>
      <c r="N105" s="644"/>
      <c r="O105" s="602"/>
      <c r="P105" s="201"/>
    </row>
    <row r="106" ht="22.5" customHeight="1">
      <c r="A106" s="201"/>
      <c r="B106" s="645"/>
      <c r="C106" s="645"/>
      <c r="D106" s="645"/>
      <c r="E106" s="201"/>
      <c r="F106" s="602"/>
      <c r="G106" s="645"/>
      <c r="H106" s="645"/>
      <c r="I106" s="645"/>
      <c r="J106" s="201"/>
      <c r="K106" s="201"/>
      <c r="L106" s="644"/>
      <c r="M106" s="644"/>
      <c r="N106" s="644"/>
      <c r="O106" s="602"/>
      <c r="P106" s="201"/>
    </row>
    <row r="107" ht="22.5" customHeight="1">
      <c r="A107" s="201"/>
      <c r="B107" s="645"/>
      <c r="C107" s="645"/>
      <c r="D107" s="645"/>
      <c r="E107" s="201"/>
      <c r="F107" s="602"/>
      <c r="G107" s="645"/>
      <c r="H107" s="645"/>
      <c r="I107" s="645"/>
      <c r="J107" s="201"/>
      <c r="K107" s="201"/>
      <c r="L107" s="644"/>
      <c r="M107" s="644"/>
      <c r="N107" s="644"/>
      <c r="O107" s="602"/>
      <c r="P107" s="201"/>
    </row>
    <row r="108" ht="22.5" customHeight="1">
      <c r="A108" s="201"/>
      <c r="B108" s="645"/>
      <c r="C108" s="645"/>
      <c r="D108" s="645"/>
      <c r="E108" s="201"/>
      <c r="F108" s="602"/>
      <c r="G108" s="645"/>
      <c r="H108" s="645"/>
      <c r="I108" s="645"/>
      <c r="J108" s="201"/>
      <c r="K108" s="201"/>
      <c r="L108" s="644"/>
      <c r="M108" s="644"/>
      <c r="N108" s="644"/>
      <c r="O108" s="602"/>
      <c r="P108" s="201"/>
    </row>
    <row r="109" ht="22.5" customHeight="1">
      <c r="A109" s="201"/>
      <c r="B109" s="645"/>
      <c r="C109" s="645"/>
      <c r="D109" s="645"/>
      <c r="E109" s="201"/>
      <c r="F109" s="602"/>
      <c r="G109" s="645"/>
      <c r="H109" s="645"/>
      <c r="I109" s="645"/>
      <c r="J109" s="201"/>
      <c r="K109" s="201"/>
      <c r="L109" s="644"/>
      <c r="M109" s="644"/>
      <c r="N109" s="644"/>
      <c r="O109" s="602"/>
      <c r="P109" s="201"/>
    </row>
    <row r="110" ht="22.5" customHeight="1">
      <c r="A110" s="201"/>
      <c r="B110" s="645"/>
      <c r="C110" s="645"/>
      <c r="D110" s="645"/>
      <c r="E110" s="201"/>
      <c r="F110" s="602"/>
      <c r="G110" s="645"/>
      <c r="H110" s="645"/>
      <c r="I110" s="645"/>
      <c r="J110" s="201"/>
      <c r="K110" s="201"/>
      <c r="L110" s="644"/>
      <c r="M110" s="644"/>
      <c r="N110" s="644"/>
      <c r="O110" s="602"/>
      <c r="P110" s="201"/>
    </row>
    <row r="111" ht="22.5" customHeight="1">
      <c r="A111" s="201"/>
      <c r="B111" s="645"/>
      <c r="C111" s="645"/>
      <c r="D111" s="645"/>
      <c r="E111" s="201"/>
      <c r="F111" s="602"/>
      <c r="G111" s="645"/>
      <c r="H111" s="645"/>
      <c r="I111" s="645"/>
      <c r="J111" s="201"/>
      <c r="K111" s="201"/>
      <c r="L111" s="644"/>
      <c r="M111" s="644"/>
      <c r="N111" s="644"/>
      <c r="O111" s="602"/>
      <c r="P111" s="201"/>
    </row>
    <row r="112" ht="22.5" customHeight="1">
      <c r="A112" s="201"/>
      <c r="B112" s="645"/>
      <c r="C112" s="645"/>
      <c r="D112" s="645"/>
      <c r="E112" s="201"/>
      <c r="F112" s="602"/>
      <c r="G112" s="645"/>
      <c r="H112" s="645"/>
      <c r="I112" s="645"/>
      <c r="J112" s="201"/>
      <c r="K112" s="201"/>
      <c r="L112" s="644"/>
      <c r="M112" s="644"/>
      <c r="N112" s="644"/>
      <c r="O112" s="602"/>
      <c r="P112" s="201"/>
    </row>
    <row r="113" ht="22.5" customHeight="1">
      <c r="A113" s="201"/>
      <c r="B113" s="645"/>
      <c r="C113" s="645"/>
      <c r="D113" s="645"/>
      <c r="E113" s="201"/>
      <c r="F113" s="602"/>
      <c r="G113" s="645"/>
      <c r="H113" s="645"/>
      <c r="I113" s="645"/>
      <c r="J113" s="201"/>
      <c r="K113" s="201"/>
      <c r="L113" s="644"/>
      <c r="M113" s="644"/>
      <c r="N113" s="644"/>
      <c r="O113" s="602"/>
      <c r="P113" s="201"/>
    </row>
    <row r="114" ht="22.5" customHeight="1">
      <c r="A114" s="201"/>
      <c r="B114" s="645"/>
      <c r="C114" s="645"/>
      <c r="D114" s="645"/>
      <c r="E114" s="201"/>
      <c r="F114" s="602"/>
      <c r="G114" s="645"/>
      <c r="H114" s="645"/>
      <c r="I114" s="645"/>
      <c r="J114" s="201"/>
      <c r="K114" s="201"/>
      <c r="L114" s="644"/>
      <c r="M114" s="644"/>
      <c r="N114" s="644"/>
      <c r="O114" s="602"/>
      <c r="P114" s="201"/>
    </row>
    <row r="115" ht="22.5" customHeight="1">
      <c r="A115" s="201"/>
      <c r="B115" s="645"/>
      <c r="C115" s="645"/>
      <c r="D115" s="645"/>
      <c r="E115" s="201"/>
      <c r="F115" s="602"/>
      <c r="G115" s="645"/>
      <c r="H115" s="645"/>
      <c r="I115" s="645"/>
      <c r="J115" s="201"/>
      <c r="K115" s="201"/>
      <c r="L115" s="644"/>
      <c r="M115" s="644"/>
      <c r="N115" s="644"/>
      <c r="O115" s="602"/>
      <c r="P115" s="201"/>
    </row>
    <row r="116" ht="22.5" customHeight="1">
      <c r="A116" s="201"/>
      <c r="B116" s="645"/>
      <c r="C116" s="645"/>
      <c r="D116" s="645"/>
      <c r="E116" s="201"/>
      <c r="F116" s="602"/>
      <c r="G116" s="645"/>
      <c r="H116" s="645"/>
      <c r="I116" s="645"/>
      <c r="J116" s="201"/>
      <c r="K116" s="201"/>
      <c r="L116" s="644"/>
      <c r="M116" s="644"/>
      <c r="N116" s="644"/>
      <c r="O116" s="602"/>
      <c r="P116" s="201"/>
    </row>
    <row r="117" ht="22.5" customHeight="1">
      <c r="A117" s="201"/>
      <c r="B117" s="645"/>
      <c r="C117" s="645"/>
      <c r="D117" s="645"/>
      <c r="E117" s="201"/>
      <c r="F117" s="602"/>
      <c r="G117" s="645"/>
      <c r="H117" s="645"/>
      <c r="I117" s="645"/>
      <c r="J117" s="201"/>
      <c r="K117" s="201"/>
      <c r="L117" s="644"/>
      <c r="M117" s="644"/>
      <c r="N117" s="644"/>
      <c r="O117" s="602"/>
      <c r="P117" s="201"/>
    </row>
    <row r="118" ht="22.5" customHeight="1">
      <c r="A118" s="201"/>
      <c r="B118" s="645"/>
      <c r="C118" s="645"/>
      <c r="D118" s="645"/>
      <c r="E118" s="201"/>
      <c r="F118" s="602"/>
      <c r="G118" s="645"/>
      <c r="H118" s="645"/>
      <c r="I118" s="645"/>
      <c r="J118" s="201"/>
      <c r="K118" s="201"/>
      <c r="L118" s="644"/>
      <c r="M118" s="644"/>
      <c r="N118" s="644"/>
      <c r="O118" s="602"/>
      <c r="P118" s="201"/>
    </row>
    <row r="119" ht="22.5" customHeight="1">
      <c r="A119" s="201"/>
      <c r="B119" s="645"/>
      <c r="C119" s="645"/>
      <c r="D119" s="645"/>
      <c r="E119" s="201"/>
      <c r="F119" s="602"/>
      <c r="G119" s="645"/>
      <c r="H119" s="645"/>
      <c r="I119" s="645"/>
      <c r="J119" s="201"/>
      <c r="K119" s="201"/>
      <c r="L119" s="644"/>
      <c r="M119" s="644"/>
      <c r="N119" s="644"/>
      <c r="O119" s="602"/>
      <c r="P119" s="201"/>
    </row>
    <row r="120" ht="22.5" customHeight="1">
      <c r="A120" s="201"/>
      <c r="B120" s="645"/>
      <c r="C120" s="645"/>
      <c r="D120" s="645"/>
      <c r="E120" s="201"/>
      <c r="F120" s="602"/>
      <c r="G120" s="645"/>
      <c r="H120" s="645"/>
      <c r="I120" s="645"/>
      <c r="J120" s="201"/>
      <c r="K120" s="201"/>
      <c r="L120" s="644"/>
      <c r="M120" s="644"/>
      <c r="N120" s="644"/>
      <c r="O120" s="602"/>
      <c r="P120" s="201"/>
    </row>
    <row r="121" ht="22.5" customHeight="1">
      <c r="A121" s="201"/>
      <c r="B121" s="645"/>
      <c r="C121" s="645"/>
      <c r="D121" s="645"/>
      <c r="E121" s="201"/>
      <c r="F121" s="602"/>
      <c r="G121" s="645"/>
      <c r="H121" s="645"/>
      <c r="I121" s="645"/>
      <c r="J121" s="201"/>
      <c r="K121" s="201"/>
      <c r="L121" s="644"/>
      <c r="M121" s="644"/>
      <c r="N121" s="644"/>
      <c r="O121" s="602"/>
      <c r="P121" s="201"/>
    </row>
    <row r="122" ht="22.5" customHeight="1">
      <c r="A122" s="201"/>
      <c r="B122" s="645"/>
      <c r="C122" s="645"/>
      <c r="D122" s="645"/>
      <c r="E122" s="201"/>
      <c r="F122" s="602"/>
      <c r="G122" s="645"/>
      <c r="H122" s="645"/>
      <c r="I122" s="645"/>
      <c r="J122" s="201"/>
      <c r="K122" s="201"/>
      <c r="L122" s="644"/>
      <c r="M122" s="644"/>
      <c r="N122" s="644"/>
      <c r="O122" s="602"/>
      <c r="P122" s="201"/>
    </row>
    <row r="123" ht="22.5" customHeight="1">
      <c r="A123" s="201"/>
      <c r="B123" s="645"/>
      <c r="C123" s="645"/>
      <c r="D123" s="645"/>
      <c r="E123" s="201"/>
      <c r="F123" s="602"/>
      <c r="G123" s="645"/>
      <c r="H123" s="645"/>
      <c r="I123" s="645"/>
      <c r="J123" s="201"/>
      <c r="K123" s="201"/>
      <c r="L123" s="644"/>
      <c r="M123" s="644"/>
      <c r="N123" s="644"/>
      <c r="O123" s="602"/>
      <c r="P123" s="201"/>
    </row>
    <row r="124" ht="22.5" customHeight="1">
      <c r="A124" s="201"/>
      <c r="B124" s="645"/>
      <c r="C124" s="645"/>
      <c r="D124" s="645"/>
      <c r="E124" s="201"/>
      <c r="F124" s="602"/>
      <c r="G124" s="645"/>
      <c r="H124" s="645"/>
      <c r="I124" s="645"/>
      <c r="J124" s="201"/>
      <c r="K124" s="201"/>
      <c r="L124" s="644"/>
      <c r="M124" s="644"/>
      <c r="N124" s="644"/>
      <c r="O124" s="602"/>
      <c r="P124" s="201"/>
    </row>
    <row r="125" ht="22.5" customHeight="1">
      <c r="A125" s="201"/>
      <c r="B125" s="645"/>
      <c r="C125" s="645"/>
      <c r="D125" s="645"/>
      <c r="E125" s="201"/>
      <c r="F125" s="602"/>
      <c r="G125" s="645"/>
      <c r="H125" s="645"/>
      <c r="I125" s="645"/>
      <c r="J125" s="201"/>
      <c r="K125" s="201"/>
      <c r="L125" s="644"/>
      <c r="M125" s="644"/>
      <c r="N125" s="644"/>
      <c r="O125" s="602"/>
      <c r="P125" s="201"/>
    </row>
    <row r="126" ht="22.5" customHeight="1">
      <c r="A126" s="201"/>
      <c r="B126" s="645"/>
      <c r="C126" s="645"/>
      <c r="D126" s="645"/>
      <c r="E126" s="201"/>
      <c r="F126" s="602"/>
      <c r="G126" s="645"/>
      <c r="H126" s="645"/>
      <c r="I126" s="645"/>
      <c r="J126" s="201"/>
      <c r="K126" s="201"/>
      <c r="L126" s="644"/>
      <c r="M126" s="644"/>
      <c r="N126" s="644"/>
      <c r="O126" s="602"/>
      <c r="P126" s="201"/>
    </row>
    <row r="127" ht="22.5" customHeight="1">
      <c r="A127" s="201"/>
      <c r="B127" s="645"/>
      <c r="C127" s="645"/>
      <c r="D127" s="645"/>
      <c r="E127" s="201"/>
      <c r="F127" s="602"/>
      <c r="G127" s="645"/>
      <c r="H127" s="645"/>
      <c r="I127" s="645"/>
      <c r="J127" s="201"/>
      <c r="K127" s="201"/>
      <c r="L127" s="644"/>
      <c r="M127" s="644"/>
      <c r="N127" s="644"/>
      <c r="O127" s="602"/>
      <c r="P127" s="201"/>
    </row>
    <row r="128" ht="22.5" customHeight="1">
      <c r="A128" s="201"/>
      <c r="B128" s="645"/>
      <c r="C128" s="645"/>
      <c r="D128" s="645"/>
      <c r="E128" s="201"/>
      <c r="F128" s="602"/>
      <c r="G128" s="645"/>
      <c r="H128" s="645"/>
      <c r="I128" s="645"/>
      <c r="J128" s="201"/>
      <c r="K128" s="201"/>
      <c r="L128" s="644"/>
      <c r="M128" s="644"/>
      <c r="N128" s="644"/>
      <c r="O128" s="602"/>
      <c r="P128" s="201"/>
    </row>
    <row r="129" ht="22.5" customHeight="1">
      <c r="A129" s="201"/>
      <c r="B129" s="645"/>
      <c r="C129" s="645"/>
      <c r="D129" s="645"/>
      <c r="E129" s="201"/>
      <c r="F129" s="602"/>
      <c r="G129" s="645"/>
      <c r="H129" s="645"/>
      <c r="I129" s="645"/>
      <c r="J129" s="201"/>
      <c r="K129" s="201"/>
      <c r="L129" s="644"/>
      <c r="M129" s="644"/>
      <c r="N129" s="644"/>
      <c r="O129" s="602"/>
      <c r="P129" s="201"/>
    </row>
    <row r="130" ht="22.5" customHeight="1">
      <c r="A130" s="201"/>
      <c r="B130" s="645"/>
      <c r="C130" s="645"/>
      <c r="D130" s="645"/>
      <c r="E130" s="201"/>
      <c r="F130" s="602"/>
      <c r="G130" s="645"/>
      <c r="H130" s="645"/>
      <c r="I130" s="645"/>
      <c r="J130" s="201"/>
      <c r="K130" s="201"/>
      <c r="L130" s="644"/>
      <c r="M130" s="644"/>
      <c r="N130" s="644"/>
      <c r="O130" s="602"/>
      <c r="P130" s="201"/>
    </row>
    <row r="131" ht="22.5" customHeight="1">
      <c r="A131" s="201"/>
      <c r="B131" s="645"/>
      <c r="C131" s="645"/>
      <c r="D131" s="645"/>
      <c r="E131" s="201"/>
      <c r="F131" s="602"/>
      <c r="G131" s="645"/>
      <c r="H131" s="645"/>
      <c r="I131" s="645"/>
      <c r="J131" s="201"/>
      <c r="K131" s="201"/>
      <c r="L131" s="644"/>
      <c r="M131" s="644"/>
      <c r="N131" s="644"/>
      <c r="O131" s="602"/>
      <c r="P131" s="201"/>
    </row>
    <row r="132" ht="22.5" customHeight="1">
      <c r="A132" s="201"/>
      <c r="B132" s="645"/>
      <c r="C132" s="645"/>
      <c r="D132" s="645"/>
      <c r="E132" s="201"/>
      <c r="F132" s="602"/>
      <c r="G132" s="645"/>
      <c r="H132" s="645"/>
      <c r="I132" s="645"/>
      <c r="J132" s="201"/>
      <c r="K132" s="201"/>
      <c r="L132" s="644"/>
      <c r="M132" s="644"/>
      <c r="N132" s="644"/>
      <c r="O132" s="602"/>
      <c r="P132" s="201"/>
    </row>
    <row r="133" ht="22.5" customHeight="1">
      <c r="A133" s="201"/>
      <c r="B133" s="645"/>
      <c r="C133" s="645"/>
      <c r="D133" s="645"/>
      <c r="E133" s="201"/>
      <c r="F133" s="602"/>
      <c r="G133" s="645"/>
      <c r="H133" s="645"/>
      <c r="I133" s="645"/>
      <c r="J133" s="201"/>
      <c r="K133" s="201"/>
      <c r="L133" s="644"/>
      <c r="M133" s="644"/>
      <c r="N133" s="644"/>
      <c r="O133" s="602"/>
      <c r="P133" s="201"/>
    </row>
    <row r="134" ht="22.5" customHeight="1">
      <c r="A134" s="201"/>
      <c r="B134" s="645"/>
      <c r="C134" s="645"/>
      <c r="D134" s="645"/>
      <c r="E134" s="201"/>
      <c r="F134" s="602"/>
      <c r="G134" s="645"/>
      <c r="H134" s="645"/>
      <c r="I134" s="645"/>
      <c r="J134" s="201"/>
      <c r="K134" s="201"/>
      <c r="L134" s="644"/>
      <c r="M134" s="644"/>
      <c r="N134" s="644"/>
      <c r="O134" s="602"/>
      <c r="P134" s="201"/>
    </row>
    <row r="135" ht="22.5" customHeight="1">
      <c r="A135" s="201"/>
      <c r="B135" s="645"/>
      <c r="C135" s="645"/>
      <c r="D135" s="645"/>
      <c r="E135" s="201"/>
      <c r="F135" s="602"/>
      <c r="G135" s="645"/>
      <c r="H135" s="645"/>
      <c r="I135" s="645"/>
      <c r="J135" s="201"/>
      <c r="K135" s="201"/>
      <c r="L135" s="644"/>
      <c r="M135" s="644"/>
      <c r="N135" s="644"/>
      <c r="O135" s="602"/>
      <c r="P135" s="201"/>
    </row>
    <row r="136" ht="22.5" customHeight="1">
      <c r="A136" s="201"/>
      <c r="B136" s="645"/>
      <c r="C136" s="645"/>
      <c r="D136" s="645"/>
      <c r="E136" s="201"/>
      <c r="F136" s="602"/>
      <c r="G136" s="645"/>
      <c r="H136" s="645"/>
      <c r="I136" s="645"/>
      <c r="J136" s="201"/>
      <c r="K136" s="201"/>
      <c r="L136" s="644"/>
      <c r="M136" s="644"/>
      <c r="N136" s="644"/>
      <c r="O136" s="602"/>
      <c r="P136" s="201"/>
    </row>
    <row r="137" ht="22.5" customHeight="1">
      <c r="A137" s="201"/>
      <c r="B137" s="645"/>
      <c r="C137" s="645"/>
      <c r="D137" s="645"/>
      <c r="E137" s="201"/>
      <c r="F137" s="602"/>
      <c r="G137" s="645"/>
      <c r="H137" s="645"/>
      <c r="I137" s="645"/>
      <c r="J137" s="201"/>
      <c r="K137" s="201"/>
      <c r="L137" s="644"/>
      <c r="M137" s="644"/>
      <c r="N137" s="644"/>
      <c r="O137" s="602"/>
      <c r="P137" s="201"/>
    </row>
    <row r="138" ht="22.5" customHeight="1">
      <c r="A138" s="201"/>
      <c r="B138" s="645"/>
      <c r="C138" s="645"/>
      <c r="D138" s="645"/>
      <c r="E138" s="201"/>
      <c r="F138" s="602"/>
      <c r="G138" s="645"/>
      <c r="H138" s="645"/>
      <c r="I138" s="645"/>
      <c r="J138" s="201"/>
      <c r="K138" s="201"/>
      <c r="L138" s="644"/>
      <c r="M138" s="644"/>
      <c r="N138" s="644"/>
      <c r="O138" s="602"/>
      <c r="P138" s="201"/>
    </row>
    <row r="139" ht="22.5" customHeight="1">
      <c r="A139" s="201"/>
      <c r="B139" s="645"/>
      <c r="C139" s="645"/>
      <c r="D139" s="645"/>
      <c r="E139" s="201"/>
      <c r="F139" s="602"/>
      <c r="G139" s="645"/>
      <c r="H139" s="645"/>
      <c r="I139" s="645"/>
      <c r="J139" s="201"/>
      <c r="K139" s="201"/>
      <c r="L139" s="644"/>
      <c r="M139" s="644"/>
      <c r="N139" s="644"/>
      <c r="O139" s="602"/>
      <c r="P139" s="201"/>
    </row>
    <row r="140" ht="22.5" customHeight="1">
      <c r="A140" s="201"/>
      <c r="B140" s="645"/>
      <c r="C140" s="645"/>
      <c r="D140" s="645"/>
      <c r="E140" s="201"/>
      <c r="F140" s="602"/>
      <c r="G140" s="645"/>
      <c r="H140" s="645"/>
      <c r="I140" s="645"/>
      <c r="J140" s="201"/>
      <c r="K140" s="201"/>
      <c r="L140" s="644"/>
      <c r="M140" s="644"/>
      <c r="N140" s="644"/>
      <c r="O140" s="602"/>
      <c r="P140" s="201"/>
    </row>
    <row r="141" ht="22.5" customHeight="1">
      <c r="A141" s="201"/>
      <c r="B141" s="645"/>
      <c r="C141" s="645"/>
      <c r="D141" s="645"/>
      <c r="E141" s="201"/>
      <c r="F141" s="602"/>
      <c r="G141" s="645"/>
      <c r="H141" s="645"/>
      <c r="I141" s="645"/>
      <c r="J141" s="201"/>
      <c r="K141" s="201"/>
      <c r="L141" s="644"/>
      <c r="M141" s="644"/>
      <c r="N141" s="644"/>
      <c r="O141" s="602"/>
      <c r="P141" s="201"/>
    </row>
    <row r="142" ht="22.5" customHeight="1">
      <c r="A142" s="201"/>
      <c r="B142" s="645"/>
      <c r="C142" s="645"/>
      <c r="D142" s="645"/>
      <c r="E142" s="201"/>
      <c r="F142" s="602"/>
      <c r="G142" s="645"/>
      <c r="H142" s="645"/>
      <c r="I142" s="645"/>
      <c r="J142" s="201"/>
      <c r="K142" s="201"/>
      <c r="L142" s="644"/>
      <c r="M142" s="644"/>
      <c r="N142" s="644"/>
      <c r="O142" s="602"/>
      <c r="P142" s="201"/>
    </row>
    <row r="143" ht="22.5" customHeight="1">
      <c r="A143" s="201"/>
      <c r="B143" s="645"/>
      <c r="C143" s="645"/>
      <c r="D143" s="645"/>
      <c r="E143" s="201"/>
      <c r="F143" s="602"/>
      <c r="G143" s="645"/>
      <c r="H143" s="645"/>
      <c r="I143" s="645"/>
      <c r="J143" s="201"/>
      <c r="K143" s="201"/>
      <c r="L143" s="644"/>
      <c r="M143" s="644"/>
      <c r="N143" s="644"/>
      <c r="O143" s="602"/>
      <c r="P143" s="201"/>
    </row>
    <row r="144" ht="22.5" customHeight="1">
      <c r="A144" s="201"/>
      <c r="B144" s="645"/>
      <c r="C144" s="645"/>
      <c r="D144" s="645"/>
      <c r="E144" s="201"/>
      <c r="F144" s="602"/>
      <c r="G144" s="645"/>
      <c r="H144" s="645"/>
      <c r="I144" s="645"/>
      <c r="J144" s="201"/>
      <c r="K144" s="201"/>
      <c r="L144" s="644"/>
      <c r="M144" s="644"/>
      <c r="N144" s="644"/>
      <c r="O144" s="602"/>
      <c r="P144" s="201"/>
    </row>
    <row r="145" ht="22.5" customHeight="1">
      <c r="A145" s="201"/>
      <c r="B145" s="645"/>
      <c r="C145" s="645"/>
      <c r="D145" s="645"/>
      <c r="E145" s="201"/>
      <c r="F145" s="602"/>
      <c r="G145" s="645"/>
      <c r="H145" s="645"/>
      <c r="I145" s="645"/>
      <c r="J145" s="201"/>
      <c r="K145" s="201"/>
      <c r="L145" s="644"/>
      <c r="M145" s="644"/>
      <c r="N145" s="644"/>
      <c r="O145" s="602"/>
      <c r="P145" s="201"/>
    </row>
    <row r="146" ht="22.5" customHeight="1">
      <c r="A146" s="201"/>
      <c r="B146" s="645"/>
      <c r="C146" s="645"/>
      <c r="D146" s="645"/>
      <c r="E146" s="201"/>
      <c r="F146" s="602"/>
      <c r="G146" s="645"/>
      <c r="H146" s="645"/>
      <c r="I146" s="645"/>
      <c r="J146" s="201"/>
      <c r="K146" s="201"/>
      <c r="L146" s="644"/>
      <c r="M146" s="644"/>
      <c r="N146" s="644"/>
      <c r="O146" s="602"/>
      <c r="P146" s="201"/>
    </row>
    <row r="147" ht="22.5" customHeight="1">
      <c r="A147" s="201"/>
      <c r="B147" s="645"/>
      <c r="C147" s="645"/>
      <c r="D147" s="645"/>
      <c r="E147" s="201"/>
      <c r="F147" s="602"/>
      <c r="G147" s="645"/>
      <c r="H147" s="645"/>
      <c r="I147" s="645"/>
      <c r="J147" s="201"/>
      <c r="K147" s="201"/>
      <c r="L147" s="644"/>
      <c r="M147" s="644"/>
      <c r="N147" s="644"/>
      <c r="O147" s="602"/>
      <c r="P147" s="201"/>
    </row>
    <row r="148" ht="22.5" customHeight="1">
      <c r="A148" s="201"/>
      <c r="B148" s="645"/>
      <c r="C148" s="645"/>
      <c r="D148" s="645"/>
      <c r="E148" s="201"/>
      <c r="F148" s="602"/>
      <c r="G148" s="645"/>
      <c r="H148" s="645"/>
      <c r="I148" s="645"/>
      <c r="J148" s="201"/>
      <c r="K148" s="201"/>
      <c r="L148" s="644"/>
      <c r="M148" s="644"/>
      <c r="N148" s="644"/>
      <c r="O148" s="602"/>
      <c r="P148" s="201"/>
    </row>
    <row r="149" ht="22.5" customHeight="1">
      <c r="A149" s="201"/>
      <c r="B149" s="645"/>
      <c r="C149" s="645"/>
      <c r="D149" s="645"/>
      <c r="E149" s="201"/>
      <c r="F149" s="602"/>
      <c r="G149" s="645"/>
      <c r="H149" s="645"/>
      <c r="I149" s="645"/>
      <c r="J149" s="201"/>
      <c r="K149" s="201"/>
      <c r="L149" s="644"/>
      <c r="M149" s="644"/>
      <c r="N149" s="644"/>
      <c r="O149" s="602"/>
      <c r="P149" s="201"/>
    </row>
    <row r="150" ht="22.5" customHeight="1">
      <c r="A150" s="201"/>
      <c r="B150" s="645"/>
      <c r="C150" s="645"/>
      <c r="D150" s="645"/>
      <c r="E150" s="201"/>
      <c r="F150" s="602"/>
      <c r="G150" s="645"/>
      <c r="H150" s="645"/>
      <c r="I150" s="645"/>
      <c r="J150" s="201"/>
      <c r="K150" s="201"/>
      <c r="L150" s="644"/>
      <c r="M150" s="644"/>
      <c r="N150" s="644"/>
      <c r="O150" s="602"/>
      <c r="P150" s="201"/>
    </row>
    <row r="151" ht="22.5" customHeight="1">
      <c r="A151" s="201"/>
      <c r="B151" s="645"/>
      <c r="C151" s="645"/>
      <c r="D151" s="645"/>
      <c r="E151" s="201"/>
      <c r="F151" s="602"/>
      <c r="G151" s="645"/>
      <c r="H151" s="645"/>
      <c r="I151" s="645"/>
      <c r="J151" s="201"/>
      <c r="K151" s="201"/>
      <c r="L151" s="644"/>
      <c r="M151" s="644"/>
      <c r="N151" s="644"/>
      <c r="O151" s="602"/>
      <c r="P151" s="201"/>
    </row>
    <row r="152" ht="22.5" customHeight="1">
      <c r="A152" s="201"/>
      <c r="B152" s="645"/>
      <c r="C152" s="645"/>
      <c r="D152" s="645"/>
      <c r="E152" s="201"/>
      <c r="F152" s="602"/>
      <c r="G152" s="645"/>
      <c r="H152" s="645"/>
      <c r="I152" s="645"/>
      <c r="J152" s="201"/>
      <c r="K152" s="201"/>
      <c r="L152" s="644"/>
      <c r="M152" s="644"/>
      <c r="N152" s="644"/>
      <c r="O152" s="602"/>
      <c r="P152" s="201"/>
    </row>
    <row r="153" ht="22.5" customHeight="1">
      <c r="A153" s="201"/>
      <c r="B153" s="645"/>
      <c r="C153" s="645"/>
      <c r="D153" s="645"/>
      <c r="E153" s="201"/>
      <c r="F153" s="602"/>
      <c r="G153" s="645"/>
      <c r="H153" s="645"/>
      <c r="I153" s="645"/>
      <c r="J153" s="201"/>
      <c r="K153" s="201"/>
      <c r="L153" s="644"/>
      <c r="M153" s="644"/>
      <c r="N153" s="644"/>
      <c r="O153" s="602"/>
      <c r="P153" s="201"/>
    </row>
    <row r="154" ht="22.5" customHeight="1">
      <c r="A154" s="201"/>
      <c r="B154" s="645"/>
      <c r="C154" s="645"/>
      <c r="D154" s="645"/>
      <c r="E154" s="201"/>
      <c r="F154" s="602"/>
      <c r="G154" s="645"/>
      <c r="H154" s="645"/>
      <c r="I154" s="645"/>
      <c r="J154" s="201"/>
      <c r="K154" s="201"/>
      <c r="L154" s="644"/>
      <c r="M154" s="644"/>
      <c r="N154" s="644"/>
      <c r="O154" s="602"/>
      <c r="P154" s="201"/>
    </row>
    <row r="155" ht="22.5" customHeight="1">
      <c r="A155" s="201"/>
      <c r="B155" s="645"/>
      <c r="C155" s="645"/>
      <c r="D155" s="645"/>
      <c r="E155" s="201"/>
      <c r="F155" s="602"/>
      <c r="G155" s="645"/>
      <c r="H155" s="645"/>
      <c r="I155" s="645"/>
      <c r="J155" s="201"/>
      <c r="K155" s="201"/>
      <c r="L155" s="644"/>
      <c r="M155" s="644"/>
      <c r="N155" s="644"/>
      <c r="O155" s="602"/>
      <c r="P155" s="201"/>
    </row>
    <row r="156" ht="22.5" customHeight="1">
      <c r="A156" s="201"/>
      <c r="B156" s="645"/>
      <c r="C156" s="645"/>
      <c r="D156" s="645"/>
      <c r="E156" s="201"/>
      <c r="F156" s="602"/>
      <c r="G156" s="645"/>
      <c r="H156" s="645"/>
      <c r="I156" s="645"/>
      <c r="J156" s="201"/>
      <c r="K156" s="201"/>
      <c r="L156" s="644"/>
      <c r="M156" s="644"/>
      <c r="N156" s="644"/>
      <c r="O156" s="602"/>
      <c r="P156" s="201"/>
    </row>
    <row r="157" ht="22.5" customHeight="1">
      <c r="A157" s="201"/>
      <c r="B157" s="645"/>
      <c r="C157" s="645"/>
      <c r="D157" s="645"/>
      <c r="E157" s="201"/>
      <c r="F157" s="602"/>
      <c r="G157" s="645"/>
      <c r="H157" s="645"/>
      <c r="I157" s="645"/>
      <c r="J157" s="201"/>
      <c r="K157" s="201"/>
      <c r="L157" s="644"/>
      <c r="M157" s="644"/>
      <c r="N157" s="644"/>
      <c r="O157" s="602"/>
      <c r="P157" s="201"/>
    </row>
    <row r="158" ht="22.5" customHeight="1">
      <c r="A158" s="201"/>
      <c r="B158" s="645"/>
      <c r="C158" s="645"/>
      <c r="D158" s="645"/>
      <c r="E158" s="201"/>
      <c r="F158" s="602"/>
      <c r="G158" s="645"/>
      <c r="H158" s="645"/>
      <c r="I158" s="645"/>
      <c r="J158" s="201"/>
      <c r="K158" s="201"/>
      <c r="L158" s="644"/>
      <c r="M158" s="644"/>
      <c r="N158" s="644"/>
      <c r="O158" s="602"/>
      <c r="P158" s="201"/>
    </row>
    <row r="159" ht="22.5" customHeight="1">
      <c r="A159" s="201"/>
      <c r="B159" s="645"/>
      <c r="C159" s="645"/>
      <c r="D159" s="645"/>
      <c r="E159" s="201"/>
      <c r="F159" s="602"/>
      <c r="G159" s="645"/>
      <c r="H159" s="645"/>
      <c r="I159" s="645"/>
      <c r="J159" s="201"/>
      <c r="K159" s="201"/>
      <c r="L159" s="644"/>
      <c r="M159" s="644"/>
      <c r="N159" s="644"/>
      <c r="O159" s="602"/>
      <c r="P159" s="201"/>
    </row>
    <row r="160" ht="22.5" customHeight="1">
      <c r="A160" s="201"/>
      <c r="B160" s="645"/>
      <c r="C160" s="645"/>
      <c r="D160" s="645"/>
      <c r="E160" s="201"/>
      <c r="F160" s="602"/>
      <c r="G160" s="645"/>
      <c r="H160" s="645"/>
      <c r="I160" s="645"/>
      <c r="J160" s="201"/>
      <c r="K160" s="201"/>
      <c r="L160" s="644"/>
      <c r="M160" s="644"/>
      <c r="N160" s="644"/>
      <c r="O160" s="602"/>
      <c r="P160" s="201"/>
    </row>
    <row r="161" ht="22.5" customHeight="1">
      <c r="A161" s="201"/>
      <c r="B161" s="645"/>
      <c r="C161" s="645"/>
      <c r="D161" s="645"/>
      <c r="E161" s="201"/>
      <c r="F161" s="602"/>
      <c r="G161" s="645"/>
      <c r="H161" s="645"/>
      <c r="I161" s="645"/>
      <c r="J161" s="201"/>
      <c r="K161" s="201"/>
      <c r="L161" s="644"/>
      <c r="M161" s="644"/>
      <c r="N161" s="644"/>
      <c r="O161" s="602"/>
      <c r="P161" s="201"/>
    </row>
    <row r="162" ht="22.5" customHeight="1">
      <c r="A162" s="201"/>
      <c r="B162" s="645"/>
      <c r="C162" s="645"/>
      <c r="D162" s="645"/>
      <c r="E162" s="201"/>
      <c r="F162" s="602"/>
      <c r="G162" s="645"/>
      <c r="H162" s="645"/>
      <c r="I162" s="645"/>
      <c r="J162" s="201"/>
      <c r="K162" s="201"/>
      <c r="L162" s="644"/>
      <c r="M162" s="644"/>
      <c r="N162" s="644"/>
      <c r="O162" s="602"/>
      <c r="P162" s="201"/>
    </row>
    <row r="163" ht="22.5" customHeight="1">
      <c r="A163" s="201"/>
      <c r="B163" s="645"/>
      <c r="C163" s="645"/>
      <c r="D163" s="645"/>
      <c r="E163" s="201"/>
      <c r="F163" s="602"/>
      <c r="G163" s="645"/>
      <c r="H163" s="645"/>
      <c r="I163" s="645"/>
      <c r="J163" s="201"/>
      <c r="K163" s="201"/>
      <c r="L163" s="644"/>
      <c r="M163" s="644"/>
      <c r="N163" s="644"/>
      <c r="O163" s="602"/>
      <c r="P163" s="201"/>
    </row>
    <row r="164" ht="22.5" customHeight="1">
      <c r="A164" s="201"/>
      <c r="B164" s="645"/>
      <c r="C164" s="645"/>
      <c r="D164" s="645"/>
      <c r="E164" s="201"/>
      <c r="F164" s="602"/>
      <c r="G164" s="645"/>
      <c r="H164" s="645"/>
      <c r="I164" s="645"/>
      <c r="J164" s="201"/>
      <c r="K164" s="201"/>
      <c r="L164" s="644"/>
      <c r="M164" s="644"/>
      <c r="N164" s="644"/>
      <c r="O164" s="602"/>
      <c r="P164" s="201"/>
    </row>
    <row r="165" ht="22.5" customHeight="1">
      <c r="A165" s="201"/>
      <c r="B165" s="645"/>
      <c r="C165" s="645"/>
      <c r="D165" s="645"/>
      <c r="E165" s="201"/>
      <c r="F165" s="602"/>
      <c r="G165" s="645"/>
      <c r="H165" s="645"/>
      <c r="I165" s="645"/>
      <c r="J165" s="201"/>
      <c r="K165" s="201"/>
      <c r="L165" s="644"/>
      <c r="M165" s="644"/>
      <c r="N165" s="644"/>
      <c r="O165" s="602"/>
      <c r="P165" s="201"/>
    </row>
    <row r="166" ht="22.5" customHeight="1">
      <c r="A166" s="201"/>
      <c r="B166" s="645"/>
      <c r="C166" s="645"/>
      <c r="D166" s="645"/>
      <c r="E166" s="201"/>
      <c r="F166" s="602"/>
      <c r="G166" s="645"/>
      <c r="H166" s="645"/>
      <c r="I166" s="645"/>
      <c r="J166" s="201"/>
      <c r="K166" s="201"/>
      <c r="L166" s="644"/>
      <c r="M166" s="644"/>
      <c r="N166" s="644"/>
      <c r="O166" s="602"/>
      <c r="P166" s="201"/>
    </row>
    <row r="167" ht="22.5" customHeight="1">
      <c r="A167" s="201"/>
      <c r="B167" s="645"/>
      <c r="C167" s="645"/>
      <c r="D167" s="645"/>
      <c r="E167" s="201"/>
      <c r="F167" s="602"/>
      <c r="G167" s="645"/>
      <c r="H167" s="645"/>
      <c r="I167" s="645"/>
      <c r="J167" s="201"/>
      <c r="K167" s="201"/>
      <c r="L167" s="644"/>
      <c r="M167" s="644"/>
      <c r="N167" s="644"/>
      <c r="O167" s="602"/>
      <c r="P167" s="201"/>
    </row>
    <row r="168" ht="22.5" customHeight="1">
      <c r="A168" s="201"/>
      <c r="B168" s="645"/>
      <c r="C168" s="645"/>
      <c r="D168" s="645"/>
      <c r="E168" s="201"/>
      <c r="F168" s="602"/>
      <c r="G168" s="645"/>
      <c r="H168" s="645"/>
      <c r="I168" s="645"/>
      <c r="J168" s="201"/>
      <c r="K168" s="201"/>
      <c r="L168" s="644"/>
      <c r="M168" s="644"/>
      <c r="N168" s="644"/>
      <c r="O168" s="602"/>
      <c r="P168" s="201"/>
    </row>
    <row r="169" ht="22.5" customHeight="1">
      <c r="A169" s="201"/>
      <c r="B169" s="645"/>
      <c r="C169" s="645"/>
      <c r="D169" s="645"/>
      <c r="E169" s="201"/>
      <c r="F169" s="602"/>
      <c r="G169" s="645"/>
      <c r="H169" s="645"/>
      <c r="I169" s="645"/>
      <c r="J169" s="201"/>
      <c r="K169" s="201"/>
      <c r="L169" s="644"/>
      <c r="M169" s="644"/>
      <c r="N169" s="644"/>
      <c r="O169" s="602"/>
      <c r="P169" s="201"/>
    </row>
    <row r="170" ht="22.5" customHeight="1">
      <c r="A170" s="201"/>
      <c r="B170" s="645"/>
      <c r="C170" s="645"/>
      <c r="D170" s="645"/>
      <c r="E170" s="201"/>
      <c r="F170" s="602"/>
      <c r="G170" s="645"/>
      <c r="H170" s="645"/>
      <c r="I170" s="645"/>
      <c r="J170" s="201"/>
      <c r="K170" s="201"/>
      <c r="L170" s="644"/>
      <c r="M170" s="644"/>
      <c r="N170" s="644"/>
      <c r="O170" s="602"/>
      <c r="P170" s="201"/>
    </row>
    <row r="171" ht="22.5" customHeight="1">
      <c r="A171" s="201"/>
      <c r="B171" s="645"/>
      <c r="C171" s="645"/>
      <c r="D171" s="645"/>
      <c r="E171" s="201"/>
      <c r="F171" s="602"/>
      <c r="G171" s="645"/>
      <c r="H171" s="645"/>
      <c r="I171" s="645"/>
      <c r="J171" s="201"/>
      <c r="K171" s="201"/>
      <c r="L171" s="644"/>
      <c r="M171" s="644"/>
      <c r="N171" s="644"/>
      <c r="O171" s="602"/>
      <c r="P171" s="201"/>
    </row>
    <row r="172" ht="22.5" customHeight="1">
      <c r="A172" s="201"/>
      <c r="B172" s="645"/>
      <c r="C172" s="645"/>
      <c r="D172" s="645"/>
      <c r="E172" s="201"/>
      <c r="F172" s="602"/>
      <c r="G172" s="645"/>
      <c r="H172" s="645"/>
      <c r="I172" s="645"/>
      <c r="J172" s="201"/>
      <c r="K172" s="201"/>
      <c r="L172" s="644"/>
      <c r="M172" s="644"/>
      <c r="N172" s="644"/>
      <c r="O172" s="602"/>
      <c r="P172" s="201"/>
    </row>
    <row r="173" ht="22.5" customHeight="1">
      <c r="A173" s="201"/>
      <c r="B173" s="645"/>
      <c r="C173" s="645"/>
      <c r="D173" s="645"/>
      <c r="E173" s="201"/>
      <c r="F173" s="602"/>
      <c r="G173" s="645"/>
      <c r="H173" s="645"/>
      <c r="I173" s="645"/>
      <c r="J173" s="201"/>
      <c r="K173" s="201"/>
      <c r="L173" s="644"/>
      <c r="M173" s="644"/>
      <c r="N173" s="644"/>
      <c r="O173" s="602"/>
      <c r="P173" s="201"/>
    </row>
    <row r="174" ht="22.5" customHeight="1">
      <c r="A174" s="201"/>
      <c r="B174" s="645"/>
      <c r="C174" s="645"/>
      <c r="D174" s="645"/>
      <c r="E174" s="201"/>
      <c r="F174" s="602"/>
      <c r="G174" s="645"/>
      <c r="H174" s="645"/>
      <c r="I174" s="645"/>
      <c r="J174" s="201"/>
      <c r="K174" s="201"/>
      <c r="L174" s="644"/>
      <c r="M174" s="644"/>
      <c r="N174" s="644"/>
      <c r="O174" s="602"/>
      <c r="P174" s="201"/>
    </row>
    <row r="175" ht="22.5" customHeight="1">
      <c r="A175" s="201"/>
      <c r="B175" s="645"/>
      <c r="C175" s="645"/>
      <c r="D175" s="645"/>
      <c r="E175" s="201"/>
      <c r="F175" s="602"/>
      <c r="G175" s="645"/>
      <c r="H175" s="645"/>
      <c r="I175" s="645"/>
      <c r="J175" s="201"/>
      <c r="K175" s="201"/>
      <c r="L175" s="644"/>
      <c r="M175" s="644"/>
      <c r="N175" s="644"/>
      <c r="O175" s="602"/>
      <c r="P175" s="201"/>
    </row>
    <row r="176" ht="22.5" customHeight="1">
      <c r="A176" s="201"/>
      <c r="B176" s="645"/>
      <c r="C176" s="645"/>
      <c r="D176" s="645"/>
      <c r="E176" s="201"/>
      <c r="F176" s="602"/>
      <c r="G176" s="645"/>
      <c r="H176" s="645"/>
      <c r="I176" s="645"/>
      <c r="J176" s="201"/>
      <c r="K176" s="201"/>
      <c r="L176" s="644"/>
      <c r="M176" s="644"/>
      <c r="N176" s="644"/>
      <c r="O176" s="602"/>
      <c r="P176" s="201"/>
    </row>
    <row r="177" ht="22.5" customHeight="1">
      <c r="A177" s="201"/>
      <c r="B177" s="645"/>
      <c r="C177" s="645"/>
      <c r="D177" s="645"/>
      <c r="E177" s="201"/>
      <c r="F177" s="602"/>
      <c r="G177" s="645"/>
      <c r="H177" s="645"/>
      <c r="I177" s="645"/>
      <c r="J177" s="201"/>
      <c r="K177" s="201"/>
      <c r="L177" s="644"/>
      <c r="M177" s="644"/>
      <c r="N177" s="644"/>
      <c r="O177" s="602"/>
      <c r="P177" s="201"/>
    </row>
    <row r="178" ht="22.5" customHeight="1">
      <c r="A178" s="201"/>
      <c r="B178" s="645"/>
      <c r="C178" s="645"/>
      <c r="D178" s="645"/>
      <c r="E178" s="201"/>
      <c r="F178" s="602"/>
      <c r="G178" s="645"/>
      <c r="H178" s="645"/>
      <c r="I178" s="645"/>
      <c r="J178" s="201"/>
      <c r="K178" s="201"/>
      <c r="L178" s="644"/>
      <c r="M178" s="644"/>
      <c r="N178" s="644"/>
      <c r="O178" s="602"/>
      <c r="P178" s="201"/>
    </row>
    <row r="179" ht="22.5" customHeight="1">
      <c r="A179" s="201"/>
      <c r="B179" s="645"/>
      <c r="C179" s="645"/>
      <c r="D179" s="645"/>
      <c r="E179" s="201"/>
      <c r="F179" s="602"/>
      <c r="G179" s="645"/>
      <c r="H179" s="645"/>
      <c r="I179" s="645"/>
      <c r="J179" s="201"/>
      <c r="K179" s="201"/>
      <c r="L179" s="644"/>
      <c r="M179" s="644"/>
      <c r="N179" s="644"/>
      <c r="O179" s="602"/>
      <c r="P179" s="201"/>
    </row>
    <row r="180" ht="22.5" customHeight="1">
      <c r="A180" s="201"/>
      <c r="B180" s="645"/>
      <c r="C180" s="645"/>
      <c r="D180" s="645"/>
      <c r="E180" s="201"/>
      <c r="F180" s="602"/>
      <c r="G180" s="645"/>
      <c r="H180" s="645"/>
      <c r="I180" s="645"/>
      <c r="J180" s="201"/>
      <c r="K180" s="201"/>
      <c r="L180" s="644"/>
      <c r="M180" s="644"/>
      <c r="N180" s="644"/>
      <c r="O180" s="602"/>
      <c r="P180" s="201"/>
    </row>
    <row r="181" ht="22.5" customHeight="1">
      <c r="A181" s="201"/>
      <c r="B181" s="645"/>
      <c r="C181" s="645"/>
      <c r="D181" s="645"/>
      <c r="E181" s="201"/>
      <c r="F181" s="602"/>
      <c r="G181" s="645"/>
      <c r="H181" s="645"/>
      <c r="I181" s="645"/>
      <c r="J181" s="201"/>
      <c r="K181" s="201"/>
      <c r="L181" s="644"/>
      <c r="M181" s="644"/>
      <c r="N181" s="644"/>
      <c r="O181" s="602"/>
      <c r="P181" s="201"/>
    </row>
    <row r="182" ht="22.5" customHeight="1">
      <c r="A182" s="201"/>
      <c r="B182" s="645"/>
      <c r="C182" s="645"/>
      <c r="D182" s="645"/>
      <c r="E182" s="201"/>
      <c r="F182" s="602"/>
      <c r="G182" s="645"/>
      <c r="H182" s="645"/>
      <c r="I182" s="645"/>
      <c r="J182" s="201"/>
      <c r="K182" s="201"/>
      <c r="L182" s="644"/>
      <c r="M182" s="644"/>
      <c r="N182" s="644"/>
      <c r="O182" s="602"/>
      <c r="P182" s="201"/>
    </row>
    <row r="183" ht="22.5" customHeight="1">
      <c r="A183" s="201"/>
      <c r="B183" s="645"/>
      <c r="C183" s="645"/>
      <c r="D183" s="645"/>
      <c r="E183" s="201"/>
      <c r="F183" s="602"/>
      <c r="G183" s="645"/>
      <c r="H183" s="645"/>
      <c r="I183" s="645"/>
      <c r="J183" s="201"/>
      <c r="K183" s="201"/>
      <c r="L183" s="644"/>
      <c r="M183" s="644"/>
      <c r="N183" s="644"/>
      <c r="O183" s="602"/>
      <c r="P183" s="201"/>
    </row>
    <row r="184" ht="22.5" customHeight="1">
      <c r="A184" s="201"/>
      <c r="B184" s="645"/>
      <c r="C184" s="645"/>
      <c r="D184" s="645"/>
      <c r="E184" s="201"/>
      <c r="F184" s="602"/>
      <c r="G184" s="645"/>
      <c r="H184" s="645"/>
      <c r="I184" s="645"/>
      <c r="J184" s="201"/>
      <c r="K184" s="201"/>
      <c r="L184" s="644"/>
      <c r="M184" s="644"/>
      <c r="N184" s="644"/>
      <c r="O184" s="602"/>
      <c r="P184" s="201"/>
    </row>
    <row r="185" ht="22.5" customHeight="1">
      <c r="A185" s="201"/>
      <c r="B185" s="645"/>
      <c r="C185" s="645"/>
      <c r="D185" s="645"/>
      <c r="E185" s="201"/>
      <c r="F185" s="602"/>
      <c r="G185" s="645"/>
      <c r="H185" s="645"/>
      <c r="I185" s="645"/>
      <c r="J185" s="201"/>
      <c r="K185" s="201"/>
      <c r="L185" s="644"/>
      <c r="M185" s="644"/>
      <c r="N185" s="644"/>
      <c r="O185" s="602"/>
      <c r="P185" s="201"/>
    </row>
    <row r="186" ht="22.5" customHeight="1">
      <c r="A186" s="201"/>
      <c r="B186" s="645"/>
      <c r="C186" s="645"/>
      <c r="D186" s="645"/>
      <c r="E186" s="201"/>
      <c r="F186" s="602"/>
      <c r="G186" s="645"/>
      <c r="H186" s="645"/>
      <c r="I186" s="645"/>
      <c r="J186" s="201"/>
      <c r="K186" s="201"/>
      <c r="L186" s="644"/>
      <c r="M186" s="644"/>
      <c r="N186" s="644"/>
      <c r="O186" s="602"/>
      <c r="P186" s="201"/>
    </row>
    <row r="187" ht="22.5" customHeight="1">
      <c r="A187" s="201"/>
      <c r="B187" s="645"/>
      <c r="C187" s="645"/>
      <c r="D187" s="645"/>
      <c r="E187" s="201"/>
      <c r="F187" s="602"/>
      <c r="G187" s="645"/>
      <c r="H187" s="645"/>
      <c r="I187" s="645"/>
      <c r="J187" s="201"/>
      <c r="K187" s="201"/>
      <c r="L187" s="644"/>
      <c r="M187" s="644"/>
      <c r="N187" s="644"/>
      <c r="O187" s="602"/>
      <c r="P187" s="201"/>
    </row>
    <row r="188" ht="22.5" customHeight="1">
      <c r="A188" s="201"/>
      <c r="B188" s="645"/>
      <c r="C188" s="645"/>
      <c r="D188" s="645"/>
      <c r="E188" s="201"/>
      <c r="F188" s="602"/>
      <c r="G188" s="645"/>
      <c r="H188" s="645"/>
      <c r="I188" s="645"/>
      <c r="J188" s="201"/>
      <c r="K188" s="201"/>
      <c r="L188" s="644"/>
      <c r="M188" s="644"/>
      <c r="N188" s="644"/>
      <c r="O188" s="602"/>
      <c r="P188" s="201"/>
    </row>
    <row r="189" ht="22.5" customHeight="1">
      <c r="A189" s="201"/>
      <c r="B189" s="645"/>
      <c r="C189" s="645"/>
      <c r="D189" s="645"/>
      <c r="E189" s="201"/>
      <c r="F189" s="602"/>
      <c r="G189" s="645"/>
      <c r="H189" s="645"/>
      <c r="I189" s="645"/>
      <c r="J189" s="201"/>
      <c r="K189" s="201"/>
      <c r="L189" s="644"/>
      <c r="M189" s="644"/>
      <c r="N189" s="644"/>
      <c r="O189" s="602"/>
      <c r="P189" s="201"/>
    </row>
    <row r="190" ht="22.5" customHeight="1">
      <c r="A190" s="201"/>
      <c r="B190" s="645"/>
      <c r="C190" s="645"/>
      <c r="D190" s="645"/>
      <c r="E190" s="201"/>
      <c r="F190" s="602"/>
      <c r="G190" s="645"/>
      <c r="H190" s="645"/>
      <c r="I190" s="645"/>
      <c r="J190" s="201"/>
      <c r="K190" s="201"/>
      <c r="L190" s="644"/>
      <c r="M190" s="644"/>
      <c r="N190" s="644"/>
      <c r="O190" s="602"/>
      <c r="P190" s="201"/>
    </row>
    <row r="191" ht="22.5" customHeight="1">
      <c r="A191" s="201"/>
      <c r="B191" s="645"/>
      <c r="C191" s="645"/>
      <c r="D191" s="645"/>
      <c r="E191" s="201"/>
      <c r="F191" s="602"/>
      <c r="G191" s="645"/>
      <c r="H191" s="645"/>
      <c r="I191" s="645"/>
      <c r="J191" s="201"/>
      <c r="K191" s="201"/>
      <c r="L191" s="644"/>
      <c r="M191" s="644"/>
      <c r="N191" s="644"/>
      <c r="O191" s="602"/>
      <c r="P191" s="201"/>
    </row>
    <row r="192" ht="22.5" customHeight="1">
      <c r="A192" s="201"/>
      <c r="B192" s="645"/>
      <c r="C192" s="645"/>
      <c r="D192" s="645"/>
      <c r="E192" s="201"/>
      <c r="F192" s="602"/>
      <c r="G192" s="645"/>
      <c r="H192" s="645"/>
      <c r="I192" s="645"/>
      <c r="J192" s="201"/>
      <c r="K192" s="201"/>
      <c r="L192" s="644"/>
      <c r="M192" s="644"/>
      <c r="N192" s="644"/>
      <c r="O192" s="602"/>
      <c r="P192" s="201"/>
    </row>
    <row r="193" ht="22.5" customHeight="1">
      <c r="A193" s="201"/>
      <c r="B193" s="645"/>
      <c r="C193" s="645"/>
      <c r="D193" s="645"/>
      <c r="E193" s="201"/>
      <c r="F193" s="602"/>
      <c r="G193" s="645"/>
      <c r="H193" s="645"/>
      <c r="I193" s="645"/>
      <c r="J193" s="201"/>
      <c r="K193" s="201"/>
      <c r="L193" s="644"/>
      <c r="M193" s="644"/>
      <c r="N193" s="644"/>
      <c r="O193" s="602"/>
      <c r="P193" s="201"/>
    </row>
    <row r="194" ht="22.5" customHeight="1">
      <c r="A194" s="201"/>
      <c r="B194" s="645"/>
      <c r="C194" s="645"/>
      <c r="D194" s="645"/>
      <c r="E194" s="201"/>
      <c r="F194" s="602"/>
      <c r="G194" s="645"/>
      <c r="H194" s="645"/>
      <c r="I194" s="645"/>
      <c r="J194" s="201"/>
      <c r="K194" s="201"/>
      <c r="L194" s="644"/>
      <c r="M194" s="644"/>
      <c r="N194" s="644"/>
      <c r="O194" s="602"/>
      <c r="P194" s="201"/>
    </row>
    <row r="195" ht="22.5" customHeight="1">
      <c r="A195" s="201"/>
      <c r="B195" s="645"/>
      <c r="C195" s="645"/>
      <c r="D195" s="645"/>
      <c r="E195" s="201"/>
      <c r="F195" s="602"/>
      <c r="G195" s="645"/>
      <c r="H195" s="645"/>
      <c r="I195" s="645"/>
      <c r="J195" s="201"/>
      <c r="K195" s="201"/>
      <c r="L195" s="644"/>
      <c r="M195" s="644"/>
      <c r="N195" s="644"/>
      <c r="O195" s="602"/>
      <c r="P195" s="201"/>
    </row>
    <row r="196" ht="22.5" customHeight="1">
      <c r="A196" s="201"/>
      <c r="B196" s="645"/>
      <c r="C196" s="645"/>
      <c r="D196" s="645"/>
      <c r="E196" s="201"/>
      <c r="F196" s="602"/>
      <c r="G196" s="645"/>
      <c r="H196" s="645"/>
      <c r="I196" s="645"/>
      <c r="J196" s="201"/>
      <c r="K196" s="201"/>
      <c r="L196" s="644"/>
      <c r="M196" s="644"/>
      <c r="N196" s="644"/>
      <c r="O196" s="602"/>
      <c r="P196" s="201"/>
    </row>
    <row r="197" ht="22.5" customHeight="1">
      <c r="A197" s="201"/>
      <c r="B197" s="645"/>
      <c r="C197" s="645"/>
      <c r="D197" s="645"/>
      <c r="E197" s="201"/>
      <c r="F197" s="602"/>
      <c r="G197" s="645"/>
      <c r="H197" s="645"/>
      <c r="I197" s="645"/>
      <c r="J197" s="201"/>
      <c r="K197" s="201"/>
      <c r="L197" s="644"/>
      <c r="M197" s="644"/>
      <c r="N197" s="644"/>
      <c r="O197" s="602"/>
      <c r="P197" s="201"/>
    </row>
    <row r="198" ht="22.5" customHeight="1">
      <c r="A198" s="201"/>
      <c r="B198" s="645"/>
      <c r="C198" s="645"/>
      <c r="D198" s="645"/>
      <c r="E198" s="201"/>
      <c r="F198" s="602"/>
      <c r="G198" s="645"/>
      <c r="H198" s="645"/>
      <c r="I198" s="645"/>
      <c r="J198" s="201"/>
      <c r="K198" s="201"/>
      <c r="L198" s="644"/>
      <c r="M198" s="644"/>
      <c r="N198" s="644"/>
      <c r="O198" s="602"/>
      <c r="P198" s="201"/>
    </row>
    <row r="199" ht="22.5" customHeight="1">
      <c r="A199" s="201"/>
      <c r="B199" s="645"/>
      <c r="C199" s="645"/>
      <c r="D199" s="645"/>
      <c r="E199" s="201"/>
      <c r="F199" s="602"/>
      <c r="G199" s="645"/>
      <c r="H199" s="645"/>
      <c r="I199" s="645"/>
      <c r="J199" s="201"/>
      <c r="K199" s="201"/>
      <c r="L199" s="644"/>
      <c r="M199" s="644"/>
      <c r="N199" s="644"/>
      <c r="O199" s="602"/>
      <c r="P199" s="201"/>
    </row>
    <row r="200" ht="22.5" customHeight="1">
      <c r="A200" s="201"/>
      <c r="B200" s="645"/>
      <c r="C200" s="645"/>
      <c r="D200" s="645"/>
      <c r="E200" s="201"/>
      <c r="F200" s="602"/>
      <c r="G200" s="645"/>
      <c r="H200" s="645"/>
      <c r="I200" s="645"/>
      <c r="J200" s="201"/>
      <c r="K200" s="201"/>
      <c r="L200" s="644"/>
      <c r="M200" s="644"/>
      <c r="N200" s="644"/>
      <c r="O200" s="602"/>
      <c r="P200" s="201"/>
    </row>
    <row r="201" ht="22.5" customHeight="1">
      <c r="A201" s="201"/>
      <c r="B201" s="645"/>
      <c r="C201" s="645"/>
      <c r="D201" s="645"/>
      <c r="E201" s="201"/>
      <c r="F201" s="602"/>
      <c r="G201" s="645"/>
      <c r="H201" s="645"/>
      <c r="I201" s="645"/>
      <c r="J201" s="201"/>
      <c r="K201" s="201"/>
      <c r="L201" s="644"/>
      <c r="M201" s="644"/>
      <c r="N201" s="644"/>
      <c r="O201" s="602"/>
      <c r="P201" s="201"/>
    </row>
    <row r="202" ht="22.5" customHeight="1">
      <c r="A202" s="201"/>
      <c r="B202" s="645"/>
      <c r="C202" s="645"/>
      <c r="D202" s="645"/>
      <c r="E202" s="201"/>
      <c r="F202" s="602"/>
      <c r="G202" s="645"/>
      <c r="H202" s="645"/>
      <c r="I202" s="645"/>
      <c r="J202" s="201"/>
      <c r="K202" s="201"/>
      <c r="L202" s="644"/>
      <c r="M202" s="644"/>
      <c r="N202" s="644"/>
      <c r="O202" s="602"/>
      <c r="P202" s="201"/>
    </row>
    <row r="203" ht="22.5" customHeight="1">
      <c r="A203" s="201"/>
      <c r="B203" s="645"/>
      <c r="C203" s="645"/>
      <c r="D203" s="645"/>
      <c r="E203" s="201"/>
      <c r="F203" s="602"/>
      <c r="G203" s="645"/>
      <c r="H203" s="645"/>
      <c r="I203" s="645"/>
      <c r="J203" s="201"/>
      <c r="K203" s="201"/>
      <c r="L203" s="644"/>
      <c r="M203" s="644"/>
      <c r="N203" s="644"/>
      <c r="O203" s="602"/>
      <c r="P203" s="201"/>
    </row>
    <row r="204" ht="22.5" customHeight="1">
      <c r="A204" s="201"/>
      <c r="B204" s="645"/>
      <c r="C204" s="645"/>
      <c r="D204" s="645"/>
      <c r="E204" s="201"/>
      <c r="F204" s="602"/>
      <c r="G204" s="645"/>
      <c r="H204" s="645"/>
      <c r="I204" s="645"/>
      <c r="J204" s="201"/>
      <c r="K204" s="201"/>
      <c r="L204" s="644"/>
      <c r="M204" s="644"/>
      <c r="N204" s="644"/>
      <c r="O204" s="602"/>
      <c r="P204" s="201"/>
    </row>
    <row r="205" ht="22.5" customHeight="1">
      <c r="A205" s="201"/>
      <c r="B205" s="645"/>
      <c r="C205" s="645"/>
      <c r="D205" s="645"/>
      <c r="E205" s="201"/>
      <c r="F205" s="602"/>
      <c r="G205" s="645"/>
      <c r="H205" s="645"/>
      <c r="I205" s="645"/>
      <c r="J205" s="201"/>
      <c r="K205" s="201"/>
      <c r="L205" s="644"/>
      <c r="M205" s="644"/>
      <c r="N205" s="644"/>
      <c r="O205" s="602"/>
      <c r="P205" s="201"/>
    </row>
    <row r="206" ht="22.5" customHeight="1">
      <c r="A206" s="201"/>
      <c r="B206" s="645"/>
      <c r="C206" s="645"/>
      <c r="D206" s="645"/>
      <c r="E206" s="201"/>
      <c r="F206" s="602"/>
      <c r="G206" s="645"/>
      <c r="H206" s="645"/>
      <c r="I206" s="645"/>
      <c r="J206" s="201"/>
      <c r="K206" s="201"/>
      <c r="L206" s="644"/>
      <c r="M206" s="644"/>
      <c r="N206" s="644"/>
      <c r="O206" s="602"/>
      <c r="P206" s="201"/>
    </row>
    <row r="207" ht="22.5" customHeight="1">
      <c r="A207" s="201"/>
      <c r="B207" s="645"/>
      <c r="C207" s="645"/>
      <c r="D207" s="645"/>
      <c r="E207" s="201"/>
      <c r="F207" s="602"/>
      <c r="G207" s="645"/>
      <c r="H207" s="645"/>
      <c r="I207" s="645"/>
      <c r="J207" s="201"/>
      <c r="K207" s="201"/>
      <c r="L207" s="644"/>
      <c r="M207" s="644"/>
      <c r="N207" s="644"/>
      <c r="O207" s="602"/>
      <c r="P207" s="201"/>
    </row>
    <row r="208" ht="22.5" customHeight="1">
      <c r="A208" s="201"/>
      <c r="B208" s="645"/>
      <c r="C208" s="645"/>
      <c r="D208" s="645"/>
      <c r="E208" s="201"/>
      <c r="F208" s="602"/>
      <c r="G208" s="645"/>
      <c r="H208" s="645"/>
      <c r="I208" s="645"/>
      <c r="J208" s="201"/>
      <c r="K208" s="201"/>
      <c r="L208" s="644"/>
      <c r="M208" s="644"/>
      <c r="N208" s="644"/>
      <c r="O208" s="602"/>
      <c r="P208" s="201"/>
    </row>
    <row r="209" ht="22.5" customHeight="1">
      <c r="A209" s="201"/>
      <c r="B209" s="645"/>
      <c r="C209" s="645"/>
      <c r="D209" s="645"/>
      <c r="E209" s="201"/>
      <c r="F209" s="602"/>
      <c r="G209" s="645"/>
      <c r="H209" s="645"/>
      <c r="I209" s="645"/>
      <c r="J209" s="201"/>
      <c r="K209" s="201"/>
      <c r="L209" s="644"/>
      <c r="M209" s="644"/>
      <c r="N209" s="644"/>
      <c r="O209" s="602"/>
      <c r="P209" s="201"/>
    </row>
    <row r="210" ht="22.5" customHeight="1">
      <c r="A210" s="201"/>
      <c r="B210" s="645"/>
      <c r="C210" s="645"/>
      <c r="D210" s="645"/>
      <c r="E210" s="201"/>
      <c r="F210" s="602"/>
      <c r="G210" s="645"/>
      <c r="H210" s="645"/>
      <c r="I210" s="645"/>
      <c r="J210" s="201"/>
      <c r="K210" s="201"/>
      <c r="L210" s="644"/>
      <c r="M210" s="644"/>
      <c r="N210" s="644"/>
      <c r="O210" s="602"/>
      <c r="P210" s="201"/>
    </row>
    <row r="211" ht="22.5" customHeight="1">
      <c r="A211" s="201"/>
      <c r="B211" s="645"/>
      <c r="C211" s="645"/>
      <c r="D211" s="645"/>
      <c r="E211" s="201"/>
      <c r="F211" s="602"/>
      <c r="G211" s="645"/>
      <c r="H211" s="645"/>
      <c r="I211" s="645"/>
      <c r="J211" s="201"/>
      <c r="K211" s="201"/>
      <c r="L211" s="644"/>
      <c r="M211" s="644"/>
      <c r="N211" s="644"/>
      <c r="O211" s="602"/>
      <c r="P211" s="201"/>
    </row>
    <row r="212" ht="22.5" customHeight="1">
      <c r="A212" s="201"/>
      <c r="B212" s="645"/>
      <c r="C212" s="645"/>
      <c r="D212" s="645"/>
      <c r="E212" s="201"/>
      <c r="F212" s="602"/>
      <c r="G212" s="645"/>
      <c r="H212" s="645"/>
      <c r="I212" s="645"/>
      <c r="J212" s="201"/>
      <c r="K212" s="201"/>
      <c r="L212" s="644"/>
      <c r="M212" s="644"/>
      <c r="N212" s="644"/>
      <c r="O212" s="602"/>
      <c r="P212" s="201"/>
    </row>
    <row r="213" ht="22.5" customHeight="1">
      <c r="A213" s="201"/>
      <c r="B213" s="645"/>
      <c r="C213" s="645"/>
      <c r="D213" s="645"/>
      <c r="E213" s="201"/>
      <c r="F213" s="602"/>
      <c r="G213" s="645"/>
      <c r="H213" s="645"/>
      <c r="I213" s="645"/>
      <c r="J213" s="201"/>
      <c r="K213" s="201"/>
      <c r="L213" s="644"/>
      <c r="M213" s="644"/>
      <c r="N213" s="644"/>
      <c r="O213" s="602"/>
      <c r="P213" s="201"/>
    </row>
    <row r="214" ht="22.5" customHeight="1">
      <c r="A214" s="201"/>
      <c r="B214" s="645"/>
      <c r="C214" s="645"/>
      <c r="D214" s="645"/>
      <c r="E214" s="201"/>
      <c r="F214" s="602"/>
      <c r="G214" s="645"/>
      <c r="H214" s="645"/>
      <c r="I214" s="645"/>
      <c r="J214" s="201"/>
      <c r="K214" s="201"/>
      <c r="L214" s="644"/>
      <c r="M214" s="644"/>
      <c r="N214" s="644"/>
      <c r="O214" s="602"/>
      <c r="P214" s="201"/>
    </row>
    <row r="215" ht="22.5" customHeight="1">
      <c r="A215" s="201"/>
      <c r="B215" s="645"/>
      <c r="C215" s="645"/>
      <c r="D215" s="645"/>
      <c r="E215" s="201"/>
      <c r="F215" s="602"/>
      <c r="G215" s="645"/>
      <c r="H215" s="645"/>
      <c r="I215" s="645"/>
      <c r="J215" s="201"/>
      <c r="K215" s="201"/>
      <c r="L215" s="644"/>
      <c r="M215" s="644"/>
      <c r="N215" s="644"/>
      <c r="O215" s="602"/>
      <c r="P215" s="201"/>
    </row>
    <row r="216" ht="22.5" customHeight="1">
      <c r="A216" s="201"/>
      <c r="B216" s="645"/>
      <c r="C216" s="645"/>
      <c r="D216" s="645"/>
      <c r="E216" s="201"/>
      <c r="F216" s="602"/>
      <c r="G216" s="645"/>
      <c r="H216" s="645"/>
      <c r="I216" s="645"/>
      <c r="J216" s="201"/>
      <c r="K216" s="201"/>
      <c r="L216" s="644"/>
      <c r="M216" s="644"/>
      <c r="N216" s="644"/>
      <c r="O216" s="602"/>
      <c r="P216" s="201"/>
    </row>
    <row r="217" ht="22.5" customHeight="1">
      <c r="A217" s="201"/>
      <c r="B217" s="645"/>
      <c r="C217" s="645"/>
      <c r="D217" s="645"/>
      <c r="E217" s="201"/>
      <c r="F217" s="602"/>
      <c r="G217" s="645"/>
      <c r="H217" s="645"/>
      <c r="I217" s="645"/>
      <c r="J217" s="201"/>
      <c r="K217" s="201"/>
      <c r="L217" s="644"/>
      <c r="M217" s="644"/>
      <c r="N217" s="644"/>
      <c r="O217" s="602"/>
      <c r="P217" s="201"/>
    </row>
    <row r="218" ht="22.5" customHeight="1">
      <c r="A218" s="201"/>
      <c r="B218" s="645"/>
      <c r="C218" s="645"/>
      <c r="D218" s="645"/>
      <c r="E218" s="201"/>
      <c r="F218" s="602"/>
      <c r="G218" s="645"/>
      <c r="H218" s="645"/>
      <c r="I218" s="645"/>
      <c r="J218" s="201"/>
      <c r="K218" s="201"/>
      <c r="L218" s="644"/>
      <c r="M218" s="644"/>
      <c r="N218" s="644"/>
      <c r="O218" s="602"/>
      <c r="P218" s="201"/>
    </row>
    <row r="219" ht="22.5" customHeight="1">
      <c r="A219" s="201"/>
      <c r="B219" s="645"/>
      <c r="C219" s="645"/>
      <c r="D219" s="645"/>
      <c r="E219" s="201"/>
      <c r="F219" s="602"/>
      <c r="G219" s="645"/>
      <c r="H219" s="645"/>
      <c r="I219" s="645"/>
      <c r="J219" s="201"/>
      <c r="K219" s="201"/>
      <c r="L219" s="644"/>
      <c r="M219" s="644"/>
      <c r="N219" s="644"/>
      <c r="O219" s="602"/>
      <c r="P219" s="201"/>
    </row>
    <row r="220" ht="22.5" customHeight="1">
      <c r="A220" s="201"/>
      <c r="B220" s="645"/>
      <c r="C220" s="645"/>
      <c r="D220" s="645"/>
      <c r="E220" s="201"/>
      <c r="F220" s="602"/>
      <c r="G220" s="645"/>
      <c r="H220" s="645"/>
      <c r="I220" s="645"/>
      <c r="J220" s="201"/>
      <c r="K220" s="201"/>
      <c r="L220" s="644"/>
      <c r="M220" s="644"/>
      <c r="N220" s="644"/>
      <c r="O220" s="602"/>
      <c r="P220" s="201"/>
    </row>
    <row r="221" ht="22.5" customHeight="1">
      <c r="A221" s="201"/>
      <c r="B221" s="645"/>
      <c r="C221" s="645"/>
      <c r="D221" s="645"/>
      <c r="E221" s="201"/>
      <c r="F221" s="602"/>
      <c r="G221" s="645"/>
      <c r="H221" s="645"/>
      <c r="I221" s="645"/>
      <c r="J221" s="201"/>
      <c r="K221" s="201"/>
      <c r="L221" s="644"/>
      <c r="M221" s="644"/>
      <c r="N221" s="644"/>
      <c r="O221" s="602"/>
      <c r="P221" s="201"/>
    </row>
    <row r="222" ht="22.5" customHeight="1">
      <c r="A222" s="201"/>
      <c r="B222" s="645"/>
      <c r="C222" s="645"/>
      <c r="D222" s="645"/>
      <c r="E222" s="201"/>
      <c r="F222" s="602"/>
      <c r="G222" s="645"/>
      <c r="H222" s="645"/>
      <c r="I222" s="645"/>
      <c r="J222" s="201"/>
      <c r="K222" s="201"/>
      <c r="L222" s="644"/>
      <c r="M222" s="644"/>
      <c r="N222" s="644"/>
      <c r="O222" s="602"/>
      <c r="P222" s="201"/>
    </row>
    <row r="223" ht="22.5" customHeight="1">
      <c r="A223" s="201"/>
      <c r="B223" s="645"/>
      <c r="C223" s="645"/>
      <c r="D223" s="645"/>
      <c r="E223" s="201"/>
      <c r="F223" s="602"/>
      <c r="G223" s="645"/>
      <c r="H223" s="645"/>
      <c r="I223" s="645"/>
      <c r="J223" s="201"/>
      <c r="K223" s="201"/>
      <c r="L223" s="644"/>
      <c r="M223" s="644"/>
      <c r="N223" s="644"/>
      <c r="O223" s="602"/>
      <c r="P223" s="201"/>
    </row>
    <row r="224" ht="22.5" customHeight="1">
      <c r="A224" s="201"/>
      <c r="B224" s="645"/>
      <c r="C224" s="645"/>
      <c r="D224" s="645"/>
      <c r="E224" s="201"/>
      <c r="F224" s="602"/>
      <c r="G224" s="645"/>
      <c r="H224" s="645"/>
      <c r="I224" s="645"/>
      <c r="J224" s="201"/>
      <c r="K224" s="201"/>
      <c r="L224" s="644"/>
      <c r="M224" s="644"/>
      <c r="N224" s="644"/>
      <c r="O224" s="602"/>
      <c r="P224" s="201"/>
    </row>
    <row r="225" ht="22.5" customHeight="1">
      <c r="A225" s="201"/>
      <c r="B225" s="645"/>
      <c r="C225" s="645"/>
      <c r="D225" s="645"/>
      <c r="E225" s="201"/>
      <c r="F225" s="602"/>
      <c r="G225" s="645"/>
      <c r="H225" s="645"/>
      <c r="I225" s="645"/>
      <c r="J225" s="201"/>
      <c r="K225" s="201"/>
      <c r="L225" s="644"/>
      <c r="M225" s="644"/>
      <c r="N225" s="644"/>
      <c r="O225" s="602"/>
      <c r="P225" s="201"/>
    </row>
    <row r="226" ht="22.5" customHeight="1">
      <c r="A226" s="201"/>
      <c r="B226" s="645"/>
      <c r="C226" s="645"/>
      <c r="D226" s="645"/>
      <c r="E226" s="201"/>
      <c r="F226" s="602"/>
      <c r="G226" s="645"/>
      <c r="H226" s="645"/>
      <c r="I226" s="645"/>
      <c r="J226" s="201"/>
      <c r="K226" s="201"/>
      <c r="L226" s="644"/>
      <c r="M226" s="644"/>
      <c r="N226" s="644"/>
      <c r="O226" s="602"/>
      <c r="P226" s="201"/>
    </row>
    <row r="227" ht="22.5" customHeight="1">
      <c r="A227" s="201"/>
      <c r="B227" s="645"/>
      <c r="C227" s="645"/>
      <c r="D227" s="645"/>
      <c r="E227" s="201"/>
      <c r="F227" s="602"/>
      <c r="G227" s="645"/>
      <c r="H227" s="645"/>
      <c r="I227" s="645"/>
      <c r="J227" s="201"/>
      <c r="K227" s="201"/>
      <c r="L227" s="644"/>
      <c r="M227" s="644"/>
      <c r="N227" s="644"/>
      <c r="O227" s="602"/>
      <c r="P227" s="201"/>
    </row>
    <row r="228" ht="22.5" customHeight="1">
      <c r="A228" s="201"/>
      <c r="B228" s="645"/>
      <c r="C228" s="645"/>
      <c r="D228" s="645"/>
      <c r="E228" s="201"/>
      <c r="F228" s="602"/>
      <c r="G228" s="645"/>
      <c r="H228" s="645"/>
      <c r="I228" s="645"/>
      <c r="J228" s="201"/>
      <c r="K228" s="201"/>
      <c r="L228" s="644"/>
      <c r="M228" s="644"/>
      <c r="N228" s="644"/>
      <c r="O228" s="602"/>
      <c r="P228" s="201"/>
    </row>
    <row r="229" ht="22.5" customHeight="1">
      <c r="A229" s="201"/>
      <c r="B229" s="645"/>
      <c r="C229" s="645"/>
      <c r="D229" s="645"/>
      <c r="E229" s="201"/>
      <c r="F229" s="602"/>
      <c r="G229" s="645"/>
      <c r="H229" s="645"/>
      <c r="I229" s="645"/>
      <c r="J229" s="201"/>
      <c r="K229" s="201"/>
      <c r="L229" s="644"/>
      <c r="M229" s="644"/>
      <c r="N229" s="644"/>
      <c r="O229" s="602"/>
      <c r="P229" s="201"/>
    </row>
    <row r="230" ht="22.5" customHeight="1">
      <c r="A230" s="201"/>
      <c r="B230" s="645"/>
      <c r="C230" s="645"/>
      <c r="D230" s="645"/>
      <c r="E230" s="201"/>
      <c r="F230" s="602"/>
      <c r="G230" s="645"/>
      <c r="H230" s="645"/>
      <c r="I230" s="645"/>
      <c r="J230" s="201"/>
      <c r="K230" s="201"/>
      <c r="L230" s="644"/>
      <c r="M230" s="644"/>
      <c r="N230" s="644"/>
      <c r="O230" s="602"/>
      <c r="P230" s="201"/>
    </row>
    <row r="231" ht="22.5" customHeight="1">
      <c r="A231" s="201"/>
      <c r="B231" s="645"/>
      <c r="C231" s="645"/>
      <c r="D231" s="645"/>
      <c r="E231" s="201"/>
      <c r="F231" s="602"/>
      <c r="G231" s="645"/>
      <c r="H231" s="645"/>
      <c r="I231" s="645"/>
      <c r="J231" s="201"/>
      <c r="K231" s="201"/>
      <c r="L231" s="644"/>
      <c r="M231" s="644"/>
      <c r="N231" s="644"/>
      <c r="O231" s="602"/>
      <c r="P231" s="201"/>
    </row>
    <row r="232" ht="22.5" customHeight="1">
      <c r="A232" s="201"/>
      <c r="B232" s="645"/>
      <c r="C232" s="645"/>
      <c r="D232" s="645"/>
      <c r="E232" s="201"/>
      <c r="F232" s="602"/>
      <c r="G232" s="645"/>
      <c r="H232" s="645"/>
      <c r="I232" s="645"/>
      <c r="J232" s="201"/>
      <c r="K232" s="201"/>
      <c r="L232" s="644"/>
      <c r="M232" s="644"/>
      <c r="N232" s="644"/>
      <c r="O232" s="602"/>
      <c r="P232" s="201"/>
    </row>
    <row r="233" ht="22.5" customHeight="1">
      <c r="A233" s="201"/>
      <c r="B233" s="645"/>
      <c r="C233" s="645"/>
      <c r="D233" s="645"/>
      <c r="E233" s="201"/>
      <c r="F233" s="602"/>
      <c r="G233" s="645"/>
      <c r="H233" s="645"/>
      <c r="I233" s="645"/>
      <c r="J233" s="201"/>
      <c r="K233" s="201"/>
      <c r="L233" s="644"/>
      <c r="M233" s="644"/>
      <c r="N233" s="644"/>
      <c r="O233" s="602"/>
      <c r="P233" s="201"/>
    </row>
    <row r="234" ht="22.5" customHeight="1">
      <c r="A234" s="201"/>
      <c r="B234" s="645"/>
      <c r="C234" s="645"/>
      <c r="D234" s="645"/>
      <c r="E234" s="201"/>
      <c r="F234" s="602"/>
      <c r="G234" s="645"/>
      <c r="H234" s="645"/>
      <c r="I234" s="645"/>
      <c r="J234" s="201"/>
      <c r="K234" s="201"/>
      <c r="L234" s="644"/>
      <c r="M234" s="644"/>
      <c r="N234" s="644"/>
      <c r="O234" s="602"/>
      <c r="P234" s="201"/>
    </row>
    <row r="235" ht="22.5" customHeight="1">
      <c r="A235" s="201"/>
      <c r="B235" s="645"/>
      <c r="C235" s="645"/>
      <c r="D235" s="645"/>
      <c r="E235" s="201"/>
      <c r="F235" s="602"/>
      <c r="G235" s="645"/>
      <c r="H235" s="645"/>
      <c r="I235" s="645"/>
      <c r="J235" s="201"/>
      <c r="K235" s="201"/>
      <c r="L235" s="644"/>
      <c r="M235" s="644"/>
      <c r="N235" s="644"/>
      <c r="O235" s="602"/>
      <c r="P235" s="201"/>
    </row>
    <row r="236" ht="22.5" customHeight="1">
      <c r="A236" s="201"/>
      <c r="B236" s="645"/>
      <c r="C236" s="645"/>
      <c r="D236" s="645"/>
      <c r="E236" s="201"/>
      <c r="F236" s="602"/>
      <c r="G236" s="645"/>
      <c r="H236" s="645"/>
      <c r="I236" s="645"/>
      <c r="J236" s="201"/>
      <c r="K236" s="201"/>
      <c r="L236" s="644"/>
      <c r="M236" s="644"/>
      <c r="N236" s="644"/>
      <c r="O236" s="602"/>
      <c r="P236" s="201"/>
    </row>
    <row r="237" ht="22.5" customHeight="1">
      <c r="A237" s="201"/>
      <c r="B237" s="645"/>
      <c r="C237" s="645"/>
      <c r="D237" s="645"/>
      <c r="E237" s="201"/>
      <c r="F237" s="602"/>
      <c r="G237" s="645"/>
      <c r="H237" s="645"/>
      <c r="I237" s="645"/>
      <c r="J237" s="201"/>
      <c r="K237" s="201"/>
      <c r="L237" s="644"/>
      <c r="M237" s="644"/>
      <c r="N237" s="644"/>
      <c r="O237" s="602"/>
      <c r="P237" s="201"/>
    </row>
    <row r="238" ht="22.5" customHeight="1">
      <c r="A238" s="201"/>
      <c r="B238" s="645"/>
      <c r="C238" s="645"/>
      <c r="D238" s="645"/>
      <c r="E238" s="201"/>
      <c r="F238" s="602"/>
      <c r="G238" s="645"/>
      <c r="H238" s="645"/>
      <c r="I238" s="645"/>
      <c r="J238" s="201"/>
      <c r="K238" s="201"/>
      <c r="L238" s="644"/>
      <c r="M238" s="644"/>
      <c r="N238" s="644"/>
      <c r="O238" s="602"/>
      <c r="P238" s="201"/>
    </row>
    <row r="239" ht="22.5" customHeight="1">
      <c r="A239" s="201"/>
      <c r="B239" s="645"/>
      <c r="C239" s="645"/>
      <c r="D239" s="645"/>
      <c r="E239" s="201"/>
      <c r="F239" s="602"/>
      <c r="G239" s="645"/>
      <c r="H239" s="645"/>
      <c r="I239" s="645"/>
      <c r="J239" s="201"/>
      <c r="K239" s="201"/>
      <c r="L239" s="644"/>
      <c r="M239" s="644"/>
      <c r="N239" s="644"/>
      <c r="O239" s="602"/>
      <c r="P239" s="201"/>
    </row>
    <row r="240" ht="22.5" customHeight="1">
      <c r="A240" s="201"/>
      <c r="B240" s="645"/>
      <c r="C240" s="645"/>
      <c r="D240" s="645"/>
      <c r="E240" s="201"/>
      <c r="F240" s="602"/>
      <c r="G240" s="645"/>
      <c r="H240" s="645"/>
      <c r="I240" s="645"/>
      <c r="J240" s="201"/>
      <c r="K240" s="201"/>
      <c r="L240" s="644"/>
      <c r="M240" s="644"/>
      <c r="N240" s="644"/>
      <c r="O240" s="602"/>
      <c r="P240" s="201"/>
    </row>
    <row r="241" ht="22.5" customHeight="1">
      <c r="A241" s="201"/>
      <c r="B241" s="645"/>
      <c r="C241" s="645"/>
      <c r="D241" s="645"/>
      <c r="E241" s="201"/>
      <c r="F241" s="602"/>
      <c r="G241" s="645"/>
      <c r="H241" s="645"/>
      <c r="I241" s="645"/>
      <c r="J241" s="201"/>
      <c r="K241" s="201"/>
      <c r="L241" s="644"/>
      <c r="M241" s="644"/>
      <c r="N241" s="644"/>
      <c r="O241" s="602"/>
      <c r="P241" s="201"/>
    </row>
    <row r="242" ht="22.5" customHeight="1">
      <c r="A242" s="201"/>
      <c r="B242" s="645"/>
      <c r="C242" s="645"/>
      <c r="D242" s="645"/>
      <c r="E242" s="201"/>
      <c r="F242" s="602"/>
      <c r="G242" s="645"/>
      <c r="H242" s="645"/>
      <c r="I242" s="645"/>
      <c r="J242" s="201"/>
      <c r="K242" s="201"/>
      <c r="L242" s="644"/>
      <c r="M242" s="644"/>
      <c r="N242" s="644"/>
      <c r="O242" s="602"/>
      <c r="P242" s="201"/>
    </row>
    <row r="243" ht="22.5" customHeight="1">
      <c r="A243" s="201"/>
      <c r="B243" s="645"/>
      <c r="C243" s="645"/>
      <c r="D243" s="645"/>
      <c r="E243" s="201"/>
      <c r="F243" s="602"/>
      <c r="G243" s="645"/>
      <c r="H243" s="645"/>
      <c r="I243" s="645"/>
      <c r="J243" s="201"/>
      <c r="K243" s="201"/>
      <c r="L243" s="644"/>
      <c r="M243" s="644"/>
      <c r="N243" s="644"/>
      <c r="O243" s="602"/>
      <c r="P243" s="201"/>
    </row>
    <row r="244" ht="22.5" customHeight="1">
      <c r="A244" s="201"/>
      <c r="B244" s="645"/>
      <c r="C244" s="645"/>
      <c r="D244" s="645"/>
      <c r="E244" s="201"/>
      <c r="F244" s="602"/>
      <c r="G244" s="645"/>
      <c r="H244" s="645"/>
      <c r="I244" s="645"/>
      <c r="J244" s="201"/>
      <c r="K244" s="201"/>
      <c r="L244" s="644"/>
      <c r="M244" s="644"/>
      <c r="N244" s="644"/>
      <c r="O244" s="602"/>
      <c r="P244" s="201"/>
    </row>
    <row r="245" ht="22.5" customHeight="1">
      <c r="A245" s="201"/>
      <c r="B245" s="645"/>
      <c r="C245" s="645"/>
      <c r="D245" s="645"/>
      <c r="E245" s="201"/>
      <c r="F245" s="602"/>
      <c r="G245" s="645"/>
      <c r="H245" s="645"/>
      <c r="I245" s="645"/>
      <c r="J245" s="201"/>
      <c r="K245" s="201"/>
      <c r="L245" s="644"/>
      <c r="M245" s="644"/>
      <c r="N245" s="644"/>
      <c r="O245" s="602"/>
      <c r="P245" s="201"/>
    </row>
    <row r="246" ht="22.5" customHeight="1">
      <c r="A246" s="201"/>
      <c r="B246" s="645"/>
      <c r="C246" s="645"/>
      <c r="D246" s="645"/>
      <c r="E246" s="201"/>
      <c r="F246" s="602"/>
      <c r="G246" s="645"/>
      <c r="H246" s="645"/>
      <c r="I246" s="645"/>
      <c r="J246" s="201"/>
      <c r="K246" s="201"/>
      <c r="L246" s="644"/>
      <c r="M246" s="644"/>
      <c r="N246" s="644"/>
      <c r="O246" s="602"/>
      <c r="P246" s="201"/>
    </row>
    <row r="247" ht="22.5" customHeight="1">
      <c r="A247" s="201"/>
      <c r="B247" s="645"/>
      <c r="C247" s="645"/>
      <c r="D247" s="645"/>
      <c r="E247" s="201"/>
      <c r="F247" s="602"/>
      <c r="G247" s="645"/>
      <c r="H247" s="645"/>
      <c r="I247" s="645"/>
      <c r="J247" s="201"/>
      <c r="K247" s="201"/>
      <c r="L247" s="644"/>
      <c r="M247" s="644"/>
      <c r="N247" s="644"/>
      <c r="O247" s="602"/>
      <c r="P247" s="201"/>
    </row>
    <row r="248" ht="22.5" customHeight="1">
      <c r="A248" s="201"/>
      <c r="B248" s="645"/>
      <c r="C248" s="645"/>
      <c r="D248" s="645"/>
      <c r="E248" s="201"/>
      <c r="F248" s="602"/>
      <c r="G248" s="645"/>
      <c r="H248" s="645"/>
      <c r="I248" s="645"/>
      <c r="J248" s="201"/>
      <c r="K248" s="201"/>
      <c r="L248" s="644"/>
      <c r="M248" s="644"/>
      <c r="N248" s="644"/>
      <c r="O248" s="602"/>
      <c r="P248" s="201"/>
    </row>
    <row r="249" ht="22.5" customHeight="1">
      <c r="A249" s="201"/>
      <c r="B249" s="645"/>
      <c r="C249" s="645"/>
      <c r="D249" s="645"/>
      <c r="E249" s="201"/>
      <c r="F249" s="602"/>
      <c r="G249" s="645"/>
      <c r="H249" s="645"/>
      <c r="I249" s="645"/>
      <c r="J249" s="201"/>
      <c r="K249" s="201"/>
      <c r="L249" s="644"/>
      <c r="M249" s="644"/>
      <c r="N249" s="644"/>
      <c r="O249" s="602"/>
      <c r="P249" s="201"/>
    </row>
    <row r="250" ht="22.5" customHeight="1">
      <c r="A250" s="201"/>
      <c r="B250" s="645"/>
      <c r="C250" s="645"/>
      <c r="D250" s="645"/>
      <c r="E250" s="201"/>
      <c r="F250" s="602"/>
      <c r="G250" s="645"/>
      <c r="H250" s="645"/>
      <c r="I250" s="645"/>
      <c r="J250" s="201"/>
      <c r="K250" s="201"/>
      <c r="L250" s="644"/>
      <c r="M250" s="644"/>
      <c r="N250" s="644"/>
      <c r="O250" s="602"/>
      <c r="P250" s="201"/>
    </row>
    <row r="251" ht="22.5" customHeight="1">
      <c r="A251" s="201"/>
      <c r="B251" s="645"/>
      <c r="C251" s="645"/>
      <c r="D251" s="645"/>
      <c r="E251" s="201"/>
      <c r="F251" s="602"/>
      <c r="G251" s="645"/>
      <c r="H251" s="645"/>
      <c r="I251" s="645"/>
      <c r="J251" s="201"/>
      <c r="K251" s="201"/>
      <c r="L251" s="644"/>
      <c r="M251" s="644"/>
      <c r="N251" s="644"/>
      <c r="O251" s="602"/>
      <c r="P251" s="201"/>
    </row>
    <row r="252" ht="22.5" customHeight="1">
      <c r="A252" s="201"/>
      <c r="B252" s="645"/>
      <c r="C252" s="645"/>
      <c r="D252" s="645"/>
      <c r="E252" s="201"/>
      <c r="F252" s="602"/>
      <c r="G252" s="645"/>
      <c r="H252" s="645"/>
      <c r="I252" s="645"/>
      <c r="J252" s="201"/>
      <c r="K252" s="201"/>
      <c r="L252" s="644"/>
      <c r="M252" s="644"/>
      <c r="N252" s="644"/>
      <c r="O252" s="602"/>
      <c r="P252" s="201"/>
    </row>
    <row r="253" ht="22.5" customHeight="1">
      <c r="A253" s="201"/>
      <c r="B253" s="645"/>
      <c r="C253" s="645"/>
      <c r="D253" s="645"/>
      <c r="E253" s="201"/>
      <c r="F253" s="602"/>
      <c r="G253" s="645"/>
      <c r="H253" s="645"/>
      <c r="I253" s="645"/>
      <c r="J253" s="201"/>
      <c r="K253" s="201"/>
      <c r="L253" s="644"/>
      <c r="M253" s="644"/>
      <c r="N253" s="644"/>
      <c r="O253" s="602"/>
      <c r="P253" s="201"/>
    </row>
    <row r="254" ht="22.5" customHeight="1">
      <c r="A254" s="201"/>
      <c r="B254" s="645"/>
      <c r="C254" s="645"/>
      <c r="D254" s="645"/>
      <c r="E254" s="201"/>
      <c r="F254" s="602"/>
      <c r="G254" s="645"/>
      <c r="H254" s="645"/>
      <c r="I254" s="645"/>
      <c r="J254" s="201"/>
      <c r="K254" s="201"/>
      <c r="L254" s="644"/>
      <c r="M254" s="644"/>
      <c r="N254" s="644"/>
      <c r="O254" s="602"/>
      <c r="P254" s="201"/>
    </row>
    <row r="255" ht="22.5" customHeight="1">
      <c r="A255" s="201"/>
      <c r="B255" s="645"/>
      <c r="C255" s="645"/>
      <c r="D255" s="645"/>
      <c r="E255" s="201"/>
      <c r="F255" s="602"/>
      <c r="G255" s="645"/>
      <c r="H255" s="645"/>
      <c r="I255" s="645"/>
      <c r="J255" s="201"/>
      <c r="K255" s="201"/>
      <c r="L255" s="644"/>
      <c r="M255" s="644"/>
      <c r="N255" s="644"/>
      <c r="O255" s="602"/>
      <c r="P255" s="201"/>
    </row>
    <row r="256" ht="22.5" customHeight="1">
      <c r="A256" s="201"/>
      <c r="B256" s="645"/>
      <c r="C256" s="645"/>
      <c r="D256" s="645"/>
      <c r="E256" s="201"/>
      <c r="F256" s="602"/>
      <c r="G256" s="645"/>
      <c r="H256" s="645"/>
      <c r="I256" s="645"/>
      <c r="J256" s="201"/>
      <c r="K256" s="201"/>
      <c r="L256" s="644"/>
      <c r="M256" s="644"/>
      <c r="N256" s="644"/>
      <c r="O256" s="602"/>
      <c r="P256" s="201"/>
    </row>
    <row r="257" ht="22.5" customHeight="1">
      <c r="A257" s="201"/>
      <c r="B257" s="645"/>
      <c r="C257" s="645"/>
      <c r="D257" s="645"/>
      <c r="E257" s="201"/>
      <c r="F257" s="602"/>
      <c r="G257" s="645"/>
      <c r="H257" s="645"/>
      <c r="I257" s="645"/>
      <c r="J257" s="201"/>
      <c r="K257" s="201"/>
      <c r="L257" s="644"/>
      <c r="M257" s="644"/>
      <c r="N257" s="644"/>
      <c r="O257" s="602"/>
      <c r="P257" s="201"/>
    </row>
    <row r="258" ht="22.5" customHeight="1">
      <c r="A258" s="201"/>
      <c r="B258" s="645"/>
      <c r="C258" s="645"/>
      <c r="D258" s="645"/>
      <c r="E258" s="201"/>
      <c r="F258" s="602"/>
      <c r="G258" s="645"/>
      <c r="H258" s="645"/>
      <c r="I258" s="645"/>
      <c r="J258" s="201"/>
      <c r="K258" s="201"/>
      <c r="L258" s="644"/>
      <c r="M258" s="644"/>
      <c r="N258" s="644"/>
      <c r="O258" s="602"/>
      <c r="P258" s="201"/>
    </row>
    <row r="259" ht="22.5" customHeight="1">
      <c r="A259" s="201"/>
      <c r="B259" s="645"/>
      <c r="C259" s="645"/>
      <c r="D259" s="645"/>
      <c r="E259" s="201"/>
      <c r="F259" s="602"/>
      <c r="G259" s="645"/>
      <c r="H259" s="645"/>
      <c r="I259" s="645"/>
      <c r="J259" s="201"/>
      <c r="K259" s="201"/>
      <c r="L259" s="644"/>
      <c r="M259" s="644"/>
      <c r="N259" s="644"/>
      <c r="O259" s="602"/>
      <c r="P259" s="201"/>
    </row>
    <row r="260" ht="22.5" customHeight="1">
      <c r="A260" s="201"/>
      <c r="B260" s="645"/>
      <c r="C260" s="645"/>
      <c r="D260" s="645"/>
      <c r="E260" s="201"/>
      <c r="F260" s="602"/>
      <c r="G260" s="645"/>
      <c r="H260" s="645"/>
      <c r="I260" s="645"/>
      <c r="J260" s="201"/>
      <c r="K260" s="201"/>
      <c r="L260" s="644"/>
      <c r="M260" s="644"/>
      <c r="N260" s="644"/>
      <c r="O260" s="602"/>
      <c r="P260" s="201"/>
    </row>
    <row r="261" ht="22.5" customHeight="1">
      <c r="A261" s="201"/>
      <c r="B261" s="645"/>
      <c r="C261" s="645"/>
      <c r="D261" s="645"/>
      <c r="E261" s="201"/>
      <c r="F261" s="602"/>
      <c r="G261" s="645"/>
      <c r="H261" s="645"/>
      <c r="I261" s="645"/>
      <c r="J261" s="201"/>
      <c r="K261" s="201"/>
      <c r="L261" s="644"/>
      <c r="M261" s="644"/>
      <c r="N261" s="644"/>
      <c r="O261" s="602"/>
      <c r="P261" s="201"/>
    </row>
    <row r="262" ht="22.5" customHeight="1">
      <c r="A262" s="201"/>
      <c r="B262" s="645"/>
      <c r="C262" s="645"/>
      <c r="D262" s="645"/>
      <c r="E262" s="201"/>
      <c r="F262" s="602"/>
      <c r="G262" s="645"/>
      <c r="H262" s="645"/>
      <c r="I262" s="645"/>
      <c r="J262" s="201"/>
      <c r="K262" s="201"/>
      <c r="L262" s="644"/>
      <c r="M262" s="644"/>
      <c r="N262" s="644"/>
      <c r="O262" s="602"/>
      <c r="P262" s="201"/>
    </row>
    <row r="263" ht="22.5" customHeight="1">
      <c r="A263" s="201"/>
      <c r="B263" s="645"/>
      <c r="C263" s="645"/>
      <c r="D263" s="645"/>
      <c r="E263" s="201"/>
      <c r="F263" s="602"/>
      <c r="G263" s="645"/>
      <c r="H263" s="645"/>
      <c r="I263" s="645"/>
      <c r="J263" s="201"/>
      <c r="K263" s="201"/>
      <c r="L263" s="644"/>
      <c r="M263" s="644"/>
      <c r="N263" s="644"/>
      <c r="O263" s="602"/>
      <c r="P263" s="201"/>
    </row>
    <row r="264" ht="22.5" customHeight="1">
      <c r="A264" s="201"/>
      <c r="B264" s="645"/>
      <c r="C264" s="645"/>
      <c r="D264" s="645"/>
      <c r="E264" s="201"/>
      <c r="F264" s="602"/>
      <c r="G264" s="645"/>
      <c r="H264" s="645"/>
      <c r="I264" s="645"/>
      <c r="J264" s="201"/>
      <c r="K264" s="201"/>
      <c r="L264" s="644"/>
      <c r="M264" s="644"/>
      <c r="N264" s="644"/>
      <c r="O264" s="602"/>
      <c r="P264" s="201"/>
    </row>
    <row r="265" ht="22.5" customHeight="1">
      <c r="A265" s="201"/>
      <c r="B265" s="645"/>
      <c r="C265" s="645"/>
      <c r="D265" s="645"/>
      <c r="E265" s="201"/>
      <c r="F265" s="602"/>
      <c r="G265" s="645"/>
      <c r="H265" s="645"/>
      <c r="I265" s="645"/>
      <c r="J265" s="201"/>
      <c r="K265" s="201"/>
      <c r="L265" s="644"/>
      <c r="M265" s="644"/>
      <c r="N265" s="644"/>
      <c r="O265" s="602"/>
      <c r="P265" s="201"/>
    </row>
    <row r="266" ht="22.5" customHeight="1">
      <c r="A266" s="201"/>
      <c r="B266" s="645"/>
      <c r="C266" s="645"/>
      <c r="D266" s="645"/>
      <c r="E266" s="201"/>
      <c r="F266" s="602"/>
      <c r="G266" s="645"/>
      <c r="H266" s="645"/>
      <c r="I266" s="645"/>
      <c r="J266" s="201"/>
      <c r="K266" s="201"/>
      <c r="L266" s="644"/>
      <c r="M266" s="644"/>
      <c r="N266" s="644"/>
      <c r="O266" s="602"/>
      <c r="P266" s="201"/>
    </row>
    <row r="267" ht="22.5" customHeight="1">
      <c r="A267" s="201"/>
      <c r="B267" s="645"/>
      <c r="C267" s="645"/>
      <c r="D267" s="645"/>
      <c r="E267" s="201"/>
      <c r="F267" s="602"/>
      <c r="G267" s="645"/>
      <c r="H267" s="645"/>
      <c r="I267" s="645"/>
      <c r="J267" s="201"/>
      <c r="K267" s="201"/>
      <c r="L267" s="644"/>
      <c r="M267" s="644"/>
      <c r="N267" s="644"/>
      <c r="O267" s="602"/>
      <c r="P267" s="201"/>
    </row>
    <row r="268" ht="22.5" customHeight="1">
      <c r="A268" s="201"/>
      <c r="B268" s="645"/>
      <c r="C268" s="645"/>
      <c r="D268" s="645"/>
      <c r="E268" s="201"/>
      <c r="F268" s="602"/>
      <c r="G268" s="645"/>
      <c r="H268" s="645"/>
      <c r="I268" s="645"/>
      <c r="J268" s="201"/>
      <c r="K268" s="201"/>
      <c r="L268" s="644"/>
      <c r="M268" s="644"/>
      <c r="N268" s="644"/>
      <c r="O268" s="602"/>
      <c r="P268" s="201"/>
    </row>
    <row r="269" ht="22.5" customHeight="1">
      <c r="A269" s="201"/>
      <c r="B269" s="645"/>
      <c r="C269" s="645"/>
      <c r="D269" s="645"/>
      <c r="E269" s="201"/>
      <c r="F269" s="602"/>
      <c r="G269" s="645"/>
      <c r="H269" s="645"/>
      <c r="I269" s="645"/>
      <c r="J269" s="201"/>
      <c r="K269" s="201"/>
      <c r="L269" s="644"/>
      <c r="M269" s="644"/>
      <c r="N269" s="644"/>
      <c r="O269" s="602"/>
      <c r="P269" s="201"/>
    </row>
    <row r="270" ht="22.5" customHeight="1">
      <c r="A270" s="201"/>
      <c r="B270" s="645"/>
      <c r="C270" s="645"/>
      <c r="D270" s="645"/>
      <c r="E270" s="201"/>
      <c r="F270" s="602"/>
      <c r="G270" s="645"/>
      <c r="H270" s="645"/>
      <c r="I270" s="645"/>
      <c r="J270" s="201"/>
      <c r="K270" s="201"/>
      <c r="L270" s="644"/>
      <c r="M270" s="644"/>
      <c r="N270" s="644"/>
      <c r="O270" s="602"/>
      <c r="P270" s="201"/>
    </row>
    <row r="271" ht="22.5" customHeight="1">
      <c r="A271" s="201"/>
      <c r="B271" s="645"/>
      <c r="C271" s="645"/>
      <c r="D271" s="645"/>
      <c r="E271" s="201"/>
      <c r="F271" s="602"/>
      <c r="G271" s="645"/>
      <c r="H271" s="645"/>
      <c r="I271" s="645"/>
      <c r="J271" s="201"/>
      <c r="K271" s="201"/>
      <c r="L271" s="644"/>
      <c r="M271" s="644"/>
      <c r="N271" s="644"/>
      <c r="O271" s="602"/>
      <c r="P271" s="201"/>
    </row>
    <row r="272" ht="22.5" customHeight="1">
      <c r="A272" s="201"/>
      <c r="B272" s="645"/>
      <c r="C272" s="645"/>
      <c r="D272" s="645"/>
      <c r="E272" s="201"/>
      <c r="F272" s="602"/>
      <c r="G272" s="645"/>
      <c r="H272" s="645"/>
      <c r="I272" s="645"/>
      <c r="J272" s="201"/>
      <c r="K272" s="201"/>
      <c r="L272" s="644"/>
      <c r="M272" s="644"/>
      <c r="N272" s="644"/>
      <c r="O272" s="602"/>
      <c r="P272" s="201"/>
    </row>
    <row r="273" ht="22.5" customHeight="1">
      <c r="A273" s="201"/>
      <c r="B273" s="645"/>
      <c r="C273" s="645"/>
      <c r="D273" s="645"/>
      <c r="E273" s="201"/>
      <c r="F273" s="602"/>
      <c r="G273" s="645"/>
      <c r="H273" s="645"/>
      <c r="I273" s="645"/>
      <c r="J273" s="201"/>
      <c r="K273" s="201"/>
      <c r="L273" s="644"/>
      <c r="M273" s="644"/>
      <c r="N273" s="644"/>
      <c r="O273" s="602"/>
      <c r="P273" s="201"/>
    </row>
    <row r="274" ht="22.5" customHeight="1">
      <c r="A274" s="201"/>
      <c r="B274" s="645"/>
      <c r="C274" s="645"/>
      <c r="D274" s="645"/>
      <c r="E274" s="201"/>
      <c r="F274" s="602"/>
      <c r="G274" s="645"/>
      <c r="H274" s="645"/>
      <c r="I274" s="645"/>
      <c r="J274" s="201"/>
      <c r="K274" s="201"/>
      <c r="L274" s="644"/>
      <c r="M274" s="644"/>
      <c r="N274" s="644"/>
      <c r="O274" s="602"/>
      <c r="P274" s="201"/>
    </row>
    <row r="275" ht="22.5" customHeight="1">
      <c r="A275" s="201"/>
      <c r="B275" s="645"/>
      <c r="C275" s="645"/>
      <c r="D275" s="645"/>
      <c r="E275" s="201"/>
      <c r="F275" s="602"/>
      <c r="G275" s="645"/>
      <c r="H275" s="645"/>
      <c r="I275" s="645"/>
      <c r="J275" s="201"/>
      <c r="K275" s="201"/>
      <c r="L275" s="644"/>
      <c r="M275" s="644"/>
      <c r="N275" s="644"/>
      <c r="O275" s="602"/>
      <c r="P275" s="201"/>
    </row>
    <row r="276" ht="22.5" customHeight="1">
      <c r="A276" s="201"/>
      <c r="B276" s="645"/>
      <c r="C276" s="645"/>
      <c r="D276" s="645"/>
      <c r="E276" s="201"/>
      <c r="F276" s="602"/>
      <c r="G276" s="645"/>
      <c r="H276" s="645"/>
      <c r="I276" s="645"/>
      <c r="J276" s="201"/>
      <c r="K276" s="201"/>
      <c r="L276" s="644"/>
      <c r="M276" s="644"/>
      <c r="N276" s="644"/>
      <c r="O276" s="602"/>
      <c r="P276" s="201"/>
    </row>
    <row r="277" ht="22.5" customHeight="1">
      <c r="A277" s="201"/>
      <c r="B277" s="645"/>
      <c r="C277" s="645"/>
      <c r="D277" s="645"/>
      <c r="E277" s="201"/>
      <c r="F277" s="602"/>
      <c r="G277" s="645"/>
      <c r="H277" s="645"/>
      <c r="I277" s="645"/>
      <c r="J277" s="201"/>
      <c r="K277" s="201"/>
      <c r="L277" s="644"/>
      <c r="M277" s="644"/>
      <c r="N277" s="644"/>
      <c r="O277" s="602"/>
      <c r="P277" s="201"/>
    </row>
    <row r="278" ht="22.5" customHeight="1">
      <c r="A278" s="201"/>
      <c r="B278" s="645"/>
      <c r="C278" s="645"/>
      <c r="D278" s="645"/>
      <c r="E278" s="201"/>
      <c r="F278" s="602"/>
      <c r="G278" s="645"/>
      <c r="H278" s="645"/>
      <c r="I278" s="645"/>
      <c r="J278" s="201"/>
      <c r="K278" s="201"/>
      <c r="L278" s="644"/>
      <c r="M278" s="644"/>
      <c r="N278" s="644"/>
      <c r="O278" s="602"/>
      <c r="P278" s="201"/>
    </row>
    <row r="279" ht="22.5" customHeight="1">
      <c r="A279" s="201"/>
      <c r="B279" s="645"/>
      <c r="C279" s="645"/>
      <c r="D279" s="645"/>
      <c r="E279" s="201"/>
      <c r="F279" s="602"/>
      <c r="G279" s="645"/>
      <c r="H279" s="645"/>
      <c r="I279" s="645"/>
      <c r="J279" s="201"/>
      <c r="K279" s="201"/>
      <c r="L279" s="644"/>
      <c r="M279" s="644"/>
      <c r="N279" s="644"/>
      <c r="O279" s="602"/>
      <c r="P279" s="201"/>
    </row>
    <row r="280" ht="22.5" customHeight="1">
      <c r="A280" s="201"/>
      <c r="B280" s="645"/>
      <c r="C280" s="645"/>
      <c r="D280" s="645"/>
      <c r="E280" s="201"/>
      <c r="F280" s="602"/>
      <c r="G280" s="645"/>
      <c r="H280" s="645"/>
      <c r="I280" s="645"/>
      <c r="J280" s="201"/>
      <c r="K280" s="201"/>
      <c r="L280" s="644"/>
      <c r="M280" s="644"/>
      <c r="N280" s="644"/>
      <c r="O280" s="602"/>
      <c r="P280" s="201"/>
    </row>
    <row r="281" ht="22.5" customHeight="1">
      <c r="A281" s="201"/>
      <c r="B281" s="645"/>
      <c r="C281" s="645"/>
      <c r="D281" s="645"/>
      <c r="E281" s="201"/>
      <c r="F281" s="602"/>
      <c r="G281" s="645"/>
      <c r="H281" s="645"/>
      <c r="I281" s="645"/>
      <c r="J281" s="201"/>
      <c r="K281" s="201"/>
      <c r="L281" s="644"/>
      <c r="M281" s="644"/>
      <c r="N281" s="644"/>
      <c r="O281" s="602"/>
      <c r="P281" s="201"/>
    </row>
    <row r="282" ht="22.5" customHeight="1">
      <c r="A282" s="201"/>
      <c r="B282" s="645"/>
      <c r="C282" s="645"/>
      <c r="D282" s="645"/>
      <c r="E282" s="201"/>
      <c r="F282" s="602"/>
      <c r="G282" s="645"/>
      <c r="H282" s="645"/>
      <c r="I282" s="645"/>
      <c r="J282" s="201"/>
      <c r="K282" s="201"/>
      <c r="L282" s="644"/>
      <c r="M282" s="644"/>
      <c r="N282" s="644"/>
      <c r="O282" s="602"/>
      <c r="P282" s="201"/>
    </row>
    <row r="283" ht="22.5" customHeight="1">
      <c r="A283" s="201"/>
      <c r="B283" s="645"/>
      <c r="C283" s="645"/>
      <c r="D283" s="645"/>
      <c r="E283" s="201"/>
      <c r="F283" s="602"/>
      <c r="G283" s="645"/>
      <c r="H283" s="645"/>
      <c r="I283" s="645"/>
      <c r="J283" s="201"/>
      <c r="K283" s="201"/>
      <c r="L283" s="644"/>
      <c r="M283" s="644"/>
      <c r="N283" s="644"/>
      <c r="O283" s="602"/>
      <c r="P283" s="201"/>
    </row>
    <row r="284" ht="22.5" customHeight="1">
      <c r="A284" s="201"/>
      <c r="B284" s="645"/>
      <c r="C284" s="645"/>
      <c r="D284" s="645"/>
      <c r="E284" s="201"/>
      <c r="F284" s="602"/>
      <c r="G284" s="645"/>
      <c r="H284" s="645"/>
      <c r="I284" s="645"/>
      <c r="J284" s="201"/>
      <c r="K284" s="201"/>
      <c r="L284" s="644"/>
      <c r="M284" s="644"/>
      <c r="N284" s="644"/>
      <c r="O284" s="602"/>
      <c r="P284" s="201"/>
    </row>
    <row r="285" ht="22.5" customHeight="1">
      <c r="A285" s="201"/>
      <c r="B285" s="645"/>
      <c r="C285" s="645"/>
      <c r="D285" s="645"/>
      <c r="E285" s="201"/>
      <c r="F285" s="602"/>
      <c r="G285" s="645"/>
      <c r="H285" s="645"/>
      <c r="I285" s="645"/>
      <c r="J285" s="201"/>
      <c r="K285" s="201"/>
      <c r="L285" s="644"/>
      <c r="M285" s="644"/>
      <c r="N285" s="644"/>
      <c r="O285" s="602"/>
      <c r="P285" s="201"/>
    </row>
    <row r="286" ht="22.5" customHeight="1">
      <c r="A286" s="201"/>
      <c r="B286" s="645"/>
      <c r="C286" s="645"/>
      <c r="D286" s="645"/>
      <c r="E286" s="201"/>
      <c r="F286" s="602"/>
      <c r="G286" s="645"/>
      <c r="H286" s="645"/>
      <c r="I286" s="645"/>
      <c r="J286" s="201"/>
      <c r="K286" s="201"/>
      <c r="L286" s="644"/>
      <c r="M286" s="644"/>
      <c r="N286" s="644"/>
      <c r="O286" s="602"/>
      <c r="P286" s="201"/>
    </row>
    <row r="287" ht="22.5" customHeight="1">
      <c r="A287" s="201"/>
      <c r="B287" s="645"/>
      <c r="C287" s="645"/>
      <c r="D287" s="645"/>
      <c r="E287" s="201"/>
      <c r="F287" s="602"/>
      <c r="G287" s="645"/>
      <c r="H287" s="645"/>
      <c r="I287" s="645"/>
      <c r="J287" s="201"/>
      <c r="K287" s="201"/>
      <c r="L287" s="644"/>
      <c r="M287" s="644"/>
      <c r="N287" s="644"/>
      <c r="O287" s="602"/>
      <c r="P287" s="201"/>
    </row>
    <row r="288" ht="22.5" customHeight="1">
      <c r="A288" s="201"/>
      <c r="B288" s="645"/>
      <c r="C288" s="645"/>
      <c r="D288" s="645"/>
      <c r="E288" s="201"/>
      <c r="F288" s="602"/>
      <c r="G288" s="645"/>
      <c r="H288" s="645"/>
      <c r="I288" s="645"/>
      <c r="J288" s="201"/>
      <c r="K288" s="201"/>
      <c r="L288" s="644"/>
      <c r="M288" s="644"/>
      <c r="N288" s="644"/>
      <c r="O288" s="602"/>
      <c r="P288" s="201"/>
    </row>
    <row r="289" ht="22.5" customHeight="1">
      <c r="A289" s="201"/>
      <c r="B289" s="645"/>
      <c r="C289" s="645"/>
      <c r="D289" s="645"/>
      <c r="E289" s="201"/>
      <c r="F289" s="602"/>
      <c r="G289" s="645"/>
      <c r="H289" s="645"/>
      <c r="I289" s="645"/>
      <c r="J289" s="201"/>
      <c r="K289" s="201"/>
      <c r="L289" s="644"/>
      <c r="M289" s="644"/>
      <c r="N289" s="644"/>
      <c r="O289" s="602"/>
      <c r="P289" s="201"/>
    </row>
    <row r="290" ht="22.5" customHeight="1">
      <c r="A290" s="201"/>
      <c r="B290" s="645"/>
      <c r="C290" s="645"/>
      <c r="D290" s="645"/>
      <c r="E290" s="201"/>
      <c r="F290" s="602"/>
      <c r="G290" s="645"/>
      <c r="H290" s="645"/>
      <c r="I290" s="645"/>
      <c r="J290" s="201"/>
      <c r="K290" s="201"/>
      <c r="L290" s="644"/>
      <c r="M290" s="644"/>
      <c r="N290" s="644"/>
      <c r="O290" s="602"/>
      <c r="P290" s="201"/>
    </row>
    <row r="291" ht="22.5" customHeight="1">
      <c r="A291" s="201"/>
      <c r="B291" s="645"/>
      <c r="C291" s="645"/>
      <c r="D291" s="645"/>
      <c r="E291" s="201"/>
      <c r="F291" s="602"/>
      <c r="G291" s="645"/>
      <c r="H291" s="645"/>
      <c r="I291" s="645"/>
      <c r="J291" s="201"/>
      <c r="K291" s="201"/>
      <c r="L291" s="644"/>
      <c r="M291" s="644"/>
      <c r="N291" s="644"/>
      <c r="O291" s="602"/>
      <c r="P291" s="201"/>
    </row>
    <row r="292" ht="22.5" customHeight="1">
      <c r="A292" s="201"/>
      <c r="B292" s="645"/>
      <c r="C292" s="645"/>
      <c r="D292" s="645"/>
      <c r="E292" s="201"/>
      <c r="F292" s="602"/>
      <c r="G292" s="645"/>
      <c r="H292" s="645"/>
      <c r="I292" s="645"/>
      <c r="J292" s="201"/>
      <c r="K292" s="201"/>
      <c r="L292" s="644"/>
      <c r="M292" s="644"/>
      <c r="N292" s="644"/>
      <c r="O292" s="602"/>
      <c r="P292" s="201"/>
    </row>
    <row r="293" ht="22.5" customHeight="1">
      <c r="A293" s="201"/>
      <c r="B293" s="645"/>
      <c r="C293" s="645"/>
      <c r="D293" s="645"/>
      <c r="E293" s="201"/>
      <c r="F293" s="602"/>
      <c r="G293" s="645"/>
      <c r="H293" s="645"/>
      <c r="I293" s="645"/>
      <c r="J293" s="201"/>
      <c r="K293" s="201"/>
      <c r="L293" s="644"/>
      <c r="M293" s="644"/>
      <c r="N293" s="644"/>
      <c r="O293" s="602"/>
      <c r="P293" s="201"/>
    </row>
    <row r="294" ht="22.5" customHeight="1">
      <c r="A294" s="201"/>
      <c r="B294" s="645"/>
      <c r="C294" s="645"/>
      <c r="D294" s="645"/>
      <c r="E294" s="201"/>
      <c r="F294" s="602"/>
      <c r="G294" s="645"/>
      <c r="H294" s="645"/>
      <c r="I294" s="645"/>
      <c r="J294" s="201"/>
      <c r="K294" s="201"/>
      <c r="L294" s="644"/>
      <c r="M294" s="644"/>
      <c r="N294" s="644"/>
      <c r="O294" s="602"/>
      <c r="P294" s="201"/>
    </row>
    <row r="295" ht="22.5" customHeight="1">
      <c r="A295" s="201"/>
      <c r="B295" s="645"/>
      <c r="C295" s="645"/>
      <c r="D295" s="645"/>
      <c r="E295" s="201"/>
      <c r="F295" s="602"/>
      <c r="G295" s="645"/>
      <c r="H295" s="645"/>
      <c r="I295" s="645"/>
      <c r="J295" s="201"/>
      <c r="K295" s="201"/>
      <c r="L295" s="644"/>
      <c r="M295" s="644"/>
      <c r="N295" s="644"/>
      <c r="O295" s="602"/>
      <c r="P295" s="201"/>
    </row>
    <row r="296" ht="22.5" customHeight="1">
      <c r="A296" s="201"/>
      <c r="B296" s="645"/>
      <c r="C296" s="645"/>
      <c r="D296" s="645"/>
      <c r="E296" s="201"/>
      <c r="F296" s="602"/>
      <c r="G296" s="645"/>
      <c r="H296" s="645"/>
      <c r="I296" s="645"/>
      <c r="J296" s="201"/>
      <c r="K296" s="201"/>
      <c r="L296" s="644"/>
      <c r="M296" s="644"/>
      <c r="N296" s="644"/>
      <c r="O296" s="602"/>
      <c r="P296" s="201"/>
    </row>
    <row r="297" ht="22.5" customHeight="1">
      <c r="A297" s="201"/>
      <c r="B297" s="645"/>
      <c r="C297" s="645"/>
      <c r="D297" s="645"/>
      <c r="E297" s="201"/>
      <c r="F297" s="602"/>
      <c r="G297" s="645"/>
      <c r="H297" s="645"/>
      <c r="I297" s="645"/>
      <c r="J297" s="201"/>
      <c r="K297" s="201"/>
      <c r="L297" s="644"/>
      <c r="M297" s="644"/>
      <c r="N297" s="644"/>
      <c r="O297" s="602"/>
      <c r="P297" s="201"/>
    </row>
    <row r="298" ht="22.5" customHeight="1">
      <c r="A298" s="201"/>
      <c r="B298" s="645"/>
      <c r="C298" s="645"/>
      <c r="D298" s="645"/>
      <c r="E298" s="201"/>
      <c r="F298" s="602"/>
      <c r="G298" s="645"/>
      <c r="H298" s="645"/>
      <c r="I298" s="645"/>
      <c r="J298" s="201"/>
      <c r="K298" s="201"/>
      <c r="L298" s="644"/>
      <c r="M298" s="644"/>
      <c r="N298" s="644"/>
      <c r="O298" s="602"/>
      <c r="P298" s="201"/>
    </row>
    <row r="299" ht="22.5" customHeight="1">
      <c r="A299" s="201"/>
      <c r="B299" s="645"/>
      <c r="C299" s="645"/>
      <c r="D299" s="645"/>
      <c r="E299" s="201"/>
      <c r="F299" s="602"/>
      <c r="G299" s="645"/>
      <c r="H299" s="645"/>
      <c r="I299" s="645"/>
      <c r="J299" s="201"/>
      <c r="K299" s="201"/>
      <c r="L299" s="644"/>
      <c r="M299" s="644"/>
      <c r="N299" s="644"/>
      <c r="O299" s="602"/>
      <c r="P299" s="201"/>
    </row>
    <row r="300" ht="22.5" customHeight="1">
      <c r="A300" s="201"/>
      <c r="B300" s="645"/>
      <c r="C300" s="645"/>
      <c r="D300" s="645"/>
      <c r="E300" s="201"/>
      <c r="F300" s="602"/>
      <c r="G300" s="645"/>
      <c r="H300" s="645"/>
      <c r="I300" s="645"/>
      <c r="J300" s="201"/>
      <c r="K300" s="201"/>
      <c r="L300" s="644"/>
      <c r="M300" s="644"/>
      <c r="N300" s="644"/>
      <c r="O300" s="602"/>
      <c r="P300" s="201"/>
    </row>
    <row r="301" ht="22.5" customHeight="1">
      <c r="A301" s="201"/>
      <c r="B301" s="645"/>
      <c r="C301" s="645"/>
      <c r="D301" s="645"/>
      <c r="E301" s="201"/>
      <c r="F301" s="602"/>
      <c r="G301" s="645"/>
      <c r="H301" s="645"/>
      <c r="I301" s="645"/>
      <c r="J301" s="201"/>
      <c r="K301" s="201"/>
      <c r="L301" s="644"/>
      <c r="M301" s="644"/>
      <c r="N301" s="644"/>
      <c r="O301" s="602"/>
      <c r="P301" s="201"/>
    </row>
    <row r="302" ht="22.5" customHeight="1">
      <c r="A302" s="201"/>
      <c r="B302" s="645"/>
      <c r="C302" s="645"/>
      <c r="D302" s="645"/>
      <c r="E302" s="201"/>
      <c r="F302" s="602"/>
      <c r="G302" s="645"/>
      <c r="H302" s="645"/>
      <c r="I302" s="645"/>
      <c r="J302" s="201"/>
      <c r="K302" s="201"/>
      <c r="L302" s="644"/>
      <c r="M302" s="644"/>
      <c r="N302" s="644"/>
      <c r="O302" s="602"/>
      <c r="P302" s="201"/>
    </row>
    <row r="303" ht="22.5" customHeight="1">
      <c r="A303" s="201"/>
      <c r="B303" s="645"/>
      <c r="C303" s="645"/>
      <c r="D303" s="645"/>
      <c r="E303" s="201"/>
      <c r="F303" s="602"/>
      <c r="G303" s="645"/>
      <c r="H303" s="645"/>
      <c r="I303" s="645"/>
      <c r="J303" s="201"/>
      <c r="K303" s="201"/>
      <c r="L303" s="644"/>
      <c r="M303" s="644"/>
      <c r="N303" s="644"/>
      <c r="O303" s="602"/>
      <c r="P303" s="201"/>
    </row>
    <row r="304" ht="22.5" customHeight="1">
      <c r="A304" s="201"/>
      <c r="B304" s="645"/>
      <c r="C304" s="645"/>
      <c r="D304" s="645"/>
      <c r="E304" s="201"/>
      <c r="F304" s="602"/>
      <c r="G304" s="645"/>
      <c r="H304" s="645"/>
      <c r="I304" s="645"/>
      <c r="J304" s="201"/>
      <c r="K304" s="201"/>
      <c r="L304" s="644"/>
      <c r="M304" s="644"/>
      <c r="N304" s="644"/>
      <c r="O304" s="602"/>
      <c r="P304" s="201"/>
    </row>
    <row r="305" ht="22.5" customHeight="1">
      <c r="A305" s="201"/>
      <c r="B305" s="645"/>
      <c r="C305" s="645"/>
      <c r="D305" s="645"/>
      <c r="E305" s="201"/>
      <c r="F305" s="602"/>
      <c r="G305" s="645"/>
      <c r="H305" s="645"/>
      <c r="I305" s="645"/>
      <c r="J305" s="201"/>
      <c r="K305" s="201"/>
      <c r="L305" s="644"/>
      <c r="M305" s="644"/>
      <c r="N305" s="644"/>
      <c r="O305" s="602"/>
      <c r="P305" s="201"/>
    </row>
    <row r="306" ht="22.5" customHeight="1">
      <c r="A306" s="201"/>
      <c r="B306" s="645"/>
      <c r="C306" s="645"/>
      <c r="D306" s="645"/>
      <c r="E306" s="201"/>
      <c r="F306" s="602"/>
      <c r="G306" s="645"/>
      <c r="H306" s="645"/>
      <c r="I306" s="645"/>
      <c r="J306" s="201"/>
      <c r="K306" s="201"/>
      <c r="L306" s="644"/>
      <c r="M306" s="644"/>
      <c r="N306" s="644"/>
      <c r="O306" s="602"/>
      <c r="P306" s="201"/>
    </row>
    <row r="307" ht="22.5" customHeight="1">
      <c r="A307" s="201"/>
      <c r="B307" s="645"/>
      <c r="C307" s="645"/>
      <c r="D307" s="645"/>
      <c r="E307" s="201"/>
      <c r="F307" s="602"/>
      <c r="G307" s="645"/>
      <c r="H307" s="645"/>
      <c r="I307" s="645"/>
      <c r="J307" s="201"/>
      <c r="K307" s="201"/>
      <c r="L307" s="644"/>
      <c r="M307" s="644"/>
      <c r="N307" s="644"/>
      <c r="O307" s="602"/>
      <c r="P307" s="201"/>
    </row>
    <row r="308" ht="22.5" customHeight="1">
      <c r="A308" s="201"/>
      <c r="B308" s="645"/>
      <c r="C308" s="645"/>
      <c r="D308" s="645"/>
      <c r="E308" s="201"/>
      <c r="F308" s="602"/>
      <c r="G308" s="645"/>
      <c r="H308" s="645"/>
      <c r="I308" s="645"/>
      <c r="J308" s="201"/>
      <c r="K308" s="201"/>
      <c r="L308" s="644"/>
      <c r="M308" s="644"/>
      <c r="N308" s="644"/>
      <c r="O308" s="602"/>
      <c r="P308" s="201"/>
    </row>
    <row r="309" ht="22.5" customHeight="1">
      <c r="A309" s="201"/>
      <c r="B309" s="645"/>
      <c r="C309" s="645"/>
      <c r="D309" s="645"/>
      <c r="E309" s="201"/>
      <c r="F309" s="602"/>
      <c r="G309" s="645"/>
      <c r="H309" s="645"/>
      <c r="I309" s="645"/>
      <c r="J309" s="201"/>
      <c r="K309" s="201"/>
      <c r="L309" s="644"/>
      <c r="M309" s="644"/>
      <c r="N309" s="644"/>
      <c r="O309" s="602"/>
      <c r="P309" s="201"/>
    </row>
    <row r="310" ht="22.5" customHeight="1">
      <c r="A310" s="201"/>
      <c r="B310" s="645"/>
      <c r="C310" s="645"/>
      <c r="D310" s="645"/>
      <c r="E310" s="201"/>
      <c r="F310" s="602"/>
      <c r="G310" s="645"/>
      <c r="H310" s="645"/>
      <c r="I310" s="645"/>
      <c r="J310" s="201"/>
      <c r="K310" s="201"/>
      <c r="L310" s="644"/>
      <c r="M310" s="644"/>
      <c r="N310" s="644"/>
      <c r="O310" s="602"/>
      <c r="P310" s="201"/>
    </row>
    <row r="311" ht="22.5" customHeight="1">
      <c r="A311" s="201"/>
      <c r="B311" s="645"/>
      <c r="C311" s="645"/>
      <c r="D311" s="645"/>
      <c r="E311" s="201"/>
      <c r="F311" s="602"/>
      <c r="G311" s="645"/>
      <c r="H311" s="645"/>
      <c r="I311" s="645"/>
      <c r="J311" s="201"/>
      <c r="K311" s="201"/>
      <c r="L311" s="644"/>
      <c r="M311" s="644"/>
      <c r="N311" s="644"/>
      <c r="O311" s="602"/>
      <c r="P311" s="201"/>
    </row>
    <row r="312" ht="22.5" customHeight="1">
      <c r="A312" s="201"/>
      <c r="B312" s="645"/>
      <c r="C312" s="645"/>
      <c r="D312" s="645"/>
      <c r="E312" s="201"/>
      <c r="F312" s="602"/>
      <c r="G312" s="645"/>
      <c r="H312" s="645"/>
      <c r="I312" s="645"/>
      <c r="J312" s="201"/>
      <c r="K312" s="201"/>
      <c r="L312" s="644"/>
      <c r="M312" s="644"/>
      <c r="N312" s="644"/>
      <c r="O312" s="602"/>
      <c r="P312" s="201"/>
    </row>
    <row r="313" ht="22.5" customHeight="1">
      <c r="A313" s="201"/>
      <c r="B313" s="645"/>
      <c r="C313" s="645"/>
      <c r="D313" s="645"/>
      <c r="E313" s="201"/>
      <c r="F313" s="602"/>
      <c r="G313" s="645"/>
      <c r="H313" s="645"/>
      <c r="I313" s="645"/>
      <c r="J313" s="201"/>
      <c r="K313" s="201"/>
      <c r="L313" s="644"/>
      <c r="M313" s="644"/>
      <c r="N313" s="644"/>
      <c r="O313" s="602"/>
      <c r="P313" s="201"/>
    </row>
    <row r="314" ht="22.5" customHeight="1">
      <c r="A314" s="201"/>
      <c r="B314" s="645"/>
      <c r="C314" s="645"/>
      <c r="D314" s="645"/>
      <c r="E314" s="201"/>
      <c r="F314" s="602"/>
      <c r="G314" s="645"/>
      <c r="H314" s="645"/>
      <c r="I314" s="645"/>
      <c r="J314" s="201"/>
      <c r="K314" s="201"/>
      <c r="L314" s="644"/>
      <c r="M314" s="644"/>
      <c r="N314" s="644"/>
      <c r="O314" s="602"/>
      <c r="P314" s="201"/>
    </row>
    <row r="315" ht="22.5" customHeight="1">
      <c r="A315" s="201"/>
      <c r="B315" s="645"/>
      <c r="C315" s="645"/>
      <c r="D315" s="645"/>
      <c r="E315" s="201"/>
      <c r="F315" s="602"/>
      <c r="G315" s="645"/>
      <c r="H315" s="645"/>
      <c r="I315" s="645"/>
      <c r="J315" s="201"/>
      <c r="K315" s="201"/>
      <c r="L315" s="644"/>
      <c r="M315" s="644"/>
      <c r="N315" s="644"/>
      <c r="O315" s="602"/>
      <c r="P315" s="201"/>
    </row>
    <row r="316" ht="22.5" customHeight="1">
      <c r="A316" s="201"/>
      <c r="B316" s="645"/>
      <c r="C316" s="645"/>
      <c r="D316" s="645"/>
      <c r="E316" s="201"/>
      <c r="F316" s="602"/>
      <c r="G316" s="645"/>
      <c r="H316" s="645"/>
      <c r="I316" s="645"/>
      <c r="J316" s="201"/>
      <c r="K316" s="201"/>
      <c r="L316" s="644"/>
      <c r="M316" s="644"/>
      <c r="N316" s="644"/>
      <c r="O316" s="602"/>
      <c r="P316" s="201"/>
    </row>
    <row r="317" ht="22.5" customHeight="1">
      <c r="A317" s="201"/>
      <c r="B317" s="645"/>
      <c r="C317" s="645"/>
      <c r="D317" s="645"/>
      <c r="E317" s="201"/>
      <c r="F317" s="602"/>
      <c r="G317" s="645"/>
      <c r="H317" s="645"/>
      <c r="I317" s="645"/>
      <c r="J317" s="201"/>
      <c r="K317" s="201"/>
      <c r="L317" s="644"/>
      <c r="M317" s="644"/>
      <c r="N317" s="644"/>
      <c r="O317" s="602"/>
      <c r="P317" s="201"/>
    </row>
    <row r="318" ht="22.5" customHeight="1">
      <c r="A318" s="201"/>
      <c r="B318" s="645"/>
      <c r="C318" s="645"/>
      <c r="D318" s="645"/>
      <c r="E318" s="201"/>
      <c r="F318" s="602"/>
      <c r="G318" s="645"/>
      <c r="H318" s="645"/>
      <c r="I318" s="645"/>
      <c r="J318" s="201"/>
      <c r="K318" s="201"/>
      <c r="L318" s="644"/>
      <c r="M318" s="644"/>
      <c r="N318" s="644"/>
      <c r="O318" s="602"/>
      <c r="P318" s="201"/>
    </row>
    <row r="319" ht="22.5" customHeight="1">
      <c r="A319" s="201"/>
      <c r="B319" s="645"/>
      <c r="C319" s="645"/>
      <c r="D319" s="645"/>
      <c r="E319" s="201"/>
      <c r="F319" s="602"/>
      <c r="G319" s="645"/>
      <c r="H319" s="645"/>
      <c r="I319" s="645"/>
      <c r="J319" s="201"/>
      <c r="K319" s="201"/>
      <c r="L319" s="644"/>
      <c r="M319" s="644"/>
      <c r="N319" s="644"/>
      <c r="O319" s="602"/>
      <c r="P319" s="201"/>
    </row>
    <row r="320" ht="22.5" customHeight="1">
      <c r="A320" s="201"/>
      <c r="B320" s="645"/>
      <c r="C320" s="645"/>
      <c r="D320" s="645"/>
      <c r="E320" s="201"/>
      <c r="F320" s="602"/>
      <c r="G320" s="645"/>
      <c r="H320" s="645"/>
      <c r="I320" s="645"/>
      <c r="J320" s="201"/>
      <c r="K320" s="201"/>
      <c r="L320" s="644"/>
      <c r="M320" s="644"/>
      <c r="N320" s="644"/>
      <c r="O320" s="602"/>
      <c r="P320" s="201"/>
    </row>
    <row r="321" ht="22.5" customHeight="1">
      <c r="A321" s="201"/>
      <c r="B321" s="645"/>
      <c r="C321" s="645"/>
      <c r="D321" s="645"/>
      <c r="E321" s="201"/>
      <c r="F321" s="602"/>
      <c r="G321" s="645"/>
      <c r="H321" s="645"/>
      <c r="I321" s="645"/>
      <c r="J321" s="201"/>
      <c r="K321" s="201"/>
      <c r="L321" s="644"/>
      <c r="M321" s="644"/>
      <c r="N321" s="644"/>
      <c r="O321" s="602"/>
      <c r="P321" s="201"/>
    </row>
    <row r="322" ht="22.5" customHeight="1">
      <c r="A322" s="201"/>
      <c r="B322" s="645"/>
      <c r="C322" s="645"/>
      <c r="D322" s="645"/>
      <c r="E322" s="201"/>
      <c r="F322" s="602"/>
      <c r="G322" s="645"/>
      <c r="H322" s="645"/>
      <c r="I322" s="645"/>
      <c r="J322" s="201"/>
      <c r="K322" s="201"/>
      <c r="L322" s="644"/>
      <c r="M322" s="644"/>
      <c r="N322" s="644"/>
      <c r="O322" s="602"/>
      <c r="P322" s="201"/>
    </row>
    <row r="323" ht="22.5" customHeight="1">
      <c r="A323" s="201"/>
      <c r="B323" s="645"/>
      <c r="C323" s="645"/>
      <c r="D323" s="645"/>
      <c r="E323" s="201"/>
      <c r="F323" s="602"/>
      <c r="G323" s="645"/>
      <c r="H323" s="645"/>
      <c r="I323" s="645"/>
      <c r="J323" s="201"/>
      <c r="K323" s="201"/>
      <c r="L323" s="644"/>
      <c r="M323" s="644"/>
      <c r="N323" s="644"/>
      <c r="O323" s="602"/>
      <c r="P323" s="201"/>
    </row>
    <row r="324" ht="22.5" customHeight="1">
      <c r="A324" s="201"/>
      <c r="B324" s="645"/>
      <c r="C324" s="645"/>
      <c r="D324" s="645"/>
      <c r="E324" s="201"/>
      <c r="F324" s="602"/>
      <c r="G324" s="645"/>
      <c r="H324" s="645"/>
      <c r="I324" s="645"/>
      <c r="J324" s="201"/>
      <c r="K324" s="201"/>
      <c r="L324" s="644"/>
      <c r="M324" s="644"/>
      <c r="N324" s="644"/>
      <c r="O324" s="602"/>
      <c r="P324" s="201"/>
    </row>
    <row r="325" ht="22.5" customHeight="1">
      <c r="A325" s="201"/>
      <c r="B325" s="645"/>
      <c r="C325" s="645"/>
      <c r="D325" s="645"/>
      <c r="E325" s="201"/>
      <c r="F325" s="602"/>
      <c r="G325" s="645"/>
      <c r="H325" s="645"/>
      <c r="I325" s="645"/>
      <c r="J325" s="201"/>
      <c r="K325" s="201"/>
      <c r="L325" s="644"/>
      <c r="M325" s="644"/>
      <c r="N325" s="644"/>
      <c r="O325" s="602"/>
      <c r="P325" s="201"/>
    </row>
    <row r="326" ht="22.5" customHeight="1">
      <c r="A326" s="201"/>
      <c r="B326" s="645"/>
      <c r="C326" s="645"/>
      <c r="D326" s="645"/>
      <c r="E326" s="201"/>
      <c r="F326" s="602"/>
      <c r="G326" s="645"/>
      <c r="H326" s="645"/>
      <c r="I326" s="645"/>
      <c r="J326" s="201"/>
      <c r="K326" s="201"/>
      <c r="L326" s="644"/>
      <c r="M326" s="644"/>
      <c r="N326" s="644"/>
      <c r="O326" s="602"/>
      <c r="P326" s="201"/>
    </row>
    <row r="327" ht="22.5" customHeight="1">
      <c r="A327" s="201"/>
      <c r="B327" s="645"/>
      <c r="C327" s="645"/>
      <c r="D327" s="645"/>
      <c r="E327" s="201"/>
      <c r="F327" s="602"/>
      <c r="G327" s="645"/>
      <c r="H327" s="645"/>
      <c r="I327" s="645"/>
      <c r="J327" s="201"/>
      <c r="K327" s="201"/>
      <c r="L327" s="644"/>
      <c r="M327" s="644"/>
      <c r="N327" s="644"/>
      <c r="O327" s="602"/>
      <c r="P327" s="201"/>
    </row>
    <row r="328" ht="22.5" customHeight="1">
      <c r="A328" s="201"/>
      <c r="B328" s="645"/>
      <c r="C328" s="645"/>
      <c r="D328" s="645"/>
      <c r="E328" s="201"/>
      <c r="F328" s="602"/>
      <c r="G328" s="645"/>
      <c r="H328" s="645"/>
      <c r="I328" s="645"/>
      <c r="J328" s="201"/>
      <c r="K328" s="201"/>
      <c r="L328" s="644"/>
      <c r="M328" s="644"/>
      <c r="N328" s="644"/>
      <c r="O328" s="602"/>
      <c r="P328" s="201"/>
    </row>
    <row r="329" ht="22.5" customHeight="1">
      <c r="A329" s="201"/>
      <c r="B329" s="645"/>
      <c r="C329" s="645"/>
      <c r="D329" s="645"/>
      <c r="E329" s="201"/>
      <c r="F329" s="602"/>
      <c r="G329" s="645"/>
      <c r="H329" s="645"/>
      <c r="I329" s="645"/>
      <c r="J329" s="201"/>
      <c r="K329" s="201"/>
      <c r="L329" s="644"/>
      <c r="M329" s="644"/>
      <c r="N329" s="644"/>
      <c r="O329" s="602"/>
      <c r="P329" s="201"/>
    </row>
    <row r="330" ht="22.5" customHeight="1">
      <c r="A330" s="201"/>
      <c r="B330" s="645"/>
      <c r="C330" s="645"/>
      <c r="D330" s="645"/>
      <c r="E330" s="201"/>
      <c r="F330" s="602"/>
      <c r="G330" s="645"/>
      <c r="H330" s="645"/>
      <c r="I330" s="645"/>
      <c r="J330" s="201"/>
      <c r="K330" s="201"/>
      <c r="L330" s="644"/>
      <c r="M330" s="644"/>
      <c r="N330" s="644"/>
      <c r="O330" s="602"/>
      <c r="P330" s="201"/>
    </row>
    <row r="331" ht="22.5" customHeight="1">
      <c r="A331" s="201"/>
      <c r="B331" s="645"/>
      <c r="C331" s="645"/>
      <c r="D331" s="645"/>
      <c r="E331" s="201"/>
      <c r="F331" s="602"/>
      <c r="G331" s="645"/>
      <c r="H331" s="645"/>
      <c r="I331" s="645"/>
      <c r="J331" s="201"/>
      <c r="K331" s="201"/>
      <c r="L331" s="644"/>
      <c r="M331" s="644"/>
      <c r="N331" s="644"/>
      <c r="O331" s="602"/>
      <c r="P331" s="201"/>
    </row>
    <row r="332" ht="22.5" customHeight="1">
      <c r="A332" s="201"/>
      <c r="B332" s="645"/>
      <c r="C332" s="645"/>
      <c r="D332" s="645"/>
      <c r="E332" s="201"/>
      <c r="F332" s="602"/>
      <c r="G332" s="645"/>
      <c r="H332" s="645"/>
      <c r="I332" s="645"/>
      <c r="J332" s="201"/>
      <c r="K332" s="201"/>
      <c r="L332" s="644"/>
      <c r="M332" s="644"/>
      <c r="N332" s="644"/>
      <c r="O332" s="602"/>
      <c r="P332" s="201"/>
    </row>
    <row r="333" ht="22.5" customHeight="1">
      <c r="A333" s="201"/>
      <c r="B333" s="645"/>
      <c r="C333" s="645"/>
      <c r="D333" s="645"/>
      <c r="E333" s="201"/>
      <c r="F333" s="602"/>
      <c r="G333" s="645"/>
      <c r="H333" s="645"/>
      <c r="I333" s="645"/>
      <c r="J333" s="201"/>
      <c r="K333" s="201"/>
      <c r="L333" s="644"/>
      <c r="M333" s="644"/>
      <c r="N333" s="644"/>
      <c r="O333" s="602"/>
      <c r="P333" s="201"/>
    </row>
    <row r="334" ht="22.5" customHeight="1">
      <c r="A334" s="201"/>
      <c r="B334" s="645"/>
      <c r="C334" s="645"/>
      <c r="D334" s="645"/>
      <c r="E334" s="201"/>
      <c r="F334" s="602"/>
      <c r="G334" s="645"/>
      <c r="H334" s="645"/>
      <c r="I334" s="645"/>
      <c r="J334" s="201"/>
      <c r="K334" s="201"/>
      <c r="L334" s="644"/>
      <c r="M334" s="644"/>
      <c r="N334" s="644"/>
      <c r="O334" s="602"/>
      <c r="P334" s="201"/>
    </row>
    <row r="335" ht="22.5" customHeight="1">
      <c r="A335" s="201"/>
      <c r="B335" s="645"/>
      <c r="C335" s="645"/>
      <c r="D335" s="645"/>
      <c r="E335" s="201"/>
      <c r="F335" s="602"/>
      <c r="G335" s="645"/>
      <c r="H335" s="645"/>
      <c r="I335" s="645"/>
      <c r="J335" s="201"/>
      <c r="K335" s="201"/>
      <c r="L335" s="644"/>
      <c r="M335" s="644"/>
      <c r="N335" s="644"/>
      <c r="O335" s="602"/>
      <c r="P335" s="201"/>
    </row>
    <row r="336" ht="22.5" customHeight="1">
      <c r="A336" s="201"/>
      <c r="B336" s="645"/>
      <c r="C336" s="645"/>
      <c r="D336" s="645"/>
      <c r="E336" s="201"/>
      <c r="F336" s="602"/>
      <c r="G336" s="645"/>
      <c r="H336" s="645"/>
      <c r="I336" s="645"/>
      <c r="J336" s="201"/>
      <c r="K336" s="201"/>
      <c r="L336" s="644"/>
      <c r="M336" s="644"/>
      <c r="N336" s="644"/>
      <c r="O336" s="602"/>
      <c r="P336" s="201"/>
    </row>
    <row r="337" ht="22.5" customHeight="1">
      <c r="A337" s="201"/>
      <c r="B337" s="645"/>
      <c r="C337" s="645"/>
      <c r="D337" s="645"/>
      <c r="E337" s="201"/>
      <c r="F337" s="602"/>
      <c r="G337" s="645"/>
      <c r="H337" s="645"/>
      <c r="I337" s="645"/>
      <c r="J337" s="201"/>
      <c r="K337" s="201"/>
      <c r="L337" s="644"/>
      <c r="M337" s="644"/>
      <c r="N337" s="644"/>
      <c r="O337" s="602"/>
      <c r="P337" s="201"/>
    </row>
    <row r="338" ht="22.5" customHeight="1">
      <c r="A338" s="201"/>
      <c r="B338" s="645"/>
      <c r="C338" s="645"/>
      <c r="D338" s="645"/>
      <c r="E338" s="201"/>
      <c r="F338" s="602"/>
      <c r="G338" s="645"/>
      <c r="H338" s="645"/>
      <c r="I338" s="645"/>
      <c r="J338" s="201"/>
      <c r="K338" s="201"/>
      <c r="L338" s="644"/>
      <c r="M338" s="644"/>
      <c r="N338" s="644"/>
      <c r="O338" s="602"/>
      <c r="P338" s="201"/>
    </row>
    <row r="339" ht="22.5" customHeight="1">
      <c r="A339" s="201"/>
      <c r="B339" s="645"/>
      <c r="C339" s="645"/>
      <c r="D339" s="645"/>
      <c r="E339" s="201"/>
      <c r="F339" s="602"/>
      <c r="G339" s="645"/>
      <c r="H339" s="645"/>
      <c r="I339" s="645"/>
      <c r="J339" s="201"/>
      <c r="K339" s="201"/>
      <c r="L339" s="644"/>
      <c r="M339" s="644"/>
      <c r="N339" s="644"/>
      <c r="O339" s="602"/>
      <c r="P339" s="201"/>
    </row>
    <row r="340" ht="22.5" customHeight="1">
      <c r="A340" s="201"/>
      <c r="B340" s="645"/>
      <c r="C340" s="645"/>
      <c r="D340" s="645"/>
      <c r="E340" s="201"/>
      <c r="F340" s="602"/>
      <c r="G340" s="645"/>
      <c r="H340" s="645"/>
      <c r="I340" s="645"/>
      <c r="J340" s="201"/>
      <c r="K340" s="201"/>
      <c r="L340" s="644"/>
      <c r="M340" s="644"/>
      <c r="N340" s="644"/>
      <c r="O340" s="602"/>
      <c r="P340" s="201"/>
    </row>
    <row r="341" ht="22.5" customHeight="1">
      <c r="A341" s="201"/>
      <c r="B341" s="645"/>
      <c r="C341" s="645"/>
      <c r="D341" s="645"/>
      <c r="E341" s="201"/>
      <c r="F341" s="602"/>
      <c r="G341" s="645"/>
      <c r="H341" s="645"/>
      <c r="I341" s="645"/>
      <c r="J341" s="201"/>
      <c r="K341" s="201"/>
      <c r="L341" s="644"/>
      <c r="M341" s="644"/>
      <c r="N341" s="644"/>
      <c r="O341" s="602"/>
      <c r="P341" s="201"/>
    </row>
    <row r="342" ht="22.5" customHeight="1">
      <c r="A342" s="201"/>
      <c r="B342" s="645"/>
      <c r="C342" s="645"/>
      <c r="D342" s="645"/>
      <c r="E342" s="201"/>
      <c r="F342" s="602"/>
      <c r="G342" s="645"/>
      <c r="H342" s="645"/>
      <c r="I342" s="645"/>
      <c r="J342" s="201"/>
      <c r="K342" s="201"/>
      <c r="L342" s="644"/>
      <c r="M342" s="644"/>
      <c r="N342" s="644"/>
      <c r="O342" s="602"/>
      <c r="P342" s="201"/>
    </row>
    <row r="343" ht="22.5" customHeight="1">
      <c r="A343" s="201"/>
      <c r="B343" s="645"/>
      <c r="C343" s="645"/>
      <c r="D343" s="645"/>
      <c r="E343" s="201"/>
      <c r="F343" s="602"/>
      <c r="G343" s="645"/>
      <c r="H343" s="645"/>
      <c r="I343" s="645"/>
      <c r="J343" s="201"/>
      <c r="K343" s="201"/>
      <c r="L343" s="644"/>
      <c r="M343" s="644"/>
      <c r="N343" s="644"/>
      <c r="O343" s="602"/>
      <c r="P343" s="201"/>
    </row>
    <row r="344" ht="22.5" customHeight="1">
      <c r="A344" s="201"/>
      <c r="B344" s="645"/>
      <c r="C344" s="645"/>
      <c r="D344" s="645"/>
      <c r="E344" s="201"/>
      <c r="F344" s="602"/>
      <c r="G344" s="645"/>
      <c r="H344" s="645"/>
      <c r="I344" s="645"/>
      <c r="J344" s="201"/>
      <c r="K344" s="201"/>
      <c r="L344" s="644"/>
      <c r="M344" s="644"/>
      <c r="N344" s="644"/>
      <c r="O344" s="602"/>
      <c r="P344" s="201"/>
    </row>
    <row r="345" ht="22.5" customHeight="1">
      <c r="A345" s="201"/>
      <c r="B345" s="645"/>
      <c r="C345" s="645"/>
      <c r="D345" s="645"/>
      <c r="E345" s="201"/>
      <c r="F345" s="602"/>
      <c r="G345" s="645"/>
      <c r="H345" s="645"/>
      <c r="I345" s="645"/>
      <c r="J345" s="201"/>
      <c r="K345" s="201"/>
      <c r="L345" s="644"/>
      <c r="M345" s="644"/>
      <c r="N345" s="644"/>
      <c r="O345" s="602"/>
      <c r="P345" s="201"/>
    </row>
    <row r="346" ht="22.5" customHeight="1">
      <c r="A346" s="201"/>
      <c r="B346" s="645"/>
      <c r="C346" s="645"/>
      <c r="D346" s="645"/>
      <c r="E346" s="201"/>
      <c r="F346" s="602"/>
      <c r="G346" s="645"/>
      <c r="H346" s="645"/>
      <c r="I346" s="645"/>
      <c r="J346" s="201"/>
      <c r="K346" s="201"/>
      <c r="L346" s="644"/>
      <c r="M346" s="644"/>
      <c r="N346" s="644"/>
      <c r="O346" s="602"/>
      <c r="P346" s="201"/>
    </row>
    <row r="347" ht="22.5" customHeight="1">
      <c r="A347" s="201"/>
      <c r="B347" s="645"/>
      <c r="C347" s="645"/>
      <c r="D347" s="645"/>
      <c r="E347" s="201"/>
      <c r="F347" s="602"/>
      <c r="G347" s="645"/>
      <c r="H347" s="645"/>
      <c r="I347" s="645"/>
      <c r="J347" s="201"/>
      <c r="K347" s="201"/>
      <c r="L347" s="644"/>
      <c r="M347" s="644"/>
      <c r="N347" s="644"/>
      <c r="O347" s="602"/>
      <c r="P347" s="201"/>
    </row>
    <row r="348" ht="22.5" customHeight="1">
      <c r="A348" s="201"/>
      <c r="B348" s="645"/>
      <c r="C348" s="645"/>
      <c r="D348" s="645"/>
      <c r="E348" s="201"/>
      <c r="F348" s="602"/>
      <c r="G348" s="645"/>
      <c r="H348" s="645"/>
      <c r="I348" s="645"/>
      <c r="J348" s="201"/>
      <c r="K348" s="201"/>
      <c r="L348" s="644"/>
      <c r="M348" s="644"/>
      <c r="N348" s="644"/>
      <c r="O348" s="602"/>
      <c r="P348" s="201"/>
    </row>
    <row r="349" ht="22.5" customHeight="1">
      <c r="A349" s="201"/>
      <c r="B349" s="645"/>
      <c r="C349" s="645"/>
      <c r="D349" s="645"/>
      <c r="E349" s="201"/>
      <c r="F349" s="602"/>
      <c r="G349" s="645"/>
      <c r="H349" s="645"/>
      <c r="I349" s="645"/>
      <c r="J349" s="201"/>
      <c r="K349" s="201"/>
      <c r="L349" s="644"/>
      <c r="M349" s="644"/>
      <c r="N349" s="644"/>
      <c r="O349" s="602"/>
      <c r="P349" s="201"/>
    </row>
    <row r="350" ht="22.5" customHeight="1">
      <c r="A350" s="201"/>
      <c r="B350" s="645"/>
      <c r="C350" s="645"/>
      <c r="D350" s="645"/>
      <c r="E350" s="201"/>
      <c r="F350" s="602"/>
      <c r="G350" s="645"/>
      <c r="H350" s="645"/>
      <c r="I350" s="645"/>
      <c r="J350" s="201"/>
      <c r="K350" s="201"/>
      <c r="L350" s="644"/>
      <c r="M350" s="644"/>
      <c r="N350" s="644"/>
      <c r="O350" s="602"/>
      <c r="P350" s="201"/>
    </row>
    <row r="351" ht="22.5" customHeight="1">
      <c r="A351" s="201"/>
      <c r="B351" s="645"/>
      <c r="C351" s="645"/>
      <c r="D351" s="645"/>
      <c r="E351" s="201"/>
      <c r="F351" s="602"/>
      <c r="G351" s="645"/>
      <c r="H351" s="645"/>
      <c r="I351" s="645"/>
      <c r="J351" s="201"/>
      <c r="K351" s="201"/>
      <c r="L351" s="644"/>
      <c r="M351" s="644"/>
      <c r="N351" s="644"/>
      <c r="O351" s="602"/>
      <c r="P351" s="201"/>
    </row>
    <row r="352" ht="22.5" customHeight="1">
      <c r="A352" s="201"/>
      <c r="B352" s="645"/>
      <c r="C352" s="645"/>
      <c r="D352" s="645"/>
      <c r="E352" s="201"/>
      <c r="F352" s="602"/>
      <c r="G352" s="645"/>
      <c r="H352" s="645"/>
      <c r="I352" s="645"/>
      <c r="J352" s="201"/>
      <c r="K352" s="201"/>
      <c r="L352" s="644"/>
      <c r="M352" s="644"/>
      <c r="N352" s="644"/>
      <c r="O352" s="602"/>
      <c r="P352" s="201"/>
    </row>
    <row r="353" ht="22.5" customHeight="1">
      <c r="A353" s="201"/>
      <c r="B353" s="645"/>
      <c r="C353" s="645"/>
      <c r="D353" s="645"/>
      <c r="E353" s="201"/>
      <c r="F353" s="602"/>
      <c r="G353" s="645"/>
      <c r="H353" s="645"/>
      <c r="I353" s="645"/>
      <c r="J353" s="201"/>
      <c r="K353" s="201"/>
      <c r="L353" s="644"/>
      <c r="M353" s="644"/>
      <c r="N353" s="644"/>
      <c r="O353" s="602"/>
      <c r="P353" s="201"/>
    </row>
    <row r="354" ht="22.5" customHeight="1">
      <c r="A354" s="201"/>
      <c r="B354" s="645"/>
      <c r="C354" s="645"/>
      <c r="D354" s="645"/>
      <c r="E354" s="201"/>
      <c r="F354" s="602"/>
      <c r="G354" s="645"/>
      <c r="H354" s="645"/>
      <c r="I354" s="645"/>
      <c r="J354" s="201"/>
      <c r="K354" s="201"/>
      <c r="L354" s="644"/>
      <c r="M354" s="644"/>
      <c r="N354" s="644"/>
      <c r="O354" s="602"/>
      <c r="P354" s="201"/>
    </row>
    <row r="355" ht="22.5" customHeight="1">
      <c r="A355" s="201"/>
      <c r="B355" s="645"/>
      <c r="C355" s="645"/>
      <c r="D355" s="645"/>
      <c r="E355" s="201"/>
      <c r="F355" s="602"/>
      <c r="G355" s="645"/>
      <c r="H355" s="645"/>
      <c r="I355" s="645"/>
      <c r="J355" s="201"/>
      <c r="K355" s="201"/>
      <c r="L355" s="644"/>
      <c r="M355" s="644"/>
      <c r="N355" s="644"/>
      <c r="O355" s="602"/>
      <c r="P355" s="201"/>
    </row>
    <row r="356" ht="22.5" customHeight="1">
      <c r="A356" s="201"/>
      <c r="B356" s="645"/>
      <c r="C356" s="645"/>
      <c r="D356" s="645"/>
      <c r="E356" s="201"/>
      <c r="F356" s="602"/>
      <c r="G356" s="645"/>
      <c r="H356" s="645"/>
      <c r="I356" s="645"/>
      <c r="J356" s="201"/>
      <c r="K356" s="201"/>
      <c r="L356" s="644"/>
      <c r="M356" s="644"/>
      <c r="N356" s="644"/>
      <c r="O356" s="602"/>
      <c r="P356" s="201"/>
    </row>
    <row r="357" ht="22.5" customHeight="1">
      <c r="A357" s="201"/>
      <c r="B357" s="645"/>
      <c r="C357" s="645"/>
      <c r="D357" s="645"/>
      <c r="E357" s="201"/>
      <c r="F357" s="602"/>
      <c r="G357" s="645"/>
      <c r="H357" s="645"/>
      <c r="I357" s="645"/>
      <c r="J357" s="201"/>
      <c r="K357" s="201"/>
      <c r="L357" s="644"/>
      <c r="M357" s="644"/>
      <c r="N357" s="644"/>
      <c r="O357" s="602"/>
      <c r="P357" s="201"/>
    </row>
    <row r="358" ht="22.5" customHeight="1">
      <c r="A358" s="201"/>
      <c r="B358" s="645"/>
      <c r="C358" s="645"/>
      <c r="D358" s="645"/>
      <c r="E358" s="201"/>
      <c r="F358" s="602"/>
      <c r="G358" s="645"/>
      <c r="H358" s="645"/>
      <c r="I358" s="645"/>
      <c r="J358" s="201"/>
      <c r="K358" s="201"/>
      <c r="L358" s="644"/>
      <c r="M358" s="644"/>
      <c r="N358" s="644"/>
      <c r="O358" s="602"/>
      <c r="P358" s="201"/>
    </row>
    <row r="359" ht="22.5" customHeight="1">
      <c r="A359" s="201"/>
      <c r="B359" s="645"/>
      <c r="C359" s="645"/>
      <c r="D359" s="645"/>
      <c r="E359" s="201"/>
      <c r="F359" s="602"/>
      <c r="G359" s="645"/>
      <c r="H359" s="645"/>
      <c r="I359" s="645"/>
      <c r="J359" s="201"/>
      <c r="K359" s="201"/>
      <c r="L359" s="644"/>
      <c r="M359" s="644"/>
      <c r="N359" s="644"/>
      <c r="O359" s="602"/>
      <c r="P359" s="201"/>
    </row>
    <row r="360" ht="22.5" customHeight="1">
      <c r="A360" s="201"/>
      <c r="B360" s="645"/>
      <c r="C360" s="645"/>
      <c r="D360" s="645"/>
      <c r="E360" s="201"/>
      <c r="F360" s="602"/>
      <c r="G360" s="645"/>
      <c r="H360" s="645"/>
      <c r="I360" s="645"/>
      <c r="J360" s="201"/>
      <c r="K360" s="201"/>
      <c r="L360" s="644"/>
      <c r="M360" s="644"/>
      <c r="N360" s="644"/>
      <c r="O360" s="602"/>
      <c r="P360" s="201"/>
    </row>
    <row r="361" ht="22.5" customHeight="1">
      <c r="A361" s="201"/>
      <c r="B361" s="645"/>
      <c r="C361" s="645"/>
      <c r="D361" s="645"/>
      <c r="E361" s="201"/>
      <c r="F361" s="602"/>
      <c r="G361" s="645"/>
      <c r="H361" s="645"/>
      <c r="I361" s="645"/>
      <c r="J361" s="201"/>
      <c r="K361" s="201"/>
      <c r="L361" s="644"/>
      <c r="M361" s="644"/>
      <c r="N361" s="644"/>
      <c r="O361" s="602"/>
      <c r="P361" s="201"/>
    </row>
    <row r="362" ht="22.5" customHeight="1">
      <c r="A362" s="201"/>
      <c r="B362" s="645"/>
      <c r="C362" s="645"/>
      <c r="D362" s="645"/>
      <c r="E362" s="201"/>
      <c r="F362" s="602"/>
      <c r="G362" s="645"/>
      <c r="H362" s="645"/>
      <c r="I362" s="645"/>
      <c r="J362" s="201"/>
      <c r="K362" s="201"/>
      <c r="L362" s="644"/>
      <c r="M362" s="644"/>
      <c r="N362" s="644"/>
      <c r="O362" s="602"/>
      <c r="P362" s="201"/>
    </row>
    <row r="363" ht="22.5" customHeight="1">
      <c r="A363" s="201"/>
      <c r="B363" s="645"/>
      <c r="C363" s="645"/>
      <c r="D363" s="645"/>
      <c r="E363" s="201"/>
      <c r="F363" s="602"/>
      <c r="G363" s="645"/>
      <c r="H363" s="645"/>
      <c r="I363" s="645"/>
      <c r="J363" s="201"/>
      <c r="K363" s="201"/>
      <c r="L363" s="644"/>
      <c r="M363" s="644"/>
      <c r="N363" s="644"/>
      <c r="O363" s="602"/>
      <c r="P363" s="201"/>
    </row>
    <row r="364" ht="22.5" customHeight="1">
      <c r="A364" s="201"/>
      <c r="B364" s="645"/>
      <c r="C364" s="645"/>
      <c r="D364" s="645"/>
      <c r="E364" s="201"/>
      <c r="F364" s="602"/>
      <c r="G364" s="645"/>
      <c r="H364" s="645"/>
      <c r="I364" s="645"/>
      <c r="J364" s="201"/>
      <c r="K364" s="201"/>
      <c r="L364" s="644"/>
      <c r="M364" s="644"/>
      <c r="N364" s="644"/>
      <c r="O364" s="602"/>
      <c r="P364" s="201"/>
    </row>
    <row r="365" ht="22.5" customHeight="1">
      <c r="A365" s="201"/>
      <c r="B365" s="645"/>
      <c r="C365" s="645"/>
      <c r="D365" s="645"/>
      <c r="E365" s="201"/>
      <c r="F365" s="602"/>
      <c r="G365" s="645"/>
      <c r="H365" s="645"/>
      <c r="I365" s="645"/>
      <c r="J365" s="201"/>
      <c r="K365" s="201"/>
      <c r="L365" s="644"/>
      <c r="M365" s="644"/>
      <c r="N365" s="644"/>
      <c r="O365" s="602"/>
      <c r="P365" s="201"/>
    </row>
    <row r="366" ht="22.5" customHeight="1">
      <c r="A366" s="201"/>
      <c r="B366" s="645"/>
      <c r="C366" s="645"/>
      <c r="D366" s="645"/>
      <c r="E366" s="201"/>
      <c r="F366" s="602"/>
      <c r="G366" s="645"/>
      <c r="H366" s="645"/>
      <c r="I366" s="645"/>
      <c r="J366" s="201"/>
      <c r="K366" s="201"/>
      <c r="L366" s="644"/>
      <c r="M366" s="644"/>
      <c r="N366" s="644"/>
      <c r="O366" s="602"/>
      <c r="P366" s="201"/>
    </row>
    <row r="367" ht="22.5" customHeight="1">
      <c r="A367" s="201"/>
      <c r="B367" s="645"/>
      <c r="C367" s="645"/>
      <c r="D367" s="645"/>
      <c r="E367" s="201"/>
      <c r="F367" s="602"/>
      <c r="G367" s="645"/>
      <c r="H367" s="645"/>
      <c r="I367" s="645"/>
      <c r="J367" s="201"/>
      <c r="K367" s="201"/>
      <c r="L367" s="644"/>
      <c r="M367" s="644"/>
      <c r="N367" s="644"/>
      <c r="O367" s="602"/>
      <c r="P367" s="201"/>
    </row>
    <row r="368" ht="22.5" customHeight="1">
      <c r="A368" s="201"/>
      <c r="B368" s="645"/>
      <c r="C368" s="645"/>
      <c r="D368" s="645"/>
      <c r="E368" s="201"/>
      <c r="F368" s="602"/>
      <c r="G368" s="645"/>
      <c r="H368" s="645"/>
      <c r="I368" s="645"/>
      <c r="J368" s="201"/>
      <c r="K368" s="201"/>
      <c r="L368" s="644"/>
      <c r="M368" s="644"/>
      <c r="N368" s="644"/>
      <c r="O368" s="602"/>
      <c r="P368" s="201"/>
    </row>
    <row r="369" ht="22.5" customHeight="1">
      <c r="A369" s="201"/>
      <c r="B369" s="645"/>
      <c r="C369" s="645"/>
      <c r="D369" s="645"/>
      <c r="E369" s="201"/>
      <c r="F369" s="602"/>
      <c r="G369" s="645"/>
      <c r="H369" s="645"/>
      <c r="I369" s="645"/>
      <c r="J369" s="201"/>
      <c r="K369" s="201"/>
      <c r="L369" s="644"/>
      <c r="M369" s="644"/>
      <c r="N369" s="644"/>
      <c r="O369" s="602"/>
      <c r="P369" s="201"/>
    </row>
    <row r="370" ht="22.5" customHeight="1">
      <c r="A370" s="201"/>
      <c r="B370" s="645"/>
      <c r="C370" s="645"/>
      <c r="D370" s="645"/>
      <c r="E370" s="201"/>
      <c r="F370" s="602"/>
      <c r="G370" s="645"/>
      <c r="H370" s="645"/>
      <c r="I370" s="645"/>
      <c r="J370" s="201"/>
      <c r="K370" s="201"/>
      <c r="L370" s="644"/>
      <c r="M370" s="644"/>
      <c r="N370" s="644"/>
      <c r="O370" s="602"/>
      <c r="P370" s="201"/>
    </row>
    <row r="371" ht="22.5" customHeight="1">
      <c r="A371" s="201"/>
      <c r="B371" s="645"/>
      <c r="C371" s="645"/>
      <c r="D371" s="645"/>
      <c r="E371" s="201"/>
      <c r="F371" s="602"/>
      <c r="G371" s="645"/>
      <c r="H371" s="645"/>
      <c r="I371" s="645"/>
      <c r="J371" s="201"/>
      <c r="K371" s="201"/>
      <c r="L371" s="644"/>
      <c r="M371" s="644"/>
      <c r="N371" s="644"/>
      <c r="O371" s="602"/>
      <c r="P371" s="201"/>
    </row>
    <row r="372" ht="22.5" customHeight="1">
      <c r="A372" s="201"/>
      <c r="B372" s="645"/>
      <c r="C372" s="645"/>
      <c r="D372" s="645"/>
      <c r="E372" s="201"/>
      <c r="F372" s="602"/>
      <c r="G372" s="645"/>
      <c r="H372" s="645"/>
      <c r="I372" s="645"/>
      <c r="J372" s="201"/>
      <c r="K372" s="201"/>
      <c r="L372" s="644"/>
      <c r="M372" s="644"/>
      <c r="N372" s="644"/>
      <c r="O372" s="602"/>
      <c r="P372" s="201"/>
    </row>
    <row r="373" ht="22.5" customHeight="1">
      <c r="A373" s="201"/>
      <c r="B373" s="645"/>
      <c r="C373" s="645"/>
      <c r="D373" s="645"/>
      <c r="E373" s="201"/>
      <c r="F373" s="602"/>
      <c r="G373" s="645"/>
      <c r="H373" s="645"/>
      <c r="I373" s="645"/>
      <c r="J373" s="201"/>
      <c r="K373" s="201"/>
      <c r="L373" s="644"/>
      <c r="M373" s="644"/>
      <c r="N373" s="644"/>
      <c r="O373" s="602"/>
      <c r="P373" s="201"/>
    </row>
    <row r="374" ht="22.5" customHeight="1">
      <c r="A374" s="201"/>
      <c r="B374" s="645"/>
      <c r="C374" s="645"/>
      <c r="D374" s="645"/>
      <c r="E374" s="201"/>
      <c r="F374" s="602"/>
      <c r="G374" s="645"/>
      <c r="H374" s="645"/>
      <c r="I374" s="645"/>
      <c r="J374" s="201"/>
      <c r="K374" s="201"/>
      <c r="L374" s="644"/>
      <c r="M374" s="644"/>
      <c r="N374" s="644"/>
      <c r="O374" s="602"/>
      <c r="P374" s="201"/>
    </row>
    <row r="375" ht="22.5" customHeight="1">
      <c r="A375" s="201"/>
      <c r="B375" s="645"/>
      <c r="C375" s="645"/>
      <c r="D375" s="645"/>
      <c r="E375" s="201"/>
      <c r="F375" s="602"/>
      <c r="G375" s="645"/>
      <c r="H375" s="645"/>
      <c r="I375" s="645"/>
      <c r="J375" s="201"/>
      <c r="K375" s="201"/>
      <c r="L375" s="644"/>
      <c r="M375" s="644"/>
      <c r="N375" s="644"/>
      <c r="O375" s="602"/>
      <c r="P375" s="201"/>
    </row>
    <row r="376" ht="22.5" customHeight="1">
      <c r="A376" s="201"/>
      <c r="B376" s="645"/>
      <c r="C376" s="645"/>
      <c r="D376" s="645"/>
      <c r="E376" s="201"/>
      <c r="F376" s="602"/>
      <c r="G376" s="645"/>
      <c r="H376" s="645"/>
      <c r="I376" s="645"/>
      <c r="J376" s="201"/>
      <c r="K376" s="201"/>
      <c r="L376" s="644"/>
      <c r="M376" s="644"/>
      <c r="N376" s="644"/>
      <c r="O376" s="602"/>
      <c r="P376" s="201"/>
    </row>
    <row r="377" ht="22.5" customHeight="1">
      <c r="A377" s="201"/>
      <c r="B377" s="645"/>
      <c r="C377" s="645"/>
      <c r="D377" s="645"/>
      <c r="E377" s="201"/>
      <c r="F377" s="602"/>
      <c r="G377" s="645"/>
      <c r="H377" s="645"/>
      <c r="I377" s="645"/>
      <c r="J377" s="201"/>
      <c r="K377" s="201"/>
      <c r="L377" s="644"/>
      <c r="M377" s="644"/>
      <c r="N377" s="644"/>
      <c r="O377" s="602"/>
      <c r="P377" s="201"/>
    </row>
    <row r="378" ht="22.5" customHeight="1">
      <c r="A378" s="201"/>
      <c r="B378" s="645"/>
      <c r="C378" s="645"/>
      <c r="D378" s="645"/>
      <c r="E378" s="201"/>
      <c r="F378" s="602"/>
      <c r="G378" s="645"/>
      <c r="H378" s="645"/>
      <c r="I378" s="645"/>
      <c r="J378" s="201"/>
      <c r="K378" s="201"/>
      <c r="L378" s="644"/>
      <c r="M378" s="644"/>
      <c r="N378" s="644"/>
      <c r="O378" s="602"/>
      <c r="P378" s="201"/>
    </row>
    <row r="379" ht="22.5" customHeight="1">
      <c r="A379" s="201"/>
      <c r="B379" s="645"/>
      <c r="C379" s="645"/>
      <c r="D379" s="645"/>
      <c r="E379" s="201"/>
      <c r="F379" s="602"/>
      <c r="G379" s="645"/>
      <c r="H379" s="645"/>
      <c r="I379" s="645"/>
      <c r="J379" s="201"/>
      <c r="K379" s="201"/>
      <c r="L379" s="644"/>
      <c r="M379" s="644"/>
      <c r="N379" s="644"/>
      <c r="O379" s="602"/>
      <c r="P379" s="201"/>
    </row>
    <row r="380" ht="22.5" customHeight="1">
      <c r="A380" s="201"/>
      <c r="B380" s="645"/>
      <c r="C380" s="645"/>
      <c r="D380" s="645"/>
      <c r="E380" s="201"/>
      <c r="F380" s="602"/>
      <c r="G380" s="645"/>
      <c r="H380" s="645"/>
      <c r="I380" s="645"/>
      <c r="J380" s="201"/>
      <c r="K380" s="201"/>
      <c r="L380" s="644"/>
      <c r="M380" s="644"/>
      <c r="N380" s="644"/>
      <c r="O380" s="602"/>
      <c r="P380" s="201"/>
    </row>
    <row r="381" ht="22.5" customHeight="1">
      <c r="A381" s="201"/>
      <c r="B381" s="645"/>
      <c r="C381" s="645"/>
      <c r="D381" s="645"/>
      <c r="E381" s="201"/>
      <c r="F381" s="602"/>
      <c r="G381" s="645"/>
      <c r="H381" s="645"/>
      <c r="I381" s="645"/>
      <c r="J381" s="201"/>
      <c r="K381" s="201"/>
      <c r="L381" s="644"/>
      <c r="M381" s="644"/>
      <c r="N381" s="644"/>
      <c r="O381" s="602"/>
      <c r="P381" s="201"/>
    </row>
    <row r="382" ht="22.5" customHeight="1">
      <c r="A382" s="201"/>
      <c r="B382" s="645"/>
      <c r="C382" s="645"/>
      <c r="D382" s="645"/>
      <c r="E382" s="201"/>
      <c r="F382" s="602"/>
      <c r="G382" s="645"/>
      <c r="H382" s="645"/>
      <c r="I382" s="645"/>
      <c r="J382" s="201"/>
      <c r="K382" s="201"/>
      <c r="L382" s="644"/>
      <c r="M382" s="644"/>
      <c r="N382" s="644"/>
      <c r="O382" s="602"/>
      <c r="P382" s="201"/>
    </row>
    <row r="383" ht="22.5" customHeight="1">
      <c r="A383" s="201"/>
      <c r="B383" s="645"/>
      <c r="C383" s="645"/>
      <c r="D383" s="645"/>
      <c r="E383" s="201"/>
      <c r="F383" s="602"/>
      <c r="G383" s="645"/>
      <c r="H383" s="645"/>
      <c r="I383" s="645"/>
      <c r="J383" s="201"/>
      <c r="K383" s="201"/>
      <c r="L383" s="644"/>
      <c r="M383" s="644"/>
      <c r="N383" s="644"/>
      <c r="O383" s="602"/>
      <c r="P383" s="201"/>
    </row>
    <row r="384" ht="22.5" customHeight="1">
      <c r="A384" s="201"/>
      <c r="B384" s="645"/>
      <c r="C384" s="645"/>
      <c r="D384" s="645"/>
      <c r="E384" s="201"/>
      <c r="F384" s="602"/>
      <c r="G384" s="645"/>
      <c r="H384" s="645"/>
      <c r="I384" s="645"/>
      <c r="J384" s="201"/>
      <c r="K384" s="201"/>
      <c r="L384" s="644"/>
      <c r="M384" s="644"/>
      <c r="N384" s="644"/>
      <c r="O384" s="602"/>
      <c r="P384" s="201"/>
    </row>
    <row r="385" ht="22.5" customHeight="1">
      <c r="A385" s="201"/>
      <c r="B385" s="645"/>
      <c r="C385" s="645"/>
      <c r="D385" s="645"/>
      <c r="E385" s="201"/>
      <c r="F385" s="602"/>
      <c r="G385" s="645"/>
      <c r="H385" s="645"/>
      <c r="I385" s="645"/>
      <c r="J385" s="201"/>
      <c r="K385" s="201"/>
      <c r="L385" s="644"/>
      <c r="M385" s="644"/>
      <c r="N385" s="644"/>
      <c r="O385" s="602"/>
      <c r="P385" s="201"/>
    </row>
    <row r="386" ht="22.5" customHeight="1">
      <c r="A386" s="201"/>
      <c r="B386" s="645"/>
      <c r="C386" s="645"/>
      <c r="D386" s="645"/>
      <c r="E386" s="201"/>
      <c r="F386" s="602"/>
      <c r="G386" s="645"/>
      <c r="H386" s="645"/>
      <c r="I386" s="645"/>
      <c r="J386" s="201"/>
      <c r="K386" s="201"/>
      <c r="L386" s="644"/>
      <c r="M386" s="644"/>
      <c r="N386" s="644"/>
      <c r="O386" s="602"/>
      <c r="P386" s="201"/>
    </row>
    <row r="387" ht="22.5" customHeight="1">
      <c r="A387" s="201"/>
      <c r="B387" s="645"/>
      <c r="C387" s="645"/>
      <c r="D387" s="645"/>
      <c r="E387" s="201"/>
      <c r="F387" s="602"/>
      <c r="G387" s="645"/>
      <c r="H387" s="645"/>
      <c r="I387" s="645"/>
      <c r="J387" s="201"/>
      <c r="K387" s="201"/>
      <c r="L387" s="644"/>
      <c r="M387" s="644"/>
      <c r="N387" s="644"/>
      <c r="O387" s="602"/>
      <c r="P387" s="201"/>
    </row>
    <row r="388" ht="22.5" customHeight="1">
      <c r="A388" s="201"/>
      <c r="B388" s="645"/>
      <c r="C388" s="645"/>
      <c r="D388" s="645"/>
      <c r="E388" s="201"/>
      <c r="F388" s="602"/>
      <c r="G388" s="645"/>
      <c r="H388" s="645"/>
      <c r="I388" s="645"/>
      <c r="J388" s="201"/>
      <c r="K388" s="201"/>
      <c r="L388" s="644"/>
      <c r="M388" s="644"/>
      <c r="N388" s="644"/>
      <c r="O388" s="602"/>
      <c r="P388" s="201"/>
    </row>
    <row r="389" ht="22.5" customHeight="1">
      <c r="A389" s="201"/>
      <c r="B389" s="645"/>
      <c r="C389" s="645"/>
      <c r="D389" s="645"/>
      <c r="E389" s="201"/>
      <c r="F389" s="602"/>
      <c r="G389" s="645"/>
      <c r="H389" s="645"/>
      <c r="I389" s="645"/>
      <c r="J389" s="201"/>
      <c r="K389" s="201"/>
      <c r="L389" s="644"/>
      <c r="M389" s="644"/>
      <c r="N389" s="644"/>
      <c r="O389" s="602"/>
      <c r="P389" s="201"/>
    </row>
    <row r="390" ht="22.5" customHeight="1">
      <c r="A390" s="201"/>
      <c r="B390" s="645"/>
      <c r="C390" s="645"/>
      <c r="D390" s="645"/>
      <c r="E390" s="201"/>
      <c r="F390" s="602"/>
      <c r="G390" s="645"/>
      <c r="H390" s="645"/>
      <c r="I390" s="645"/>
      <c r="J390" s="201"/>
      <c r="K390" s="201"/>
      <c r="L390" s="644"/>
      <c r="M390" s="644"/>
      <c r="N390" s="644"/>
      <c r="O390" s="602"/>
      <c r="P390" s="201"/>
    </row>
    <row r="391" ht="22.5" customHeight="1">
      <c r="A391" s="201"/>
      <c r="B391" s="645"/>
      <c r="C391" s="645"/>
      <c r="D391" s="645"/>
      <c r="E391" s="201"/>
      <c r="F391" s="602"/>
      <c r="G391" s="645"/>
      <c r="H391" s="645"/>
      <c r="I391" s="645"/>
      <c r="J391" s="201"/>
      <c r="K391" s="201"/>
      <c r="L391" s="644"/>
      <c r="M391" s="644"/>
      <c r="N391" s="644"/>
      <c r="O391" s="602"/>
      <c r="P391" s="201"/>
    </row>
    <row r="392" ht="22.5" customHeight="1">
      <c r="A392" s="201"/>
      <c r="B392" s="645"/>
      <c r="C392" s="645"/>
      <c r="D392" s="645"/>
      <c r="E392" s="201"/>
      <c r="F392" s="602"/>
      <c r="G392" s="645"/>
      <c r="H392" s="645"/>
      <c r="I392" s="645"/>
      <c r="J392" s="201"/>
      <c r="K392" s="201"/>
      <c r="L392" s="644"/>
      <c r="M392" s="644"/>
      <c r="N392" s="644"/>
      <c r="O392" s="602"/>
      <c r="P392" s="201"/>
    </row>
    <row r="393" ht="22.5" customHeight="1">
      <c r="A393" s="201"/>
      <c r="B393" s="645"/>
      <c r="C393" s="645"/>
      <c r="D393" s="645"/>
      <c r="E393" s="201"/>
      <c r="F393" s="602"/>
      <c r="G393" s="645"/>
      <c r="H393" s="645"/>
      <c r="I393" s="645"/>
      <c r="J393" s="201"/>
      <c r="K393" s="201"/>
      <c r="L393" s="644"/>
      <c r="M393" s="644"/>
      <c r="N393" s="644"/>
      <c r="O393" s="602"/>
      <c r="P393" s="201"/>
    </row>
    <row r="394" ht="22.5" customHeight="1">
      <c r="A394" s="201"/>
      <c r="B394" s="645"/>
      <c r="C394" s="645"/>
      <c r="D394" s="645"/>
      <c r="E394" s="201"/>
      <c r="F394" s="602"/>
      <c r="G394" s="645"/>
      <c r="H394" s="645"/>
      <c r="I394" s="645"/>
      <c r="J394" s="201"/>
      <c r="K394" s="201"/>
      <c r="L394" s="644"/>
      <c r="M394" s="644"/>
      <c r="N394" s="644"/>
      <c r="O394" s="602"/>
      <c r="P394" s="201"/>
    </row>
    <row r="395" ht="22.5" customHeight="1">
      <c r="A395" s="201"/>
      <c r="B395" s="645"/>
      <c r="C395" s="645"/>
      <c r="D395" s="645"/>
      <c r="E395" s="201"/>
      <c r="F395" s="602"/>
      <c r="G395" s="645"/>
      <c r="H395" s="645"/>
      <c r="I395" s="645"/>
      <c r="J395" s="201"/>
      <c r="K395" s="201"/>
      <c r="L395" s="644"/>
      <c r="M395" s="644"/>
      <c r="N395" s="644"/>
      <c r="O395" s="602"/>
      <c r="P395" s="201"/>
    </row>
    <row r="396" ht="22.5" customHeight="1">
      <c r="A396" s="201"/>
      <c r="B396" s="645"/>
      <c r="C396" s="645"/>
      <c r="D396" s="645"/>
      <c r="E396" s="201"/>
      <c r="F396" s="602"/>
      <c r="G396" s="645"/>
      <c r="H396" s="645"/>
      <c r="I396" s="645"/>
      <c r="J396" s="201"/>
      <c r="K396" s="201"/>
      <c r="L396" s="644"/>
      <c r="M396" s="644"/>
      <c r="N396" s="644"/>
      <c r="O396" s="602"/>
      <c r="P396" s="201"/>
    </row>
    <row r="397" ht="22.5" customHeight="1">
      <c r="A397" s="201"/>
      <c r="B397" s="645"/>
      <c r="C397" s="645"/>
      <c r="D397" s="645"/>
      <c r="E397" s="201"/>
      <c r="F397" s="602"/>
      <c r="G397" s="645"/>
      <c r="H397" s="645"/>
      <c r="I397" s="645"/>
      <c r="J397" s="201"/>
      <c r="K397" s="201"/>
      <c r="L397" s="644"/>
      <c r="M397" s="644"/>
      <c r="N397" s="644"/>
      <c r="O397" s="602"/>
      <c r="P397" s="201"/>
    </row>
    <row r="398" ht="22.5" customHeight="1">
      <c r="A398" s="201"/>
      <c r="B398" s="645"/>
      <c r="C398" s="645"/>
      <c r="D398" s="645"/>
      <c r="E398" s="201"/>
      <c r="F398" s="602"/>
      <c r="G398" s="645"/>
      <c r="H398" s="645"/>
      <c r="I398" s="645"/>
      <c r="J398" s="201"/>
      <c r="K398" s="201"/>
      <c r="L398" s="644"/>
      <c r="M398" s="644"/>
      <c r="N398" s="644"/>
      <c r="O398" s="602"/>
      <c r="P398" s="201"/>
    </row>
    <row r="399" ht="22.5" customHeight="1">
      <c r="A399" s="201"/>
      <c r="B399" s="645"/>
      <c r="C399" s="645"/>
      <c r="D399" s="645"/>
      <c r="E399" s="201"/>
      <c r="F399" s="602"/>
      <c r="G399" s="645"/>
      <c r="H399" s="645"/>
      <c r="I399" s="645"/>
      <c r="J399" s="201"/>
      <c r="K399" s="201"/>
      <c r="L399" s="644"/>
      <c r="M399" s="644"/>
      <c r="N399" s="644"/>
      <c r="O399" s="602"/>
      <c r="P399" s="201"/>
    </row>
    <row r="400" ht="22.5" customHeight="1">
      <c r="A400" s="201"/>
      <c r="B400" s="645"/>
      <c r="C400" s="645"/>
      <c r="D400" s="645"/>
      <c r="E400" s="201"/>
      <c r="F400" s="602"/>
      <c r="G400" s="645"/>
      <c r="H400" s="645"/>
      <c r="I400" s="645"/>
      <c r="J400" s="201"/>
      <c r="K400" s="201"/>
      <c r="L400" s="644"/>
      <c r="M400" s="644"/>
      <c r="N400" s="644"/>
      <c r="O400" s="602"/>
      <c r="P400" s="201"/>
    </row>
    <row r="401" ht="22.5" customHeight="1">
      <c r="A401" s="201"/>
      <c r="B401" s="645"/>
      <c r="C401" s="645"/>
      <c r="D401" s="645"/>
      <c r="E401" s="201"/>
      <c r="F401" s="602"/>
      <c r="G401" s="645"/>
      <c r="H401" s="645"/>
      <c r="I401" s="645"/>
      <c r="J401" s="201"/>
      <c r="K401" s="201"/>
      <c r="L401" s="644"/>
      <c r="M401" s="644"/>
      <c r="N401" s="644"/>
      <c r="O401" s="602"/>
      <c r="P401" s="201"/>
    </row>
    <row r="402" ht="22.5" customHeight="1">
      <c r="A402" s="201"/>
      <c r="B402" s="645"/>
      <c r="C402" s="645"/>
      <c r="D402" s="645"/>
      <c r="E402" s="201"/>
      <c r="F402" s="602"/>
      <c r="G402" s="645"/>
      <c r="H402" s="645"/>
      <c r="I402" s="645"/>
      <c r="J402" s="201"/>
      <c r="K402" s="201"/>
      <c r="L402" s="644"/>
      <c r="M402" s="644"/>
      <c r="N402" s="644"/>
      <c r="O402" s="602"/>
      <c r="P402" s="201"/>
    </row>
    <row r="403" ht="22.5" customHeight="1">
      <c r="A403" s="201"/>
      <c r="B403" s="645"/>
      <c r="C403" s="645"/>
      <c r="D403" s="645"/>
      <c r="E403" s="201"/>
      <c r="F403" s="602"/>
      <c r="G403" s="645"/>
      <c r="H403" s="645"/>
      <c r="I403" s="645"/>
      <c r="J403" s="201"/>
      <c r="K403" s="201"/>
      <c r="L403" s="644"/>
      <c r="M403" s="644"/>
      <c r="N403" s="644"/>
      <c r="O403" s="602"/>
      <c r="P403" s="201"/>
    </row>
    <row r="404" ht="22.5" customHeight="1">
      <c r="A404" s="201"/>
      <c r="B404" s="645"/>
      <c r="C404" s="645"/>
      <c r="D404" s="645"/>
      <c r="E404" s="201"/>
      <c r="F404" s="602"/>
      <c r="G404" s="645"/>
      <c r="H404" s="645"/>
      <c r="I404" s="645"/>
      <c r="J404" s="201"/>
      <c r="K404" s="201"/>
      <c r="L404" s="644"/>
      <c r="M404" s="644"/>
      <c r="N404" s="644"/>
      <c r="O404" s="602"/>
      <c r="P404" s="201"/>
    </row>
    <row r="405" ht="22.5" customHeight="1">
      <c r="A405" s="201"/>
      <c r="B405" s="645"/>
      <c r="C405" s="645"/>
      <c r="D405" s="645"/>
      <c r="E405" s="201"/>
      <c r="F405" s="602"/>
      <c r="G405" s="645"/>
      <c r="H405" s="645"/>
      <c r="I405" s="645"/>
      <c r="J405" s="201"/>
      <c r="K405" s="201"/>
      <c r="L405" s="644"/>
      <c r="M405" s="644"/>
      <c r="N405" s="644"/>
      <c r="O405" s="602"/>
      <c r="P405" s="201"/>
    </row>
    <row r="406" ht="22.5" customHeight="1">
      <c r="A406" s="201"/>
      <c r="B406" s="645"/>
      <c r="C406" s="645"/>
      <c r="D406" s="645"/>
      <c r="E406" s="201"/>
      <c r="F406" s="602"/>
      <c r="G406" s="645"/>
      <c r="H406" s="645"/>
      <c r="I406" s="645"/>
      <c r="J406" s="201"/>
      <c r="K406" s="201"/>
      <c r="L406" s="644"/>
      <c r="M406" s="644"/>
      <c r="N406" s="644"/>
      <c r="O406" s="602"/>
      <c r="P406" s="201"/>
    </row>
    <row r="407" ht="22.5" customHeight="1">
      <c r="A407" s="201"/>
      <c r="B407" s="645"/>
      <c r="C407" s="645"/>
      <c r="D407" s="645"/>
      <c r="E407" s="201"/>
      <c r="F407" s="602"/>
      <c r="G407" s="645"/>
      <c r="H407" s="645"/>
      <c r="I407" s="645"/>
      <c r="J407" s="201"/>
      <c r="K407" s="201"/>
      <c r="L407" s="644"/>
      <c r="M407" s="644"/>
      <c r="N407" s="644"/>
      <c r="O407" s="602"/>
      <c r="P407" s="201"/>
    </row>
    <row r="408" ht="22.5" customHeight="1">
      <c r="A408" s="201"/>
      <c r="B408" s="645"/>
      <c r="C408" s="645"/>
      <c r="D408" s="645"/>
      <c r="E408" s="201"/>
      <c r="F408" s="602"/>
      <c r="G408" s="645"/>
      <c r="H408" s="645"/>
      <c r="I408" s="645"/>
      <c r="J408" s="201"/>
      <c r="K408" s="201"/>
      <c r="L408" s="644"/>
      <c r="M408" s="644"/>
      <c r="N408" s="644"/>
      <c r="O408" s="602"/>
      <c r="P408" s="201"/>
    </row>
    <row r="409" ht="22.5" customHeight="1">
      <c r="A409" s="201"/>
      <c r="B409" s="645"/>
      <c r="C409" s="645"/>
      <c r="D409" s="645"/>
      <c r="E409" s="201"/>
      <c r="F409" s="602"/>
      <c r="G409" s="645"/>
      <c r="H409" s="645"/>
      <c r="I409" s="645"/>
      <c r="J409" s="201"/>
      <c r="K409" s="201"/>
      <c r="L409" s="644"/>
      <c r="M409" s="644"/>
      <c r="N409" s="644"/>
      <c r="O409" s="602"/>
      <c r="P409" s="201"/>
    </row>
    <row r="410" ht="22.5" customHeight="1">
      <c r="A410" s="201"/>
      <c r="B410" s="645"/>
      <c r="C410" s="645"/>
      <c r="D410" s="645"/>
      <c r="E410" s="201"/>
      <c r="F410" s="602"/>
      <c r="G410" s="645"/>
      <c r="H410" s="645"/>
      <c r="I410" s="645"/>
      <c r="J410" s="201"/>
      <c r="K410" s="201"/>
      <c r="L410" s="644"/>
      <c r="M410" s="644"/>
      <c r="N410" s="644"/>
      <c r="O410" s="602"/>
      <c r="P410" s="201"/>
    </row>
    <row r="411" ht="22.5" customHeight="1">
      <c r="A411" s="201"/>
      <c r="B411" s="645"/>
      <c r="C411" s="645"/>
      <c r="D411" s="645"/>
      <c r="E411" s="201"/>
      <c r="F411" s="602"/>
      <c r="G411" s="645"/>
      <c r="H411" s="645"/>
      <c r="I411" s="645"/>
      <c r="J411" s="201"/>
      <c r="K411" s="201"/>
      <c r="L411" s="644"/>
      <c r="M411" s="644"/>
      <c r="N411" s="644"/>
      <c r="O411" s="602"/>
      <c r="P411" s="201"/>
    </row>
    <row r="412" ht="22.5" customHeight="1">
      <c r="A412" s="201"/>
      <c r="B412" s="645"/>
      <c r="C412" s="645"/>
      <c r="D412" s="645"/>
      <c r="E412" s="201"/>
      <c r="F412" s="602"/>
      <c r="G412" s="645"/>
      <c r="H412" s="645"/>
      <c r="I412" s="645"/>
      <c r="J412" s="201"/>
      <c r="K412" s="201"/>
      <c r="L412" s="644"/>
      <c r="M412" s="644"/>
      <c r="N412" s="644"/>
      <c r="O412" s="602"/>
      <c r="P412" s="201"/>
    </row>
    <row r="413" ht="22.5" customHeight="1">
      <c r="A413" s="201"/>
      <c r="B413" s="645"/>
      <c r="C413" s="645"/>
      <c r="D413" s="645"/>
      <c r="E413" s="201"/>
      <c r="F413" s="602"/>
      <c r="G413" s="645"/>
      <c r="H413" s="645"/>
      <c r="I413" s="645"/>
      <c r="J413" s="201"/>
      <c r="K413" s="201"/>
      <c r="L413" s="644"/>
      <c r="M413" s="644"/>
      <c r="N413" s="644"/>
      <c r="O413" s="602"/>
      <c r="P413" s="201"/>
    </row>
    <row r="414" ht="22.5" customHeight="1">
      <c r="A414" s="201"/>
      <c r="B414" s="645"/>
      <c r="C414" s="645"/>
      <c r="D414" s="645"/>
      <c r="E414" s="201"/>
      <c r="F414" s="602"/>
      <c r="G414" s="645"/>
      <c r="H414" s="645"/>
      <c r="I414" s="645"/>
      <c r="J414" s="201"/>
      <c r="K414" s="201"/>
      <c r="L414" s="644"/>
      <c r="M414" s="644"/>
      <c r="N414" s="644"/>
      <c r="O414" s="602"/>
      <c r="P414" s="201"/>
    </row>
    <row r="415" ht="22.5" customHeight="1">
      <c r="A415" s="201"/>
      <c r="B415" s="645"/>
      <c r="C415" s="645"/>
      <c r="D415" s="645"/>
      <c r="E415" s="201"/>
      <c r="F415" s="602"/>
      <c r="G415" s="645"/>
      <c r="H415" s="645"/>
      <c r="I415" s="645"/>
      <c r="J415" s="201"/>
      <c r="K415" s="201"/>
      <c r="L415" s="644"/>
      <c r="M415" s="644"/>
      <c r="N415" s="644"/>
      <c r="O415" s="602"/>
      <c r="P415" s="201"/>
    </row>
    <row r="416" ht="22.5" customHeight="1">
      <c r="A416" s="201"/>
      <c r="B416" s="645"/>
      <c r="C416" s="645"/>
      <c r="D416" s="645"/>
      <c r="E416" s="201"/>
      <c r="F416" s="602"/>
      <c r="G416" s="645"/>
      <c r="H416" s="645"/>
      <c r="I416" s="645"/>
      <c r="J416" s="201"/>
      <c r="K416" s="201"/>
      <c r="L416" s="644"/>
      <c r="M416" s="644"/>
      <c r="N416" s="644"/>
      <c r="O416" s="602"/>
      <c r="P416" s="201"/>
    </row>
    <row r="417" ht="22.5" customHeight="1">
      <c r="A417" s="201"/>
      <c r="B417" s="645"/>
      <c r="C417" s="645"/>
      <c r="D417" s="645"/>
      <c r="E417" s="201"/>
      <c r="F417" s="602"/>
      <c r="G417" s="645"/>
      <c r="H417" s="645"/>
      <c r="I417" s="645"/>
      <c r="J417" s="201"/>
      <c r="K417" s="201"/>
      <c r="L417" s="644"/>
      <c r="M417" s="644"/>
      <c r="N417" s="644"/>
      <c r="O417" s="602"/>
      <c r="P417" s="201"/>
    </row>
    <row r="418" ht="22.5" customHeight="1">
      <c r="A418" s="201"/>
      <c r="B418" s="645"/>
      <c r="C418" s="645"/>
      <c r="D418" s="645"/>
      <c r="E418" s="201"/>
      <c r="F418" s="602"/>
      <c r="G418" s="645"/>
      <c r="H418" s="645"/>
      <c r="I418" s="645"/>
      <c r="J418" s="201"/>
      <c r="K418" s="201"/>
      <c r="L418" s="644"/>
      <c r="M418" s="644"/>
      <c r="N418" s="644"/>
      <c r="O418" s="602"/>
      <c r="P418" s="201"/>
    </row>
    <row r="419" ht="22.5" customHeight="1">
      <c r="A419" s="201"/>
      <c r="B419" s="645"/>
      <c r="C419" s="645"/>
      <c r="D419" s="645"/>
      <c r="E419" s="201"/>
      <c r="F419" s="602"/>
      <c r="G419" s="645"/>
      <c r="H419" s="645"/>
      <c r="I419" s="645"/>
      <c r="J419" s="201"/>
      <c r="K419" s="201"/>
      <c r="L419" s="644"/>
      <c r="M419" s="644"/>
      <c r="N419" s="644"/>
      <c r="O419" s="602"/>
      <c r="P419" s="201"/>
    </row>
    <row r="420" ht="22.5" customHeight="1">
      <c r="A420" s="201"/>
      <c r="B420" s="645"/>
      <c r="C420" s="645"/>
      <c r="D420" s="645"/>
      <c r="E420" s="201"/>
      <c r="F420" s="602"/>
      <c r="G420" s="645"/>
      <c r="H420" s="645"/>
      <c r="I420" s="645"/>
      <c r="J420" s="201"/>
      <c r="K420" s="201"/>
      <c r="L420" s="644"/>
      <c r="M420" s="644"/>
      <c r="N420" s="644"/>
      <c r="O420" s="602"/>
      <c r="P420" s="201"/>
    </row>
    <row r="421" ht="22.5" customHeight="1">
      <c r="A421" s="201"/>
      <c r="B421" s="645"/>
      <c r="C421" s="645"/>
      <c r="D421" s="645"/>
      <c r="E421" s="201"/>
      <c r="F421" s="602"/>
      <c r="G421" s="645"/>
      <c r="H421" s="645"/>
      <c r="I421" s="645"/>
      <c r="J421" s="201"/>
      <c r="K421" s="201"/>
      <c r="L421" s="644"/>
      <c r="M421" s="644"/>
      <c r="N421" s="644"/>
      <c r="O421" s="602"/>
      <c r="P421" s="201"/>
    </row>
    <row r="422" ht="22.5" customHeight="1">
      <c r="A422" s="201"/>
      <c r="B422" s="645"/>
      <c r="C422" s="645"/>
      <c r="D422" s="645"/>
      <c r="E422" s="201"/>
      <c r="F422" s="602"/>
      <c r="G422" s="645"/>
      <c r="H422" s="645"/>
      <c r="I422" s="645"/>
      <c r="J422" s="201"/>
      <c r="K422" s="201"/>
      <c r="L422" s="644"/>
      <c r="M422" s="644"/>
      <c r="N422" s="644"/>
      <c r="O422" s="602"/>
      <c r="P422" s="201"/>
    </row>
    <row r="423" ht="22.5" customHeight="1">
      <c r="A423" s="201"/>
      <c r="B423" s="645"/>
      <c r="C423" s="645"/>
      <c r="D423" s="645"/>
      <c r="E423" s="201"/>
      <c r="F423" s="602"/>
      <c r="G423" s="645"/>
      <c r="H423" s="645"/>
      <c r="I423" s="645"/>
      <c r="J423" s="201"/>
      <c r="K423" s="201"/>
      <c r="L423" s="644"/>
      <c r="M423" s="644"/>
      <c r="N423" s="644"/>
      <c r="O423" s="602"/>
      <c r="P423" s="201"/>
    </row>
    <row r="424" ht="22.5" customHeight="1">
      <c r="A424" s="201"/>
      <c r="B424" s="645"/>
      <c r="C424" s="645"/>
      <c r="D424" s="645"/>
      <c r="E424" s="201"/>
      <c r="F424" s="602"/>
      <c r="G424" s="645"/>
      <c r="H424" s="645"/>
      <c r="I424" s="645"/>
      <c r="J424" s="201"/>
      <c r="K424" s="201"/>
      <c r="L424" s="644"/>
      <c r="M424" s="644"/>
      <c r="N424" s="644"/>
      <c r="O424" s="602"/>
      <c r="P424" s="201"/>
    </row>
    <row r="425" ht="22.5" customHeight="1">
      <c r="A425" s="201"/>
      <c r="B425" s="645"/>
      <c r="C425" s="645"/>
      <c r="D425" s="645"/>
      <c r="E425" s="201"/>
      <c r="F425" s="602"/>
      <c r="G425" s="645"/>
      <c r="H425" s="645"/>
      <c r="I425" s="645"/>
      <c r="J425" s="201"/>
      <c r="K425" s="201"/>
      <c r="L425" s="644"/>
      <c r="M425" s="644"/>
      <c r="N425" s="644"/>
      <c r="O425" s="602"/>
      <c r="P425" s="201"/>
    </row>
    <row r="426" ht="22.5" customHeight="1">
      <c r="A426" s="201"/>
      <c r="B426" s="645"/>
      <c r="C426" s="645"/>
      <c r="D426" s="645"/>
      <c r="E426" s="201"/>
      <c r="F426" s="602"/>
      <c r="G426" s="645"/>
      <c r="H426" s="645"/>
      <c r="I426" s="645"/>
      <c r="J426" s="201"/>
      <c r="K426" s="201"/>
      <c r="L426" s="644"/>
      <c r="M426" s="644"/>
      <c r="N426" s="644"/>
      <c r="O426" s="602"/>
      <c r="P426" s="201"/>
    </row>
    <row r="427" ht="22.5" customHeight="1">
      <c r="A427" s="201"/>
      <c r="B427" s="645"/>
      <c r="C427" s="645"/>
      <c r="D427" s="645"/>
      <c r="E427" s="201"/>
      <c r="F427" s="602"/>
      <c r="G427" s="645"/>
      <c r="H427" s="645"/>
      <c r="I427" s="645"/>
      <c r="J427" s="201"/>
      <c r="K427" s="201"/>
      <c r="L427" s="644"/>
      <c r="M427" s="644"/>
      <c r="N427" s="644"/>
      <c r="O427" s="602"/>
      <c r="P427" s="201"/>
    </row>
    <row r="428" ht="22.5" customHeight="1">
      <c r="A428" s="201"/>
      <c r="B428" s="645"/>
      <c r="C428" s="645"/>
      <c r="D428" s="645"/>
      <c r="E428" s="201"/>
      <c r="F428" s="602"/>
      <c r="G428" s="645"/>
      <c r="H428" s="645"/>
      <c r="I428" s="645"/>
      <c r="J428" s="201"/>
      <c r="K428" s="201"/>
      <c r="L428" s="644"/>
      <c r="M428" s="644"/>
      <c r="N428" s="644"/>
      <c r="O428" s="602"/>
      <c r="P428" s="201"/>
    </row>
    <row r="429" ht="22.5" customHeight="1">
      <c r="A429" s="201"/>
      <c r="B429" s="645"/>
      <c r="C429" s="645"/>
      <c r="D429" s="645"/>
      <c r="E429" s="201"/>
      <c r="F429" s="602"/>
      <c r="G429" s="645"/>
      <c r="H429" s="645"/>
      <c r="I429" s="645"/>
      <c r="J429" s="201"/>
      <c r="K429" s="201"/>
      <c r="L429" s="644"/>
      <c r="M429" s="644"/>
      <c r="N429" s="644"/>
      <c r="O429" s="602"/>
      <c r="P429" s="201"/>
    </row>
    <row r="430" ht="22.5" customHeight="1">
      <c r="A430" s="201"/>
      <c r="B430" s="645"/>
      <c r="C430" s="645"/>
      <c r="D430" s="645"/>
      <c r="E430" s="201"/>
      <c r="F430" s="602"/>
      <c r="G430" s="645"/>
      <c r="H430" s="645"/>
      <c r="I430" s="645"/>
      <c r="J430" s="201"/>
      <c r="K430" s="201"/>
      <c r="L430" s="644"/>
      <c r="M430" s="644"/>
      <c r="N430" s="644"/>
      <c r="O430" s="602"/>
      <c r="P430" s="201"/>
    </row>
    <row r="431" ht="22.5" customHeight="1">
      <c r="A431" s="201"/>
      <c r="B431" s="645"/>
      <c r="C431" s="645"/>
      <c r="D431" s="645"/>
      <c r="E431" s="201"/>
      <c r="F431" s="602"/>
      <c r="G431" s="645"/>
      <c r="H431" s="645"/>
      <c r="I431" s="645"/>
      <c r="J431" s="201"/>
      <c r="K431" s="201"/>
      <c r="L431" s="644"/>
      <c r="M431" s="644"/>
      <c r="N431" s="644"/>
      <c r="O431" s="602"/>
      <c r="P431" s="201"/>
    </row>
    <row r="432" ht="22.5" customHeight="1">
      <c r="A432" s="201"/>
      <c r="B432" s="645"/>
      <c r="C432" s="645"/>
      <c r="D432" s="645"/>
      <c r="E432" s="201"/>
      <c r="F432" s="602"/>
      <c r="G432" s="645"/>
      <c r="H432" s="645"/>
      <c r="I432" s="645"/>
      <c r="J432" s="201"/>
      <c r="K432" s="201"/>
      <c r="L432" s="644"/>
      <c r="M432" s="644"/>
      <c r="N432" s="644"/>
      <c r="O432" s="602"/>
      <c r="P432" s="201"/>
    </row>
    <row r="433" ht="22.5" customHeight="1">
      <c r="A433" s="201"/>
      <c r="B433" s="645"/>
      <c r="C433" s="645"/>
      <c r="D433" s="645"/>
      <c r="E433" s="201"/>
      <c r="F433" s="602"/>
      <c r="G433" s="645"/>
      <c r="H433" s="645"/>
      <c r="I433" s="645"/>
      <c r="J433" s="201"/>
      <c r="K433" s="201"/>
      <c r="L433" s="644"/>
      <c r="M433" s="644"/>
      <c r="N433" s="644"/>
      <c r="O433" s="602"/>
      <c r="P433" s="201"/>
    </row>
    <row r="434" ht="22.5" customHeight="1">
      <c r="A434" s="201"/>
      <c r="B434" s="645"/>
      <c r="C434" s="645"/>
      <c r="D434" s="645"/>
      <c r="E434" s="201"/>
      <c r="F434" s="602"/>
      <c r="G434" s="645"/>
      <c r="H434" s="645"/>
      <c r="I434" s="645"/>
      <c r="J434" s="201"/>
      <c r="K434" s="201"/>
      <c r="L434" s="644"/>
      <c r="M434" s="644"/>
      <c r="N434" s="644"/>
      <c r="O434" s="602"/>
      <c r="P434" s="201"/>
    </row>
    <row r="435" ht="22.5" customHeight="1">
      <c r="A435" s="201"/>
      <c r="B435" s="645"/>
      <c r="C435" s="645"/>
      <c r="D435" s="645"/>
      <c r="E435" s="201"/>
      <c r="F435" s="602"/>
      <c r="G435" s="645"/>
      <c r="H435" s="645"/>
      <c r="I435" s="645"/>
      <c r="J435" s="201"/>
      <c r="K435" s="201"/>
      <c r="L435" s="644"/>
      <c r="M435" s="644"/>
      <c r="N435" s="644"/>
      <c r="O435" s="602"/>
      <c r="P435" s="201"/>
    </row>
    <row r="436" ht="22.5" customHeight="1">
      <c r="A436" s="201"/>
      <c r="B436" s="645"/>
      <c r="C436" s="645"/>
      <c r="D436" s="645"/>
      <c r="E436" s="201"/>
      <c r="F436" s="602"/>
      <c r="G436" s="645"/>
      <c r="H436" s="645"/>
      <c r="I436" s="645"/>
      <c r="J436" s="201"/>
      <c r="K436" s="201"/>
      <c r="L436" s="644"/>
      <c r="M436" s="644"/>
      <c r="N436" s="644"/>
      <c r="O436" s="602"/>
      <c r="P436" s="201"/>
    </row>
    <row r="437" ht="22.5" customHeight="1">
      <c r="A437" s="201"/>
      <c r="B437" s="645"/>
      <c r="C437" s="645"/>
      <c r="D437" s="645"/>
      <c r="E437" s="201"/>
      <c r="F437" s="602"/>
      <c r="G437" s="645"/>
      <c r="H437" s="645"/>
      <c r="I437" s="645"/>
      <c r="J437" s="201"/>
      <c r="K437" s="201"/>
      <c r="L437" s="644"/>
      <c r="M437" s="644"/>
      <c r="N437" s="644"/>
      <c r="O437" s="602"/>
      <c r="P437" s="201"/>
    </row>
    <row r="438" ht="22.5" customHeight="1">
      <c r="A438" s="201"/>
      <c r="B438" s="645"/>
      <c r="C438" s="645"/>
      <c r="D438" s="645"/>
      <c r="E438" s="201"/>
      <c r="F438" s="602"/>
      <c r="G438" s="645"/>
      <c r="H438" s="645"/>
      <c r="I438" s="645"/>
      <c r="J438" s="201"/>
      <c r="K438" s="201"/>
      <c r="L438" s="644"/>
      <c r="M438" s="644"/>
      <c r="N438" s="644"/>
      <c r="O438" s="602"/>
      <c r="P438" s="201"/>
    </row>
    <row r="439" ht="22.5" customHeight="1">
      <c r="A439" s="201"/>
      <c r="B439" s="645"/>
      <c r="C439" s="645"/>
      <c r="D439" s="645"/>
      <c r="E439" s="201"/>
      <c r="F439" s="602"/>
      <c r="G439" s="645"/>
      <c r="H439" s="645"/>
      <c r="I439" s="645"/>
      <c r="J439" s="201"/>
      <c r="K439" s="201"/>
      <c r="L439" s="644"/>
      <c r="M439" s="644"/>
      <c r="N439" s="644"/>
      <c r="O439" s="602"/>
      <c r="P439" s="201"/>
    </row>
    <row r="440" ht="22.5" customHeight="1">
      <c r="A440" s="201"/>
      <c r="B440" s="645"/>
      <c r="C440" s="645"/>
      <c r="D440" s="645"/>
      <c r="E440" s="201"/>
      <c r="F440" s="602"/>
      <c r="G440" s="645"/>
      <c r="H440" s="645"/>
      <c r="I440" s="645"/>
      <c r="J440" s="201"/>
      <c r="K440" s="201"/>
      <c r="L440" s="644"/>
      <c r="M440" s="644"/>
      <c r="N440" s="644"/>
      <c r="O440" s="602"/>
      <c r="P440" s="201"/>
    </row>
    <row r="441" ht="22.5" customHeight="1">
      <c r="A441" s="201"/>
      <c r="B441" s="645"/>
      <c r="C441" s="645"/>
      <c r="D441" s="645"/>
      <c r="E441" s="201"/>
      <c r="F441" s="602"/>
      <c r="G441" s="645"/>
      <c r="H441" s="645"/>
      <c r="I441" s="645"/>
      <c r="J441" s="201"/>
      <c r="K441" s="201"/>
      <c r="L441" s="644"/>
      <c r="M441" s="644"/>
      <c r="N441" s="644"/>
      <c r="O441" s="602"/>
      <c r="P441" s="201"/>
    </row>
    <row r="442" ht="22.5" customHeight="1">
      <c r="A442" s="201"/>
      <c r="B442" s="645"/>
      <c r="C442" s="645"/>
      <c r="D442" s="645"/>
      <c r="E442" s="201"/>
      <c r="F442" s="602"/>
      <c r="G442" s="645"/>
      <c r="H442" s="645"/>
      <c r="I442" s="645"/>
      <c r="J442" s="201"/>
      <c r="K442" s="201"/>
      <c r="L442" s="644"/>
      <c r="M442" s="644"/>
      <c r="N442" s="644"/>
      <c r="O442" s="602"/>
      <c r="P442" s="201"/>
    </row>
    <row r="443" ht="22.5" customHeight="1">
      <c r="A443" s="201"/>
      <c r="B443" s="645"/>
      <c r="C443" s="645"/>
      <c r="D443" s="645"/>
      <c r="E443" s="201"/>
      <c r="F443" s="602"/>
      <c r="G443" s="645"/>
      <c r="H443" s="645"/>
      <c r="I443" s="645"/>
      <c r="J443" s="201"/>
      <c r="K443" s="201"/>
      <c r="L443" s="644"/>
      <c r="M443" s="644"/>
      <c r="N443" s="644"/>
      <c r="O443" s="602"/>
      <c r="P443" s="201"/>
    </row>
    <row r="444" ht="22.5" customHeight="1">
      <c r="A444" s="201"/>
      <c r="B444" s="645"/>
      <c r="C444" s="645"/>
      <c r="D444" s="645"/>
      <c r="E444" s="201"/>
      <c r="F444" s="602"/>
      <c r="G444" s="645"/>
      <c r="H444" s="645"/>
      <c r="I444" s="645"/>
      <c r="J444" s="201"/>
      <c r="K444" s="201"/>
      <c r="L444" s="644"/>
      <c r="M444" s="644"/>
      <c r="N444" s="644"/>
      <c r="O444" s="602"/>
      <c r="P444" s="201"/>
    </row>
    <row r="445" ht="22.5" customHeight="1">
      <c r="A445" s="201"/>
      <c r="B445" s="645"/>
      <c r="C445" s="645"/>
      <c r="D445" s="645"/>
      <c r="E445" s="201"/>
      <c r="F445" s="602"/>
      <c r="G445" s="645"/>
      <c r="H445" s="645"/>
      <c r="I445" s="645"/>
      <c r="J445" s="201"/>
      <c r="K445" s="201"/>
      <c r="L445" s="644"/>
      <c r="M445" s="644"/>
      <c r="N445" s="644"/>
      <c r="O445" s="602"/>
      <c r="P445" s="201"/>
    </row>
    <row r="446" ht="22.5" customHeight="1">
      <c r="A446" s="201"/>
      <c r="B446" s="645"/>
      <c r="C446" s="645"/>
      <c r="D446" s="645"/>
      <c r="E446" s="201"/>
      <c r="F446" s="602"/>
      <c r="G446" s="645"/>
      <c r="H446" s="645"/>
      <c r="I446" s="645"/>
      <c r="J446" s="201"/>
      <c r="K446" s="201"/>
      <c r="L446" s="644"/>
      <c r="M446" s="644"/>
      <c r="N446" s="644"/>
      <c r="O446" s="602"/>
      <c r="P446" s="201"/>
    </row>
    <row r="447" ht="22.5" customHeight="1">
      <c r="A447" s="201"/>
      <c r="B447" s="645"/>
      <c r="C447" s="645"/>
      <c r="D447" s="645"/>
      <c r="E447" s="201"/>
      <c r="F447" s="602"/>
      <c r="G447" s="645"/>
      <c r="H447" s="645"/>
      <c r="I447" s="645"/>
      <c r="J447" s="201"/>
      <c r="K447" s="201"/>
      <c r="L447" s="644"/>
      <c r="M447" s="644"/>
      <c r="N447" s="644"/>
      <c r="O447" s="602"/>
      <c r="P447" s="201"/>
    </row>
    <row r="448" ht="22.5" customHeight="1">
      <c r="A448" s="201"/>
      <c r="B448" s="645"/>
      <c r="C448" s="645"/>
      <c r="D448" s="645"/>
      <c r="E448" s="201"/>
      <c r="F448" s="602"/>
      <c r="G448" s="645"/>
      <c r="H448" s="645"/>
      <c r="I448" s="645"/>
      <c r="J448" s="201"/>
      <c r="K448" s="201"/>
      <c r="L448" s="644"/>
      <c r="M448" s="644"/>
      <c r="N448" s="644"/>
      <c r="O448" s="602"/>
      <c r="P448" s="201"/>
    </row>
    <row r="449" ht="22.5" customHeight="1">
      <c r="A449" s="201"/>
      <c r="B449" s="645"/>
      <c r="C449" s="645"/>
      <c r="D449" s="645"/>
      <c r="E449" s="201"/>
      <c r="F449" s="602"/>
      <c r="G449" s="645"/>
      <c r="H449" s="645"/>
      <c r="I449" s="645"/>
      <c r="J449" s="201"/>
      <c r="K449" s="201"/>
      <c r="L449" s="644"/>
      <c r="M449" s="644"/>
      <c r="N449" s="644"/>
      <c r="O449" s="602"/>
      <c r="P449" s="201"/>
    </row>
    <row r="450" ht="22.5" customHeight="1">
      <c r="A450" s="201"/>
      <c r="B450" s="645"/>
      <c r="C450" s="645"/>
      <c r="D450" s="645"/>
      <c r="E450" s="201"/>
      <c r="F450" s="602"/>
      <c r="G450" s="645"/>
      <c r="H450" s="645"/>
      <c r="I450" s="645"/>
      <c r="J450" s="201"/>
      <c r="K450" s="201"/>
      <c r="L450" s="644"/>
      <c r="M450" s="644"/>
      <c r="N450" s="644"/>
      <c r="O450" s="602"/>
      <c r="P450" s="201"/>
    </row>
    <row r="451" ht="22.5" customHeight="1">
      <c r="A451" s="201"/>
      <c r="B451" s="645"/>
      <c r="C451" s="645"/>
      <c r="D451" s="645"/>
      <c r="E451" s="201"/>
      <c r="F451" s="602"/>
      <c r="G451" s="645"/>
      <c r="H451" s="645"/>
      <c r="I451" s="645"/>
      <c r="J451" s="201"/>
      <c r="K451" s="201"/>
      <c r="L451" s="644"/>
      <c r="M451" s="644"/>
      <c r="N451" s="644"/>
      <c r="O451" s="602"/>
      <c r="P451" s="201"/>
    </row>
    <row r="452" ht="22.5" customHeight="1">
      <c r="A452" s="201"/>
      <c r="B452" s="645"/>
      <c r="C452" s="645"/>
      <c r="D452" s="645"/>
      <c r="E452" s="201"/>
      <c r="F452" s="602"/>
      <c r="G452" s="645"/>
      <c r="H452" s="645"/>
      <c r="I452" s="645"/>
      <c r="J452" s="201"/>
      <c r="K452" s="201"/>
      <c r="L452" s="644"/>
      <c r="M452" s="644"/>
      <c r="N452" s="644"/>
      <c r="O452" s="602"/>
      <c r="P452" s="201"/>
    </row>
    <row r="453" ht="22.5" customHeight="1">
      <c r="A453" s="201"/>
      <c r="B453" s="645"/>
      <c r="C453" s="645"/>
      <c r="D453" s="645"/>
      <c r="E453" s="201"/>
      <c r="F453" s="602"/>
      <c r="G453" s="645"/>
      <c r="H453" s="645"/>
      <c r="I453" s="645"/>
      <c r="J453" s="201"/>
      <c r="K453" s="201"/>
      <c r="L453" s="644"/>
      <c r="M453" s="644"/>
      <c r="N453" s="644"/>
      <c r="O453" s="602"/>
      <c r="P453" s="201"/>
    </row>
    <row r="454" ht="22.5" customHeight="1">
      <c r="A454" s="201"/>
      <c r="B454" s="645"/>
      <c r="C454" s="645"/>
      <c r="D454" s="645"/>
      <c r="E454" s="201"/>
      <c r="F454" s="602"/>
      <c r="G454" s="645"/>
      <c r="H454" s="645"/>
      <c r="I454" s="645"/>
      <c r="J454" s="201"/>
      <c r="K454" s="201"/>
      <c r="L454" s="644"/>
      <c r="M454" s="644"/>
      <c r="N454" s="644"/>
      <c r="O454" s="602"/>
      <c r="P454" s="201"/>
    </row>
    <row r="455" ht="22.5" customHeight="1">
      <c r="A455" s="201"/>
      <c r="B455" s="645"/>
      <c r="C455" s="645"/>
      <c r="D455" s="645"/>
      <c r="E455" s="201"/>
      <c r="F455" s="602"/>
      <c r="G455" s="645"/>
      <c r="H455" s="645"/>
      <c r="I455" s="645"/>
      <c r="J455" s="201"/>
      <c r="K455" s="201"/>
      <c r="L455" s="644"/>
      <c r="M455" s="644"/>
      <c r="N455" s="644"/>
      <c r="O455" s="602"/>
      <c r="P455" s="201"/>
    </row>
    <row r="456" ht="22.5" customHeight="1">
      <c r="A456" s="201"/>
      <c r="B456" s="645"/>
      <c r="C456" s="645"/>
      <c r="D456" s="645"/>
      <c r="E456" s="201"/>
      <c r="F456" s="602"/>
      <c r="G456" s="645"/>
      <c r="H456" s="645"/>
      <c r="I456" s="645"/>
      <c r="J456" s="201"/>
      <c r="K456" s="201"/>
      <c r="L456" s="644"/>
      <c r="M456" s="644"/>
      <c r="N456" s="644"/>
      <c r="O456" s="602"/>
      <c r="P456" s="201"/>
    </row>
    <row r="457" ht="22.5" customHeight="1">
      <c r="A457" s="201"/>
      <c r="B457" s="645"/>
      <c r="C457" s="645"/>
      <c r="D457" s="645"/>
      <c r="E457" s="201"/>
      <c r="F457" s="602"/>
      <c r="G457" s="645"/>
      <c r="H457" s="645"/>
      <c r="I457" s="645"/>
      <c r="J457" s="201"/>
      <c r="K457" s="201"/>
      <c r="L457" s="644"/>
      <c r="M457" s="644"/>
      <c r="N457" s="644"/>
      <c r="O457" s="602"/>
      <c r="P457" s="201"/>
    </row>
    <row r="458" ht="22.5" customHeight="1">
      <c r="A458" s="201"/>
      <c r="B458" s="645"/>
      <c r="C458" s="645"/>
      <c r="D458" s="645"/>
      <c r="E458" s="201"/>
      <c r="F458" s="602"/>
      <c r="G458" s="645"/>
      <c r="H458" s="645"/>
      <c r="I458" s="645"/>
      <c r="J458" s="201"/>
      <c r="K458" s="201"/>
      <c r="L458" s="644"/>
      <c r="M458" s="644"/>
      <c r="N458" s="644"/>
      <c r="O458" s="602"/>
      <c r="P458" s="201"/>
    </row>
    <row r="459" ht="22.5" customHeight="1">
      <c r="A459" s="201"/>
      <c r="B459" s="645"/>
      <c r="C459" s="645"/>
      <c r="D459" s="645"/>
      <c r="E459" s="201"/>
      <c r="F459" s="602"/>
      <c r="G459" s="645"/>
      <c r="H459" s="645"/>
      <c r="I459" s="645"/>
      <c r="J459" s="201"/>
      <c r="K459" s="201"/>
      <c r="L459" s="644"/>
      <c r="M459" s="644"/>
      <c r="N459" s="644"/>
      <c r="O459" s="602"/>
      <c r="P459" s="201"/>
    </row>
    <row r="460" ht="22.5" customHeight="1">
      <c r="A460" s="201"/>
      <c r="B460" s="645"/>
      <c r="C460" s="645"/>
      <c r="D460" s="645"/>
      <c r="E460" s="201"/>
      <c r="F460" s="602"/>
      <c r="G460" s="645"/>
      <c r="H460" s="645"/>
      <c r="I460" s="645"/>
      <c r="J460" s="201"/>
      <c r="K460" s="201"/>
      <c r="L460" s="644"/>
      <c r="M460" s="644"/>
      <c r="N460" s="644"/>
      <c r="O460" s="602"/>
      <c r="P460" s="201"/>
    </row>
    <row r="461" ht="22.5" customHeight="1">
      <c r="A461" s="201"/>
      <c r="B461" s="645"/>
      <c r="C461" s="645"/>
      <c r="D461" s="645"/>
      <c r="E461" s="201"/>
      <c r="F461" s="602"/>
      <c r="G461" s="645"/>
      <c r="H461" s="645"/>
      <c r="I461" s="645"/>
      <c r="J461" s="201"/>
      <c r="K461" s="201"/>
      <c r="L461" s="644"/>
      <c r="M461" s="644"/>
      <c r="N461" s="644"/>
      <c r="O461" s="602"/>
      <c r="P461" s="201"/>
    </row>
    <row r="462" ht="22.5" customHeight="1">
      <c r="A462" s="201"/>
      <c r="B462" s="645"/>
      <c r="C462" s="645"/>
      <c r="D462" s="645"/>
      <c r="E462" s="201"/>
      <c r="F462" s="602"/>
      <c r="G462" s="645"/>
      <c r="H462" s="645"/>
      <c r="I462" s="645"/>
      <c r="J462" s="201"/>
      <c r="K462" s="201"/>
      <c r="L462" s="644"/>
      <c r="M462" s="644"/>
      <c r="N462" s="644"/>
      <c r="O462" s="602"/>
      <c r="P462" s="201"/>
    </row>
    <row r="463" ht="22.5" customHeight="1">
      <c r="A463" s="201"/>
      <c r="B463" s="645"/>
      <c r="C463" s="645"/>
      <c r="D463" s="645"/>
      <c r="E463" s="201"/>
      <c r="F463" s="602"/>
      <c r="G463" s="645"/>
      <c r="H463" s="645"/>
      <c r="I463" s="645"/>
      <c r="J463" s="201"/>
      <c r="K463" s="201"/>
      <c r="L463" s="644"/>
      <c r="M463" s="644"/>
      <c r="N463" s="644"/>
      <c r="O463" s="602"/>
      <c r="P463" s="201"/>
    </row>
    <row r="464" ht="22.5" customHeight="1">
      <c r="A464" s="201"/>
      <c r="B464" s="645"/>
      <c r="C464" s="645"/>
      <c r="D464" s="645"/>
      <c r="E464" s="201"/>
      <c r="F464" s="602"/>
      <c r="G464" s="645"/>
      <c r="H464" s="645"/>
      <c r="I464" s="645"/>
      <c r="J464" s="201"/>
      <c r="K464" s="201"/>
      <c r="L464" s="644"/>
      <c r="M464" s="644"/>
      <c r="N464" s="644"/>
      <c r="O464" s="602"/>
      <c r="P464" s="201"/>
    </row>
    <row r="465" ht="22.5" customHeight="1">
      <c r="A465" s="201"/>
      <c r="B465" s="645"/>
      <c r="C465" s="645"/>
      <c r="D465" s="645"/>
      <c r="E465" s="201"/>
      <c r="F465" s="602"/>
      <c r="G465" s="645"/>
      <c r="H465" s="645"/>
      <c r="I465" s="645"/>
      <c r="J465" s="201"/>
      <c r="K465" s="201"/>
      <c r="L465" s="644"/>
      <c r="M465" s="644"/>
      <c r="N465" s="644"/>
      <c r="O465" s="602"/>
      <c r="P465" s="201"/>
    </row>
    <row r="466" ht="22.5" customHeight="1">
      <c r="A466" s="201"/>
      <c r="B466" s="645"/>
      <c r="C466" s="645"/>
      <c r="D466" s="645"/>
      <c r="E466" s="201"/>
      <c r="F466" s="602"/>
      <c r="G466" s="645"/>
      <c r="H466" s="645"/>
      <c r="I466" s="645"/>
      <c r="J466" s="201"/>
      <c r="K466" s="201"/>
      <c r="L466" s="644"/>
      <c r="M466" s="644"/>
      <c r="N466" s="644"/>
      <c r="O466" s="602"/>
      <c r="P466" s="201"/>
    </row>
    <row r="467" ht="22.5" customHeight="1">
      <c r="A467" s="201"/>
      <c r="B467" s="645"/>
      <c r="C467" s="645"/>
      <c r="D467" s="645"/>
      <c r="E467" s="201"/>
      <c r="F467" s="602"/>
      <c r="G467" s="645"/>
      <c r="H467" s="645"/>
      <c r="I467" s="645"/>
      <c r="J467" s="201"/>
      <c r="K467" s="201"/>
      <c r="L467" s="644"/>
      <c r="M467" s="644"/>
      <c r="N467" s="644"/>
      <c r="O467" s="602"/>
      <c r="P467" s="201"/>
    </row>
    <row r="468" ht="22.5" customHeight="1">
      <c r="A468" s="201"/>
      <c r="B468" s="645"/>
      <c r="C468" s="645"/>
      <c r="D468" s="645"/>
      <c r="E468" s="201"/>
      <c r="F468" s="602"/>
      <c r="G468" s="645"/>
      <c r="H468" s="645"/>
      <c r="I468" s="645"/>
      <c r="J468" s="201"/>
      <c r="K468" s="201"/>
      <c r="L468" s="644"/>
      <c r="M468" s="644"/>
      <c r="N468" s="644"/>
      <c r="O468" s="602"/>
      <c r="P468" s="201"/>
    </row>
    <row r="469" ht="22.5" customHeight="1">
      <c r="A469" s="201"/>
      <c r="B469" s="645"/>
      <c r="C469" s="645"/>
      <c r="D469" s="645"/>
      <c r="E469" s="201"/>
      <c r="F469" s="602"/>
      <c r="G469" s="645"/>
      <c r="H469" s="645"/>
      <c r="I469" s="645"/>
      <c r="J469" s="201"/>
      <c r="K469" s="201"/>
      <c r="L469" s="644"/>
      <c r="M469" s="644"/>
      <c r="N469" s="644"/>
      <c r="O469" s="602"/>
      <c r="P469" s="201"/>
    </row>
    <row r="470" ht="22.5" customHeight="1">
      <c r="A470" s="201"/>
      <c r="B470" s="645"/>
      <c r="C470" s="645"/>
      <c r="D470" s="645"/>
      <c r="E470" s="201"/>
      <c r="F470" s="602"/>
      <c r="G470" s="645"/>
      <c r="H470" s="645"/>
      <c r="I470" s="645"/>
      <c r="J470" s="201"/>
      <c r="K470" s="201"/>
      <c r="L470" s="644"/>
      <c r="M470" s="644"/>
      <c r="N470" s="644"/>
      <c r="O470" s="602"/>
      <c r="P470" s="201"/>
    </row>
    <row r="471" ht="22.5" customHeight="1">
      <c r="A471" s="201"/>
      <c r="B471" s="645"/>
      <c r="C471" s="645"/>
      <c r="D471" s="645"/>
      <c r="E471" s="201"/>
      <c r="F471" s="602"/>
      <c r="G471" s="645"/>
      <c r="H471" s="645"/>
      <c r="I471" s="645"/>
      <c r="J471" s="201"/>
      <c r="K471" s="201"/>
      <c r="L471" s="644"/>
      <c r="M471" s="644"/>
      <c r="N471" s="644"/>
      <c r="O471" s="602"/>
      <c r="P471" s="201"/>
    </row>
    <row r="472" ht="22.5" customHeight="1">
      <c r="A472" s="201"/>
      <c r="B472" s="645"/>
      <c r="C472" s="645"/>
      <c r="D472" s="645"/>
      <c r="E472" s="201"/>
      <c r="F472" s="602"/>
      <c r="G472" s="645"/>
      <c r="H472" s="645"/>
      <c r="I472" s="645"/>
      <c r="J472" s="201"/>
      <c r="K472" s="201"/>
      <c r="L472" s="644"/>
      <c r="M472" s="644"/>
      <c r="N472" s="644"/>
      <c r="O472" s="602"/>
      <c r="P472" s="201"/>
    </row>
    <row r="473" ht="22.5" customHeight="1">
      <c r="A473" s="201"/>
      <c r="B473" s="645"/>
      <c r="C473" s="645"/>
      <c r="D473" s="645"/>
      <c r="E473" s="201"/>
      <c r="F473" s="602"/>
      <c r="G473" s="645"/>
      <c r="H473" s="645"/>
      <c r="I473" s="645"/>
      <c r="J473" s="201"/>
      <c r="K473" s="201"/>
      <c r="L473" s="644"/>
      <c r="M473" s="644"/>
      <c r="N473" s="644"/>
      <c r="O473" s="602"/>
      <c r="P473" s="201"/>
    </row>
    <row r="474" ht="22.5" customHeight="1">
      <c r="A474" s="201"/>
      <c r="B474" s="645"/>
      <c r="C474" s="645"/>
      <c r="D474" s="645"/>
      <c r="E474" s="201"/>
      <c r="F474" s="602"/>
      <c r="G474" s="645"/>
      <c r="H474" s="645"/>
      <c r="I474" s="645"/>
      <c r="J474" s="201"/>
      <c r="K474" s="201"/>
      <c r="L474" s="644"/>
      <c r="M474" s="644"/>
      <c r="N474" s="644"/>
      <c r="O474" s="602"/>
      <c r="P474" s="201"/>
    </row>
    <row r="475" ht="22.5" customHeight="1">
      <c r="A475" s="201"/>
      <c r="B475" s="645"/>
      <c r="C475" s="645"/>
      <c r="D475" s="645"/>
      <c r="E475" s="201"/>
      <c r="F475" s="602"/>
      <c r="G475" s="645"/>
      <c r="H475" s="645"/>
      <c r="I475" s="645"/>
      <c r="J475" s="201"/>
      <c r="K475" s="201"/>
      <c r="L475" s="644"/>
      <c r="M475" s="644"/>
      <c r="N475" s="644"/>
      <c r="O475" s="602"/>
      <c r="P475" s="201"/>
    </row>
    <row r="476" ht="22.5" customHeight="1">
      <c r="A476" s="201"/>
      <c r="B476" s="645"/>
      <c r="C476" s="645"/>
      <c r="D476" s="645"/>
      <c r="E476" s="201"/>
      <c r="F476" s="602"/>
      <c r="G476" s="645"/>
      <c r="H476" s="645"/>
      <c r="I476" s="645"/>
      <c r="J476" s="201"/>
      <c r="K476" s="201"/>
      <c r="L476" s="644"/>
      <c r="M476" s="644"/>
      <c r="N476" s="644"/>
      <c r="O476" s="602"/>
      <c r="P476" s="201"/>
    </row>
    <row r="477" ht="22.5" customHeight="1">
      <c r="A477" s="201"/>
      <c r="B477" s="645"/>
      <c r="C477" s="645"/>
      <c r="D477" s="645"/>
      <c r="E477" s="201"/>
      <c r="F477" s="602"/>
      <c r="G477" s="645"/>
      <c r="H477" s="645"/>
      <c r="I477" s="645"/>
      <c r="J477" s="201"/>
      <c r="K477" s="201"/>
      <c r="L477" s="644"/>
      <c r="M477" s="644"/>
      <c r="N477" s="644"/>
      <c r="O477" s="602"/>
      <c r="P477" s="201"/>
    </row>
    <row r="478" ht="22.5" customHeight="1">
      <c r="A478" s="201"/>
      <c r="B478" s="645"/>
      <c r="C478" s="645"/>
      <c r="D478" s="645"/>
      <c r="E478" s="201"/>
      <c r="F478" s="602"/>
      <c r="G478" s="645"/>
      <c r="H478" s="645"/>
      <c r="I478" s="645"/>
      <c r="J478" s="201"/>
      <c r="K478" s="201"/>
      <c r="L478" s="644"/>
      <c r="M478" s="644"/>
      <c r="N478" s="644"/>
      <c r="O478" s="602"/>
      <c r="P478" s="201"/>
    </row>
    <row r="479" ht="22.5" customHeight="1">
      <c r="A479" s="201"/>
      <c r="B479" s="645"/>
      <c r="C479" s="645"/>
      <c r="D479" s="645"/>
      <c r="E479" s="201"/>
      <c r="F479" s="602"/>
      <c r="G479" s="645"/>
      <c r="H479" s="645"/>
      <c r="I479" s="645"/>
      <c r="J479" s="201"/>
      <c r="K479" s="201"/>
      <c r="L479" s="644"/>
      <c r="M479" s="644"/>
      <c r="N479" s="644"/>
      <c r="O479" s="602"/>
      <c r="P479" s="201"/>
    </row>
    <row r="480" ht="22.5" customHeight="1">
      <c r="A480" s="201"/>
      <c r="B480" s="645"/>
      <c r="C480" s="645"/>
      <c r="D480" s="645"/>
      <c r="E480" s="201"/>
      <c r="F480" s="602"/>
      <c r="G480" s="645"/>
      <c r="H480" s="645"/>
      <c r="I480" s="645"/>
      <c r="J480" s="201"/>
      <c r="K480" s="201"/>
      <c r="L480" s="644"/>
      <c r="M480" s="644"/>
      <c r="N480" s="644"/>
      <c r="O480" s="602"/>
      <c r="P480" s="201"/>
    </row>
    <row r="481" ht="22.5" customHeight="1">
      <c r="A481" s="201"/>
      <c r="B481" s="645"/>
      <c r="C481" s="645"/>
      <c r="D481" s="645"/>
      <c r="E481" s="201"/>
      <c r="F481" s="602"/>
      <c r="G481" s="645"/>
      <c r="H481" s="645"/>
      <c r="I481" s="645"/>
      <c r="J481" s="201"/>
      <c r="K481" s="201"/>
      <c r="L481" s="644"/>
      <c r="M481" s="644"/>
      <c r="N481" s="644"/>
      <c r="O481" s="602"/>
      <c r="P481" s="201"/>
    </row>
    <row r="482" ht="22.5" customHeight="1">
      <c r="A482" s="201"/>
      <c r="B482" s="645"/>
      <c r="C482" s="645"/>
      <c r="D482" s="645"/>
      <c r="E482" s="201"/>
      <c r="F482" s="602"/>
      <c r="G482" s="645"/>
      <c r="H482" s="645"/>
      <c r="I482" s="645"/>
      <c r="J482" s="201"/>
      <c r="K482" s="201"/>
      <c r="L482" s="644"/>
      <c r="M482" s="644"/>
      <c r="N482" s="644"/>
      <c r="O482" s="602"/>
      <c r="P482" s="201"/>
    </row>
    <row r="483" ht="22.5" customHeight="1">
      <c r="A483" s="201"/>
      <c r="B483" s="645"/>
      <c r="C483" s="645"/>
      <c r="D483" s="645"/>
      <c r="E483" s="201"/>
      <c r="F483" s="602"/>
      <c r="G483" s="645"/>
      <c r="H483" s="645"/>
      <c r="I483" s="645"/>
      <c r="J483" s="201"/>
      <c r="K483" s="201"/>
      <c r="L483" s="644"/>
      <c r="M483" s="644"/>
      <c r="N483" s="644"/>
      <c r="O483" s="602"/>
      <c r="P483" s="201"/>
    </row>
    <row r="484" ht="22.5" customHeight="1">
      <c r="A484" s="201"/>
      <c r="B484" s="645"/>
      <c r="C484" s="645"/>
      <c r="D484" s="645"/>
      <c r="E484" s="201"/>
      <c r="F484" s="602"/>
      <c r="G484" s="645"/>
      <c r="H484" s="645"/>
      <c r="I484" s="645"/>
      <c r="J484" s="201"/>
      <c r="K484" s="201"/>
      <c r="L484" s="644"/>
      <c r="M484" s="644"/>
      <c r="N484" s="644"/>
      <c r="O484" s="602"/>
      <c r="P484" s="201"/>
    </row>
    <row r="485" ht="22.5" customHeight="1">
      <c r="A485" s="201"/>
      <c r="B485" s="645"/>
      <c r="C485" s="645"/>
      <c r="D485" s="645"/>
      <c r="E485" s="201"/>
      <c r="F485" s="602"/>
      <c r="G485" s="645"/>
      <c r="H485" s="645"/>
      <c r="I485" s="645"/>
      <c r="J485" s="201"/>
      <c r="K485" s="201"/>
      <c r="L485" s="644"/>
      <c r="M485" s="644"/>
      <c r="N485" s="644"/>
      <c r="O485" s="602"/>
      <c r="P485" s="201"/>
    </row>
    <row r="486" ht="22.5" customHeight="1">
      <c r="A486" s="201"/>
      <c r="B486" s="645"/>
      <c r="C486" s="645"/>
      <c r="D486" s="645"/>
      <c r="E486" s="201"/>
      <c r="F486" s="602"/>
      <c r="G486" s="645"/>
      <c r="H486" s="645"/>
      <c r="I486" s="645"/>
      <c r="J486" s="201"/>
      <c r="K486" s="201"/>
      <c r="L486" s="644"/>
      <c r="M486" s="644"/>
      <c r="N486" s="644"/>
      <c r="O486" s="602"/>
      <c r="P486" s="201"/>
    </row>
    <row r="487" ht="22.5" customHeight="1">
      <c r="A487" s="201"/>
      <c r="B487" s="645"/>
      <c r="C487" s="645"/>
      <c r="D487" s="645"/>
      <c r="E487" s="201"/>
      <c r="F487" s="602"/>
      <c r="G487" s="645"/>
      <c r="H487" s="645"/>
      <c r="I487" s="645"/>
      <c r="J487" s="201"/>
      <c r="K487" s="201"/>
      <c r="L487" s="644"/>
      <c r="M487" s="644"/>
      <c r="N487" s="644"/>
      <c r="O487" s="602"/>
      <c r="P487" s="201"/>
    </row>
    <row r="488" ht="22.5" customHeight="1">
      <c r="A488" s="201"/>
      <c r="B488" s="645"/>
      <c r="C488" s="645"/>
      <c r="D488" s="645"/>
      <c r="E488" s="201"/>
      <c r="F488" s="602"/>
      <c r="G488" s="645"/>
      <c r="H488" s="645"/>
      <c r="I488" s="645"/>
      <c r="J488" s="201"/>
      <c r="K488" s="201"/>
      <c r="L488" s="644"/>
      <c r="M488" s="644"/>
      <c r="N488" s="644"/>
      <c r="O488" s="602"/>
      <c r="P488" s="201"/>
    </row>
    <row r="489" ht="22.5" customHeight="1">
      <c r="A489" s="201"/>
      <c r="B489" s="645"/>
      <c r="C489" s="645"/>
      <c r="D489" s="645"/>
      <c r="E489" s="201"/>
      <c r="F489" s="602"/>
      <c r="G489" s="645"/>
      <c r="H489" s="645"/>
      <c r="I489" s="645"/>
      <c r="J489" s="201"/>
      <c r="K489" s="201"/>
      <c r="L489" s="644"/>
      <c r="M489" s="644"/>
      <c r="N489" s="644"/>
      <c r="O489" s="602"/>
      <c r="P489" s="201"/>
    </row>
    <row r="490" ht="22.5" customHeight="1">
      <c r="A490" s="201"/>
      <c r="B490" s="645"/>
      <c r="C490" s="645"/>
      <c r="D490" s="645"/>
      <c r="E490" s="201"/>
      <c r="F490" s="602"/>
      <c r="G490" s="645"/>
      <c r="H490" s="645"/>
      <c r="I490" s="645"/>
      <c r="J490" s="201"/>
      <c r="K490" s="201"/>
      <c r="L490" s="644"/>
      <c r="M490" s="644"/>
      <c r="N490" s="644"/>
      <c r="O490" s="602"/>
      <c r="P490" s="201"/>
    </row>
    <row r="491" ht="22.5" customHeight="1">
      <c r="A491" s="201"/>
      <c r="B491" s="645"/>
      <c r="C491" s="645"/>
      <c r="D491" s="645"/>
      <c r="E491" s="201"/>
      <c r="F491" s="602"/>
      <c r="G491" s="645"/>
      <c r="H491" s="645"/>
      <c r="I491" s="645"/>
      <c r="J491" s="201"/>
      <c r="K491" s="201"/>
      <c r="L491" s="644"/>
      <c r="M491" s="644"/>
      <c r="N491" s="644"/>
      <c r="O491" s="602"/>
      <c r="P491" s="201"/>
    </row>
    <row r="492" ht="22.5" customHeight="1">
      <c r="A492" s="201"/>
      <c r="B492" s="645"/>
      <c r="C492" s="645"/>
      <c r="D492" s="645"/>
      <c r="E492" s="201"/>
      <c r="F492" s="602"/>
      <c r="G492" s="645"/>
      <c r="H492" s="645"/>
      <c r="I492" s="645"/>
      <c r="J492" s="201"/>
      <c r="K492" s="201"/>
      <c r="L492" s="644"/>
      <c r="M492" s="644"/>
      <c r="N492" s="644"/>
      <c r="O492" s="602"/>
      <c r="P492" s="201"/>
    </row>
    <row r="493" ht="22.5" customHeight="1">
      <c r="A493" s="201"/>
      <c r="B493" s="645"/>
      <c r="C493" s="645"/>
      <c r="D493" s="645"/>
      <c r="E493" s="201"/>
      <c r="F493" s="602"/>
      <c r="G493" s="645"/>
      <c r="H493" s="645"/>
      <c r="I493" s="645"/>
      <c r="J493" s="201"/>
      <c r="K493" s="201"/>
      <c r="L493" s="644"/>
      <c r="M493" s="644"/>
      <c r="N493" s="644"/>
      <c r="O493" s="602"/>
      <c r="P493" s="201"/>
    </row>
    <row r="494" ht="22.5" customHeight="1">
      <c r="A494" s="201"/>
      <c r="B494" s="645"/>
      <c r="C494" s="645"/>
      <c r="D494" s="645"/>
      <c r="E494" s="201"/>
      <c r="F494" s="602"/>
      <c r="G494" s="645"/>
      <c r="H494" s="645"/>
      <c r="I494" s="645"/>
      <c r="J494" s="201"/>
      <c r="K494" s="201"/>
      <c r="L494" s="644"/>
      <c r="M494" s="644"/>
      <c r="N494" s="644"/>
      <c r="O494" s="602"/>
      <c r="P494" s="201"/>
    </row>
    <row r="495" ht="22.5" customHeight="1">
      <c r="A495" s="201"/>
      <c r="B495" s="645"/>
      <c r="C495" s="645"/>
      <c r="D495" s="645"/>
      <c r="E495" s="201"/>
      <c r="F495" s="602"/>
      <c r="G495" s="645"/>
      <c r="H495" s="645"/>
      <c r="I495" s="645"/>
      <c r="J495" s="201"/>
      <c r="K495" s="201"/>
      <c r="L495" s="644"/>
      <c r="M495" s="644"/>
      <c r="N495" s="644"/>
      <c r="O495" s="602"/>
      <c r="P495" s="201"/>
    </row>
    <row r="496" ht="22.5" customHeight="1">
      <c r="A496" s="201"/>
      <c r="B496" s="645"/>
      <c r="C496" s="645"/>
      <c r="D496" s="645"/>
      <c r="E496" s="201"/>
      <c r="F496" s="602"/>
      <c r="G496" s="645"/>
      <c r="H496" s="645"/>
      <c r="I496" s="645"/>
      <c r="J496" s="201"/>
      <c r="K496" s="201"/>
      <c r="L496" s="644"/>
      <c r="M496" s="644"/>
      <c r="N496" s="644"/>
      <c r="O496" s="602"/>
      <c r="P496" s="201"/>
    </row>
    <row r="497" ht="22.5" customHeight="1">
      <c r="A497" s="201"/>
      <c r="B497" s="645"/>
      <c r="C497" s="645"/>
      <c r="D497" s="645"/>
      <c r="E497" s="201"/>
      <c r="F497" s="602"/>
      <c r="G497" s="645"/>
      <c r="H497" s="645"/>
      <c r="I497" s="645"/>
      <c r="J497" s="201"/>
      <c r="K497" s="201"/>
      <c r="L497" s="644"/>
      <c r="M497" s="644"/>
      <c r="N497" s="644"/>
      <c r="O497" s="602"/>
      <c r="P497" s="201"/>
    </row>
    <row r="498" ht="22.5" customHeight="1">
      <c r="A498" s="201"/>
      <c r="B498" s="645"/>
      <c r="C498" s="645"/>
      <c r="D498" s="645"/>
      <c r="E498" s="201"/>
      <c r="F498" s="602"/>
      <c r="G498" s="645"/>
      <c r="H498" s="645"/>
      <c r="I498" s="645"/>
      <c r="J498" s="201"/>
      <c r="K498" s="201"/>
      <c r="L498" s="644"/>
      <c r="M498" s="644"/>
      <c r="N498" s="644"/>
      <c r="O498" s="602"/>
      <c r="P498" s="201"/>
    </row>
    <row r="499" ht="22.5" customHeight="1">
      <c r="A499" s="201"/>
      <c r="B499" s="645"/>
      <c r="C499" s="645"/>
      <c r="D499" s="645"/>
      <c r="E499" s="201"/>
      <c r="F499" s="602"/>
      <c r="G499" s="645"/>
      <c r="H499" s="645"/>
      <c r="I499" s="645"/>
      <c r="J499" s="201"/>
      <c r="K499" s="201"/>
      <c r="L499" s="644"/>
      <c r="M499" s="644"/>
      <c r="N499" s="644"/>
      <c r="O499" s="602"/>
      <c r="P499" s="201"/>
    </row>
    <row r="500" ht="22.5" customHeight="1">
      <c r="A500" s="201"/>
      <c r="B500" s="645"/>
      <c r="C500" s="645"/>
      <c r="D500" s="645"/>
      <c r="E500" s="201"/>
      <c r="F500" s="602"/>
      <c r="G500" s="645"/>
      <c r="H500" s="645"/>
      <c r="I500" s="645"/>
      <c r="J500" s="201"/>
      <c r="K500" s="201"/>
      <c r="L500" s="644"/>
      <c r="M500" s="644"/>
      <c r="N500" s="644"/>
      <c r="O500" s="602"/>
      <c r="P500" s="201"/>
    </row>
    <row r="501" ht="22.5" customHeight="1">
      <c r="A501" s="201"/>
      <c r="B501" s="645"/>
      <c r="C501" s="645"/>
      <c r="D501" s="645"/>
      <c r="E501" s="201"/>
      <c r="F501" s="602"/>
      <c r="G501" s="645"/>
      <c r="H501" s="645"/>
      <c r="I501" s="645"/>
      <c r="J501" s="201"/>
      <c r="K501" s="201"/>
      <c r="L501" s="644"/>
      <c r="M501" s="644"/>
      <c r="N501" s="644"/>
      <c r="O501" s="602"/>
      <c r="P501" s="201"/>
    </row>
    <row r="502" ht="22.5" customHeight="1">
      <c r="A502" s="201"/>
      <c r="B502" s="645"/>
      <c r="C502" s="645"/>
      <c r="D502" s="645"/>
      <c r="E502" s="201"/>
      <c r="F502" s="602"/>
      <c r="G502" s="645"/>
      <c r="H502" s="645"/>
      <c r="I502" s="645"/>
      <c r="J502" s="201"/>
      <c r="K502" s="201"/>
      <c r="L502" s="644"/>
      <c r="M502" s="644"/>
      <c r="N502" s="644"/>
      <c r="O502" s="602"/>
      <c r="P502" s="201"/>
    </row>
    <row r="503" ht="22.5" customHeight="1">
      <c r="A503" s="201"/>
      <c r="B503" s="645"/>
      <c r="C503" s="645"/>
      <c r="D503" s="645"/>
      <c r="E503" s="201"/>
      <c r="F503" s="602"/>
      <c r="G503" s="645"/>
      <c r="H503" s="645"/>
      <c r="I503" s="645"/>
      <c r="J503" s="201"/>
      <c r="K503" s="201"/>
      <c r="L503" s="644"/>
      <c r="M503" s="644"/>
      <c r="N503" s="644"/>
      <c r="O503" s="602"/>
      <c r="P503" s="201"/>
    </row>
    <row r="504" ht="22.5" customHeight="1">
      <c r="A504" s="201"/>
      <c r="B504" s="645"/>
      <c r="C504" s="645"/>
      <c r="D504" s="645"/>
      <c r="E504" s="201"/>
      <c r="F504" s="602"/>
      <c r="G504" s="645"/>
      <c r="H504" s="645"/>
      <c r="I504" s="645"/>
      <c r="J504" s="201"/>
      <c r="K504" s="201"/>
      <c r="L504" s="644"/>
      <c r="M504" s="644"/>
      <c r="N504" s="644"/>
      <c r="O504" s="602"/>
      <c r="P504" s="201"/>
    </row>
    <row r="505" ht="22.5" customHeight="1">
      <c r="A505" s="201"/>
      <c r="B505" s="645"/>
      <c r="C505" s="645"/>
      <c r="D505" s="645"/>
      <c r="E505" s="201"/>
      <c r="F505" s="602"/>
      <c r="G505" s="645"/>
      <c r="H505" s="645"/>
      <c r="I505" s="645"/>
      <c r="J505" s="201"/>
      <c r="K505" s="201"/>
      <c r="L505" s="644"/>
      <c r="M505" s="644"/>
      <c r="N505" s="644"/>
      <c r="O505" s="602"/>
      <c r="P505" s="201"/>
    </row>
    <row r="506" ht="22.5" customHeight="1">
      <c r="A506" s="201"/>
      <c r="B506" s="645"/>
      <c r="C506" s="645"/>
      <c r="D506" s="645"/>
      <c r="E506" s="201"/>
      <c r="F506" s="602"/>
      <c r="G506" s="645"/>
      <c r="H506" s="645"/>
      <c r="I506" s="645"/>
      <c r="J506" s="201"/>
      <c r="K506" s="201"/>
      <c r="L506" s="644"/>
      <c r="M506" s="644"/>
      <c r="N506" s="644"/>
      <c r="O506" s="602"/>
      <c r="P506" s="201"/>
    </row>
    <row r="507" ht="22.5" customHeight="1">
      <c r="A507" s="201"/>
      <c r="B507" s="645"/>
      <c r="C507" s="645"/>
      <c r="D507" s="645"/>
      <c r="E507" s="201"/>
      <c r="F507" s="602"/>
      <c r="G507" s="645"/>
      <c r="H507" s="645"/>
      <c r="I507" s="645"/>
      <c r="J507" s="201"/>
      <c r="K507" s="201"/>
      <c r="L507" s="644"/>
      <c r="M507" s="644"/>
      <c r="N507" s="644"/>
      <c r="O507" s="602"/>
      <c r="P507" s="201"/>
    </row>
    <row r="508" ht="22.5" customHeight="1">
      <c r="A508" s="201"/>
      <c r="B508" s="645"/>
      <c r="C508" s="645"/>
      <c r="D508" s="645"/>
      <c r="E508" s="201"/>
      <c r="F508" s="602"/>
      <c r="G508" s="645"/>
      <c r="H508" s="645"/>
      <c r="I508" s="645"/>
      <c r="J508" s="201"/>
      <c r="K508" s="201"/>
      <c r="L508" s="644"/>
      <c r="M508" s="644"/>
      <c r="N508" s="644"/>
      <c r="O508" s="602"/>
      <c r="P508" s="201"/>
    </row>
    <row r="509" ht="22.5" customHeight="1">
      <c r="A509" s="201"/>
      <c r="B509" s="645"/>
      <c r="C509" s="645"/>
      <c r="D509" s="645"/>
      <c r="E509" s="201"/>
      <c r="F509" s="602"/>
      <c r="G509" s="645"/>
      <c r="H509" s="645"/>
      <c r="I509" s="645"/>
      <c r="J509" s="201"/>
      <c r="K509" s="201"/>
      <c r="L509" s="644"/>
      <c r="M509" s="644"/>
      <c r="N509" s="644"/>
      <c r="O509" s="602"/>
      <c r="P509" s="201"/>
    </row>
    <row r="510" ht="22.5" customHeight="1">
      <c r="A510" s="201"/>
      <c r="B510" s="645"/>
      <c r="C510" s="645"/>
      <c r="D510" s="645"/>
      <c r="E510" s="201"/>
      <c r="F510" s="602"/>
      <c r="G510" s="645"/>
      <c r="H510" s="645"/>
      <c r="I510" s="645"/>
      <c r="J510" s="201"/>
      <c r="K510" s="201"/>
      <c r="L510" s="644"/>
      <c r="M510" s="644"/>
      <c r="N510" s="644"/>
      <c r="O510" s="602"/>
      <c r="P510" s="201"/>
    </row>
    <row r="511" ht="22.5" customHeight="1">
      <c r="A511" s="201"/>
      <c r="B511" s="645"/>
      <c r="C511" s="645"/>
      <c r="D511" s="645"/>
      <c r="E511" s="201"/>
      <c r="F511" s="602"/>
      <c r="G511" s="645"/>
      <c r="H511" s="645"/>
      <c r="I511" s="645"/>
      <c r="J511" s="201"/>
      <c r="K511" s="201"/>
      <c r="L511" s="644"/>
      <c r="M511" s="644"/>
      <c r="N511" s="644"/>
      <c r="O511" s="602"/>
      <c r="P511" s="201"/>
    </row>
    <row r="512" ht="22.5" customHeight="1">
      <c r="A512" s="201"/>
      <c r="B512" s="645"/>
      <c r="C512" s="645"/>
      <c r="D512" s="645"/>
      <c r="E512" s="201"/>
      <c r="F512" s="602"/>
      <c r="G512" s="645"/>
      <c r="H512" s="645"/>
      <c r="I512" s="645"/>
      <c r="J512" s="201"/>
      <c r="K512" s="201"/>
      <c r="L512" s="644"/>
      <c r="M512" s="644"/>
      <c r="N512" s="644"/>
      <c r="O512" s="602"/>
      <c r="P512" s="201"/>
    </row>
    <row r="513" ht="22.5" customHeight="1">
      <c r="A513" s="201"/>
      <c r="B513" s="645"/>
      <c r="C513" s="645"/>
      <c r="D513" s="645"/>
      <c r="E513" s="201"/>
      <c r="F513" s="602"/>
      <c r="G513" s="645"/>
      <c r="H513" s="645"/>
      <c r="I513" s="645"/>
      <c r="J513" s="201"/>
      <c r="K513" s="201"/>
      <c r="L513" s="644"/>
      <c r="M513" s="644"/>
      <c r="N513" s="644"/>
      <c r="O513" s="602"/>
      <c r="P513" s="201"/>
    </row>
    <row r="514" ht="22.5" customHeight="1">
      <c r="A514" s="201"/>
      <c r="B514" s="645"/>
      <c r="C514" s="645"/>
      <c r="D514" s="645"/>
      <c r="E514" s="201"/>
      <c r="F514" s="602"/>
      <c r="G514" s="645"/>
      <c r="H514" s="645"/>
      <c r="I514" s="645"/>
      <c r="J514" s="201"/>
      <c r="K514" s="201"/>
      <c r="L514" s="644"/>
      <c r="M514" s="644"/>
      <c r="N514" s="644"/>
      <c r="O514" s="602"/>
      <c r="P514" s="201"/>
    </row>
    <row r="515" ht="22.5" customHeight="1">
      <c r="A515" s="201"/>
      <c r="B515" s="645"/>
      <c r="C515" s="645"/>
      <c r="D515" s="645"/>
      <c r="E515" s="201"/>
      <c r="F515" s="602"/>
      <c r="G515" s="645"/>
      <c r="H515" s="645"/>
      <c r="I515" s="645"/>
      <c r="J515" s="201"/>
      <c r="K515" s="201"/>
      <c r="L515" s="644"/>
      <c r="M515" s="644"/>
      <c r="N515" s="644"/>
      <c r="O515" s="602"/>
      <c r="P515" s="201"/>
    </row>
    <row r="516" ht="22.5" customHeight="1">
      <c r="A516" s="201"/>
      <c r="B516" s="645"/>
      <c r="C516" s="645"/>
      <c r="D516" s="645"/>
      <c r="E516" s="201"/>
      <c r="F516" s="602"/>
      <c r="G516" s="645"/>
      <c r="H516" s="645"/>
      <c r="I516" s="645"/>
      <c r="J516" s="201"/>
      <c r="K516" s="201"/>
      <c r="L516" s="644"/>
      <c r="M516" s="644"/>
      <c r="N516" s="644"/>
      <c r="O516" s="602"/>
      <c r="P516" s="201"/>
    </row>
    <row r="517" ht="22.5" customHeight="1">
      <c r="A517" s="201"/>
      <c r="B517" s="645"/>
      <c r="C517" s="645"/>
      <c r="D517" s="645"/>
      <c r="E517" s="201"/>
      <c r="F517" s="602"/>
      <c r="G517" s="645"/>
      <c r="H517" s="645"/>
      <c r="I517" s="645"/>
      <c r="J517" s="201"/>
      <c r="K517" s="201"/>
      <c r="L517" s="644"/>
      <c r="M517" s="644"/>
      <c r="N517" s="644"/>
      <c r="O517" s="602"/>
      <c r="P517" s="201"/>
    </row>
    <row r="518" ht="22.5" customHeight="1">
      <c r="A518" s="201"/>
      <c r="B518" s="645"/>
      <c r="C518" s="645"/>
      <c r="D518" s="645"/>
      <c r="E518" s="201"/>
      <c r="F518" s="602"/>
      <c r="G518" s="645"/>
      <c r="H518" s="645"/>
      <c r="I518" s="645"/>
      <c r="J518" s="201"/>
      <c r="K518" s="201"/>
      <c r="L518" s="644"/>
      <c r="M518" s="644"/>
      <c r="N518" s="644"/>
      <c r="O518" s="602"/>
      <c r="P518" s="201"/>
    </row>
    <row r="519" ht="22.5" customHeight="1">
      <c r="A519" s="201"/>
      <c r="B519" s="645"/>
      <c r="C519" s="645"/>
      <c r="D519" s="645"/>
      <c r="E519" s="201"/>
      <c r="F519" s="602"/>
      <c r="G519" s="645"/>
      <c r="H519" s="645"/>
      <c r="I519" s="645"/>
      <c r="J519" s="201"/>
      <c r="K519" s="201"/>
      <c r="L519" s="644"/>
      <c r="M519" s="644"/>
      <c r="N519" s="644"/>
      <c r="O519" s="602"/>
      <c r="P519" s="201"/>
    </row>
    <row r="520" ht="22.5" customHeight="1">
      <c r="A520" s="201"/>
      <c r="B520" s="645"/>
      <c r="C520" s="645"/>
      <c r="D520" s="645"/>
      <c r="E520" s="201"/>
      <c r="F520" s="602"/>
      <c r="G520" s="645"/>
      <c r="H520" s="645"/>
      <c r="I520" s="645"/>
      <c r="J520" s="201"/>
      <c r="K520" s="201"/>
      <c r="L520" s="644"/>
      <c r="M520" s="644"/>
      <c r="N520" s="644"/>
      <c r="O520" s="602"/>
      <c r="P520" s="201"/>
    </row>
    <row r="521" ht="22.5" customHeight="1">
      <c r="A521" s="201"/>
      <c r="B521" s="645"/>
      <c r="C521" s="645"/>
      <c r="D521" s="645"/>
      <c r="E521" s="201"/>
      <c r="F521" s="602"/>
      <c r="G521" s="645"/>
      <c r="H521" s="645"/>
      <c r="I521" s="645"/>
      <c r="J521" s="201"/>
      <c r="K521" s="201"/>
      <c r="L521" s="644"/>
      <c r="M521" s="644"/>
      <c r="N521" s="644"/>
      <c r="O521" s="602"/>
      <c r="P521" s="201"/>
    </row>
    <row r="522" ht="22.5" customHeight="1">
      <c r="A522" s="201"/>
      <c r="B522" s="645"/>
      <c r="C522" s="645"/>
      <c r="D522" s="645"/>
      <c r="E522" s="201"/>
      <c r="F522" s="602"/>
      <c r="G522" s="645"/>
      <c r="H522" s="645"/>
      <c r="I522" s="645"/>
      <c r="J522" s="201"/>
      <c r="K522" s="201"/>
      <c r="L522" s="644"/>
      <c r="M522" s="644"/>
      <c r="N522" s="644"/>
      <c r="O522" s="602"/>
      <c r="P522" s="201"/>
    </row>
    <row r="523" ht="22.5" customHeight="1">
      <c r="A523" s="201"/>
      <c r="B523" s="645"/>
      <c r="C523" s="645"/>
      <c r="D523" s="645"/>
      <c r="E523" s="201"/>
      <c r="F523" s="602"/>
      <c r="G523" s="645"/>
      <c r="H523" s="645"/>
      <c r="I523" s="645"/>
      <c r="J523" s="201"/>
      <c r="K523" s="201"/>
      <c r="L523" s="644"/>
      <c r="M523" s="644"/>
      <c r="N523" s="644"/>
      <c r="O523" s="602"/>
      <c r="P523" s="201"/>
    </row>
    <row r="524" ht="22.5" customHeight="1">
      <c r="A524" s="201"/>
      <c r="B524" s="645"/>
      <c r="C524" s="645"/>
      <c r="D524" s="645"/>
      <c r="E524" s="201"/>
      <c r="F524" s="602"/>
      <c r="G524" s="645"/>
      <c r="H524" s="645"/>
      <c r="I524" s="645"/>
      <c r="J524" s="201"/>
      <c r="K524" s="201"/>
      <c r="L524" s="644"/>
      <c r="M524" s="644"/>
      <c r="N524" s="644"/>
      <c r="O524" s="602"/>
      <c r="P524" s="201"/>
    </row>
    <row r="525" ht="22.5" customHeight="1">
      <c r="A525" s="201"/>
      <c r="B525" s="645"/>
      <c r="C525" s="645"/>
      <c r="D525" s="645"/>
      <c r="E525" s="201"/>
      <c r="F525" s="602"/>
      <c r="G525" s="645"/>
      <c r="H525" s="645"/>
      <c r="I525" s="645"/>
      <c r="J525" s="201"/>
      <c r="K525" s="201"/>
      <c r="L525" s="644"/>
      <c r="M525" s="644"/>
      <c r="N525" s="644"/>
      <c r="O525" s="602"/>
      <c r="P525" s="201"/>
    </row>
    <row r="526" ht="22.5" customHeight="1">
      <c r="A526" s="201"/>
      <c r="B526" s="645"/>
      <c r="C526" s="645"/>
      <c r="D526" s="645"/>
      <c r="E526" s="201"/>
      <c r="F526" s="602"/>
      <c r="G526" s="645"/>
      <c r="H526" s="645"/>
      <c r="I526" s="645"/>
      <c r="J526" s="201"/>
      <c r="K526" s="201"/>
      <c r="L526" s="644"/>
      <c r="M526" s="644"/>
      <c r="N526" s="644"/>
      <c r="O526" s="602"/>
      <c r="P526" s="201"/>
    </row>
    <row r="527" ht="22.5" customHeight="1">
      <c r="A527" s="201"/>
      <c r="B527" s="645"/>
      <c r="C527" s="645"/>
      <c r="D527" s="645"/>
      <c r="E527" s="201"/>
      <c r="F527" s="602"/>
      <c r="G527" s="645"/>
      <c r="H527" s="645"/>
      <c r="I527" s="645"/>
      <c r="J527" s="201"/>
      <c r="K527" s="201"/>
      <c r="L527" s="644"/>
      <c r="M527" s="644"/>
      <c r="N527" s="644"/>
      <c r="O527" s="602"/>
      <c r="P527" s="201"/>
    </row>
    <row r="528" ht="22.5" customHeight="1">
      <c r="A528" s="201"/>
      <c r="B528" s="645"/>
      <c r="C528" s="645"/>
      <c r="D528" s="645"/>
      <c r="E528" s="201"/>
      <c r="F528" s="602"/>
      <c r="G528" s="645"/>
      <c r="H528" s="645"/>
      <c r="I528" s="645"/>
      <c r="J528" s="201"/>
      <c r="K528" s="201"/>
      <c r="L528" s="644"/>
      <c r="M528" s="644"/>
      <c r="N528" s="644"/>
      <c r="O528" s="602"/>
      <c r="P528" s="201"/>
    </row>
    <row r="529" ht="22.5" customHeight="1">
      <c r="A529" s="201"/>
      <c r="B529" s="645"/>
      <c r="C529" s="645"/>
      <c r="D529" s="645"/>
      <c r="E529" s="201"/>
      <c r="F529" s="602"/>
      <c r="G529" s="645"/>
      <c r="H529" s="645"/>
      <c r="I529" s="645"/>
      <c r="J529" s="201"/>
      <c r="K529" s="201"/>
      <c r="L529" s="644"/>
      <c r="M529" s="644"/>
      <c r="N529" s="644"/>
      <c r="O529" s="602"/>
      <c r="P529" s="201"/>
    </row>
    <row r="530" ht="22.5" customHeight="1">
      <c r="A530" s="201"/>
      <c r="B530" s="645"/>
      <c r="C530" s="645"/>
      <c r="D530" s="645"/>
      <c r="E530" s="201"/>
      <c r="F530" s="602"/>
      <c r="G530" s="645"/>
      <c r="H530" s="645"/>
      <c r="I530" s="645"/>
      <c r="J530" s="201"/>
      <c r="K530" s="201"/>
      <c r="L530" s="644"/>
      <c r="M530" s="644"/>
      <c r="N530" s="644"/>
      <c r="O530" s="602"/>
      <c r="P530" s="201"/>
    </row>
    <row r="531" ht="22.5" customHeight="1">
      <c r="A531" s="201"/>
      <c r="B531" s="645"/>
      <c r="C531" s="645"/>
      <c r="D531" s="645"/>
      <c r="E531" s="201"/>
      <c r="F531" s="602"/>
      <c r="G531" s="645"/>
      <c r="H531" s="645"/>
      <c r="I531" s="645"/>
      <c r="J531" s="201"/>
      <c r="K531" s="201"/>
      <c r="L531" s="644"/>
      <c r="M531" s="644"/>
      <c r="N531" s="644"/>
      <c r="O531" s="602"/>
      <c r="P531" s="201"/>
    </row>
    <row r="532" ht="22.5" customHeight="1">
      <c r="A532" s="201"/>
      <c r="B532" s="645"/>
      <c r="C532" s="645"/>
      <c r="D532" s="645"/>
      <c r="E532" s="201"/>
      <c r="F532" s="602"/>
      <c r="G532" s="645"/>
      <c r="H532" s="645"/>
      <c r="I532" s="645"/>
      <c r="J532" s="201"/>
      <c r="K532" s="201"/>
      <c r="L532" s="644"/>
      <c r="M532" s="644"/>
      <c r="N532" s="644"/>
      <c r="O532" s="602"/>
      <c r="P532" s="201"/>
    </row>
    <row r="533" ht="22.5" customHeight="1">
      <c r="A533" s="201"/>
      <c r="B533" s="645"/>
      <c r="C533" s="645"/>
      <c r="D533" s="645"/>
      <c r="E533" s="201"/>
      <c r="F533" s="602"/>
      <c r="G533" s="645"/>
      <c r="H533" s="645"/>
      <c r="I533" s="645"/>
      <c r="J533" s="201"/>
      <c r="K533" s="201"/>
      <c r="L533" s="644"/>
      <c r="M533" s="644"/>
      <c r="N533" s="644"/>
      <c r="O533" s="602"/>
      <c r="P533" s="201"/>
    </row>
    <row r="534" ht="22.5" customHeight="1">
      <c r="A534" s="201"/>
      <c r="B534" s="645"/>
      <c r="C534" s="645"/>
      <c r="D534" s="645"/>
      <c r="E534" s="201"/>
      <c r="F534" s="602"/>
      <c r="G534" s="645"/>
      <c r="H534" s="645"/>
      <c r="I534" s="645"/>
      <c r="J534" s="201"/>
      <c r="K534" s="201"/>
      <c r="L534" s="644"/>
      <c r="M534" s="644"/>
      <c r="N534" s="644"/>
      <c r="O534" s="602"/>
      <c r="P534" s="201"/>
    </row>
    <row r="535" ht="22.5" customHeight="1">
      <c r="A535" s="201"/>
      <c r="B535" s="645"/>
      <c r="C535" s="645"/>
      <c r="D535" s="645"/>
      <c r="E535" s="201"/>
      <c r="F535" s="602"/>
      <c r="G535" s="645"/>
      <c r="H535" s="645"/>
      <c r="I535" s="645"/>
      <c r="J535" s="201"/>
      <c r="K535" s="201"/>
      <c r="L535" s="644"/>
      <c r="M535" s="644"/>
      <c r="N535" s="644"/>
      <c r="O535" s="602"/>
      <c r="P535" s="201"/>
    </row>
    <row r="536" ht="22.5" customHeight="1">
      <c r="A536" s="201"/>
      <c r="B536" s="645"/>
      <c r="C536" s="645"/>
      <c r="D536" s="645"/>
      <c r="E536" s="201"/>
      <c r="F536" s="602"/>
      <c r="G536" s="645"/>
      <c r="H536" s="645"/>
      <c r="I536" s="645"/>
      <c r="J536" s="201"/>
      <c r="K536" s="201"/>
      <c r="L536" s="644"/>
      <c r="M536" s="644"/>
      <c r="N536" s="644"/>
      <c r="O536" s="602"/>
      <c r="P536" s="201"/>
    </row>
    <row r="537" ht="22.5" customHeight="1">
      <c r="A537" s="201"/>
      <c r="B537" s="645"/>
      <c r="C537" s="645"/>
      <c r="D537" s="645"/>
      <c r="E537" s="201"/>
      <c r="F537" s="602"/>
      <c r="G537" s="645"/>
      <c r="H537" s="645"/>
      <c r="I537" s="645"/>
      <c r="J537" s="201"/>
      <c r="K537" s="201"/>
      <c r="L537" s="644"/>
      <c r="M537" s="644"/>
      <c r="N537" s="644"/>
      <c r="O537" s="602"/>
      <c r="P537" s="201"/>
    </row>
    <row r="538" ht="22.5" customHeight="1">
      <c r="A538" s="201"/>
      <c r="B538" s="645"/>
      <c r="C538" s="645"/>
      <c r="D538" s="645"/>
      <c r="E538" s="201"/>
      <c r="F538" s="602"/>
      <c r="G538" s="645"/>
      <c r="H538" s="645"/>
      <c r="I538" s="645"/>
      <c r="J538" s="201"/>
      <c r="K538" s="201"/>
      <c r="L538" s="644"/>
      <c r="M538" s="644"/>
      <c r="N538" s="644"/>
      <c r="O538" s="602"/>
      <c r="P538" s="201"/>
    </row>
    <row r="539" ht="22.5" customHeight="1">
      <c r="A539" s="201"/>
      <c r="B539" s="645"/>
      <c r="C539" s="645"/>
      <c r="D539" s="645"/>
      <c r="E539" s="201"/>
      <c r="F539" s="602"/>
      <c r="G539" s="645"/>
      <c r="H539" s="645"/>
      <c r="I539" s="645"/>
      <c r="J539" s="201"/>
      <c r="K539" s="201"/>
      <c r="L539" s="644"/>
      <c r="M539" s="644"/>
      <c r="N539" s="644"/>
      <c r="O539" s="602"/>
      <c r="P539" s="201"/>
    </row>
    <row r="540" ht="22.5" customHeight="1">
      <c r="A540" s="201"/>
      <c r="B540" s="645"/>
      <c r="C540" s="645"/>
      <c r="D540" s="645"/>
      <c r="E540" s="201"/>
      <c r="F540" s="602"/>
      <c r="G540" s="645"/>
      <c r="H540" s="645"/>
      <c r="I540" s="645"/>
      <c r="J540" s="201"/>
      <c r="K540" s="201"/>
      <c r="L540" s="644"/>
      <c r="M540" s="644"/>
      <c r="N540" s="644"/>
      <c r="O540" s="602"/>
      <c r="P540" s="201"/>
    </row>
    <row r="541" ht="22.5" customHeight="1">
      <c r="A541" s="201"/>
      <c r="B541" s="645"/>
      <c r="C541" s="645"/>
      <c r="D541" s="645"/>
      <c r="E541" s="201"/>
      <c r="F541" s="602"/>
      <c r="G541" s="645"/>
      <c r="H541" s="645"/>
      <c r="I541" s="645"/>
      <c r="J541" s="201"/>
      <c r="K541" s="201"/>
      <c r="L541" s="644"/>
      <c r="M541" s="644"/>
      <c r="N541" s="644"/>
      <c r="O541" s="602"/>
      <c r="P541" s="201"/>
    </row>
    <row r="542" ht="22.5" customHeight="1">
      <c r="A542" s="201"/>
      <c r="B542" s="645"/>
      <c r="C542" s="645"/>
      <c r="D542" s="645"/>
      <c r="E542" s="201"/>
      <c r="F542" s="602"/>
      <c r="G542" s="645"/>
      <c r="H542" s="645"/>
      <c r="I542" s="645"/>
      <c r="J542" s="201"/>
      <c r="K542" s="201"/>
      <c r="L542" s="644"/>
      <c r="M542" s="644"/>
      <c r="N542" s="644"/>
      <c r="O542" s="602"/>
      <c r="P542" s="201"/>
    </row>
    <row r="543" ht="22.5" customHeight="1">
      <c r="A543" s="201"/>
      <c r="B543" s="645"/>
      <c r="C543" s="645"/>
      <c r="D543" s="645"/>
      <c r="E543" s="201"/>
      <c r="F543" s="602"/>
      <c r="G543" s="645"/>
      <c r="H543" s="645"/>
      <c r="I543" s="645"/>
      <c r="J543" s="201"/>
      <c r="K543" s="201"/>
      <c r="L543" s="644"/>
      <c r="M543" s="644"/>
      <c r="N543" s="644"/>
      <c r="O543" s="602"/>
      <c r="P543" s="201"/>
    </row>
    <row r="544" ht="22.5" customHeight="1">
      <c r="A544" s="201"/>
      <c r="B544" s="645"/>
      <c r="C544" s="645"/>
      <c r="D544" s="645"/>
      <c r="E544" s="201"/>
      <c r="F544" s="602"/>
      <c r="G544" s="645"/>
      <c r="H544" s="645"/>
      <c r="I544" s="645"/>
      <c r="J544" s="201"/>
      <c r="K544" s="201"/>
      <c r="L544" s="644"/>
      <c r="M544" s="644"/>
      <c r="N544" s="644"/>
      <c r="O544" s="602"/>
      <c r="P544" s="201"/>
    </row>
    <row r="545" ht="22.5" customHeight="1">
      <c r="A545" s="201"/>
      <c r="B545" s="645"/>
      <c r="C545" s="645"/>
      <c r="D545" s="645"/>
      <c r="E545" s="201"/>
      <c r="F545" s="602"/>
      <c r="G545" s="645"/>
      <c r="H545" s="645"/>
      <c r="I545" s="645"/>
      <c r="J545" s="201"/>
      <c r="K545" s="201"/>
      <c r="L545" s="644"/>
      <c r="M545" s="644"/>
      <c r="N545" s="644"/>
      <c r="O545" s="602"/>
      <c r="P545" s="201"/>
    </row>
    <row r="546" ht="22.5" customHeight="1">
      <c r="A546" s="201"/>
      <c r="B546" s="645"/>
      <c r="C546" s="645"/>
      <c r="D546" s="645"/>
      <c r="E546" s="201"/>
      <c r="F546" s="602"/>
      <c r="G546" s="645"/>
      <c r="H546" s="645"/>
      <c r="I546" s="645"/>
      <c r="J546" s="201"/>
      <c r="K546" s="201"/>
      <c r="L546" s="644"/>
      <c r="M546" s="644"/>
      <c r="N546" s="644"/>
      <c r="O546" s="602"/>
      <c r="P546" s="201"/>
    </row>
    <row r="547" ht="22.5" customHeight="1">
      <c r="A547" s="201"/>
      <c r="B547" s="645"/>
      <c r="C547" s="645"/>
      <c r="D547" s="645"/>
      <c r="E547" s="201"/>
      <c r="F547" s="602"/>
      <c r="G547" s="645"/>
      <c r="H547" s="645"/>
      <c r="I547" s="645"/>
      <c r="J547" s="201"/>
      <c r="K547" s="201"/>
      <c r="L547" s="644"/>
      <c r="M547" s="644"/>
      <c r="N547" s="644"/>
      <c r="O547" s="602"/>
      <c r="P547" s="201"/>
    </row>
    <row r="548" ht="22.5" customHeight="1">
      <c r="A548" s="201"/>
      <c r="B548" s="645"/>
      <c r="C548" s="645"/>
      <c r="D548" s="645"/>
      <c r="E548" s="201"/>
      <c r="F548" s="602"/>
      <c r="G548" s="645"/>
      <c r="H548" s="645"/>
      <c r="I548" s="645"/>
      <c r="J548" s="201"/>
      <c r="K548" s="201"/>
      <c r="L548" s="644"/>
      <c r="M548" s="644"/>
      <c r="N548" s="644"/>
      <c r="O548" s="602"/>
      <c r="P548" s="201"/>
    </row>
    <row r="549" ht="22.5" customHeight="1">
      <c r="A549" s="201"/>
      <c r="B549" s="645"/>
      <c r="C549" s="645"/>
      <c r="D549" s="645"/>
      <c r="E549" s="201"/>
      <c r="F549" s="602"/>
      <c r="G549" s="645"/>
      <c r="H549" s="645"/>
      <c r="I549" s="645"/>
      <c r="J549" s="201"/>
      <c r="K549" s="201"/>
      <c r="L549" s="644"/>
      <c r="M549" s="644"/>
      <c r="N549" s="644"/>
      <c r="O549" s="602"/>
      <c r="P549" s="201"/>
    </row>
    <row r="550" ht="22.5" customHeight="1">
      <c r="A550" s="201"/>
      <c r="B550" s="645"/>
      <c r="C550" s="645"/>
      <c r="D550" s="645"/>
      <c r="E550" s="201"/>
      <c r="F550" s="602"/>
      <c r="G550" s="645"/>
      <c r="H550" s="645"/>
      <c r="I550" s="645"/>
      <c r="J550" s="201"/>
      <c r="K550" s="201"/>
      <c r="L550" s="644"/>
      <c r="M550" s="644"/>
      <c r="N550" s="644"/>
      <c r="O550" s="602"/>
      <c r="P550" s="201"/>
    </row>
    <row r="551" ht="22.5" customHeight="1">
      <c r="A551" s="201"/>
      <c r="B551" s="645"/>
      <c r="C551" s="645"/>
      <c r="D551" s="645"/>
      <c r="E551" s="201"/>
      <c r="F551" s="602"/>
      <c r="G551" s="645"/>
      <c r="H551" s="645"/>
      <c r="I551" s="645"/>
      <c r="J551" s="201"/>
      <c r="K551" s="201"/>
      <c r="L551" s="644"/>
      <c r="M551" s="644"/>
      <c r="N551" s="644"/>
      <c r="O551" s="602"/>
      <c r="P551" s="201"/>
    </row>
    <row r="552" ht="22.5" customHeight="1">
      <c r="A552" s="201"/>
      <c r="B552" s="645"/>
      <c r="C552" s="645"/>
      <c r="D552" s="645"/>
      <c r="E552" s="201"/>
      <c r="F552" s="602"/>
      <c r="G552" s="645"/>
      <c r="H552" s="645"/>
      <c r="I552" s="645"/>
      <c r="J552" s="201"/>
      <c r="K552" s="201"/>
      <c r="L552" s="644"/>
      <c r="M552" s="644"/>
      <c r="N552" s="644"/>
      <c r="O552" s="602"/>
      <c r="P552" s="201"/>
    </row>
    <row r="553" ht="22.5" customHeight="1">
      <c r="A553" s="201"/>
      <c r="B553" s="645"/>
      <c r="C553" s="645"/>
      <c r="D553" s="645"/>
      <c r="E553" s="201"/>
      <c r="F553" s="602"/>
      <c r="G553" s="645"/>
      <c r="H553" s="645"/>
      <c r="I553" s="645"/>
      <c r="J553" s="201"/>
      <c r="K553" s="201"/>
      <c r="L553" s="644"/>
      <c r="M553" s="644"/>
      <c r="N553" s="644"/>
      <c r="O553" s="602"/>
      <c r="P553" s="201"/>
    </row>
    <row r="554" ht="22.5" customHeight="1">
      <c r="A554" s="201"/>
      <c r="B554" s="645"/>
      <c r="C554" s="645"/>
      <c r="D554" s="645"/>
      <c r="E554" s="201"/>
      <c r="F554" s="602"/>
      <c r="G554" s="645"/>
      <c r="H554" s="645"/>
      <c r="I554" s="645"/>
      <c r="J554" s="201"/>
      <c r="K554" s="201"/>
      <c r="L554" s="644"/>
      <c r="M554" s="644"/>
      <c r="N554" s="644"/>
      <c r="O554" s="602"/>
      <c r="P554" s="201"/>
    </row>
    <row r="555" ht="22.5" customHeight="1">
      <c r="A555" s="201"/>
      <c r="B555" s="645"/>
      <c r="C555" s="645"/>
      <c r="D555" s="645"/>
      <c r="E555" s="201"/>
      <c r="F555" s="602"/>
      <c r="G555" s="645"/>
      <c r="H555" s="645"/>
      <c r="I555" s="645"/>
      <c r="J555" s="201"/>
      <c r="K555" s="201"/>
      <c r="L555" s="644"/>
      <c r="M555" s="644"/>
      <c r="N555" s="644"/>
      <c r="O555" s="602"/>
      <c r="P555" s="201"/>
    </row>
    <row r="556" ht="22.5" customHeight="1">
      <c r="A556" s="201"/>
      <c r="B556" s="645"/>
      <c r="C556" s="645"/>
      <c r="D556" s="645"/>
      <c r="E556" s="201"/>
      <c r="F556" s="602"/>
      <c r="G556" s="645"/>
      <c r="H556" s="645"/>
      <c r="I556" s="645"/>
      <c r="J556" s="201"/>
      <c r="K556" s="201"/>
      <c r="L556" s="644"/>
      <c r="M556" s="644"/>
      <c r="N556" s="644"/>
      <c r="O556" s="602"/>
      <c r="P556" s="201"/>
    </row>
    <row r="557" ht="22.5" customHeight="1">
      <c r="A557" s="201"/>
      <c r="B557" s="645"/>
      <c r="C557" s="645"/>
      <c r="D557" s="645"/>
      <c r="E557" s="201"/>
      <c r="F557" s="602"/>
      <c r="G557" s="645"/>
      <c r="H557" s="645"/>
      <c r="I557" s="645"/>
      <c r="J557" s="201"/>
      <c r="K557" s="201"/>
      <c r="L557" s="644"/>
      <c r="M557" s="644"/>
      <c r="N557" s="644"/>
      <c r="O557" s="602"/>
      <c r="P557" s="201"/>
    </row>
    <row r="558" ht="22.5" customHeight="1">
      <c r="A558" s="201"/>
      <c r="B558" s="645"/>
      <c r="C558" s="645"/>
      <c r="D558" s="645"/>
      <c r="E558" s="201"/>
      <c r="F558" s="602"/>
      <c r="G558" s="645"/>
      <c r="H558" s="645"/>
      <c r="I558" s="645"/>
      <c r="J558" s="201"/>
      <c r="K558" s="201"/>
      <c r="L558" s="644"/>
      <c r="M558" s="644"/>
      <c r="N558" s="644"/>
      <c r="O558" s="602"/>
      <c r="P558" s="201"/>
    </row>
    <row r="559" ht="22.5" customHeight="1">
      <c r="A559" s="201"/>
      <c r="B559" s="645"/>
      <c r="C559" s="645"/>
      <c r="D559" s="645"/>
      <c r="E559" s="201"/>
      <c r="F559" s="602"/>
      <c r="G559" s="645"/>
      <c r="H559" s="645"/>
      <c r="I559" s="645"/>
      <c r="J559" s="201"/>
      <c r="K559" s="201"/>
      <c r="L559" s="644"/>
      <c r="M559" s="644"/>
      <c r="N559" s="644"/>
      <c r="O559" s="602"/>
      <c r="P559" s="201"/>
    </row>
    <row r="560" ht="22.5" customHeight="1">
      <c r="A560" s="201"/>
      <c r="B560" s="645"/>
      <c r="C560" s="645"/>
      <c r="D560" s="645"/>
      <c r="E560" s="201"/>
      <c r="F560" s="602"/>
      <c r="G560" s="645"/>
      <c r="H560" s="645"/>
      <c r="I560" s="645"/>
      <c r="J560" s="201"/>
      <c r="K560" s="201"/>
      <c r="L560" s="644"/>
      <c r="M560" s="644"/>
      <c r="N560" s="644"/>
      <c r="O560" s="602"/>
      <c r="P560" s="201"/>
    </row>
    <row r="561" ht="22.5" customHeight="1">
      <c r="A561" s="201"/>
      <c r="B561" s="645"/>
      <c r="C561" s="645"/>
      <c r="D561" s="645"/>
      <c r="E561" s="201"/>
      <c r="F561" s="602"/>
      <c r="G561" s="645"/>
      <c r="H561" s="645"/>
      <c r="I561" s="645"/>
      <c r="J561" s="201"/>
      <c r="K561" s="201"/>
      <c r="L561" s="644"/>
      <c r="M561" s="644"/>
      <c r="N561" s="644"/>
      <c r="O561" s="602"/>
      <c r="P561" s="201"/>
    </row>
    <row r="562" ht="22.5" customHeight="1">
      <c r="A562" s="201"/>
      <c r="B562" s="645"/>
      <c r="C562" s="645"/>
      <c r="D562" s="645"/>
      <c r="E562" s="201"/>
      <c r="F562" s="602"/>
      <c r="G562" s="645"/>
      <c r="H562" s="645"/>
      <c r="I562" s="645"/>
      <c r="J562" s="201"/>
      <c r="K562" s="201"/>
      <c r="L562" s="644"/>
      <c r="M562" s="644"/>
      <c r="N562" s="644"/>
      <c r="O562" s="602"/>
      <c r="P562" s="201"/>
    </row>
    <row r="563" ht="22.5" customHeight="1">
      <c r="A563" s="201"/>
      <c r="B563" s="645"/>
      <c r="C563" s="645"/>
      <c r="D563" s="645"/>
      <c r="E563" s="201"/>
      <c r="F563" s="602"/>
      <c r="G563" s="645"/>
      <c r="H563" s="645"/>
      <c r="I563" s="645"/>
      <c r="J563" s="201"/>
      <c r="K563" s="201"/>
      <c r="L563" s="644"/>
      <c r="M563" s="644"/>
      <c r="N563" s="644"/>
      <c r="O563" s="602"/>
      <c r="P563" s="201"/>
    </row>
    <row r="564" ht="22.5" customHeight="1">
      <c r="A564" s="201"/>
      <c r="B564" s="645"/>
      <c r="C564" s="645"/>
      <c r="D564" s="645"/>
      <c r="E564" s="201"/>
      <c r="F564" s="602"/>
      <c r="G564" s="645"/>
      <c r="H564" s="645"/>
      <c r="I564" s="645"/>
      <c r="J564" s="201"/>
      <c r="K564" s="201"/>
      <c r="L564" s="644"/>
      <c r="M564" s="644"/>
      <c r="N564" s="644"/>
      <c r="O564" s="602"/>
      <c r="P564" s="201"/>
    </row>
    <row r="565" ht="22.5" customHeight="1">
      <c r="A565" s="201"/>
      <c r="B565" s="645"/>
      <c r="C565" s="645"/>
      <c r="D565" s="645"/>
      <c r="E565" s="201"/>
      <c r="F565" s="602"/>
      <c r="G565" s="645"/>
      <c r="H565" s="645"/>
      <c r="I565" s="645"/>
      <c r="J565" s="201"/>
      <c r="K565" s="201"/>
      <c r="L565" s="644"/>
      <c r="M565" s="644"/>
      <c r="N565" s="644"/>
      <c r="O565" s="602"/>
      <c r="P565" s="201"/>
    </row>
    <row r="566" ht="22.5" customHeight="1">
      <c r="A566" s="201"/>
      <c r="B566" s="645"/>
      <c r="C566" s="645"/>
      <c r="D566" s="645"/>
      <c r="E566" s="201"/>
      <c r="F566" s="602"/>
      <c r="G566" s="645"/>
      <c r="H566" s="645"/>
      <c r="I566" s="645"/>
      <c r="J566" s="201"/>
      <c r="K566" s="201"/>
      <c r="L566" s="644"/>
      <c r="M566" s="644"/>
      <c r="N566" s="644"/>
      <c r="O566" s="602"/>
      <c r="P566" s="201"/>
    </row>
    <row r="567" ht="22.5" customHeight="1">
      <c r="A567" s="201"/>
      <c r="B567" s="645"/>
      <c r="C567" s="645"/>
      <c r="D567" s="645"/>
      <c r="E567" s="201"/>
      <c r="F567" s="602"/>
      <c r="G567" s="645"/>
      <c r="H567" s="645"/>
      <c r="I567" s="645"/>
      <c r="J567" s="201"/>
      <c r="K567" s="201"/>
      <c r="L567" s="644"/>
      <c r="M567" s="644"/>
      <c r="N567" s="644"/>
      <c r="O567" s="602"/>
      <c r="P567" s="201"/>
    </row>
    <row r="568" ht="22.5" customHeight="1">
      <c r="A568" s="201"/>
      <c r="B568" s="645"/>
      <c r="C568" s="645"/>
      <c r="D568" s="645"/>
      <c r="E568" s="201"/>
      <c r="F568" s="602"/>
      <c r="G568" s="645"/>
      <c r="H568" s="645"/>
      <c r="I568" s="645"/>
      <c r="J568" s="201"/>
      <c r="K568" s="201"/>
      <c r="L568" s="644"/>
      <c r="M568" s="644"/>
      <c r="N568" s="644"/>
      <c r="O568" s="602"/>
      <c r="P568" s="201"/>
    </row>
    <row r="569" ht="22.5" customHeight="1">
      <c r="A569" s="201"/>
      <c r="B569" s="645"/>
      <c r="C569" s="645"/>
      <c r="D569" s="645"/>
      <c r="E569" s="201"/>
      <c r="F569" s="602"/>
      <c r="G569" s="645"/>
      <c r="H569" s="645"/>
      <c r="I569" s="645"/>
      <c r="J569" s="201"/>
      <c r="K569" s="201"/>
      <c r="L569" s="644"/>
      <c r="M569" s="644"/>
      <c r="N569" s="644"/>
      <c r="O569" s="602"/>
      <c r="P569" s="201"/>
    </row>
    <row r="570" ht="22.5" customHeight="1">
      <c r="A570" s="201"/>
      <c r="B570" s="645"/>
      <c r="C570" s="645"/>
      <c r="D570" s="645"/>
      <c r="E570" s="201"/>
      <c r="F570" s="602"/>
      <c r="G570" s="645"/>
      <c r="H570" s="645"/>
      <c r="I570" s="645"/>
      <c r="J570" s="201"/>
      <c r="K570" s="201"/>
      <c r="L570" s="644"/>
      <c r="M570" s="644"/>
      <c r="N570" s="644"/>
      <c r="O570" s="602"/>
      <c r="P570" s="201"/>
    </row>
    <row r="571" ht="22.5" customHeight="1">
      <c r="A571" s="201"/>
      <c r="B571" s="645"/>
      <c r="C571" s="645"/>
      <c r="D571" s="645"/>
      <c r="E571" s="201"/>
      <c r="F571" s="602"/>
      <c r="G571" s="645"/>
      <c r="H571" s="645"/>
      <c r="I571" s="645"/>
      <c r="J571" s="201"/>
      <c r="K571" s="201"/>
      <c r="L571" s="644"/>
      <c r="M571" s="644"/>
      <c r="N571" s="644"/>
      <c r="O571" s="602"/>
      <c r="P571" s="201"/>
    </row>
    <row r="572" ht="22.5" customHeight="1">
      <c r="A572" s="201"/>
      <c r="B572" s="645"/>
      <c r="C572" s="645"/>
      <c r="D572" s="645"/>
      <c r="E572" s="201"/>
      <c r="F572" s="602"/>
      <c r="G572" s="645"/>
      <c r="H572" s="645"/>
      <c r="I572" s="645"/>
      <c r="J572" s="201"/>
      <c r="K572" s="201"/>
      <c r="L572" s="644"/>
      <c r="M572" s="644"/>
      <c r="N572" s="644"/>
      <c r="O572" s="602"/>
      <c r="P572" s="201"/>
    </row>
    <row r="573" ht="22.5" customHeight="1">
      <c r="A573" s="201"/>
      <c r="B573" s="645"/>
      <c r="C573" s="645"/>
      <c r="D573" s="645"/>
      <c r="E573" s="201"/>
      <c r="F573" s="602"/>
      <c r="G573" s="645"/>
      <c r="H573" s="645"/>
      <c r="I573" s="645"/>
      <c r="J573" s="201"/>
      <c r="K573" s="201"/>
      <c r="L573" s="644"/>
      <c r="M573" s="644"/>
      <c r="N573" s="644"/>
      <c r="O573" s="602"/>
      <c r="P573" s="201"/>
    </row>
    <row r="574" ht="22.5" customHeight="1">
      <c r="A574" s="201"/>
      <c r="B574" s="645"/>
      <c r="C574" s="645"/>
      <c r="D574" s="645"/>
      <c r="E574" s="201"/>
      <c r="F574" s="602"/>
      <c r="G574" s="645"/>
      <c r="H574" s="645"/>
      <c r="I574" s="645"/>
      <c r="J574" s="201"/>
      <c r="K574" s="201"/>
      <c r="L574" s="644"/>
      <c r="M574" s="644"/>
      <c r="N574" s="644"/>
      <c r="O574" s="602"/>
      <c r="P574" s="201"/>
    </row>
    <row r="575" ht="22.5" customHeight="1">
      <c r="A575" s="201"/>
      <c r="B575" s="645"/>
      <c r="C575" s="645"/>
      <c r="D575" s="645"/>
      <c r="E575" s="201"/>
      <c r="F575" s="602"/>
      <c r="G575" s="645"/>
      <c r="H575" s="645"/>
      <c r="I575" s="645"/>
      <c r="J575" s="201"/>
      <c r="K575" s="201"/>
      <c r="L575" s="644"/>
      <c r="M575" s="644"/>
      <c r="N575" s="644"/>
      <c r="O575" s="602"/>
      <c r="P575" s="201"/>
    </row>
    <row r="576" ht="22.5" customHeight="1">
      <c r="A576" s="201"/>
      <c r="B576" s="645"/>
      <c r="C576" s="645"/>
      <c r="D576" s="645"/>
      <c r="E576" s="201"/>
      <c r="F576" s="602"/>
      <c r="G576" s="645"/>
      <c r="H576" s="645"/>
      <c r="I576" s="645"/>
      <c r="J576" s="201"/>
      <c r="K576" s="201"/>
      <c r="L576" s="644"/>
      <c r="M576" s="644"/>
      <c r="N576" s="644"/>
      <c r="O576" s="602"/>
      <c r="P576" s="201"/>
    </row>
    <row r="577" ht="22.5" customHeight="1">
      <c r="A577" s="201"/>
      <c r="B577" s="645"/>
      <c r="C577" s="645"/>
      <c r="D577" s="645"/>
      <c r="E577" s="201"/>
      <c r="F577" s="602"/>
      <c r="G577" s="645"/>
      <c r="H577" s="645"/>
      <c r="I577" s="645"/>
      <c r="J577" s="201"/>
      <c r="K577" s="201"/>
      <c r="L577" s="644"/>
      <c r="M577" s="644"/>
      <c r="N577" s="644"/>
      <c r="O577" s="602"/>
      <c r="P577" s="201"/>
    </row>
    <row r="578" ht="22.5" customHeight="1">
      <c r="A578" s="201"/>
      <c r="B578" s="645"/>
      <c r="C578" s="645"/>
      <c r="D578" s="645"/>
      <c r="E578" s="201"/>
      <c r="F578" s="602"/>
      <c r="G578" s="645"/>
      <c r="H578" s="645"/>
      <c r="I578" s="645"/>
      <c r="J578" s="201"/>
      <c r="K578" s="201"/>
      <c r="L578" s="644"/>
      <c r="M578" s="644"/>
      <c r="N578" s="644"/>
      <c r="O578" s="602"/>
      <c r="P578" s="201"/>
    </row>
    <row r="579" ht="22.5" customHeight="1">
      <c r="A579" s="201"/>
      <c r="B579" s="645"/>
      <c r="C579" s="645"/>
      <c r="D579" s="645"/>
      <c r="E579" s="201"/>
      <c r="F579" s="602"/>
      <c r="G579" s="645"/>
      <c r="H579" s="645"/>
      <c r="I579" s="645"/>
      <c r="J579" s="201"/>
      <c r="K579" s="201"/>
      <c r="L579" s="644"/>
      <c r="M579" s="644"/>
      <c r="N579" s="644"/>
      <c r="O579" s="602"/>
      <c r="P579" s="201"/>
    </row>
    <row r="580" ht="22.5" customHeight="1">
      <c r="A580" s="201"/>
      <c r="B580" s="645"/>
      <c r="C580" s="645"/>
      <c r="D580" s="645"/>
      <c r="E580" s="201"/>
      <c r="F580" s="602"/>
      <c r="G580" s="645"/>
      <c r="H580" s="645"/>
      <c r="I580" s="645"/>
      <c r="J580" s="201"/>
      <c r="K580" s="201"/>
      <c r="L580" s="644"/>
      <c r="M580" s="644"/>
      <c r="N580" s="644"/>
      <c r="O580" s="602"/>
      <c r="P580" s="201"/>
    </row>
    <row r="581" ht="22.5" customHeight="1">
      <c r="A581" s="201"/>
      <c r="B581" s="645"/>
      <c r="C581" s="645"/>
      <c r="D581" s="645"/>
      <c r="E581" s="201"/>
      <c r="F581" s="602"/>
      <c r="G581" s="645"/>
      <c r="H581" s="645"/>
      <c r="I581" s="645"/>
      <c r="J581" s="201"/>
      <c r="K581" s="201"/>
      <c r="L581" s="644"/>
      <c r="M581" s="644"/>
      <c r="N581" s="644"/>
      <c r="O581" s="602"/>
      <c r="P581" s="201"/>
    </row>
    <row r="582" ht="22.5" customHeight="1">
      <c r="A582" s="201"/>
      <c r="B582" s="645"/>
      <c r="C582" s="645"/>
      <c r="D582" s="645"/>
      <c r="E582" s="201"/>
      <c r="F582" s="602"/>
      <c r="G582" s="645"/>
      <c r="H582" s="645"/>
      <c r="I582" s="645"/>
      <c r="J582" s="201"/>
      <c r="K582" s="201"/>
      <c r="L582" s="644"/>
      <c r="M582" s="644"/>
      <c r="N582" s="644"/>
      <c r="O582" s="602"/>
      <c r="P582" s="201"/>
    </row>
    <row r="583" ht="22.5" customHeight="1">
      <c r="A583" s="201"/>
      <c r="B583" s="645"/>
      <c r="C583" s="645"/>
      <c r="D583" s="645"/>
      <c r="E583" s="201"/>
      <c r="F583" s="602"/>
      <c r="G583" s="645"/>
      <c r="H583" s="645"/>
      <c r="I583" s="645"/>
      <c r="J583" s="201"/>
      <c r="K583" s="201"/>
      <c r="L583" s="644"/>
      <c r="M583" s="644"/>
      <c r="N583" s="644"/>
      <c r="O583" s="602"/>
      <c r="P583" s="201"/>
    </row>
    <row r="584" ht="22.5" customHeight="1">
      <c r="A584" s="201"/>
      <c r="B584" s="645"/>
      <c r="C584" s="645"/>
      <c r="D584" s="645"/>
      <c r="E584" s="201"/>
      <c r="F584" s="602"/>
      <c r="G584" s="645"/>
      <c r="H584" s="645"/>
      <c r="I584" s="645"/>
      <c r="J584" s="201"/>
      <c r="K584" s="201"/>
      <c r="L584" s="644"/>
      <c r="M584" s="644"/>
      <c r="N584" s="644"/>
      <c r="O584" s="602"/>
      <c r="P584" s="201"/>
    </row>
    <row r="585" ht="22.5" customHeight="1">
      <c r="A585" s="201"/>
      <c r="B585" s="645"/>
      <c r="C585" s="645"/>
      <c r="D585" s="645"/>
      <c r="E585" s="201"/>
      <c r="F585" s="602"/>
      <c r="G585" s="645"/>
      <c r="H585" s="645"/>
      <c r="I585" s="645"/>
      <c r="J585" s="201"/>
      <c r="K585" s="201"/>
      <c r="L585" s="644"/>
      <c r="M585" s="644"/>
      <c r="N585" s="644"/>
      <c r="O585" s="602"/>
      <c r="P585" s="201"/>
    </row>
    <row r="586" ht="22.5" customHeight="1">
      <c r="A586" s="201"/>
      <c r="B586" s="645"/>
      <c r="C586" s="645"/>
      <c r="D586" s="645"/>
      <c r="E586" s="201"/>
      <c r="F586" s="602"/>
      <c r="G586" s="645"/>
      <c r="H586" s="645"/>
      <c r="I586" s="645"/>
      <c r="J586" s="201"/>
      <c r="K586" s="201"/>
      <c r="L586" s="644"/>
      <c r="M586" s="644"/>
      <c r="N586" s="644"/>
      <c r="O586" s="602"/>
      <c r="P586" s="201"/>
    </row>
    <row r="587" ht="22.5" customHeight="1">
      <c r="A587" s="201"/>
      <c r="B587" s="645"/>
      <c r="C587" s="645"/>
      <c r="D587" s="645"/>
      <c r="E587" s="201"/>
      <c r="F587" s="602"/>
      <c r="G587" s="645"/>
      <c r="H587" s="645"/>
      <c r="I587" s="645"/>
      <c r="J587" s="201"/>
      <c r="K587" s="201"/>
      <c r="L587" s="644"/>
      <c r="M587" s="644"/>
      <c r="N587" s="644"/>
      <c r="O587" s="602"/>
      <c r="P587" s="201"/>
    </row>
    <row r="588" ht="22.5" customHeight="1">
      <c r="A588" s="201"/>
      <c r="B588" s="645"/>
      <c r="C588" s="645"/>
      <c r="D588" s="645"/>
      <c r="E588" s="201"/>
      <c r="F588" s="602"/>
      <c r="G588" s="645"/>
      <c r="H588" s="645"/>
      <c r="I588" s="645"/>
      <c r="J588" s="201"/>
      <c r="K588" s="201"/>
      <c r="L588" s="644"/>
      <c r="M588" s="644"/>
      <c r="N588" s="644"/>
      <c r="O588" s="602"/>
      <c r="P588" s="201"/>
    </row>
    <row r="589" ht="22.5" customHeight="1">
      <c r="A589" s="201"/>
      <c r="B589" s="645"/>
      <c r="C589" s="645"/>
      <c r="D589" s="645"/>
      <c r="E589" s="201"/>
      <c r="F589" s="602"/>
      <c r="G589" s="645"/>
      <c r="H589" s="645"/>
      <c r="I589" s="645"/>
      <c r="J589" s="201"/>
      <c r="K589" s="201"/>
      <c r="L589" s="644"/>
      <c r="M589" s="644"/>
      <c r="N589" s="644"/>
      <c r="O589" s="602"/>
      <c r="P589" s="201"/>
    </row>
    <row r="590" ht="22.5" customHeight="1">
      <c r="A590" s="201"/>
      <c r="B590" s="645"/>
      <c r="C590" s="645"/>
      <c r="D590" s="645"/>
      <c r="E590" s="201"/>
      <c r="F590" s="602"/>
      <c r="G590" s="645"/>
      <c r="H590" s="645"/>
      <c r="I590" s="645"/>
      <c r="J590" s="201"/>
      <c r="K590" s="201"/>
      <c r="L590" s="644"/>
      <c r="M590" s="644"/>
      <c r="N590" s="644"/>
      <c r="O590" s="602"/>
      <c r="P590" s="201"/>
    </row>
    <row r="591" ht="22.5" customHeight="1">
      <c r="A591" s="201"/>
      <c r="B591" s="645"/>
      <c r="C591" s="645"/>
      <c r="D591" s="645"/>
      <c r="E591" s="201"/>
      <c r="F591" s="602"/>
      <c r="G591" s="645"/>
      <c r="H591" s="645"/>
      <c r="I591" s="645"/>
      <c r="J591" s="201"/>
      <c r="K591" s="201"/>
      <c r="L591" s="644"/>
      <c r="M591" s="644"/>
      <c r="N591" s="644"/>
      <c r="O591" s="602"/>
      <c r="P591" s="201"/>
    </row>
    <row r="592" ht="22.5" customHeight="1">
      <c r="A592" s="201"/>
      <c r="B592" s="645"/>
      <c r="C592" s="645"/>
      <c r="D592" s="645"/>
      <c r="E592" s="201"/>
      <c r="F592" s="602"/>
      <c r="G592" s="645"/>
      <c r="H592" s="645"/>
      <c r="I592" s="645"/>
      <c r="J592" s="201"/>
      <c r="K592" s="201"/>
      <c r="L592" s="644"/>
      <c r="M592" s="644"/>
      <c r="N592" s="644"/>
      <c r="O592" s="602"/>
      <c r="P592" s="201"/>
    </row>
    <row r="593" ht="22.5" customHeight="1">
      <c r="A593" s="201"/>
      <c r="B593" s="645"/>
      <c r="C593" s="645"/>
      <c r="D593" s="645"/>
      <c r="E593" s="201"/>
      <c r="F593" s="602"/>
      <c r="G593" s="645"/>
      <c r="H593" s="645"/>
      <c r="I593" s="645"/>
      <c r="J593" s="201"/>
      <c r="K593" s="201"/>
      <c r="L593" s="644"/>
      <c r="M593" s="644"/>
      <c r="N593" s="644"/>
      <c r="O593" s="602"/>
      <c r="P593" s="201"/>
    </row>
    <row r="594" ht="22.5" customHeight="1">
      <c r="A594" s="201"/>
      <c r="B594" s="645"/>
      <c r="C594" s="645"/>
      <c r="D594" s="645"/>
      <c r="E594" s="201"/>
      <c r="F594" s="602"/>
      <c r="G594" s="645"/>
      <c r="H594" s="645"/>
      <c r="I594" s="645"/>
      <c r="J594" s="201"/>
      <c r="K594" s="201"/>
      <c r="L594" s="644"/>
      <c r="M594" s="644"/>
      <c r="N594" s="644"/>
      <c r="O594" s="602"/>
      <c r="P594" s="201"/>
    </row>
    <row r="595" ht="22.5" customHeight="1">
      <c r="A595" s="201"/>
      <c r="B595" s="645"/>
      <c r="C595" s="645"/>
      <c r="D595" s="645"/>
      <c r="E595" s="201"/>
      <c r="F595" s="602"/>
      <c r="G595" s="645"/>
      <c r="H595" s="645"/>
      <c r="I595" s="645"/>
      <c r="J595" s="201"/>
      <c r="K595" s="201"/>
      <c r="L595" s="644"/>
      <c r="M595" s="644"/>
      <c r="N595" s="644"/>
      <c r="O595" s="602"/>
      <c r="P595" s="201"/>
    </row>
    <row r="596" ht="22.5" customHeight="1">
      <c r="A596" s="201"/>
      <c r="B596" s="645"/>
      <c r="C596" s="645"/>
      <c r="D596" s="645"/>
      <c r="E596" s="201"/>
      <c r="F596" s="602"/>
      <c r="G596" s="645"/>
      <c r="H596" s="645"/>
      <c r="I596" s="645"/>
      <c r="J596" s="201"/>
      <c r="K596" s="201"/>
      <c r="L596" s="644"/>
      <c r="M596" s="644"/>
      <c r="N596" s="644"/>
      <c r="O596" s="602"/>
      <c r="P596" s="201"/>
    </row>
    <row r="597" ht="22.5" customHeight="1">
      <c r="A597" s="201"/>
      <c r="B597" s="645"/>
      <c r="C597" s="645"/>
      <c r="D597" s="645"/>
      <c r="E597" s="201"/>
      <c r="F597" s="602"/>
      <c r="G597" s="645"/>
      <c r="H597" s="645"/>
      <c r="I597" s="645"/>
      <c r="J597" s="201"/>
      <c r="K597" s="201"/>
      <c r="L597" s="644"/>
      <c r="M597" s="644"/>
      <c r="N597" s="644"/>
      <c r="O597" s="602"/>
      <c r="P597" s="201"/>
    </row>
    <row r="598" ht="22.5" customHeight="1">
      <c r="A598" s="201"/>
      <c r="B598" s="645"/>
      <c r="C598" s="645"/>
      <c r="D598" s="645"/>
      <c r="E598" s="201"/>
      <c r="F598" s="602"/>
      <c r="G598" s="645"/>
      <c r="H598" s="645"/>
      <c r="I598" s="645"/>
      <c r="J598" s="201"/>
      <c r="K598" s="201"/>
      <c r="L598" s="644"/>
      <c r="M598" s="644"/>
      <c r="N598" s="644"/>
      <c r="O598" s="602"/>
      <c r="P598" s="201"/>
    </row>
    <row r="599" ht="22.5" customHeight="1">
      <c r="A599" s="201"/>
      <c r="B599" s="645"/>
      <c r="C599" s="645"/>
      <c r="D599" s="645"/>
      <c r="E599" s="201"/>
      <c r="F599" s="602"/>
      <c r="G599" s="645"/>
      <c r="H599" s="645"/>
      <c r="I599" s="645"/>
      <c r="J599" s="201"/>
      <c r="K599" s="201"/>
      <c r="L599" s="644"/>
      <c r="M599" s="644"/>
      <c r="N599" s="644"/>
      <c r="O599" s="602"/>
      <c r="P599" s="201"/>
    </row>
    <row r="600" ht="22.5" customHeight="1">
      <c r="A600" s="201"/>
      <c r="B600" s="645"/>
      <c r="C600" s="645"/>
      <c r="D600" s="645"/>
      <c r="E600" s="201"/>
      <c r="F600" s="602"/>
      <c r="G600" s="645"/>
      <c r="H600" s="645"/>
      <c r="I600" s="645"/>
      <c r="J600" s="201"/>
      <c r="K600" s="201"/>
      <c r="L600" s="644"/>
      <c r="M600" s="644"/>
      <c r="N600" s="644"/>
      <c r="O600" s="602"/>
      <c r="P600" s="201"/>
    </row>
    <row r="601" ht="22.5" customHeight="1">
      <c r="A601" s="201"/>
      <c r="B601" s="645"/>
      <c r="C601" s="645"/>
      <c r="D601" s="645"/>
      <c r="E601" s="201"/>
      <c r="F601" s="602"/>
      <c r="G601" s="645"/>
      <c r="H601" s="645"/>
      <c r="I601" s="645"/>
      <c r="J601" s="201"/>
      <c r="K601" s="201"/>
      <c r="L601" s="644"/>
      <c r="M601" s="644"/>
      <c r="N601" s="644"/>
      <c r="O601" s="602"/>
      <c r="P601" s="201"/>
    </row>
    <row r="602" ht="22.5" customHeight="1">
      <c r="A602" s="201"/>
      <c r="B602" s="645"/>
      <c r="C602" s="645"/>
      <c r="D602" s="645"/>
      <c r="E602" s="201"/>
      <c r="F602" s="602"/>
      <c r="G602" s="645"/>
      <c r="H602" s="645"/>
      <c r="I602" s="645"/>
      <c r="J602" s="201"/>
      <c r="K602" s="201"/>
      <c r="L602" s="644"/>
      <c r="M602" s="644"/>
      <c r="N602" s="644"/>
      <c r="O602" s="602"/>
      <c r="P602" s="201"/>
    </row>
    <row r="603" ht="22.5" customHeight="1">
      <c r="A603" s="201"/>
      <c r="B603" s="645"/>
      <c r="C603" s="645"/>
      <c r="D603" s="645"/>
      <c r="E603" s="201"/>
      <c r="F603" s="602"/>
      <c r="G603" s="645"/>
      <c r="H603" s="645"/>
      <c r="I603" s="645"/>
      <c r="J603" s="201"/>
      <c r="K603" s="201"/>
      <c r="L603" s="644"/>
      <c r="M603" s="644"/>
      <c r="N603" s="644"/>
      <c r="O603" s="602"/>
      <c r="P603" s="201"/>
    </row>
    <row r="604" ht="22.5" customHeight="1">
      <c r="A604" s="201"/>
      <c r="B604" s="645"/>
      <c r="C604" s="645"/>
      <c r="D604" s="645"/>
      <c r="E604" s="201"/>
      <c r="F604" s="602"/>
      <c r="G604" s="645"/>
      <c r="H604" s="645"/>
      <c r="I604" s="645"/>
      <c r="J604" s="201"/>
      <c r="K604" s="201"/>
      <c r="L604" s="644"/>
      <c r="M604" s="644"/>
      <c r="N604" s="644"/>
      <c r="O604" s="602"/>
      <c r="P604" s="201"/>
    </row>
    <row r="605" ht="22.5" customHeight="1">
      <c r="A605" s="201"/>
      <c r="B605" s="645"/>
      <c r="C605" s="645"/>
      <c r="D605" s="645"/>
      <c r="E605" s="201"/>
      <c r="F605" s="602"/>
      <c r="G605" s="645"/>
      <c r="H605" s="645"/>
      <c r="I605" s="645"/>
      <c r="J605" s="201"/>
      <c r="K605" s="201"/>
      <c r="L605" s="644"/>
      <c r="M605" s="644"/>
      <c r="N605" s="644"/>
      <c r="O605" s="602"/>
      <c r="P605" s="201"/>
    </row>
    <row r="606" ht="22.5" customHeight="1">
      <c r="A606" s="201"/>
      <c r="B606" s="645"/>
      <c r="C606" s="645"/>
      <c r="D606" s="645"/>
      <c r="E606" s="201"/>
      <c r="F606" s="602"/>
      <c r="G606" s="645"/>
      <c r="H606" s="645"/>
      <c r="I606" s="645"/>
      <c r="J606" s="201"/>
      <c r="K606" s="201"/>
      <c r="L606" s="644"/>
      <c r="M606" s="644"/>
      <c r="N606" s="644"/>
      <c r="O606" s="602"/>
      <c r="P606" s="201"/>
    </row>
    <row r="607" ht="22.5" customHeight="1">
      <c r="A607" s="201"/>
      <c r="B607" s="645"/>
      <c r="C607" s="645"/>
      <c r="D607" s="645"/>
      <c r="E607" s="201"/>
      <c r="F607" s="602"/>
      <c r="G607" s="645"/>
      <c r="H607" s="645"/>
      <c r="I607" s="645"/>
      <c r="J607" s="201"/>
      <c r="K607" s="201"/>
      <c r="L607" s="644"/>
      <c r="M607" s="644"/>
      <c r="N607" s="644"/>
      <c r="O607" s="602"/>
      <c r="P607" s="201"/>
    </row>
    <row r="608" ht="22.5" customHeight="1">
      <c r="A608" s="201"/>
      <c r="B608" s="645"/>
      <c r="C608" s="645"/>
      <c r="D608" s="645"/>
      <c r="E608" s="201"/>
      <c r="F608" s="602"/>
      <c r="G608" s="645"/>
      <c r="H608" s="645"/>
      <c r="I608" s="645"/>
      <c r="J608" s="201"/>
      <c r="K608" s="201"/>
      <c r="L608" s="644"/>
      <c r="M608" s="644"/>
      <c r="N608" s="644"/>
      <c r="O608" s="602"/>
      <c r="P608" s="201"/>
    </row>
    <row r="609" ht="22.5" customHeight="1">
      <c r="A609" s="201"/>
      <c r="B609" s="645"/>
      <c r="C609" s="645"/>
      <c r="D609" s="645"/>
      <c r="E609" s="201"/>
      <c r="F609" s="602"/>
      <c r="G609" s="645"/>
      <c r="H609" s="645"/>
      <c r="I609" s="645"/>
      <c r="J609" s="201"/>
      <c r="K609" s="201"/>
      <c r="L609" s="644"/>
      <c r="M609" s="644"/>
      <c r="N609" s="644"/>
      <c r="O609" s="602"/>
      <c r="P609" s="201"/>
    </row>
    <row r="610" ht="22.5" customHeight="1">
      <c r="A610" s="201"/>
      <c r="B610" s="645"/>
      <c r="C610" s="645"/>
      <c r="D610" s="645"/>
      <c r="E610" s="201"/>
      <c r="F610" s="602"/>
      <c r="G610" s="645"/>
      <c r="H610" s="645"/>
      <c r="I610" s="645"/>
      <c r="J610" s="201"/>
      <c r="K610" s="201"/>
      <c r="L610" s="644"/>
      <c r="M610" s="644"/>
      <c r="N610" s="644"/>
      <c r="O610" s="602"/>
      <c r="P610" s="201"/>
    </row>
    <row r="611" ht="22.5" customHeight="1">
      <c r="A611" s="201"/>
      <c r="B611" s="645"/>
      <c r="C611" s="645"/>
      <c r="D611" s="645"/>
      <c r="E611" s="201"/>
      <c r="F611" s="602"/>
      <c r="G611" s="645"/>
      <c r="H611" s="645"/>
      <c r="I611" s="645"/>
      <c r="J611" s="201"/>
      <c r="K611" s="201"/>
      <c r="L611" s="644"/>
      <c r="M611" s="644"/>
      <c r="N611" s="644"/>
      <c r="O611" s="602"/>
      <c r="P611" s="201"/>
    </row>
    <row r="612" ht="22.5" customHeight="1">
      <c r="A612" s="201"/>
      <c r="B612" s="645"/>
      <c r="C612" s="645"/>
      <c r="D612" s="645"/>
      <c r="E612" s="201"/>
      <c r="F612" s="602"/>
      <c r="G612" s="645"/>
      <c r="H612" s="645"/>
      <c r="I612" s="645"/>
      <c r="J612" s="201"/>
      <c r="K612" s="201"/>
      <c r="L612" s="644"/>
      <c r="M612" s="644"/>
      <c r="N612" s="644"/>
      <c r="O612" s="602"/>
      <c r="P612" s="201"/>
    </row>
    <row r="613" ht="22.5" customHeight="1">
      <c r="A613" s="201"/>
      <c r="B613" s="645"/>
      <c r="C613" s="645"/>
      <c r="D613" s="645"/>
      <c r="E613" s="201"/>
      <c r="F613" s="602"/>
      <c r="G613" s="645"/>
      <c r="H613" s="645"/>
      <c r="I613" s="645"/>
      <c r="J613" s="201"/>
      <c r="K613" s="201"/>
      <c r="L613" s="644"/>
      <c r="M613" s="644"/>
      <c r="N613" s="644"/>
      <c r="O613" s="602"/>
      <c r="P613" s="201"/>
    </row>
    <row r="614" ht="22.5" customHeight="1">
      <c r="A614" s="201"/>
      <c r="B614" s="645"/>
      <c r="C614" s="645"/>
      <c r="D614" s="645"/>
      <c r="E614" s="201"/>
      <c r="F614" s="602"/>
      <c r="G614" s="645"/>
      <c r="H614" s="645"/>
      <c r="I614" s="645"/>
      <c r="J614" s="201"/>
      <c r="K614" s="201"/>
      <c r="L614" s="644"/>
      <c r="M614" s="644"/>
      <c r="N614" s="644"/>
      <c r="O614" s="602"/>
      <c r="P614" s="201"/>
    </row>
    <row r="615" ht="22.5" customHeight="1">
      <c r="A615" s="201"/>
      <c r="B615" s="645"/>
      <c r="C615" s="645"/>
      <c r="D615" s="645"/>
      <c r="E615" s="201"/>
      <c r="F615" s="602"/>
      <c r="G615" s="645"/>
      <c r="H615" s="645"/>
      <c r="I615" s="645"/>
      <c r="J615" s="201"/>
      <c r="K615" s="201"/>
      <c r="L615" s="644"/>
      <c r="M615" s="644"/>
      <c r="N615" s="644"/>
      <c r="O615" s="602"/>
      <c r="P615" s="201"/>
    </row>
    <row r="616" ht="22.5" customHeight="1">
      <c r="A616" s="201"/>
      <c r="B616" s="645"/>
      <c r="C616" s="645"/>
      <c r="D616" s="645"/>
      <c r="E616" s="201"/>
      <c r="F616" s="602"/>
      <c r="G616" s="645"/>
      <c r="H616" s="645"/>
      <c r="I616" s="645"/>
      <c r="J616" s="201"/>
      <c r="K616" s="201"/>
      <c r="L616" s="644"/>
      <c r="M616" s="644"/>
      <c r="N616" s="644"/>
      <c r="O616" s="602"/>
      <c r="P616" s="201"/>
    </row>
    <row r="617" ht="22.5" customHeight="1">
      <c r="A617" s="201"/>
      <c r="B617" s="645"/>
      <c r="C617" s="645"/>
      <c r="D617" s="645"/>
      <c r="E617" s="201"/>
      <c r="F617" s="602"/>
      <c r="G617" s="645"/>
      <c r="H617" s="645"/>
      <c r="I617" s="645"/>
      <c r="J617" s="201"/>
      <c r="K617" s="201"/>
      <c r="L617" s="644"/>
      <c r="M617" s="644"/>
      <c r="N617" s="644"/>
      <c r="O617" s="602"/>
      <c r="P617" s="201"/>
    </row>
    <row r="618" ht="22.5" customHeight="1">
      <c r="A618" s="201"/>
      <c r="B618" s="645"/>
      <c r="C618" s="645"/>
      <c r="D618" s="645"/>
      <c r="E618" s="201"/>
      <c r="F618" s="602"/>
      <c r="G618" s="645"/>
      <c r="H618" s="645"/>
      <c r="I618" s="645"/>
      <c r="J618" s="201"/>
      <c r="K618" s="201"/>
      <c r="L618" s="644"/>
      <c r="M618" s="644"/>
      <c r="N618" s="644"/>
      <c r="O618" s="602"/>
      <c r="P618" s="201"/>
    </row>
    <row r="619" ht="22.5" customHeight="1">
      <c r="A619" s="201"/>
      <c r="B619" s="645"/>
      <c r="C619" s="645"/>
      <c r="D619" s="645"/>
      <c r="E619" s="201"/>
      <c r="F619" s="602"/>
      <c r="G619" s="645"/>
      <c r="H619" s="645"/>
      <c r="I619" s="645"/>
      <c r="J619" s="201"/>
      <c r="K619" s="201"/>
      <c r="L619" s="644"/>
      <c r="M619" s="644"/>
      <c r="N619" s="644"/>
      <c r="O619" s="602"/>
      <c r="P619" s="201"/>
    </row>
    <row r="620" ht="22.5" customHeight="1">
      <c r="A620" s="201"/>
      <c r="B620" s="645"/>
      <c r="C620" s="645"/>
      <c r="D620" s="645"/>
      <c r="E620" s="201"/>
      <c r="F620" s="602"/>
      <c r="G620" s="645"/>
      <c r="H620" s="645"/>
      <c r="I620" s="645"/>
      <c r="J620" s="201"/>
      <c r="K620" s="201"/>
      <c r="L620" s="644"/>
      <c r="M620" s="644"/>
      <c r="N620" s="644"/>
      <c r="O620" s="602"/>
      <c r="P620" s="201"/>
    </row>
    <row r="621" ht="22.5" customHeight="1">
      <c r="A621" s="201"/>
      <c r="B621" s="645"/>
      <c r="C621" s="645"/>
      <c r="D621" s="645"/>
      <c r="E621" s="201"/>
      <c r="F621" s="602"/>
      <c r="G621" s="645"/>
      <c r="H621" s="645"/>
      <c r="I621" s="645"/>
      <c r="J621" s="201"/>
      <c r="K621" s="201"/>
      <c r="L621" s="644"/>
      <c r="M621" s="644"/>
      <c r="N621" s="644"/>
      <c r="O621" s="602"/>
      <c r="P621" s="201"/>
    </row>
    <row r="622" ht="22.5" customHeight="1">
      <c r="A622" s="201"/>
      <c r="B622" s="645"/>
      <c r="C622" s="645"/>
      <c r="D622" s="645"/>
      <c r="E622" s="201"/>
      <c r="F622" s="602"/>
      <c r="G622" s="645"/>
      <c r="H622" s="645"/>
      <c r="I622" s="645"/>
      <c r="J622" s="201"/>
      <c r="K622" s="201"/>
      <c r="L622" s="644"/>
      <c r="M622" s="644"/>
      <c r="N622" s="644"/>
      <c r="O622" s="602"/>
      <c r="P622" s="201"/>
    </row>
    <row r="623" ht="22.5" customHeight="1">
      <c r="A623" s="201"/>
      <c r="B623" s="645"/>
      <c r="C623" s="645"/>
      <c r="D623" s="645"/>
      <c r="E623" s="201"/>
      <c r="F623" s="602"/>
      <c r="G623" s="645"/>
      <c r="H623" s="645"/>
      <c r="I623" s="645"/>
      <c r="J623" s="201"/>
      <c r="K623" s="201"/>
      <c r="L623" s="644"/>
      <c r="M623" s="644"/>
      <c r="N623" s="644"/>
      <c r="O623" s="602"/>
      <c r="P623" s="201"/>
    </row>
    <row r="624" ht="22.5" customHeight="1">
      <c r="A624" s="201"/>
      <c r="B624" s="645"/>
      <c r="C624" s="645"/>
      <c r="D624" s="645"/>
      <c r="E624" s="201"/>
      <c r="F624" s="602"/>
      <c r="G624" s="645"/>
      <c r="H624" s="645"/>
      <c r="I624" s="645"/>
      <c r="J624" s="201"/>
      <c r="K624" s="201"/>
      <c r="L624" s="644"/>
      <c r="M624" s="644"/>
      <c r="N624" s="644"/>
      <c r="O624" s="602"/>
      <c r="P624" s="201"/>
    </row>
    <row r="625" ht="22.5" customHeight="1">
      <c r="A625" s="201"/>
      <c r="B625" s="645"/>
      <c r="C625" s="645"/>
      <c r="D625" s="645"/>
      <c r="E625" s="201"/>
      <c r="F625" s="602"/>
      <c r="G625" s="645"/>
      <c r="H625" s="645"/>
      <c r="I625" s="645"/>
      <c r="J625" s="201"/>
      <c r="K625" s="201"/>
      <c r="L625" s="644"/>
      <c r="M625" s="644"/>
      <c r="N625" s="644"/>
      <c r="O625" s="602"/>
      <c r="P625" s="201"/>
    </row>
    <row r="626" ht="22.5" customHeight="1">
      <c r="A626" s="201"/>
      <c r="B626" s="645"/>
      <c r="C626" s="645"/>
      <c r="D626" s="645"/>
      <c r="E626" s="201"/>
      <c r="F626" s="602"/>
      <c r="G626" s="645"/>
      <c r="H626" s="645"/>
      <c r="I626" s="645"/>
      <c r="J626" s="201"/>
      <c r="K626" s="201"/>
      <c r="L626" s="644"/>
      <c r="M626" s="644"/>
      <c r="N626" s="644"/>
      <c r="O626" s="602"/>
      <c r="P626" s="201"/>
    </row>
    <row r="627" ht="22.5" customHeight="1">
      <c r="A627" s="201"/>
      <c r="B627" s="645"/>
      <c r="C627" s="645"/>
      <c r="D627" s="645"/>
      <c r="E627" s="201"/>
      <c r="F627" s="602"/>
      <c r="G627" s="645"/>
      <c r="H627" s="645"/>
      <c r="I627" s="645"/>
      <c r="J627" s="201"/>
      <c r="K627" s="201"/>
      <c r="L627" s="644"/>
      <c r="M627" s="644"/>
      <c r="N627" s="644"/>
      <c r="O627" s="602"/>
      <c r="P627" s="201"/>
    </row>
    <row r="628" ht="22.5" customHeight="1">
      <c r="A628" s="201"/>
      <c r="B628" s="645"/>
      <c r="C628" s="645"/>
      <c r="D628" s="645"/>
      <c r="E628" s="201"/>
      <c r="F628" s="602"/>
      <c r="G628" s="645"/>
      <c r="H628" s="645"/>
      <c r="I628" s="645"/>
      <c r="J628" s="201"/>
      <c r="K628" s="201"/>
      <c r="L628" s="644"/>
      <c r="M628" s="644"/>
      <c r="N628" s="644"/>
      <c r="O628" s="602"/>
      <c r="P628" s="201"/>
    </row>
    <row r="629" ht="22.5" customHeight="1">
      <c r="A629" s="201"/>
      <c r="B629" s="645"/>
      <c r="C629" s="645"/>
      <c r="D629" s="645"/>
      <c r="E629" s="201"/>
      <c r="F629" s="602"/>
      <c r="G629" s="645"/>
      <c r="H629" s="645"/>
      <c r="I629" s="645"/>
      <c r="J629" s="201"/>
      <c r="K629" s="201"/>
      <c r="L629" s="644"/>
      <c r="M629" s="644"/>
      <c r="N629" s="644"/>
      <c r="O629" s="602"/>
      <c r="P629" s="201"/>
    </row>
    <row r="630" ht="22.5" customHeight="1">
      <c r="A630" s="201"/>
      <c r="B630" s="645"/>
      <c r="C630" s="645"/>
      <c r="D630" s="645"/>
      <c r="E630" s="201"/>
      <c r="F630" s="602"/>
      <c r="G630" s="645"/>
      <c r="H630" s="645"/>
      <c r="I630" s="645"/>
      <c r="J630" s="201"/>
      <c r="K630" s="201"/>
      <c r="L630" s="644"/>
      <c r="M630" s="644"/>
      <c r="N630" s="644"/>
      <c r="O630" s="602"/>
      <c r="P630" s="201"/>
    </row>
    <row r="631" ht="22.5" customHeight="1">
      <c r="A631" s="201"/>
      <c r="B631" s="645"/>
      <c r="C631" s="645"/>
      <c r="D631" s="645"/>
      <c r="E631" s="201"/>
      <c r="F631" s="602"/>
      <c r="G631" s="645"/>
      <c r="H631" s="645"/>
      <c r="I631" s="645"/>
      <c r="J631" s="201"/>
      <c r="K631" s="201"/>
      <c r="L631" s="644"/>
      <c r="M631" s="644"/>
      <c r="N631" s="644"/>
      <c r="O631" s="602"/>
      <c r="P631" s="201"/>
    </row>
    <row r="632" ht="22.5" customHeight="1">
      <c r="A632" s="201"/>
      <c r="B632" s="645"/>
      <c r="C632" s="645"/>
      <c r="D632" s="645"/>
      <c r="E632" s="201"/>
      <c r="F632" s="602"/>
      <c r="G632" s="645"/>
      <c r="H632" s="645"/>
      <c r="I632" s="645"/>
      <c r="J632" s="201"/>
      <c r="K632" s="201"/>
      <c r="L632" s="644"/>
      <c r="M632" s="644"/>
      <c r="N632" s="644"/>
      <c r="O632" s="602"/>
      <c r="P632" s="201"/>
    </row>
    <row r="633" ht="22.5" customHeight="1">
      <c r="A633" s="201"/>
      <c r="B633" s="645"/>
      <c r="C633" s="645"/>
      <c r="D633" s="645"/>
      <c r="E633" s="201"/>
      <c r="F633" s="602"/>
      <c r="G633" s="645"/>
      <c r="H633" s="645"/>
      <c r="I633" s="645"/>
      <c r="J633" s="201"/>
      <c r="K633" s="201"/>
      <c r="L633" s="644"/>
      <c r="M633" s="644"/>
      <c r="N633" s="644"/>
      <c r="O633" s="602"/>
      <c r="P633" s="201"/>
    </row>
    <row r="634" ht="22.5" customHeight="1">
      <c r="A634" s="201"/>
      <c r="B634" s="645"/>
      <c r="C634" s="645"/>
      <c r="D634" s="645"/>
      <c r="E634" s="201"/>
      <c r="F634" s="602"/>
      <c r="G634" s="645"/>
      <c r="H634" s="645"/>
      <c r="I634" s="645"/>
      <c r="J634" s="201"/>
      <c r="K634" s="201"/>
      <c r="L634" s="644"/>
      <c r="M634" s="644"/>
      <c r="N634" s="644"/>
      <c r="O634" s="602"/>
      <c r="P634" s="201"/>
    </row>
    <row r="635" ht="22.5" customHeight="1">
      <c r="A635" s="201"/>
      <c r="B635" s="645"/>
      <c r="C635" s="645"/>
      <c r="D635" s="645"/>
      <c r="E635" s="201"/>
      <c r="F635" s="602"/>
      <c r="G635" s="645"/>
      <c r="H635" s="645"/>
      <c r="I635" s="645"/>
      <c r="J635" s="201"/>
      <c r="K635" s="201"/>
      <c r="L635" s="644"/>
      <c r="M635" s="644"/>
      <c r="N635" s="644"/>
      <c r="O635" s="602"/>
      <c r="P635" s="201"/>
    </row>
    <row r="636" ht="22.5" customHeight="1">
      <c r="A636" s="201"/>
      <c r="B636" s="645"/>
      <c r="C636" s="645"/>
      <c r="D636" s="645"/>
      <c r="E636" s="201"/>
      <c r="F636" s="602"/>
      <c r="G636" s="645"/>
      <c r="H636" s="645"/>
      <c r="I636" s="645"/>
      <c r="J636" s="201"/>
      <c r="K636" s="201"/>
      <c r="L636" s="644"/>
      <c r="M636" s="644"/>
      <c r="N636" s="644"/>
      <c r="O636" s="602"/>
      <c r="P636" s="201"/>
    </row>
    <row r="637" ht="22.5" customHeight="1">
      <c r="A637" s="201"/>
      <c r="B637" s="645"/>
      <c r="C637" s="645"/>
      <c r="D637" s="645"/>
      <c r="E637" s="201"/>
      <c r="F637" s="602"/>
      <c r="G637" s="645"/>
      <c r="H637" s="645"/>
      <c r="I637" s="645"/>
      <c r="J637" s="201"/>
      <c r="K637" s="201"/>
      <c r="L637" s="644"/>
      <c r="M637" s="644"/>
      <c r="N637" s="644"/>
      <c r="O637" s="602"/>
      <c r="P637" s="201"/>
    </row>
    <row r="638" ht="22.5" customHeight="1">
      <c r="A638" s="201"/>
      <c r="B638" s="645"/>
      <c r="C638" s="645"/>
      <c r="D638" s="645"/>
      <c r="E638" s="201"/>
      <c r="F638" s="602"/>
      <c r="G638" s="645"/>
      <c r="H638" s="645"/>
      <c r="I638" s="645"/>
      <c r="J638" s="201"/>
      <c r="K638" s="201"/>
      <c r="L638" s="644"/>
      <c r="M638" s="644"/>
      <c r="N638" s="644"/>
      <c r="O638" s="602"/>
      <c r="P638" s="201"/>
    </row>
    <row r="639" ht="22.5" customHeight="1">
      <c r="A639" s="201"/>
      <c r="B639" s="645"/>
      <c r="C639" s="645"/>
      <c r="D639" s="645"/>
      <c r="E639" s="201"/>
      <c r="F639" s="602"/>
      <c r="G639" s="645"/>
      <c r="H639" s="645"/>
      <c r="I639" s="645"/>
      <c r="J639" s="201"/>
      <c r="K639" s="201"/>
      <c r="L639" s="644"/>
      <c r="M639" s="644"/>
      <c r="N639" s="644"/>
      <c r="O639" s="602"/>
      <c r="P639" s="201"/>
    </row>
    <row r="640" ht="22.5" customHeight="1">
      <c r="A640" s="201"/>
      <c r="B640" s="645"/>
      <c r="C640" s="645"/>
      <c r="D640" s="645"/>
      <c r="E640" s="201"/>
      <c r="F640" s="602"/>
      <c r="G640" s="645"/>
      <c r="H640" s="645"/>
      <c r="I640" s="645"/>
      <c r="J640" s="201"/>
      <c r="K640" s="201"/>
      <c r="L640" s="644"/>
      <c r="M640" s="644"/>
      <c r="N640" s="644"/>
      <c r="O640" s="602"/>
      <c r="P640" s="201"/>
    </row>
    <row r="641" ht="22.5" customHeight="1">
      <c r="A641" s="201"/>
      <c r="B641" s="645"/>
      <c r="C641" s="645"/>
      <c r="D641" s="645"/>
      <c r="E641" s="201"/>
      <c r="F641" s="602"/>
      <c r="G641" s="645"/>
      <c r="H641" s="645"/>
      <c r="I641" s="645"/>
      <c r="J641" s="201"/>
      <c r="K641" s="201"/>
      <c r="L641" s="644"/>
      <c r="M641" s="644"/>
      <c r="N641" s="644"/>
      <c r="O641" s="602"/>
      <c r="P641" s="201"/>
    </row>
    <row r="642" ht="22.5" customHeight="1">
      <c r="A642" s="201"/>
      <c r="B642" s="645"/>
      <c r="C642" s="645"/>
      <c r="D642" s="645"/>
      <c r="E642" s="201"/>
      <c r="F642" s="602"/>
      <c r="G642" s="645"/>
      <c r="H642" s="645"/>
      <c r="I642" s="645"/>
      <c r="J642" s="201"/>
      <c r="K642" s="201"/>
      <c r="L642" s="644"/>
      <c r="M642" s="644"/>
      <c r="N642" s="644"/>
      <c r="O642" s="602"/>
      <c r="P642" s="201"/>
    </row>
    <row r="643" ht="22.5" customHeight="1">
      <c r="A643" s="201"/>
      <c r="B643" s="645"/>
      <c r="C643" s="645"/>
      <c r="D643" s="645"/>
      <c r="E643" s="201"/>
      <c r="F643" s="602"/>
      <c r="G643" s="645"/>
      <c r="H643" s="645"/>
      <c r="I643" s="645"/>
      <c r="J643" s="201"/>
      <c r="K643" s="201"/>
      <c r="L643" s="644"/>
      <c r="M643" s="644"/>
      <c r="N643" s="644"/>
      <c r="O643" s="602"/>
      <c r="P643" s="201"/>
    </row>
    <row r="644" ht="22.5" customHeight="1">
      <c r="A644" s="201"/>
      <c r="B644" s="645"/>
      <c r="C644" s="645"/>
      <c r="D644" s="645"/>
      <c r="E644" s="201"/>
      <c r="F644" s="602"/>
      <c r="G644" s="645"/>
      <c r="H644" s="645"/>
      <c r="I644" s="645"/>
      <c r="J644" s="201"/>
      <c r="K644" s="201"/>
      <c r="L644" s="644"/>
      <c r="M644" s="644"/>
      <c r="N644" s="644"/>
      <c r="O644" s="602"/>
      <c r="P644" s="201"/>
    </row>
    <row r="645" ht="22.5" customHeight="1">
      <c r="A645" s="201"/>
      <c r="B645" s="645"/>
      <c r="C645" s="645"/>
      <c r="D645" s="645"/>
      <c r="E645" s="201"/>
      <c r="F645" s="602"/>
      <c r="G645" s="645"/>
      <c r="H645" s="645"/>
      <c r="I645" s="645"/>
      <c r="J645" s="201"/>
      <c r="K645" s="201"/>
      <c r="L645" s="644"/>
      <c r="M645" s="644"/>
      <c r="N645" s="644"/>
      <c r="O645" s="602"/>
      <c r="P645" s="201"/>
    </row>
    <row r="646" ht="22.5" customHeight="1">
      <c r="A646" s="201"/>
      <c r="B646" s="645"/>
      <c r="C646" s="645"/>
      <c r="D646" s="645"/>
      <c r="E646" s="201"/>
      <c r="F646" s="602"/>
      <c r="G646" s="645"/>
      <c r="H646" s="645"/>
      <c r="I646" s="645"/>
      <c r="J646" s="201"/>
      <c r="K646" s="201"/>
      <c r="L646" s="644"/>
      <c r="M646" s="644"/>
      <c r="N646" s="644"/>
      <c r="O646" s="602"/>
      <c r="P646" s="201"/>
    </row>
    <row r="647" ht="22.5" customHeight="1">
      <c r="A647" s="201"/>
      <c r="B647" s="645"/>
      <c r="C647" s="645"/>
      <c r="D647" s="645"/>
      <c r="E647" s="201"/>
      <c r="F647" s="602"/>
      <c r="G647" s="645"/>
      <c r="H647" s="645"/>
      <c r="I647" s="645"/>
      <c r="J647" s="201"/>
      <c r="K647" s="201"/>
      <c r="L647" s="644"/>
      <c r="M647" s="644"/>
      <c r="N647" s="644"/>
      <c r="O647" s="602"/>
      <c r="P647" s="201"/>
    </row>
    <row r="648" ht="22.5" customHeight="1">
      <c r="A648" s="201"/>
      <c r="B648" s="645"/>
      <c r="C648" s="645"/>
      <c r="D648" s="645"/>
      <c r="E648" s="201"/>
      <c r="F648" s="602"/>
      <c r="G648" s="645"/>
      <c r="H648" s="645"/>
      <c r="I648" s="645"/>
      <c r="J648" s="201"/>
      <c r="K648" s="201"/>
      <c r="L648" s="644"/>
      <c r="M648" s="644"/>
      <c r="N648" s="644"/>
      <c r="O648" s="602"/>
      <c r="P648" s="201"/>
    </row>
    <row r="649" ht="22.5" customHeight="1">
      <c r="A649" s="201"/>
      <c r="B649" s="645"/>
      <c r="C649" s="645"/>
      <c r="D649" s="645"/>
      <c r="E649" s="201"/>
      <c r="F649" s="602"/>
      <c r="G649" s="645"/>
      <c r="H649" s="645"/>
      <c r="I649" s="645"/>
      <c r="J649" s="201"/>
      <c r="K649" s="201"/>
      <c r="L649" s="644"/>
      <c r="M649" s="644"/>
      <c r="N649" s="644"/>
      <c r="O649" s="602"/>
      <c r="P649" s="201"/>
    </row>
    <row r="650" ht="22.5" customHeight="1">
      <c r="A650" s="201"/>
      <c r="B650" s="645"/>
      <c r="C650" s="645"/>
      <c r="D650" s="645"/>
      <c r="E650" s="201"/>
      <c r="F650" s="602"/>
      <c r="G650" s="645"/>
      <c r="H650" s="645"/>
      <c r="I650" s="645"/>
      <c r="J650" s="201"/>
      <c r="K650" s="201"/>
      <c r="L650" s="644"/>
      <c r="M650" s="644"/>
      <c r="N650" s="644"/>
      <c r="O650" s="602"/>
      <c r="P650" s="201"/>
    </row>
    <row r="651" ht="22.5" customHeight="1">
      <c r="A651" s="201"/>
      <c r="B651" s="645"/>
      <c r="C651" s="645"/>
      <c r="D651" s="645"/>
      <c r="E651" s="201"/>
      <c r="F651" s="602"/>
      <c r="G651" s="645"/>
      <c r="H651" s="645"/>
      <c r="I651" s="645"/>
      <c r="J651" s="201"/>
      <c r="K651" s="201"/>
      <c r="L651" s="644"/>
      <c r="M651" s="644"/>
      <c r="N651" s="644"/>
      <c r="O651" s="602"/>
      <c r="P651" s="201"/>
    </row>
    <row r="652" ht="22.5" customHeight="1">
      <c r="A652" s="201"/>
      <c r="B652" s="645"/>
      <c r="C652" s="645"/>
      <c r="D652" s="645"/>
      <c r="E652" s="201"/>
      <c r="F652" s="602"/>
      <c r="G652" s="645"/>
      <c r="H652" s="645"/>
      <c r="I652" s="645"/>
      <c r="J652" s="201"/>
      <c r="K652" s="201"/>
      <c r="L652" s="644"/>
      <c r="M652" s="644"/>
      <c r="N652" s="644"/>
      <c r="O652" s="602"/>
      <c r="P652" s="201"/>
    </row>
    <row r="653" ht="22.5" customHeight="1">
      <c r="A653" s="201"/>
      <c r="B653" s="645"/>
      <c r="C653" s="645"/>
      <c r="D653" s="645"/>
      <c r="E653" s="201"/>
      <c r="F653" s="602"/>
      <c r="G653" s="645"/>
      <c r="H653" s="645"/>
      <c r="I653" s="645"/>
      <c r="J653" s="201"/>
      <c r="K653" s="201"/>
      <c r="L653" s="644"/>
      <c r="M653" s="644"/>
      <c r="N653" s="644"/>
      <c r="O653" s="602"/>
      <c r="P653" s="201"/>
    </row>
    <row r="654" ht="22.5" customHeight="1">
      <c r="A654" s="201"/>
      <c r="B654" s="645"/>
      <c r="C654" s="645"/>
      <c r="D654" s="645"/>
      <c r="E654" s="201"/>
      <c r="F654" s="602"/>
      <c r="G654" s="645"/>
      <c r="H654" s="645"/>
      <c r="I654" s="645"/>
      <c r="J654" s="201"/>
      <c r="K654" s="201"/>
      <c r="L654" s="644"/>
      <c r="M654" s="644"/>
      <c r="N654" s="644"/>
      <c r="O654" s="602"/>
      <c r="P654" s="201"/>
    </row>
    <row r="655" ht="22.5" customHeight="1">
      <c r="A655" s="201"/>
      <c r="B655" s="645"/>
      <c r="C655" s="645"/>
      <c r="D655" s="645"/>
      <c r="E655" s="201"/>
      <c r="F655" s="602"/>
      <c r="G655" s="645"/>
      <c r="H655" s="645"/>
      <c r="I655" s="645"/>
      <c r="J655" s="201"/>
      <c r="K655" s="201"/>
      <c r="L655" s="644"/>
      <c r="M655" s="644"/>
      <c r="N655" s="644"/>
      <c r="O655" s="602"/>
      <c r="P655" s="201"/>
    </row>
    <row r="656" ht="22.5" customHeight="1">
      <c r="A656" s="201"/>
      <c r="B656" s="645"/>
      <c r="C656" s="645"/>
      <c r="D656" s="645"/>
      <c r="E656" s="201"/>
      <c r="F656" s="602"/>
      <c r="G656" s="645"/>
      <c r="H656" s="645"/>
      <c r="I656" s="645"/>
      <c r="J656" s="201"/>
      <c r="K656" s="201"/>
      <c r="L656" s="644"/>
      <c r="M656" s="644"/>
      <c r="N656" s="644"/>
      <c r="O656" s="602"/>
      <c r="P656" s="201"/>
    </row>
    <row r="657" ht="22.5" customHeight="1">
      <c r="A657" s="201"/>
      <c r="B657" s="645"/>
      <c r="C657" s="645"/>
      <c r="D657" s="645"/>
      <c r="E657" s="201"/>
      <c r="F657" s="602"/>
      <c r="G657" s="645"/>
      <c r="H657" s="645"/>
      <c r="I657" s="645"/>
      <c r="J657" s="201"/>
      <c r="K657" s="201"/>
      <c r="L657" s="644"/>
      <c r="M657" s="644"/>
      <c r="N657" s="644"/>
      <c r="O657" s="602"/>
      <c r="P657" s="201"/>
    </row>
    <row r="658" ht="22.5" customHeight="1">
      <c r="A658" s="201"/>
      <c r="B658" s="645"/>
      <c r="C658" s="645"/>
      <c r="D658" s="645"/>
      <c r="E658" s="201"/>
      <c r="F658" s="602"/>
      <c r="G658" s="645"/>
      <c r="H658" s="645"/>
      <c r="I658" s="645"/>
      <c r="J658" s="201"/>
      <c r="K658" s="201"/>
      <c r="L658" s="644"/>
      <c r="M658" s="644"/>
      <c r="N658" s="644"/>
      <c r="O658" s="602"/>
      <c r="P658" s="201"/>
    </row>
    <row r="659" ht="22.5" customHeight="1">
      <c r="A659" s="201"/>
      <c r="B659" s="645"/>
      <c r="C659" s="645"/>
      <c r="D659" s="645"/>
      <c r="E659" s="201"/>
      <c r="F659" s="602"/>
      <c r="G659" s="645"/>
      <c r="H659" s="645"/>
      <c r="I659" s="645"/>
      <c r="J659" s="201"/>
      <c r="K659" s="201"/>
      <c r="L659" s="644"/>
      <c r="M659" s="644"/>
      <c r="N659" s="644"/>
      <c r="O659" s="602"/>
      <c r="P659" s="201"/>
    </row>
    <row r="660" ht="22.5" customHeight="1">
      <c r="A660" s="201"/>
      <c r="B660" s="645"/>
      <c r="C660" s="645"/>
      <c r="D660" s="645"/>
      <c r="E660" s="201"/>
      <c r="F660" s="602"/>
      <c r="G660" s="645"/>
      <c r="H660" s="645"/>
      <c r="I660" s="645"/>
      <c r="J660" s="201"/>
      <c r="K660" s="201"/>
      <c r="L660" s="644"/>
      <c r="M660" s="644"/>
      <c r="N660" s="644"/>
      <c r="O660" s="602"/>
      <c r="P660" s="201"/>
    </row>
    <row r="661" ht="22.5" customHeight="1">
      <c r="A661" s="201"/>
      <c r="B661" s="645"/>
      <c r="C661" s="645"/>
      <c r="D661" s="645"/>
      <c r="E661" s="201"/>
      <c r="F661" s="602"/>
      <c r="G661" s="645"/>
      <c r="H661" s="645"/>
      <c r="I661" s="645"/>
      <c r="J661" s="201"/>
      <c r="K661" s="201"/>
      <c r="L661" s="644"/>
      <c r="M661" s="644"/>
      <c r="N661" s="644"/>
      <c r="O661" s="602"/>
      <c r="P661" s="201"/>
    </row>
    <row r="662" ht="22.5" customHeight="1">
      <c r="A662" s="201"/>
      <c r="B662" s="645"/>
      <c r="C662" s="645"/>
      <c r="D662" s="645"/>
      <c r="E662" s="201"/>
      <c r="F662" s="602"/>
      <c r="G662" s="645"/>
      <c r="H662" s="645"/>
      <c r="I662" s="645"/>
      <c r="J662" s="201"/>
      <c r="K662" s="201"/>
      <c r="L662" s="644"/>
      <c r="M662" s="644"/>
      <c r="N662" s="644"/>
      <c r="O662" s="602"/>
      <c r="P662" s="201"/>
    </row>
    <row r="663" ht="22.5" customHeight="1">
      <c r="A663" s="201"/>
      <c r="B663" s="645"/>
      <c r="C663" s="645"/>
      <c r="D663" s="645"/>
      <c r="E663" s="201"/>
      <c r="F663" s="602"/>
      <c r="G663" s="645"/>
      <c r="H663" s="645"/>
      <c r="I663" s="645"/>
      <c r="J663" s="201"/>
      <c r="K663" s="201"/>
      <c r="L663" s="644"/>
      <c r="M663" s="644"/>
      <c r="N663" s="644"/>
      <c r="O663" s="602"/>
      <c r="P663" s="201"/>
    </row>
    <row r="664" ht="22.5" customHeight="1">
      <c r="A664" s="201"/>
      <c r="B664" s="645"/>
      <c r="C664" s="645"/>
      <c r="D664" s="645"/>
      <c r="E664" s="201"/>
      <c r="F664" s="602"/>
      <c r="G664" s="645"/>
      <c r="H664" s="645"/>
      <c r="I664" s="645"/>
      <c r="J664" s="201"/>
      <c r="K664" s="201"/>
      <c r="L664" s="644"/>
      <c r="M664" s="644"/>
      <c r="N664" s="644"/>
      <c r="O664" s="602"/>
      <c r="P664" s="201"/>
    </row>
    <row r="665" ht="22.5" customHeight="1">
      <c r="A665" s="201"/>
      <c r="B665" s="645"/>
      <c r="C665" s="645"/>
      <c r="D665" s="645"/>
      <c r="E665" s="201"/>
      <c r="F665" s="602"/>
      <c r="G665" s="645"/>
      <c r="H665" s="645"/>
      <c r="I665" s="645"/>
      <c r="J665" s="201"/>
      <c r="K665" s="201"/>
      <c r="L665" s="644"/>
      <c r="M665" s="644"/>
      <c r="N665" s="644"/>
      <c r="O665" s="602"/>
      <c r="P665" s="201"/>
    </row>
    <row r="666" ht="22.5" customHeight="1">
      <c r="A666" s="201"/>
      <c r="B666" s="645"/>
      <c r="C666" s="645"/>
      <c r="D666" s="645"/>
      <c r="E666" s="201"/>
      <c r="F666" s="602"/>
      <c r="G666" s="645"/>
      <c r="H666" s="645"/>
      <c r="I666" s="645"/>
      <c r="J666" s="201"/>
      <c r="K666" s="201"/>
      <c r="L666" s="644"/>
      <c r="M666" s="644"/>
      <c r="N666" s="644"/>
      <c r="O666" s="602"/>
      <c r="P666" s="201"/>
    </row>
    <row r="667" ht="22.5" customHeight="1">
      <c r="A667" s="201"/>
      <c r="B667" s="645"/>
      <c r="C667" s="645"/>
      <c r="D667" s="645"/>
      <c r="E667" s="201"/>
      <c r="F667" s="602"/>
      <c r="G667" s="645"/>
      <c r="H667" s="645"/>
      <c r="I667" s="645"/>
      <c r="J667" s="201"/>
      <c r="K667" s="201"/>
      <c r="L667" s="644"/>
      <c r="M667" s="644"/>
      <c r="N667" s="644"/>
      <c r="O667" s="602"/>
      <c r="P667" s="201"/>
    </row>
    <row r="668" ht="22.5" customHeight="1">
      <c r="A668" s="201"/>
      <c r="B668" s="645"/>
      <c r="C668" s="645"/>
      <c r="D668" s="645"/>
      <c r="E668" s="201"/>
      <c r="F668" s="602"/>
      <c r="G668" s="645"/>
      <c r="H668" s="645"/>
      <c r="I668" s="645"/>
      <c r="J668" s="201"/>
      <c r="K668" s="201"/>
      <c r="L668" s="644"/>
      <c r="M668" s="644"/>
      <c r="N668" s="644"/>
      <c r="O668" s="602"/>
      <c r="P668" s="201"/>
    </row>
    <row r="669" ht="22.5" customHeight="1">
      <c r="A669" s="201"/>
      <c r="B669" s="645"/>
      <c r="C669" s="645"/>
      <c r="D669" s="645"/>
      <c r="E669" s="201"/>
      <c r="F669" s="602"/>
      <c r="G669" s="645"/>
      <c r="H669" s="645"/>
      <c r="I669" s="645"/>
      <c r="J669" s="201"/>
      <c r="K669" s="201"/>
      <c r="L669" s="644"/>
      <c r="M669" s="644"/>
      <c r="N669" s="644"/>
      <c r="O669" s="602"/>
      <c r="P669" s="201"/>
    </row>
    <row r="670" ht="22.5" customHeight="1">
      <c r="A670" s="201"/>
      <c r="B670" s="645"/>
      <c r="C670" s="645"/>
      <c r="D670" s="645"/>
      <c r="E670" s="201"/>
      <c r="F670" s="602"/>
      <c r="G670" s="645"/>
      <c r="H670" s="645"/>
      <c r="I670" s="645"/>
      <c r="J670" s="201"/>
      <c r="K670" s="201"/>
      <c r="L670" s="644"/>
      <c r="M670" s="644"/>
      <c r="N670" s="644"/>
      <c r="O670" s="602"/>
      <c r="P670" s="201"/>
    </row>
    <row r="671" ht="22.5" customHeight="1">
      <c r="A671" s="201"/>
      <c r="B671" s="645"/>
      <c r="C671" s="645"/>
      <c r="D671" s="645"/>
      <c r="E671" s="201"/>
      <c r="F671" s="602"/>
      <c r="G671" s="645"/>
      <c r="H671" s="645"/>
      <c r="I671" s="645"/>
      <c r="J671" s="201"/>
      <c r="K671" s="201"/>
      <c r="L671" s="644"/>
      <c r="M671" s="644"/>
      <c r="N671" s="644"/>
      <c r="O671" s="602"/>
      <c r="P671" s="201"/>
    </row>
    <row r="672" ht="22.5" customHeight="1">
      <c r="A672" s="201"/>
      <c r="B672" s="645"/>
      <c r="C672" s="645"/>
      <c r="D672" s="645"/>
      <c r="E672" s="201"/>
      <c r="F672" s="602"/>
      <c r="G672" s="645"/>
      <c r="H672" s="645"/>
      <c r="I672" s="645"/>
      <c r="J672" s="201"/>
      <c r="K672" s="201"/>
      <c r="L672" s="644"/>
      <c r="M672" s="644"/>
      <c r="N672" s="644"/>
      <c r="O672" s="602"/>
      <c r="P672" s="201"/>
    </row>
    <row r="673" ht="22.5" customHeight="1">
      <c r="A673" s="201"/>
      <c r="B673" s="645"/>
      <c r="C673" s="645"/>
      <c r="D673" s="645"/>
      <c r="E673" s="201"/>
      <c r="F673" s="602"/>
      <c r="G673" s="645"/>
      <c r="H673" s="645"/>
      <c r="I673" s="645"/>
      <c r="J673" s="201"/>
      <c r="K673" s="201"/>
      <c r="L673" s="644"/>
      <c r="M673" s="644"/>
      <c r="N673" s="644"/>
      <c r="O673" s="602"/>
      <c r="P673" s="201"/>
    </row>
    <row r="674" ht="22.5" customHeight="1">
      <c r="A674" s="201"/>
      <c r="B674" s="645"/>
      <c r="C674" s="645"/>
      <c r="D674" s="645"/>
      <c r="E674" s="201"/>
      <c r="F674" s="602"/>
      <c r="G674" s="645"/>
      <c r="H674" s="645"/>
      <c r="I674" s="645"/>
      <c r="J674" s="201"/>
      <c r="K674" s="201"/>
      <c r="L674" s="644"/>
      <c r="M674" s="644"/>
      <c r="N674" s="644"/>
      <c r="O674" s="602"/>
      <c r="P674" s="201"/>
    </row>
    <row r="675" ht="22.5" customHeight="1">
      <c r="A675" s="201"/>
      <c r="B675" s="645"/>
      <c r="C675" s="645"/>
      <c r="D675" s="645"/>
      <c r="E675" s="201"/>
      <c r="F675" s="602"/>
      <c r="G675" s="645"/>
      <c r="H675" s="645"/>
      <c r="I675" s="645"/>
      <c r="J675" s="201"/>
      <c r="K675" s="201"/>
      <c r="L675" s="644"/>
      <c r="M675" s="644"/>
      <c r="N675" s="644"/>
      <c r="O675" s="602"/>
      <c r="P675" s="201"/>
    </row>
    <row r="676" ht="22.5" customHeight="1">
      <c r="A676" s="201"/>
      <c r="B676" s="645"/>
      <c r="C676" s="645"/>
      <c r="D676" s="645"/>
      <c r="E676" s="201"/>
      <c r="F676" s="602"/>
      <c r="G676" s="645"/>
      <c r="H676" s="645"/>
      <c r="I676" s="645"/>
      <c r="J676" s="201"/>
      <c r="K676" s="201"/>
      <c r="L676" s="644"/>
      <c r="M676" s="644"/>
      <c r="N676" s="644"/>
      <c r="O676" s="602"/>
      <c r="P676" s="201"/>
    </row>
    <row r="677" ht="22.5" customHeight="1">
      <c r="A677" s="201"/>
      <c r="B677" s="645"/>
      <c r="C677" s="645"/>
      <c r="D677" s="645"/>
      <c r="E677" s="201"/>
      <c r="F677" s="602"/>
      <c r="G677" s="645"/>
      <c r="H677" s="645"/>
      <c r="I677" s="645"/>
      <c r="J677" s="201"/>
      <c r="K677" s="201"/>
      <c r="L677" s="644"/>
      <c r="M677" s="644"/>
      <c r="N677" s="644"/>
      <c r="O677" s="602"/>
      <c r="P677" s="201"/>
    </row>
    <row r="678" ht="22.5" customHeight="1">
      <c r="A678" s="201"/>
      <c r="B678" s="645"/>
      <c r="C678" s="645"/>
      <c r="D678" s="645"/>
      <c r="E678" s="201"/>
      <c r="F678" s="602"/>
      <c r="G678" s="645"/>
      <c r="H678" s="645"/>
      <c r="I678" s="645"/>
      <c r="J678" s="201"/>
      <c r="K678" s="201"/>
      <c r="L678" s="644"/>
      <c r="M678" s="644"/>
      <c r="N678" s="644"/>
      <c r="O678" s="602"/>
      <c r="P678" s="201"/>
    </row>
    <row r="679" ht="22.5" customHeight="1">
      <c r="A679" s="201"/>
      <c r="B679" s="645"/>
      <c r="C679" s="645"/>
      <c r="D679" s="645"/>
      <c r="E679" s="201"/>
      <c r="F679" s="602"/>
      <c r="G679" s="645"/>
      <c r="H679" s="645"/>
      <c r="I679" s="645"/>
      <c r="J679" s="201"/>
      <c r="K679" s="201"/>
      <c r="L679" s="644"/>
      <c r="M679" s="644"/>
      <c r="N679" s="644"/>
      <c r="O679" s="602"/>
      <c r="P679" s="201"/>
    </row>
    <row r="680" ht="22.5" customHeight="1">
      <c r="A680" s="201"/>
      <c r="B680" s="645"/>
      <c r="C680" s="645"/>
      <c r="D680" s="645"/>
      <c r="E680" s="201"/>
      <c r="F680" s="602"/>
      <c r="G680" s="645"/>
      <c r="H680" s="645"/>
      <c r="I680" s="645"/>
      <c r="J680" s="201"/>
      <c r="K680" s="201"/>
      <c r="L680" s="644"/>
      <c r="M680" s="644"/>
      <c r="N680" s="644"/>
      <c r="O680" s="602"/>
      <c r="P680" s="201"/>
    </row>
    <row r="681" ht="22.5" customHeight="1">
      <c r="A681" s="201"/>
      <c r="B681" s="645"/>
      <c r="C681" s="645"/>
      <c r="D681" s="645"/>
      <c r="E681" s="201"/>
      <c r="F681" s="602"/>
      <c r="G681" s="645"/>
      <c r="H681" s="645"/>
      <c r="I681" s="645"/>
      <c r="J681" s="201"/>
      <c r="K681" s="201"/>
      <c r="L681" s="644"/>
      <c r="M681" s="644"/>
      <c r="N681" s="644"/>
      <c r="O681" s="602"/>
      <c r="P681" s="201"/>
    </row>
    <row r="682" ht="22.5" customHeight="1">
      <c r="A682" s="201"/>
      <c r="B682" s="645"/>
      <c r="C682" s="645"/>
      <c r="D682" s="645"/>
      <c r="E682" s="201"/>
      <c r="F682" s="602"/>
      <c r="G682" s="645"/>
      <c r="H682" s="645"/>
      <c r="I682" s="645"/>
      <c r="J682" s="201"/>
      <c r="K682" s="201"/>
      <c r="L682" s="644"/>
      <c r="M682" s="644"/>
      <c r="N682" s="644"/>
      <c r="O682" s="602"/>
      <c r="P682" s="201"/>
    </row>
    <row r="683" ht="22.5" customHeight="1">
      <c r="A683" s="201"/>
      <c r="B683" s="645"/>
      <c r="C683" s="645"/>
      <c r="D683" s="645"/>
      <c r="E683" s="201"/>
      <c r="F683" s="602"/>
      <c r="G683" s="645"/>
      <c r="H683" s="645"/>
      <c r="I683" s="645"/>
      <c r="J683" s="201"/>
      <c r="K683" s="201"/>
      <c r="L683" s="644"/>
      <c r="M683" s="644"/>
      <c r="N683" s="644"/>
      <c r="O683" s="602"/>
      <c r="P683" s="201"/>
    </row>
    <row r="684" ht="22.5" customHeight="1">
      <c r="A684" s="201"/>
      <c r="B684" s="645"/>
      <c r="C684" s="645"/>
      <c r="D684" s="645"/>
      <c r="E684" s="201"/>
      <c r="F684" s="602"/>
      <c r="G684" s="645"/>
      <c r="H684" s="645"/>
      <c r="I684" s="645"/>
      <c r="J684" s="201"/>
      <c r="K684" s="201"/>
      <c r="L684" s="644"/>
      <c r="M684" s="644"/>
      <c r="N684" s="644"/>
      <c r="O684" s="602"/>
      <c r="P684" s="201"/>
    </row>
    <row r="685" ht="22.5" customHeight="1">
      <c r="A685" s="201"/>
      <c r="B685" s="645"/>
      <c r="C685" s="645"/>
      <c r="D685" s="645"/>
      <c r="E685" s="201"/>
      <c r="F685" s="602"/>
      <c r="G685" s="645"/>
      <c r="H685" s="645"/>
      <c r="I685" s="645"/>
      <c r="J685" s="201"/>
      <c r="K685" s="201"/>
      <c r="L685" s="644"/>
      <c r="M685" s="644"/>
      <c r="N685" s="644"/>
      <c r="O685" s="602"/>
      <c r="P685" s="201"/>
    </row>
    <row r="686" ht="22.5" customHeight="1">
      <c r="A686" s="201"/>
      <c r="B686" s="645"/>
      <c r="C686" s="645"/>
      <c r="D686" s="645"/>
      <c r="E686" s="201"/>
      <c r="F686" s="602"/>
      <c r="G686" s="645"/>
      <c r="H686" s="645"/>
      <c r="I686" s="645"/>
      <c r="J686" s="201"/>
      <c r="K686" s="201"/>
      <c r="L686" s="644"/>
      <c r="M686" s="644"/>
      <c r="N686" s="644"/>
      <c r="O686" s="602"/>
      <c r="P686" s="201"/>
    </row>
    <row r="687" ht="22.5" customHeight="1">
      <c r="A687" s="201"/>
      <c r="B687" s="645"/>
      <c r="C687" s="645"/>
      <c r="D687" s="645"/>
      <c r="E687" s="201"/>
      <c r="F687" s="602"/>
      <c r="G687" s="645"/>
      <c r="H687" s="645"/>
      <c r="I687" s="645"/>
      <c r="J687" s="201"/>
      <c r="K687" s="201"/>
      <c r="L687" s="644"/>
      <c r="M687" s="644"/>
      <c r="N687" s="644"/>
      <c r="O687" s="602"/>
      <c r="P687" s="201"/>
    </row>
    <row r="688" ht="22.5" customHeight="1">
      <c r="A688" s="201"/>
      <c r="B688" s="645"/>
      <c r="C688" s="645"/>
      <c r="D688" s="645"/>
      <c r="E688" s="201"/>
      <c r="F688" s="602"/>
      <c r="G688" s="645"/>
      <c r="H688" s="645"/>
      <c r="I688" s="645"/>
      <c r="J688" s="201"/>
      <c r="K688" s="201"/>
      <c r="L688" s="644"/>
      <c r="M688" s="644"/>
      <c r="N688" s="644"/>
      <c r="O688" s="602"/>
      <c r="P688" s="201"/>
    </row>
    <row r="689" ht="22.5" customHeight="1">
      <c r="A689" s="201"/>
      <c r="B689" s="645"/>
      <c r="C689" s="645"/>
      <c r="D689" s="645"/>
      <c r="E689" s="201"/>
      <c r="F689" s="602"/>
      <c r="G689" s="645"/>
      <c r="H689" s="645"/>
      <c r="I689" s="645"/>
      <c r="J689" s="201"/>
      <c r="K689" s="201"/>
      <c r="L689" s="644"/>
      <c r="M689" s="644"/>
      <c r="N689" s="644"/>
      <c r="O689" s="602"/>
      <c r="P689" s="201"/>
    </row>
    <row r="690" ht="22.5" customHeight="1">
      <c r="A690" s="201"/>
      <c r="B690" s="645"/>
      <c r="C690" s="645"/>
      <c r="D690" s="645"/>
      <c r="E690" s="201"/>
      <c r="F690" s="602"/>
      <c r="G690" s="645"/>
      <c r="H690" s="645"/>
      <c r="I690" s="645"/>
      <c r="J690" s="201"/>
      <c r="K690" s="201"/>
      <c r="L690" s="644"/>
      <c r="M690" s="644"/>
      <c r="N690" s="644"/>
      <c r="O690" s="602"/>
      <c r="P690" s="201"/>
    </row>
    <row r="691" ht="22.5" customHeight="1">
      <c r="A691" s="201"/>
      <c r="B691" s="645"/>
      <c r="C691" s="645"/>
      <c r="D691" s="645"/>
      <c r="E691" s="201"/>
      <c r="F691" s="602"/>
      <c r="G691" s="645"/>
      <c r="H691" s="645"/>
      <c r="I691" s="645"/>
      <c r="J691" s="201"/>
      <c r="K691" s="201"/>
      <c r="L691" s="644"/>
      <c r="M691" s="644"/>
      <c r="N691" s="644"/>
      <c r="O691" s="602"/>
      <c r="P691" s="201"/>
    </row>
    <row r="692" ht="22.5" customHeight="1">
      <c r="A692" s="201"/>
      <c r="B692" s="645"/>
      <c r="C692" s="645"/>
      <c r="D692" s="645"/>
      <c r="E692" s="201"/>
      <c r="F692" s="602"/>
      <c r="G692" s="645"/>
      <c r="H692" s="645"/>
      <c r="I692" s="645"/>
      <c r="J692" s="201"/>
      <c r="K692" s="201"/>
      <c r="L692" s="644"/>
      <c r="M692" s="644"/>
      <c r="N692" s="644"/>
      <c r="O692" s="602"/>
      <c r="P692" s="201"/>
    </row>
    <row r="693" ht="22.5" customHeight="1">
      <c r="A693" s="201"/>
      <c r="B693" s="645"/>
      <c r="C693" s="645"/>
      <c r="D693" s="645"/>
      <c r="E693" s="201"/>
      <c r="F693" s="602"/>
      <c r="G693" s="645"/>
      <c r="H693" s="645"/>
      <c r="I693" s="645"/>
      <c r="J693" s="201"/>
      <c r="K693" s="201"/>
      <c r="L693" s="644"/>
      <c r="M693" s="644"/>
      <c r="N693" s="644"/>
      <c r="O693" s="602"/>
      <c r="P693" s="201"/>
    </row>
    <row r="694" ht="22.5" customHeight="1">
      <c r="A694" s="201"/>
      <c r="B694" s="645"/>
      <c r="C694" s="645"/>
      <c r="D694" s="645"/>
      <c r="E694" s="201"/>
      <c r="F694" s="602"/>
      <c r="G694" s="645"/>
      <c r="H694" s="645"/>
      <c r="I694" s="645"/>
      <c r="J694" s="201"/>
      <c r="K694" s="201"/>
      <c r="L694" s="644"/>
      <c r="M694" s="644"/>
      <c r="N694" s="644"/>
      <c r="O694" s="602"/>
      <c r="P694" s="201"/>
    </row>
    <row r="695" ht="22.5" customHeight="1">
      <c r="A695" s="201"/>
      <c r="B695" s="645"/>
      <c r="C695" s="645"/>
      <c r="D695" s="645"/>
      <c r="E695" s="201"/>
      <c r="F695" s="602"/>
      <c r="G695" s="645"/>
      <c r="H695" s="645"/>
      <c r="I695" s="645"/>
      <c r="J695" s="201"/>
      <c r="K695" s="201"/>
      <c r="L695" s="644"/>
      <c r="M695" s="644"/>
      <c r="N695" s="644"/>
      <c r="O695" s="602"/>
      <c r="P695" s="201"/>
    </row>
    <row r="696" ht="22.5" customHeight="1">
      <c r="A696" s="201"/>
      <c r="B696" s="645"/>
      <c r="C696" s="645"/>
      <c r="D696" s="645"/>
      <c r="E696" s="201"/>
      <c r="F696" s="602"/>
      <c r="G696" s="645"/>
      <c r="H696" s="645"/>
      <c r="I696" s="645"/>
      <c r="J696" s="201"/>
      <c r="K696" s="201"/>
      <c r="L696" s="644"/>
      <c r="M696" s="644"/>
      <c r="N696" s="644"/>
      <c r="O696" s="602"/>
      <c r="P696" s="201"/>
    </row>
    <row r="697" ht="22.5" customHeight="1">
      <c r="A697" s="201"/>
      <c r="B697" s="645"/>
      <c r="C697" s="645"/>
      <c r="D697" s="645"/>
      <c r="E697" s="201"/>
      <c r="F697" s="602"/>
      <c r="G697" s="645"/>
      <c r="H697" s="645"/>
      <c r="I697" s="645"/>
      <c r="J697" s="201"/>
      <c r="K697" s="201"/>
      <c r="L697" s="644"/>
      <c r="M697" s="644"/>
      <c r="N697" s="644"/>
      <c r="O697" s="602"/>
      <c r="P697" s="201"/>
    </row>
    <row r="698" ht="22.5" customHeight="1">
      <c r="A698" s="201"/>
      <c r="B698" s="645"/>
      <c r="C698" s="645"/>
      <c r="D698" s="645"/>
      <c r="E698" s="201"/>
      <c r="F698" s="602"/>
      <c r="G698" s="645"/>
      <c r="H698" s="645"/>
      <c r="I698" s="645"/>
      <c r="J698" s="201"/>
      <c r="K698" s="201"/>
      <c r="L698" s="644"/>
      <c r="M698" s="644"/>
      <c r="N698" s="644"/>
      <c r="O698" s="602"/>
      <c r="P698" s="201"/>
    </row>
    <row r="699" ht="22.5" customHeight="1">
      <c r="A699" s="201"/>
      <c r="B699" s="645"/>
      <c r="C699" s="645"/>
      <c r="D699" s="645"/>
      <c r="E699" s="201"/>
      <c r="F699" s="602"/>
      <c r="G699" s="645"/>
      <c r="H699" s="645"/>
      <c r="I699" s="645"/>
      <c r="J699" s="201"/>
      <c r="K699" s="201"/>
      <c r="L699" s="644"/>
      <c r="M699" s="644"/>
      <c r="N699" s="644"/>
      <c r="O699" s="602"/>
      <c r="P699" s="201"/>
    </row>
    <row r="700" ht="22.5" customHeight="1">
      <c r="A700" s="201"/>
      <c r="B700" s="645"/>
      <c r="C700" s="645"/>
      <c r="D700" s="645"/>
      <c r="E700" s="201"/>
      <c r="F700" s="602"/>
      <c r="G700" s="645"/>
      <c r="H700" s="645"/>
      <c r="I700" s="645"/>
      <c r="J700" s="201"/>
      <c r="K700" s="201"/>
      <c r="L700" s="644"/>
      <c r="M700" s="644"/>
      <c r="N700" s="644"/>
      <c r="O700" s="602"/>
      <c r="P700" s="201"/>
    </row>
    <row r="701" ht="22.5" customHeight="1">
      <c r="A701" s="201"/>
      <c r="B701" s="645"/>
      <c r="C701" s="645"/>
      <c r="D701" s="645"/>
      <c r="E701" s="201"/>
      <c r="F701" s="602"/>
      <c r="G701" s="645"/>
      <c r="H701" s="645"/>
      <c r="I701" s="645"/>
      <c r="J701" s="201"/>
      <c r="K701" s="201"/>
      <c r="L701" s="644"/>
      <c r="M701" s="644"/>
      <c r="N701" s="644"/>
      <c r="O701" s="602"/>
      <c r="P701" s="201"/>
    </row>
    <row r="702" ht="22.5" customHeight="1">
      <c r="A702" s="201"/>
      <c r="B702" s="645"/>
      <c r="C702" s="645"/>
      <c r="D702" s="645"/>
      <c r="E702" s="201"/>
      <c r="F702" s="602"/>
      <c r="G702" s="645"/>
      <c r="H702" s="645"/>
      <c r="I702" s="645"/>
      <c r="J702" s="201"/>
      <c r="K702" s="201"/>
      <c r="L702" s="644"/>
      <c r="M702" s="644"/>
      <c r="N702" s="644"/>
      <c r="O702" s="602"/>
      <c r="P702" s="201"/>
    </row>
    <row r="703" ht="22.5" customHeight="1">
      <c r="A703" s="201"/>
      <c r="B703" s="645"/>
      <c r="C703" s="645"/>
      <c r="D703" s="645"/>
      <c r="E703" s="201"/>
      <c r="F703" s="602"/>
      <c r="G703" s="645"/>
      <c r="H703" s="645"/>
      <c r="I703" s="645"/>
      <c r="J703" s="201"/>
      <c r="K703" s="201"/>
      <c r="L703" s="644"/>
      <c r="M703" s="644"/>
      <c r="N703" s="644"/>
      <c r="O703" s="602"/>
      <c r="P703" s="201"/>
    </row>
    <row r="704" ht="22.5" customHeight="1">
      <c r="A704" s="201"/>
      <c r="B704" s="645"/>
      <c r="C704" s="645"/>
      <c r="D704" s="645"/>
      <c r="E704" s="201"/>
      <c r="F704" s="602"/>
      <c r="G704" s="645"/>
      <c r="H704" s="645"/>
      <c r="I704" s="645"/>
      <c r="J704" s="201"/>
      <c r="K704" s="201"/>
      <c r="L704" s="644"/>
      <c r="M704" s="644"/>
      <c r="N704" s="644"/>
      <c r="O704" s="602"/>
      <c r="P704" s="201"/>
    </row>
    <row r="705" ht="22.5" customHeight="1">
      <c r="A705" s="201"/>
      <c r="B705" s="645"/>
      <c r="C705" s="645"/>
      <c r="D705" s="645"/>
      <c r="E705" s="201"/>
      <c r="F705" s="602"/>
      <c r="G705" s="645"/>
      <c r="H705" s="645"/>
      <c r="I705" s="645"/>
      <c r="J705" s="201"/>
      <c r="K705" s="201"/>
      <c r="L705" s="644"/>
      <c r="M705" s="644"/>
      <c r="N705" s="644"/>
      <c r="O705" s="602"/>
      <c r="P705" s="201"/>
    </row>
    <row r="706" ht="22.5" customHeight="1">
      <c r="A706" s="201"/>
      <c r="B706" s="645"/>
      <c r="C706" s="645"/>
      <c r="D706" s="645"/>
      <c r="E706" s="201"/>
      <c r="F706" s="602"/>
      <c r="G706" s="645"/>
      <c r="H706" s="645"/>
      <c r="I706" s="645"/>
      <c r="J706" s="201"/>
      <c r="K706" s="201"/>
      <c r="L706" s="644"/>
      <c r="M706" s="644"/>
      <c r="N706" s="644"/>
      <c r="O706" s="602"/>
      <c r="P706" s="201"/>
    </row>
    <row r="707" ht="22.5" customHeight="1">
      <c r="A707" s="201"/>
      <c r="B707" s="645"/>
      <c r="C707" s="645"/>
      <c r="D707" s="645"/>
      <c r="E707" s="201"/>
      <c r="F707" s="602"/>
      <c r="G707" s="645"/>
      <c r="H707" s="645"/>
      <c r="I707" s="645"/>
      <c r="J707" s="201"/>
      <c r="K707" s="201"/>
      <c r="L707" s="644"/>
      <c r="M707" s="644"/>
      <c r="N707" s="644"/>
      <c r="O707" s="602"/>
      <c r="P707" s="201"/>
    </row>
    <row r="708" ht="22.5" customHeight="1">
      <c r="A708" s="201"/>
      <c r="B708" s="645"/>
      <c r="C708" s="645"/>
      <c r="D708" s="645"/>
      <c r="E708" s="201"/>
      <c r="F708" s="602"/>
      <c r="G708" s="645"/>
      <c r="H708" s="645"/>
      <c r="I708" s="645"/>
      <c r="J708" s="201"/>
      <c r="K708" s="201"/>
      <c r="L708" s="644"/>
      <c r="M708" s="644"/>
      <c r="N708" s="644"/>
      <c r="O708" s="602"/>
      <c r="P708" s="201"/>
    </row>
    <row r="709" ht="22.5" customHeight="1">
      <c r="A709" s="201"/>
      <c r="B709" s="645"/>
      <c r="C709" s="645"/>
      <c r="D709" s="645"/>
      <c r="E709" s="201"/>
      <c r="F709" s="602"/>
      <c r="G709" s="645"/>
      <c r="H709" s="645"/>
      <c r="I709" s="645"/>
      <c r="J709" s="201"/>
      <c r="K709" s="201"/>
      <c r="L709" s="644"/>
      <c r="M709" s="644"/>
      <c r="N709" s="644"/>
      <c r="O709" s="602"/>
      <c r="P709" s="201"/>
    </row>
    <row r="710" ht="22.5" customHeight="1">
      <c r="A710" s="201"/>
      <c r="B710" s="645"/>
      <c r="C710" s="645"/>
      <c r="D710" s="645"/>
      <c r="E710" s="201"/>
      <c r="F710" s="602"/>
      <c r="G710" s="645"/>
      <c r="H710" s="645"/>
      <c r="I710" s="645"/>
      <c r="J710" s="201"/>
      <c r="K710" s="201"/>
      <c r="L710" s="644"/>
      <c r="M710" s="644"/>
      <c r="N710" s="644"/>
      <c r="O710" s="602"/>
      <c r="P710" s="201"/>
    </row>
    <row r="711" ht="22.5" customHeight="1">
      <c r="A711" s="201"/>
      <c r="B711" s="645"/>
      <c r="C711" s="645"/>
      <c r="D711" s="645"/>
      <c r="E711" s="201"/>
      <c r="F711" s="602"/>
      <c r="G711" s="645"/>
      <c r="H711" s="645"/>
      <c r="I711" s="645"/>
      <c r="J711" s="201"/>
      <c r="K711" s="201"/>
      <c r="L711" s="644"/>
      <c r="M711" s="644"/>
      <c r="N711" s="644"/>
      <c r="O711" s="602"/>
      <c r="P711" s="201"/>
    </row>
    <row r="712" ht="22.5" customHeight="1">
      <c r="A712" s="201"/>
      <c r="B712" s="645"/>
      <c r="C712" s="645"/>
      <c r="D712" s="645"/>
      <c r="E712" s="201"/>
      <c r="F712" s="602"/>
      <c r="G712" s="645"/>
      <c r="H712" s="645"/>
      <c r="I712" s="645"/>
      <c r="J712" s="201"/>
      <c r="K712" s="201"/>
      <c r="L712" s="644"/>
      <c r="M712" s="644"/>
      <c r="N712" s="644"/>
      <c r="O712" s="602"/>
      <c r="P712" s="201"/>
    </row>
    <row r="713" ht="22.5" customHeight="1">
      <c r="A713" s="201"/>
      <c r="B713" s="645"/>
      <c r="C713" s="645"/>
      <c r="D713" s="645"/>
      <c r="E713" s="201"/>
      <c r="F713" s="602"/>
      <c r="G713" s="645"/>
      <c r="H713" s="645"/>
      <c r="I713" s="645"/>
      <c r="J713" s="201"/>
      <c r="K713" s="201"/>
      <c r="L713" s="644"/>
      <c r="M713" s="644"/>
      <c r="N713" s="644"/>
      <c r="O713" s="602"/>
      <c r="P713" s="201"/>
    </row>
    <row r="714" ht="22.5" customHeight="1">
      <c r="A714" s="201"/>
      <c r="B714" s="645"/>
      <c r="C714" s="645"/>
      <c r="D714" s="645"/>
      <c r="E714" s="201"/>
      <c r="F714" s="602"/>
      <c r="G714" s="645"/>
      <c r="H714" s="645"/>
      <c r="I714" s="645"/>
      <c r="J714" s="201"/>
      <c r="K714" s="201"/>
      <c r="L714" s="644"/>
      <c r="M714" s="644"/>
      <c r="N714" s="644"/>
      <c r="O714" s="602"/>
      <c r="P714" s="201"/>
    </row>
    <row r="715" ht="22.5" customHeight="1">
      <c r="A715" s="201"/>
      <c r="B715" s="645"/>
      <c r="C715" s="645"/>
      <c r="D715" s="645"/>
      <c r="E715" s="201"/>
      <c r="F715" s="602"/>
      <c r="G715" s="645"/>
      <c r="H715" s="645"/>
      <c r="I715" s="645"/>
      <c r="J715" s="201"/>
      <c r="K715" s="201"/>
      <c r="L715" s="644"/>
      <c r="M715" s="644"/>
      <c r="N715" s="644"/>
      <c r="O715" s="602"/>
      <c r="P715" s="201"/>
    </row>
    <row r="716" ht="22.5" customHeight="1">
      <c r="A716" s="201"/>
      <c r="B716" s="645"/>
      <c r="C716" s="645"/>
      <c r="D716" s="645"/>
      <c r="E716" s="201"/>
      <c r="F716" s="602"/>
      <c r="G716" s="645"/>
      <c r="H716" s="645"/>
      <c r="I716" s="645"/>
      <c r="J716" s="201"/>
      <c r="K716" s="201"/>
      <c r="L716" s="644"/>
      <c r="M716" s="644"/>
      <c r="N716" s="644"/>
      <c r="O716" s="602"/>
      <c r="P716" s="201"/>
    </row>
    <row r="717" ht="22.5" customHeight="1">
      <c r="A717" s="201"/>
      <c r="B717" s="645"/>
      <c r="C717" s="645"/>
      <c r="D717" s="645"/>
      <c r="E717" s="201"/>
      <c r="F717" s="602"/>
      <c r="G717" s="645"/>
      <c r="H717" s="645"/>
      <c r="I717" s="645"/>
      <c r="J717" s="201"/>
      <c r="K717" s="201"/>
      <c r="L717" s="644"/>
      <c r="M717" s="644"/>
      <c r="N717" s="644"/>
      <c r="O717" s="602"/>
      <c r="P717" s="201"/>
    </row>
    <row r="718" ht="22.5" customHeight="1">
      <c r="A718" s="201"/>
      <c r="B718" s="645"/>
      <c r="C718" s="645"/>
      <c r="D718" s="645"/>
      <c r="E718" s="201"/>
      <c r="F718" s="602"/>
      <c r="G718" s="645"/>
      <c r="H718" s="645"/>
      <c r="I718" s="645"/>
      <c r="J718" s="201"/>
      <c r="K718" s="201"/>
      <c r="L718" s="644"/>
      <c r="M718" s="644"/>
      <c r="N718" s="644"/>
      <c r="O718" s="602"/>
      <c r="P718" s="201"/>
    </row>
    <row r="719" ht="22.5" customHeight="1">
      <c r="A719" s="201"/>
      <c r="B719" s="645"/>
      <c r="C719" s="645"/>
      <c r="D719" s="645"/>
      <c r="E719" s="201"/>
      <c r="F719" s="602"/>
      <c r="G719" s="645"/>
      <c r="H719" s="645"/>
      <c r="I719" s="645"/>
      <c r="J719" s="201"/>
      <c r="K719" s="201"/>
      <c r="L719" s="644"/>
      <c r="M719" s="644"/>
      <c r="N719" s="644"/>
      <c r="O719" s="602"/>
      <c r="P719" s="201"/>
    </row>
    <row r="720" ht="22.5" customHeight="1">
      <c r="A720" s="201"/>
      <c r="B720" s="645"/>
      <c r="C720" s="645"/>
      <c r="D720" s="645"/>
      <c r="E720" s="201"/>
      <c r="F720" s="602"/>
      <c r="G720" s="645"/>
      <c r="H720" s="645"/>
      <c r="I720" s="645"/>
      <c r="J720" s="201"/>
      <c r="K720" s="201"/>
      <c r="L720" s="644"/>
      <c r="M720" s="644"/>
      <c r="N720" s="644"/>
      <c r="O720" s="602"/>
      <c r="P720" s="201"/>
    </row>
    <row r="721" ht="22.5" customHeight="1">
      <c r="A721" s="201"/>
      <c r="B721" s="645"/>
      <c r="C721" s="645"/>
      <c r="D721" s="645"/>
      <c r="E721" s="201"/>
      <c r="F721" s="602"/>
      <c r="G721" s="645"/>
      <c r="H721" s="645"/>
      <c r="I721" s="645"/>
      <c r="J721" s="201"/>
      <c r="K721" s="201"/>
      <c r="L721" s="644"/>
      <c r="M721" s="644"/>
      <c r="N721" s="644"/>
      <c r="O721" s="602"/>
      <c r="P721" s="201"/>
    </row>
    <row r="722" ht="22.5" customHeight="1">
      <c r="A722" s="201"/>
      <c r="B722" s="645"/>
      <c r="C722" s="645"/>
      <c r="D722" s="645"/>
      <c r="E722" s="201"/>
      <c r="F722" s="602"/>
      <c r="G722" s="645"/>
      <c r="H722" s="645"/>
      <c r="I722" s="645"/>
      <c r="J722" s="201"/>
      <c r="K722" s="201"/>
      <c r="L722" s="644"/>
      <c r="M722" s="644"/>
      <c r="N722" s="644"/>
      <c r="O722" s="602"/>
      <c r="P722" s="201"/>
    </row>
    <row r="723" ht="22.5" customHeight="1">
      <c r="A723" s="201"/>
      <c r="B723" s="645"/>
      <c r="C723" s="645"/>
      <c r="D723" s="645"/>
      <c r="E723" s="201"/>
      <c r="F723" s="602"/>
      <c r="G723" s="645"/>
      <c r="H723" s="645"/>
      <c r="I723" s="645"/>
      <c r="J723" s="201"/>
      <c r="K723" s="201"/>
      <c r="L723" s="644"/>
      <c r="M723" s="644"/>
      <c r="N723" s="644"/>
      <c r="O723" s="602"/>
      <c r="P723" s="201"/>
    </row>
    <row r="724" ht="22.5" customHeight="1">
      <c r="A724" s="201"/>
      <c r="B724" s="645"/>
      <c r="C724" s="645"/>
      <c r="D724" s="645"/>
      <c r="E724" s="201"/>
      <c r="F724" s="602"/>
      <c r="G724" s="645"/>
      <c r="H724" s="645"/>
      <c r="I724" s="645"/>
      <c r="J724" s="201"/>
      <c r="K724" s="201"/>
      <c r="L724" s="644"/>
      <c r="M724" s="644"/>
      <c r="N724" s="644"/>
      <c r="O724" s="602"/>
      <c r="P724" s="201"/>
    </row>
    <row r="725" ht="22.5" customHeight="1">
      <c r="A725" s="201"/>
      <c r="B725" s="645"/>
      <c r="C725" s="645"/>
      <c r="D725" s="645"/>
      <c r="E725" s="201"/>
      <c r="F725" s="602"/>
      <c r="G725" s="645"/>
      <c r="H725" s="645"/>
      <c r="I725" s="645"/>
      <c r="J725" s="201"/>
      <c r="K725" s="201"/>
      <c r="L725" s="644"/>
      <c r="M725" s="644"/>
      <c r="N725" s="644"/>
      <c r="O725" s="602"/>
      <c r="P725" s="201"/>
    </row>
    <row r="726" ht="22.5" customHeight="1">
      <c r="A726" s="201"/>
      <c r="B726" s="645"/>
      <c r="C726" s="645"/>
      <c r="D726" s="645"/>
      <c r="E726" s="201"/>
      <c r="F726" s="602"/>
      <c r="G726" s="645"/>
      <c r="H726" s="645"/>
      <c r="I726" s="645"/>
      <c r="J726" s="201"/>
      <c r="K726" s="201"/>
      <c r="L726" s="644"/>
      <c r="M726" s="644"/>
      <c r="N726" s="644"/>
      <c r="O726" s="602"/>
      <c r="P726" s="201"/>
    </row>
    <row r="727" ht="22.5" customHeight="1">
      <c r="A727" s="201"/>
      <c r="B727" s="645"/>
      <c r="C727" s="645"/>
      <c r="D727" s="645"/>
      <c r="E727" s="201"/>
      <c r="F727" s="602"/>
      <c r="G727" s="645"/>
      <c r="H727" s="645"/>
      <c r="I727" s="645"/>
      <c r="J727" s="201"/>
      <c r="K727" s="201"/>
      <c r="L727" s="644"/>
      <c r="M727" s="644"/>
      <c r="N727" s="644"/>
      <c r="O727" s="602"/>
      <c r="P727" s="201"/>
    </row>
    <row r="728" ht="22.5" customHeight="1">
      <c r="A728" s="201"/>
      <c r="B728" s="645"/>
      <c r="C728" s="645"/>
      <c r="D728" s="645"/>
      <c r="E728" s="201"/>
      <c r="F728" s="602"/>
      <c r="G728" s="645"/>
      <c r="H728" s="645"/>
      <c r="I728" s="645"/>
      <c r="J728" s="201"/>
      <c r="K728" s="201"/>
      <c r="L728" s="644"/>
      <c r="M728" s="644"/>
      <c r="N728" s="644"/>
      <c r="O728" s="602"/>
      <c r="P728" s="201"/>
    </row>
    <row r="729" ht="22.5" customHeight="1">
      <c r="A729" s="201"/>
      <c r="B729" s="645"/>
      <c r="C729" s="645"/>
      <c r="D729" s="645"/>
      <c r="E729" s="201"/>
      <c r="F729" s="602"/>
      <c r="G729" s="645"/>
      <c r="H729" s="645"/>
      <c r="I729" s="645"/>
      <c r="J729" s="201"/>
      <c r="K729" s="201"/>
      <c r="L729" s="644"/>
      <c r="M729" s="644"/>
      <c r="N729" s="644"/>
      <c r="O729" s="602"/>
      <c r="P729" s="201"/>
    </row>
    <row r="730" ht="22.5" customHeight="1">
      <c r="A730" s="201"/>
      <c r="B730" s="645"/>
      <c r="C730" s="645"/>
      <c r="D730" s="645"/>
      <c r="E730" s="201"/>
      <c r="F730" s="602"/>
      <c r="G730" s="645"/>
      <c r="H730" s="645"/>
      <c r="I730" s="645"/>
      <c r="J730" s="201"/>
      <c r="K730" s="201"/>
      <c r="L730" s="644"/>
      <c r="M730" s="644"/>
      <c r="N730" s="644"/>
      <c r="O730" s="602"/>
      <c r="P730" s="201"/>
    </row>
    <row r="731" ht="22.5" customHeight="1">
      <c r="A731" s="201"/>
      <c r="B731" s="645"/>
      <c r="C731" s="645"/>
      <c r="D731" s="645"/>
      <c r="E731" s="201"/>
      <c r="F731" s="602"/>
      <c r="G731" s="645"/>
      <c r="H731" s="645"/>
      <c r="I731" s="645"/>
      <c r="J731" s="201"/>
      <c r="K731" s="201"/>
      <c r="L731" s="644"/>
      <c r="M731" s="644"/>
      <c r="N731" s="644"/>
      <c r="O731" s="602"/>
      <c r="P731" s="201"/>
    </row>
    <row r="732" ht="22.5" customHeight="1">
      <c r="A732" s="201"/>
      <c r="B732" s="645"/>
      <c r="C732" s="645"/>
      <c r="D732" s="645"/>
      <c r="E732" s="201"/>
      <c r="F732" s="602"/>
      <c r="G732" s="645"/>
      <c r="H732" s="645"/>
      <c r="I732" s="645"/>
      <c r="J732" s="201"/>
      <c r="K732" s="201"/>
      <c r="L732" s="644"/>
      <c r="M732" s="644"/>
      <c r="N732" s="644"/>
      <c r="O732" s="602"/>
      <c r="P732" s="201"/>
    </row>
    <row r="733" ht="22.5" customHeight="1">
      <c r="A733" s="201"/>
      <c r="B733" s="645"/>
      <c r="C733" s="645"/>
      <c r="D733" s="645"/>
      <c r="E733" s="201"/>
      <c r="F733" s="602"/>
      <c r="G733" s="645"/>
      <c r="H733" s="645"/>
      <c r="I733" s="645"/>
      <c r="J733" s="201"/>
      <c r="K733" s="201"/>
      <c r="L733" s="644"/>
      <c r="M733" s="644"/>
      <c r="N733" s="644"/>
      <c r="O733" s="602"/>
      <c r="P733" s="201"/>
    </row>
    <row r="734" ht="22.5" customHeight="1">
      <c r="A734" s="201"/>
      <c r="B734" s="645"/>
      <c r="C734" s="645"/>
      <c r="D734" s="645"/>
      <c r="E734" s="201"/>
      <c r="F734" s="602"/>
      <c r="G734" s="645"/>
      <c r="H734" s="645"/>
      <c r="I734" s="645"/>
      <c r="J734" s="201"/>
      <c r="K734" s="201"/>
      <c r="L734" s="644"/>
      <c r="M734" s="644"/>
      <c r="N734" s="644"/>
      <c r="O734" s="602"/>
      <c r="P734" s="201"/>
    </row>
    <row r="735" ht="22.5" customHeight="1">
      <c r="A735" s="201"/>
      <c r="B735" s="645"/>
      <c r="C735" s="645"/>
      <c r="D735" s="645"/>
      <c r="E735" s="201"/>
      <c r="F735" s="602"/>
      <c r="G735" s="645"/>
      <c r="H735" s="645"/>
      <c r="I735" s="645"/>
      <c r="J735" s="201"/>
      <c r="K735" s="201"/>
      <c r="L735" s="644"/>
      <c r="M735" s="644"/>
      <c r="N735" s="644"/>
      <c r="O735" s="602"/>
      <c r="P735" s="201"/>
    </row>
    <row r="736" ht="22.5" customHeight="1">
      <c r="A736" s="201"/>
      <c r="B736" s="645"/>
      <c r="C736" s="645"/>
      <c r="D736" s="645"/>
      <c r="E736" s="201"/>
      <c r="F736" s="602"/>
      <c r="G736" s="645"/>
      <c r="H736" s="645"/>
      <c r="I736" s="645"/>
      <c r="J736" s="201"/>
      <c r="K736" s="201"/>
      <c r="L736" s="644"/>
      <c r="M736" s="644"/>
      <c r="N736" s="644"/>
      <c r="O736" s="602"/>
      <c r="P736" s="201"/>
    </row>
    <row r="737" ht="22.5" customHeight="1">
      <c r="A737" s="201"/>
      <c r="B737" s="645"/>
      <c r="C737" s="645"/>
      <c r="D737" s="645"/>
      <c r="E737" s="201"/>
      <c r="F737" s="602"/>
      <c r="G737" s="645"/>
      <c r="H737" s="645"/>
      <c r="I737" s="645"/>
      <c r="J737" s="201"/>
      <c r="K737" s="201"/>
      <c r="L737" s="644"/>
      <c r="M737" s="644"/>
      <c r="N737" s="644"/>
      <c r="O737" s="602"/>
      <c r="P737" s="201"/>
    </row>
    <row r="738" ht="22.5" customHeight="1">
      <c r="A738" s="201"/>
      <c r="B738" s="645"/>
      <c r="C738" s="645"/>
      <c r="D738" s="645"/>
      <c r="E738" s="201"/>
      <c r="F738" s="602"/>
      <c r="G738" s="645"/>
      <c r="H738" s="645"/>
      <c r="I738" s="645"/>
      <c r="J738" s="201"/>
      <c r="K738" s="201"/>
      <c r="L738" s="644"/>
      <c r="M738" s="644"/>
      <c r="N738" s="644"/>
      <c r="O738" s="602"/>
      <c r="P738" s="201"/>
    </row>
    <row r="739" ht="22.5" customHeight="1">
      <c r="A739" s="201"/>
      <c r="B739" s="645"/>
      <c r="C739" s="645"/>
      <c r="D739" s="645"/>
      <c r="E739" s="201"/>
      <c r="F739" s="602"/>
      <c r="G739" s="645"/>
      <c r="H739" s="645"/>
      <c r="I739" s="645"/>
      <c r="J739" s="201"/>
      <c r="K739" s="201"/>
      <c r="L739" s="644"/>
      <c r="M739" s="644"/>
      <c r="N739" s="644"/>
      <c r="O739" s="602"/>
      <c r="P739" s="201"/>
    </row>
    <row r="740" ht="22.5" customHeight="1">
      <c r="A740" s="201"/>
      <c r="B740" s="645"/>
      <c r="C740" s="645"/>
      <c r="D740" s="645"/>
      <c r="E740" s="201"/>
      <c r="F740" s="602"/>
      <c r="G740" s="645"/>
      <c r="H740" s="645"/>
      <c r="I740" s="645"/>
      <c r="J740" s="201"/>
      <c r="K740" s="201"/>
      <c r="L740" s="644"/>
      <c r="M740" s="644"/>
      <c r="N740" s="644"/>
      <c r="O740" s="602"/>
      <c r="P740" s="201"/>
    </row>
    <row r="741" ht="22.5" customHeight="1">
      <c r="A741" s="201"/>
      <c r="B741" s="645"/>
      <c r="C741" s="645"/>
      <c r="D741" s="645"/>
      <c r="E741" s="201"/>
      <c r="F741" s="602"/>
      <c r="G741" s="645"/>
      <c r="H741" s="645"/>
      <c r="I741" s="645"/>
      <c r="J741" s="201"/>
      <c r="K741" s="201"/>
      <c r="L741" s="644"/>
      <c r="M741" s="644"/>
      <c r="N741" s="644"/>
      <c r="O741" s="602"/>
      <c r="P741" s="201"/>
    </row>
    <row r="742" ht="22.5" customHeight="1">
      <c r="A742" s="201"/>
      <c r="B742" s="645"/>
      <c r="C742" s="645"/>
      <c r="D742" s="645"/>
      <c r="E742" s="201"/>
      <c r="F742" s="602"/>
      <c r="G742" s="645"/>
      <c r="H742" s="645"/>
      <c r="I742" s="645"/>
      <c r="J742" s="201"/>
      <c r="K742" s="201"/>
      <c r="L742" s="644"/>
      <c r="M742" s="644"/>
      <c r="N742" s="644"/>
      <c r="O742" s="602"/>
      <c r="P742" s="201"/>
    </row>
    <row r="743" ht="22.5" customHeight="1">
      <c r="A743" s="201"/>
      <c r="B743" s="645"/>
      <c r="C743" s="645"/>
      <c r="D743" s="645"/>
      <c r="E743" s="201"/>
      <c r="F743" s="602"/>
      <c r="G743" s="645"/>
      <c r="H743" s="645"/>
      <c r="I743" s="645"/>
      <c r="J743" s="201"/>
      <c r="K743" s="201"/>
      <c r="L743" s="644"/>
      <c r="M743" s="644"/>
      <c r="N743" s="644"/>
      <c r="O743" s="602"/>
      <c r="P743" s="201"/>
    </row>
    <row r="744" ht="22.5" customHeight="1">
      <c r="A744" s="201"/>
      <c r="B744" s="645"/>
      <c r="C744" s="645"/>
      <c r="D744" s="645"/>
      <c r="E744" s="201"/>
      <c r="F744" s="602"/>
      <c r="G744" s="645"/>
      <c r="H744" s="645"/>
      <c r="I744" s="645"/>
      <c r="J744" s="201"/>
      <c r="K744" s="201"/>
      <c r="L744" s="644"/>
      <c r="M744" s="644"/>
      <c r="N744" s="644"/>
      <c r="O744" s="602"/>
      <c r="P744" s="201"/>
    </row>
    <row r="745" ht="22.5" customHeight="1">
      <c r="A745" s="201"/>
      <c r="B745" s="645"/>
      <c r="C745" s="645"/>
      <c r="D745" s="645"/>
      <c r="E745" s="201"/>
      <c r="F745" s="602"/>
      <c r="G745" s="645"/>
      <c r="H745" s="645"/>
      <c r="I745" s="645"/>
      <c r="J745" s="201"/>
      <c r="K745" s="201"/>
      <c r="L745" s="644"/>
      <c r="M745" s="644"/>
      <c r="N745" s="644"/>
      <c r="O745" s="602"/>
      <c r="P745" s="201"/>
    </row>
    <row r="746" ht="22.5" customHeight="1">
      <c r="A746" s="201"/>
      <c r="B746" s="645"/>
      <c r="C746" s="645"/>
      <c r="D746" s="645"/>
      <c r="E746" s="201"/>
      <c r="F746" s="602"/>
      <c r="G746" s="645"/>
      <c r="H746" s="645"/>
      <c r="I746" s="645"/>
      <c r="J746" s="201"/>
      <c r="K746" s="201"/>
      <c r="L746" s="644"/>
      <c r="M746" s="644"/>
      <c r="N746" s="644"/>
      <c r="O746" s="602"/>
      <c r="P746" s="201"/>
    </row>
    <row r="747" ht="22.5" customHeight="1">
      <c r="A747" s="201"/>
      <c r="B747" s="645"/>
      <c r="C747" s="645"/>
      <c r="D747" s="645"/>
      <c r="E747" s="201"/>
      <c r="F747" s="602"/>
      <c r="G747" s="645"/>
      <c r="H747" s="645"/>
      <c r="I747" s="645"/>
      <c r="J747" s="201"/>
      <c r="K747" s="201"/>
      <c r="L747" s="644"/>
      <c r="M747" s="644"/>
      <c r="N747" s="644"/>
      <c r="O747" s="602"/>
      <c r="P747" s="201"/>
    </row>
    <row r="748" ht="22.5" customHeight="1">
      <c r="A748" s="201"/>
      <c r="B748" s="645"/>
      <c r="C748" s="645"/>
      <c r="D748" s="645"/>
      <c r="E748" s="201"/>
      <c r="F748" s="602"/>
      <c r="G748" s="645"/>
      <c r="H748" s="645"/>
      <c r="I748" s="645"/>
      <c r="J748" s="201"/>
      <c r="K748" s="201"/>
      <c r="L748" s="644"/>
      <c r="M748" s="644"/>
      <c r="N748" s="644"/>
      <c r="O748" s="602"/>
      <c r="P748" s="201"/>
    </row>
    <row r="749" ht="22.5" customHeight="1">
      <c r="A749" s="201"/>
      <c r="B749" s="645"/>
      <c r="C749" s="645"/>
      <c r="D749" s="645"/>
      <c r="E749" s="201"/>
      <c r="F749" s="602"/>
      <c r="G749" s="645"/>
      <c r="H749" s="645"/>
      <c r="I749" s="645"/>
      <c r="J749" s="201"/>
      <c r="K749" s="201"/>
      <c r="L749" s="644"/>
      <c r="M749" s="644"/>
      <c r="N749" s="644"/>
      <c r="O749" s="602"/>
      <c r="P749" s="201"/>
    </row>
    <row r="750" ht="22.5" customHeight="1">
      <c r="A750" s="201"/>
      <c r="B750" s="645"/>
      <c r="C750" s="645"/>
      <c r="D750" s="645"/>
      <c r="E750" s="201"/>
      <c r="F750" s="602"/>
      <c r="G750" s="645"/>
      <c r="H750" s="645"/>
      <c r="I750" s="645"/>
      <c r="J750" s="201"/>
      <c r="K750" s="201"/>
      <c r="L750" s="644"/>
      <c r="M750" s="644"/>
      <c r="N750" s="644"/>
      <c r="O750" s="602"/>
      <c r="P750" s="201"/>
    </row>
    <row r="751" ht="22.5" customHeight="1">
      <c r="A751" s="201"/>
      <c r="B751" s="645"/>
      <c r="C751" s="645"/>
      <c r="D751" s="645"/>
      <c r="E751" s="201"/>
      <c r="F751" s="602"/>
      <c r="G751" s="645"/>
      <c r="H751" s="645"/>
      <c r="I751" s="645"/>
      <c r="J751" s="201"/>
      <c r="K751" s="201"/>
      <c r="L751" s="644"/>
      <c r="M751" s="644"/>
      <c r="N751" s="644"/>
      <c r="O751" s="602"/>
      <c r="P751" s="201"/>
    </row>
    <row r="752" ht="22.5" customHeight="1">
      <c r="A752" s="201"/>
      <c r="B752" s="645"/>
      <c r="C752" s="645"/>
      <c r="D752" s="645"/>
      <c r="E752" s="201"/>
      <c r="F752" s="602"/>
      <c r="G752" s="645"/>
      <c r="H752" s="645"/>
      <c r="I752" s="645"/>
      <c r="J752" s="201"/>
      <c r="K752" s="201"/>
      <c r="L752" s="644"/>
      <c r="M752" s="644"/>
      <c r="N752" s="644"/>
      <c r="O752" s="602"/>
      <c r="P752" s="201"/>
    </row>
    <row r="753" ht="22.5" customHeight="1">
      <c r="A753" s="201"/>
      <c r="B753" s="645"/>
      <c r="C753" s="645"/>
      <c r="D753" s="645"/>
      <c r="E753" s="201"/>
      <c r="F753" s="602"/>
      <c r="G753" s="645"/>
      <c r="H753" s="645"/>
      <c r="I753" s="645"/>
      <c r="J753" s="201"/>
      <c r="K753" s="201"/>
      <c r="L753" s="644"/>
      <c r="M753" s="644"/>
      <c r="N753" s="644"/>
      <c r="O753" s="602"/>
      <c r="P753" s="201"/>
    </row>
    <row r="754" ht="22.5" customHeight="1">
      <c r="A754" s="201"/>
      <c r="B754" s="645"/>
      <c r="C754" s="645"/>
      <c r="D754" s="645"/>
      <c r="E754" s="201"/>
      <c r="F754" s="602"/>
      <c r="G754" s="645"/>
      <c r="H754" s="645"/>
      <c r="I754" s="645"/>
      <c r="J754" s="201"/>
      <c r="K754" s="201"/>
      <c r="L754" s="644"/>
      <c r="M754" s="644"/>
      <c r="N754" s="644"/>
      <c r="O754" s="602"/>
      <c r="P754" s="201"/>
    </row>
    <row r="755" ht="22.5" customHeight="1">
      <c r="A755" s="201"/>
      <c r="B755" s="645"/>
      <c r="C755" s="645"/>
      <c r="D755" s="645"/>
      <c r="E755" s="201"/>
      <c r="F755" s="602"/>
      <c r="G755" s="645"/>
      <c r="H755" s="645"/>
      <c r="I755" s="645"/>
      <c r="J755" s="201"/>
      <c r="K755" s="201"/>
      <c r="L755" s="644"/>
      <c r="M755" s="644"/>
      <c r="N755" s="644"/>
      <c r="O755" s="602"/>
      <c r="P755" s="201"/>
    </row>
    <row r="756" ht="22.5" customHeight="1">
      <c r="A756" s="201"/>
      <c r="B756" s="645"/>
      <c r="C756" s="645"/>
      <c r="D756" s="645"/>
      <c r="E756" s="201"/>
      <c r="F756" s="602"/>
      <c r="G756" s="645"/>
      <c r="H756" s="645"/>
      <c r="I756" s="645"/>
      <c r="J756" s="201"/>
      <c r="K756" s="201"/>
      <c r="L756" s="644"/>
      <c r="M756" s="644"/>
      <c r="N756" s="644"/>
      <c r="O756" s="602"/>
      <c r="P756" s="201"/>
    </row>
    <row r="757" ht="22.5" customHeight="1">
      <c r="A757" s="201"/>
      <c r="B757" s="645"/>
      <c r="C757" s="645"/>
      <c r="D757" s="645"/>
      <c r="E757" s="201"/>
      <c r="F757" s="602"/>
      <c r="G757" s="645"/>
      <c r="H757" s="645"/>
      <c r="I757" s="645"/>
      <c r="J757" s="201"/>
      <c r="K757" s="201"/>
      <c r="L757" s="644"/>
      <c r="M757" s="644"/>
      <c r="N757" s="644"/>
      <c r="O757" s="602"/>
      <c r="P757" s="201"/>
    </row>
    <row r="758" ht="22.5" customHeight="1">
      <c r="A758" s="201"/>
      <c r="B758" s="645"/>
      <c r="C758" s="645"/>
      <c r="D758" s="645"/>
      <c r="E758" s="201"/>
      <c r="F758" s="602"/>
      <c r="G758" s="645"/>
      <c r="H758" s="645"/>
      <c r="I758" s="645"/>
      <c r="J758" s="201"/>
      <c r="K758" s="201"/>
      <c r="L758" s="644"/>
      <c r="M758" s="644"/>
      <c r="N758" s="644"/>
      <c r="O758" s="602"/>
      <c r="P758" s="201"/>
    </row>
    <row r="759" ht="22.5" customHeight="1">
      <c r="A759" s="201"/>
      <c r="B759" s="645"/>
      <c r="C759" s="645"/>
      <c r="D759" s="645"/>
      <c r="E759" s="201"/>
      <c r="F759" s="602"/>
      <c r="G759" s="645"/>
      <c r="H759" s="645"/>
      <c r="I759" s="645"/>
      <c r="J759" s="201"/>
      <c r="K759" s="201"/>
      <c r="L759" s="644"/>
      <c r="M759" s="644"/>
      <c r="N759" s="644"/>
      <c r="O759" s="602"/>
      <c r="P759" s="201"/>
    </row>
    <row r="760" ht="22.5" customHeight="1">
      <c r="A760" s="201"/>
      <c r="B760" s="645"/>
      <c r="C760" s="645"/>
      <c r="D760" s="645"/>
      <c r="E760" s="201"/>
      <c r="F760" s="602"/>
      <c r="G760" s="645"/>
      <c r="H760" s="645"/>
      <c r="I760" s="645"/>
      <c r="J760" s="201"/>
      <c r="K760" s="201"/>
      <c r="L760" s="644"/>
      <c r="M760" s="644"/>
      <c r="N760" s="644"/>
      <c r="O760" s="602"/>
      <c r="P760" s="201"/>
    </row>
    <row r="761" ht="22.5" customHeight="1">
      <c r="A761" s="201"/>
      <c r="B761" s="645"/>
      <c r="C761" s="645"/>
      <c r="D761" s="645"/>
      <c r="E761" s="201"/>
      <c r="F761" s="602"/>
      <c r="G761" s="645"/>
      <c r="H761" s="645"/>
      <c r="I761" s="645"/>
      <c r="J761" s="201"/>
      <c r="K761" s="201"/>
      <c r="L761" s="644"/>
      <c r="M761" s="644"/>
      <c r="N761" s="644"/>
      <c r="O761" s="602"/>
      <c r="P761" s="201"/>
    </row>
    <row r="762" ht="22.5" customHeight="1">
      <c r="A762" s="201"/>
      <c r="B762" s="645"/>
      <c r="C762" s="645"/>
      <c r="D762" s="645"/>
      <c r="E762" s="201"/>
      <c r="F762" s="602"/>
      <c r="G762" s="645"/>
      <c r="H762" s="645"/>
      <c r="I762" s="645"/>
      <c r="J762" s="201"/>
      <c r="K762" s="201"/>
      <c r="L762" s="644"/>
      <c r="M762" s="644"/>
      <c r="N762" s="644"/>
      <c r="O762" s="602"/>
      <c r="P762" s="201"/>
    </row>
    <row r="763" ht="22.5" customHeight="1">
      <c r="A763" s="201"/>
      <c r="B763" s="645"/>
      <c r="C763" s="645"/>
      <c r="D763" s="645"/>
      <c r="E763" s="201"/>
      <c r="F763" s="602"/>
      <c r="G763" s="645"/>
      <c r="H763" s="645"/>
      <c r="I763" s="645"/>
      <c r="J763" s="201"/>
      <c r="K763" s="201"/>
      <c r="L763" s="644"/>
      <c r="M763" s="644"/>
      <c r="N763" s="644"/>
      <c r="O763" s="602"/>
      <c r="P763" s="201"/>
    </row>
    <row r="764" ht="22.5" customHeight="1">
      <c r="A764" s="201"/>
      <c r="B764" s="645"/>
      <c r="C764" s="645"/>
      <c r="D764" s="645"/>
      <c r="E764" s="201"/>
      <c r="F764" s="602"/>
      <c r="G764" s="645"/>
      <c r="H764" s="645"/>
      <c r="I764" s="645"/>
      <c r="J764" s="201"/>
      <c r="K764" s="201"/>
      <c r="L764" s="644"/>
      <c r="M764" s="644"/>
      <c r="N764" s="644"/>
      <c r="O764" s="602"/>
      <c r="P764" s="201"/>
    </row>
    <row r="765" ht="22.5" customHeight="1">
      <c r="A765" s="201"/>
      <c r="B765" s="645"/>
      <c r="C765" s="645"/>
      <c r="D765" s="645"/>
      <c r="E765" s="201"/>
      <c r="F765" s="602"/>
      <c r="G765" s="645"/>
      <c r="H765" s="645"/>
      <c r="I765" s="645"/>
      <c r="J765" s="201"/>
      <c r="K765" s="201"/>
      <c r="L765" s="644"/>
      <c r="M765" s="644"/>
      <c r="N765" s="644"/>
      <c r="O765" s="602"/>
      <c r="P765" s="201"/>
    </row>
    <row r="766" ht="22.5" customHeight="1">
      <c r="A766" s="201"/>
      <c r="B766" s="645"/>
      <c r="C766" s="645"/>
      <c r="D766" s="645"/>
      <c r="E766" s="201"/>
      <c r="F766" s="602"/>
      <c r="G766" s="645"/>
      <c r="H766" s="645"/>
      <c r="I766" s="645"/>
      <c r="J766" s="201"/>
      <c r="K766" s="201"/>
      <c r="L766" s="644"/>
      <c r="M766" s="644"/>
      <c r="N766" s="644"/>
      <c r="O766" s="602"/>
      <c r="P766" s="201"/>
    </row>
    <row r="767" ht="22.5" customHeight="1">
      <c r="A767" s="201"/>
      <c r="B767" s="645"/>
      <c r="C767" s="645"/>
      <c r="D767" s="645"/>
      <c r="E767" s="201"/>
      <c r="F767" s="602"/>
      <c r="G767" s="645"/>
      <c r="H767" s="645"/>
      <c r="I767" s="645"/>
      <c r="J767" s="201"/>
      <c r="K767" s="201"/>
      <c r="L767" s="644"/>
      <c r="M767" s="644"/>
      <c r="N767" s="644"/>
      <c r="O767" s="602"/>
      <c r="P767" s="201"/>
    </row>
    <row r="768" ht="22.5" customHeight="1">
      <c r="A768" s="201"/>
      <c r="B768" s="645"/>
      <c r="C768" s="645"/>
      <c r="D768" s="645"/>
      <c r="E768" s="201"/>
      <c r="F768" s="602"/>
      <c r="G768" s="645"/>
      <c r="H768" s="645"/>
      <c r="I768" s="645"/>
      <c r="J768" s="201"/>
      <c r="K768" s="201"/>
      <c r="L768" s="644"/>
      <c r="M768" s="644"/>
      <c r="N768" s="644"/>
      <c r="O768" s="602"/>
      <c r="P768" s="201"/>
    </row>
    <row r="769" ht="22.5" customHeight="1">
      <c r="A769" s="201"/>
      <c r="B769" s="645"/>
      <c r="C769" s="645"/>
      <c r="D769" s="645"/>
      <c r="E769" s="201"/>
      <c r="F769" s="602"/>
      <c r="G769" s="645"/>
      <c r="H769" s="645"/>
      <c r="I769" s="645"/>
      <c r="J769" s="201"/>
      <c r="K769" s="201"/>
      <c r="L769" s="644"/>
      <c r="M769" s="644"/>
      <c r="N769" s="644"/>
      <c r="O769" s="602"/>
      <c r="P769" s="201"/>
    </row>
    <row r="770" ht="22.5" customHeight="1">
      <c r="A770" s="201"/>
      <c r="B770" s="645"/>
      <c r="C770" s="645"/>
      <c r="D770" s="645"/>
      <c r="E770" s="201"/>
      <c r="F770" s="602"/>
      <c r="G770" s="645"/>
      <c r="H770" s="645"/>
      <c r="I770" s="645"/>
      <c r="J770" s="201"/>
      <c r="K770" s="201"/>
      <c r="L770" s="644"/>
      <c r="M770" s="644"/>
      <c r="N770" s="644"/>
      <c r="O770" s="602"/>
      <c r="P770" s="201"/>
    </row>
    <row r="771" ht="22.5" customHeight="1">
      <c r="A771" s="201"/>
      <c r="B771" s="645"/>
      <c r="C771" s="645"/>
      <c r="D771" s="645"/>
      <c r="E771" s="201"/>
      <c r="F771" s="602"/>
      <c r="G771" s="645"/>
      <c r="H771" s="645"/>
      <c r="I771" s="645"/>
      <c r="J771" s="201"/>
      <c r="K771" s="201"/>
      <c r="L771" s="644"/>
      <c r="M771" s="644"/>
      <c r="N771" s="644"/>
      <c r="O771" s="602"/>
      <c r="P771" s="201"/>
    </row>
    <row r="772" ht="22.5" customHeight="1">
      <c r="A772" s="201"/>
      <c r="B772" s="645"/>
      <c r="C772" s="645"/>
      <c r="D772" s="645"/>
      <c r="E772" s="201"/>
      <c r="F772" s="602"/>
      <c r="G772" s="645"/>
      <c r="H772" s="645"/>
      <c r="I772" s="645"/>
      <c r="J772" s="201"/>
      <c r="K772" s="201"/>
      <c r="L772" s="644"/>
      <c r="M772" s="644"/>
      <c r="N772" s="644"/>
      <c r="O772" s="602"/>
      <c r="P772" s="201"/>
    </row>
    <row r="773" ht="22.5" customHeight="1">
      <c r="A773" s="201"/>
      <c r="B773" s="645"/>
      <c r="C773" s="645"/>
      <c r="D773" s="645"/>
      <c r="E773" s="201"/>
      <c r="F773" s="602"/>
      <c r="G773" s="645"/>
      <c r="H773" s="645"/>
      <c r="I773" s="645"/>
      <c r="J773" s="201"/>
      <c r="K773" s="201"/>
      <c r="L773" s="644"/>
      <c r="M773" s="644"/>
      <c r="N773" s="644"/>
      <c r="O773" s="602"/>
      <c r="P773" s="201"/>
    </row>
    <row r="774" ht="22.5" customHeight="1">
      <c r="A774" s="201"/>
      <c r="B774" s="645"/>
      <c r="C774" s="645"/>
      <c r="D774" s="645"/>
      <c r="E774" s="201"/>
      <c r="F774" s="602"/>
      <c r="G774" s="645"/>
      <c r="H774" s="645"/>
      <c r="I774" s="645"/>
      <c r="J774" s="201"/>
      <c r="K774" s="201"/>
      <c r="L774" s="644"/>
      <c r="M774" s="644"/>
      <c r="N774" s="644"/>
      <c r="O774" s="602"/>
      <c r="P774" s="201"/>
    </row>
    <row r="775" ht="22.5" customHeight="1">
      <c r="A775" s="201"/>
      <c r="B775" s="645"/>
      <c r="C775" s="645"/>
      <c r="D775" s="645"/>
      <c r="E775" s="201"/>
      <c r="F775" s="602"/>
      <c r="G775" s="645"/>
      <c r="H775" s="645"/>
      <c r="I775" s="645"/>
      <c r="J775" s="201"/>
      <c r="K775" s="201"/>
      <c r="L775" s="644"/>
      <c r="M775" s="644"/>
      <c r="N775" s="644"/>
      <c r="O775" s="602"/>
      <c r="P775" s="201"/>
    </row>
    <row r="776" ht="22.5" customHeight="1">
      <c r="A776" s="201"/>
      <c r="B776" s="645"/>
      <c r="C776" s="645"/>
      <c r="D776" s="645"/>
      <c r="E776" s="201"/>
      <c r="F776" s="602"/>
      <c r="G776" s="645"/>
      <c r="H776" s="645"/>
      <c r="I776" s="645"/>
      <c r="J776" s="201"/>
      <c r="K776" s="201"/>
      <c r="L776" s="644"/>
      <c r="M776" s="644"/>
      <c r="N776" s="644"/>
      <c r="O776" s="602"/>
      <c r="P776" s="201"/>
    </row>
    <row r="777" ht="22.5" customHeight="1">
      <c r="A777" s="201"/>
      <c r="B777" s="645"/>
      <c r="C777" s="645"/>
      <c r="D777" s="645"/>
      <c r="E777" s="201"/>
      <c r="F777" s="602"/>
      <c r="G777" s="645"/>
      <c r="H777" s="645"/>
      <c r="I777" s="645"/>
      <c r="J777" s="201"/>
      <c r="K777" s="201"/>
      <c r="L777" s="644"/>
      <c r="M777" s="644"/>
      <c r="N777" s="644"/>
      <c r="O777" s="602"/>
      <c r="P777" s="201"/>
    </row>
    <row r="778" ht="22.5" customHeight="1">
      <c r="A778" s="201"/>
      <c r="B778" s="645"/>
      <c r="C778" s="645"/>
      <c r="D778" s="645"/>
      <c r="E778" s="201"/>
      <c r="F778" s="602"/>
      <c r="G778" s="645"/>
      <c r="H778" s="645"/>
      <c r="I778" s="645"/>
      <c r="J778" s="201"/>
      <c r="K778" s="201"/>
      <c r="L778" s="644"/>
      <c r="M778" s="644"/>
      <c r="N778" s="644"/>
      <c r="O778" s="602"/>
      <c r="P778" s="201"/>
    </row>
    <row r="779" ht="22.5" customHeight="1">
      <c r="A779" s="201"/>
      <c r="B779" s="645"/>
      <c r="C779" s="645"/>
      <c r="D779" s="645"/>
      <c r="E779" s="201"/>
      <c r="F779" s="602"/>
      <c r="G779" s="645"/>
      <c r="H779" s="645"/>
      <c r="I779" s="645"/>
      <c r="J779" s="201"/>
      <c r="K779" s="201"/>
      <c r="L779" s="644"/>
      <c r="M779" s="644"/>
      <c r="N779" s="644"/>
      <c r="O779" s="602"/>
      <c r="P779" s="201"/>
    </row>
    <row r="780" ht="22.5" customHeight="1">
      <c r="A780" s="201"/>
      <c r="B780" s="645"/>
      <c r="C780" s="645"/>
      <c r="D780" s="645"/>
      <c r="E780" s="201"/>
      <c r="F780" s="602"/>
      <c r="G780" s="645"/>
      <c r="H780" s="645"/>
      <c r="I780" s="645"/>
      <c r="J780" s="201"/>
      <c r="K780" s="201"/>
      <c r="L780" s="644"/>
      <c r="M780" s="644"/>
      <c r="N780" s="644"/>
      <c r="O780" s="602"/>
      <c r="P780" s="201"/>
    </row>
    <row r="781" ht="22.5" customHeight="1">
      <c r="A781" s="201"/>
      <c r="B781" s="645"/>
      <c r="C781" s="645"/>
      <c r="D781" s="645"/>
      <c r="E781" s="201"/>
      <c r="F781" s="602"/>
      <c r="G781" s="645"/>
      <c r="H781" s="645"/>
      <c r="I781" s="645"/>
      <c r="J781" s="201"/>
      <c r="K781" s="201"/>
      <c r="L781" s="644"/>
      <c r="M781" s="644"/>
      <c r="N781" s="644"/>
      <c r="O781" s="602"/>
      <c r="P781" s="201"/>
    </row>
    <row r="782" ht="22.5" customHeight="1">
      <c r="A782" s="201"/>
      <c r="B782" s="645"/>
      <c r="C782" s="645"/>
      <c r="D782" s="645"/>
      <c r="E782" s="201"/>
      <c r="F782" s="602"/>
      <c r="G782" s="645"/>
      <c r="H782" s="645"/>
      <c r="I782" s="645"/>
      <c r="J782" s="201"/>
      <c r="K782" s="201"/>
      <c r="L782" s="644"/>
      <c r="M782" s="644"/>
      <c r="N782" s="644"/>
      <c r="O782" s="602"/>
      <c r="P782" s="201"/>
    </row>
    <row r="783" ht="22.5" customHeight="1">
      <c r="A783" s="201"/>
      <c r="B783" s="645"/>
      <c r="C783" s="645"/>
      <c r="D783" s="645"/>
      <c r="E783" s="201"/>
      <c r="F783" s="602"/>
      <c r="G783" s="645"/>
      <c r="H783" s="645"/>
      <c r="I783" s="645"/>
      <c r="J783" s="201"/>
      <c r="K783" s="201"/>
      <c r="L783" s="644"/>
      <c r="M783" s="644"/>
      <c r="N783" s="644"/>
      <c r="O783" s="602"/>
      <c r="P783" s="201"/>
    </row>
    <row r="784" ht="22.5" customHeight="1">
      <c r="A784" s="201"/>
      <c r="B784" s="645"/>
      <c r="C784" s="645"/>
      <c r="D784" s="645"/>
      <c r="E784" s="201"/>
      <c r="F784" s="602"/>
      <c r="G784" s="645"/>
      <c r="H784" s="645"/>
      <c r="I784" s="645"/>
      <c r="J784" s="201"/>
      <c r="K784" s="201"/>
      <c r="L784" s="644"/>
      <c r="M784" s="644"/>
      <c r="N784" s="644"/>
      <c r="O784" s="602"/>
      <c r="P784" s="201"/>
    </row>
    <row r="785" ht="22.5" customHeight="1">
      <c r="A785" s="201"/>
      <c r="B785" s="645"/>
      <c r="C785" s="645"/>
      <c r="D785" s="645"/>
      <c r="E785" s="201"/>
      <c r="F785" s="602"/>
      <c r="G785" s="645"/>
      <c r="H785" s="645"/>
      <c r="I785" s="645"/>
      <c r="J785" s="201"/>
      <c r="K785" s="201"/>
      <c r="L785" s="644"/>
      <c r="M785" s="644"/>
      <c r="N785" s="644"/>
      <c r="O785" s="602"/>
      <c r="P785" s="201"/>
    </row>
    <row r="786" ht="22.5" customHeight="1">
      <c r="A786" s="201"/>
      <c r="B786" s="645"/>
      <c r="C786" s="645"/>
      <c r="D786" s="645"/>
      <c r="E786" s="201"/>
      <c r="F786" s="602"/>
      <c r="G786" s="645"/>
      <c r="H786" s="645"/>
      <c r="I786" s="645"/>
      <c r="J786" s="201"/>
      <c r="K786" s="201"/>
      <c r="L786" s="644"/>
      <c r="M786" s="644"/>
      <c r="N786" s="644"/>
      <c r="O786" s="602"/>
      <c r="P786" s="201"/>
    </row>
    <row r="787" ht="22.5" customHeight="1">
      <c r="A787" s="201"/>
      <c r="B787" s="645"/>
      <c r="C787" s="645"/>
      <c r="D787" s="645"/>
      <c r="E787" s="201"/>
      <c r="F787" s="602"/>
      <c r="G787" s="645"/>
      <c r="H787" s="645"/>
      <c r="I787" s="645"/>
      <c r="J787" s="201"/>
      <c r="K787" s="201"/>
      <c r="L787" s="644"/>
      <c r="M787" s="644"/>
      <c r="N787" s="644"/>
      <c r="O787" s="602"/>
      <c r="P787" s="201"/>
    </row>
    <row r="788" ht="22.5" customHeight="1">
      <c r="A788" s="201"/>
      <c r="B788" s="645"/>
      <c r="C788" s="645"/>
      <c r="D788" s="645"/>
      <c r="E788" s="201"/>
      <c r="F788" s="602"/>
      <c r="G788" s="645"/>
      <c r="H788" s="645"/>
      <c r="I788" s="645"/>
      <c r="J788" s="201"/>
      <c r="K788" s="201"/>
      <c r="L788" s="644"/>
      <c r="M788" s="644"/>
      <c r="N788" s="644"/>
      <c r="O788" s="602"/>
      <c r="P788" s="201"/>
    </row>
    <row r="789" ht="22.5" customHeight="1">
      <c r="A789" s="201"/>
      <c r="B789" s="645"/>
      <c r="C789" s="645"/>
      <c r="D789" s="645"/>
      <c r="E789" s="201"/>
      <c r="F789" s="602"/>
      <c r="G789" s="645"/>
      <c r="H789" s="645"/>
      <c r="I789" s="645"/>
      <c r="J789" s="201"/>
      <c r="K789" s="201"/>
      <c r="L789" s="644"/>
      <c r="M789" s="644"/>
      <c r="N789" s="644"/>
      <c r="O789" s="602"/>
      <c r="P789" s="201"/>
    </row>
    <row r="790" ht="22.5" customHeight="1">
      <c r="A790" s="201"/>
      <c r="B790" s="645"/>
      <c r="C790" s="645"/>
      <c r="D790" s="645"/>
      <c r="E790" s="201"/>
      <c r="F790" s="602"/>
      <c r="G790" s="645"/>
      <c r="H790" s="645"/>
      <c r="I790" s="645"/>
      <c r="J790" s="201"/>
      <c r="K790" s="201"/>
      <c r="L790" s="644"/>
      <c r="M790" s="644"/>
      <c r="N790" s="644"/>
      <c r="O790" s="602"/>
      <c r="P790" s="201"/>
    </row>
    <row r="791" ht="22.5" customHeight="1">
      <c r="A791" s="201"/>
      <c r="B791" s="645"/>
      <c r="C791" s="645"/>
      <c r="D791" s="645"/>
      <c r="E791" s="201"/>
      <c r="F791" s="602"/>
      <c r="G791" s="645"/>
      <c r="H791" s="645"/>
      <c r="I791" s="645"/>
      <c r="J791" s="201"/>
      <c r="K791" s="201"/>
      <c r="L791" s="644"/>
      <c r="M791" s="644"/>
      <c r="N791" s="644"/>
      <c r="O791" s="602"/>
      <c r="P791" s="201"/>
    </row>
    <row r="792" ht="22.5" customHeight="1">
      <c r="A792" s="201"/>
      <c r="B792" s="645"/>
      <c r="C792" s="645"/>
      <c r="D792" s="645"/>
      <c r="E792" s="201"/>
      <c r="F792" s="602"/>
      <c r="G792" s="645"/>
      <c r="H792" s="645"/>
      <c r="I792" s="645"/>
      <c r="J792" s="201"/>
      <c r="K792" s="201"/>
      <c r="L792" s="644"/>
      <c r="M792" s="644"/>
      <c r="N792" s="644"/>
      <c r="O792" s="602"/>
      <c r="P792" s="201"/>
    </row>
    <row r="793" ht="22.5" customHeight="1">
      <c r="A793" s="201"/>
      <c r="B793" s="645"/>
      <c r="C793" s="645"/>
      <c r="D793" s="645"/>
      <c r="E793" s="201"/>
      <c r="F793" s="602"/>
      <c r="G793" s="645"/>
      <c r="H793" s="645"/>
      <c r="I793" s="645"/>
      <c r="J793" s="201"/>
      <c r="K793" s="201"/>
      <c r="L793" s="644"/>
      <c r="M793" s="644"/>
      <c r="N793" s="644"/>
      <c r="O793" s="602"/>
      <c r="P793" s="201"/>
    </row>
    <row r="794" ht="22.5" customHeight="1">
      <c r="A794" s="201"/>
      <c r="B794" s="645"/>
      <c r="C794" s="645"/>
      <c r="D794" s="645"/>
      <c r="E794" s="201"/>
      <c r="F794" s="602"/>
      <c r="G794" s="645"/>
      <c r="H794" s="645"/>
      <c r="I794" s="645"/>
      <c r="J794" s="201"/>
      <c r="K794" s="201"/>
      <c r="L794" s="644"/>
      <c r="M794" s="644"/>
      <c r="N794" s="644"/>
      <c r="O794" s="602"/>
      <c r="P794" s="201"/>
    </row>
    <row r="795" ht="22.5" customHeight="1">
      <c r="A795" s="201"/>
      <c r="B795" s="645"/>
      <c r="C795" s="645"/>
      <c r="D795" s="645"/>
      <c r="E795" s="201"/>
      <c r="F795" s="602"/>
      <c r="G795" s="645"/>
      <c r="H795" s="645"/>
      <c r="I795" s="645"/>
      <c r="J795" s="201"/>
      <c r="K795" s="201"/>
      <c r="L795" s="644"/>
      <c r="M795" s="644"/>
      <c r="N795" s="644"/>
      <c r="O795" s="602"/>
      <c r="P795" s="201"/>
    </row>
    <row r="796" ht="22.5" customHeight="1">
      <c r="A796" s="201"/>
      <c r="B796" s="645"/>
      <c r="C796" s="645"/>
      <c r="D796" s="645"/>
      <c r="E796" s="201"/>
      <c r="F796" s="602"/>
      <c r="G796" s="645"/>
      <c r="H796" s="645"/>
      <c r="I796" s="645"/>
      <c r="J796" s="201"/>
      <c r="K796" s="201"/>
      <c r="L796" s="644"/>
      <c r="M796" s="644"/>
      <c r="N796" s="644"/>
      <c r="O796" s="602"/>
      <c r="P796" s="201"/>
    </row>
    <row r="797" ht="22.5" customHeight="1">
      <c r="A797" s="201"/>
      <c r="B797" s="645"/>
      <c r="C797" s="645"/>
      <c r="D797" s="645"/>
      <c r="E797" s="201"/>
      <c r="F797" s="602"/>
      <c r="G797" s="645"/>
      <c r="H797" s="645"/>
      <c r="I797" s="645"/>
      <c r="J797" s="201"/>
      <c r="K797" s="201"/>
      <c r="L797" s="644"/>
      <c r="M797" s="644"/>
      <c r="N797" s="644"/>
      <c r="O797" s="602"/>
      <c r="P797" s="201"/>
    </row>
    <row r="798" ht="22.5" customHeight="1">
      <c r="A798" s="201"/>
      <c r="B798" s="645"/>
      <c r="C798" s="645"/>
      <c r="D798" s="645"/>
      <c r="E798" s="201"/>
      <c r="F798" s="602"/>
      <c r="G798" s="645"/>
      <c r="H798" s="645"/>
      <c r="I798" s="645"/>
      <c r="J798" s="201"/>
      <c r="K798" s="201"/>
      <c r="L798" s="644"/>
      <c r="M798" s="644"/>
      <c r="N798" s="644"/>
      <c r="O798" s="602"/>
      <c r="P798" s="201"/>
    </row>
    <row r="799" ht="22.5" customHeight="1">
      <c r="A799" s="201"/>
      <c r="B799" s="645"/>
      <c r="C799" s="645"/>
      <c r="D799" s="645"/>
      <c r="E799" s="201"/>
      <c r="F799" s="602"/>
      <c r="G799" s="645"/>
      <c r="H799" s="645"/>
      <c r="I799" s="645"/>
      <c r="J799" s="201"/>
      <c r="K799" s="201"/>
      <c r="L799" s="644"/>
      <c r="M799" s="644"/>
      <c r="N799" s="644"/>
      <c r="O799" s="602"/>
      <c r="P799" s="201"/>
    </row>
    <row r="800" ht="22.5" customHeight="1">
      <c r="A800" s="201"/>
      <c r="B800" s="645"/>
      <c r="C800" s="645"/>
      <c r="D800" s="645"/>
      <c r="E800" s="201"/>
      <c r="F800" s="602"/>
      <c r="G800" s="645"/>
      <c r="H800" s="645"/>
      <c r="I800" s="645"/>
      <c r="J800" s="201"/>
      <c r="K800" s="201"/>
      <c r="L800" s="644"/>
      <c r="M800" s="644"/>
      <c r="N800" s="644"/>
      <c r="O800" s="602"/>
      <c r="P800" s="201"/>
    </row>
    <row r="801" ht="22.5" customHeight="1">
      <c r="A801" s="201"/>
      <c r="B801" s="645"/>
      <c r="C801" s="645"/>
      <c r="D801" s="645"/>
      <c r="E801" s="201"/>
      <c r="F801" s="602"/>
      <c r="G801" s="645"/>
      <c r="H801" s="645"/>
      <c r="I801" s="645"/>
      <c r="J801" s="201"/>
      <c r="K801" s="201"/>
      <c r="L801" s="644"/>
      <c r="M801" s="644"/>
      <c r="N801" s="644"/>
      <c r="O801" s="602"/>
      <c r="P801" s="201"/>
    </row>
    <row r="802" ht="22.5" customHeight="1">
      <c r="A802" s="201"/>
      <c r="B802" s="645"/>
      <c r="C802" s="645"/>
      <c r="D802" s="645"/>
      <c r="E802" s="201"/>
      <c r="F802" s="602"/>
      <c r="G802" s="645"/>
      <c r="H802" s="645"/>
      <c r="I802" s="645"/>
      <c r="J802" s="201"/>
      <c r="K802" s="201"/>
      <c r="L802" s="644"/>
      <c r="M802" s="644"/>
      <c r="N802" s="644"/>
      <c r="O802" s="602"/>
      <c r="P802" s="201"/>
    </row>
    <row r="803" ht="22.5" customHeight="1">
      <c r="A803" s="201"/>
      <c r="B803" s="645"/>
      <c r="C803" s="645"/>
      <c r="D803" s="645"/>
      <c r="E803" s="201"/>
      <c r="F803" s="602"/>
      <c r="G803" s="645"/>
      <c r="H803" s="645"/>
      <c r="I803" s="645"/>
      <c r="J803" s="201"/>
      <c r="K803" s="201"/>
      <c r="L803" s="644"/>
      <c r="M803" s="644"/>
      <c r="N803" s="644"/>
      <c r="O803" s="602"/>
      <c r="P803" s="201"/>
    </row>
    <row r="804" ht="22.5" customHeight="1">
      <c r="A804" s="201"/>
      <c r="B804" s="645"/>
      <c r="C804" s="645"/>
      <c r="D804" s="645"/>
      <c r="E804" s="201"/>
      <c r="F804" s="602"/>
      <c r="G804" s="645"/>
      <c r="H804" s="645"/>
      <c r="I804" s="645"/>
      <c r="J804" s="201"/>
      <c r="K804" s="201"/>
      <c r="L804" s="644"/>
      <c r="M804" s="644"/>
      <c r="N804" s="644"/>
      <c r="O804" s="602"/>
      <c r="P804" s="201"/>
    </row>
    <row r="805" ht="22.5" customHeight="1">
      <c r="A805" s="201"/>
      <c r="B805" s="645"/>
      <c r="C805" s="645"/>
      <c r="D805" s="645"/>
      <c r="E805" s="201"/>
      <c r="F805" s="602"/>
      <c r="G805" s="645"/>
      <c r="H805" s="645"/>
      <c r="I805" s="645"/>
      <c r="J805" s="201"/>
      <c r="K805" s="201"/>
      <c r="L805" s="644"/>
      <c r="M805" s="644"/>
      <c r="N805" s="644"/>
      <c r="O805" s="602"/>
      <c r="P805" s="201"/>
    </row>
    <row r="806" ht="22.5" customHeight="1">
      <c r="A806" s="201"/>
      <c r="B806" s="645"/>
      <c r="C806" s="645"/>
      <c r="D806" s="645"/>
      <c r="E806" s="201"/>
      <c r="F806" s="602"/>
      <c r="G806" s="645"/>
      <c r="H806" s="645"/>
      <c r="I806" s="645"/>
      <c r="J806" s="201"/>
      <c r="K806" s="201"/>
      <c r="L806" s="644"/>
      <c r="M806" s="644"/>
      <c r="N806" s="644"/>
      <c r="O806" s="602"/>
      <c r="P806" s="201"/>
    </row>
    <row r="807" ht="22.5" customHeight="1">
      <c r="A807" s="201"/>
      <c r="B807" s="645"/>
      <c r="C807" s="645"/>
      <c r="D807" s="645"/>
      <c r="E807" s="201"/>
      <c r="F807" s="602"/>
      <c r="G807" s="645"/>
      <c r="H807" s="645"/>
      <c r="I807" s="645"/>
      <c r="J807" s="201"/>
      <c r="K807" s="201"/>
      <c r="L807" s="644"/>
      <c r="M807" s="644"/>
      <c r="N807" s="644"/>
      <c r="O807" s="602"/>
      <c r="P807" s="201"/>
    </row>
    <row r="808" ht="22.5" customHeight="1">
      <c r="A808" s="201"/>
      <c r="B808" s="645"/>
      <c r="C808" s="645"/>
      <c r="D808" s="645"/>
      <c r="E808" s="201"/>
      <c r="F808" s="602"/>
      <c r="G808" s="645"/>
      <c r="H808" s="645"/>
      <c r="I808" s="645"/>
      <c r="J808" s="201"/>
      <c r="K808" s="201"/>
      <c r="L808" s="644"/>
      <c r="M808" s="644"/>
      <c r="N808" s="644"/>
      <c r="O808" s="602"/>
      <c r="P808" s="201"/>
    </row>
    <row r="809" ht="22.5" customHeight="1">
      <c r="A809" s="201"/>
      <c r="B809" s="645"/>
      <c r="C809" s="645"/>
      <c r="D809" s="645"/>
      <c r="E809" s="201"/>
      <c r="F809" s="602"/>
      <c r="G809" s="645"/>
      <c r="H809" s="645"/>
      <c r="I809" s="645"/>
      <c r="J809" s="201"/>
      <c r="K809" s="201"/>
      <c r="L809" s="644"/>
      <c r="M809" s="644"/>
      <c r="N809" s="644"/>
      <c r="O809" s="602"/>
      <c r="P809" s="201"/>
    </row>
    <row r="810" ht="22.5" customHeight="1">
      <c r="A810" s="201"/>
      <c r="B810" s="645"/>
      <c r="C810" s="645"/>
      <c r="D810" s="645"/>
      <c r="E810" s="201"/>
      <c r="F810" s="602"/>
      <c r="G810" s="645"/>
      <c r="H810" s="645"/>
      <c r="I810" s="645"/>
      <c r="J810" s="201"/>
      <c r="K810" s="201"/>
      <c r="L810" s="644"/>
      <c r="M810" s="644"/>
      <c r="N810" s="644"/>
      <c r="O810" s="602"/>
      <c r="P810" s="201"/>
    </row>
    <row r="811" ht="22.5" customHeight="1">
      <c r="A811" s="201"/>
      <c r="B811" s="645"/>
      <c r="C811" s="645"/>
      <c r="D811" s="645"/>
      <c r="E811" s="201"/>
      <c r="F811" s="602"/>
      <c r="G811" s="645"/>
      <c r="H811" s="645"/>
      <c r="I811" s="645"/>
      <c r="J811" s="201"/>
      <c r="K811" s="201"/>
      <c r="L811" s="644"/>
      <c r="M811" s="644"/>
      <c r="N811" s="644"/>
      <c r="O811" s="602"/>
      <c r="P811" s="201"/>
    </row>
    <row r="812" ht="22.5" customHeight="1">
      <c r="A812" s="201"/>
      <c r="B812" s="645"/>
      <c r="C812" s="645"/>
      <c r="D812" s="645"/>
      <c r="E812" s="201"/>
      <c r="F812" s="602"/>
      <c r="G812" s="645"/>
      <c r="H812" s="645"/>
      <c r="I812" s="645"/>
      <c r="J812" s="201"/>
      <c r="K812" s="201"/>
      <c r="L812" s="644"/>
      <c r="M812" s="644"/>
      <c r="N812" s="644"/>
      <c r="O812" s="602"/>
      <c r="P812" s="201"/>
    </row>
    <row r="813" ht="22.5" customHeight="1">
      <c r="A813" s="201"/>
      <c r="B813" s="645"/>
      <c r="C813" s="645"/>
      <c r="D813" s="645"/>
      <c r="E813" s="201"/>
      <c r="F813" s="602"/>
      <c r="G813" s="645"/>
      <c r="H813" s="645"/>
      <c r="I813" s="645"/>
      <c r="J813" s="201"/>
      <c r="K813" s="201"/>
      <c r="L813" s="644"/>
      <c r="M813" s="644"/>
      <c r="N813" s="644"/>
      <c r="O813" s="602"/>
      <c r="P813" s="201"/>
    </row>
    <row r="814" ht="22.5" customHeight="1">
      <c r="A814" s="201"/>
      <c r="B814" s="645"/>
      <c r="C814" s="645"/>
      <c r="D814" s="645"/>
      <c r="E814" s="201"/>
      <c r="F814" s="602"/>
      <c r="G814" s="645"/>
      <c r="H814" s="645"/>
      <c r="I814" s="645"/>
      <c r="J814" s="201"/>
      <c r="K814" s="201"/>
      <c r="L814" s="644"/>
      <c r="M814" s="644"/>
      <c r="N814" s="644"/>
      <c r="O814" s="602"/>
      <c r="P814" s="201"/>
    </row>
    <row r="815" ht="22.5" customHeight="1">
      <c r="A815" s="201"/>
      <c r="B815" s="645"/>
      <c r="C815" s="645"/>
      <c r="D815" s="645"/>
      <c r="E815" s="201"/>
      <c r="F815" s="602"/>
      <c r="G815" s="645"/>
      <c r="H815" s="645"/>
      <c r="I815" s="645"/>
      <c r="J815" s="201"/>
      <c r="K815" s="201"/>
      <c r="L815" s="644"/>
      <c r="M815" s="644"/>
      <c r="N815" s="644"/>
      <c r="O815" s="602"/>
      <c r="P815" s="201"/>
    </row>
    <row r="816" ht="22.5" customHeight="1">
      <c r="A816" s="201"/>
      <c r="B816" s="645"/>
      <c r="C816" s="645"/>
      <c r="D816" s="645"/>
      <c r="E816" s="201"/>
      <c r="F816" s="602"/>
      <c r="G816" s="645"/>
      <c r="H816" s="645"/>
      <c r="I816" s="645"/>
      <c r="J816" s="201"/>
      <c r="K816" s="201"/>
      <c r="L816" s="644"/>
      <c r="M816" s="644"/>
      <c r="N816" s="644"/>
      <c r="O816" s="602"/>
      <c r="P816" s="201"/>
    </row>
    <row r="817" ht="22.5" customHeight="1">
      <c r="A817" s="201"/>
      <c r="B817" s="645"/>
      <c r="C817" s="645"/>
      <c r="D817" s="645"/>
      <c r="E817" s="201"/>
      <c r="F817" s="602"/>
      <c r="G817" s="645"/>
      <c r="H817" s="645"/>
      <c r="I817" s="645"/>
      <c r="J817" s="201"/>
      <c r="K817" s="201"/>
      <c r="L817" s="644"/>
      <c r="M817" s="644"/>
      <c r="N817" s="644"/>
      <c r="O817" s="602"/>
      <c r="P817" s="201"/>
    </row>
    <row r="818" ht="22.5" customHeight="1">
      <c r="A818" s="201"/>
      <c r="B818" s="645"/>
      <c r="C818" s="645"/>
      <c r="D818" s="645"/>
      <c r="E818" s="201"/>
      <c r="F818" s="602"/>
      <c r="G818" s="645"/>
      <c r="H818" s="645"/>
      <c r="I818" s="645"/>
      <c r="J818" s="201"/>
      <c r="K818" s="201"/>
      <c r="L818" s="644"/>
      <c r="M818" s="644"/>
      <c r="N818" s="644"/>
      <c r="O818" s="602"/>
      <c r="P818" s="201"/>
    </row>
    <row r="819" ht="22.5" customHeight="1">
      <c r="A819" s="201"/>
      <c r="B819" s="645"/>
      <c r="C819" s="645"/>
      <c r="D819" s="645"/>
      <c r="E819" s="201"/>
      <c r="F819" s="602"/>
      <c r="G819" s="645"/>
      <c r="H819" s="645"/>
      <c r="I819" s="645"/>
      <c r="J819" s="201"/>
      <c r="K819" s="201"/>
      <c r="L819" s="644"/>
      <c r="M819" s="644"/>
      <c r="N819" s="644"/>
      <c r="O819" s="602"/>
      <c r="P819" s="201"/>
    </row>
    <row r="820" ht="22.5" customHeight="1">
      <c r="A820" s="201"/>
      <c r="B820" s="645"/>
      <c r="C820" s="645"/>
      <c r="D820" s="645"/>
      <c r="E820" s="201"/>
      <c r="F820" s="602"/>
      <c r="G820" s="645"/>
      <c r="H820" s="645"/>
      <c r="I820" s="645"/>
      <c r="J820" s="201"/>
      <c r="K820" s="201"/>
      <c r="L820" s="644"/>
      <c r="M820" s="644"/>
      <c r="N820" s="644"/>
      <c r="O820" s="602"/>
      <c r="P820" s="201"/>
    </row>
    <row r="821" ht="22.5" customHeight="1">
      <c r="A821" s="201"/>
      <c r="B821" s="645"/>
      <c r="C821" s="645"/>
      <c r="D821" s="645"/>
      <c r="E821" s="201"/>
      <c r="F821" s="602"/>
      <c r="G821" s="645"/>
      <c r="H821" s="645"/>
      <c r="I821" s="645"/>
      <c r="J821" s="201"/>
      <c r="K821" s="201"/>
      <c r="L821" s="644"/>
      <c r="M821" s="644"/>
      <c r="N821" s="644"/>
      <c r="O821" s="602"/>
      <c r="P821" s="201"/>
    </row>
    <row r="822" ht="22.5" customHeight="1">
      <c r="A822" s="201"/>
      <c r="B822" s="645"/>
      <c r="C822" s="645"/>
      <c r="D822" s="645"/>
      <c r="E822" s="201"/>
      <c r="F822" s="602"/>
      <c r="G822" s="645"/>
      <c r="H822" s="645"/>
      <c r="I822" s="645"/>
      <c r="J822" s="201"/>
      <c r="K822" s="201"/>
      <c r="L822" s="644"/>
      <c r="M822" s="644"/>
      <c r="N822" s="644"/>
      <c r="O822" s="602"/>
      <c r="P822" s="201"/>
    </row>
    <row r="823" ht="22.5" customHeight="1">
      <c r="A823" s="201"/>
      <c r="B823" s="645"/>
      <c r="C823" s="645"/>
      <c r="D823" s="645"/>
      <c r="E823" s="201"/>
      <c r="F823" s="602"/>
      <c r="G823" s="645"/>
      <c r="H823" s="645"/>
      <c r="I823" s="645"/>
      <c r="J823" s="201"/>
      <c r="K823" s="201"/>
      <c r="L823" s="644"/>
      <c r="M823" s="644"/>
      <c r="N823" s="644"/>
      <c r="O823" s="602"/>
      <c r="P823" s="201"/>
    </row>
    <row r="824" ht="22.5" customHeight="1">
      <c r="A824" s="201"/>
      <c r="B824" s="645"/>
      <c r="C824" s="645"/>
      <c r="D824" s="645"/>
      <c r="E824" s="201"/>
      <c r="F824" s="602"/>
      <c r="G824" s="645"/>
      <c r="H824" s="645"/>
      <c r="I824" s="645"/>
      <c r="J824" s="201"/>
      <c r="K824" s="201"/>
      <c r="L824" s="644"/>
      <c r="M824" s="644"/>
      <c r="N824" s="644"/>
      <c r="O824" s="602"/>
      <c r="P824" s="201"/>
    </row>
    <row r="825" ht="22.5" customHeight="1">
      <c r="A825" s="201"/>
      <c r="B825" s="645"/>
      <c r="C825" s="645"/>
      <c r="D825" s="645"/>
      <c r="E825" s="201"/>
      <c r="F825" s="602"/>
      <c r="G825" s="645"/>
      <c r="H825" s="645"/>
      <c r="I825" s="645"/>
      <c r="J825" s="201"/>
      <c r="K825" s="201"/>
      <c r="L825" s="644"/>
      <c r="M825" s="644"/>
      <c r="N825" s="644"/>
      <c r="O825" s="602"/>
      <c r="P825" s="201"/>
    </row>
    <row r="826" ht="22.5" customHeight="1">
      <c r="A826" s="201"/>
      <c r="B826" s="645"/>
      <c r="C826" s="645"/>
      <c r="D826" s="645"/>
      <c r="E826" s="201"/>
      <c r="F826" s="602"/>
      <c r="G826" s="645"/>
      <c r="H826" s="645"/>
      <c r="I826" s="645"/>
      <c r="J826" s="201"/>
      <c r="K826" s="201"/>
      <c r="L826" s="644"/>
      <c r="M826" s="644"/>
      <c r="N826" s="644"/>
      <c r="O826" s="602"/>
      <c r="P826" s="201"/>
    </row>
    <row r="827" ht="22.5" customHeight="1">
      <c r="A827" s="201"/>
      <c r="B827" s="645"/>
      <c r="C827" s="645"/>
      <c r="D827" s="645"/>
      <c r="E827" s="201"/>
      <c r="F827" s="602"/>
      <c r="G827" s="645"/>
      <c r="H827" s="645"/>
      <c r="I827" s="645"/>
      <c r="J827" s="201"/>
      <c r="K827" s="201"/>
      <c r="L827" s="644"/>
      <c r="M827" s="644"/>
      <c r="N827" s="644"/>
      <c r="O827" s="602"/>
      <c r="P827" s="201"/>
    </row>
    <row r="828" ht="22.5" customHeight="1">
      <c r="A828" s="201"/>
      <c r="B828" s="645"/>
      <c r="C828" s="645"/>
      <c r="D828" s="645"/>
      <c r="E828" s="201"/>
      <c r="F828" s="602"/>
      <c r="G828" s="645"/>
      <c r="H828" s="645"/>
      <c r="I828" s="645"/>
      <c r="J828" s="201"/>
      <c r="K828" s="201"/>
      <c r="L828" s="644"/>
      <c r="M828" s="644"/>
      <c r="N828" s="644"/>
      <c r="O828" s="602"/>
      <c r="P828" s="201"/>
    </row>
    <row r="829" ht="22.5" customHeight="1">
      <c r="A829" s="201"/>
      <c r="B829" s="645"/>
      <c r="C829" s="645"/>
      <c r="D829" s="645"/>
      <c r="E829" s="201"/>
      <c r="F829" s="602"/>
      <c r="G829" s="645"/>
      <c r="H829" s="645"/>
      <c r="I829" s="645"/>
      <c r="J829" s="201"/>
      <c r="K829" s="201"/>
      <c r="L829" s="644"/>
      <c r="M829" s="644"/>
      <c r="N829" s="644"/>
      <c r="O829" s="602"/>
      <c r="P829" s="201"/>
    </row>
    <row r="830" ht="22.5" customHeight="1">
      <c r="A830" s="201"/>
      <c r="B830" s="645"/>
      <c r="C830" s="645"/>
      <c r="D830" s="645"/>
      <c r="E830" s="201"/>
      <c r="F830" s="602"/>
      <c r="G830" s="645"/>
      <c r="H830" s="645"/>
      <c r="I830" s="645"/>
      <c r="J830" s="201"/>
      <c r="K830" s="201"/>
      <c r="L830" s="644"/>
      <c r="M830" s="644"/>
      <c r="N830" s="644"/>
      <c r="O830" s="602"/>
      <c r="P830" s="201"/>
    </row>
    <row r="831" ht="22.5" customHeight="1">
      <c r="A831" s="201"/>
      <c r="B831" s="645"/>
      <c r="C831" s="645"/>
      <c r="D831" s="645"/>
      <c r="E831" s="201"/>
      <c r="F831" s="602"/>
      <c r="G831" s="645"/>
      <c r="H831" s="645"/>
      <c r="I831" s="645"/>
      <c r="J831" s="201"/>
      <c r="K831" s="201"/>
      <c r="L831" s="644"/>
      <c r="M831" s="644"/>
      <c r="N831" s="644"/>
      <c r="O831" s="602"/>
      <c r="P831" s="201"/>
    </row>
    <row r="832" ht="22.5" customHeight="1">
      <c r="A832" s="201"/>
      <c r="B832" s="645"/>
      <c r="C832" s="645"/>
      <c r="D832" s="645"/>
      <c r="E832" s="201"/>
      <c r="F832" s="602"/>
      <c r="G832" s="645"/>
      <c r="H832" s="645"/>
      <c r="I832" s="645"/>
      <c r="J832" s="201"/>
      <c r="K832" s="201"/>
      <c r="L832" s="644"/>
      <c r="M832" s="644"/>
      <c r="N832" s="644"/>
      <c r="O832" s="602"/>
      <c r="P832" s="201"/>
    </row>
    <row r="833" ht="22.5" customHeight="1">
      <c r="A833" s="201"/>
      <c r="B833" s="645"/>
      <c r="C833" s="645"/>
      <c r="D833" s="645"/>
      <c r="E833" s="201"/>
      <c r="F833" s="602"/>
      <c r="G833" s="645"/>
      <c r="H833" s="645"/>
      <c r="I833" s="645"/>
      <c r="J833" s="201"/>
      <c r="K833" s="201"/>
      <c r="L833" s="644"/>
      <c r="M833" s="644"/>
      <c r="N833" s="644"/>
      <c r="O833" s="602"/>
      <c r="P833" s="201"/>
    </row>
    <row r="834" ht="22.5" customHeight="1">
      <c r="A834" s="201"/>
      <c r="B834" s="645"/>
      <c r="C834" s="645"/>
      <c r="D834" s="645"/>
      <c r="E834" s="201"/>
      <c r="F834" s="602"/>
      <c r="G834" s="645"/>
      <c r="H834" s="645"/>
      <c r="I834" s="645"/>
      <c r="J834" s="201"/>
      <c r="K834" s="201"/>
      <c r="L834" s="644"/>
      <c r="M834" s="644"/>
      <c r="N834" s="644"/>
      <c r="O834" s="602"/>
      <c r="P834" s="201"/>
    </row>
    <row r="835" ht="22.5" customHeight="1">
      <c r="A835" s="201"/>
      <c r="B835" s="645"/>
      <c r="C835" s="645"/>
      <c r="D835" s="645"/>
      <c r="E835" s="201"/>
      <c r="F835" s="602"/>
      <c r="G835" s="645"/>
      <c r="H835" s="645"/>
      <c r="I835" s="645"/>
      <c r="J835" s="201"/>
      <c r="K835" s="201"/>
      <c r="L835" s="644"/>
      <c r="M835" s="644"/>
      <c r="N835" s="644"/>
      <c r="O835" s="602"/>
      <c r="P835" s="201"/>
    </row>
    <row r="836" ht="22.5" customHeight="1">
      <c r="A836" s="201"/>
      <c r="B836" s="645"/>
      <c r="C836" s="645"/>
      <c r="D836" s="645"/>
      <c r="E836" s="201"/>
      <c r="F836" s="602"/>
      <c r="G836" s="645"/>
      <c r="H836" s="645"/>
      <c r="I836" s="645"/>
      <c r="J836" s="201"/>
      <c r="K836" s="201"/>
      <c r="L836" s="644"/>
      <c r="M836" s="644"/>
      <c r="N836" s="644"/>
      <c r="O836" s="602"/>
      <c r="P836" s="201"/>
    </row>
    <row r="837" ht="22.5" customHeight="1">
      <c r="A837" s="201"/>
      <c r="B837" s="645"/>
      <c r="C837" s="645"/>
      <c r="D837" s="645"/>
      <c r="E837" s="201"/>
      <c r="F837" s="602"/>
      <c r="G837" s="645"/>
      <c r="H837" s="645"/>
      <c r="I837" s="645"/>
      <c r="J837" s="201"/>
      <c r="K837" s="201"/>
      <c r="L837" s="644"/>
      <c r="M837" s="644"/>
      <c r="N837" s="644"/>
      <c r="O837" s="602"/>
      <c r="P837" s="201"/>
    </row>
    <row r="838" ht="22.5" customHeight="1">
      <c r="A838" s="201"/>
      <c r="B838" s="645"/>
      <c r="C838" s="645"/>
      <c r="D838" s="645"/>
      <c r="E838" s="201"/>
      <c r="F838" s="602"/>
      <c r="G838" s="645"/>
      <c r="H838" s="645"/>
      <c r="I838" s="645"/>
      <c r="J838" s="201"/>
      <c r="K838" s="201"/>
      <c r="L838" s="644"/>
      <c r="M838" s="644"/>
      <c r="N838" s="644"/>
      <c r="O838" s="602"/>
      <c r="P838" s="201"/>
    </row>
    <row r="839" ht="22.5" customHeight="1">
      <c r="A839" s="201"/>
      <c r="B839" s="645"/>
      <c r="C839" s="645"/>
      <c r="D839" s="645"/>
      <c r="E839" s="201"/>
      <c r="F839" s="602"/>
      <c r="G839" s="645"/>
      <c r="H839" s="645"/>
      <c r="I839" s="645"/>
      <c r="J839" s="201"/>
      <c r="K839" s="201"/>
      <c r="L839" s="644"/>
      <c r="M839" s="644"/>
      <c r="N839" s="644"/>
      <c r="O839" s="602"/>
      <c r="P839" s="201"/>
    </row>
    <row r="840" ht="22.5" customHeight="1">
      <c r="A840" s="201"/>
      <c r="B840" s="645"/>
      <c r="C840" s="645"/>
      <c r="D840" s="645"/>
      <c r="E840" s="201"/>
      <c r="F840" s="602"/>
      <c r="G840" s="645"/>
      <c r="H840" s="645"/>
      <c r="I840" s="645"/>
      <c r="J840" s="201"/>
      <c r="K840" s="201"/>
      <c r="L840" s="644"/>
      <c r="M840" s="644"/>
      <c r="N840" s="644"/>
      <c r="O840" s="602"/>
      <c r="P840" s="201"/>
    </row>
    <row r="841" ht="22.5" customHeight="1">
      <c r="A841" s="201"/>
      <c r="B841" s="645"/>
      <c r="C841" s="645"/>
      <c r="D841" s="645"/>
      <c r="E841" s="201"/>
      <c r="F841" s="602"/>
      <c r="G841" s="645"/>
      <c r="H841" s="645"/>
      <c r="I841" s="645"/>
      <c r="J841" s="201"/>
      <c r="K841" s="201"/>
      <c r="L841" s="644"/>
      <c r="M841" s="644"/>
      <c r="N841" s="644"/>
      <c r="O841" s="602"/>
      <c r="P841" s="201"/>
    </row>
    <row r="842" ht="22.5" customHeight="1">
      <c r="A842" s="201"/>
      <c r="B842" s="645"/>
      <c r="C842" s="645"/>
      <c r="D842" s="645"/>
      <c r="E842" s="201"/>
      <c r="F842" s="602"/>
      <c r="G842" s="645"/>
      <c r="H842" s="645"/>
      <c r="I842" s="645"/>
      <c r="J842" s="201"/>
      <c r="K842" s="201"/>
      <c r="L842" s="644"/>
      <c r="M842" s="644"/>
      <c r="N842" s="644"/>
      <c r="O842" s="602"/>
      <c r="P842" s="201"/>
    </row>
    <row r="843" ht="22.5" customHeight="1">
      <c r="A843" s="201"/>
      <c r="B843" s="645"/>
      <c r="C843" s="645"/>
      <c r="D843" s="645"/>
      <c r="E843" s="201"/>
      <c r="F843" s="602"/>
      <c r="G843" s="645"/>
      <c r="H843" s="645"/>
      <c r="I843" s="645"/>
      <c r="J843" s="201"/>
      <c r="K843" s="201"/>
      <c r="L843" s="644"/>
      <c r="M843" s="644"/>
      <c r="N843" s="644"/>
      <c r="O843" s="602"/>
      <c r="P843" s="201"/>
    </row>
    <row r="844" ht="22.5" customHeight="1">
      <c r="A844" s="201"/>
      <c r="B844" s="645"/>
      <c r="C844" s="645"/>
      <c r="D844" s="645"/>
      <c r="E844" s="201"/>
      <c r="F844" s="602"/>
      <c r="G844" s="645"/>
      <c r="H844" s="645"/>
      <c r="I844" s="645"/>
      <c r="J844" s="201"/>
      <c r="K844" s="201"/>
      <c r="L844" s="644"/>
      <c r="M844" s="644"/>
      <c r="N844" s="644"/>
      <c r="O844" s="602"/>
      <c r="P844" s="201"/>
    </row>
    <row r="845" ht="22.5" customHeight="1">
      <c r="A845" s="201"/>
      <c r="B845" s="645"/>
      <c r="C845" s="645"/>
      <c r="D845" s="645"/>
      <c r="E845" s="201"/>
      <c r="F845" s="602"/>
      <c r="G845" s="645"/>
      <c r="H845" s="645"/>
      <c r="I845" s="645"/>
      <c r="J845" s="201"/>
      <c r="K845" s="201"/>
      <c r="L845" s="644"/>
      <c r="M845" s="644"/>
      <c r="N845" s="644"/>
      <c r="O845" s="602"/>
      <c r="P845" s="201"/>
    </row>
    <row r="846" ht="22.5" customHeight="1">
      <c r="A846" s="201"/>
      <c r="B846" s="645"/>
      <c r="C846" s="645"/>
      <c r="D846" s="645"/>
      <c r="E846" s="201"/>
      <c r="F846" s="602"/>
      <c r="G846" s="645"/>
      <c r="H846" s="645"/>
      <c r="I846" s="645"/>
      <c r="J846" s="201"/>
      <c r="K846" s="201"/>
      <c r="L846" s="644"/>
      <c r="M846" s="644"/>
      <c r="N846" s="644"/>
      <c r="O846" s="602"/>
      <c r="P846" s="201"/>
    </row>
    <row r="847" ht="22.5" customHeight="1">
      <c r="A847" s="201"/>
      <c r="B847" s="645"/>
      <c r="C847" s="645"/>
      <c r="D847" s="645"/>
      <c r="E847" s="201"/>
      <c r="F847" s="602"/>
      <c r="G847" s="645"/>
      <c r="H847" s="645"/>
      <c r="I847" s="645"/>
      <c r="J847" s="201"/>
      <c r="K847" s="201"/>
      <c r="L847" s="644"/>
      <c r="M847" s="644"/>
      <c r="N847" s="644"/>
      <c r="O847" s="602"/>
      <c r="P847" s="201"/>
    </row>
    <row r="848" ht="22.5" customHeight="1">
      <c r="A848" s="201"/>
      <c r="B848" s="645"/>
      <c r="C848" s="645"/>
      <c r="D848" s="645"/>
      <c r="E848" s="201"/>
      <c r="F848" s="602"/>
      <c r="G848" s="645"/>
      <c r="H848" s="645"/>
      <c r="I848" s="645"/>
      <c r="J848" s="201"/>
      <c r="K848" s="201"/>
      <c r="L848" s="644"/>
      <c r="M848" s="644"/>
      <c r="N848" s="644"/>
      <c r="O848" s="602"/>
      <c r="P848" s="201"/>
    </row>
    <row r="849" ht="22.5" customHeight="1">
      <c r="A849" s="201"/>
      <c r="B849" s="645"/>
      <c r="C849" s="645"/>
      <c r="D849" s="645"/>
      <c r="E849" s="201"/>
      <c r="F849" s="602"/>
      <c r="G849" s="645"/>
      <c r="H849" s="645"/>
      <c r="I849" s="645"/>
      <c r="J849" s="201"/>
      <c r="K849" s="201"/>
      <c r="L849" s="644"/>
      <c r="M849" s="644"/>
      <c r="N849" s="644"/>
      <c r="O849" s="602"/>
      <c r="P849" s="201"/>
    </row>
    <row r="850" ht="22.5" customHeight="1">
      <c r="A850" s="201"/>
      <c r="B850" s="645"/>
      <c r="C850" s="645"/>
      <c r="D850" s="645"/>
      <c r="E850" s="201"/>
      <c r="F850" s="602"/>
      <c r="G850" s="645"/>
      <c r="H850" s="645"/>
      <c r="I850" s="645"/>
      <c r="J850" s="201"/>
      <c r="K850" s="201"/>
      <c r="L850" s="644"/>
      <c r="M850" s="644"/>
      <c r="N850" s="644"/>
      <c r="O850" s="602"/>
      <c r="P850" s="201"/>
    </row>
    <row r="851" ht="22.5" customHeight="1">
      <c r="A851" s="201"/>
      <c r="B851" s="645"/>
      <c r="C851" s="645"/>
      <c r="D851" s="645"/>
      <c r="E851" s="201"/>
      <c r="F851" s="602"/>
      <c r="G851" s="645"/>
      <c r="H851" s="645"/>
      <c r="I851" s="645"/>
      <c r="J851" s="201"/>
      <c r="K851" s="201"/>
      <c r="L851" s="644"/>
      <c r="M851" s="644"/>
      <c r="N851" s="644"/>
      <c r="O851" s="602"/>
      <c r="P851" s="201"/>
    </row>
    <row r="852" ht="22.5" customHeight="1">
      <c r="A852" s="201"/>
      <c r="B852" s="645"/>
      <c r="C852" s="645"/>
      <c r="D852" s="645"/>
      <c r="E852" s="201"/>
      <c r="F852" s="602"/>
      <c r="G852" s="645"/>
      <c r="H852" s="645"/>
      <c r="I852" s="645"/>
      <c r="J852" s="201"/>
      <c r="K852" s="201"/>
      <c r="L852" s="644"/>
      <c r="M852" s="644"/>
      <c r="N852" s="644"/>
      <c r="O852" s="602"/>
      <c r="P852" s="201"/>
    </row>
    <row r="853" ht="22.5" customHeight="1">
      <c r="A853" s="201"/>
      <c r="B853" s="645"/>
      <c r="C853" s="645"/>
      <c r="D853" s="645"/>
      <c r="E853" s="201"/>
      <c r="F853" s="602"/>
      <c r="G853" s="645"/>
      <c r="H853" s="645"/>
      <c r="I853" s="645"/>
      <c r="J853" s="201"/>
      <c r="K853" s="201"/>
      <c r="L853" s="644"/>
      <c r="M853" s="644"/>
      <c r="N853" s="644"/>
      <c r="O853" s="602"/>
      <c r="P853" s="201"/>
    </row>
    <row r="854" ht="22.5" customHeight="1">
      <c r="A854" s="201"/>
      <c r="B854" s="645"/>
      <c r="C854" s="645"/>
      <c r="D854" s="645"/>
      <c r="E854" s="201"/>
      <c r="F854" s="602"/>
      <c r="G854" s="645"/>
      <c r="H854" s="645"/>
      <c r="I854" s="645"/>
      <c r="J854" s="201"/>
      <c r="K854" s="201"/>
      <c r="L854" s="644"/>
      <c r="M854" s="644"/>
      <c r="N854" s="644"/>
      <c r="O854" s="602"/>
      <c r="P854" s="201"/>
    </row>
    <row r="855" ht="22.5" customHeight="1">
      <c r="A855" s="201"/>
      <c r="B855" s="645"/>
      <c r="C855" s="645"/>
      <c r="D855" s="645"/>
      <c r="E855" s="201"/>
      <c r="F855" s="602"/>
      <c r="G855" s="645"/>
      <c r="H855" s="645"/>
      <c r="I855" s="645"/>
      <c r="J855" s="201"/>
      <c r="K855" s="201"/>
      <c r="L855" s="644"/>
      <c r="M855" s="644"/>
      <c r="N855" s="644"/>
      <c r="O855" s="602"/>
      <c r="P855" s="201"/>
    </row>
    <row r="856" ht="22.5" customHeight="1">
      <c r="A856" s="201"/>
      <c r="B856" s="645"/>
      <c r="C856" s="645"/>
      <c r="D856" s="645"/>
      <c r="E856" s="201"/>
      <c r="F856" s="602"/>
      <c r="G856" s="645"/>
      <c r="H856" s="645"/>
      <c r="I856" s="645"/>
      <c r="J856" s="201"/>
      <c r="K856" s="201"/>
      <c r="L856" s="644"/>
      <c r="M856" s="644"/>
      <c r="N856" s="644"/>
      <c r="O856" s="602"/>
      <c r="P856" s="201"/>
    </row>
    <row r="857" ht="22.5" customHeight="1">
      <c r="A857" s="201"/>
      <c r="B857" s="645"/>
      <c r="C857" s="645"/>
      <c r="D857" s="645"/>
      <c r="E857" s="201"/>
      <c r="F857" s="602"/>
      <c r="G857" s="645"/>
      <c r="H857" s="645"/>
      <c r="I857" s="645"/>
      <c r="J857" s="201"/>
      <c r="K857" s="201"/>
      <c r="L857" s="644"/>
      <c r="M857" s="644"/>
      <c r="N857" s="644"/>
      <c r="O857" s="602"/>
      <c r="P857" s="201"/>
    </row>
    <row r="858" ht="22.5" customHeight="1">
      <c r="A858" s="201"/>
      <c r="B858" s="645"/>
      <c r="C858" s="645"/>
      <c r="D858" s="645"/>
      <c r="E858" s="201"/>
      <c r="F858" s="602"/>
      <c r="G858" s="645"/>
      <c r="H858" s="645"/>
      <c r="I858" s="645"/>
      <c r="J858" s="201"/>
      <c r="K858" s="201"/>
      <c r="L858" s="644"/>
      <c r="M858" s="644"/>
      <c r="N858" s="644"/>
      <c r="O858" s="602"/>
      <c r="P858" s="201"/>
    </row>
    <row r="859" ht="22.5" customHeight="1">
      <c r="A859" s="201"/>
      <c r="B859" s="645"/>
      <c r="C859" s="645"/>
      <c r="D859" s="645"/>
      <c r="E859" s="201"/>
      <c r="F859" s="602"/>
      <c r="G859" s="645"/>
      <c r="H859" s="645"/>
      <c r="I859" s="645"/>
      <c r="J859" s="201"/>
      <c r="K859" s="201"/>
      <c r="L859" s="644"/>
      <c r="M859" s="644"/>
      <c r="N859" s="644"/>
      <c r="O859" s="602"/>
      <c r="P859" s="201"/>
    </row>
    <row r="860" ht="22.5" customHeight="1">
      <c r="A860" s="201"/>
      <c r="B860" s="645"/>
      <c r="C860" s="645"/>
      <c r="D860" s="645"/>
      <c r="E860" s="201"/>
      <c r="F860" s="602"/>
      <c r="G860" s="645"/>
      <c r="H860" s="645"/>
      <c r="I860" s="645"/>
      <c r="J860" s="201"/>
      <c r="K860" s="201"/>
      <c r="L860" s="644"/>
      <c r="M860" s="644"/>
      <c r="N860" s="644"/>
      <c r="O860" s="602"/>
      <c r="P860" s="201"/>
    </row>
    <row r="861" ht="22.5" customHeight="1">
      <c r="A861" s="201"/>
      <c r="B861" s="645"/>
      <c r="C861" s="645"/>
      <c r="D861" s="645"/>
      <c r="E861" s="201"/>
      <c r="F861" s="602"/>
      <c r="G861" s="645"/>
      <c r="H861" s="645"/>
      <c r="I861" s="645"/>
      <c r="J861" s="201"/>
      <c r="K861" s="201"/>
      <c r="L861" s="644"/>
      <c r="M861" s="644"/>
      <c r="N861" s="644"/>
      <c r="O861" s="602"/>
      <c r="P861" s="201"/>
    </row>
    <row r="862" ht="22.5" customHeight="1">
      <c r="A862" s="201"/>
      <c r="B862" s="645"/>
      <c r="C862" s="645"/>
      <c r="D862" s="645"/>
      <c r="E862" s="201"/>
      <c r="F862" s="602"/>
      <c r="G862" s="645"/>
      <c r="H862" s="645"/>
      <c r="I862" s="645"/>
      <c r="J862" s="201"/>
      <c r="K862" s="201"/>
      <c r="L862" s="644"/>
      <c r="M862" s="644"/>
      <c r="N862" s="644"/>
      <c r="O862" s="602"/>
      <c r="P862" s="201"/>
    </row>
    <row r="863" ht="22.5" customHeight="1">
      <c r="A863" s="201"/>
      <c r="B863" s="645"/>
      <c r="C863" s="645"/>
      <c r="D863" s="645"/>
      <c r="E863" s="201"/>
      <c r="F863" s="602"/>
      <c r="G863" s="645"/>
      <c r="H863" s="645"/>
      <c r="I863" s="645"/>
      <c r="J863" s="201"/>
      <c r="K863" s="201"/>
      <c r="L863" s="644"/>
      <c r="M863" s="644"/>
      <c r="N863" s="644"/>
      <c r="O863" s="602"/>
      <c r="P863" s="201"/>
    </row>
    <row r="864" ht="22.5" customHeight="1">
      <c r="A864" s="201"/>
      <c r="B864" s="645"/>
      <c r="C864" s="645"/>
      <c r="D864" s="645"/>
      <c r="E864" s="201"/>
      <c r="F864" s="602"/>
      <c r="G864" s="645"/>
      <c r="H864" s="645"/>
      <c r="I864" s="645"/>
      <c r="J864" s="201"/>
      <c r="K864" s="201"/>
      <c r="L864" s="644"/>
      <c r="M864" s="644"/>
      <c r="N864" s="644"/>
      <c r="O864" s="602"/>
      <c r="P864" s="201"/>
    </row>
    <row r="865" ht="22.5" customHeight="1">
      <c r="A865" s="201"/>
      <c r="B865" s="645"/>
      <c r="C865" s="645"/>
      <c r="D865" s="645"/>
      <c r="E865" s="201"/>
      <c r="F865" s="602"/>
      <c r="G865" s="645"/>
      <c r="H865" s="645"/>
      <c r="I865" s="645"/>
      <c r="J865" s="201"/>
      <c r="K865" s="201"/>
      <c r="L865" s="644"/>
      <c r="M865" s="644"/>
      <c r="N865" s="644"/>
      <c r="O865" s="602"/>
      <c r="P865" s="201"/>
    </row>
    <row r="866" ht="22.5" customHeight="1">
      <c r="A866" s="201"/>
      <c r="B866" s="645"/>
      <c r="C866" s="645"/>
      <c r="D866" s="645"/>
      <c r="E866" s="201"/>
      <c r="F866" s="602"/>
      <c r="G866" s="645"/>
      <c r="H866" s="645"/>
      <c r="I866" s="645"/>
      <c r="J866" s="201"/>
      <c r="K866" s="201"/>
      <c r="L866" s="644"/>
      <c r="M866" s="644"/>
      <c r="N866" s="644"/>
      <c r="O866" s="602"/>
      <c r="P866" s="201"/>
    </row>
    <row r="867" ht="22.5" customHeight="1">
      <c r="A867" s="201"/>
      <c r="B867" s="645"/>
      <c r="C867" s="645"/>
      <c r="D867" s="645"/>
      <c r="E867" s="201"/>
      <c r="F867" s="602"/>
      <c r="G867" s="645"/>
      <c r="H867" s="645"/>
      <c r="I867" s="645"/>
      <c r="J867" s="201"/>
      <c r="K867" s="201"/>
      <c r="L867" s="644"/>
      <c r="M867" s="644"/>
      <c r="N867" s="644"/>
      <c r="O867" s="602"/>
      <c r="P867" s="201"/>
    </row>
    <row r="868" ht="22.5" customHeight="1">
      <c r="A868" s="201"/>
      <c r="B868" s="645"/>
      <c r="C868" s="645"/>
      <c r="D868" s="645"/>
      <c r="E868" s="201"/>
      <c r="F868" s="602"/>
      <c r="G868" s="645"/>
      <c r="H868" s="645"/>
      <c r="I868" s="645"/>
      <c r="J868" s="201"/>
      <c r="K868" s="201"/>
      <c r="L868" s="644"/>
      <c r="M868" s="644"/>
      <c r="N868" s="644"/>
      <c r="O868" s="602"/>
      <c r="P868" s="201"/>
    </row>
    <row r="869" ht="22.5" customHeight="1">
      <c r="A869" s="201"/>
      <c r="B869" s="645"/>
      <c r="C869" s="645"/>
      <c r="D869" s="645"/>
      <c r="E869" s="201"/>
      <c r="F869" s="602"/>
      <c r="G869" s="645"/>
      <c r="H869" s="645"/>
      <c r="I869" s="645"/>
      <c r="J869" s="201"/>
      <c r="K869" s="201"/>
      <c r="L869" s="644"/>
      <c r="M869" s="644"/>
      <c r="N869" s="644"/>
      <c r="O869" s="602"/>
      <c r="P869" s="201"/>
    </row>
    <row r="870" ht="22.5" customHeight="1">
      <c r="A870" s="201"/>
      <c r="B870" s="645"/>
      <c r="C870" s="645"/>
      <c r="D870" s="645"/>
      <c r="E870" s="201"/>
      <c r="F870" s="602"/>
      <c r="G870" s="645"/>
      <c r="H870" s="645"/>
      <c r="I870" s="645"/>
      <c r="J870" s="201"/>
      <c r="K870" s="201"/>
      <c r="L870" s="644"/>
      <c r="M870" s="644"/>
      <c r="N870" s="644"/>
      <c r="O870" s="602"/>
      <c r="P870" s="201"/>
    </row>
    <row r="871" ht="22.5" customHeight="1">
      <c r="A871" s="201"/>
      <c r="B871" s="645"/>
      <c r="C871" s="645"/>
      <c r="D871" s="645"/>
      <c r="E871" s="201"/>
      <c r="F871" s="602"/>
      <c r="G871" s="645"/>
      <c r="H871" s="645"/>
      <c r="I871" s="645"/>
      <c r="J871" s="201"/>
      <c r="K871" s="201"/>
      <c r="L871" s="644"/>
      <c r="M871" s="644"/>
      <c r="N871" s="644"/>
      <c r="O871" s="602"/>
      <c r="P871" s="201"/>
    </row>
    <row r="872" ht="22.5" customHeight="1">
      <c r="A872" s="201"/>
      <c r="B872" s="645"/>
      <c r="C872" s="645"/>
      <c r="D872" s="645"/>
      <c r="E872" s="201"/>
      <c r="F872" s="602"/>
      <c r="G872" s="645"/>
      <c r="H872" s="645"/>
      <c r="I872" s="645"/>
      <c r="J872" s="201"/>
      <c r="K872" s="201"/>
      <c r="L872" s="644"/>
      <c r="M872" s="644"/>
      <c r="N872" s="644"/>
      <c r="O872" s="602"/>
      <c r="P872" s="201"/>
    </row>
    <row r="873" ht="22.5" customHeight="1">
      <c r="A873" s="201"/>
      <c r="B873" s="645"/>
      <c r="C873" s="645"/>
      <c r="D873" s="645"/>
      <c r="E873" s="201"/>
      <c r="F873" s="602"/>
      <c r="G873" s="645"/>
      <c r="H873" s="645"/>
      <c r="I873" s="645"/>
      <c r="J873" s="201"/>
      <c r="K873" s="201"/>
      <c r="L873" s="644"/>
      <c r="M873" s="644"/>
      <c r="N873" s="644"/>
      <c r="O873" s="602"/>
      <c r="P873" s="201"/>
    </row>
    <row r="874" ht="22.5" customHeight="1">
      <c r="A874" s="201"/>
      <c r="B874" s="645"/>
      <c r="C874" s="645"/>
      <c r="D874" s="645"/>
      <c r="E874" s="201"/>
      <c r="F874" s="602"/>
      <c r="G874" s="645"/>
      <c r="H874" s="645"/>
      <c r="I874" s="645"/>
      <c r="J874" s="201"/>
      <c r="K874" s="201"/>
      <c r="L874" s="644"/>
      <c r="M874" s="644"/>
      <c r="N874" s="644"/>
      <c r="O874" s="602"/>
      <c r="P874" s="201"/>
    </row>
    <row r="875" ht="22.5" customHeight="1">
      <c r="A875" s="201"/>
      <c r="B875" s="645"/>
      <c r="C875" s="645"/>
      <c r="D875" s="645"/>
      <c r="E875" s="201"/>
      <c r="F875" s="602"/>
      <c r="G875" s="645"/>
      <c r="H875" s="645"/>
      <c r="I875" s="645"/>
      <c r="J875" s="201"/>
      <c r="K875" s="201"/>
      <c r="L875" s="644"/>
      <c r="M875" s="644"/>
      <c r="N875" s="644"/>
      <c r="O875" s="602"/>
      <c r="P875" s="201"/>
    </row>
    <row r="876" ht="22.5" customHeight="1">
      <c r="A876" s="201"/>
      <c r="B876" s="645"/>
      <c r="C876" s="645"/>
      <c r="D876" s="645"/>
      <c r="E876" s="201"/>
      <c r="F876" s="602"/>
      <c r="G876" s="645"/>
      <c r="H876" s="645"/>
      <c r="I876" s="645"/>
      <c r="J876" s="201"/>
      <c r="K876" s="201"/>
      <c r="L876" s="644"/>
      <c r="M876" s="644"/>
      <c r="N876" s="644"/>
      <c r="O876" s="602"/>
      <c r="P876" s="201"/>
    </row>
    <row r="877" ht="22.5" customHeight="1">
      <c r="A877" s="201"/>
      <c r="B877" s="645"/>
      <c r="C877" s="645"/>
      <c r="D877" s="645"/>
      <c r="E877" s="201"/>
      <c r="F877" s="602"/>
      <c r="G877" s="645"/>
      <c r="H877" s="645"/>
      <c r="I877" s="645"/>
      <c r="J877" s="201"/>
      <c r="K877" s="201"/>
      <c r="L877" s="644"/>
      <c r="M877" s="644"/>
      <c r="N877" s="644"/>
      <c r="O877" s="602"/>
      <c r="P877" s="201"/>
    </row>
    <row r="878" ht="22.5" customHeight="1">
      <c r="A878" s="201"/>
      <c r="B878" s="645"/>
      <c r="C878" s="645"/>
      <c r="D878" s="645"/>
      <c r="E878" s="201"/>
      <c r="F878" s="602"/>
      <c r="G878" s="645"/>
      <c r="H878" s="645"/>
      <c r="I878" s="645"/>
      <c r="J878" s="201"/>
      <c r="K878" s="201"/>
      <c r="L878" s="644"/>
      <c r="M878" s="644"/>
      <c r="N878" s="644"/>
      <c r="O878" s="602"/>
      <c r="P878" s="201"/>
    </row>
    <row r="879" ht="22.5" customHeight="1">
      <c r="A879" s="201"/>
      <c r="B879" s="645"/>
      <c r="C879" s="645"/>
      <c r="D879" s="645"/>
      <c r="E879" s="201"/>
      <c r="F879" s="602"/>
      <c r="G879" s="645"/>
      <c r="H879" s="645"/>
      <c r="I879" s="645"/>
      <c r="J879" s="201"/>
      <c r="K879" s="201"/>
      <c r="L879" s="644"/>
      <c r="M879" s="644"/>
      <c r="N879" s="644"/>
      <c r="O879" s="602"/>
      <c r="P879" s="201"/>
    </row>
    <row r="880" ht="22.5" customHeight="1">
      <c r="A880" s="201"/>
      <c r="B880" s="645"/>
      <c r="C880" s="645"/>
      <c r="D880" s="645"/>
      <c r="E880" s="201"/>
      <c r="F880" s="602"/>
      <c r="G880" s="645"/>
      <c r="H880" s="645"/>
      <c r="I880" s="645"/>
      <c r="J880" s="201"/>
      <c r="K880" s="201"/>
      <c r="L880" s="644"/>
      <c r="M880" s="644"/>
      <c r="N880" s="644"/>
      <c r="O880" s="602"/>
      <c r="P880" s="201"/>
    </row>
    <row r="881" ht="22.5" customHeight="1">
      <c r="A881" s="201"/>
      <c r="B881" s="645"/>
      <c r="C881" s="645"/>
      <c r="D881" s="645"/>
      <c r="E881" s="201"/>
      <c r="F881" s="602"/>
      <c r="G881" s="645"/>
      <c r="H881" s="645"/>
      <c r="I881" s="645"/>
      <c r="J881" s="201"/>
      <c r="K881" s="201"/>
      <c r="L881" s="644"/>
      <c r="M881" s="644"/>
      <c r="N881" s="644"/>
      <c r="O881" s="602"/>
      <c r="P881" s="201"/>
    </row>
    <row r="882" ht="22.5" customHeight="1">
      <c r="A882" s="201"/>
      <c r="B882" s="645"/>
      <c r="C882" s="645"/>
      <c r="D882" s="645"/>
      <c r="E882" s="201"/>
      <c r="F882" s="602"/>
      <c r="G882" s="645"/>
      <c r="H882" s="645"/>
      <c r="I882" s="645"/>
      <c r="J882" s="201"/>
      <c r="K882" s="201"/>
      <c r="L882" s="644"/>
      <c r="M882" s="644"/>
      <c r="N882" s="644"/>
      <c r="O882" s="602"/>
      <c r="P882" s="201"/>
    </row>
    <row r="883" ht="22.5" customHeight="1">
      <c r="A883" s="201"/>
      <c r="B883" s="645"/>
      <c r="C883" s="645"/>
      <c r="D883" s="645"/>
      <c r="E883" s="201"/>
      <c r="F883" s="602"/>
      <c r="G883" s="645"/>
      <c r="H883" s="645"/>
      <c r="I883" s="645"/>
      <c r="J883" s="201"/>
      <c r="K883" s="201"/>
      <c r="L883" s="644"/>
      <c r="M883" s="644"/>
      <c r="N883" s="644"/>
      <c r="O883" s="602"/>
      <c r="P883" s="201"/>
    </row>
    <row r="884" ht="22.5" customHeight="1">
      <c r="A884" s="201"/>
      <c r="B884" s="645"/>
      <c r="C884" s="645"/>
      <c r="D884" s="645"/>
      <c r="E884" s="201"/>
      <c r="F884" s="602"/>
      <c r="G884" s="645"/>
      <c r="H884" s="645"/>
      <c r="I884" s="645"/>
      <c r="J884" s="201"/>
      <c r="K884" s="201"/>
      <c r="L884" s="644"/>
      <c r="M884" s="644"/>
      <c r="N884" s="644"/>
      <c r="O884" s="602"/>
      <c r="P884" s="201"/>
    </row>
    <row r="885" ht="22.5" customHeight="1">
      <c r="A885" s="201"/>
      <c r="B885" s="645"/>
      <c r="C885" s="645"/>
      <c r="D885" s="645"/>
      <c r="E885" s="201"/>
      <c r="F885" s="602"/>
      <c r="G885" s="645"/>
      <c r="H885" s="645"/>
      <c r="I885" s="645"/>
      <c r="J885" s="201"/>
      <c r="K885" s="201"/>
      <c r="L885" s="644"/>
      <c r="M885" s="644"/>
      <c r="N885" s="644"/>
      <c r="O885" s="602"/>
      <c r="P885" s="201"/>
    </row>
    <row r="886" ht="22.5" customHeight="1">
      <c r="A886" s="201"/>
      <c r="B886" s="645"/>
      <c r="C886" s="645"/>
      <c r="D886" s="645"/>
      <c r="E886" s="201"/>
      <c r="F886" s="602"/>
      <c r="G886" s="645"/>
      <c r="H886" s="645"/>
      <c r="I886" s="645"/>
      <c r="J886" s="201"/>
      <c r="K886" s="201"/>
      <c r="L886" s="644"/>
      <c r="M886" s="644"/>
      <c r="N886" s="644"/>
      <c r="O886" s="602"/>
      <c r="P886" s="201"/>
    </row>
    <row r="887" ht="22.5" customHeight="1">
      <c r="A887" s="201"/>
      <c r="B887" s="645"/>
      <c r="C887" s="645"/>
      <c r="D887" s="645"/>
      <c r="E887" s="201"/>
      <c r="F887" s="602"/>
      <c r="G887" s="645"/>
      <c r="H887" s="645"/>
      <c r="I887" s="645"/>
      <c r="J887" s="201"/>
      <c r="K887" s="201"/>
      <c r="L887" s="644"/>
      <c r="M887" s="644"/>
      <c r="N887" s="644"/>
      <c r="O887" s="602"/>
      <c r="P887" s="201"/>
    </row>
    <row r="888" ht="22.5" customHeight="1">
      <c r="A888" s="201"/>
      <c r="B888" s="645"/>
      <c r="C888" s="645"/>
      <c r="D888" s="645"/>
      <c r="E888" s="201"/>
      <c r="F888" s="602"/>
      <c r="G888" s="645"/>
      <c r="H888" s="645"/>
      <c r="I888" s="645"/>
      <c r="J888" s="201"/>
      <c r="K888" s="201"/>
      <c r="L888" s="644"/>
      <c r="M888" s="644"/>
      <c r="N888" s="644"/>
      <c r="O888" s="602"/>
      <c r="P888" s="201"/>
    </row>
    <row r="889" ht="22.5" customHeight="1">
      <c r="A889" s="201"/>
      <c r="B889" s="645"/>
      <c r="C889" s="645"/>
      <c r="D889" s="645"/>
      <c r="E889" s="201"/>
      <c r="F889" s="602"/>
      <c r="G889" s="645"/>
      <c r="H889" s="645"/>
      <c r="I889" s="645"/>
      <c r="J889" s="201"/>
      <c r="K889" s="201"/>
      <c r="L889" s="644"/>
      <c r="M889" s="644"/>
      <c r="N889" s="644"/>
      <c r="O889" s="602"/>
      <c r="P889" s="201"/>
    </row>
    <row r="890" ht="22.5" customHeight="1">
      <c r="A890" s="201"/>
      <c r="B890" s="645"/>
      <c r="C890" s="645"/>
      <c r="D890" s="645"/>
      <c r="E890" s="201"/>
      <c r="F890" s="602"/>
      <c r="G890" s="645"/>
      <c r="H890" s="645"/>
      <c r="I890" s="645"/>
      <c r="J890" s="201"/>
      <c r="K890" s="201"/>
      <c r="L890" s="644"/>
      <c r="M890" s="644"/>
      <c r="N890" s="644"/>
      <c r="O890" s="602"/>
      <c r="P890" s="201"/>
    </row>
    <row r="891" ht="22.5" customHeight="1">
      <c r="A891" s="201"/>
      <c r="B891" s="645"/>
      <c r="C891" s="645"/>
      <c r="D891" s="645"/>
      <c r="E891" s="201"/>
      <c r="F891" s="602"/>
      <c r="G891" s="645"/>
      <c r="H891" s="645"/>
      <c r="I891" s="645"/>
      <c r="J891" s="201"/>
      <c r="K891" s="201"/>
      <c r="L891" s="644"/>
      <c r="M891" s="644"/>
      <c r="N891" s="644"/>
      <c r="O891" s="602"/>
      <c r="P891" s="201"/>
    </row>
    <row r="892" ht="22.5" customHeight="1">
      <c r="A892" s="201"/>
      <c r="B892" s="645"/>
      <c r="C892" s="645"/>
      <c r="D892" s="645"/>
      <c r="E892" s="201"/>
      <c r="F892" s="602"/>
      <c r="G892" s="645"/>
      <c r="H892" s="645"/>
      <c r="I892" s="645"/>
      <c r="J892" s="201"/>
      <c r="K892" s="201"/>
      <c r="L892" s="644"/>
      <c r="M892" s="644"/>
      <c r="N892" s="644"/>
      <c r="O892" s="602"/>
      <c r="P892" s="201"/>
    </row>
    <row r="893" ht="22.5" customHeight="1">
      <c r="A893" s="201"/>
      <c r="B893" s="645"/>
      <c r="C893" s="645"/>
      <c r="D893" s="645"/>
      <c r="E893" s="201"/>
      <c r="F893" s="602"/>
      <c r="G893" s="645"/>
      <c r="H893" s="645"/>
      <c r="I893" s="645"/>
      <c r="J893" s="201"/>
      <c r="K893" s="201"/>
      <c r="L893" s="644"/>
      <c r="M893" s="644"/>
      <c r="N893" s="644"/>
      <c r="O893" s="602"/>
      <c r="P893" s="201"/>
    </row>
    <row r="894" ht="22.5" customHeight="1">
      <c r="A894" s="201"/>
      <c r="B894" s="645"/>
      <c r="C894" s="645"/>
      <c r="D894" s="645"/>
      <c r="E894" s="201"/>
      <c r="F894" s="602"/>
      <c r="G894" s="645"/>
      <c r="H894" s="645"/>
      <c r="I894" s="645"/>
      <c r="J894" s="201"/>
      <c r="K894" s="201"/>
      <c r="L894" s="644"/>
      <c r="M894" s="644"/>
      <c r="N894" s="644"/>
      <c r="O894" s="602"/>
      <c r="P894" s="201"/>
    </row>
    <row r="895" ht="22.5" customHeight="1">
      <c r="A895" s="201"/>
      <c r="B895" s="645"/>
      <c r="C895" s="645"/>
      <c r="D895" s="645"/>
      <c r="E895" s="201"/>
      <c r="F895" s="602"/>
      <c r="G895" s="645"/>
      <c r="H895" s="645"/>
      <c r="I895" s="645"/>
      <c r="J895" s="201"/>
      <c r="K895" s="201"/>
      <c r="L895" s="644"/>
      <c r="M895" s="644"/>
      <c r="N895" s="644"/>
      <c r="O895" s="602"/>
      <c r="P895" s="201"/>
    </row>
    <row r="896" ht="22.5" customHeight="1">
      <c r="A896" s="201"/>
      <c r="B896" s="645"/>
      <c r="C896" s="645"/>
      <c r="D896" s="645"/>
      <c r="E896" s="201"/>
      <c r="F896" s="602"/>
      <c r="G896" s="645"/>
      <c r="H896" s="645"/>
      <c r="I896" s="645"/>
      <c r="J896" s="201"/>
      <c r="K896" s="201"/>
      <c r="L896" s="644"/>
      <c r="M896" s="644"/>
      <c r="N896" s="644"/>
      <c r="O896" s="602"/>
      <c r="P896" s="201"/>
    </row>
    <row r="897" ht="22.5" customHeight="1">
      <c r="A897" s="201"/>
      <c r="B897" s="645"/>
      <c r="C897" s="645"/>
      <c r="D897" s="645"/>
      <c r="E897" s="201"/>
      <c r="F897" s="602"/>
      <c r="G897" s="645"/>
      <c r="H897" s="645"/>
      <c r="I897" s="645"/>
      <c r="J897" s="201"/>
      <c r="K897" s="201"/>
      <c r="L897" s="644"/>
      <c r="M897" s="644"/>
      <c r="N897" s="644"/>
      <c r="O897" s="602"/>
      <c r="P897" s="201"/>
    </row>
    <row r="898" ht="22.5" customHeight="1">
      <c r="A898" s="201"/>
      <c r="B898" s="645"/>
      <c r="C898" s="645"/>
      <c r="D898" s="645"/>
      <c r="E898" s="201"/>
      <c r="F898" s="602"/>
      <c r="G898" s="645"/>
      <c r="H898" s="645"/>
      <c r="I898" s="645"/>
      <c r="J898" s="201"/>
      <c r="K898" s="201"/>
      <c r="L898" s="644"/>
      <c r="M898" s="644"/>
      <c r="N898" s="644"/>
      <c r="O898" s="602"/>
      <c r="P898" s="201"/>
    </row>
    <row r="899" ht="22.5" customHeight="1">
      <c r="A899" s="201"/>
      <c r="B899" s="645"/>
      <c r="C899" s="645"/>
      <c r="D899" s="645"/>
      <c r="E899" s="201"/>
      <c r="F899" s="602"/>
      <c r="G899" s="645"/>
      <c r="H899" s="645"/>
      <c r="I899" s="645"/>
      <c r="J899" s="201"/>
      <c r="K899" s="201"/>
      <c r="L899" s="644"/>
      <c r="M899" s="644"/>
      <c r="N899" s="644"/>
      <c r="O899" s="602"/>
      <c r="P899" s="201"/>
    </row>
    <row r="900" ht="22.5" customHeight="1">
      <c r="A900" s="201"/>
      <c r="B900" s="645"/>
      <c r="C900" s="645"/>
      <c r="D900" s="645"/>
      <c r="E900" s="201"/>
      <c r="F900" s="602"/>
      <c r="G900" s="645"/>
      <c r="H900" s="645"/>
      <c r="I900" s="645"/>
      <c r="J900" s="201"/>
      <c r="K900" s="201"/>
      <c r="L900" s="644"/>
      <c r="M900" s="644"/>
      <c r="N900" s="644"/>
      <c r="O900" s="602"/>
      <c r="P900" s="201"/>
    </row>
    <row r="901" ht="22.5" customHeight="1">
      <c r="A901" s="201"/>
      <c r="B901" s="645"/>
      <c r="C901" s="645"/>
      <c r="D901" s="645"/>
      <c r="E901" s="201"/>
      <c r="F901" s="602"/>
      <c r="G901" s="645"/>
      <c r="H901" s="645"/>
      <c r="I901" s="645"/>
      <c r="J901" s="201"/>
      <c r="K901" s="201"/>
      <c r="L901" s="644"/>
      <c r="M901" s="644"/>
      <c r="N901" s="644"/>
      <c r="O901" s="602"/>
      <c r="P901" s="201"/>
    </row>
    <row r="902" ht="22.5" customHeight="1">
      <c r="A902" s="201"/>
      <c r="B902" s="645"/>
      <c r="C902" s="645"/>
      <c r="D902" s="645"/>
      <c r="E902" s="201"/>
      <c r="F902" s="602"/>
      <c r="G902" s="645"/>
      <c r="H902" s="645"/>
      <c r="I902" s="645"/>
      <c r="J902" s="201"/>
      <c r="K902" s="201"/>
      <c r="L902" s="644"/>
      <c r="M902" s="644"/>
      <c r="N902" s="644"/>
      <c r="O902" s="602"/>
      <c r="P902" s="201"/>
    </row>
    <row r="903" ht="22.5" customHeight="1">
      <c r="A903" s="201"/>
      <c r="B903" s="645"/>
      <c r="C903" s="645"/>
      <c r="D903" s="645"/>
      <c r="E903" s="201"/>
      <c r="F903" s="602"/>
      <c r="G903" s="645"/>
      <c r="H903" s="645"/>
      <c r="I903" s="645"/>
      <c r="J903" s="201"/>
      <c r="K903" s="201"/>
      <c r="L903" s="644"/>
      <c r="M903" s="644"/>
      <c r="N903" s="644"/>
      <c r="O903" s="602"/>
      <c r="P903" s="201"/>
    </row>
    <row r="904" ht="22.5" customHeight="1">
      <c r="A904" s="201"/>
      <c r="B904" s="645"/>
      <c r="C904" s="645"/>
      <c r="D904" s="645"/>
      <c r="E904" s="201"/>
      <c r="F904" s="602"/>
      <c r="G904" s="645"/>
      <c r="H904" s="645"/>
      <c r="I904" s="645"/>
      <c r="J904" s="201"/>
      <c r="K904" s="201"/>
      <c r="L904" s="644"/>
      <c r="M904" s="644"/>
      <c r="N904" s="644"/>
      <c r="O904" s="602"/>
      <c r="P904" s="201"/>
    </row>
    <row r="905" ht="22.5" customHeight="1">
      <c r="A905" s="201"/>
      <c r="B905" s="645"/>
      <c r="C905" s="645"/>
      <c r="D905" s="645"/>
      <c r="E905" s="201"/>
      <c r="F905" s="602"/>
      <c r="G905" s="645"/>
      <c r="H905" s="645"/>
      <c r="I905" s="645"/>
      <c r="J905" s="201"/>
      <c r="K905" s="201"/>
      <c r="L905" s="644"/>
      <c r="M905" s="644"/>
      <c r="N905" s="644"/>
      <c r="O905" s="602"/>
      <c r="P905" s="201"/>
    </row>
    <row r="906" ht="22.5" customHeight="1">
      <c r="A906" s="201"/>
      <c r="B906" s="645"/>
      <c r="C906" s="645"/>
      <c r="D906" s="645"/>
      <c r="E906" s="201"/>
      <c r="F906" s="602"/>
      <c r="G906" s="645"/>
      <c r="H906" s="645"/>
      <c r="I906" s="645"/>
      <c r="J906" s="201"/>
      <c r="K906" s="201"/>
      <c r="L906" s="644"/>
      <c r="M906" s="644"/>
      <c r="N906" s="644"/>
      <c r="O906" s="602"/>
      <c r="P906" s="201"/>
    </row>
    <row r="907" ht="22.5" customHeight="1">
      <c r="A907" s="201"/>
      <c r="B907" s="645"/>
      <c r="C907" s="645"/>
      <c r="D907" s="645"/>
      <c r="E907" s="201"/>
      <c r="F907" s="602"/>
      <c r="G907" s="645"/>
      <c r="H907" s="645"/>
      <c r="I907" s="645"/>
      <c r="J907" s="201"/>
      <c r="K907" s="201"/>
      <c r="L907" s="644"/>
      <c r="M907" s="644"/>
      <c r="N907" s="644"/>
      <c r="O907" s="602"/>
      <c r="P907" s="201"/>
    </row>
    <row r="908" ht="22.5" customHeight="1">
      <c r="A908" s="201"/>
      <c r="B908" s="645"/>
      <c r="C908" s="645"/>
      <c r="D908" s="645"/>
      <c r="E908" s="201"/>
      <c r="F908" s="602"/>
      <c r="G908" s="645"/>
      <c r="H908" s="645"/>
      <c r="I908" s="645"/>
      <c r="J908" s="201"/>
      <c r="K908" s="201"/>
      <c r="L908" s="644"/>
      <c r="M908" s="644"/>
      <c r="N908" s="644"/>
      <c r="O908" s="602"/>
      <c r="P908" s="201"/>
    </row>
    <row r="909" ht="22.5" customHeight="1">
      <c r="A909" s="201"/>
      <c r="B909" s="645"/>
      <c r="C909" s="645"/>
      <c r="D909" s="645"/>
      <c r="E909" s="201"/>
      <c r="F909" s="602"/>
      <c r="G909" s="645"/>
      <c r="H909" s="645"/>
      <c r="I909" s="645"/>
      <c r="J909" s="201"/>
      <c r="K909" s="201"/>
      <c r="L909" s="644"/>
      <c r="M909" s="644"/>
      <c r="N909" s="644"/>
      <c r="O909" s="602"/>
      <c r="P909" s="201"/>
    </row>
    <row r="910" ht="22.5" customHeight="1">
      <c r="A910" s="201"/>
      <c r="B910" s="645"/>
      <c r="C910" s="645"/>
      <c r="D910" s="645"/>
      <c r="E910" s="201"/>
      <c r="F910" s="602"/>
      <c r="G910" s="645"/>
      <c r="H910" s="645"/>
      <c r="I910" s="645"/>
      <c r="J910" s="201"/>
      <c r="K910" s="201"/>
      <c r="L910" s="644"/>
      <c r="M910" s="644"/>
      <c r="N910" s="644"/>
      <c r="O910" s="602"/>
      <c r="P910" s="201"/>
    </row>
    <row r="911" ht="22.5" customHeight="1">
      <c r="A911" s="201"/>
      <c r="B911" s="645"/>
      <c r="C911" s="645"/>
      <c r="D911" s="645"/>
      <c r="E911" s="201"/>
      <c r="F911" s="602"/>
      <c r="G911" s="645"/>
      <c r="H911" s="645"/>
      <c r="I911" s="645"/>
      <c r="J911" s="201"/>
      <c r="K911" s="201"/>
      <c r="L911" s="644"/>
      <c r="M911" s="644"/>
      <c r="N911" s="644"/>
      <c r="O911" s="602"/>
      <c r="P911" s="201"/>
    </row>
    <row r="912" ht="22.5" customHeight="1">
      <c r="A912" s="201"/>
      <c r="B912" s="645"/>
      <c r="C912" s="645"/>
      <c r="D912" s="645"/>
      <c r="E912" s="201"/>
      <c r="F912" s="602"/>
      <c r="G912" s="645"/>
      <c r="H912" s="645"/>
      <c r="I912" s="645"/>
      <c r="J912" s="201"/>
      <c r="K912" s="201"/>
      <c r="L912" s="644"/>
      <c r="M912" s="644"/>
      <c r="N912" s="644"/>
      <c r="O912" s="602"/>
      <c r="P912" s="201"/>
    </row>
    <row r="913" ht="22.5" customHeight="1">
      <c r="A913" s="201"/>
      <c r="B913" s="645"/>
      <c r="C913" s="645"/>
      <c r="D913" s="645"/>
      <c r="E913" s="201"/>
      <c r="F913" s="602"/>
      <c r="G913" s="645"/>
      <c r="H913" s="645"/>
      <c r="I913" s="645"/>
      <c r="J913" s="201"/>
      <c r="K913" s="201"/>
      <c r="L913" s="644"/>
      <c r="M913" s="644"/>
      <c r="N913" s="644"/>
      <c r="O913" s="602"/>
      <c r="P913" s="201"/>
    </row>
    <row r="914" ht="22.5" customHeight="1">
      <c r="A914" s="201"/>
      <c r="B914" s="645"/>
      <c r="C914" s="645"/>
      <c r="D914" s="645"/>
      <c r="E914" s="201"/>
      <c r="F914" s="602"/>
      <c r="G914" s="645"/>
      <c r="H914" s="645"/>
      <c r="I914" s="645"/>
      <c r="J914" s="201"/>
      <c r="K914" s="201"/>
      <c r="L914" s="644"/>
      <c r="M914" s="644"/>
      <c r="N914" s="644"/>
      <c r="O914" s="602"/>
      <c r="P914" s="201"/>
    </row>
    <row r="915" ht="22.5" customHeight="1">
      <c r="A915" s="201"/>
      <c r="B915" s="645"/>
      <c r="C915" s="645"/>
      <c r="D915" s="645"/>
      <c r="E915" s="201"/>
      <c r="F915" s="602"/>
      <c r="G915" s="645"/>
      <c r="H915" s="645"/>
      <c r="I915" s="645"/>
      <c r="J915" s="201"/>
      <c r="K915" s="201"/>
      <c r="L915" s="644"/>
      <c r="M915" s="644"/>
      <c r="N915" s="644"/>
      <c r="O915" s="602"/>
      <c r="P915" s="201"/>
    </row>
    <row r="916" ht="22.5" customHeight="1">
      <c r="A916" s="201"/>
      <c r="B916" s="645"/>
      <c r="C916" s="645"/>
      <c r="D916" s="645"/>
      <c r="E916" s="201"/>
      <c r="F916" s="602"/>
      <c r="G916" s="645"/>
      <c r="H916" s="645"/>
      <c r="I916" s="645"/>
      <c r="J916" s="201"/>
      <c r="K916" s="201"/>
      <c r="L916" s="644"/>
      <c r="M916" s="644"/>
      <c r="N916" s="644"/>
      <c r="O916" s="602"/>
      <c r="P916" s="201"/>
    </row>
    <row r="917" ht="22.5" customHeight="1">
      <c r="A917" s="201"/>
      <c r="B917" s="645"/>
      <c r="C917" s="645"/>
      <c r="D917" s="645"/>
      <c r="E917" s="201"/>
      <c r="F917" s="602"/>
      <c r="G917" s="645"/>
      <c r="H917" s="645"/>
      <c r="I917" s="645"/>
      <c r="J917" s="201"/>
      <c r="K917" s="201"/>
      <c r="L917" s="644"/>
      <c r="M917" s="644"/>
      <c r="N917" s="644"/>
      <c r="O917" s="602"/>
      <c r="P917" s="201"/>
    </row>
    <row r="918" ht="22.5" customHeight="1">
      <c r="A918" s="201"/>
      <c r="B918" s="645"/>
      <c r="C918" s="645"/>
      <c r="D918" s="645"/>
      <c r="E918" s="201"/>
      <c r="F918" s="602"/>
      <c r="G918" s="645"/>
      <c r="H918" s="645"/>
      <c r="I918" s="645"/>
      <c r="J918" s="201"/>
      <c r="K918" s="201"/>
      <c r="L918" s="644"/>
      <c r="M918" s="644"/>
      <c r="N918" s="644"/>
      <c r="O918" s="602"/>
      <c r="P918" s="201"/>
    </row>
    <row r="919" ht="22.5" customHeight="1">
      <c r="A919" s="201"/>
      <c r="B919" s="645"/>
      <c r="C919" s="645"/>
      <c r="D919" s="645"/>
      <c r="E919" s="201"/>
      <c r="F919" s="602"/>
      <c r="G919" s="645"/>
      <c r="H919" s="645"/>
      <c r="I919" s="645"/>
      <c r="J919" s="201"/>
      <c r="K919" s="201"/>
      <c r="L919" s="644"/>
      <c r="M919" s="644"/>
      <c r="N919" s="644"/>
      <c r="O919" s="602"/>
      <c r="P919" s="201"/>
    </row>
    <row r="920" ht="22.5" customHeight="1">
      <c r="A920" s="201"/>
      <c r="B920" s="645"/>
      <c r="C920" s="645"/>
      <c r="D920" s="645"/>
      <c r="E920" s="201"/>
      <c r="F920" s="602"/>
      <c r="G920" s="645"/>
      <c r="H920" s="645"/>
      <c r="I920" s="645"/>
      <c r="J920" s="201"/>
      <c r="K920" s="201"/>
      <c r="L920" s="644"/>
      <c r="M920" s="644"/>
      <c r="N920" s="644"/>
      <c r="O920" s="602"/>
      <c r="P920" s="201"/>
    </row>
    <row r="921" ht="22.5" customHeight="1">
      <c r="A921" s="201"/>
      <c r="B921" s="645"/>
      <c r="C921" s="645"/>
      <c r="D921" s="645"/>
      <c r="E921" s="201"/>
      <c r="F921" s="602"/>
      <c r="G921" s="645"/>
      <c r="H921" s="645"/>
      <c r="I921" s="645"/>
      <c r="J921" s="201"/>
      <c r="K921" s="201"/>
      <c r="L921" s="644"/>
      <c r="M921" s="644"/>
      <c r="N921" s="644"/>
      <c r="O921" s="602"/>
      <c r="P921" s="201"/>
    </row>
    <row r="922" ht="22.5" customHeight="1">
      <c r="A922" s="201"/>
      <c r="B922" s="645"/>
      <c r="C922" s="645"/>
      <c r="D922" s="645"/>
      <c r="E922" s="201"/>
      <c r="F922" s="602"/>
      <c r="G922" s="645"/>
      <c r="H922" s="645"/>
      <c r="I922" s="645"/>
      <c r="J922" s="201"/>
      <c r="K922" s="201"/>
      <c r="L922" s="644"/>
      <c r="M922" s="644"/>
      <c r="N922" s="644"/>
      <c r="O922" s="602"/>
      <c r="P922" s="201"/>
    </row>
    <row r="923" ht="22.5" customHeight="1">
      <c r="A923" s="201"/>
      <c r="B923" s="645"/>
      <c r="C923" s="645"/>
      <c r="D923" s="645"/>
      <c r="E923" s="201"/>
      <c r="F923" s="602"/>
      <c r="G923" s="645"/>
      <c r="H923" s="645"/>
      <c r="I923" s="645"/>
      <c r="J923" s="201"/>
      <c r="K923" s="201"/>
      <c r="L923" s="644"/>
      <c r="M923" s="644"/>
      <c r="N923" s="644"/>
      <c r="O923" s="602"/>
      <c r="P923" s="201"/>
    </row>
    <row r="924" ht="22.5" customHeight="1">
      <c r="A924" s="201"/>
      <c r="B924" s="645"/>
      <c r="C924" s="645"/>
      <c r="D924" s="645"/>
      <c r="E924" s="201"/>
      <c r="F924" s="602"/>
      <c r="G924" s="645"/>
      <c r="H924" s="645"/>
      <c r="I924" s="645"/>
      <c r="J924" s="201"/>
      <c r="K924" s="201"/>
      <c r="L924" s="644"/>
      <c r="M924" s="644"/>
      <c r="N924" s="644"/>
      <c r="O924" s="602"/>
      <c r="P924" s="201"/>
    </row>
    <row r="925" ht="22.5" customHeight="1">
      <c r="A925" s="201"/>
      <c r="B925" s="645"/>
      <c r="C925" s="645"/>
      <c r="D925" s="645"/>
      <c r="E925" s="201"/>
      <c r="F925" s="602"/>
      <c r="G925" s="645"/>
      <c r="H925" s="645"/>
      <c r="I925" s="645"/>
      <c r="J925" s="201"/>
      <c r="K925" s="201"/>
      <c r="L925" s="644"/>
      <c r="M925" s="644"/>
      <c r="N925" s="644"/>
      <c r="O925" s="602"/>
      <c r="P925" s="201"/>
    </row>
    <row r="926" ht="22.5" customHeight="1">
      <c r="A926" s="201"/>
      <c r="B926" s="645"/>
      <c r="C926" s="645"/>
      <c r="D926" s="645"/>
      <c r="E926" s="201"/>
      <c r="F926" s="602"/>
      <c r="G926" s="645"/>
      <c r="H926" s="645"/>
      <c r="I926" s="645"/>
      <c r="J926" s="201"/>
      <c r="K926" s="201"/>
      <c r="L926" s="644"/>
      <c r="M926" s="644"/>
      <c r="N926" s="644"/>
      <c r="O926" s="602"/>
      <c r="P926" s="201"/>
    </row>
    <row r="927" ht="22.5" customHeight="1">
      <c r="A927" s="201"/>
      <c r="B927" s="645"/>
      <c r="C927" s="645"/>
      <c r="D927" s="645"/>
      <c r="E927" s="201"/>
      <c r="F927" s="602"/>
      <c r="G927" s="645"/>
      <c r="H927" s="645"/>
      <c r="I927" s="645"/>
      <c r="J927" s="201"/>
      <c r="K927" s="201"/>
      <c r="L927" s="644"/>
      <c r="M927" s="644"/>
      <c r="N927" s="644"/>
      <c r="O927" s="602"/>
      <c r="P927" s="201"/>
    </row>
    <row r="928" ht="22.5" customHeight="1">
      <c r="A928" s="201"/>
      <c r="B928" s="645"/>
      <c r="C928" s="645"/>
      <c r="D928" s="645"/>
      <c r="E928" s="201"/>
      <c r="F928" s="602"/>
      <c r="G928" s="645"/>
      <c r="H928" s="645"/>
      <c r="I928" s="645"/>
      <c r="J928" s="201"/>
      <c r="K928" s="201"/>
      <c r="L928" s="644"/>
      <c r="M928" s="644"/>
      <c r="N928" s="644"/>
      <c r="O928" s="602"/>
      <c r="P928" s="201"/>
    </row>
    <row r="929" ht="22.5" customHeight="1">
      <c r="A929" s="201"/>
      <c r="B929" s="645"/>
      <c r="C929" s="645"/>
      <c r="D929" s="645"/>
      <c r="E929" s="201"/>
      <c r="F929" s="602"/>
      <c r="G929" s="645"/>
      <c r="H929" s="645"/>
      <c r="I929" s="645"/>
      <c r="J929" s="201"/>
      <c r="K929" s="201"/>
      <c r="L929" s="644"/>
      <c r="M929" s="644"/>
      <c r="N929" s="644"/>
      <c r="O929" s="602"/>
      <c r="P929" s="201"/>
    </row>
    <row r="930" ht="22.5" customHeight="1">
      <c r="A930" s="201"/>
      <c r="B930" s="645"/>
      <c r="C930" s="645"/>
      <c r="D930" s="645"/>
      <c r="E930" s="201"/>
      <c r="F930" s="602"/>
      <c r="G930" s="645"/>
      <c r="H930" s="645"/>
      <c r="I930" s="645"/>
      <c r="J930" s="201"/>
      <c r="K930" s="201"/>
      <c r="L930" s="644"/>
      <c r="M930" s="644"/>
      <c r="N930" s="644"/>
      <c r="O930" s="602"/>
      <c r="P930" s="201"/>
    </row>
    <row r="931" ht="22.5" customHeight="1">
      <c r="A931" s="201"/>
      <c r="B931" s="645"/>
      <c r="C931" s="645"/>
      <c r="D931" s="645"/>
      <c r="E931" s="201"/>
      <c r="F931" s="602"/>
      <c r="G931" s="645"/>
      <c r="H931" s="645"/>
      <c r="I931" s="645"/>
      <c r="J931" s="201"/>
      <c r="K931" s="201"/>
      <c r="L931" s="644"/>
      <c r="M931" s="644"/>
      <c r="N931" s="644"/>
      <c r="O931" s="602"/>
      <c r="P931" s="201"/>
    </row>
    <row r="932" ht="22.5" customHeight="1">
      <c r="A932" s="201"/>
      <c r="B932" s="645"/>
      <c r="C932" s="645"/>
      <c r="D932" s="645"/>
      <c r="E932" s="201"/>
      <c r="F932" s="602"/>
      <c r="G932" s="645"/>
      <c r="H932" s="645"/>
      <c r="I932" s="645"/>
      <c r="J932" s="201"/>
      <c r="K932" s="201"/>
      <c r="L932" s="644"/>
      <c r="M932" s="644"/>
      <c r="N932" s="644"/>
      <c r="O932" s="602"/>
      <c r="P932" s="201"/>
    </row>
    <row r="933" ht="22.5" customHeight="1">
      <c r="A933" s="201"/>
      <c r="B933" s="645"/>
      <c r="C933" s="645"/>
      <c r="D933" s="645"/>
      <c r="E933" s="201"/>
      <c r="F933" s="602"/>
      <c r="G933" s="645"/>
      <c r="H933" s="645"/>
      <c r="I933" s="645"/>
      <c r="J933" s="201"/>
      <c r="K933" s="201"/>
      <c r="L933" s="644"/>
      <c r="M933" s="644"/>
      <c r="N933" s="644"/>
      <c r="O933" s="602"/>
      <c r="P933" s="201"/>
    </row>
    <row r="934" ht="22.5" customHeight="1">
      <c r="A934" s="201"/>
      <c r="B934" s="645"/>
      <c r="C934" s="645"/>
      <c r="D934" s="645"/>
      <c r="E934" s="201"/>
      <c r="F934" s="602"/>
      <c r="G934" s="645"/>
      <c r="H934" s="645"/>
      <c r="I934" s="645"/>
      <c r="J934" s="201"/>
      <c r="K934" s="201"/>
      <c r="L934" s="644"/>
      <c r="M934" s="644"/>
      <c r="N934" s="644"/>
      <c r="O934" s="602"/>
      <c r="P934" s="201"/>
    </row>
    <row r="935" ht="22.5" customHeight="1">
      <c r="A935" s="201"/>
      <c r="B935" s="645"/>
      <c r="C935" s="645"/>
      <c r="D935" s="645"/>
      <c r="E935" s="201"/>
      <c r="F935" s="602"/>
      <c r="G935" s="645"/>
      <c r="H935" s="645"/>
      <c r="I935" s="645"/>
      <c r="J935" s="201"/>
      <c r="K935" s="201"/>
      <c r="L935" s="644"/>
      <c r="M935" s="644"/>
      <c r="N935" s="644"/>
      <c r="O935" s="602"/>
      <c r="P935" s="201"/>
    </row>
    <row r="936" ht="22.5" customHeight="1">
      <c r="A936" s="201"/>
      <c r="B936" s="645"/>
      <c r="C936" s="645"/>
      <c r="D936" s="645"/>
      <c r="E936" s="201"/>
      <c r="F936" s="602"/>
      <c r="G936" s="645"/>
      <c r="H936" s="645"/>
      <c r="I936" s="645"/>
      <c r="J936" s="201"/>
      <c r="K936" s="201"/>
      <c r="L936" s="644"/>
      <c r="M936" s="644"/>
      <c r="N936" s="644"/>
      <c r="O936" s="602"/>
      <c r="P936" s="201"/>
    </row>
    <row r="937" ht="22.5" customHeight="1">
      <c r="A937" s="201"/>
      <c r="B937" s="645"/>
      <c r="C937" s="645"/>
      <c r="D937" s="645"/>
      <c r="E937" s="201"/>
      <c r="F937" s="602"/>
      <c r="G937" s="645"/>
      <c r="H937" s="645"/>
      <c r="I937" s="645"/>
      <c r="J937" s="201"/>
      <c r="K937" s="201"/>
      <c r="L937" s="644"/>
      <c r="M937" s="644"/>
      <c r="N937" s="644"/>
      <c r="O937" s="602"/>
      <c r="P937" s="201"/>
    </row>
    <row r="938" ht="22.5" customHeight="1">
      <c r="A938" s="201"/>
      <c r="B938" s="645"/>
      <c r="C938" s="645"/>
      <c r="D938" s="645"/>
      <c r="E938" s="201"/>
      <c r="F938" s="602"/>
      <c r="G938" s="645"/>
      <c r="H938" s="645"/>
      <c r="I938" s="645"/>
      <c r="J938" s="201"/>
      <c r="K938" s="201"/>
      <c r="L938" s="644"/>
      <c r="M938" s="644"/>
      <c r="N938" s="644"/>
      <c r="O938" s="602"/>
      <c r="P938" s="201"/>
    </row>
    <row r="939" ht="22.5" customHeight="1">
      <c r="A939" s="201"/>
      <c r="B939" s="645"/>
      <c r="C939" s="645"/>
      <c r="D939" s="645"/>
      <c r="E939" s="201"/>
      <c r="F939" s="602"/>
      <c r="G939" s="645"/>
      <c r="H939" s="645"/>
      <c r="I939" s="645"/>
      <c r="J939" s="201"/>
      <c r="K939" s="201"/>
      <c r="L939" s="644"/>
      <c r="M939" s="644"/>
      <c r="N939" s="644"/>
      <c r="O939" s="602"/>
      <c r="P939" s="201"/>
    </row>
    <row r="940" ht="22.5" customHeight="1">
      <c r="A940" s="201"/>
      <c r="B940" s="645"/>
      <c r="C940" s="645"/>
      <c r="D940" s="645"/>
      <c r="E940" s="201"/>
      <c r="F940" s="602"/>
      <c r="G940" s="645"/>
      <c r="H940" s="645"/>
      <c r="I940" s="645"/>
      <c r="J940" s="201"/>
      <c r="K940" s="201"/>
      <c r="L940" s="644"/>
      <c r="M940" s="644"/>
      <c r="N940" s="644"/>
      <c r="O940" s="602"/>
      <c r="P940" s="201"/>
    </row>
    <row r="941" ht="22.5" customHeight="1">
      <c r="A941" s="201"/>
      <c r="B941" s="645"/>
      <c r="C941" s="645"/>
      <c r="D941" s="645"/>
      <c r="E941" s="201"/>
      <c r="F941" s="602"/>
      <c r="G941" s="645"/>
      <c r="H941" s="645"/>
      <c r="I941" s="645"/>
      <c r="J941" s="201"/>
      <c r="K941" s="201"/>
      <c r="L941" s="644"/>
      <c r="M941" s="644"/>
      <c r="N941" s="644"/>
      <c r="O941" s="602"/>
      <c r="P941" s="201"/>
    </row>
    <row r="942" ht="22.5" customHeight="1">
      <c r="A942" s="201"/>
      <c r="B942" s="645"/>
      <c r="C942" s="645"/>
      <c r="D942" s="645"/>
      <c r="E942" s="201"/>
      <c r="F942" s="602"/>
      <c r="G942" s="645"/>
      <c r="H942" s="645"/>
      <c r="I942" s="645"/>
      <c r="J942" s="201"/>
      <c r="K942" s="201"/>
      <c r="L942" s="644"/>
      <c r="M942" s="644"/>
      <c r="N942" s="644"/>
      <c r="O942" s="602"/>
      <c r="P942" s="201"/>
    </row>
    <row r="943" ht="22.5" customHeight="1">
      <c r="A943" s="201"/>
      <c r="B943" s="645"/>
      <c r="C943" s="645"/>
      <c r="D943" s="645"/>
      <c r="E943" s="201"/>
      <c r="F943" s="602"/>
      <c r="G943" s="645"/>
      <c r="H943" s="645"/>
      <c r="I943" s="645"/>
      <c r="J943" s="201"/>
      <c r="K943" s="201"/>
      <c r="L943" s="644"/>
      <c r="M943" s="644"/>
      <c r="N943" s="644"/>
      <c r="O943" s="602"/>
      <c r="P943" s="201"/>
    </row>
    <row r="944" ht="22.5" customHeight="1">
      <c r="A944" s="201"/>
      <c r="B944" s="645"/>
      <c r="C944" s="645"/>
      <c r="D944" s="645"/>
      <c r="E944" s="201"/>
      <c r="F944" s="602"/>
      <c r="G944" s="645"/>
      <c r="H944" s="645"/>
      <c r="I944" s="645"/>
      <c r="J944" s="201"/>
      <c r="K944" s="201"/>
      <c r="L944" s="644"/>
      <c r="M944" s="644"/>
      <c r="N944" s="644"/>
      <c r="O944" s="602"/>
      <c r="P944" s="201"/>
    </row>
    <row r="945" ht="22.5" customHeight="1">
      <c r="A945" s="201"/>
      <c r="B945" s="645"/>
      <c r="C945" s="645"/>
      <c r="D945" s="645"/>
      <c r="E945" s="201"/>
      <c r="F945" s="602"/>
      <c r="G945" s="645"/>
      <c r="H945" s="645"/>
      <c r="I945" s="645"/>
      <c r="J945" s="201"/>
      <c r="K945" s="201"/>
      <c r="L945" s="644"/>
      <c r="M945" s="644"/>
      <c r="N945" s="644"/>
      <c r="O945" s="602"/>
      <c r="P945" s="201"/>
    </row>
    <row r="946" ht="22.5" customHeight="1">
      <c r="A946" s="201"/>
      <c r="B946" s="645"/>
      <c r="C946" s="645"/>
      <c r="D946" s="645"/>
      <c r="E946" s="201"/>
      <c r="F946" s="602"/>
      <c r="G946" s="645"/>
      <c r="H946" s="645"/>
      <c r="I946" s="645"/>
      <c r="J946" s="201"/>
      <c r="K946" s="201"/>
      <c r="L946" s="644"/>
      <c r="M946" s="644"/>
      <c r="N946" s="644"/>
      <c r="O946" s="602"/>
      <c r="P946" s="201"/>
    </row>
    <row r="947" ht="22.5" customHeight="1">
      <c r="A947" s="201"/>
      <c r="B947" s="645"/>
      <c r="C947" s="645"/>
      <c r="D947" s="645"/>
      <c r="E947" s="201"/>
      <c r="F947" s="602"/>
      <c r="G947" s="645"/>
      <c r="H947" s="645"/>
      <c r="I947" s="645"/>
      <c r="J947" s="201"/>
      <c r="K947" s="201"/>
      <c r="L947" s="644"/>
      <c r="M947" s="644"/>
      <c r="N947" s="644"/>
      <c r="O947" s="602"/>
      <c r="P947" s="201"/>
    </row>
    <row r="948" ht="22.5" customHeight="1">
      <c r="A948" s="201"/>
      <c r="B948" s="645"/>
      <c r="C948" s="645"/>
      <c r="D948" s="645"/>
      <c r="E948" s="201"/>
      <c r="F948" s="602"/>
      <c r="G948" s="645"/>
      <c r="H948" s="645"/>
      <c r="I948" s="645"/>
      <c r="J948" s="201"/>
      <c r="K948" s="201"/>
      <c r="L948" s="644"/>
      <c r="M948" s="644"/>
      <c r="N948" s="644"/>
      <c r="O948" s="602"/>
      <c r="P948" s="201"/>
    </row>
    <row r="949" ht="22.5" customHeight="1">
      <c r="A949" s="201"/>
      <c r="B949" s="645"/>
      <c r="C949" s="645"/>
      <c r="D949" s="645"/>
      <c r="E949" s="201"/>
      <c r="F949" s="602"/>
      <c r="G949" s="645"/>
      <c r="H949" s="645"/>
      <c r="I949" s="645"/>
      <c r="J949" s="201"/>
      <c r="K949" s="201"/>
      <c r="L949" s="644"/>
      <c r="M949" s="644"/>
      <c r="N949" s="644"/>
      <c r="O949" s="602"/>
      <c r="P949" s="201"/>
    </row>
    <row r="950" ht="22.5" customHeight="1">
      <c r="A950" s="201"/>
      <c r="B950" s="645"/>
      <c r="C950" s="645"/>
      <c r="D950" s="645"/>
      <c r="E950" s="201"/>
      <c r="F950" s="602"/>
      <c r="G950" s="645"/>
      <c r="H950" s="645"/>
      <c r="I950" s="645"/>
      <c r="J950" s="201"/>
      <c r="K950" s="201"/>
      <c r="L950" s="644"/>
      <c r="M950" s="644"/>
      <c r="N950" s="644"/>
      <c r="O950" s="602"/>
      <c r="P950" s="201"/>
    </row>
    <row r="951" ht="22.5" customHeight="1">
      <c r="A951" s="201"/>
      <c r="B951" s="645"/>
      <c r="C951" s="645"/>
      <c r="D951" s="645"/>
      <c r="E951" s="201"/>
      <c r="F951" s="602"/>
      <c r="G951" s="645"/>
      <c r="H951" s="645"/>
      <c r="I951" s="645"/>
      <c r="J951" s="201"/>
      <c r="K951" s="201"/>
      <c r="L951" s="644"/>
      <c r="M951" s="644"/>
      <c r="N951" s="644"/>
      <c r="O951" s="602"/>
      <c r="P951" s="201"/>
    </row>
    <row r="952" ht="22.5" customHeight="1">
      <c r="A952" s="201"/>
      <c r="B952" s="645"/>
      <c r="C952" s="645"/>
      <c r="D952" s="645"/>
      <c r="E952" s="201"/>
      <c r="F952" s="602"/>
      <c r="G952" s="645"/>
      <c r="H952" s="645"/>
      <c r="I952" s="645"/>
      <c r="J952" s="201"/>
      <c r="K952" s="201"/>
      <c r="L952" s="644"/>
      <c r="M952" s="644"/>
      <c r="N952" s="644"/>
      <c r="O952" s="602"/>
      <c r="P952" s="201"/>
    </row>
    <row r="953" ht="22.5" customHeight="1">
      <c r="A953" s="201"/>
      <c r="B953" s="645"/>
      <c r="C953" s="645"/>
      <c r="D953" s="645"/>
      <c r="E953" s="201"/>
      <c r="F953" s="602"/>
      <c r="G953" s="645"/>
      <c r="H953" s="645"/>
      <c r="I953" s="645"/>
      <c r="J953" s="201"/>
      <c r="K953" s="201"/>
      <c r="L953" s="644"/>
      <c r="M953" s="644"/>
      <c r="N953" s="644"/>
      <c r="O953" s="602"/>
      <c r="P953" s="201"/>
    </row>
    <row r="954" ht="22.5" customHeight="1">
      <c r="A954" s="201"/>
      <c r="B954" s="645"/>
      <c r="C954" s="645"/>
      <c r="D954" s="645"/>
      <c r="E954" s="201"/>
      <c r="F954" s="602"/>
      <c r="G954" s="645"/>
      <c r="H954" s="645"/>
      <c r="I954" s="645"/>
      <c r="J954" s="201"/>
      <c r="K954" s="201"/>
      <c r="L954" s="644"/>
      <c r="M954" s="644"/>
      <c r="N954" s="644"/>
      <c r="O954" s="602"/>
      <c r="P954" s="201"/>
    </row>
    <row r="955" ht="22.5" customHeight="1">
      <c r="A955" s="201"/>
      <c r="B955" s="645"/>
      <c r="C955" s="645"/>
      <c r="D955" s="645"/>
      <c r="E955" s="201"/>
      <c r="F955" s="602"/>
      <c r="G955" s="645"/>
      <c r="H955" s="645"/>
      <c r="I955" s="645"/>
      <c r="J955" s="201"/>
      <c r="K955" s="201"/>
      <c r="L955" s="644"/>
      <c r="M955" s="644"/>
      <c r="N955" s="644"/>
      <c r="O955" s="602"/>
      <c r="P955" s="201"/>
    </row>
    <row r="956" ht="22.5" customHeight="1">
      <c r="A956" s="201"/>
      <c r="B956" s="645"/>
      <c r="C956" s="645"/>
      <c r="D956" s="645"/>
      <c r="E956" s="201"/>
      <c r="F956" s="602"/>
      <c r="G956" s="645"/>
      <c r="H956" s="645"/>
      <c r="I956" s="645"/>
      <c r="J956" s="201"/>
      <c r="K956" s="201"/>
      <c r="L956" s="644"/>
      <c r="M956" s="644"/>
      <c r="N956" s="644"/>
      <c r="O956" s="602"/>
      <c r="P956" s="201"/>
    </row>
    <row r="957" ht="22.5" customHeight="1">
      <c r="A957" s="201"/>
      <c r="B957" s="645"/>
      <c r="C957" s="645"/>
      <c r="D957" s="645"/>
      <c r="E957" s="201"/>
      <c r="F957" s="602"/>
      <c r="G957" s="645"/>
      <c r="H957" s="645"/>
      <c r="I957" s="645"/>
      <c r="J957" s="201"/>
      <c r="K957" s="201"/>
      <c r="L957" s="644"/>
      <c r="M957" s="644"/>
      <c r="N957" s="644"/>
      <c r="O957" s="602"/>
      <c r="P957" s="201"/>
    </row>
    <row r="958" ht="22.5" customHeight="1">
      <c r="A958" s="201"/>
      <c r="B958" s="645"/>
      <c r="C958" s="645"/>
      <c r="D958" s="645"/>
      <c r="E958" s="201"/>
      <c r="F958" s="602"/>
      <c r="G958" s="645"/>
      <c r="H958" s="645"/>
      <c r="I958" s="645"/>
      <c r="J958" s="201"/>
      <c r="K958" s="201"/>
      <c r="L958" s="644"/>
      <c r="M958" s="644"/>
      <c r="N958" s="644"/>
      <c r="O958" s="602"/>
      <c r="P958" s="201"/>
    </row>
    <row r="959" ht="22.5" customHeight="1">
      <c r="A959" s="201"/>
      <c r="B959" s="645"/>
      <c r="C959" s="645"/>
      <c r="D959" s="645"/>
      <c r="E959" s="201"/>
      <c r="F959" s="602"/>
      <c r="G959" s="645"/>
      <c r="H959" s="645"/>
      <c r="I959" s="645"/>
      <c r="J959" s="201"/>
      <c r="K959" s="201"/>
      <c r="L959" s="644"/>
      <c r="M959" s="644"/>
      <c r="N959" s="644"/>
      <c r="O959" s="602"/>
      <c r="P959" s="201"/>
    </row>
    <row r="960" ht="22.5" customHeight="1">
      <c r="A960" s="201"/>
      <c r="B960" s="645"/>
      <c r="C960" s="645"/>
      <c r="D960" s="645"/>
      <c r="E960" s="201"/>
      <c r="F960" s="602"/>
      <c r="G960" s="645"/>
      <c r="H960" s="645"/>
      <c r="I960" s="645"/>
      <c r="J960" s="201"/>
      <c r="K960" s="201"/>
      <c r="L960" s="644"/>
      <c r="M960" s="644"/>
      <c r="N960" s="644"/>
      <c r="O960" s="602"/>
      <c r="P960" s="201"/>
    </row>
    <row r="961" ht="22.5" customHeight="1">
      <c r="A961" s="201"/>
      <c r="B961" s="645"/>
      <c r="C961" s="645"/>
      <c r="D961" s="645"/>
      <c r="E961" s="201"/>
      <c r="F961" s="602"/>
      <c r="G961" s="645"/>
      <c r="H961" s="645"/>
      <c r="I961" s="645"/>
      <c r="J961" s="201"/>
      <c r="K961" s="201"/>
      <c r="L961" s="644"/>
      <c r="M961" s="644"/>
      <c r="N961" s="644"/>
      <c r="O961" s="602"/>
      <c r="P961" s="201"/>
    </row>
    <row r="962" ht="22.5" customHeight="1">
      <c r="A962" s="201"/>
      <c r="B962" s="645"/>
      <c r="C962" s="645"/>
      <c r="D962" s="645"/>
      <c r="E962" s="201"/>
      <c r="F962" s="602"/>
      <c r="G962" s="645"/>
      <c r="H962" s="645"/>
      <c r="I962" s="645"/>
      <c r="J962" s="201"/>
      <c r="K962" s="201"/>
      <c r="L962" s="644"/>
      <c r="M962" s="644"/>
      <c r="N962" s="644"/>
      <c r="O962" s="602"/>
      <c r="P962" s="201"/>
    </row>
    <row r="963" ht="22.5" customHeight="1">
      <c r="A963" s="201"/>
      <c r="B963" s="645"/>
      <c r="C963" s="645"/>
      <c r="D963" s="645"/>
      <c r="E963" s="201"/>
      <c r="F963" s="602"/>
      <c r="G963" s="645"/>
      <c r="H963" s="645"/>
      <c r="I963" s="645"/>
      <c r="J963" s="201"/>
      <c r="K963" s="201"/>
      <c r="L963" s="644"/>
      <c r="M963" s="644"/>
      <c r="N963" s="644"/>
      <c r="O963" s="602"/>
      <c r="P963" s="201"/>
    </row>
    <row r="964" ht="22.5" customHeight="1">
      <c r="A964" s="201"/>
      <c r="B964" s="645"/>
      <c r="C964" s="645"/>
      <c r="D964" s="645"/>
      <c r="E964" s="201"/>
      <c r="F964" s="602"/>
      <c r="G964" s="645"/>
      <c r="H964" s="645"/>
      <c r="I964" s="645"/>
      <c r="J964" s="201"/>
      <c r="K964" s="201"/>
      <c r="L964" s="644"/>
      <c r="M964" s="644"/>
      <c r="N964" s="644"/>
      <c r="O964" s="602"/>
      <c r="P964" s="201"/>
    </row>
    <row r="965" ht="22.5" customHeight="1">
      <c r="A965" s="201"/>
      <c r="B965" s="645"/>
      <c r="C965" s="645"/>
      <c r="D965" s="645"/>
      <c r="E965" s="201"/>
      <c r="F965" s="602"/>
      <c r="G965" s="645"/>
      <c r="H965" s="645"/>
      <c r="I965" s="645"/>
      <c r="J965" s="201"/>
      <c r="K965" s="201"/>
      <c r="L965" s="644"/>
      <c r="M965" s="644"/>
      <c r="N965" s="644"/>
      <c r="O965" s="602"/>
      <c r="P965" s="201"/>
    </row>
    <row r="966" ht="22.5" customHeight="1">
      <c r="A966" s="201"/>
      <c r="B966" s="645"/>
      <c r="C966" s="645"/>
      <c r="D966" s="645"/>
      <c r="E966" s="201"/>
      <c r="F966" s="602"/>
      <c r="G966" s="645"/>
      <c r="H966" s="645"/>
      <c r="I966" s="645"/>
      <c r="J966" s="201"/>
      <c r="K966" s="201"/>
      <c r="L966" s="644"/>
      <c r="M966" s="644"/>
      <c r="N966" s="644"/>
      <c r="O966" s="602"/>
      <c r="P966" s="201"/>
    </row>
    <row r="967" ht="22.5" customHeight="1">
      <c r="A967" s="201"/>
      <c r="B967" s="645"/>
      <c r="C967" s="645"/>
      <c r="D967" s="645"/>
      <c r="E967" s="201"/>
      <c r="F967" s="602"/>
      <c r="G967" s="645"/>
      <c r="H967" s="645"/>
      <c r="I967" s="645"/>
      <c r="J967" s="201"/>
      <c r="K967" s="201"/>
      <c r="L967" s="644"/>
      <c r="M967" s="644"/>
      <c r="N967" s="644"/>
      <c r="O967" s="602"/>
      <c r="P967" s="201"/>
    </row>
    <row r="968" ht="22.5" customHeight="1">
      <c r="A968" s="201"/>
      <c r="B968" s="645"/>
      <c r="C968" s="645"/>
      <c r="D968" s="645"/>
      <c r="E968" s="201"/>
      <c r="F968" s="602"/>
      <c r="G968" s="645"/>
      <c r="H968" s="645"/>
      <c r="I968" s="645"/>
      <c r="J968" s="201"/>
      <c r="K968" s="201"/>
      <c r="L968" s="644"/>
      <c r="M968" s="644"/>
      <c r="N968" s="644"/>
      <c r="O968" s="602"/>
      <c r="P968" s="201"/>
    </row>
    <row r="969" ht="22.5" customHeight="1">
      <c r="A969" s="201"/>
      <c r="B969" s="645"/>
      <c r="C969" s="645"/>
      <c r="D969" s="645"/>
      <c r="E969" s="201"/>
      <c r="F969" s="602"/>
      <c r="G969" s="645"/>
      <c r="H969" s="645"/>
      <c r="I969" s="645"/>
      <c r="J969" s="201"/>
      <c r="K969" s="201"/>
      <c r="L969" s="644"/>
      <c r="M969" s="644"/>
      <c r="N969" s="644"/>
      <c r="O969" s="602"/>
      <c r="P969" s="201"/>
    </row>
    <row r="970" ht="22.5" customHeight="1">
      <c r="A970" s="201"/>
      <c r="B970" s="645"/>
      <c r="C970" s="645"/>
      <c r="D970" s="645"/>
      <c r="E970" s="201"/>
      <c r="F970" s="602"/>
      <c r="G970" s="645"/>
      <c r="H970" s="645"/>
      <c r="I970" s="645"/>
      <c r="J970" s="201"/>
      <c r="K970" s="201"/>
      <c r="L970" s="644"/>
      <c r="M970" s="644"/>
      <c r="N970" s="644"/>
      <c r="O970" s="602"/>
      <c r="P970" s="201"/>
    </row>
    <row r="971" ht="22.5" customHeight="1">
      <c r="A971" s="201"/>
      <c r="B971" s="645"/>
      <c r="C971" s="645"/>
      <c r="D971" s="645"/>
      <c r="E971" s="201"/>
      <c r="F971" s="602"/>
      <c r="G971" s="645"/>
      <c r="H971" s="645"/>
      <c r="I971" s="645"/>
      <c r="J971" s="201"/>
      <c r="K971" s="201"/>
      <c r="L971" s="644"/>
      <c r="M971" s="644"/>
      <c r="N971" s="644"/>
      <c r="O971" s="602"/>
      <c r="P971" s="201"/>
    </row>
    <row r="972" ht="22.5" customHeight="1">
      <c r="A972" s="201"/>
      <c r="B972" s="645"/>
      <c r="C972" s="645"/>
      <c r="D972" s="645"/>
      <c r="E972" s="201"/>
      <c r="F972" s="602"/>
      <c r="G972" s="645"/>
      <c r="H972" s="645"/>
      <c r="I972" s="645"/>
      <c r="J972" s="201"/>
      <c r="K972" s="201"/>
      <c r="L972" s="644"/>
      <c r="M972" s="644"/>
      <c r="N972" s="644"/>
      <c r="O972" s="602"/>
      <c r="P972" s="201"/>
    </row>
    <row r="973" ht="22.5" customHeight="1">
      <c r="A973" s="201"/>
      <c r="B973" s="645"/>
      <c r="C973" s="645"/>
      <c r="D973" s="645"/>
      <c r="E973" s="201"/>
      <c r="F973" s="602"/>
      <c r="G973" s="645"/>
      <c r="H973" s="645"/>
      <c r="I973" s="645"/>
      <c r="J973" s="201"/>
      <c r="K973" s="201"/>
      <c r="L973" s="644"/>
      <c r="M973" s="644"/>
      <c r="N973" s="644"/>
      <c r="O973" s="602"/>
      <c r="P973" s="201"/>
    </row>
    <row r="974" ht="22.5" customHeight="1">
      <c r="A974" s="201"/>
      <c r="B974" s="645"/>
      <c r="C974" s="645"/>
      <c r="D974" s="645"/>
      <c r="E974" s="201"/>
      <c r="F974" s="602"/>
      <c r="G974" s="645"/>
      <c r="H974" s="645"/>
      <c r="I974" s="645"/>
      <c r="J974" s="201"/>
      <c r="K974" s="201"/>
      <c r="L974" s="644"/>
      <c r="M974" s="644"/>
      <c r="N974" s="644"/>
      <c r="O974" s="602"/>
      <c r="P974" s="201"/>
    </row>
    <row r="975" ht="22.5" customHeight="1">
      <c r="A975" s="201"/>
      <c r="B975" s="645"/>
      <c r="C975" s="645"/>
      <c r="D975" s="645"/>
      <c r="E975" s="201"/>
      <c r="F975" s="602"/>
      <c r="G975" s="645"/>
      <c r="H975" s="645"/>
      <c r="I975" s="645"/>
      <c r="J975" s="201"/>
      <c r="K975" s="201"/>
      <c r="L975" s="644"/>
      <c r="M975" s="644"/>
      <c r="N975" s="644"/>
      <c r="O975" s="602"/>
      <c r="P975" s="201"/>
    </row>
    <row r="976" ht="22.5" customHeight="1">
      <c r="A976" s="201"/>
      <c r="B976" s="645"/>
      <c r="C976" s="645"/>
      <c r="D976" s="645"/>
      <c r="E976" s="201"/>
      <c r="F976" s="602"/>
      <c r="G976" s="645"/>
      <c r="H976" s="645"/>
      <c r="I976" s="645"/>
      <c r="J976" s="201"/>
      <c r="K976" s="201"/>
      <c r="L976" s="644"/>
      <c r="M976" s="644"/>
      <c r="N976" s="644"/>
      <c r="O976" s="602"/>
      <c r="P976" s="201"/>
    </row>
    <row r="977" ht="22.5" customHeight="1">
      <c r="A977" s="201"/>
      <c r="B977" s="645"/>
      <c r="C977" s="645"/>
      <c r="D977" s="645"/>
      <c r="E977" s="201"/>
      <c r="F977" s="602"/>
      <c r="G977" s="645"/>
      <c r="H977" s="645"/>
      <c r="I977" s="645"/>
      <c r="J977" s="201"/>
      <c r="K977" s="201"/>
      <c r="L977" s="644"/>
      <c r="M977" s="644"/>
      <c r="N977" s="644"/>
      <c r="O977" s="602"/>
      <c r="P977" s="201"/>
    </row>
    <row r="978" ht="22.5" customHeight="1">
      <c r="A978" s="201"/>
      <c r="B978" s="645"/>
      <c r="C978" s="645"/>
      <c r="D978" s="645"/>
      <c r="E978" s="201"/>
      <c r="F978" s="602"/>
      <c r="G978" s="645"/>
      <c r="H978" s="645"/>
      <c r="I978" s="645"/>
      <c r="J978" s="201"/>
      <c r="K978" s="201"/>
      <c r="L978" s="644"/>
      <c r="M978" s="644"/>
      <c r="N978" s="644"/>
      <c r="O978" s="602"/>
      <c r="P978" s="201"/>
    </row>
    <row r="979" ht="22.5" customHeight="1">
      <c r="A979" s="201"/>
      <c r="B979" s="645"/>
      <c r="C979" s="645"/>
      <c r="D979" s="645"/>
      <c r="E979" s="201"/>
      <c r="F979" s="602"/>
      <c r="G979" s="645"/>
      <c r="H979" s="645"/>
      <c r="I979" s="645"/>
      <c r="J979" s="201"/>
      <c r="K979" s="201"/>
      <c r="L979" s="644"/>
      <c r="M979" s="644"/>
      <c r="N979" s="644"/>
      <c r="O979" s="602"/>
      <c r="P979" s="201"/>
    </row>
    <row r="980" ht="22.5" customHeight="1">
      <c r="A980" s="201"/>
      <c r="B980" s="645"/>
      <c r="C980" s="645"/>
      <c r="D980" s="645"/>
      <c r="E980" s="201"/>
      <c r="F980" s="602"/>
      <c r="G980" s="645"/>
      <c r="H980" s="645"/>
      <c r="I980" s="645"/>
      <c r="J980" s="201"/>
      <c r="K980" s="201"/>
      <c r="L980" s="644"/>
      <c r="M980" s="644"/>
      <c r="N980" s="644"/>
      <c r="O980" s="602"/>
      <c r="P980" s="201"/>
    </row>
    <row r="981" ht="22.5" customHeight="1">
      <c r="A981" s="201"/>
      <c r="B981" s="645"/>
      <c r="C981" s="645"/>
      <c r="D981" s="645"/>
      <c r="E981" s="201"/>
      <c r="F981" s="602"/>
      <c r="G981" s="645"/>
      <c r="H981" s="645"/>
      <c r="I981" s="645"/>
      <c r="J981" s="201"/>
      <c r="K981" s="201"/>
      <c r="L981" s="644"/>
      <c r="M981" s="644"/>
      <c r="N981" s="644"/>
      <c r="O981" s="602"/>
      <c r="P981" s="201"/>
    </row>
    <row r="982" ht="22.5" customHeight="1">
      <c r="A982" s="201"/>
      <c r="B982" s="645"/>
      <c r="C982" s="645"/>
      <c r="D982" s="645"/>
      <c r="E982" s="201"/>
      <c r="F982" s="602"/>
      <c r="G982" s="645"/>
      <c r="H982" s="645"/>
      <c r="I982" s="645"/>
      <c r="J982" s="201"/>
      <c r="K982" s="201"/>
      <c r="L982" s="644"/>
      <c r="M982" s="644"/>
      <c r="N982" s="644"/>
      <c r="O982" s="602"/>
      <c r="P982" s="201"/>
    </row>
    <row r="983" ht="22.5" customHeight="1">
      <c r="A983" s="201"/>
      <c r="B983" s="645"/>
      <c r="C983" s="645"/>
      <c r="D983" s="645"/>
      <c r="E983" s="201"/>
      <c r="F983" s="602"/>
      <c r="G983" s="645"/>
      <c r="H983" s="645"/>
      <c r="I983" s="645"/>
      <c r="J983" s="201"/>
      <c r="K983" s="201"/>
      <c r="L983" s="644"/>
      <c r="M983" s="644"/>
      <c r="N983" s="644"/>
      <c r="O983" s="602"/>
      <c r="P983" s="201"/>
    </row>
    <row r="984" ht="22.5" customHeight="1">
      <c r="A984" s="201"/>
      <c r="B984" s="645"/>
      <c r="C984" s="645"/>
      <c r="D984" s="645"/>
      <c r="E984" s="201"/>
      <c r="F984" s="602"/>
      <c r="G984" s="645"/>
      <c r="H984" s="645"/>
      <c r="I984" s="645"/>
      <c r="J984" s="201"/>
      <c r="K984" s="201"/>
      <c r="L984" s="644"/>
      <c r="M984" s="644"/>
      <c r="N984" s="644"/>
      <c r="O984" s="602"/>
      <c r="P984" s="201"/>
    </row>
    <row r="985" ht="22.5" customHeight="1">
      <c r="A985" s="201"/>
      <c r="B985" s="645"/>
      <c r="C985" s="645"/>
      <c r="D985" s="645"/>
      <c r="E985" s="201"/>
      <c r="F985" s="602"/>
      <c r="G985" s="645"/>
      <c r="H985" s="645"/>
      <c r="I985" s="645"/>
      <c r="J985" s="201"/>
      <c r="K985" s="201"/>
      <c r="L985" s="644"/>
      <c r="M985" s="644"/>
      <c r="N985" s="644"/>
      <c r="O985" s="602"/>
      <c r="P985" s="201"/>
    </row>
    <row r="986" ht="22.5" customHeight="1">
      <c r="A986" s="201"/>
      <c r="B986" s="645"/>
      <c r="C986" s="645"/>
      <c r="D986" s="645"/>
      <c r="E986" s="201"/>
      <c r="F986" s="602"/>
      <c r="G986" s="645"/>
      <c r="H986" s="645"/>
      <c r="I986" s="645"/>
      <c r="J986" s="201"/>
      <c r="K986" s="201"/>
      <c r="L986" s="644"/>
      <c r="M986" s="644"/>
      <c r="N986" s="644"/>
      <c r="O986" s="602"/>
      <c r="P986" s="201"/>
    </row>
    <row r="987" ht="22.5" customHeight="1">
      <c r="A987" s="201"/>
      <c r="B987" s="645"/>
      <c r="C987" s="645"/>
      <c r="D987" s="645"/>
      <c r="E987" s="201"/>
      <c r="F987" s="602"/>
      <c r="G987" s="645"/>
      <c r="H987" s="645"/>
      <c r="I987" s="645"/>
      <c r="J987" s="201"/>
      <c r="K987" s="201"/>
      <c r="L987" s="644"/>
      <c r="M987" s="644"/>
      <c r="N987" s="644"/>
      <c r="O987" s="602"/>
      <c r="P987" s="201"/>
    </row>
    <row r="988" ht="22.5" customHeight="1">
      <c r="A988" s="201"/>
      <c r="B988" s="645"/>
      <c r="C988" s="645"/>
      <c r="D988" s="645"/>
      <c r="E988" s="201"/>
      <c r="F988" s="602"/>
      <c r="G988" s="645"/>
      <c r="H988" s="645"/>
      <c r="I988" s="645"/>
      <c r="J988" s="201"/>
      <c r="K988" s="201"/>
      <c r="L988" s="644"/>
      <c r="M988" s="644"/>
      <c r="N988" s="644"/>
      <c r="O988" s="602"/>
      <c r="P988" s="201"/>
    </row>
    <row r="989" ht="22.5" customHeight="1">
      <c r="A989" s="201"/>
      <c r="B989" s="645"/>
      <c r="C989" s="645"/>
      <c r="D989" s="645"/>
      <c r="E989" s="201"/>
      <c r="F989" s="602"/>
      <c r="G989" s="645"/>
      <c r="H989" s="645"/>
      <c r="I989" s="645"/>
      <c r="J989" s="201"/>
      <c r="K989" s="201"/>
      <c r="L989" s="644"/>
      <c r="M989" s="644"/>
      <c r="N989" s="644"/>
      <c r="O989" s="602"/>
      <c r="P989" s="201"/>
    </row>
    <row r="990" ht="22.5" customHeight="1">
      <c r="A990" s="201"/>
      <c r="B990" s="645"/>
      <c r="C990" s="645"/>
      <c r="D990" s="645"/>
      <c r="E990" s="201"/>
      <c r="F990" s="602"/>
      <c r="G990" s="645"/>
      <c r="H990" s="645"/>
      <c r="I990" s="645"/>
      <c r="J990" s="201"/>
      <c r="K990" s="201"/>
      <c r="L990" s="644"/>
      <c r="M990" s="644"/>
      <c r="N990" s="644"/>
      <c r="O990" s="602"/>
      <c r="P990" s="201"/>
    </row>
    <row r="991" ht="22.5" customHeight="1">
      <c r="A991" s="201"/>
      <c r="B991" s="645"/>
      <c r="C991" s="645"/>
      <c r="D991" s="645"/>
      <c r="E991" s="201"/>
      <c r="F991" s="602"/>
      <c r="G991" s="645"/>
      <c r="H991" s="645"/>
      <c r="I991" s="645"/>
      <c r="J991" s="201"/>
      <c r="K991" s="201"/>
      <c r="L991" s="644"/>
      <c r="M991" s="644"/>
      <c r="N991" s="644"/>
      <c r="O991" s="602"/>
      <c r="P991" s="201"/>
    </row>
    <row r="992" ht="22.5" customHeight="1">
      <c r="A992" s="201"/>
      <c r="B992" s="645"/>
      <c r="C992" s="645"/>
      <c r="D992" s="645"/>
      <c r="E992" s="201"/>
      <c r="F992" s="602"/>
      <c r="G992" s="645"/>
      <c r="H992" s="645"/>
      <c r="I992" s="645"/>
      <c r="J992" s="201"/>
      <c r="K992" s="201"/>
      <c r="L992" s="644"/>
      <c r="M992" s="644"/>
      <c r="N992" s="644"/>
      <c r="O992" s="602"/>
      <c r="P992" s="201"/>
    </row>
    <row r="993" ht="22.5" customHeight="1">
      <c r="A993" s="201"/>
      <c r="B993" s="645"/>
      <c r="C993" s="645"/>
      <c r="D993" s="645"/>
      <c r="E993" s="201"/>
      <c r="F993" s="602"/>
      <c r="G993" s="645"/>
      <c r="H993" s="645"/>
      <c r="I993" s="645"/>
      <c r="J993" s="201"/>
      <c r="K993" s="201"/>
      <c r="L993" s="644"/>
      <c r="M993" s="644"/>
      <c r="N993" s="644"/>
      <c r="O993" s="602"/>
      <c r="P993" s="201"/>
    </row>
    <row r="994" ht="22.5" customHeight="1">
      <c r="A994" s="201"/>
      <c r="B994" s="645"/>
      <c r="C994" s="645"/>
      <c r="D994" s="645"/>
      <c r="E994" s="201"/>
      <c r="F994" s="602"/>
      <c r="G994" s="645"/>
      <c r="H994" s="645"/>
      <c r="I994" s="645"/>
      <c r="J994" s="201"/>
      <c r="K994" s="201"/>
      <c r="L994" s="644"/>
      <c r="M994" s="644"/>
      <c r="N994" s="644"/>
      <c r="O994" s="602"/>
      <c r="P994" s="201"/>
    </row>
    <row r="995" ht="22.5" customHeight="1">
      <c r="A995" s="201"/>
      <c r="B995" s="645"/>
      <c r="C995" s="645"/>
      <c r="D995" s="645"/>
      <c r="E995" s="201"/>
      <c r="F995" s="602"/>
      <c r="G995" s="645"/>
      <c r="H995" s="645"/>
      <c r="I995" s="645"/>
      <c r="J995" s="201"/>
      <c r="K995" s="201"/>
      <c r="L995" s="644"/>
      <c r="M995" s="644"/>
      <c r="N995" s="644"/>
      <c r="O995" s="602"/>
      <c r="P995" s="201"/>
    </row>
    <row r="996" ht="22.5" customHeight="1">
      <c r="A996" s="201"/>
      <c r="B996" s="645"/>
      <c r="C996" s="645"/>
      <c r="D996" s="645"/>
      <c r="E996" s="201"/>
      <c r="F996" s="602"/>
      <c r="G996" s="645"/>
      <c r="H996" s="645"/>
      <c r="I996" s="645"/>
      <c r="J996" s="201"/>
      <c r="K996" s="201"/>
      <c r="L996" s="644"/>
      <c r="M996" s="644"/>
      <c r="N996" s="644"/>
      <c r="O996" s="602"/>
      <c r="P996" s="201"/>
    </row>
    <row r="997" ht="22.5" customHeight="1">
      <c r="A997" s="201"/>
      <c r="B997" s="645"/>
      <c r="C997" s="645"/>
      <c r="D997" s="645"/>
      <c r="E997" s="201"/>
      <c r="F997" s="602"/>
      <c r="G997" s="645"/>
      <c r="H997" s="645"/>
      <c r="I997" s="645"/>
      <c r="J997" s="201"/>
      <c r="K997" s="201"/>
      <c r="L997" s="644"/>
      <c r="M997" s="644"/>
      <c r="N997" s="644"/>
      <c r="O997" s="602"/>
      <c r="P997" s="201"/>
    </row>
    <row r="998" ht="22.5" customHeight="1">
      <c r="A998" s="201"/>
      <c r="B998" s="645"/>
      <c r="C998" s="645"/>
      <c r="D998" s="645"/>
      <c r="E998" s="201"/>
      <c r="F998" s="602"/>
      <c r="G998" s="645"/>
      <c r="H998" s="645"/>
      <c r="I998" s="645"/>
      <c r="J998" s="201"/>
      <c r="K998" s="201"/>
      <c r="L998" s="644"/>
      <c r="M998" s="644"/>
      <c r="N998" s="644"/>
      <c r="O998" s="602"/>
      <c r="P998" s="201"/>
    </row>
    <row r="999" ht="22.5" customHeight="1">
      <c r="A999" s="201"/>
      <c r="B999" s="645"/>
      <c r="C999" s="645"/>
      <c r="D999" s="645"/>
      <c r="E999" s="201"/>
      <c r="F999" s="602"/>
      <c r="G999" s="645"/>
      <c r="H999" s="645"/>
      <c r="I999" s="645"/>
      <c r="J999" s="201"/>
      <c r="K999" s="201"/>
      <c r="L999" s="644"/>
      <c r="M999" s="644"/>
      <c r="N999" s="644"/>
      <c r="O999" s="602"/>
      <c r="P999" s="201"/>
    </row>
    <row r="1000" ht="22.5" customHeight="1">
      <c r="A1000" s="201"/>
      <c r="B1000" s="645"/>
      <c r="C1000" s="645"/>
      <c r="D1000" s="645"/>
      <c r="E1000" s="201"/>
      <c r="F1000" s="602"/>
      <c r="G1000" s="645"/>
      <c r="H1000" s="645"/>
      <c r="I1000" s="645"/>
      <c r="J1000" s="201"/>
      <c r="K1000" s="201"/>
      <c r="L1000" s="644"/>
      <c r="M1000" s="644"/>
      <c r="N1000" s="644"/>
      <c r="O1000" s="602"/>
      <c r="P1000" s="201"/>
    </row>
    <row r="1001" ht="22.5" customHeight="1">
      <c r="A1001" s="201"/>
      <c r="B1001" s="645"/>
      <c r="C1001" s="645"/>
      <c r="D1001" s="645"/>
      <c r="E1001" s="201"/>
      <c r="F1001" s="602"/>
      <c r="G1001" s="645"/>
      <c r="H1001" s="645"/>
      <c r="I1001" s="645"/>
      <c r="J1001" s="201"/>
      <c r="K1001" s="201"/>
      <c r="L1001" s="644"/>
      <c r="M1001" s="644"/>
      <c r="N1001" s="644"/>
      <c r="O1001" s="602"/>
      <c r="P1001" s="201"/>
    </row>
    <row r="1002" ht="22.5" customHeight="1">
      <c r="A1002" s="201"/>
      <c r="B1002" s="645"/>
      <c r="C1002" s="645"/>
      <c r="D1002" s="645"/>
      <c r="E1002" s="201"/>
      <c r="F1002" s="602"/>
      <c r="G1002" s="645"/>
      <c r="H1002" s="645"/>
      <c r="I1002" s="645"/>
      <c r="J1002" s="201"/>
      <c r="K1002" s="201"/>
      <c r="L1002" s="644"/>
      <c r="M1002" s="644"/>
      <c r="N1002" s="644"/>
      <c r="O1002" s="602"/>
      <c r="P1002" s="201"/>
    </row>
    <row r="1003" ht="22.5" customHeight="1">
      <c r="A1003" s="201"/>
      <c r="B1003" s="645"/>
      <c r="C1003" s="645"/>
      <c r="D1003" s="645"/>
      <c r="E1003" s="201"/>
      <c r="F1003" s="602"/>
      <c r="G1003" s="645"/>
      <c r="H1003" s="645"/>
      <c r="I1003" s="645"/>
      <c r="J1003" s="201"/>
      <c r="K1003" s="201"/>
      <c r="L1003" s="644"/>
      <c r="M1003" s="644"/>
      <c r="N1003" s="644"/>
      <c r="O1003" s="602"/>
      <c r="P1003" s="201"/>
    </row>
    <row r="1004" ht="22.5" customHeight="1">
      <c r="A1004" s="201"/>
      <c r="B1004" s="645"/>
      <c r="C1004" s="645"/>
      <c r="D1004" s="645"/>
      <c r="E1004" s="201"/>
      <c r="F1004" s="602"/>
      <c r="G1004" s="645"/>
      <c r="H1004" s="645"/>
      <c r="I1004" s="645"/>
      <c r="J1004" s="201"/>
      <c r="K1004" s="201"/>
      <c r="L1004" s="644"/>
      <c r="M1004" s="644"/>
      <c r="N1004" s="644"/>
      <c r="O1004" s="602"/>
      <c r="P1004" s="201"/>
    </row>
    <row r="1005" ht="22.5" customHeight="1">
      <c r="A1005" s="201"/>
      <c r="B1005" s="645"/>
      <c r="C1005" s="645"/>
      <c r="D1005" s="645"/>
      <c r="E1005" s="201"/>
      <c r="F1005" s="602"/>
      <c r="G1005" s="645"/>
      <c r="H1005" s="645"/>
      <c r="I1005" s="645"/>
      <c r="J1005" s="201"/>
      <c r="K1005" s="201"/>
      <c r="L1005" s="644"/>
      <c r="M1005" s="644"/>
      <c r="N1005" s="644"/>
      <c r="O1005" s="602"/>
      <c r="P1005" s="201"/>
    </row>
    <row r="1006" ht="22.5" customHeight="1">
      <c r="A1006" s="201"/>
      <c r="B1006" s="645"/>
      <c r="C1006" s="645"/>
      <c r="D1006" s="645"/>
      <c r="E1006" s="201"/>
      <c r="F1006" s="602"/>
      <c r="G1006" s="645"/>
      <c r="H1006" s="645"/>
      <c r="I1006" s="645"/>
      <c r="J1006" s="201"/>
      <c r="K1006" s="201"/>
      <c r="L1006" s="644"/>
      <c r="M1006" s="644"/>
      <c r="N1006" s="644"/>
      <c r="O1006" s="602"/>
      <c r="P1006" s="201"/>
    </row>
    <row r="1007" ht="22.5" customHeight="1">
      <c r="A1007" s="201"/>
      <c r="B1007" s="645"/>
      <c r="C1007" s="645"/>
      <c r="D1007" s="645"/>
      <c r="E1007" s="201"/>
      <c r="F1007" s="602"/>
      <c r="G1007" s="645"/>
      <c r="H1007" s="645"/>
      <c r="I1007" s="645"/>
      <c r="J1007" s="201"/>
      <c r="K1007" s="201"/>
      <c r="L1007" s="644"/>
      <c r="M1007" s="644"/>
      <c r="N1007" s="644"/>
      <c r="O1007" s="602"/>
      <c r="P1007" s="201"/>
    </row>
    <row r="1008" ht="22.5" customHeight="1">
      <c r="A1008" s="201"/>
      <c r="B1008" s="645"/>
      <c r="C1008" s="645"/>
      <c r="D1008" s="645"/>
      <c r="E1008" s="201"/>
      <c r="F1008" s="602"/>
      <c r="G1008" s="645"/>
      <c r="H1008" s="645"/>
      <c r="I1008" s="645"/>
      <c r="J1008" s="201"/>
      <c r="K1008" s="201"/>
      <c r="L1008" s="644"/>
      <c r="M1008" s="644"/>
      <c r="N1008" s="644"/>
      <c r="O1008" s="602"/>
      <c r="P1008" s="201"/>
    </row>
    <row r="1009" ht="22.5" customHeight="1">
      <c r="A1009" s="201"/>
      <c r="B1009" s="645"/>
      <c r="C1009" s="645"/>
      <c r="D1009" s="645"/>
      <c r="E1009" s="201"/>
      <c r="F1009" s="602"/>
      <c r="G1009" s="645"/>
      <c r="H1009" s="645"/>
      <c r="I1009" s="645"/>
      <c r="J1009" s="201"/>
      <c r="K1009" s="201"/>
      <c r="L1009" s="644"/>
      <c r="M1009" s="644"/>
      <c r="N1009" s="644"/>
      <c r="O1009" s="602"/>
      <c r="P1009" s="201"/>
    </row>
    <row r="1010" ht="22.5" customHeight="1">
      <c r="A1010" s="201"/>
      <c r="B1010" s="645"/>
      <c r="C1010" s="645"/>
      <c r="D1010" s="645"/>
      <c r="E1010" s="201"/>
      <c r="F1010" s="602"/>
      <c r="G1010" s="645"/>
      <c r="H1010" s="645"/>
      <c r="I1010" s="645"/>
      <c r="J1010" s="201"/>
      <c r="K1010" s="201"/>
      <c r="L1010" s="644"/>
      <c r="M1010" s="644"/>
      <c r="N1010" s="644"/>
      <c r="O1010" s="602"/>
      <c r="P1010" s="201"/>
    </row>
    <row r="1011" ht="22.5" customHeight="1">
      <c r="A1011" s="201"/>
      <c r="B1011" s="645"/>
      <c r="C1011" s="645"/>
      <c r="D1011" s="645"/>
      <c r="E1011" s="201"/>
      <c r="F1011" s="602"/>
      <c r="G1011" s="645"/>
      <c r="H1011" s="645"/>
      <c r="I1011" s="645"/>
      <c r="J1011" s="201"/>
      <c r="K1011" s="201"/>
      <c r="L1011" s="644"/>
      <c r="M1011" s="644"/>
      <c r="N1011" s="644"/>
      <c r="O1011" s="602"/>
      <c r="P1011" s="201"/>
    </row>
    <row r="1012" ht="22.5" customHeight="1">
      <c r="A1012" s="201"/>
      <c r="B1012" s="645"/>
      <c r="C1012" s="645"/>
      <c r="D1012" s="645"/>
      <c r="E1012" s="201"/>
      <c r="F1012" s="602"/>
      <c r="G1012" s="645"/>
      <c r="H1012" s="645"/>
      <c r="I1012" s="645"/>
      <c r="J1012" s="201"/>
      <c r="K1012" s="201"/>
      <c r="L1012" s="644"/>
      <c r="M1012" s="644"/>
      <c r="N1012" s="644"/>
      <c r="O1012" s="602"/>
      <c r="P1012" s="201"/>
    </row>
    <row r="1013" ht="22.5" customHeight="1">
      <c r="A1013" s="201"/>
      <c r="B1013" s="645"/>
      <c r="C1013" s="645"/>
      <c r="D1013" s="645"/>
      <c r="E1013" s="201"/>
      <c r="F1013" s="602"/>
      <c r="G1013" s="645"/>
      <c r="H1013" s="645"/>
      <c r="I1013" s="645"/>
      <c r="J1013" s="201"/>
      <c r="K1013" s="201"/>
      <c r="L1013" s="644"/>
      <c r="M1013" s="644"/>
      <c r="N1013" s="644"/>
      <c r="O1013" s="602"/>
      <c r="P1013" s="201"/>
    </row>
    <row r="1014" ht="22.5" customHeight="1">
      <c r="A1014" s="201"/>
      <c r="B1014" s="645"/>
      <c r="C1014" s="645"/>
      <c r="D1014" s="645"/>
      <c r="E1014" s="201"/>
      <c r="F1014" s="602"/>
      <c r="G1014" s="645"/>
      <c r="H1014" s="645"/>
      <c r="I1014" s="645"/>
      <c r="J1014" s="201"/>
      <c r="K1014" s="201"/>
      <c r="L1014" s="644"/>
      <c r="M1014" s="644"/>
      <c r="N1014" s="644"/>
      <c r="O1014" s="602"/>
      <c r="P1014" s="201"/>
    </row>
    <row r="1015" ht="22.5" customHeight="1">
      <c r="A1015" s="201"/>
      <c r="B1015" s="645"/>
      <c r="C1015" s="645"/>
      <c r="D1015" s="645"/>
      <c r="E1015" s="201"/>
      <c r="F1015" s="602"/>
      <c r="G1015" s="645"/>
      <c r="H1015" s="645"/>
      <c r="I1015" s="645"/>
      <c r="J1015" s="201"/>
      <c r="K1015" s="201"/>
      <c r="L1015" s="644"/>
      <c r="M1015" s="644"/>
      <c r="N1015" s="644"/>
      <c r="O1015" s="602"/>
      <c r="P1015" s="201"/>
    </row>
    <row r="1016" ht="22.5" customHeight="1">
      <c r="A1016" s="201"/>
      <c r="B1016" s="645"/>
      <c r="C1016" s="645"/>
      <c r="D1016" s="645"/>
      <c r="E1016" s="201"/>
      <c r="F1016" s="602"/>
      <c r="G1016" s="645"/>
      <c r="H1016" s="645"/>
      <c r="I1016" s="645"/>
      <c r="J1016" s="201"/>
      <c r="K1016" s="201"/>
      <c r="L1016" s="644"/>
      <c r="M1016" s="644"/>
      <c r="N1016" s="644"/>
      <c r="O1016" s="602"/>
      <c r="P1016" s="201"/>
    </row>
    <row r="1017" ht="22.5" customHeight="1">
      <c r="A1017" s="201"/>
      <c r="B1017" s="645"/>
      <c r="C1017" s="645"/>
      <c r="D1017" s="645"/>
      <c r="E1017" s="201"/>
      <c r="F1017" s="602"/>
      <c r="G1017" s="645"/>
      <c r="H1017" s="645"/>
      <c r="I1017" s="645"/>
      <c r="J1017" s="201"/>
      <c r="K1017" s="201"/>
      <c r="L1017" s="644"/>
      <c r="M1017" s="644"/>
      <c r="N1017" s="644"/>
      <c r="O1017" s="602"/>
      <c r="P1017" s="201"/>
    </row>
    <row r="1018" ht="22.5" customHeight="1">
      <c r="A1018" s="201"/>
      <c r="B1018" s="645"/>
      <c r="C1018" s="645"/>
      <c r="D1018" s="645"/>
      <c r="E1018" s="201"/>
      <c r="F1018" s="602"/>
      <c r="G1018" s="645"/>
      <c r="H1018" s="645"/>
      <c r="I1018" s="645"/>
      <c r="J1018" s="201"/>
      <c r="K1018" s="201"/>
      <c r="L1018" s="644"/>
      <c r="M1018" s="644"/>
      <c r="N1018" s="644"/>
      <c r="O1018" s="602"/>
      <c r="P1018" s="201"/>
    </row>
    <row r="1019" ht="22.5" customHeight="1">
      <c r="A1019" s="201"/>
      <c r="B1019" s="645"/>
      <c r="C1019" s="645"/>
      <c r="D1019" s="645"/>
      <c r="E1019" s="201"/>
      <c r="F1019" s="602"/>
      <c r="G1019" s="645"/>
      <c r="H1019" s="645"/>
      <c r="I1019" s="645"/>
      <c r="J1019" s="201"/>
      <c r="K1019" s="201"/>
      <c r="L1019" s="644"/>
      <c r="M1019" s="644"/>
      <c r="N1019" s="644"/>
      <c r="O1019" s="602"/>
      <c r="P1019" s="201"/>
    </row>
    <row r="1020" ht="22.5" customHeight="1">
      <c r="A1020" s="201"/>
      <c r="B1020" s="645"/>
      <c r="C1020" s="645"/>
      <c r="D1020" s="645"/>
      <c r="E1020" s="201"/>
      <c r="F1020" s="602"/>
      <c r="G1020" s="645"/>
      <c r="H1020" s="645"/>
      <c r="I1020" s="645"/>
      <c r="J1020" s="201"/>
      <c r="K1020" s="201"/>
      <c r="L1020" s="644"/>
      <c r="M1020" s="644"/>
      <c r="N1020" s="644"/>
      <c r="O1020" s="602"/>
      <c r="P1020" s="201"/>
    </row>
    <row r="1021" ht="22.5" customHeight="1">
      <c r="A1021" s="201"/>
      <c r="B1021" s="645"/>
      <c r="C1021" s="645"/>
      <c r="D1021" s="645"/>
      <c r="E1021" s="201"/>
      <c r="F1021" s="602"/>
      <c r="G1021" s="645"/>
      <c r="H1021" s="645"/>
      <c r="I1021" s="645"/>
      <c r="J1021" s="201"/>
      <c r="K1021" s="201"/>
      <c r="L1021" s="644"/>
      <c r="M1021" s="644"/>
      <c r="N1021" s="644"/>
      <c r="O1021" s="602"/>
      <c r="P1021" s="201"/>
    </row>
    <row r="1022" ht="22.5" customHeight="1">
      <c r="A1022" s="201"/>
      <c r="B1022" s="645"/>
      <c r="C1022" s="645"/>
      <c r="D1022" s="645"/>
      <c r="E1022" s="201"/>
      <c r="F1022" s="602"/>
      <c r="G1022" s="645"/>
      <c r="H1022" s="645"/>
      <c r="I1022" s="645"/>
      <c r="J1022" s="201"/>
      <c r="K1022" s="201"/>
      <c r="L1022" s="644"/>
      <c r="M1022" s="644"/>
      <c r="N1022" s="644"/>
      <c r="O1022" s="602"/>
      <c r="P1022" s="201"/>
    </row>
    <row r="1023" ht="22.5" customHeight="1">
      <c r="A1023" s="201"/>
      <c r="B1023" s="645"/>
      <c r="C1023" s="645"/>
      <c r="D1023" s="645"/>
      <c r="E1023" s="201"/>
      <c r="F1023" s="602"/>
      <c r="G1023" s="645"/>
      <c r="H1023" s="645"/>
      <c r="I1023" s="645"/>
      <c r="J1023" s="201"/>
      <c r="K1023" s="201"/>
      <c r="L1023" s="644"/>
      <c r="M1023" s="644"/>
      <c r="N1023" s="644"/>
      <c r="O1023" s="602"/>
      <c r="P1023" s="201"/>
    </row>
    <row r="1024" ht="22.5" customHeight="1">
      <c r="A1024" s="201"/>
      <c r="B1024" s="645"/>
      <c r="C1024" s="645"/>
      <c r="D1024" s="645"/>
      <c r="E1024" s="201"/>
      <c r="F1024" s="602"/>
      <c r="G1024" s="645"/>
      <c r="H1024" s="645"/>
      <c r="I1024" s="645"/>
      <c r="J1024" s="201"/>
      <c r="K1024" s="201"/>
      <c r="L1024" s="644"/>
      <c r="M1024" s="644"/>
      <c r="N1024" s="644"/>
      <c r="O1024" s="602"/>
      <c r="P1024" s="201"/>
    </row>
    <row r="1025" ht="22.5" customHeight="1">
      <c r="A1025" s="201"/>
      <c r="B1025" s="645"/>
      <c r="C1025" s="645"/>
      <c r="D1025" s="645"/>
      <c r="E1025" s="201"/>
      <c r="F1025" s="602"/>
      <c r="G1025" s="645"/>
      <c r="H1025" s="645"/>
      <c r="I1025" s="645"/>
      <c r="J1025" s="201"/>
      <c r="K1025" s="201"/>
      <c r="L1025" s="644"/>
      <c r="M1025" s="644"/>
      <c r="N1025" s="644"/>
      <c r="O1025" s="602"/>
      <c r="P1025" s="201"/>
    </row>
    <row r="1026" ht="22.5" customHeight="1">
      <c r="A1026" s="201"/>
      <c r="B1026" s="645"/>
      <c r="C1026" s="645"/>
      <c r="D1026" s="645"/>
      <c r="E1026" s="201"/>
      <c r="F1026" s="602"/>
      <c r="G1026" s="645"/>
      <c r="H1026" s="645"/>
      <c r="I1026" s="645"/>
      <c r="J1026" s="201"/>
      <c r="K1026" s="201"/>
      <c r="L1026" s="644"/>
      <c r="M1026" s="644"/>
      <c r="N1026" s="644"/>
      <c r="O1026" s="602"/>
      <c r="P1026" s="201"/>
    </row>
    <row r="1027" ht="22.5" customHeight="1">
      <c r="A1027" s="201"/>
      <c r="B1027" s="645"/>
      <c r="C1027" s="645"/>
      <c r="D1027" s="645"/>
      <c r="E1027" s="201"/>
      <c r="F1027" s="602"/>
      <c r="G1027" s="645"/>
      <c r="H1027" s="645"/>
      <c r="I1027" s="645"/>
      <c r="J1027" s="201"/>
      <c r="K1027" s="201"/>
      <c r="L1027" s="644"/>
      <c r="M1027" s="644"/>
      <c r="N1027" s="644"/>
      <c r="O1027" s="602"/>
      <c r="P1027" s="201"/>
    </row>
    <row r="1028" ht="22.5" customHeight="1">
      <c r="A1028" s="201"/>
      <c r="B1028" s="645"/>
      <c r="C1028" s="645"/>
      <c r="D1028" s="645"/>
      <c r="E1028" s="201"/>
      <c r="F1028" s="602"/>
      <c r="G1028" s="645"/>
      <c r="H1028" s="645"/>
      <c r="I1028" s="645"/>
      <c r="J1028" s="201"/>
      <c r="K1028" s="201"/>
      <c r="L1028" s="644"/>
      <c r="M1028" s="644"/>
      <c r="N1028" s="644"/>
      <c r="O1028" s="602"/>
      <c r="P1028" s="201"/>
    </row>
    <row r="1029" ht="22.5" customHeight="1">
      <c r="A1029" s="201"/>
      <c r="B1029" s="645"/>
      <c r="C1029" s="645"/>
      <c r="D1029" s="645"/>
      <c r="E1029" s="201"/>
      <c r="F1029" s="602"/>
      <c r="G1029" s="645"/>
      <c r="H1029" s="645"/>
      <c r="I1029" s="645"/>
      <c r="J1029" s="201"/>
      <c r="K1029" s="201"/>
      <c r="L1029" s="644"/>
      <c r="M1029" s="644"/>
      <c r="N1029" s="644"/>
      <c r="O1029" s="602"/>
      <c r="P1029" s="201"/>
    </row>
    <row r="1030" ht="22.5" customHeight="1">
      <c r="A1030" s="201"/>
      <c r="B1030" s="645"/>
      <c r="C1030" s="645"/>
      <c r="D1030" s="645"/>
      <c r="E1030" s="201"/>
      <c r="F1030" s="602"/>
      <c r="G1030" s="645"/>
      <c r="H1030" s="645"/>
      <c r="I1030" s="645"/>
      <c r="J1030" s="201"/>
      <c r="K1030" s="201"/>
      <c r="L1030" s="644"/>
      <c r="M1030" s="644"/>
      <c r="N1030" s="644"/>
      <c r="O1030" s="602"/>
      <c r="P1030" s="201"/>
    </row>
    <row r="1031" ht="22.5" customHeight="1">
      <c r="A1031" s="201"/>
      <c r="B1031" s="645"/>
      <c r="C1031" s="645"/>
      <c r="D1031" s="645"/>
      <c r="E1031" s="201"/>
      <c r="F1031" s="602"/>
      <c r="G1031" s="645"/>
      <c r="H1031" s="645"/>
      <c r="I1031" s="645"/>
      <c r="J1031" s="201"/>
      <c r="K1031" s="201"/>
      <c r="L1031" s="644"/>
      <c r="M1031" s="644"/>
      <c r="N1031" s="644"/>
      <c r="O1031" s="602"/>
      <c r="P1031" s="201"/>
    </row>
    <row r="1032" ht="22.5" customHeight="1">
      <c r="A1032" s="201"/>
      <c r="B1032" s="645"/>
      <c r="C1032" s="645"/>
      <c r="D1032" s="645"/>
      <c r="E1032" s="201"/>
      <c r="F1032" s="602"/>
      <c r="G1032" s="645"/>
      <c r="H1032" s="645"/>
      <c r="I1032" s="645"/>
      <c r="J1032" s="201"/>
      <c r="K1032" s="201"/>
      <c r="L1032" s="644"/>
      <c r="M1032" s="644"/>
      <c r="N1032" s="644"/>
      <c r="O1032" s="602"/>
      <c r="P1032" s="201"/>
    </row>
    <row r="1033" ht="22.5" customHeight="1">
      <c r="A1033" s="201"/>
      <c r="B1033" s="645"/>
      <c r="C1033" s="645"/>
      <c r="D1033" s="645"/>
      <c r="E1033" s="201"/>
      <c r="F1033" s="602"/>
      <c r="G1033" s="645"/>
      <c r="H1033" s="645"/>
      <c r="I1033" s="645"/>
      <c r="J1033" s="201"/>
      <c r="K1033" s="201"/>
      <c r="L1033" s="644"/>
      <c r="M1033" s="644"/>
      <c r="N1033" s="644"/>
      <c r="O1033" s="602"/>
      <c r="P1033" s="201"/>
    </row>
    <row r="1034" ht="22.5" customHeight="1">
      <c r="A1034" s="201"/>
      <c r="B1034" s="645"/>
      <c r="C1034" s="645"/>
      <c r="D1034" s="645"/>
      <c r="E1034" s="201"/>
      <c r="F1034" s="602"/>
      <c r="G1034" s="645"/>
      <c r="H1034" s="645"/>
      <c r="I1034" s="645"/>
      <c r="J1034" s="201"/>
      <c r="K1034" s="201"/>
      <c r="L1034" s="644"/>
      <c r="M1034" s="644"/>
      <c r="N1034" s="644"/>
      <c r="O1034" s="602"/>
      <c r="P1034" s="201"/>
    </row>
    <row r="1035" ht="22.5" customHeight="1">
      <c r="A1035" s="201"/>
      <c r="B1035" s="645"/>
      <c r="C1035" s="645"/>
      <c r="D1035" s="645"/>
      <c r="E1035" s="201"/>
      <c r="F1035" s="602"/>
      <c r="G1035" s="645"/>
      <c r="H1035" s="645"/>
      <c r="I1035" s="645"/>
      <c r="J1035" s="201"/>
      <c r="K1035" s="201"/>
      <c r="L1035" s="644"/>
      <c r="M1035" s="644"/>
      <c r="N1035" s="644"/>
      <c r="O1035" s="602"/>
      <c r="P1035" s="201"/>
    </row>
    <row r="1036" ht="22.5" customHeight="1">
      <c r="A1036" s="201"/>
      <c r="B1036" s="645"/>
      <c r="C1036" s="645"/>
      <c r="D1036" s="645"/>
      <c r="E1036" s="201"/>
      <c r="F1036" s="602"/>
      <c r="G1036" s="645"/>
      <c r="H1036" s="645"/>
      <c r="I1036" s="645"/>
      <c r="J1036" s="201"/>
      <c r="K1036" s="201"/>
      <c r="L1036" s="644"/>
      <c r="M1036" s="644"/>
      <c r="N1036" s="644"/>
      <c r="O1036" s="602"/>
      <c r="P1036" s="201"/>
    </row>
    <row r="1037" ht="22.5" customHeight="1">
      <c r="A1037" s="201"/>
      <c r="B1037" s="645"/>
      <c r="C1037" s="645"/>
      <c r="D1037" s="645"/>
      <c r="E1037" s="201"/>
      <c r="F1037" s="602"/>
      <c r="G1037" s="645"/>
      <c r="H1037" s="645"/>
      <c r="I1037" s="645"/>
      <c r="J1037" s="201"/>
      <c r="K1037" s="201"/>
      <c r="L1037" s="644"/>
      <c r="M1037" s="644"/>
      <c r="N1037" s="644"/>
      <c r="O1037" s="602"/>
      <c r="P1037" s="201"/>
    </row>
    <row r="1038" ht="22.5" customHeight="1">
      <c r="A1038" s="201"/>
      <c r="B1038" s="645"/>
      <c r="C1038" s="645"/>
      <c r="D1038" s="645"/>
      <c r="E1038" s="201"/>
      <c r="F1038" s="602"/>
      <c r="G1038" s="645"/>
      <c r="H1038" s="645"/>
      <c r="I1038" s="645"/>
      <c r="J1038" s="201"/>
      <c r="K1038" s="201"/>
      <c r="L1038" s="644"/>
      <c r="M1038" s="644"/>
      <c r="N1038" s="644"/>
      <c r="O1038" s="602"/>
      <c r="P1038" s="201"/>
    </row>
    <row r="1039" ht="22.5" customHeight="1">
      <c r="A1039" s="201"/>
      <c r="B1039" s="645"/>
      <c r="C1039" s="645"/>
      <c r="D1039" s="645"/>
      <c r="E1039" s="201"/>
      <c r="F1039" s="602"/>
      <c r="G1039" s="645"/>
      <c r="H1039" s="645"/>
      <c r="I1039" s="645"/>
      <c r="J1039" s="201"/>
      <c r="K1039" s="201"/>
      <c r="L1039" s="644"/>
      <c r="M1039" s="644"/>
      <c r="N1039" s="644"/>
      <c r="O1039" s="602"/>
      <c r="P1039" s="201"/>
    </row>
    <row r="1040" ht="22.5" customHeight="1">
      <c r="A1040" s="201"/>
      <c r="B1040" s="645"/>
      <c r="C1040" s="645"/>
      <c r="D1040" s="645"/>
      <c r="E1040" s="201"/>
      <c r="F1040" s="602"/>
      <c r="G1040" s="645"/>
      <c r="H1040" s="645"/>
      <c r="I1040" s="645"/>
      <c r="J1040" s="201"/>
      <c r="K1040" s="201"/>
      <c r="L1040" s="644"/>
      <c r="M1040" s="644"/>
      <c r="N1040" s="644"/>
      <c r="O1040" s="602"/>
      <c r="P1040" s="201"/>
    </row>
    <row r="1041" ht="22.5" customHeight="1">
      <c r="A1041" s="201"/>
      <c r="B1041" s="645"/>
      <c r="C1041" s="645"/>
      <c r="D1041" s="645"/>
      <c r="E1041" s="201"/>
      <c r="F1041" s="602"/>
      <c r="G1041" s="645"/>
      <c r="H1041" s="645"/>
      <c r="I1041" s="645"/>
      <c r="J1041" s="201"/>
      <c r="K1041" s="201"/>
      <c r="L1041" s="644"/>
      <c r="M1041" s="644"/>
      <c r="N1041" s="644"/>
      <c r="O1041" s="602"/>
      <c r="P1041" s="201"/>
    </row>
    <row r="1042" ht="22.5" customHeight="1">
      <c r="A1042" s="201"/>
      <c r="B1042" s="645"/>
      <c r="C1042" s="645"/>
      <c r="D1042" s="645"/>
      <c r="E1042" s="201"/>
      <c r="F1042" s="602"/>
      <c r="G1042" s="645"/>
      <c r="H1042" s="645"/>
      <c r="I1042" s="645"/>
      <c r="J1042" s="201"/>
      <c r="K1042" s="201"/>
      <c r="L1042" s="644"/>
      <c r="M1042" s="644"/>
      <c r="N1042" s="644"/>
      <c r="O1042" s="602"/>
      <c r="P1042" s="201"/>
    </row>
    <row r="1043" ht="22.5" customHeight="1">
      <c r="A1043" s="201"/>
      <c r="B1043" s="645"/>
      <c r="C1043" s="645"/>
      <c r="D1043" s="645"/>
      <c r="E1043" s="201"/>
      <c r="F1043" s="602"/>
      <c r="G1043" s="645"/>
      <c r="H1043" s="645"/>
      <c r="I1043" s="645"/>
      <c r="J1043" s="201"/>
      <c r="K1043" s="201"/>
      <c r="L1043" s="644"/>
      <c r="M1043" s="644"/>
      <c r="N1043" s="644"/>
      <c r="O1043" s="602"/>
      <c r="P1043" s="201"/>
    </row>
    <row r="1044" ht="22.5" customHeight="1">
      <c r="A1044" s="201"/>
      <c r="B1044" s="645"/>
      <c r="C1044" s="645"/>
      <c r="D1044" s="645"/>
      <c r="E1044" s="201"/>
      <c r="F1044" s="602"/>
      <c r="G1044" s="645"/>
      <c r="H1044" s="645"/>
      <c r="I1044" s="645"/>
      <c r="J1044" s="201"/>
      <c r="K1044" s="201"/>
      <c r="L1044" s="644"/>
      <c r="M1044" s="644"/>
      <c r="N1044" s="644"/>
      <c r="O1044" s="602"/>
      <c r="P1044" s="201"/>
    </row>
    <row r="1045" ht="22.5" customHeight="1">
      <c r="A1045" s="201"/>
      <c r="B1045" s="645"/>
      <c r="C1045" s="645"/>
      <c r="D1045" s="645"/>
      <c r="E1045" s="201"/>
      <c r="F1045" s="602"/>
      <c r="G1045" s="645"/>
      <c r="H1045" s="645"/>
      <c r="I1045" s="645"/>
      <c r="J1045" s="201"/>
      <c r="K1045" s="201"/>
      <c r="L1045" s="644"/>
      <c r="M1045" s="644"/>
      <c r="N1045" s="644"/>
      <c r="O1045" s="602"/>
      <c r="P1045" s="201"/>
    </row>
    <row r="1046" ht="22.5" customHeight="1">
      <c r="A1046" s="201"/>
      <c r="B1046" s="645"/>
      <c r="C1046" s="645"/>
      <c r="D1046" s="645"/>
      <c r="E1046" s="201"/>
      <c r="F1046" s="602"/>
      <c r="G1046" s="645"/>
      <c r="H1046" s="645"/>
      <c r="I1046" s="645"/>
      <c r="J1046" s="201"/>
      <c r="K1046" s="201"/>
      <c r="L1046" s="644"/>
      <c r="M1046" s="644"/>
      <c r="N1046" s="644"/>
      <c r="O1046" s="602"/>
      <c r="P1046" s="201"/>
    </row>
    <row r="1047" ht="22.5" customHeight="1">
      <c r="A1047" s="201"/>
      <c r="B1047" s="645"/>
      <c r="C1047" s="645"/>
      <c r="D1047" s="645"/>
      <c r="E1047" s="201"/>
      <c r="F1047" s="602"/>
      <c r="G1047" s="645"/>
      <c r="H1047" s="645"/>
      <c r="I1047" s="645"/>
      <c r="J1047" s="201"/>
      <c r="K1047" s="201"/>
      <c r="L1047" s="644"/>
      <c r="M1047" s="644"/>
      <c r="N1047" s="644"/>
      <c r="O1047" s="602"/>
      <c r="P1047" s="201"/>
    </row>
    <row r="1048" ht="22.5" customHeight="1">
      <c r="A1048" s="201"/>
      <c r="B1048" s="645"/>
      <c r="C1048" s="645"/>
      <c r="D1048" s="645"/>
      <c r="E1048" s="201"/>
      <c r="F1048" s="602"/>
      <c r="G1048" s="645"/>
      <c r="H1048" s="645"/>
      <c r="I1048" s="645"/>
      <c r="J1048" s="201"/>
      <c r="K1048" s="201"/>
      <c r="L1048" s="644"/>
      <c r="M1048" s="644"/>
      <c r="N1048" s="644"/>
      <c r="O1048" s="602"/>
      <c r="P1048" s="201"/>
    </row>
    <row r="1049" ht="22.5" customHeight="1">
      <c r="A1049" s="201"/>
      <c r="B1049" s="645"/>
      <c r="C1049" s="645"/>
      <c r="D1049" s="645"/>
      <c r="E1049" s="201"/>
      <c r="F1049" s="602"/>
      <c r="G1049" s="645"/>
      <c r="H1049" s="645"/>
      <c r="I1049" s="645"/>
      <c r="J1049" s="201"/>
      <c r="K1049" s="201"/>
      <c r="L1049" s="644"/>
      <c r="M1049" s="644"/>
      <c r="N1049" s="644"/>
      <c r="O1049" s="602"/>
      <c r="P1049" s="201"/>
    </row>
    <row r="1050" ht="22.5" customHeight="1">
      <c r="A1050" s="201"/>
      <c r="B1050" s="645"/>
      <c r="C1050" s="645"/>
      <c r="D1050" s="645"/>
      <c r="E1050" s="201"/>
      <c r="F1050" s="602"/>
      <c r="G1050" s="645"/>
      <c r="H1050" s="645"/>
      <c r="I1050" s="645"/>
      <c r="J1050" s="201"/>
      <c r="K1050" s="201"/>
      <c r="L1050" s="644"/>
      <c r="M1050" s="644"/>
      <c r="N1050" s="644"/>
      <c r="O1050" s="602"/>
      <c r="P1050" s="201"/>
    </row>
    <row r="1051" ht="22.5" customHeight="1">
      <c r="A1051" s="201"/>
      <c r="B1051" s="645"/>
      <c r="C1051" s="645"/>
      <c r="D1051" s="645"/>
      <c r="E1051" s="201"/>
      <c r="F1051" s="602"/>
      <c r="G1051" s="645"/>
      <c r="H1051" s="645"/>
      <c r="I1051" s="645"/>
      <c r="J1051" s="201"/>
      <c r="K1051" s="201"/>
      <c r="L1051" s="644"/>
      <c r="M1051" s="644"/>
      <c r="N1051" s="644"/>
      <c r="O1051" s="602"/>
      <c r="P1051" s="201"/>
    </row>
    <row r="1052" ht="22.5" customHeight="1">
      <c r="A1052" s="201"/>
      <c r="B1052" s="645"/>
      <c r="C1052" s="645"/>
      <c r="D1052" s="645"/>
      <c r="E1052" s="201"/>
      <c r="F1052" s="602"/>
      <c r="G1052" s="645"/>
      <c r="H1052" s="645"/>
      <c r="I1052" s="645"/>
      <c r="J1052" s="201"/>
      <c r="K1052" s="201"/>
      <c r="L1052" s="644"/>
      <c r="M1052" s="644"/>
      <c r="N1052" s="644"/>
      <c r="O1052" s="602"/>
      <c r="P1052" s="201"/>
    </row>
    <row r="1053" ht="22.5" customHeight="1">
      <c r="A1053" s="201"/>
      <c r="B1053" s="645"/>
      <c r="C1053" s="645"/>
      <c r="D1053" s="645"/>
      <c r="E1053" s="201"/>
      <c r="F1053" s="602"/>
      <c r="G1053" s="645"/>
      <c r="H1053" s="645"/>
      <c r="I1053" s="645"/>
      <c r="J1053" s="201"/>
      <c r="K1053" s="201"/>
      <c r="L1053" s="644"/>
      <c r="M1053" s="644"/>
      <c r="N1053" s="644"/>
      <c r="O1053" s="602"/>
      <c r="P1053" s="201"/>
    </row>
    <row r="1054" ht="22.5" customHeight="1">
      <c r="A1054" s="201"/>
      <c r="B1054" s="645"/>
      <c r="C1054" s="645"/>
      <c r="D1054" s="645"/>
      <c r="E1054" s="201"/>
      <c r="F1054" s="602"/>
      <c r="G1054" s="645"/>
      <c r="H1054" s="645"/>
      <c r="I1054" s="645"/>
      <c r="J1054" s="201"/>
      <c r="K1054" s="201"/>
      <c r="L1054" s="644"/>
      <c r="M1054" s="644"/>
      <c r="N1054" s="644"/>
      <c r="O1054" s="602"/>
      <c r="P1054" s="201"/>
    </row>
    <row r="1055" ht="22.5" customHeight="1">
      <c r="A1055" s="201"/>
      <c r="B1055" s="645"/>
      <c r="C1055" s="645"/>
      <c r="D1055" s="645"/>
      <c r="E1055" s="201"/>
      <c r="F1055" s="602"/>
      <c r="G1055" s="645"/>
      <c r="H1055" s="645"/>
      <c r="I1055" s="645"/>
      <c r="J1055" s="201"/>
      <c r="K1055" s="201"/>
      <c r="L1055" s="644"/>
      <c r="M1055" s="644"/>
      <c r="N1055" s="644"/>
      <c r="O1055" s="602"/>
      <c r="P1055" s="201"/>
    </row>
    <row r="1056" ht="22.5" customHeight="1">
      <c r="A1056" s="201"/>
      <c r="B1056" s="645"/>
      <c r="C1056" s="645"/>
      <c r="D1056" s="645"/>
      <c r="E1056" s="201"/>
      <c r="F1056" s="602"/>
      <c r="G1056" s="645"/>
      <c r="H1056" s="645"/>
      <c r="I1056" s="645"/>
      <c r="J1056" s="201"/>
      <c r="K1056" s="201"/>
      <c r="L1056" s="644"/>
      <c r="M1056" s="644"/>
      <c r="N1056" s="644"/>
      <c r="O1056" s="602"/>
      <c r="P1056" s="201"/>
    </row>
    <row r="1057" ht="22.5" customHeight="1">
      <c r="A1057" s="201"/>
      <c r="B1057" s="645"/>
      <c r="C1057" s="645"/>
      <c r="D1057" s="645"/>
      <c r="E1057" s="201"/>
      <c r="F1057" s="602"/>
      <c r="G1057" s="645"/>
      <c r="H1057" s="645"/>
      <c r="I1057" s="645"/>
      <c r="J1057" s="201"/>
      <c r="K1057" s="201"/>
      <c r="L1057" s="644"/>
      <c r="M1057" s="644"/>
      <c r="N1057" s="644"/>
      <c r="O1057" s="602"/>
      <c r="P1057" s="201"/>
    </row>
    <row r="1058" ht="22.5" customHeight="1">
      <c r="A1058" s="201"/>
      <c r="B1058" s="645"/>
      <c r="C1058" s="645"/>
      <c r="D1058" s="645"/>
      <c r="E1058" s="201"/>
      <c r="F1058" s="602"/>
      <c r="G1058" s="645"/>
      <c r="H1058" s="645"/>
      <c r="I1058" s="645"/>
      <c r="J1058" s="201"/>
      <c r="K1058" s="201"/>
      <c r="L1058" s="644"/>
      <c r="M1058" s="644"/>
      <c r="N1058" s="644"/>
      <c r="O1058" s="602"/>
      <c r="P1058" s="201"/>
    </row>
    <row r="1059" ht="22.5" customHeight="1">
      <c r="A1059" s="201"/>
      <c r="B1059" s="645"/>
      <c r="C1059" s="645"/>
      <c r="D1059" s="645"/>
      <c r="E1059" s="201"/>
      <c r="F1059" s="602"/>
      <c r="G1059" s="645"/>
      <c r="H1059" s="645"/>
      <c r="I1059" s="645"/>
      <c r="J1059" s="201"/>
      <c r="K1059" s="201"/>
      <c r="L1059" s="644"/>
      <c r="M1059" s="644"/>
      <c r="N1059" s="644"/>
      <c r="O1059" s="602"/>
      <c r="P1059" s="201"/>
    </row>
    <row r="1060" ht="22.5" customHeight="1">
      <c r="A1060" s="201"/>
      <c r="B1060" s="645"/>
      <c r="C1060" s="645"/>
      <c r="D1060" s="645"/>
      <c r="E1060" s="201"/>
      <c r="F1060" s="602"/>
      <c r="G1060" s="645"/>
      <c r="H1060" s="645"/>
      <c r="I1060" s="645"/>
      <c r="J1060" s="201"/>
      <c r="K1060" s="201"/>
      <c r="L1060" s="644"/>
      <c r="M1060" s="644"/>
      <c r="N1060" s="644"/>
      <c r="O1060" s="602"/>
      <c r="P1060" s="201"/>
    </row>
    <row r="1061" ht="22.5" customHeight="1">
      <c r="A1061" s="201"/>
      <c r="B1061" s="645"/>
      <c r="C1061" s="645"/>
      <c r="D1061" s="645"/>
      <c r="E1061" s="201"/>
      <c r="F1061" s="602"/>
      <c r="G1061" s="645"/>
      <c r="H1061" s="645"/>
      <c r="I1061" s="645"/>
      <c r="J1061" s="201"/>
      <c r="K1061" s="201"/>
      <c r="L1061" s="644"/>
      <c r="M1061" s="644"/>
      <c r="N1061" s="644"/>
      <c r="O1061" s="602"/>
      <c r="P1061" s="201"/>
    </row>
    <row r="1062" ht="22.5" customHeight="1">
      <c r="A1062" s="201"/>
      <c r="B1062" s="645"/>
      <c r="C1062" s="645"/>
      <c r="D1062" s="645"/>
      <c r="E1062" s="201"/>
      <c r="F1062" s="602"/>
      <c r="G1062" s="645"/>
      <c r="H1062" s="645"/>
      <c r="I1062" s="645"/>
      <c r="J1062" s="201"/>
      <c r="K1062" s="201"/>
      <c r="L1062" s="644"/>
      <c r="M1062" s="644"/>
      <c r="N1062" s="644"/>
      <c r="O1062" s="602"/>
      <c r="P1062" s="201"/>
    </row>
    <row r="1063" ht="22.5" customHeight="1">
      <c r="A1063" s="201"/>
      <c r="B1063" s="645"/>
      <c r="C1063" s="645"/>
      <c r="D1063" s="645"/>
      <c r="E1063" s="201"/>
      <c r="F1063" s="602"/>
      <c r="G1063" s="645"/>
      <c r="H1063" s="645"/>
      <c r="I1063" s="645"/>
      <c r="J1063" s="201"/>
      <c r="K1063" s="201"/>
      <c r="L1063" s="644"/>
      <c r="M1063" s="644"/>
      <c r="N1063" s="644"/>
      <c r="O1063" s="602"/>
      <c r="P1063" s="201"/>
    </row>
    <row r="1064" ht="22.5" customHeight="1">
      <c r="A1064" s="201"/>
      <c r="B1064" s="645"/>
      <c r="C1064" s="645"/>
      <c r="D1064" s="645"/>
      <c r="E1064" s="201"/>
      <c r="F1064" s="602"/>
      <c r="G1064" s="645"/>
      <c r="H1064" s="645"/>
      <c r="I1064" s="645"/>
      <c r="J1064" s="201"/>
      <c r="K1064" s="201"/>
      <c r="L1064" s="644"/>
      <c r="M1064" s="644"/>
      <c r="N1064" s="644"/>
      <c r="O1064" s="602"/>
      <c r="P1064" s="201"/>
    </row>
    <row r="1065" ht="22.5" customHeight="1">
      <c r="A1065" s="201"/>
      <c r="B1065" s="645"/>
      <c r="C1065" s="645"/>
      <c r="D1065" s="645"/>
      <c r="E1065" s="201"/>
      <c r="F1065" s="602"/>
      <c r="G1065" s="645"/>
      <c r="H1065" s="645"/>
      <c r="I1065" s="645"/>
      <c r="J1065" s="201"/>
      <c r="K1065" s="201"/>
      <c r="L1065" s="644"/>
      <c r="M1065" s="644"/>
      <c r="N1065" s="644"/>
      <c r="O1065" s="602"/>
      <c r="P1065" s="201"/>
    </row>
    <row r="1066" ht="22.5" customHeight="1">
      <c r="A1066" s="201"/>
      <c r="B1066" s="645"/>
      <c r="C1066" s="645"/>
      <c r="D1066" s="645"/>
      <c r="E1066" s="201"/>
      <c r="F1066" s="602"/>
      <c r="G1066" s="645"/>
      <c r="H1066" s="645"/>
      <c r="I1066" s="645"/>
      <c r="J1066" s="201"/>
      <c r="K1066" s="201"/>
      <c r="L1066" s="644"/>
      <c r="M1066" s="644"/>
      <c r="N1066" s="644"/>
      <c r="O1066" s="602"/>
      <c r="P1066" s="201"/>
    </row>
    <row r="1067" ht="22.5" customHeight="1">
      <c r="A1067" s="201"/>
      <c r="B1067" s="645"/>
      <c r="C1067" s="645"/>
      <c r="D1067" s="645"/>
      <c r="E1067" s="201"/>
      <c r="F1067" s="602"/>
      <c r="G1067" s="645"/>
      <c r="H1067" s="645"/>
      <c r="I1067" s="645"/>
      <c r="J1067" s="201"/>
      <c r="K1067" s="201"/>
      <c r="L1067" s="644"/>
      <c r="M1067" s="644"/>
      <c r="N1067" s="644"/>
      <c r="O1067" s="602"/>
      <c r="P1067" s="201"/>
    </row>
    <row r="1068" ht="22.5" customHeight="1">
      <c r="A1068" s="201"/>
      <c r="B1068" s="645"/>
      <c r="C1068" s="645"/>
      <c r="D1068" s="645"/>
      <c r="E1068" s="201"/>
      <c r="F1068" s="602"/>
      <c r="G1068" s="645"/>
      <c r="H1068" s="645"/>
      <c r="I1068" s="645"/>
      <c r="J1068" s="201"/>
      <c r="K1068" s="201"/>
      <c r="L1068" s="644"/>
      <c r="M1068" s="644"/>
      <c r="N1068" s="644"/>
      <c r="O1068" s="602"/>
      <c r="P1068" s="201"/>
    </row>
    <row r="1069" ht="22.5" customHeight="1">
      <c r="A1069" s="201"/>
      <c r="B1069" s="645"/>
      <c r="C1069" s="645"/>
      <c r="D1069" s="645"/>
      <c r="E1069" s="201"/>
      <c r="F1069" s="602"/>
      <c r="G1069" s="645"/>
      <c r="H1069" s="645"/>
      <c r="I1069" s="645"/>
      <c r="J1069" s="201"/>
      <c r="K1069" s="201"/>
      <c r="L1069" s="644"/>
      <c r="M1069" s="644"/>
      <c r="N1069" s="644"/>
      <c r="O1069" s="602"/>
      <c r="P1069" s="201"/>
    </row>
    <row r="1070" ht="22.5" customHeight="1">
      <c r="A1070" s="201"/>
      <c r="B1070" s="645"/>
      <c r="C1070" s="645"/>
      <c r="D1070" s="645"/>
      <c r="E1070" s="201"/>
      <c r="F1070" s="602"/>
      <c r="G1070" s="645"/>
      <c r="H1070" s="645"/>
      <c r="I1070" s="645"/>
      <c r="J1070" s="201"/>
      <c r="K1070" s="201"/>
      <c r="L1070" s="644"/>
      <c r="M1070" s="644"/>
      <c r="N1070" s="644"/>
      <c r="O1070" s="602"/>
      <c r="P1070" s="201"/>
    </row>
    <row r="1071" ht="22.5" customHeight="1">
      <c r="A1071" s="201"/>
      <c r="B1071" s="645"/>
      <c r="C1071" s="645"/>
      <c r="D1071" s="645"/>
      <c r="E1071" s="201"/>
      <c r="F1071" s="602"/>
      <c r="G1071" s="645"/>
      <c r="H1071" s="645"/>
      <c r="I1071" s="645"/>
      <c r="J1071" s="201"/>
      <c r="K1071" s="201"/>
      <c r="L1071" s="644"/>
      <c r="M1071" s="644"/>
      <c r="N1071" s="644"/>
      <c r="O1071" s="602"/>
      <c r="P1071" s="201"/>
    </row>
    <row r="1072" ht="22.5" customHeight="1">
      <c r="A1072" s="201"/>
      <c r="B1072" s="645"/>
      <c r="C1072" s="645"/>
      <c r="D1072" s="645"/>
      <c r="E1072" s="201"/>
      <c r="F1072" s="602"/>
      <c r="G1072" s="645"/>
      <c r="H1072" s="645"/>
      <c r="I1072" s="645"/>
      <c r="J1072" s="201"/>
      <c r="K1072" s="201"/>
      <c r="L1072" s="644"/>
      <c r="M1072" s="644"/>
      <c r="N1072" s="644"/>
      <c r="O1072" s="602"/>
      <c r="P1072" s="201"/>
    </row>
    <row r="1073" ht="22.5" customHeight="1">
      <c r="A1073" s="201"/>
      <c r="B1073" s="645"/>
      <c r="C1073" s="645"/>
      <c r="D1073" s="645"/>
      <c r="E1073" s="201"/>
      <c r="F1073" s="602"/>
      <c r="G1073" s="645"/>
      <c r="H1073" s="645"/>
      <c r="I1073" s="645"/>
      <c r="J1073" s="201"/>
      <c r="K1073" s="201"/>
      <c r="L1073" s="644"/>
      <c r="M1073" s="644"/>
      <c r="N1073" s="644"/>
      <c r="O1073" s="602"/>
      <c r="P1073" s="201"/>
    </row>
    <row r="1074" ht="22.5" customHeight="1">
      <c r="A1074" s="201"/>
      <c r="B1074" s="645"/>
      <c r="C1074" s="645"/>
      <c r="D1074" s="645"/>
      <c r="E1074" s="201"/>
      <c r="F1074" s="602"/>
      <c r="G1074" s="645"/>
      <c r="H1074" s="645"/>
      <c r="I1074" s="645"/>
      <c r="J1074" s="201"/>
      <c r="K1074" s="201"/>
      <c r="L1074" s="644"/>
      <c r="M1074" s="644"/>
      <c r="N1074" s="644"/>
      <c r="O1074" s="602"/>
      <c r="P1074" s="201"/>
    </row>
    <row r="1075" ht="22.5" customHeight="1">
      <c r="A1075" s="201"/>
      <c r="B1075" s="645"/>
      <c r="C1075" s="645"/>
      <c r="D1075" s="645"/>
      <c r="E1075" s="201"/>
      <c r="F1075" s="602"/>
      <c r="G1075" s="645"/>
      <c r="H1075" s="645"/>
      <c r="I1075" s="645"/>
      <c r="J1075" s="201"/>
      <c r="K1075" s="201"/>
      <c r="L1075" s="644"/>
      <c r="M1075" s="644"/>
      <c r="N1075" s="644"/>
      <c r="O1075" s="602"/>
      <c r="P1075" s="201"/>
    </row>
    <row r="1076" ht="22.5" customHeight="1">
      <c r="A1076" s="201"/>
      <c r="B1076" s="645"/>
      <c r="C1076" s="645"/>
      <c r="D1076" s="645"/>
      <c r="E1076" s="201"/>
      <c r="F1076" s="602"/>
      <c r="G1076" s="645"/>
      <c r="H1076" s="645"/>
      <c r="I1076" s="645"/>
      <c r="J1076" s="201"/>
      <c r="K1076" s="201"/>
      <c r="L1076" s="644"/>
      <c r="M1076" s="644"/>
      <c r="N1076" s="644"/>
      <c r="O1076" s="602"/>
      <c r="P1076" s="201"/>
    </row>
    <row r="1077" ht="22.5" customHeight="1">
      <c r="A1077" s="201"/>
      <c r="B1077" s="645"/>
      <c r="C1077" s="645"/>
      <c r="D1077" s="645"/>
      <c r="E1077" s="201"/>
      <c r="F1077" s="602"/>
      <c r="G1077" s="645"/>
      <c r="H1077" s="645"/>
      <c r="I1077" s="645"/>
      <c r="J1077" s="201"/>
      <c r="K1077" s="201"/>
      <c r="L1077" s="644"/>
      <c r="M1077" s="644"/>
      <c r="N1077" s="644"/>
      <c r="O1077" s="602"/>
      <c r="P1077" s="201"/>
    </row>
    <row r="1078" ht="22.5" customHeight="1">
      <c r="A1078" s="201"/>
      <c r="B1078" s="645"/>
      <c r="C1078" s="645"/>
      <c r="D1078" s="645"/>
      <c r="E1078" s="201"/>
      <c r="F1078" s="602"/>
      <c r="G1078" s="645"/>
      <c r="H1078" s="645"/>
      <c r="I1078" s="645"/>
      <c r="J1078" s="201"/>
      <c r="K1078" s="201"/>
      <c r="L1078" s="644"/>
      <c r="M1078" s="644"/>
      <c r="N1078" s="644"/>
      <c r="O1078" s="602"/>
      <c r="P1078" s="201"/>
    </row>
    <row r="1079" ht="22.5" customHeight="1">
      <c r="A1079" s="201"/>
      <c r="B1079" s="645"/>
      <c r="C1079" s="645"/>
      <c r="D1079" s="645"/>
      <c r="E1079" s="201"/>
      <c r="F1079" s="602"/>
      <c r="G1079" s="645"/>
      <c r="H1079" s="645"/>
      <c r="I1079" s="645"/>
      <c r="J1079" s="201"/>
      <c r="K1079" s="201"/>
      <c r="L1079" s="644"/>
      <c r="M1079" s="644"/>
      <c r="N1079" s="644"/>
      <c r="O1079" s="602"/>
      <c r="P1079" s="201"/>
    </row>
    <row r="1080" ht="22.5" customHeight="1">
      <c r="A1080" s="201"/>
      <c r="B1080" s="645"/>
      <c r="C1080" s="645"/>
      <c r="D1080" s="645"/>
      <c r="E1080" s="201"/>
      <c r="F1080" s="602"/>
      <c r="G1080" s="645"/>
      <c r="H1080" s="645"/>
      <c r="I1080" s="645"/>
      <c r="J1080" s="201"/>
      <c r="K1080" s="201"/>
      <c r="L1080" s="644"/>
      <c r="M1080" s="644"/>
      <c r="N1080" s="644"/>
      <c r="O1080" s="602"/>
      <c r="P1080" s="201"/>
    </row>
    <row r="1081" ht="22.5" customHeight="1">
      <c r="A1081" s="201"/>
      <c r="B1081" s="645"/>
      <c r="C1081" s="645"/>
      <c r="D1081" s="645"/>
      <c r="E1081" s="201"/>
      <c r="F1081" s="602"/>
      <c r="G1081" s="645"/>
      <c r="H1081" s="645"/>
      <c r="I1081" s="645"/>
      <c r="J1081" s="201"/>
      <c r="K1081" s="201"/>
      <c r="L1081" s="644"/>
      <c r="M1081" s="644"/>
      <c r="N1081" s="644"/>
      <c r="O1081" s="602"/>
      <c r="P1081" s="201"/>
    </row>
    <row r="1082" ht="22.5" customHeight="1">
      <c r="A1082" s="201"/>
      <c r="B1082" s="645"/>
      <c r="C1082" s="645"/>
      <c r="D1082" s="645"/>
      <c r="E1082" s="201"/>
      <c r="F1082" s="602"/>
      <c r="G1082" s="645"/>
      <c r="H1082" s="645"/>
      <c r="I1082" s="645"/>
      <c r="J1082" s="201"/>
      <c r="K1082" s="201"/>
      <c r="L1082" s="644"/>
      <c r="M1082" s="644"/>
      <c r="N1082" s="644"/>
      <c r="O1082" s="602"/>
      <c r="P1082" s="201"/>
    </row>
    <row r="1083" ht="22.5" customHeight="1">
      <c r="A1083" s="201"/>
      <c r="B1083" s="645"/>
      <c r="C1083" s="645"/>
      <c r="D1083" s="645"/>
      <c r="E1083" s="201"/>
      <c r="F1083" s="602"/>
      <c r="G1083" s="645"/>
      <c r="H1083" s="645"/>
      <c r="I1083" s="645"/>
      <c r="J1083" s="201"/>
      <c r="K1083" s="201"/>
      <c r="L1083" s="644"/>
      <c r="M1083" s="644"/>
      <c r="N1083" s="644"/>
      <c r="O1083" s="602"/>
      <c r="P1083" s="201"/>
    </row>
    <row r="1084" ht="22.5" customHeight="1">
      <c r="A1084" s="201"/>
      <c r="B1084" s="645"/>
      <c r="C1084" s="645"/>
      <c r="D1084" s="645"/>
      <c r="E1084" s="201"/>
      <c r="F1084" s="602"/>
      <c r="G1084" s="645"/>
      <c r="H1084" s="645"/>
      <c r="I1084" s="645"/>
      <c r="J1084" s="201"/>
      <c r="K1084" s="201"/>
      <c r="L1084" s="644"/>
      <c r="M1084" s="644"/>
      <c r="N1084" s="644"/>
      <c r="O1084" s="602"/>
      <c r="P1084" s="201"/>
    </row>
    <row r="1085" ht="22.5" customHeight="1">
      <c r="A1085" s="201"/>
      <c r="B1085" s="645"/>
      <c r="C1085" s="645"/>
      <c r="D1085" s="645"/>
      <c r="E1085" s="201"/>
      <c r="F1085" s="602"/>
      <c r="G1085" s="645"/>
      <c r="H1085" s="645"/>
      <c r="I1085" s="645"/>
      <c r="J1085" s="201"/>
      <c r="K1085" s="201"/>
      <c r="L1085" s="644"/>
      <c r="M1085" s="644"/>
      <c r="N1085" s="644"/>
      <c r="O1085" s="602"/>
      <c r="P1085" s="201"/>
    </row>
    <row r="1086" ht="22.5" customHeight="1">
      <c r="A1086" s="201"/>
      <c r="B1086" s="645"/>
      <c r="C1086" s="645"/>
      <c r="D1086" s="645"/>
      <c r="E1086" s="201"/>
      <c r="F1086" s="602"/>
      <c r="G1086" s="645"/>
      <c r="H1086" s="645"/>
      <c r="I1086" s="645"/>
      <c r="J1086" s="201"/>
      <c r="K1086" s="201"/>
      <c r="L1086" s="644"/>
      <c r="M1086" s="644"/>
      <c r="N1086" s="644"/>
      <c r="O1086" s="602"/>
      <c r="P1086" s="201"/>
    </row>
    <row r="1087" ht="22.5" customHeight="1">
      <c r="A1087" s="201"/>
      <c r="B1087" s="645"/>
      <c r="C1087" s="645"/>
      <c r="D1087" s="645"/>
      <c r="E1087" s="201"/>
      <c r="F1087" s="602"/>
      <c r="G1087" s="645"/>
      <c r="H1087" s="645"/>
      <c r="I1087" s="645"/>
      <c r="J1087" s="201"/>
      <c r="K1087" s="201"/>
      <c r="L1087" s="644"/>
      <c r="M1087" s="644"/>
      <c r="N1087" s="644"/>
      <c r="O1087" s="602"/>
      <c r="P1087" s="201"/>
    </row>
    <row r="1088" ht="22.5" customHeight="1">
      <c r="A1088" s="201"/>
      <c r="B1088" s="645"/>
      <c r="C1088" s="645"/>
      <c r="D1088" s="645"/>
      <c r="E1088" s="201"/>
      <c r="F1088" s="602"/>
      <c r="G1088" s="645"/>
      <c r="H1088" s="645"/>
      <c r="I1088" s="645"/>
      <c r="J1088" s="201"/>
      <c r="K1088" s="201"/>
      <c r="L1088" s="644"/>
      <c r="M1088" s="644"/>
      <c r="N1088" s="644"/>
      <c r="O1088" s="602"/>
      <c r="P1088" s="201"/>
    </row>
    <row r="1089" ht="22.5" customHeight="1">
      <c r="A1089" s="201"/>
      <c r="B1089" s="645"/>
      <c r="C1089" s="645"/>
      <c r="D1089" s="645"/>
      <c r="E1089" s="201"/>
      <c r="F1089" s="602"/>
      <c r="G1089" s="645"/>
      <c r="H1089" s="645"/>
      <c r="I1089" s="645"/>
      <c r="J1089" s="201"/>
      <c r="K1089" s="201"/>
      <c r="L1089" s="644"/>
      <c r="M1089" s="644"/>
      <c r="N1089" s="644"/>
      <c r="O1089" s="602"/>
      <c r="P1089" s="201"/>
    </row>
    <row r="1090" ht="22.5" customHeight="1">
      <c r="A1090" s="201"/>
      <c r="B1090" s="645"/>
      <c r="C1090" s="645"/>
      <c r="D1090" s="645"/>
      <c r="E1090" s="201"/>
      <c r="F1090" s="602"/>
      <c r="G1090" s="645"/>
      <c r="H1090" s="645"/>
      <c r="I1090" s="645"/>
      <c r="J1090" s="201"/>
      <c r="K1090" s="201"/>
      <c r="L1090" s="644"/>
      <c r="M1090" s="644"/>
      <c r="N1090" s="644"/>
      <c r="O1090" s="602"/>
      <c r="P1090" s="201"/>
    </row>
    <row r="1091" ht="22.5" customHeight="1">
      <c r="A1091" s="201"/>
      <c r="B1091" s="645"/>
      <c r="C1091" s="645"/>
      <c r="D1091" s="645"/>
      <c r="E1091" s="201"/>
      <c r="F1091" s="602"/>
      <c r="G1091" s="645"/>
      <c r="H1091" s="645"/>
      <c r="I1091" s="645"/>
      <c r="J1091" s="201"/>
      <c r="K1091" s="201"/>
      <c r="L1091" s="644"/>
      <c r="M1091" s="644"/>
      <c r="N1091" s="644"/>
      <c r="O1091" s="602"/>
      <c r="P1091" s="201"/>
    </row>
  </sheetData>
  <mergeCells count="45">
    <mergeCell ref="C95:D95"/>
    <mergeCell ref="H95:I95"/>
    <mergeCell ref="L85:N85"/>
    <mergeCell ref="L88:N88"/>
    <mergeCell ref="L91:N91"/>
    <mergeCell ref="B93:D93"/>
    <mergeCell ref="G93:I93"/>
    <mergeCell ref="L93:N93"/>
    <mergeCell ref="L94:N95"/>
    <mergeCell ref="A1:P1"/>
    <mergeCell ref="B2:D2"/>
    <mergeCell ref="G2:I2"/>
    <mergeCell ref="L2:N2"/>
    <mergeCell ref="H14:I14"/>
    <mergeCell ref="B15:D15"/>
    <mergeCell ref="L15:N15"/>
    <mergeCell ref="G41:I41"/>
    <mergeCell ref="L41:N41"/>
    <mergeCell ref="G15:I15"/>
    <mergeCell ref="F27:G27"/>
    <mergeCell ref="M27:N27"/>
    <mergeCell ref="B28:D28"/>
    <mergeCell ref="G28:I28"/>
    <mergeCell ref="L28:N28"/>
    <mergeCell ref="B41:D41"/>
    <mergeCell ref="H69:I69"/>
    <mergeCell ref="M69:N69"/>
    <mergeCell ref="B54:D54"/>
    <mergeCell ref="G54:I54"/>
    <mergeCell ref="L54:N54"/>
    <mergeCell ref="B67:D67"/>
    <mergeCell ref="G67:I67"/>
    <mergeCell ref="L67:N67"/>
    <mergeCell ref="C69:D69"/>
    <mergeCell ref="B80:D80"/>
    <mergeCell ref="G80:I80"/>
    <mergeCell ref="L80:N80"/>
    <mergeCell ref="L81:N82"/>
    <mergeCell ref="C82:D82"/>
    <mergeCell ref="H82:I82"/>
    <mergeCell ref="L84:N84"/>
    <mergeCell ref="L97:N97"/>
    <mergeCell ref="L98:N98"/>
    <mergeCell ref="L101:N101"/>
    <mergeCell ref="L104:N10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63"/>
    <col customWidth="1" min="3" max="3" width="14.63"/>
    <col customWidth="1" min="4" max="4" width="17.63"/>
    <col customWidth="1" min="7" max="7" width="9.88"/>
  </cols>
  <sheetData>
    <row r="1">
      <c r="A1" s="12" t="s">
        <v>380</v>
      </c>
      <c r="B1" s="12" t="s">
        <v>188</v>
      </c>
      <c r="C1" s="12" t="s">
        <v>381</v>
      </c>
      <c r="D1" s="12" t="s">
        <v>329</v>
      </c>
      <c r="E1" s="12" t="s">
        <v>382</v>
      </c>
      <c r="F1" s="12" t="s">
        <v>383</v>
      </c>
      <c r="G1" s="12" t="s">
        <v>189</v>
      </c>
      <c r="H1" s="12" t="s">
        <v>190</v>
      </c>
      <c r="I1" s="11" t="s">
        <v>384</v>
      </c>
      <c r="J1" s="12" t="s">
        <v>385</v>
      </c>
    </row>
    <row r="2">
      <c r="A2" s="646" t="s">
        <v>353</v>
      </c>
      <c r="B2" s="513" t="s">
        <v>103</v>
      </c>
      <c r="C2" s="647" t="s">
        <v>114</v>
      </c>
      <c r="D2" s="647" t="s">
        <v>386</v>
      </c>
      <c r="E2" s="513"/>
      <c r="F2" s="648" t="str">
        <f t="shared" ref="F2:F41" si="1">G2 &amp;"-"&amp; H2</f>
        <v>15-14</v>
      </c>
      <c r="G2" s="649">
        <f>VLOOKUP($C$2,'Halo Reach Stats'!$1:$47,3,0)+$J$3</f>
        <v>15</v>
      </c>
      <c r="H2" s="649">
        <f>VLOOKUP($C$2,'Halo Reach Stats'!$1:$47,4,0)</f>
        <v>14</v>
      </c>
      <c r="I2" s="650">
        <f>G2/(G2+H2)</f>
        <v>0.5172413793</v>
      </c>
      <c r="J2" s="513">
        <v>0.0</v>
      </c>
    </row>
    <row r="3">
      <c r="A3" s="651" t="s">
        <v>353</v>
      </c>
      <c r="B3" s="512" t="s">
        <v>103</v>
      </c>
      <c r="C3" s="1" t="s">
        <v>125</v>
      </c>
      <c r="D3" s="1" t="s">
        <v>386</v>
      </c>
      <c r="E3" s="390"/>
      <c r="F3" s="648" t="str">
        <f t="shared" si="1"/>
        <v>15-14</v>
      </c>
      <c r="G3" s="652">
        <f>VLOOKUP($C$2,'Halo Reach Stats'!$1:$47,3,0)+$J$3</f>
        <v>15</v>
      </c>
      <c r="H3" s="653">
        <f>VLOOKUP($C$2,'Halo Reach Stats'!$1:$47,4,0)</f>
        <v>14</v>
      </c>
      <c r="I3" s="654"/>
      <c r="J3" s="16">
        <v>1.0</v>
      </c>
    </row>
    <row r="4">
      <c r="A4" s="651" t="s">
        <v>353</v>
      </c>
      <c r="B4" s="512" t="s">
        <v>103</v>
      </c>
      <c r="C4" s="1" t="s">
        <v>136</v>
      </c>
      <c r="D4" s="1" t="s">
        <v>387</v>
      </c>
      <c r="E4" s="390"/>
      <c r="F4" s="648" t="str">
        <f t="shared" si="1"/>
        <v>15-14</v>
      </c>
      <c r="G4" s="652">
        <f>VLOOKUP($C$2,'Halo Reach Stats'!$1:$47,3,0)+$J$3</f>
        <v>15</v>
      </c>
      <c r="H4" s="653">
        <f>VLOOKUP($C$2,'Halo Reach Stats'!$1:$47,4,0)</f>
        <v>14</v>
      </c>
      <c r="I4" s="654"/>
      <c r="J4" s="16" t="s">
        <v>388</v>
      </c>
    </row>
    <row r="5">
      <c r="A5" s="655" t="s">
        <v>353</v>
      </c>
      <c r="B5" s="656" t="s">
        <v>103</v>
      </c>
      <c r="C5" s="657" t="s">
        <v>147</v>
      </c>
      <c r="D5" s="1" t="s">
        <v>389</v>
      </c>
      <c r="E5" s="474"/>
      <c r="F5" s="648" t="str">
        <f t="shared" si="1"/>
        <v>15-14</v>
      </c>
      <c r="G5" s="652">
        <f>VLOOKUP($C$2,'Halo Reach Stats'!$1:$47,3,0)+$J$3</f>
        <v>15</v>
      </c>
      <c r="H5" s="653">
        <f>VLOOKUP($C$2,'Halo Reach Stats'!$1:$47,4,0)</f>
        <v>14</v>
      </c>
      <c r="I5" s="658"/>
      <c r="J5" s="656" t="s">
        <v>390</v>
      </c>
    </row>
    <row r="6">
      <c r="A6" s="646" t="s">
        <v>356</v>
      </c>
      <c r="B6" s="16" t="s">
        <v>228</v>
      </c>
      <c r="C6" s="647" t="s">
        <v>115</v>
      </c>
      <c r="D6" s="647" t="s">
        <v>249</v>
      </c>
      <c r="E6" s="513"/>
      <c r="F6" s="648" t="str">
        <f t="shared" si="1"/>
        <v>1-15</v>
      </c>
      <c r="G6" s="649">
        <f>VLOOKUP($C$6,'Halo Reach Stats'!$1:$47,3,0)</f>
        <v>1</v>
      </c>
      <c r="H6" s="649">
        <f>VLOOKUP($C$6,'Halo Reach Stats'!$1:$47,4,0)+$J$6</f>
        <v>15</v>
      </c>
      <c r="I6" s="650">
        <f>G6/(G6+H6)</f>
        <v>0.0625</v>
      </c>
      <c r="J6" s="513">
        <v>3.0</v>
      </c>
    </row>
    <row r="7">
      <c r="A7" s="651" t="s">
        <v>356</v>
      </c>
      <c r="B7" s="16" t="s">
        <v>228</v>
      </c>
      <c r="C7" s="1" t="s">
        <v>126</v>
      </c>
      <c r="D7" s="1" t="s">
        <v>391</v>
      </c>
      <c r="E7" s="390"/>
      <c r="F7" s="648" t="str">
        <f t="shared" si="1"/>
        <v>1-15</v>
      </c>
      <c r="G7" s="653">
        <f>VLOOKUP($C$6,'Halo Reach Stats'!$1:$47,3,0)</f>
        <v>1</v>
      </c>
      <c r="H7" s="653">
        <f>VLOOKUP($C$6,'Halo Reach Stats'!$1:$47,4,0)+$J$6</f>
        <v>15</v>
      </c>
      <c r="I7" s="654"/>
      <c r="J7" s="16">
        <v>0.0</v>
      </c>
    </row>
    <row r="8">
      <c r="A8" s="651" t="s">
        <v>356</v>
      </c>
      <c r="B8" s="16" t="s">
        <v>228</v>
      </c>
      <c r="C8" s="1" t="s">
        <v>137</v>
      </c>
      <c r="D8" s="1" t="s">
        <v>391</v>
      </c>
      <c r="E8" s="390"/>
      <c r="F8" s="648" t="str">
        <f t="shared" si="1"/>
        <v>1-15</v>
      </c>
      <c r="G8" s="653">
        <f>VLOOKUP($C$6,'Halo Reach Stats'!$1:$47,3,0)</f>
        <v>1</v>
      </c>
      <c r="H8" s="653">
        <f>VLOOKUP($C$6,'Halo Reach Stats'!$1:$47,4,0)+$J$6</f>
        <v>15</v>
      </c>
      <c r="I8" s="654"/>
      <c r="J8" s="390"/>
    </row>
    <row r="9">
      <c r="A9" s="655" t="s">
        <v>356</v>
      </c>
      <c r="B9" s="656" t="s">
        <v>228</v>
      </c>
      <c r="C9" s="657" t="s">
        <v>148</v>
      </c>
      <c r="D9" s="657" t="s">
        <v>386</v>
      </c>
      <c r="E9" s="474"/>
      <c r="F9" s="648" t="str">
        <f t="shared" si="1"/>
        <v>1-15</v>
      </c>
      <c r="G9" s="653">
        <f>VLOOKUP($C$6,'Halo Reach Stats'!$1:$47,3,0)</f>
        <v>1</v>
      </c>
      <c r="H9" s="653">
        <f>VLOOKUP($C$6,'Halo Reach Stats'!$1:$47,4,0)+$J$6</f>
        <v>15</v>
      </c>
      <c r="I9" s="658"/>
      <c r="J9" s="474"/>
    </row>
    <row r="10">
      <c r="A10" s="646" t="s">
        <v>357</v>
      </c>
      <c r="B10" s="16" t="s">
        <v>105</v>
      </c>
      <c r="C10" s="647" t="s">
        <v>392</v>
      </c>
      <c r="D10" s="647" t="s">
        <v>386</v>
      </c>
      <c r="E10" s="513"/>
      <c r="F10" s="648" t="str">
        <f t="shared" si="1"/>
        <v>15-6</v>
      </c>
      <c r="G10" s="649">
        <f>VLOOKUP($C$10,'Halo Reach Stats'!$1:$47,3,0)+$J$11</f>
        <v>15</v>
      </c>
      <c r="H10" s="649">
        <f>VLOOKUP($C$10,'Halo Reach Stats'!$1:$47,4,0)+$J$10</f>
        <v>6</v>
      </c>
      <c r="I10" s="650">
        <f>G10/(G10+H10)</f>
        <v>0.7142857143</v>
      </c>
      <c r="J10" s="513">
        <v>1.0</v>
      </c>
    </row>
    <row r="11">
      <c r="A11" s="651" t="s">
        <v>357</v>
      </c>
      <c r="B11" s="16" t="s">
        <v>105</v>
      </c>
      <c r="C11" s="1" t="s">
        <v>191</v>
      </c>
      <c r="D11" s="1" t="s">
        <v>386</v>
      </c>
      <c r="E11" s="390"/>
      <c r="F11" s="648" t="str">
        <f t="shared" si="1"/>
        <v>15-6</v>
      </c>
      <c r="G11" s="653">
        <f>VLOOKUP($C$10,'Halo Reach Stats'!$1:$47,3,0)+$J$11</f>
        <v>15</v>
      </c>
      <c r="H11" s="653">
        <f>VLOOKUP($C$10,'Halo Reach Stats'!$1:$47,4,0)+$J$10</f>
        <v>6</v>
      </c>
      <c r="I11" s="654"/>
      <c r="J11" s="16">
        <v>1.0</v>
      </c>
    </row>
    <row r="12">
      <c r="A12" s="651" t="s">
        <v>357</v>
      </c>
      <c r="B12" s="16" t="s">
        <v>105</v>
      </c>
      <c r="C12" s="1" t="s">
        <v>138</v>
      </c>
      <c r="D12" s="1" t="s">
        <v>389</v>
      </c>
      <c r="E12" s="390"/>
      <c r="F12" s="648" t="str">
        <f t="shared" si="1"/>
        <v>15-6</v>
      </c>
      <c r="G12" s="653">
        <f>VLOOKUP($C$10,'Halo Reach Stats'!$1:$47,3,0)+$J$11</f>
        <v>15</v>
      </c>
      <c r="H12" s="653">
        <f>VLOOKUP($C$10,'Halo Reach Stats'!$1:$47,4,0)+$J$10</f>
        <v>6</v>
      </c>
      <c r="I12" s="654"/>
      <c r="J12" s="390"/>
    </row>
    <row r="13">
      <c r="A13" s="655" t="s">
        <v>357</v>
      </c>
      <c r="B13" s="656" t="s">
        <v>105</v>
      </c>
      <c r="C13" s="657" t="s">
        <v>149</v>
      </c>
      <c r="D13" s="657" t="s">
        <v>179</v>
      </c>
      <c r="E13" s="474"/>
      <c r="F13" s="648" t="str">
        <f t="shared" si="1"/>
        <v>15-6</v>
      </c>
      <c r="G13" s="653">
        <f>VLOOKUP($C$10,'Halo Reach Stats'!$1:$47,3,0)+$J$11</f>
        <v>15</v>
      </c>
      <c r="H13" s="653">
        <f>VLOOKUP($C$10,'Halo Reach Stats'!$1:$47,4,0)+$J$10</f>
        <v>6</v>
      </c>
      <c r="I13" s="658"/>
      <c r="J13" s="474"/>
    </row>
    <row r="14">
      <c r="A14" s="646" t="s">
        <v>358</v>
      </c>
      <c r="B14" s="16" t="s">
        <v>106</v>
      </c>
      <c r="C14" s="647" t="s">
        <v>117</v>
      </c>
      <c r="D14" s="647" t="s">
        <v>386</v>
      </c>
      <c r="E14" s="513"/>
      <c r="F14" s="648" t="str">
        <f t="shared" si="1"/>
        <v>6-10</v>
      </c>
      <c r="G14" s="649">
        <f>VLOOKUP($C$14,'Halo Reach Stats'!$1:$47,3,0)+$J$15</f>
        <v>6</v>
      </c>
      <c r="H14" s="649">
        <f>VLOOKUP($C$14,'Halo Reach Stats'!$1:$47,4,0)+J14</f>
        <v>10</v>
      </c>
      <c r="I14" s="650">
        <f>G14/(G14+H14)</f>
        <v>0.375</v>
      </c>
      <c r="J14" s="513">
        <v>2.0</v>
      </c>
    </row>
    <row r="15">
      <c r="A15" s="651" t="s">
        <v>358</v>
      </c>
      <c r="B15" s="16" t="s">
        <v>106</v>
      </c>
      <c r="C15" s="1" t="s">
        <v>128</v>
      </c>
      <c r="D15" s="1" t="s">
        <v>387</v>
      </c>
      <c r="E15" s="390"/>
      <c r="F15" s="648" t="str">
        <f t="shared" si="1"/>
        <v>6-10</v>
      </c>
      <c r="G15" s="653">
        <f>VLOOKUP($C$14,'Halo Reach Stats'!$1:$47,3,0)+$J$15</f>
        <v>6</v>
      </c>
      <c r="H15" s="653">
        <f>VLOOKUP($C$14,'Halo Reach Stats'!$1:$47,4,0)+J14</f>
        <v>10</v>
      </c>
      <c r="I15" s="654"/>
      <c r="J15" s="16">
        <v>1.0</v>
      </c>
    </row>
    <row r="16">
      <c r="A16" s="651" t="s">
        <v>358</v>
      </c>
      <c r="B16" s="16" t="s">
        <v>106</v>
      </c>
      <c r="C16" s="1" t="s">
        <v>139</v>
      </c>
      <c r="D16" s="1" t="s">
        <v>386</v>
      </c>
      <c r="E16" s="390"/>
      <c r="F16" s="648" t="str">
        <f t="shared" si="1"/>
        <v>6-10</v>
      </c>
      <c r="G16" s="653">
        <f>VLOOKUP($C$14,'Halo Reach Stats'!$1:$47,3,0)+$J$15</f>
        <v>6</v>
      </c>
      <c r="H16" s="653">
        <f>VLOOKUP($C$14,'Halo Reach Stats'!$1:$47,4,0)+J14</f>
        <v>10</v>
      </c>
      <c r="I16" s="654"/>
      <c r="J16" s="390"/>
    </row>
    <row r="17">
      <c r="A17" s="655" t="s">
        <v>358</v>
      </c>
      <c r="B17" s="656" t="s">
        <v>106</v>
      </c>
      <c r="C17" s="657" t="s">
        <v>150</v>
      </c>
      <c r="D17" s="657" t="s">
        <v>249</v>
      </c>
      <c r="E17" s="474"/>
      <c r="F17" s="648" t="str">
        <f t="shared" si="1"/>
        <v>6-10</v>
      </c>
      <c r="G17" s="653">
        <f>VLOOKUP($C$14,'Halo Reach Stats'!$1:$47,3,0)+$J$15</f>
        <v>6</v>
      </c>
      <c r="H17" s="653">
        <f>VLOOKUP($C$14,'Halo Reach Stats'!$1:$47,4,0)+J14</f>
        <v>10</v>
      </c>
      <c r="I17" s="658"/>
      <c r="J17" s="474"/>
    </row>
    <row r="18">
      <c r="A18" s="651" t="s">
        <v>359</v>
      </c>
      <c r="B18" s="16" t="s">
        <v>107</v>
      </c>
      <c r="C18" s="647" t="s">
        <v>118</v>
      </c>
      <c r="D18" s="647" t="s">
        <v>391</v>
      </c>
      <c r="E18" s="513"/>
      <c r="F18" s="648" t="str">
        <f t="shared" si="1"/>
        <v>10-9</v>
      </c>
      <c r="G18" s="649">
        <f>VLOOKUP($C$18,'Halo Reach Stats'!$1:$47,3,0)+$J$19</f>
        <v>10</v>
      </c>
      <c r="H18" s="649">
        <f>VLOOKUP($C$18,'Halo Reach Stats'!$1:$47,4,0)</f>
        <v>9</v>
      </c>
      <c r="I18" s="650">
        <f>G18/(G18+H18)</f>
        <v>0.5263157895</v>
      </c>
      <c r="J18" s="513">
        <v>0.0</v>
      </c>
    </row>
    <row r="19">
      <c r="A19" s="651" t="s">
        <v>359</v>
      </c>
      <c r="B19" s="16" t="s">
        <v>107</v>
      </c>
      <c r="C19" s="1" t="s">
        <v>129</v>
      </c>
      <c r="D19" s="1" t="s">
        <v>386</v>
      </c>
      <c r="E19" s="390"/>
      <c r="F19" s="648" t="str">
        <f t="shared" si="1"/>
        <v>10-9</v>
      </c>
      <c r="G19" s="653">
        <f>VLOOKUP($C$18,'Halo Reach Stats'!$1:$47,3,0)+$J$19</f>
        <v>10</v>
      </c>
      <c r="H19" s="653">
        <f>VLOOKUP($C$18,'Halo Reach Stats'!$1:$47,4,0)</f>
        <v>9</v>
      </c>
      <c r="I19" s="654"/>
      <c r="J19" s="16">
        <v>2.0</v>
      </c>
    </row>
    <row r="20">
      <c r="A20" s="651" t="s">
        <v>359</v>
      </c>
      <c r="B20" s="16" t="s">
        <v>107</v>
      </c>
      <c r="C20" s="1" t="s">
        <v>140</v>
      </c>
      <c r="D20" s="1" t="s">
        <v>389</v>
      </c>
      <c r="E20" s="390"/>
      <c r="F20" s="648" t="str">
        <f t="shared" si="1"/>
        <v>10-9</v>
      </c>
      <c r="G20" s="653">
        <f>VLOOKUP($C$18,'Halo Reach Stats'!$1:$47,3,0)+$J$19</f>
        <v>10</v>
      </c>
      <c r="H20" s="653">
        <f>VLOOKUP($C$18,'Halo Reach Stats'!$1:$47,4,0)</f>
        <v>9</v>
      </c>
      <c r="I20" s="654"/>
      <c r="J20" s="390"/>
    </row>
    <row r="21">
      <c r="A21" s="651" t="s">
        <v>359</v>
      </c>
      <c r="B21" s="16" t="s">
        <v>107</v>
      </c>
      <c r="C21" s="657" t="s">
        <v>151</v>
      </c>
      <c r="D21" s="657" t="s">
        <v>389</v>
      </c>
      <c r="E21" s="474"/>
      <c r="F21" s="648" t="str">
        <f t="shared" si="1"/>
        <v>10-9</v>
      </c>
      <c r="G21" s="653">
        <f>VLOOKUP($C$18,'Halo Reach Stats'!$1:$47,3,0)+$J$19</f>
        <v>10</v>
      </c>
      <c r="H21" s="653">
        <f>VLOOKUP($C$18,'Halo Reach Stats'!$1:$47,4,0)</f>
        <v>9</v>
      </c>
      <c r="I21" s="658"/>
      <c r="J21" s="474"/>
    </row>
    <row r="22">
      <c r="A22" s="646" t="s">
        <v>360</v>
      </c>
      <c r="B22" s="513" t="s">
        <v>216</v>
      </c>
      <c r="C22" s="647" t="s">
        <v>119</v>
      </c>
      <c r="D22" s="647" t="s">
        <v>386</v>
      </c>
      <c r="E22" s="513"/>
      <c r="F22" s="648" t="str">
        <f t="shared" si="1"/>
        <v>9-11</v>
      </c>
      <c r="G22" s="649">
        <f>VLOOKUP($C$22,'Halo Reach Stats'!$1:$47,3,0)</f>
        <v>9</v>
      </c>
      <c r="H22" s="649">
        <f>VLOOKUP($C$22,'Halo Reach Stats'!$1:$47,4,0)</f>
        <v>11</v>
      </c>
      <c r="I22" s="650">
        <f>G22/(G22+H22)</f>
        <v>0.45</v>
      </c>
      <c r="J22" s="513">
        <v>0.0</v>
      </c>
    </row>
    <row r="23">
      <c r="A23" s="651" t="s">
        <v>360</v>
      </c>
      <c r="B23" s="513" t="s">
        <v>216</v>
      </c>
      <c r="C23" s="1" t="s">
        <v>130</v>
      </c>
      <c r="D23" s="1" t="s">
        <v>386</v>
      </c>
      <c r="E23" s="390"/>
      <c r="F23" s="648" t="str">
        <f t="shared" si="1"/>
        <v>9-11</v>
      </c>
      <c r="G23" s="653">
        <f>VLOOKUP($C$22,'Halo Reach Stats'!$1:$47,3,0)</f>
        <v>9</v>
      </c>
      <c r="H23" s="653">
        <f>VLOOKUP($C$22,'Halo Reach Stats'!$1:$47,4,0)</f>
        <v>11</v>
      </c>
      <c r="I23" s="654"/>
      <c r="J23" s="16">
        <v>0.0</v>
      </c>
    </row>
    <row r="24">
      <c r="A24" s="651" t="s">
        <v>360</v>
      </c>
      <c r="B24" s="513" t="s">
        <v>216</v>
      </c>
      <c r="C24" s="1" t="s">
        <v>141</v>
      </c>
      <c r="D24" s="1" t="s">
        <v>389</v>
      </c>
      <c r="E24" s="390"/>
      <c r="F24" s="648" t="str">
        <f t="shared" si="1"/>
        <v>9-11</v>
      </c>
      <c r="G24" s="653">
        <f>VLOOKUP($C$22,'Halo Reach Stats'!$1:$47,3,0)</f>
        <v>9</v>
      </c>
      <c r="H24" s="653">
        <f>VLOOKUP($C$22,'Halo Reach Stats'!$1:$47,4,0)</f>
        <v>11</v>
      </c>
      <c r="I24" s="654"/>
      <c r="J24" s="390"/>
    </row>
    <row r="25">
      <c r="A25" s="655" t="s">
        <v>360</v>
      </c>
      <c r="B25" s="513" t="s">
        <v>216</v>
      </c>
      <c r="C25" s="657" t="s">
        <v>152</v>
      </c>
      <c r="D25" s="657" t="s">
        <v>389</v>
      </c>
      <c r="E25" s="474"/>
      <c r="F25" s="648" t="str">
        <f t="shared" si="1"/>
        <v>9-11</v>
      </c>
      <c r="G25" s="653">
        <f>VLOOKUP($C$22,'Halo Reach Stats'!$1:$47,3,0)</f>
        <v>9</v>
      </c>
      <c r="H25" s="653">
        <f>VLOOKUP($C$22,'Halo Reach Stats'!$1:$47,4,0)</f>
        <v>11</v>
      </c>
      <c r="I25" s="658"/>
      <c r="J25" s="474"/>
    </row>
    <row r="26">
      <c r="A26" s="646" t="s">
        <v>361</v>
      </c>
      <c r="B26" s="513" t="s">
        <v>109</v>
      </c>
      <c r="C26" s="647" t="s">
        <v>120</v>
      </c>
      <c r="D26" s="647" t="s">
        <v>387</v>
      </c>
      <c r="E26" s="513"/>
      <c r="F26" s="648" t="str">
        <f t="shared" si="1"/>
        <v>7-9</v>
      </c>
      <c r="G26" s="649">
        <f>VLOOKUP($C$26,'Halo Reach Stats'!$1:$47,3,0)+J27</f>
        <v>7</v>
      </c>
      <c r="H26" s="649">
        <f>VLOOKUP($C$26,'Halo Reach Stats'!$1:$47,4,0)</f>
        <v>9</v>
      </c>
      <c r="I26" s="650">
        <f>G26/(G26+H26)</f>
        <v>0.4375</v>
      </c>
      <c r="J26" s="513">
        <v>0.0</v>
      </c>
    </row>
    <row r="27">
      <c r="A27" s="651" t="s">
        <v>361</v>
      </c>
      <c r="B27" s="513" t="s">
        <v>109</v>
      </c>
      <c r="C27" s="1" t="s">
        <v>131</v>
      </c>
      <c r="D27" s="1" t="s">
        <v>387</v>
      </c>
      <c r="E27" s="390"/>
      <c r="F27" s="648" t="str">
        <f t="shared" si="1"/>
        <v>7-9</v>
      </c>
      <c r="G27" s="653">
        <f>VLOOKUP($C$26,'Halo Reach Stats'!$1:$47,3,0)+J27</f>
        <v>7</v>
      </c>
      <c r="H27" s="653">
        <f>VLOOKUP($C$26,'Halo Reach Stats'!$1:$47,4,0)</f>
        <v>9</v>
      </c>
      <c r="I27" s="654"/>
      <c r="J27" s="16">
        <v>1.0</v>
      </c>
    </row>
    <row r="28">
      <c r="A28" s="651" t="s">
        <v>361</v>
      </c>
      <c r="B28" s="513" t="s">
        <v>109</v>
      </c>
      <c r="C28" s="1" t="s">
        <v>142</v>
      </c>
      <c r="D28" s="1" t="s">
        <v>179</v>
      </c>
      <c r="E28" s="390"/>
      <c r="F28" s="648" t="str">
        <f t="shared" si="1"/>
        <v>7-9</v>
      </c>
      <c r="G28" s="653">
        <f>VLOOKUP($C$26,'Halo Reach Stats'!$1:$47,3,0)+J27</f>
        <v>7</v>
      </c>
      <c r="H28" s="653">
        <f>VLOOKUP($C$26,'Halo Reach Stats'!$1:$47,4,0)</f>
        <v>9</v>
      </c>
      <c r="I28" s="654"/>
      <c r="J28" s="390"/>
    </row>
    <row r="29">
      <c r="A29" s="655" t="s">
        <v>361</v>
      </c>
      <c r="B29" s="513" t="s">
        <v>109</v>
      </c>
      <c r="C29" s="657" t="s">
        <v>153</v>
      </c>
      <c r="D29" s="657" t="s">
        <v>389</v>
      </c>
      <c r="E29" s="474"/>
      <c r="F29" s="648" t="str">
        <f t="shared" si="1"/>
        <v>7-9</v>
      </c>
      <c r="G29" s="653">
        <f>VLOOKUP($C$26,'Halo Reach Stats'!$1:$47,3,0)+J27</f>
        <v>7</v>
      </c>
      <c r="H29" s="653">
        <f>VLOOKUP($C$26,'Halo Reach Stats'!$1:$47,4,0)</f>
        <v>9</v>
      </c>
      <c r="I29" s="658"/>
      <c r="J29" s="474"/>
    </row>
    <row r="30">
      <c r="A30" s="646" t="s">
        <v>362</v>
      </c>
      <c r="B30" s="513" t="s">
        <v>110</v>
      </c>
      <c r="C30" s="647" t="s">
        <v>121</v>
      </c>
      <c r="D30" s="647" t="s">
        <v>386</v>
      </c>
      <c r="E30" s="513"/>
      <c r="F30" s="648" t="str">
        <f t="shared" si="1"/>
        <v>11-11</v>
      </c>
      <c r="G30" s="649">
        <f>VLOOKUP($C$30,'Halo Reach Stats'!$1:$47,3,0)</f>
        <v>11</v>
      </c>
      <c r="H30" s="649">
        <f>VLOOKUP($C$30,'Halo Reach Stats'!$1:$47,4,0)</f>
        <v>11</v>
      </c>
      <c r="I30" s="650">
        <f>G30/(G30+H30)</f>
        <v>0.5</v>
      </c>
      <c r="J30" s="513">
        <v>0.0</v>
      </c>
    </row>
    <row r="31">
      <c r="A31" s="651" t="s">
        <v>362</v>
      </c>
      <c r="B31" s="512" t="s">
        <v>110</v>
      </c>
      <c r="C31" s="1" t="s">
        <v>132</v>
      </c>
      <c r="D31" s="1" t="s">
        <v>389</v>
      </c>
      <c r="E31" s="390"/>
      <c r="F31" s="648" t="str">
        <f t="shared" si="1"/>
        <v>11-11</v>
      </c>
      <c r="G31" s="653">
        <f>VLOOKUP($C$30,'Halo Reach Stats'!$1:$47,3,0)</f>
        <v>11</v>
      </c>
      <c r="H31" s="653">
        <f>VLOOKUP($C$30,'Halo Reach Stats'!$1:$47,4,0)</f>
        <v>11</v>
      </c>
      <c r="I31" s="654"/>
      <c r="J31" s="16">
        <v>0.0</v>
      </c>
    </row>
    <row r="32">
      <c r="A32" s="651" t="s">
        <v>362</v>
      </c>
      <c r="B32" s="512" t="s">
        <v>110</v>
      </c>
      <c r="C32" s="1" t="s">
        <v>393</v>
      </c>
      <c r="D32" s="1" t="s">
        <v>386</v>
      </c>
      <c r="E32" s="390"/>
      <c r="F32" s="648" t="str">
        <f t="shared" si="1"/>
        <v>11-11</v>
      </c>
      <c r="G32" s="653">
        <f>VLOOKUP($C$30,'Halo Reach Stats'!$1:$47,3,0)</f>
        <v>11</v>
      </c>
      <c r="H32" s="653">
        <f>VLOOKUP($C$30,'Halo Reach Stats'!$1:$47,4,0)</f>
        <v>11</v>
      </c>
      <c r="I32" s="654"/>
      <c r="J32" s="390"/>
    </row>
    <row r="33">
      <c r="A33" s="655" t="s">
        <v>362</v>
      </c>
      <c r="B33" s="512" t="s">
        <v>110</v>
      </c>
      <c r="C33" s="657" t="s">
        <v>154</v>
      </c>
      <c r="D33" s="657" t="s">
        <v>387</v>
      </c>
      <c r="E33" s="474"/>
      <c r="F33" s="648" t="str">
        <f t="shared" si="1"/>
        <v>11-11</v>
      </c>
      <c r="G33" s="653">
        <f>VLOOKUP($C$30,'Halo Reach Stats'!$1:$47,3,0)</f>
        <v>11</v>
      </c>
      <c r="H33" s="653">
        <f>VLOOKUP($C$30,'Halo Reach Stats'!$1:$47,4,0)</f>
        <v>11</v>
      </c>
      <c r="I33" s="658"/>
      <c r="J33" s="474"/>
    </row>
    <row r="34">
      <c r="A34" s="646" t="s">
        <v>363</v>
      </c>
      <c r="B34" s="16" t="s">
        <v>111</v>
      </c>
      <c r="C34" s="647" t="s">
        <v>122</v>
      </c>
      <c r="D34" s="647" t="s">
        <v>386</v>
      </c>
      <c r="E34" s="513"/>
      <c r="F34" s="648" t="str">
        <f t="shared" si="1"/>
        <v>0-0</v>
      </c>
      <c r="G34" s="647">
        <v>0.0</v>
      </c>
      <c r="H34" s="647">
        <v>0.0</v>
      </c>
      <c r="I34" s="650" t="str">
        <f>G34/(G34+H34)</f>
        <v>#DIV/0!</v>
      </c>
      <c r="J34" s="513">
        <v>0.0</v>
      </c>
    </row>
    <row r="35">
      <c r="A35" s="651" t="s">
        <v>363</v>
      </c>
      <c r="B35" s="16" t="s">
        <v>111</v>
      </c>
      <c r="C35" s="1" t="s">
        <v>133</v>
      </c>
      <c r="D35" s="1" t="s">
        <v>179</v>
      </c>
      <c r="E35" s="390"/>
      <c r="F35" s="648" t="str">
        <f t="shared" si="1"/>
        <v>0-0</v>
      </c>
      <c r="G35" s="1">
        <v>0.0</v>
      </c>
      <c r="H35" s="1">
        <v>0.0</v>
      </c>
      <c r="I35" s="654"/>
      <c r="J35" s="16">
        <v>0.0</v>
      </c>
    </row>
    <row r="36">
      <c r="A36" s="651" t="s">
        <v>363</v>
      </c>
      <c r="B36" s="16" t="s">
        <v>111</v>
      </c>
      <c r="C36" s="1" t="s">
        <v>144</v>
      </c>
      <c r="D36" s="1" t="s">
        <v>387</v>
      </c>
      <c r="E36" s="390"/>
      <c r="F36" s="648" t="str">
        <f t="shared" si="1"/>
        <v>0-0</v>
      </c>
      <c r="G36" s="1">
        <v>0.0</v>
      </c>
      <c r="H36" s="1">
        <v>0.0</v>
      </c>
      <c r="I36" s="654"/>
      <c r="J36" s="390"/>
    </row>
    <row r="37">
      <c r="A37" s="655" t="s">
        <v>363</v>
      </c>
      <c r="B37" s="16" t="s">
        <v>111</v>
      </c>
      <c r="C37" s="657" t="s">
        <v>155</v>
      </c>
      <c r="D37" s="657" t="s">
        <v>387</v>
      </c>
      <c r="E37" s="474"/>
      <c r="F37" s="648" t="str">
        <f t="shared" si="1"/>
        <v>0-0</v>
      </c>
      <c r="G37" s="657">
        <v>0.0</v>
      </c>
      <c r="H37" s="657">
        <v>0.0</v>
      </c>
      <c r="I37" s="658"/>
      <c r="J37" s="474"/>
    </row>
    <row r="38">
      <c r="A38" s="646" t="s">
        <v>364</v>
      </c>
      <c r="B38" s="16" t="s">
        <v>199</v>
      </c>
      <c r="C38" s="647" t="s">
        <v>123</v>
      </c>
      <c r="D38" s="647" t="s">
        <v>386</v>
      </c>
      <c r="E38" s="513"/>
      <c r="F38" s="648" t="str">
        <f t="shared" si="1"/>
        <v>17-6</v>
      </c>
      <c r="G38" s="649">
        <f>VLOOKUP($C$38,'Halo Reach Stats'!$1:$47,3,0)</f>
        <v>17</v>
      </c>
      <c r="H38" s="649">
        <f>VLOOKUP($C$38,'Halo Reach Stats'!$1:$47,4,0)</f>
        <v>6</v>
      </c>
      <c r="I38" s="650">
        <f>G38/(G38+H38)</f>
        <v>0.7391304348</v>
      </c>
      <c r="J38" s="513">
        <v>0.0</v>
      </c>
    </row>
    <row r="39">
      <c r="A39" s="651" t="s">
        <v>364</v>
      </c>
      <c r="B39" s="16" t="s">
        <v>199</v>
      </c>
      <c r="C39" s="1" t="s">
        <v>134</v>
      </c>
      <c r="D39" s="1" t="s">
        <v>389</v>
      </c>
      <c r="E39" s="390"/>
      <c r="F39" s="648" t="str">
        <f t="shared" si="1"/>
        <v>17-6</v>
      </c>
      <c r="G39" s="653">
        <f>VLOOKUP($C$38,'Halo Reach Stats'!$1:$47,3,0)</f>
        <v>17</v>
      </c>
      <c r="H39" s="653">
        <f>VLOOKUP($C$38,'Halo Reach Stats'!$1:$47,4,0)</f>
        <v>6</v>
      </c>
      <c r="I39" s="654"/>
      <c r="J39" s="16">
        <v>0.0</v>
      </c>
    </row>
    <row r="40">
      <c r="A40" s="651" t="s">
        <v>364</v>
      </c>
      <c r="B40" s="16" t="s">
        <v>199</v>
      </c>
      <c r="C40" s="1" t="s">
        <v>145</v>
      </c>
      <c r="D40" s="1" t="s">
        <v>386</v>
      </c>
      <c r="E40" s="390"/>
      <c r="F40" s="648" t="str">
        <f t="shared" si="1"/>
        <v>17-6</v>
      </c>
      <c r="G40" s="653">
        <f>VLOOKUP($C$38,'Halo Reach Stats'!$1:$47,3,0)</f>
        <v>17</v>
      </c>
      <c r="H40" s="653">
        <f>VLOOKUP($C$38,'Halo Reach Stats'!$1:$47,4,0)</f>
        <v>6</v>
      </c>
      <c r="I40" s="654"/>
      <c r="J40" s="390"/>
    </row>
    <row r="41">
      <c r="A41" s="655" t="s">
        <v>364</v>
      </c>
      <c r="B41" s="16" t="s">
        <v>199</v>
      </c>
      <c r="C41" s="657" t="s">
        <v>156</v>
      </c>
      <c r="D41" s="657" t="s">
        <v>387</v>
      </c>
      <c r="E41" s="474"/>
      <c r="F41" s="648" t="str">
        <f t="shared" si="1"/>
        <v>17-6</v>
      </c>
      <c r="G41" s="653">
        <f>VLOOKUP($C$38,'Halo Reach Stats'!$1:$47,3,0)</f>
        <v>17</v>
      </c>
      <c r="H41" s="653">
        <f>VLOOKUP($C$38,'Halo Reach Stats'!$1:$47,4,0)</f>
        <v>6</v>
      </c>
      <c r="I41" s="658"/>
      <c r="J41" s="474"/>
    </row>
    <row r="42" hidden="1">
      <c r="A42" s="646" t="s">
        <v>365</v>
      </c>
      <c r="B42" s="16"/>
      <c r="C42" s="647"/>
      <c r="D42" s="647"/>
      <c r="E42" s="513"/>
      <c r="F42" s="648"/>
      <c r="G42" s="649"/>
      <c r="H42" s="649"/>
      <c r="I42" s="650"/>
      <c r="J42" s="648"/>
    </row>
    <row r="43" hidden="1">
      <c r="A43" s="651" t="s">
        <v>365</v>
      </c>
      <c r="B43" s="16"/>
      <c r="E43" s="390"/>
      <c r="F43" s="390"/>
      <c r="I43" s="654"/>
      <c r="J43" s="390"/>
    </row>
    <row r="44" hidden="1">
      <c r="A44" s="651" t="s">
        <v>365</v>
      </c>
      <c r="B44" s="16"/>
      <c r="E44" s="390"/>
      <c r="F44" s="390"/>
      <c r="I44" s="654"/>
      <c r="J44" s="390"/>
    </row>
    <row r="45" hidden="1">
      <c r="A45" s="655" t="s">
        <v>365</v>
      </c>
      <c r="B45" s="656"/>
      <c r="C45" s="657"/>
      <c r="D45" s="657"/>
      <c r="E45" s="474"/>
      <c r="F45" s="474"/>
      <c r="G45" s="659"/>
      <c r="H45" s="659"/>
      <c r="I45" s="658"/>
      <c r="J45" s="474"/>
    </row>
    <row r="46" hidden="1">
      <c r="A46" s="660" t="s">
        <v>366</v>
      </c>
      <c r="B46" s="16"/>
      <c r="E46" s="390"/>
      <c r="F46" s="390"/>
      <c r="I46" s="654"/>
      <c r="J46" s="390"/>
    </row>
    <row r="47" hidden="1">
      <c r="A47" s="660" t="s">
        <v>366</v>
      </c>
      <c r="B47" s="16"/>
      <c r="E47" s="390"/>
      <c r="F47" s="390"/>
      <c r="I47" s="654"/>
      <c r="J47" s="390"/>
    </row>
    <row r="48" hidden="1">
      <c r="A48" s="660" t="s">
        <v>366</v>
      </c>
      <c r="B48" s="16"/>
      <c r="E48" s="390"/>
      <c r="F48" s="390"/>
      <c r="I48" s="654"/>
      <c r="J48" s="390"/>
    </row>
    <row r="49" hidden="1">
      <c r="A49" s="661" t="s">
        <v>366</v>
      </c>
      <c r="B49" s="656"/>
      <c r="C49" s="657"/>
      <c r="D49" s="657"/>
      <c r="E49" s="474"/>
      <c r="F49" s="474"/>
      <c r="G49" s="659"/>
      <c r="H49" s="659"/>
      <c r="I49" s="658"/>
      <c r="J49" s="47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25"/>
    <col customWidth="1" min="2" max="2" width="9.13"/>
    <col customWidth="1" min="3" max="3" width="10.88"/>
    <col customWidth="1" min="4" max="4" width="9.25"/>
    <col customWidth="1" min="5" max="5" width="12.0"/>
    <col customWidth="1" min="6" max="6" width="11.88"/>
    <col customWidth="1" min="7" max="7" width="10.88"/>
    <col customWidth="1" min="8" max="8" width="8.38"/>
    <col customWidth="1" min="9" max="9" width="7.38"/>
    <col customWidth="1" min="10" max="10" width="8.38"/>
    <col customWidth="1" min="11" max="11" width="12.63"/>
    <col customWidth="1" min="12" max="12" width="13.63"/>
    <col customWidth="1" min="13" max="13" width="9.75"/>
    <col customWidth="1" min="14" max="14" width="15.63"/>
    <col customWidth="1" min="15" max="15" width="10.13"/>
    <col customWidth="1" min="16" max="17" width="12.25"/>
    <col customWidth="1" min="18" max="18" width="14.0"/>
    <col customWidth="1" min="19" max="19" width="17.25"/>
    <col customWidth="1" min="20" max="20" width="18.38"/>
    <col customWidth="1" min="21" max="21" width="15.88"/>
    <col customWidth="1" min="22" max="22" width="14.63"/>
    <col customWidth="1" min="23" max="23" width="13.38"/>
    <col customWidth="1" min="24" max="24" width="15.13"/>
    <col customWidth="1" min="25" max="25" width="15.0"/>
    <col customWidth="1" min="26" max="26" width="17.0"/>
    <col customWidth="1" min="27" max="27" width="16.13"/>
    <col customWidth="1" min="28" max="28" width="14.0"/>
    <col customWidth="1" min="29" max="29" width="14.88"/>
    <col customWidth="1" min="30" max="30" width="11.38"/>
    <col customWidth="1" min="31" max="31" width="15.25"/>
    <col customWidth="1" min="32" max="32" width="18.0"/>
    <col customWidth="1" min="33" max="33" width="11.75"/>
    <col customWidth="1" min="34" max="34" width="9.38"/>
    <col customWidth="1" min="35" max="41" width="5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B37" s="663"/>
      <c r="C37" s="663"/>
      <c r="D37" s="663"/>
      <c r="E37" s="663"/>
      <c r="F37" s="663"/>
      <c r="G37" s="663"/>
      <c r="H37" s="663"/>
      <c r="I37" s="663"/>
      <c r="J37" s="663"/>
      <c r="K37" s="663"/>
      <c r="L37" s="663"/>
      <c r="M37" s="663"/>
      <c r="R37" s="663"/>
      <c r="S37" s="663"/>
      <c r="T37" s="663"/>
      <c r="U37" s="663"/>
      <c r="V37" s="663"/>
      <c r="W37" s="663"/>
      <c r="X37" s="663"/>
      <c r="Y37" s="663"/>
      <c r="Z37" s="663"/>
      <c r="AB37" s="663"/>
    </row>
    <row r="38">
      <c r="B38" s="663"/>
      <c r="C38" s="663"/>
      <c r="D38" s="663"/>
      <c r="E38" s="663"/>
      <c r="F38" s="663"/>
      <c r="G38" s="663"/>
      <c r="H38" s="663"/>
      <c r="I38" s="663"/>
      <c r="J38" s="663"/>
      <c r="K38" s="663"/>
      <c r="L38" s="663"/>
      <c r="M38" s="663"/>
      <c r="R38" s="663"/>
      <c r="S38" s="663"/>
      <c r="T38" s="663"/>
      <c r="U38" s="663"/>
      <c r="V38" s="663"/>
      <c r="W38" s="663"/>
      <c r="X38" s="663"/>
      <c r="Y38" s="663"/>
      <c r="Z38" s="663"/>
      <c r="AB38" s="663"/>
    </row>
    <row r="39">
      <c r="B39" s="663"/>
      <c r="C39" s="663"/>
      <c r="D39" s="663"/>
      <c r="E39" s="663"/>
      <c r="F39" s="663"/>
      <c r="G39" s="663"/>
      <c r="H39" s="663"/>
      <c r="I39" s="663"/>
      <c r="J39" s="663"/>
      <c r="K39" s="663"/>
      <c r="L39" s="663"/>
      <c r="M39" s="663"/>
      <c r="R39" s="663"/>
      <c r="S39" s="663"/>
      <c r="T39" s="663"/>
      <c r="U39" s="663"/>
      <c r="V39" s="663"/>
      <c r="W39" s="663"/>
      <c r="X39" s="663"/>
      <c r="Y39" s="663"/>
      <c r="Z39" s="663"/>
      <c r="AB39" s="663"/>
    </row>
    <row r="40">
      <c r="B40" s="663"/>
      <c r="C40" s="663"/>
      <c r="D40" s="663"/>
      <c r="E40" s="663"/>
      <c r="F40" s="663"/>
      <c r="G40" s="663"/>
      <c r="H40" s="663"/>
      <c r="I40" s="663"/>
      <c r="J40" s="663"/>
      <c r="K40" s="663"/>
      <c r="L40" s="663"/>
      <c r="M40" s="663"/>
      <c r="R40" s="663"/>
      <c r="S40" s="663"/>
      <c r="T40" s="663"/>
      <c r="U40" s="663"/>
      <c r="V40" s="663"/>
      <c r="W40" s="663"/>
      <c r="X40" s="663"/>
      <c r="Y40" s="663"/>
      <c r="Z40" s="663"/>
      <c r="AB40" s="663"/>
    </row>
    <row r="41">
      <c r="B41" s="663"/>
      <c r="C41" s="663"/>
      <c r="D41" s="663"/>
      <c r="E41" s="663"/>
      <c r="F41" s="663"/>
      <c r="G41" s="663"/>
      <c r="H41" s="663"/>
      <c r="I41" s="663"/>
      <c r="J41" s="663"/>
      <c r="K41" s="663"/>
      <c r="L41" s="663"/>
      <c r="M41" s="663"/>
      <c r="R41" s="663"/>
      <c r="S41" s="663"/>
      <c r="T41" s="663"/>
      <c r="U41" s="663"/>
      <c r="V41" s="663"/>
      <c r="W41" s="663"/>
      <c r="X41" s="663"/>
      <c r="Y41" s="663"/>
      <c r="Z41" s="663"/>
      <c r="AB41" s="663"/>
    </row>
    <row r="42">
      <c r="B42" s="663"/>
      <c r="C42" s="663"/>
      <c r="D42" s="663"/>
      <c r="E42" s="663"/>
      <c r="F42" s="663"/>
      <c r="G42" s="663"/>
      <c r="H42" s="663"/>
      <c r="I42" s="663"/>
      <c r="J42" s="663"/>
      <c r="K42" s="663"/>
      <c r="L42" s="663"/>
      <c r="M42" s="663"/>
      <c r="R42" s="663"/>
      <c r="S42" s="663"/>
      <c r="T42" s="663"/>
      <c r="U42" s="663"/>
      <c r="V42" s="663"/>
      <c r="W42" s="663"/>
      <c r="X42" s="663"/>
      <c r="Y42" s="663"/>
      <c r="Z42" s="663"/>
      <c r="AB42" s="663"/>
    </row>
    <row r="43">
      <c r="B43" s="663"/>
      <c r="C43" s="663"/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R43" s="663"/>
      <c r="S43" s="663"/>
      <c r="T43" s="663"/>
      <c r="U43" s="663"/>
      <c r="V43" s="663"/>
      <c r="W43" s="663"/>
      <c r="X43" s="663"/>
      <c r="Y43" s="663"/>
      <c r="Z43" s="663"/>
      <c r="AB43" s="663"/>
    </row>
    <row r="44">
      <c r="B44" s="663"/>
      <c r="C44" s="663"/>
      <c r="D44" s="663"/>
      <c r="E44" s="663"/>
      <c r="F44" s="663"/>
      <c r="G44" s="663"/>
      <c r="H44" s="663"/>
      <c r="I44" s="663"/>
      <c r="J44" s="663"/>
      <c r="K44" s="663"/>
      <c r="L44" s="663"/>
      <c r="M44" s="663"/>
      <c r="R44" s="663"/>
      <c r="S44" s="663"/>
      <c r="T44" s="663"/>
      <c r="U44" s="663"/>
      <c r="V44" s="663"/>
      <c r="W44" s="663"/>
      <c r="X44" s="663"/>
      <c r="Y44" s="663"/>
      <c r="Z44" s="663"/>
      <c r="AB44" s="663"/>
    </row>
    <row r="45"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R45" s="663"/>
      <c r="S45" s="663"/>
      <c r="T45" s="663"/>
      <c r="U45" s="663"/>
      <c r="V45" s="663"/>
      <c r="W45" s="663"/>
      <c r="X45" s="663"/>
      <c r="Y45" s="663"/>
      <c r="Z45" s="663"/>
      <c r="AB45" s="663"/>
    </row>
    <row r="46">
      <c r="B46" s="663"/>
      <c r="C46" s="663"/>
      <c r="D46" s="663"/>
      <c r="E46" s="663"/>
      <c r="F46" s="663"/>
      <c r="G46" s="663"/>
      <c r="H46" s="663"/>
      <c r="I46" s="663"/>
      <c r="J46" s="663"/>
      <c r="K46" s="663"/>
      <c r="L46" s="663"/>
      <c r="M46" s="663"/>
      <c r="R46" s="663"/>
      <c r="S46" s="663"/>
      <c r="T46" s="663"/>
      <c r="U46" s="663"/>
      <c r="V46" s="663"/>
      <c r="W46" s="663"/>
      <c r="X46" s="663"/>
      <c r="Y46" s="663"/>
      <c r="Z46" s="663"/>
      <c r="AB46" s="663"/>
    </row>
    <row r="47">
      <c r="B47" s="663"/>
      <c r="C47" s="663"/>
      <c r="D47" s="663"/>
      <c r="E47" s="663"/>
      <c r="F47" s="663"/>
      <c r="G47" s="663"/>
      <c r="H47" s="663"/>
      <c r="I47" s="663"/>
      <c r="J47" s="663"/>
      <c r="K47" s="663"/>
      <c r="L47" s="663"/>
      <c r="M47" s="663"/>
      <c r="R47" s="663"/>
      <c r="S47" s="663"/>
      <c r="T47" s="663"/>
      <c r="U47" s="663"/>
      <c r="V47" s="663"/>
      <c r="W47" s="663"/>
      <c r="X47" s="663"/>
      <c r="Y47" s="663"/>
      <c r="Z47" s="663"/>
      <c r="AB47" s="663"/>
    </row>
    <row r="48">
      <c r="B48" s="663"/>
      <c r="C48" s="663"/>
      <c r="D48" s="663"/>
      <c r="E48" s="663"/>
      <c r="F48" s="663"/>
      <c r="G48" s="663"/>
      <c r="H48" s="663"/>
      <c r="I48" s="663"/>
      <c r="J48" s="663"/>
      <c r="K48" s="663"/>
      <c r="L48" s="663"/>
      <c r="M48" s="663"/>
      <c r="R48" s="663"/>
      <c r="S48" s="663"/>
      <c r="T48" s="663"/>
      <c r="U48" s="663"/>
      <c r="V48" s="663"/>
      <c r="W48" s="663"/>
      <c r="X48" s="663"/>
      <c r="Y48" s="663"/>
      <c r="Z48" s="663"/>
      <c r="AB48" s="663"/>
    </row>
    <row r="49">
      <c r="B49" s="663"/>
      <c r="C49" s="663"/>
      <c r="D49" s="663"/>
      <c r="E49" s="663"/>
      <c r="F49" s="663"/>
      <c r="G49" s="663"/>
      <c r="H49" s="663"/>
      <c r="I49" s="663"/>
      <c r="J49" s="663"/>
      <c r="K49" s="663"/>
      <c r="L49" s="663"/>
      <c r="M49" s="663"/>
      <c r="R49" s="663"/>
      <c r="S49" s="663"/>
      <c r="T49" s="663"/>
      <c r="U49" s="663"/>
      <c r="V49" s="663"/>
      <c r="W49" s="663"/>
      <c r="X49" s="663"/>
      <c r="Y49" s="663"/>
      <c r="Z49" s="663"/>
      <c r="AB49" s="663"/>
    </row>
    <row r="50">
      <c r="B50" s="663"/>
      <c r="C50" s="663"/>
      <c r="D50" s="663"/>
      <c r="E50" s="663"/>
      <c r="F50" s="663"/>
      <c r="G50" s="663"/>
      <c r="H50" s="663"/>
      <c r="I50" s="663"/>
      <c r="J50" s="663"/>
      <c r="K50" s="663"/>
      <c r="L50" s="663"/>
      <c r="M50" s="663"/>
      <c r="R50" s="663"/>
      <c r="S50" s="663"/>
      <c r="T50" s="663"/>
      <c r="U50" s="663"/>
      <c r="V50" s="663"/>
      <c r="W50" s="663"/>
      <c r="X50" s="663"/>
      <c r="Y50" s="663"/>
      <c r="Z50" s="663"/>
      <c r="AB50" s="663"/>
    </row>
    <row r="51">
      <c r="B51" s="663"/>
      <c r="C51" s="663"/>
      <c r="D51" s="663"/>
      <c r="E51" s="663"/>
      <c r="F51" s="663"/>
      <c r="G51" s="663"/>
      <c r="H51" s="663"/>
      <c r="I51" s="663"/>
      <c r="J51" s="663"/>
      <c r="K51" s="663"/>
      <c r="L51" s="663"/>
      <c r="M51" s="663"/>
      <c r="R51" s="663"/>
      <c r="S51" s="663"/>
      <c r="T51" s="663"/>
      <c r="U51" s="663"/>
      <c r="V51" s="663"/>
      <c r="W51" s="663"/>
      <c r="X51" s="663"/>
      <c r="Y51" s="663"/>
      <c r="Z51" s="663"/>
      <c r="AB51" s="663"/>
    </row>
    <row r="52"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R52" s="663"/>
      <c r="S52" s="663"/>
      <c r="T52" s="663"/>
      <c r="U52" s="663"/>
      <c r="V52" s="663"/>
      <c r="W52" s="663"/>
      <c r="X52" s="663"/>
      <c r="Y52" s="663"/>
      <c r="Z52" s="663"/>
      <c r="AB52" s="663"/>
    </row>
    <row r="53"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R53" s="663"/>
      <c r="S53" s="663"/>
      <c r="T53" s="663"/>
      <c r="U53" s="663"/>
      <c r="V53" s="663"/>
      <c r="W53" s="663"/>
      <c r="X53" s="663"/>
      <c r="Y53" s="663"/>
      <c r="Z53" s="663"/>
      <c r="AB53" s="663"/>
    </row>
    <row r="54">
      <c r="B54" s="663"/>
      <c r="C54" s="663"/>
      <c r="D54" s="663"/>
      <c r="E54" s="663"/>
      <c r="F54" s="663"/>
      <c r="G54" s="663"/>
      <c r="H54" s="663"/>
      <c r="I54" s="663"/>
      <c r="J54" s="663"/>
      <c r="K54" s="663"/>
      <c r="L54" s="663"/>
      <c r="M54" s="663"/>
      <c r="R54" s="663"/>
      <c r="S54" s="663"/>
      <c r="T54" s="663"/>
      <c r="U54" s="663"/>
      <c r="V54" s="663"/>
      <c r="W54" s="663"/>
      <c r="X54" s="663"/>
      <c r="Y54" s="663"/>
      <c r="Z54" s="663"/>
      <c r="AB54" s="663"/>
    </row>
    <row r="55">
      <c r="B55" s="663"/>
      <c r="C55" s="663"/>
      <c r="D55" s="663"/>
      <c r="E55" s="663"/>
      <c r="F55" s="663"/>
      <c r="G55" s="663"/>
      <c r="H55" s="663"/>
      <c r="I55" s="663"/>
      <c r="J55" s="663"/>
      <c r="K55" s="663"/>
      <c r="L55" s="663"/>
      <c r="M55" s="663"/>
      <c r="R55" s="663"/>
      <c r="S55" s="663"/>
      <c r="T55" s="663"/>
      <c r="U55" s="663"/>
      <c r="V55" s="663"/>
      <c r="W55" s="663"/>
      <c r="X55" s="663"/>
      <c r="Y55" s="663"/>
      <c r="Z55" s="663"/>
      <c r="AB55" s="663"/>
    </row>
    <row r="56">
      <c r="B56" s="663"/>
      <c r="C56" s="663"/>
      <c r="D56" s="663"/>
      <c r="E56" s="663"/>
      <c r="F56" s="663"/>
      <c r="G56" s="663"/>
      <c r="H56" s="663"/>
      <c r="I56" s="663"/>
      <c r="J56" s="663"/>
      <c r="K56" s="663"/>
      <c r="L56" s="663"/>
      <c r="M56" s="663"/>
      <c r="R56" s="663"/>
      <c r="S56" s="663"/>
      <c r="T56" s="663"/>
      <c r="U56" s="663"/>
      <c r="V56" s="663"/>
      <c r="W56" s="663"/>
      <c r="X56" s="663"/>
      <c r="Y56" s="663"/>
      <c r="Z56" s="663"/>
      <c r="AB56" s="663"/>
    </row>
    <row r="57">
      <c r="B57" s="663"/>
      <c r="C57" s="663"/>
      <c r="D57" s="663"/>
      <c r="E57" s="663"/>
      <c r="F57" s="663"/>
      <c r="G57" s="663"/>
      <c r="H57" s="663"/>
      <c r="I57" s="663"/>
      <c r="J57" s="663"/>
      <c r="K57" s="663"/>
      <c r="L57" s="663"/>
      <c r="M57" s="663"/>
      <c r="R57" s="663"/>
      <c r="S57" s="663"/>
      <c r="T57" s="663"/>
      <c r="U57" s="663"/>
      <c r="V57" s="663"/>
      <c r="W57" s="663"/>
      <c r="X57" s="663"/>
      <c r="Y57" s="663"/>
      <c r="Z57" s="663"/>
      <c r="AB57" s="663"/>
    </row>
    <row r="58">
      <c r="B58" s="663"/>
      <c r="C58" s="663"/>
      <c r="D58" s="663"/>
      <c r="E58" s="663"/>
      <c r="F58" s="663"/>
      <c r="G58" s="663"/>
      <c r="H58" s="663"/>
      <c r="I58" s="663"/>
      <c r="J58" s="663"/>
      <c r="K58" s="663"/>
      <c r="L58" s="663"/>
      <c r="M58" s="663"/>
      <c r="R58" s="663"/>
      <c r="S58" s="663"/>
      <c r="T58" s="663"/>
      <c r="U58" s="663"/>
      <c r="V58" s="663"/>
      <c r="W58" s="663"/>
      <c r="X58" s="663"/>
      <c r="Y58" s="663"/>
      <c r="Z58" s="663"/>
      <c r="AB58" s="663"/>
    </row>
    <row r="59">
      <c r="B59" s="663"/>
      <c r="C59" s="663"/>
      <c r="D59" s="663"/>
      <c r="E59" s="663"/>
      <c r="F59" s="663"/>
      <c r="G59" s="663"/>
      <c r="H59" s="663"/>
      <c r="I59" s="663"/>
      <c r="J59" s="663"/>
      <c r="K59" s="663"/>
      <c r="L59" s="663"/>
      <c r="M59" s="663"/>
      <c r="R59" s="663"/>
      <c r="S59" s="663"/>
      <c r="T59" s="663"/>
      <c r="U59" s="663"/>
      <c r="V59" s="663"/>
      <c r="W59" s="663"/>
      <c r="X59" s="663"/>
      <c r="Y59" s="663"/>
      <c r="Z59" s="663"/>
      <c r="AB59" s="663"/>
    </row>
    <row r="60"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R60" s="663"/>
      <c r="S60" s="663"/>
      <c r="T60" s="663"/>
      <c r="U60" s="663"/>
      <c r="V60" s="663"/>
      <c r="W60" s="663"/>
      <c r="X60" s="663"/>
      <c r="Y60" s="663"/>
      <c r="Z60" s="663"/>
      <c r="AB60" s="663"/>
    </row>
    <row r="61"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R61" s="663"/>
      <c r="S61" s="663"/>
      <c r="T61" s="663"/>
      <c r="U61" s="663"/>
      <c r="V61" s="663"/>
      <c r="W61" s="663"/>
      <c r="X61" s="663"/>
      <c r="Y61" s="663"/>
      <c r="Z61" s="663"/>
      <c r="AB61" s="663"/>
    </row>
    <row r="62">
      <c r="B62" s="663"/>
      <c r="C62" s="663"/>
      <c r="D62" s="663"/>
      <c r="E62" s="663"/>
      <c r="F62" s="663"/>
      <c r="G62" s="663"/>
      <c r="H62" s="663"/>
      <c r="I62" s="663"/>
      <c r="J62" s="663"/>
      <c r="K62" s="663"/>
      <c r="L62" s="663"/>
      <c r="M62" s="663"/>
      <c r="R62" s="663"/>
      <c r="S62" s="663"/>
      <c r="T62" s="663"/>
      <c r="U62" s="663"/>
      <c r="V62" s="663"/>
      <c r="W62" s="663"/>
      <c r="X62" s="663"/>
      <c r="Y62" s="663"/>
      <c r="Z62" s="663"/>
      <c r="AB62" s="663"/>
    </row>
    <row r="63">
      <c r="B63" s="663"/>
      <c r="C63" s="663"/>
      <c r="D63" s="663"/>
      <c r="E63" s="663"/>
      <c r="F63" s="663"/>
      <c r="G63" s="663"/>
      <c r="H63" s="663"/>
      <c r="I63" s="663"/>
      <c r="J63" s="663"/>
      <c r="K63" s="663"/>
      <c r="L63" s="663"/>
      <c r="M63" s="663"/>
      <c r="R63" s="663"/>
      <c r="S63" s="663"/>
      <c r="T63" s="663"/>
      <c r="U63" s="663"/>
      <c r="V63" s="663"/>
      <c r="W63" s="663"/>
      <c r="X63" s="663"/>
      <c r="Y63" s="663"/>
      <c r="Z63" s="663"/>
      <c r="AB63" s="663"/>
    </row>
    <row r="64"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R64" s="663"/>
      <c r="S64" s="663"/>
      <c r="T64" s="663"/>
      <c r="U64" s="663"/>
      <c r="V64" s="663"/>
      <c r="W64" s="663"/>
      <c r="X64" s="663"/>
      <c r="Y64" s="663"/>
      <c r="Z64" s="663"/>
      <c r="AB64" s="663"/>
    </row>
    <row r="65"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R65" s="663"/>
      <c r="S65" s="663"/>
      <c r="T65" s="663"/>
      <c r="U65" s="663"/>
      <c r="V65" s="663"/>
      <c r="W65" s="663"/>
      <c r="X65" s="663"/>
      <c r="Y65" s="663"/>
      <c r="Z65" s="663"/>
      <c r="AB65" s="663"/>
    </row>
    <row r="66">
      <c r="B66" s="663"/>
      <c r="C66" s="663"/>
      <c r="D66" s="663"/>
      <c r="E66" s="663"/>
      <c r="F66" s="663"/>
      <c r="G66" s="663"/>
      <c r="H66" s="663"/>
      <c r="I66" s="663"/>
      <c r="J66" s="663"/>
      <c r="K66" s="663"/>
      <c r="L66" s="663"/>
      <c r="M66" s="663"/>
      <c r="R66" s="663"/>
      <c r="S66" s="663"/>
      <c r="T66" s="663"/>
      <c r="U66" s="663"/>
      <c r="V66" s="663"/>
      <c r="W66" s="663"/>
      <c r="X66" s="663"/>
      <c r="Y66" s="663"/>
      <c r="Z66" s="663"/>
      <c r="AB66" s="663"/>
    </row>
    <row r="67">
      <c r="B67" s="663"/>
      <c r="C67" s="663"/>
      <c r="D67" s="663"/>
      <c r="E67" s="663"/>
      <c r="F67" s="663"/>
      <c r="G67" s="663"/>
      <c r="H67" s="663"/>
      <c r="I67" s="663"/>
      <c r="J67" s="663"/>
      <c r="K67" s="663"/>
      <c r="L67" s="663"/>
      <c r="M67" s="663"/>
      <c r="R67" s="663"/>
      <c r="S67" s="663"/>
      <c r="T67" s="663"/>
      <c r="U67" s="663"/>
      <c r="V67" s="663"/>
      <c r="W67" s="663"/>
      <c r="X67" s="663"/>
      <c r="Y67" s="663"/>
      <c r="Z67" s="663"/>
      <c r="AB67" s="663"/>
    </row>
    <row r="68">
      <c r="B68" s="663"/>
      <c r="C68" s="663"/>
      <c r="D68" s="663"/>
      <c r="E68" s="663"/>
      <c r="F68" s="663"/>
      <c r="G68" s="663"/>
      <c r="H68" s="663"/>
      <c r="I68" s="663"/>
      <c r="J68" s="663"/>
      <c r="K68" s="663"/>
      <c r="L68" s="663"/>
      <c r="M68" s="663"/>
      <c r="R68" s="663"/>
      <c r="S68" s="663"/>
      <c r="T68" s="663"/>
      <c r="U68" s="663"/>
      <c r="V68" s="663"/>
      <c r="W68" s="663"/>
      <c r="X68" s="663"/>
      <c r="Y68" s="663"/>
      <c r="Z68" s="663"/>
      <c r="AB68" s="663"/>
    </row>
    <row r="69">
      <c r="B69" s="663"/>
      <c r="C69" s="663"/>
      <c r="D69" s="663"/>
      <c r="E69" s="663"/>
      <c r="F69" s="663"/>
      <c r="G69" s="663"/>
      <c r="H69" s="663"/>
      <c r="I69" s="663"/>
      <c r="J69" s="663"/>
      <c r="K69" s="663"/>
      <c r="L69" s="663"/>
      <c r="M69" s="663"/>
      <c r="R69" s="663"/>
      <c r="S69" s="663"/>
      <c r="T69" s="663"/>
      <c r="U69" s="663"/>
      <c r="V69" s="663"/>
      <c r="W69" s="663"/>
      <c r="X69" s="663"/>
      <c r="Y69" s="663"/>
      <c r="Z69" s="663"/>
      <c r="AB69" s="663"/>
    </row>
    <row r="70">
      <c r="B70" s="663"/>
      <c r="C70" s="663"/>
      <c r="D70" s="663"/>
      <c r="E70" s="663"/>
      <c r="F70" s="663"/>
      <c r="G70" s="663"/>
      <c r="H70" s="663"/>
      <c r="I70" s="663"/>
      <c r="J70" s="663"/>
      <c r="K70" s="663"/>
      <c r="L70" s="663"/>
      <c r="M70" s="663"/>
      <c r="R70" s="663"/>
      <c r="S70" s="663"/>
      <c r="T70" s="663"/>
      <c r="U70" s="663"/>
      <c r="V70" s="663"/>
      <c r="W70" s="663"/>
      <c r="X70" s="663"/>
      <c r="Y70" s="663"/>
      <c r="Z70" s="663"/>
      <c r="AB70" s="663"/>
    </row>
    <row r="71">
      <c r="B71" s="663"/>
      <c r="C71" s="663"/>
      <c r="D71" s="663"/>
      <c r="E71" s="663"/>
      <c r="F71" s="663"/>
      <c r="G71" s="663"/>
      <c r="H71" s="663"/>
      <c r="I71" s="663"/>
      <c r="J71" s="663"/>
      <c r="K71" s="663"/>
      <c r="L71" s="663"/>
      <c r="M71" s="663"/>
      <c r="R71" s="663"/>
      <c r="S71" s="663"/>
      <c r="T71" s="663"/>
      <c r="U71" s="663"/>
      <c r="V71" s="663"/>
      <c r="W71" s="663"/>
      <c r="X71" s="663"/>
      <c r="Y71" s="663"/>
      <c r="Z71" s="663"/>
      <c r="AB71" s="663"/>
    </row>
    <row r="72"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R72" s="663"/>
      <c r="S72" s="663"/>
      <c r="T72" s="663"/>
      <c r="U72" s="663"/>
      <c r="V72" s="663"/>
      <c r="W72" s="663"/>
      <c r="X72" s="663"/>
      <c r="Y72" s="663"/>
      <c r="Z72" s="663"/>
      <c r="AB72" s="663"/>
    </row>
    <row r="73">
      <c r="B73" s="663"/>
      <c r="C73" s="663"/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R73" s="663"/>
      <c r="S73" s="663"/>
      <c r="T73" s="663"/>
      <c r="U73" s="663"/>
      <c r="V73" s="663"/>
      <c r="W73" s="663"/>
      <c r="X73" s="663"/>
      <c r="Y73" s="663"/>
      <c r="Z73" s="663"/>
      <c r="AB73" s="663"/>
    </row>
    <row r="74">
      <c r="B74" s="663"/>
      <c r="C74" s="663"/>
      <c r="D74" s="663"/>
      <c r="E74" s="663"/>
      <c r="F74" s="663"/>
      <c r="G74" s="663"/>
      <c r="H74" s="663"/>
      <c r="I74" s="663"/>
      <c r="J74" s="663"/>
      <c r="K74" s="663"/>
      <c r="L74" s="663"/>
      <c r="M74" s="663"/>
      <c r="R74" s="663"/>
      <c r="S74" s="663"/>
      <c r="T74" s="663"/>
      <c r="U74" s="663"/>
      <c r="V74" s="663"/>
      <c r="W74" s="663"/>
      <c r="X74" s="663"/>
      <c r="Y74" s="663"/>
      <c r="Z74" s="663"/>
      <c r="AB74" s="663"/>
    </row>
    <row r="75">
      <c r="B75" s="663"/>
      <c r="C75" s="663"/>
      <c r="D75" s="663"/>
      <c r="E75" s="663"/>
      <c r="F75" s="663"/>
      <c r="G75" s="663"/>
      <c r="H75" s="663"/>
      <c r="I75" s="663"/>
      <c r="J75" s="663"/>
      <c r="K75" s="663"/>
      <c r="L75" s="663"/>
      <c r="M75" s="663"/>
      <c r="R75" s="663"/>
      <c r="S75" s="663"/>
      <c r="T75" s="663"/>
      <c r="U75" s="663"/>
      <c r="V75" s="663"/>
      <c r="W75" s="663"/>
      <c r="X75" s="663"/>
      <c r="Y75" s="663"/>
      <c r="Z75" s="663"/>
      <c r="AB75" s="663"/>
    </row>
    <row r="76">
      <c r="B76" s="663"/>
      <c r="C76" s="663"/>
      <c r="D76" s="663"/>
      <c r="E76" s="663"/>
      <c r="F76" s="663"/>
      <c r="G76" s="663"/>
      <c r="H76" s="663"/>
      <c r="I76" s="663"/>
      <c r="J76" s="663"/>
      <c r="K76" s="663"/>
      <c r="L76" s="663"/>
      <c r="M76" s="663"/>
      <c r="R76" s="663"/>
      <c r="S76" s="663"/>
      <c r="T76" s="663"/>
      <c r="U76" s="663"/>
      <c r="V76" s="663"/>
      <c r="W76" s="663"/>
      <c r="X76" s="663"/>
      <c r="Y76" s="663"/>
      <c r="Z76" s="663"/>
      <c r="AB76" s="663"/>
    </row>
    <row r="77"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R77" s="663"/>
      <c r="S77" s="663"/>
      <c r="T77" s="663"/>
      <c r="U77" s="663"/>
      <c r="V77" s="663"/>
      <c r="W77" s="663"/>
      <c r="X77" s="663"/>
      <c r="Y77" s="663"/>
      <c r="Z77" s="663"/>
      <c r="AB77" s="663"/>
    </row>
    <row r="78"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663"/>
      <c r="M78" s="663"/>
      <c r="R78" s="663"/>
      <c r="S78" s="663"/>
      <c r="T78" s="663"/>
      <c r="U78" s="663"/>
      <c r="V78" s="663"/>
      <c r="W78" s="663"/>
      <c r="X78" s="663"/>
      <c r="Y78" s="663"/>
      <c r="Z78" s="663"/>
      <c r="AB78" s="663"/>
    </row>
    <row r="79">
      <c r="B79" s="663"/>
      <c r="C79" s="663"/>
      <c r="D79" s="663"/>
      <c r="E79" s="663"/>
      <c r="F79" s="663"/>
      <c r="G79" s="663"/>
      <c r="H79" s="663"/>
      <c r="I79" s="663"/>
      <c r="J79" s="663"/>
      <c r="K79" s="663"/>
      <c r="L79" s="663"/>
      <c r="M79" s="663"/>
      <c r="R79" s="663"/>
      <c r="S79" s="663"/>
      <c r="T79" s="663"/>
      <c r="U79" s="663"/>
      <c r="V79" s="663"/>
      <c r="W79" s="663"/>
      <c r="X79" s="663"/>
      <c r="Y79" s="663"/>
      <c r="Z79" s="663"/>
      <c r="AB79" s="663"/>
    </row>
    <row r="80">
      <c r="B80" s="663"/>
      <c r="C80" s="663"/>
      <c r="D80" s="663"/>
      <c r="E80" s="663"/>
      <c r="F80" s="663"/>
      <c r="G80" s="663"/>
      <c r="H80" s="663"/>
      <c r="I80" s="663"/>
      <c r="J80" s="663"/>
      <c r="K80" s="663"/>
      <c r="L80" s="663"/>
      <c r="M80" s="663"/>
      <c r="R80" s="663"/>
      <c r="S80" s="663"/>
      <c r="T80" s="663"/>
      <c r="U80" s="663"/>
      <c r="V80" s="663"/>
      <c r="W80" s="663"/>
      <c r="X80" s="663"/>
      <c r="Y80" s="663"/>
      <c r="Z80" s="663"/>
      <c r="AB80" s="663"/>
    </row>
    <row r="81">
      <c r="B81" s="663"/>
      <c r="C81" s="663"/>
      <c r="D81" s="663"/>
      <c r="E81" s="663"/>
      <c r="F81" s="663"/>
      <c r="G81" s="663"/>
      <c r="H81" s="663"/>
      <c r="I81" s="663"/>
      <c r="J81" s="663"/>
      <c r="K81" s="663"/>
      <c r="L81" s="663"/>
      <c r="M81" s="663"/>
      <c r="R81" s="663"/>
      <c r="S81" s="663"/>
      <c r="T81" s="663"/>
      <c r="U81" s="663"/>
      <c r="V81" s="663"/>
      <c r="W81" s="663"/>
      <c r="X81" s="663"/>
      <c r="Y81" s="663"/>
      <c r="Z81" s="663"/>
      <c r="AB81" s="663"/>
    </row>
    <row r="82">
      <c r="B82" s="663"/>
      <c r="C82" s="663"/>
      <c r="D82" s="663"/>
      <c r="E82" s="663"/>
      <c r="F82" s="663"/>
      <c r="G82" s="663"/>
      <c r="H82" s="663"/>
      <c r="I82" s="663"/>
      <c r="J82" s="663"/>
      <c r="K82" s="663"/>
      <c r="L82" s="663"/>
      <c r="M82" s="663"/>
      <c r="R82" s="663"/>
      <c r="S82" s="663"/>
      <c r="T82" s="663"/>
      <c r="U82" s="663"/>
      <c r="V82" s="663"/>
      <c r="W82" s="663"/>
      <c r="X82" s="663"/>
      <c r="Y82" s="663"/>
      <c r="Z82" s="663"/>
      <c r="AB82" s="663"/>
    </row>
    <row r="83"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R83" s="663"/>
      <c r="S83" s="663"/>
      <c r="T83" s="663"/>
      <c r="U83" s="663"/>
      <c r="V83" s="663"/>
      <c r="W83" s="663"/>
      <c r="X83" s="663"/>
      <c r="Y83" s="663"/>
      <c r="Z83" s="663"/>
      <c r="AB83" s="663"/>
    </row>
    <row r="84"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R84" s="663"/>
      <c r="S84" s="663"/>
      <c r="T84" s="663"/>
      <c r="U84" s="663"/>
      <c r="V84" s="663"/>
      <c r="W84" s="663"/>
      <c r="X84" s="663"/>
      <c r="Y84" s="663"/>
      <c r="Z84" s="663"/>
      <c r="AB84" s="663"/>
    </row>
    <row r="85">
      <c r="B85" s="663"/>
      <c r="C85" s="663"/>
      <c r="D85" s="663"/>
      <c r="E85" s="663"/>
      <c r="F85" s="663"/>
      <c r="G85" s="663"/>
      <c r="H85" s="663"/>
      <c r="I85" s="663"/>
      <c r="J85" s="663"/>
      <c r="K85" s="663"/>
      <c r="L85" s="663"/>
      <c r="M85" s="663"/>
      <c r="R85" s="663"/>
      <c r="S85" s="663"/>
      <c r="T85" s="663"/>
      <c r="U85" s="663"/>
      <c r="V85" s="663"/>
      <c r="W85" s="663"/>
      <c r="X85" s="663"/>
      <c r="Y85" s="663"/>
      <c r="Z85" s="663"/>
      <c r="AB85" s="663"/>
    </row>
    <row r="86">
      <c r="B86" s="663"/>
      <c r="C86" s="663"/>
      <c r="D86" s="663"/>
      <c r="E86" s="663"/>
      <c r="F86" s="663"/>
      <c r="G86" s="663"/>
      <c r="H86" s="663"/>
      <c r="I86" s="663"/>
      <c r="J86" s="663"/>
      <c r="K86" s="663"/>
      <c r="L86" s="663"/>
      <c r="M86" s="663"/>
      <c r="R86" s="663"/>
      <c r="S86" s="663"/>
      <c r="T86" s="663"/>
      <c r="U86" s="663"/>
      <c r="V86" s="663"/>
      <c r="W86" s="663"/>
      <c r="X86" s="663"/>
      <c r="Y86" s="663"/>
      <c r="Z86" s="663"/>
      <c r="AB86" s="663"/>
    </row>
    <row r="87">
      <c r="B87" s="663"/>
      <c r="C87" s="663"/>
      <c r="D87" s="663"/>
      <c r="E87" s="663"/>
      <c r="F87" s="663"/>
      <c r="G87" s="663"/>
      <c r="H87" s="663"/>
      <c r="I87" s="663"/>
      <c r="J87" s="663"/>
      <c r="K87" s="663"/>
      <c r="L87" s="663"/>
      <c r="M87" s="663"/>
      <c r="R87" s="663"/>
      <c r="S87" s="663"/>
      <c r="T87" s="663"/>
      <c r="U87" s="663"/>
      <c r="V87" s="663"/>
      <c r="W87" s="663"/>
      <c r="X87" s="663"/>
      <c r="Y87" s="663"/>
      <c r="Z87" s="663"/>
      <c r="AB87" s="663"/>
    </row>
    <row r="88">
      <c r="B88" s="663"/>
      <c r="C88" s="663"/>
      <c r="D88" s="663"/>
      <c r="E88" s="663"/>
      <c r="F88" s="663"/>
      <c r="G88" s="663"/>
      <c r="H88" s="663"/>
      <c r="I88" s="663"/>
      <c r="J88" s="663"/>
      <c r="K88" s="663"/>
      <c r="L88" s="663"/>
      <c r="M88" s="663"/>
      <c r="R88" s="663"/>
      <c r="S88" s="663"/>
      <c r="T88" s="663"/>
      <c r="U88" s="663"/>
      <c r="V88" s="663"/>
      <c r="W88" s="663"/>
      <c r="X88" s="663"/>
      <c r="Y88" s="663"/>
      <c r="Z88" s="663"/>
      <c r="AB88" s="663"/>
    </row>
    <row r="89">
      <c r="B89" s="663"/>
      <c r="C89" s="663"/>
      <c r="D89" s="663"/>
      <c r="E89" s="663"/>
      <c r="F89" s="663"/>
      <c r="G89" s="663"/>
      <c r="H89" s="663"/>
      <c r="I89" s="663"/>
      <c r="J89" s="663"/>
      <c r="K89" s="663"/>
      <c r="L89" s="663"/>
      <c r="M89" s="663"/>
      <c r="R89" s="663"/>
      <c r="S89" s="663"/>
      <c r="T89" s="663"/>
      <c r="U89" s="663"/>
      <c r="V89" s="663"/>
      <c r="W89" s="663"/>
      <c r="X89" s="663"/>
      <c r="Y89" s="663"/>
      <c r="Z89" s="663"/>
      <c r="AB89" s="663"/>
    </row>
    <row r="90">
      <c r="B90" s="663"/>
      <c r="C90" s="663"/>
      <c r="D90" s="663"/>
      <c r="E90" s="663"/>
      <c r="F90" s="663"/>
      <c r="G90" s="663"/>
      <c r="H90" s="663"/>
      <c r="I90" s="663"/>
      <c r="J90" s="663"/>
      <c r="K90" s="663"/>
      <c r="L90" s="663"/>
      <c r="M90" s="663"/>
      <c r="R90" s="663"/>
      <c r="S90" s="663"/>
      <c r="T90" s="663"/>
      <c r="U90" s="663"/>
      <c r="V90" s="663"/>
      <c r="W90" s="663"/>
      <c r="X90" s="663"/>
      <c r="Y90" s="663"/>
      <c r="Z90" s="663"/>
      <c r="AB90" s="663"/>
    </row>
    <row r="91">
      <c r="B91" s="663"/>
      <c r="C91" s="663"/>
      <c r="D91" s="663"/>
      <c r="E91" s="663"/>
      <c r="F91" s="663"/>
      <c r="G91" s="663"/>
      <c r="H91" s="663"/>
      <c r="I91" s="663"/>
      <c r="J91" s="663"/>
      <c r="K91" s="663"/>
      <c r="L91" s="663"/>
      <c r="M91" s="663"/>
      <c r="R91" s="663"/>
      <c r="S91" s="663"/>
      <c r="T91" s="663"/>
      <c r="U91" s="663"/>
      <c r="V91" s="663"/>
      <c r="W91" s="663"/>
      <c r="X91" s="663"/>
      <c r="Y91" s="663"/>
      <c r="Z91" s="663"/>
      <c r="AB91" s="663"/>
    </row>
    <row r="92">
      <c r="B92" s="663"/>
      <c r="C92" s="663"/>
      <c r="D92" s="663"/>
      <c r="E92" s="663"/>
      <c r="F92" s="663"/>
      <c r="G92" s="663"/>
      <c r="H92" s="663"/>
      <c r="I92" s="663"/>
      <c r="J92" s="663"/>
      <c r="K92" s="663"/>
      <c r="L92" s="663"/>
      <c r="M92" s="663"/>
      <c r="R92" s="663"/>
      <c r="S92" s="663"/>
      <c r="T92" s="663"/>
      <c r="U92" s="663"/>
      <c r="V92" s="663"/>
      <c r="W92" s="663"/>
      <c r="X92" s="663"/>
      <c r="Y92" s="663"/>
      <c r="Z92" s="663"/>
      <c r="AB92" s="663"/>
    </row>
    <row r="93">
      <c r="B93" s="663"/>
      <c r="C93" s="663"/>
      <c r="D93" s="663"/>
      <c r="E93" s="663"/>
      <c r="F93" s="663"/>
      <c r="G93" s="663"/>
      <c r="H93" s="663"/>
      <c r="I93" s="663"/>
      <c r="J93" s="663"/>
      <c r="K93" s="663"/>
      <c r="L93" s="663"/>
      <c r="M93" s="663"/>
      <c r="R93" s="663"/>
      <c r="S93" s="663"/>
      <c r="T93" s="663"/>
      <c r="U93" s="663"/>
      <c r="V93" s="663"/>
      <c r="W93" s="663"/>
      <c r="X93" s="663"/>
      <c r="Y93" s="663"/>
      <c r="Z93" s="663"/>
      <c r="AB93" s="663"/>
    </row>
    <row r="94"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R94" s="663"/>
      <c r="S94" s="663"/>
      <c r="T94" s="663"/>
      <c r="U94" s="663"/>
      <c r="V94" s="663"/>
      <c r="W94" s="663"/>
      <c r="X94" s="663"/>
      <c r="Y94" s="663"/>
      <c r="Z94" s="663"/>
      <c r="AB94" s="663"/>
    </row>
    <row r="95">
      <c r="B95" s="663"/>
      <c r="C95" s="663"/>
      <c r="D95" s="663"/>
      <c r="E95" s="663"/>
      <c r="F95" s="663"/>
      <c r="G95" s="663"/>
      <c r="H95" s="663"/>
      <c r="I95" s="663"/>
      <c r="J95" s="663"/>
      <c r="K95" s="663"/>
      <c r="L95" s="663"/>
      <c r="M95" s="663"/>
      <c r="R95" s="663"/>
      <c r="S95" s="663"/>
      <c r="T95" s="663"/>
      <c r="U95" s="663"/>
      <c r="V95" s="663"/>
      <c r="W95" s="663"/>
      <c r="X95" s="663"/>
      <c r="Y95" s="663"/>
      <c r="Z95" s="663"/>
      <c r="AB95" s="663"/>
    </row>
    <row r="96">
      <c r="B96" s="663"/>
      <c r="C96" s="663"/>
      <c r="D96" s="663"/>
      <c r="E96" s="663"/>
      <c r="F96" s="663"/>
      <c r="G96" s="663"/>
      <c r="H96" s="663"/>
      <c r="I96" s="663"/>
      <c r="J96" s="663"/>
      <c r="K96" s="663"/>
      <c r="L96" s="663"/>
      <c r="M96" s="663"/>
      <c r="R96" s="663"/>
      <c r="S96" s="663"/>
      <c r="T96" s="663"/>
      <c r="U96" s="663"/>
      <c r="V96" s="663"/>
      <c r="W96" s="663"/>
      <c r="X96" s="663"/>
      <c r="Y96" s="663"/>
      <c r="Z96" s="663"/>
      <c r="AB96" s="663"/>
    </row>
    <row r="97">
      <c r="B97" s="663"/>
      <c r="C97" s="663"/>
      <c r="D97" s="663"/>
      <c r="E97" s="663"/>
      <c r="F97" s="663"/>
      <c r="G97" s="663"/>
      <c r="H97" s="663"/>
      <c r="I97" s="663"/>
      <c r="J97" s="663"/>
      <c r="K97" s="663"/>
      <c r="L97" s="663"/>
      <c r="M97" s="663"/>
      <c r="R97" s="663"/>
      <c r="S97" s="663"/>
      <c r="T97" s="663"/>
      <c r="U97" s="663"/>
      <c r="V97" s="663"/>
      <c r="W97" s="663"/>
      <c r="X97" s="663"/>
      <c r="Y97" s="663"/>
      <c r="Z97" s="663"/>
      <c r="AB97" s="663"/>
    </row>
    <row r="98">
      <c r="B98" s="663"/>
      <c r="C98" s="663"/>
      <c r="D98" s="663"/>
      <c r="E98" s="663"/>
      <c r="F98" s="663"/>
      <c r="G98" s="663"/>
      <c r="H98" s="663"/>
      <c r="I98" s="663"/>
      <c r="J98" s="663"/>
      <c r="K98" s="663"/>
      <c r="L98" s="663"/>
      <c r="M98" s="663"/>
      <c r="R98" s="663"/>
      <c r="S98" s="663"/>
      <c r="T98" s="663"/>
      <c r="U98" s="663"/>
      <c r="V98" s="663"/>
      <c r="W98" s="663"/>
      <c r="X98" s="663"/>
      <c r="Y98" s="663"/>
      <c r="Z98" s="663"/>
      <c r="AB98" s="663"/>
    </row>
    <row r="99">
      <c r="B99" s="663"/>
      <c r="C99" s="663"/>
      <c r="D99" s="663"/>
      <c r="E99" s="663"/>
      <c r="F99" s="663"/>
      <c r="G99" s="663"/>
      <c r="H99" s="663"/>
      <c r="I99" s="663"/>
      <c r="J99" s="663"/>
      <c r="K99" s="663"/>
      <c r="L99" s="663"/>
      <c r="M99" s="663"/>
      <c r="R99" s="663"/>
      <c r="S99" s="663"/>
      <c r="T99" s="663"/>
      <c r="U99" s="663"/>
      <c r="V99" s="663"/>
      <c r="W99" s="663"/>
      <c r="X99" s="663"/>
      <c r="Y99" s="663"/>
      <c r="Z99" s="663"/>
      <c r="AB99" s="663"/>
    </row>
    <row r="100">
      <c r="B100" s="663"/>
      <c r="C100" s="663"/>
      <c r="D100" s="663"/>
      <c r="E100" s="663"/>
      <c r="F100" s="663"/>
      <c r="G100" s="663"/>
      <c r="H100" s="663"/>
      <c r="I100" s="663"/>
      <c r="J100" s="663"/>
      <c r="K100" s="663"/>
      <c r="L100" s="663"/>
      <c r="M100" s="663"/>
      <c r="R100" s="663"/>
      <c r="S100" s="663"/>
      <c r="T100" s="663"/>
      <c r="U100" s="663"/>
      <c r="V100" s="663"/>
      <c r="W100" s="663"/>
      <c r="X100" s="663"/>
      <c r="Y100" s="663"/>
      <c r="Z100" s="663"/>
      <c r="AB100" s="663"/>
    </row>
    <row r="101"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B101" s="663"/>
    </row>
    <row r="102">
      <c r="B102" s="663"/>
      <c r="C102" s="663"/>
      <c r="D102" s="663"/>
      <c r="E102" s="663"/>
      <c r="F102" s="663"/>
      <c r="G102" s="663"/>
      <c r="H102" s="663"/>
      <c r="I102" s="663"/>
      <c r="J102" s="663"/>
      <c r="K102" s="663"/>
      <c r="L102" s="663"/>
      <c r="M102" s="663"/>
      <c r="R102" s="663"/>
      <c r="S102" s="663"/>
      <c r="T102" s="663"/>
      <c r="U102" s="663"/>
      <c r="V102" s="663"/>
      <c r="W102" s="663"/>
      <c r="X102" s="663"/>
      <c r="Y102" s="663"/>
      <c r="Z102" s="663"/>
      <c r="AB102" s="663"/>
    </row>
    <row r="103">
      <c r="B103" s="663"/>
      <c r="C103" s="663"/>
      <c r="D103" s="663"/>
      <c r="E103" s="663"/>
      <c r="F103" s="663"/>
      <c r="G103" s="663"/>
      <c r="H103" s="663"/>
      <c r="I103" s="663"/>
      <c r="J103" s="663"/>
      <c r="K103" s="663"/>
      <c r="L103" s="663"/>
      <c r="M103" s="663"/>
      <c r="R103" s="663"/>
      <c r="S103" s="663"/>
      <c r="T103" s="663"/>
      <c r="U103" s="663"/>
      <c r="V103" s="663"/>
      <c r="W103" s="663"/>
      <c r="X103" s="663"/>
      <c r="Y103" s="663"/>
      <c r="Z103" s="663"/>
      <c r="AB103" s="663"/>
    </row>
    <row r="104">
      <c r="B104" s="663"/>
      <c r="C104" s="663"/>
      <c r="D104" s="663"/>
      <c r="E104" s="663"/>
      <c r="F104" s="663"/>
      <c r="G104" s="663"/>
      <c r="H104" s="663"/>
      <c r="I104" s="663"/>
      <c r="J104" s="663"/>
      <c r="K104" s="663"/>
      <c r="L104" s="663"/>
      <c r="M104" s="663"/>
      <c r="R104" s="663"/>
      <c r="S104" s="663"/>
      <c r="T104" s="663"/>
      <c r="U104" s="663"/>
      <c r="V104" s="663"/>
      <c r="W104" s="663"/>
      <c r="X104" s="663"/>
      <c r="Y104" s="663"/>
      <c r="Z104" s="663"/>
      <c r="AB104" s="663"/>
    </row>
    <row r="105">
      <c r="B105" s="663"/>
      <c r="C105" s="663"/>
      <c r="D105" s="663"/>
      <c r="E105" s="663"/>
      <c r="F105" s="663"/>
      <c r="G105" s="663"/>
      <c r="H105" s="663"/>
      <c r="I105" s="663"/>
      <c r="J105" s="663"/>
      <c r="K105" s="663"/>
      <c r="L105" s="663"/>
      <c r="M105" s="663"/>
      <c r="R105" s="663"/>
      <c r="S105" s="663"/>
      <c r="T105" s="663"/>
      <c r="U105" s="663"/>
      <c r="V105" s="663"/>
      <c r="W105" s="663"/>
      <c r="X105" s="663"/>
      <c r="Y105" s="663"/>
      <c r="Z105" s="663"/>
      <c r="AB105" s="663"/>
    </row>
    <row r="106">
      <c r="B106" s="663"/>
      <c r="C106" s="663"/>
      <c r="D106" s="663"/>
      <c r="E106" s="663"/>
      <c r="F106" s="663"/>
      <c r="G106" s="663"/>
      <c r="H106" s="663"/>
      <c r="I106" s="663"/>
      <c r="J106" s="663"/>
      <c r="K106" s="663"/>
      <c r="L106" s="663"/>
      <c r="M106" s="663"/>
      <c r="R106" s="663"/>
      <c r="S106" s="663"/>
      <c r="T106" s="663"/>
      <c r="U106" s="663"/>
      <c r="V106" s="663"/>
      <c r="W106" s="663"/>
      <c r="X106" s="663"/>
      <c r="Y106" s="663"/>
      <c r="Z106" s="663"/>
      <c r="AB106" s="663"/>
    </row>
    <row r="107">
      <c r="B107" s="663"/>
      <c r="C107" s="663"/>
      <c r="D107" s="663"/>
      <c r="E107" s="663"/>
      <c r="F107" s="663"/>
      <c r="G107" s="663"/>
      <c r="H107" s="663"/>
      <c r="I107" s="663"/>
      <c r="J107" s="663"/>
      <c r="K107" s="663"/>
      <c r="L107" s="663"/>
      <c r="M107" s="663"/>
      <c r="R107" s="663"/>
      <c r="S107" s="663"/>
      <c r="T107" s="663"/>
      <c r="U107" s="663"/>
      <c r="V107" s="663"/>
      <c r="W107" s="663"/>
      <c r="X107" s="663"/>
      <c r="Y107" s="663"/>
      <c r="Z107" s="663"/>
      <c r="AB107" s="663"/>
    </row>
    <row r="108">
      <c r="B108" s="663"/>
      <c r="C108" s="663"/>
      <c r="D108" s="663"/>
      <c r="E108" s="663"/>
      <c r="F108" s="663"/>
      <c r="G108" s="663"/>
      <c r="H108" s="663"/>
      <c r="I108" s="663"/>
      <c r="J108" s="663"/>
      <c r="K108" s="663"/>
      <c r="L108" s="663"/>
      <c r="M108" s="663"/>
      <c r="R108" s="663"/>
      <c r="S108" s="663"/>
      <c r="T108" s="663"/>
      <c r="U108" s="663"/>
      <c r="V108" s="663"/>
      <c r="W108" s="663"/>
      <c r="X108" s="663"/>
      <c r="Y108" s="663"/>
      <c r="Z108" s="663"/>
      <c r="AB108" s="663"/>
    </row>
    <row r="109">
      <c r="B109" s="663"/>
      <c r="C109" s="663"/>
      <c r="D109" s="663"/>
      <c r="E109" s="663"/>
      <c r="F109" s="663"/>
      <c r="G109" s="663"/>
      <c r="H109" s="663"/>
      <c r="I109" s="663"/>
      <c r="J109" s="663"/>
      <c r="K109" s="663"/>
      <c r="L109" s="663"/>
      <c r="M109" s="663"/>
      <c r="R109" s="663"/>
      <c r="S109" s="663"/>
      <c r="T109" s="663"/>
      <c r="U109" s="663"/>
      <c r="V109" s="663"/>
      <c r="W109" s="663"/>
      <c r="X109" s="663"/>
      <c r="Y109" s="663"/>
      <c r="Z109" s="663"/>
      <c r="AB109" s="663"/>
    </row>
    <row r="110">
      <c r="B110" s="663"/>
      <c r="C110" s="663"/>
      <c r="D110" s="663"/>
      <c r="E110" s="663"/>
      <c r="F110" s="663"/>
      <c r="G110" s="663"/>
      <c r="H110" s="663"/>
      <c r="I110" s="663"/>
      <c r="J110" s="663"/>
      <c r="K110" s="663"/>
      <c r="L110" s="663"/>
      <c r="M110" s="663"/>
      <c r="R110" s="663"/>
      <c r="S110" s="663"/>
      <c r="T110" s="663"/>
      <c r="U110" s="663"/>
      <c r="V110" s="663"/>
      <c r="W110" s="663"/>
      <c r="X110" s="663"/>
      <c r="Y110" s="663"/>
      <c r="Z110" s="663"/>
      <c r="AB110" s="663"/>
    </row>
    <row r="111">
      <c r="B111" s="663"/>
      <c r="C111" s="663"/>
      <c r="D111" s="663"/>
      <c r="E111" s="663"/>
      <c r="F111" s="663"/>
      <c r="G111" s="663"/>
      <c r="H111" s="663"/>
      <c r="I111" s="663"/>
      <c r="J111" s="663"/>
      <c r="K111" s="663"/>
      <c r="L111" s="663"/>
      <c r="M111" s="663"/>
      <c r="R111" s="663"/>
      <c r="S111" s="663"/>
      <c r="T111" s="663"/>
      <c r="U111" s="663"/>
      <c r="V111" s="663"/>
      <c r="W111" s="663"/>
      <c r="X111" s="663"/>
      <c r="Y111" s="663"/>
      <c r="Z111" s="663"/>
      <c r="AB111" s="663"/>
    </row>
    <row r="112">
      <c r="B112" s="663"/>
      <c r="C112" s="663"/>
      <c r="D112" s="663"/>
      <c r="E112" s="663"/>
      <c r="F112" s="663"/>
      <c r="G112" s="663"/>
      <c r="H112" s="663"/>
      <c r="I112" s="663"/>
      <c r="J112" s="663"/>
      <c r="K112" s="663"/>
      <c r="L112" s="663"/>
      <c r="M112" s="663"/>
      <c r="R112" s="663"/>
      <c r="S112" s="663"/>
      <c r="T112" s="663"/>
      <c r="U112" s="663"/>
      <c r="V112" s="663"/>
      <c r="W112" s="663"/>
      <c r="X112" s="663"/>
      <c r="Y112" s="663"/>
      <c r="Z112" s="663"/>
      <c r="AB112" s="663"/>
    </row>
    <row r="113"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R113" s="663"/>
      <c r="S113" s="663"/>
      <c r="T113" s="663"/>
      <c r="U113" s="663"/>
      <c r="V113" s="663"/>
      <c r="W113" s="663"/>
      <c r="X113" s="663"/>
      <c r="Y113" s="663"/>
      <c r="Z113" s="663"/>
      <c r="AB113" s="663"/>
    </row>
    <row r="114"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R114" s="663"/>
      <c r="S114" s="663"/>
      <c r="T114" s="663"/>
      <c r="U114" s="663"/>
      <c r="V114" s="663"/>
      <c r="W114" s="663"/>
      <c r="X114" s="663"/>
      <c r="Y114" s="663"/>
      <c r="Z114" s="663"/>
      <c r="AB114" s="663"/>
    </row>
    <row r="115">
      <c r="B115" s="663"/>
      <c r="C115" s="663"/>
      <c r="D115" s="663"/>
      <c r="E115" s="663"/>
      <c r="F115" s="663"/>
      <c r="G115" s="663"/>
      <c r="H115" s="663"/>
      <c r="I115" s="663"/>
      <c r="J115" s="663"/>
      <c r="K115" s="663"/>
      <c r="L115" s="663"/>
      <c r="M115" s="663"/>
      <c r="R115" s="663"/>
      <c r="S115" s="663"/>
      <c r="T115" s="663"/>
      <c r="U115" s="663"/>
      <c r="V115" s="663"/>
      <c r="W115" s="663"/>
      <c r="X115" s="663"/>
      <c r="Y115" s="663"/>
      <c r="Z115" s="663"/>
      <c r="AB115" s="663"/>
    </row>
    <row r="116">
      <c r="B116" s="663"/>
      <c r="C116" s="663"/>
      <c r="D116" s="663"/>
      <c r="E116" s="663"/>
      <c r="F116" s="663"/>
      <c r="G116" s="663"/>
      <c r="H116" s="663"/>
      <c r="I116" s="663"/>
      <c r="J116" s="663"/>
      <c r="K116" s="663"/>
      <c r="L116" s="663"/>
      <c r="M116" s="663"/>
      <c r="R116" s="663"/>
      <c r="S116" s="663"/>
      <c r="T116" s="663"/>
      <c r="U116" s="663"/>
      <c r="V116" s="663"/>
      <c r="W116" s="663"/>
      <c r="X116" s="663"/>
      <c r="Y116" s="663"/>
      <c r="Z116" s="663"/>
      <c r="AB116" s="663"/>
    </row>
    <row r="117">
      <c r="B117" s="663"/>
      <c r="C117" s="663"/>
      <c r="D117" s="663"/>
      <c r="E117" s="663"/>
      <c r="F117" s="663"/>
      <c r="G117" s="663"/>
      <c r="H117" s="663"/>
      <c r="I117" s="663"/>
      <c r="J117" s="663"/>
      <c r="K117" s="663"/>
      <c r="L117" s="663"/>
      <c r="M117" s="663"/>
      <c r="R117" s="663"/>
      <c r="S117" s="663"/>
      <c r="T117" s="663"/>
      <c r="U117" s="663"/>
      <c r="V117" s="663"/>
      <c r="W117" s="663"/>
      <c r="X117" s="663"/>
      <c r="Y117" s="663"/>
      <c r="Z117" s="663"/>
      <c r="AB117" s="663"/>
    </row>
    <row r="118">
      <c r="B118" s="663"/>
      <c r="C118" s="663"/>
      <c r="D118" s="663"/>
      <c r="E118" s="663"/>
      <c r="F118" s="663"/>
      <c r="G118" s="663"/>
      <c r="H118" s="663"/>
      <c r="I118" s="663"/>
      <c r="J118" s="663"/>
      <c r="K118" s="663"/>
      <c r="L118" s="663"/>
      <c r="M118" s="663"/>
      <c r="R118" s="663"/>
      <c r="S118" s="663"/>
      <c r="T118" s="663"/>
      <c r="U118" s="663"/>
      <c r="V118" s="663"/>
      <c r="W118" s="663"/>
      <c r="X118" s="663"/>
      <c r="Y118" s="663"/>
      <c r="Z118" s="663"/>
      <c r="AB118" s="663"/>
    </row>
    <row r="119">
      <c r="B119" s="663"/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R119" s="663"/>
      <c r="S119" s="663"/>
      <c r="T119" s="663"/>
      <c r="U119" s="663"/>
      <c r="V119" s="663"/>
      <c r="W119" s="663"/>
      <c r="X119" s="663"/>
      <c r="Y119" s="663"/>
      <c r="Z119" s="663"/>
      <c r="AB119" s="663"/>
    </row>
    <row r="120">
      <c r="B120" s="663"/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R120" s="663"/>
      <c r="S120" s="663"/>
      <c r="T120" s="663"/>
      <c r="U120" s="663"/>
      <c r="V120" s="663"/>
      <c r="W120" s="663"/>
      <c r="X120" s="663"/>
      <c r="Y120" s="663"/>
      <c r="Z120" s="663"/>
      <c r="AB120" s="663"/>
    </row>
    <row r="121">
      <c r="B121" s="663"/>
      <c r="C121" s="663"/>
      <c r="D121" s="663"/>
      <c r="E121" s="663"/>
      <c r="F121" s="663"/>
      <c r="G121" s="663"/>
      <c r="H121" s="663"/>
      <c r="I121" s="663"/>
      <c r="J121" s="663"/>
      <c r="K121" s="663"/>
      <c r="L121" s="663"/>
      <c r="M121" s="663"/>
      <c r="R121" s="663"/>
      <c r="S121" s="663"/>
      <c r="T121" s="663"/>
      <c r="U121" s="663"/>
      <c r="V121" s="663"/>
      <c r="W121" s="663"/>
      <c r="X121" s="663"/>
      <c r="Y121" s="663"/>
      <c r="Z121" s="663"/>
      <c r="AB121" s="663"/>
    </row>
    <row r="122">
      <c r="B122" s="663"/>
      <c r="C122" s="663"/>
      <c r="D122" s="663"/>
      <c r="E122" s="663"/>
      <c r="F122" s="663"/>
      <c r="G122" s="663"/>
      <c r="H122" s="663"/>
      <c r="I122" s="663"/>
      <c r="J122" s="663"/>
      <c r="K122" s="663"/>
      <c r="L122" s="663"/>
      <c r="M122" s="663"/>
      <c r="R122" s="663"/>
      <c r="S122" s="663"/>
      <c r="T122" s="663"/>
      <c r="U122" s="663"/>
      <c r="V122" s="663"/>
      <c r="W122" s="663"/>
      <c r="X122" s="663"/>
      <c r="Y122" s="663"/>
      <c r="Z122" s="663"/>
      <c r="AB122" s="663"/>
    </row>
    <row r="123">
      <c r="B123" s="663"/>
      <c r="C123" s="663"/>
      <c r="D123" s="663"/>
      <c r="E123" s="663"/>
      <c r="F123" s="663"/>
      <c r="G123" s="663"/>
      <c r="H123" s="663"/>
      <c r="I123" s="663"/>
      <c r="J123" s="663"/>
      <c r="K123" s="663"/>
      <c r="L123" s="663"/>
      <c r="M123" s="663"/>
      <c r="R123" s="663"/>
      <c r="S123" s="663"/>
      <c r="T123" s="663"/>
      <c r="U123" s="663"/>
      <c r="V123" s="663"/>
      <c r="W123" s="663"/>
      <c r="X123" s="663"/>
      <c r="Y123" s="663"/>
      <c r="Z123" s="663"/>
      <c r="AB123" s="663"/>
    </row>
    <row r="124">
      <c r="B124" s="663"/>
      <c r="C124" s="663"/>
      <c r="D124" s="663"/>
      <c r="E124" s="663"/>
      <c r="F124" s="663"/>
      <c r="G124" s="663"/>
      <c r="H124" s="663"/>
      <c r="I124" s="663"/>
      <c r="J124" s="663"/>
      <c r="K124" s="663"/>
      <c r="L124" s="663"/>
      <c r="M124" s="663"/>
      <c r="R124" s="663"/>
      <c r="S124" s="663"/>
      <c r="T124" s="663"/>
      <c r="U124" s="663"/>
      <c r="V124" s="663"/>
      <c r="W124" s="663"/>
      <c r="X124" s="663"/>
      <c r="Y124" s="663"/>
      <c r="Z124" s="663"/>
      <c r="AB124" s="663"/>
    </row>
    <row r="125">
      <c r="B125" s="663"/>
      <c r="C125" s="663"/>
      <c r="D125" s="663"/>
      <c r="E125" s="663"/>
      <c r="F125" s="663"/>
      <c r="G125" s="663"/>
      <c r="H125" s="663"/>
      <c r="I125" s="663"/>
      <c r="J125" s="663"/>
      <c r="K125" s="663"/>
      <c r="L125" s="663"/>
      <c r="M125" s="663"/>
      <c r="R125" s="663"/>
      <c r="S125" s="663"/>
      <c r="T125" s="663"/>
      <c r="U125" s="663"/>
      <c r="V125" s="663"/>
      <c r="W125" s="663"/>
      <c r="X125" s="663"/>
      <c r="Y125" s="663"/>
      <c r="Z125" s="663"/>
      <c r="AB125" s="663"/>
    </row>
    <row r="126">
      <c r="B126" s="663"/>
      <c r="C126" s="663"/>
      <c r="D126" s="663"/>
      <c r="E126" s="663"/>
      <c r="F126" s="663"/>
      <c r="G126" s="663"/>
      <c r="H126" s="663"/>
      <c r="I126" s="663"/>
      <c r="J126" s="663"/>
      <c r="K126" s="663"/>
      <c r="L126" s="663"/>
      <c r="M126" s="663"/>
      <c r="R126" s="663"/>
      <c r="S126" s="663"/>
      <c r="T126" s="663"/>
      <c r="U126" s="663"/>
      <c r="V126" s="663"/>
      <c r="W126" s="663"/>
      <c r="X126" s="663"/>
      <c r="Y126" s="663"/>
      <c r="Z126" s="663"/>
      <c r="AB126" s="663"/>
    </row>
    <row r="127">
      <c r="B127" s="663"/>
      <c r="C127" s="663"/>
      <c r="D127" s="663"/>
      <c r="E127" s="663"/>
      <c r="F127" s="663"/>
      <c r="G127" s="663"/>
      <c r="H127" s="663"/>
      <c r="I127" s="663"/>
      <c r="J127" s="663"/>
      <c r="K127" s="663"/>
      <c r="L127" s="663"/>
      <c r="M127" s="663"/>
      <c r="R127" s="663"/>
      <c r="S127" s="663"/>
      <c r="T127" s="663"/>
      <c r="U127" s="663"/>
      <c r="V127" s="663"/>
      <c r="W127" s="663"/>
      <c r="X127" s="663"/>
      <c r="Y127" s="663"/>
      <c r="Z127" s="663"/>
      <c r="AB127" s="663"/>
    </row>
    <row r="128">
      <c r="B128" s="663"/>
      <c r="C128" s="663"/>
      <c r="D128" s="663"/>
      <c r="E128" s="663"/>
      <c r="F128" s="663"/>
      <c r="G128" s="663"/>
      <c r="H128" s="663"/>
      <c r="I128" s="663"/>
      <c r="J128" s="663"/>
      <c r="K128" s="663"/>
      <c r="L128" s="663"/>
      <c r="M128" s="663"/>
      <c r="R128" s="663"/>
      <c r="S128" s="663"/>
      <c r="T128" s="663"/>
      <c r="U128" s="663"/>
      <c r="V128" s="663"/>
      <c r="W128" s="663"/>
      <c r="X128" s="663"/>
      <c r="Y128" s="663"/>
      <c r="Z128" s="663"/>
      <c r="AB128" s="663"/>
    </row>
    <row r="129">
      <c r="B129" s="663"/>
      <c r="C129" s="663"/>
      <c r="D129" s="663"/>
      <c r="E129" s="663"/>
      <c r="F129" s="663"/>
      <c r="G129" s="663"/>
      <c r="H129" s="663"/>
      <c r="I129" s="663"/>
      <c r="J129" s="663"/>
      <c r="K129" s="663"/>
      <c r="L129" s="663"/>
      <c r="M129" s="663"/>
      <c r="R129" s="663"/>
      <c r="S129" s="663"/>
      <c r="T129" s="663"/>
      <c r="U129" s="663"/>
      <c r="V129" s="663"/>
      <c r="W129" s="663"/>
      <c r="X129" s="663"/>
      <c r="Y129" s="663"/>
      <c r="Z129" s="663"/>
      <c r="AB129" s="663"/>
    </row>
    <row r="130"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R130" s="663"/>
      <c r="S130" s="663"/>
      <c r="T130" s="663"/>
      <c r="U130" s="663"/>
      <c r="V130" s="663"/>
      <c r="W130" s="663"/>
      <c r="X130" s="663"/>
      <c r="Y130" s="663"/>
      <c r="Z130" s="663"/>
      <c r="AB130" s="663"/>
    </row>
    <row r="131">
      <c r="B131" s="663"/>
      <c r="C131" s="663"/>
      <c r="D131" s="663"/>
      <c r="E131" s="663"/>
      <c r="F131" s="663"/>
      <c r="G131" s="663"/>
      <c r="H131" s="663"/>
      <c r="I131" s="663"/>
      <c r="J131" s="663"/>
      <c r="K131" s="663"/>
      <c r="L131" s="663"/>
      <c r="M131" s="663"/>
      <c r="R131" s="663"/>
      <c r="S131" s="663"/>
      <c r="T131" s="663"/>
      <c r="U131" s="663"/>
      <c r="V131" s="663"/>
      <c r="W131" s="663"/>
      <c r="X131" s="663"/>
      <c r="Y131" s="663"/>
      <c r="Z131" s="663"/>
      <c r="AB131" s="663"/>
    </row>
    <row r="132">
      <c r="B132" s="663"/>
      <c r="C132" s="663"/>
      <c r="D132" s="663"/>
      <c r="E132" s="663"/>
      <c r="F132" s="663"/>
      <c r="G132" s="663"/>
      <c r="H132" s="663"/>
      <c r="I132" s="663"/>
      <c r="J132" s="663"/>
      <c r="K132" s="663"/>
      <c r="L132" s="663"/>
      <c r="M132" s="663"/>
      <c r="R132" s="663"/>
      <c r="S132" s="663"/>
      <c r="T132" s="663"/>
      <c r="U132" s="663"/>
      <c r="V132" s="663"/>
      <c r="W132" s="663"/>
      <c r="X132" s="663"/>
      <c r="Y132" s="663"/>
      <c r="Z132" s="663"/>
      <c r="AB132" s="663"/>
    </row>
    <row r="133">
      <c r="B133" s="663"/>
      <c r="C133" s="663"/>
      <c r="D133" s="663"/>
      <c r="E133" s="663"/>
      <c r="F133" s="663"/>
      <c r="G133" s="663"/>
      <c r="H133" s="663"/>
      <c r="I133" s="663"/>
      <c r="J133" s="663"/>
      <c r="K133" s="663"/>
      <c r="L133" s="663"/>
      <c r="M133" s="663"/>
      <c r="R133" s="663"/>
      <c r="S133" s="663"/>
      <c r="T133" s="663"/>
      <c r="U133" s="663"/>
      <c r="V133" s="663"/>
      <c r="W133" s="663"/>
      <c r="X133" s="663"/>
      <c r="Y133" s="663"/>
      <c r="Z133" s="663"/>
      <c r="AB133" s="663"/>
    </row>
    <row r="134">
      <c r="B134" s="663"/>
      <c r="C134" s="663"/>
      <c r="D134" s="663"/>
      <c r="E134" s="663"/>
      <c r="F134" s="663"/>
      <c r="G134" s="663"/>
      <c r="H134" s="663"/>
      <c r="I134" s="663"/>
      <c r="J134" s="663"/>
      <c r="K134" s="663"/>
      <c r="L134" s="663"/>
      <c r="M134" s="663"/>
      <c r="R134" s="663"/>
      <c r="S134" s="663"/>
      <c r="T134" s="663"/>
      <c r="U134" s="663"/>
      <c r="V134" s="663"/>
      <c r="W134" s="663"/>
      <c r="X134" s="663"/>
      <c r="Y134" s="663"/>
      <c r="Z134" s="663"/>
      <c r="AB134" s="663"/>
    </row>
    <row r="135">
      <c r="B135" s="663"/>
      <c r="C135" s="663"/>
      <c r="D135" s="663"/>
      <c r="E135" s="663"/>
      <c r="F135" s="663"/>
      <c r="G135" s="663"/>
      <c r="H135" s="663"/>
      <c r="I135" s="663"/>
      <c r="J135" s="663"/>
      <c r="K135" s="663"/>
      <c r="L135" s="663"/>
      <c r="M135" s="663"/>
      <c r="R135" s="663"/>
      <c r="S135" s="663"/>
      <c r="T135" s="663"/>
      <c r="U135" s="663"/>
      <c r="V135" s="663"/>
      <c r="W135" s="663"/>
      <c r="X135" s="663"/>
      <c r="Y135" s="663"/>
      <c r="Z135" s="663"/>
      <c r="AB135" s="663"/>
    </row>
    <row r="136"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B136" s="663"/>
    </row>
    <row r="137">
      <c r="B137" s="663"/>
      <c r="C137" s="663"/>
      <c r="D137" s="663"/>
      <c r="E137" s="663"/>
      <c r="F137" s="663"/>
      <c r="G137" s="663"/>
      <c r="H137" s="663"/>
      <c r="I137" s="663"/>
      <c r="J137" s="663"/>
      <c r="K137" s="663"/>
      <c r="L137" s="663"/>
      <c r="M137" s="663"/>
      <c r="R137" s="663"/>
      <c r="S137" s="663"/>
      <c r="T137" s="663"/>
      <c r="U137" s="663"/>
      <c r="V137" s="663"/>
      <c r="W137" s="663"/>
      <c r="X137" s="663"/>
      <c r="Y137" s="663"/>
      <c r="Z137" s="663"/>
      <c r="AB137" s="663"/>
    </row>
    <row r="138">
      <c r="B138" s="663"/>
      <c r="C138" s="663"/>
      <c r="D138" s="663"/>
      <c r="E138" s="663"/>
      <c r="F138" s="663"/>
      <c r="G138" s="663"/>
      <c r="H138" s="663"/>
      <c r="I138" s="663"/>
      <c r="J138" s="663"/>
      <c r="K138" s="663"/>
      <c r="L138" s="663"/>
      <c r="M138" s="663"/>
      <c r="R138" s="663"/>
      <c r="S138" s="663"/>
      <c r="T138" s="663"/>
      <c r="U138" s="663"/>
      <c r="V138" s="663"/>
      <c r="W138" s="663"/>
      <c r="X138" s="663"/>
      <c r="Y138" s="663"/>
      <c r="Z138" s="663"/>
      <c r="AB138" s="663"/>
    </row>
    <row r="139">
      <c r="B139" s="663"/>
      <c r="C139" s="663"/>
      <c r="D139" s="663"/>
      <c r="E139" s="663"/>
      <c r="F139" s="663"/>
      <c r="G139" s="663"/>
      <c r="H139" s="663"/>
      <c r="I139" s="663"/>
      <c r="J139" s="663"/>
      <c r="K139" s="663"/>
      <c r="L139" s="663"/>
      <c r="M139" s="663"/>
      <c r="R139" s="663"/>
      <c r="S139" s="663"/>
      <c r="T139" s="663"/>
      <c r="U139" s="663"/>
      <c r="V139" s="663"/>
      <c r="W139" s="663"/>
      <c r="X139" s="663"/>
      <c r="Y139" s="663"/>
      <c r="Z139" s="663"/>
      <c r="AB139" s="663"/>
    </row>
    <row r="140">
      <c r="B140" s="663"/>
      <c r="C140" s="663"/>
      <c r="D140" s="663"/>
      <c r="E140" s="663"/>
      <c r="F140" s="663"/>
      <c r="G140" s="663"/>
      <c r="H140" s="663"/>
      <c r="I140" s="663"/>
      <c r="J140" s="663"/>
      <c r="K140" s="663"/>
      <c r="L140" s="663"/>
      <c r="M140" s="663"/>
      <c r="R140" s="663"/>
      <c r="S140" s="663"/>
      <c r="T140" s="663"/>
      <c r="U140" s="663"/>
      <c r="V140" s="663"/>
      <c r="W140" s="663"/>
      <c r="X140" s="663"/>
      <c r="Y140" s="663"/>
      <c r="Z140" s="663"/>
      <c r="AB140" s="663"/>
    </row>
    <row r="141">
      <c r="B141" s="663"/>
      <c r="C141" s="663"/>
      <c r="D141" s="663"/>
      <c r="E141" s="663"/>
      <c r="F141" s="663"/>
      <c r="G141" s="663"/>
      <c r="H141" s="663"/>
      <c r="I141" s="663"/>
      <c r="J141" s="663"/>
      <c r="K141" s="663"/>
      <c r="L141" s="663"/>
      <c r="M141" s="663"/>
      <c r="R141" s="663"/>
      <c r="S141" s="663"/>
      <c r="T141" s="663"/>
      <c r="U141" s="663"/>
      <c r="V141" s="663"/>
      <c r="W141" s="663"/>
      <c r="X141" s="663"/>
      <c r="Y141" s="663"/>
      <c r="Z141" s="663"/>
      <c r="AB141" s="663"/>
    </row>
    <row r="142">
      <c r="B142" s="663"/>
      <c r="C142" s="663"/>
      <c r="D142" s="663"/>
      <c r="E142" s="663"/>
      <c r="F142" s="663"/>
      <c r="G142" s="663"/>
      <c r="H142" s="663"/>
      <c r="I142" s="663"/>
      <c r="J142" s="663"/>
      <c r="K142" s="663"/>
      <c r="L142" s="663"/>
      <c r="M142" s="663"/>
      <c r="R142" s="663"/>
      <c r="S142" s="663"/>
      <c r="T142" s="663"/>
      <c r="U142" s="663"/>
      <c r="V142" s="663"/>
      <c r="W142" s="663"/>
      <c r="X142" s="663"/>
      <c r="Y142" s="663"/>
      <c r="Z142" s="663"/>
      <c r="AB142" s="663"/>
    </row>
    <row r="143">
      <c r="B143" s="663"/>
      <c r="C143" s="663"/>
      <c r="D143" s="663"/>
      <c r="E143" s="663"/>
      <c r="F143" s="663"/>
      <c r="G143" s="663"/>
      <c r="H143" s="663"/>
      <c r="I143" s="663"/>
      <c r="J143" s="663"/>
      <c r="K143" s="663"/>
      <c r="L143" s="663"/>
      <c r="M143" s="663"/>
      <c r="R143" s="663"/>
      <c r="S143" s="663"/>
      <c r="T143" s="663"/>
      <c r="U143" s="663"/>
      <c r="V143" s="663"/>
      <c r="W143" s="663"/>
      <c r="X143" s="663"/>
      <c r="Y143" s="663"/>
      <c r="Z143" s="663"/>
      <c r="AB143" s="663"/>
    </row>
    <row r="144">
      <c r="B144" s="663"/>
      <c r="C144" s="663"/>
      <c r="D144" s="663"/>
      <c r="E144" s="663"/>
      <c r="F144" s="663"/>
      <c r="G144" s="663"/>
      <c r="H144" s="663"/>
      <c r="I144" s="663"/>
      <c r="J144" s="663"/>
      <c r="K144" s="663"/>
      <c r="L144" s="663"/>
      <c r="M144" s="663"/>
      <c r="R144" s="663"/>
      <c r="S144" s="663"/>
      <c r="T144" s="663"/>
      <c r="U144" s="663"/>
      <c r="V144" s="663"/>
      <c r="W144" s="663"/>
      <c r="X144" s="663"/>
      <c r="Y144" s="663"/>
      <c r="Z144" s="663"/>
      <c r="AB144" s="663"/>
    </row>
    <row r="145">
      <c r="B145" s="663"/>
      <c r="C145" s="663"/>
      <c r="D145" s="663"/>
      <c r="E145" s="663"/>
      <c r="F145" s="663"/>
      <c r="G145" s="663"/>
      <c r="H145" s="663"/>
      <c r="I145" s="663"/>
      <c r="J145" s="663"/>
      <c r="K145" s="663"/>
      <c r="L145" s="663"/>
      <c r="M145" s="663"/>
      <c r="R145" s="663"/>
      <c r="S145" s="663"/>
      <c r="T145" s="663"/>
      <c r="U145" s="663"/>
      <c r="V145" s="663"/>
      <c r="W145" s="663"/>
      <c r="X145" s="663"/>
      <c r="Y145" s="663"/>
      <c r="Z145" s="663"/>
      <c r="AB145" s="663"/>
    </row>
    <row r="146"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R146" s="663"/>
      <c r="S146" s="663"/>
      <c r="T146" s="663"/>
      <c r="U146" s="663"/>
      <c r="V146" s="663"/>
      <c r="W146" s="663"/>
      <c r="X146" s="663"/>
      <c r="Y146" s="663"/>
      <c r="Z146" s="663"/>
      <c r="AB146" s="663"/>
    </row>
    <row r="147"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R147" s="663"/>
      <c r="S147" s="663"/>
      <c r="T147" s="663"/>
      <c r="U147" s="663"/>
      <c r="V147" s="663"/>
      <c r="W147" s="663"/>
      <c r="X147" s="663"/>
      <c r="Y147" s="663"/>
      <c r="Z147" s="663"/>
      <c r="AB147" s="663"/>
    </row>
    <row r="148">
      <c r="B148" s="663"/>
      <c r="C148" s="663"/>
      <c r="D148" s="663"/>
      <c r="E148" s="663"/>
      <c r="F148" s="663"/>
      <c r="G148" s="663"/>
      <c r="H148" s="663"/>
      <c r="I148" s="663"/>
      <c r="J148" s="663"/>
      <c r="K148" s="663"/>
      <c r="L148" s="663"/>
      <c r="M148" s="663"/>
      <c r="R148" s="663"/>
      <c r="S148" s="663"/>
      <c r="T148" s="663"/>
      <c r="U148" s="663"/>
      <c r="V148" s="663"/>
      <c r="W148" s="663"/>
      <c r="X148" s="663"/>
      <c r="Y148" s="663"/>
      <c r="Z148" s="663"/>
      <c r="AB148" s="663"/>
    </row>
    <row r="149">
      <c r="B149" s="663"/>
      <c r="C149" s="663"/>
      <c r="D149" s="663"/>
      <c r="E149" s="663"/>
      <c r="F149" s="663"/>
      <c r="G149" s="663"/>
      <c r="H149" s="663"/>
      <c r="I149" s="663"/>
      <c r="J149" s="663"/>
      <c r="K149" s="663"/>
      <c r="L149" s="663"/>
      <c r="M149" s="663"/>
      <c r="R149" s="663"/>
      <c r="S149" s="663"/>
      <c r="T149" s="663"/>
      <c r="U149" s="663"/>
      <c r="V149" s="663"/>
      <c r="W149" s="663"/>
      <c r="X149" s="663"/>
      <c r="Y149" s="663"/>
      <c r="Z149" s="663"/>
      <c r="AB149" s="663"/>
    </row>
    <row r="150">
      <c r="B150" s="663"/>
      <c r="C150" s="663"/>
      <c r="D150" s="663"/>
      <c r="E150" s="663"/>
      <c r="F150" s="663"/>
      <c r="G150" s="663"/>
      <c r="H150" s="663"/>
      <c r="I150" s="663"/>
      <c r="J150" s="663"/>
      <c r="K150" s="663"/>
      <c r="L150" s="663"/>
      <c r="M150" s="663"/>
      <c r="R150" s="663"/>
      <c r="S150" s="663"/>
      <c r="T150" s="663"/>
      <c r="U150" s="663"/>
      <c r="V150" s="663"/>
      <c r="W150" s="663"/>
      <c r="X150" s="663"/>
      <c r="Y150" s="663"/>
      <c r="Z150" s="663"/>
      <c r="AB150" s="663"/>
    </row>
    <row r="151">
      <c r="B151" s="663"/>
      <c r="C151" s="663"/>
      <c r="D151" s="663"/>
      <c r="E151" s="663"/>
      <c r="F151" s="663"/>
      <c r="G151" s="663"/>
      <c r="H151" s="663"/>
      <c r="I151" s="663"/>
      <c r="J151" s="663"/>
      <c r="K151" s="663"/>
      <c r="L151" s="663"/>
      <c r="M151" s="663"/>
      <c r="R151" s="663"/>
      <c r="S151" s="663"/>
      <c r="T151" s="663"/>
      <c r="U151" s="663"/>
      <c r="V151" s="663"/>
      <c r="W151" s="663"/>
      <c r="X151" s="663"/>
      <c r="Y151" s="663"/>
      <c r="Z151" s="663"/>
      <c r="AB151" s="663"/>
    </row>
    <row r="152"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B152" s="663"/>
    </row>
    <row r="153">
      <c r="B153" s="663"/>
      <c r="C153" s="663"/>
      <c r="D153" s="663"/>
      <c r="E153" s="663"/>
      <c r="F153" s="663"/>
      <c r="G153" s="663"/>
      <c r="H153" s="663"/>
      <c r="I153" s="663"/>
      <c r="J153" s="663"/>
      <c r="K153" s="663"/>
      <c r="L153" s="663"/>
      <c r="M153" s="663"/>
      <c r="R153" s="663"/>
      <c r="S153" s="663"/>
      <c r="T153" s="663"/>
      <c r="U153" s="663"/>
      <c r="V153" s="663"/>
      <c r="W153" s="663"/>
      <c r="X153" s="663"/>
      <c r="Y153" s="663"/>
      <c r="Z153" s="663"/>
      <c r="AB153" s="663"/>
    </row>
    <row r="154">
      <c r="B154" s="663"/>
      <c r="C154" s="663"/>
      <c r="D154" s="663"/>
      <c r="E154" s="663"/>
      <c r="F154" s="663"/>
      <c r="G154" s="663"/>
      <c r="H154" s="663"/>
      <c r="I154" s="663"/>
      <c r="J154" s="663"/>
      <c r="K154" s="663"/>
      <c r="L154" s="663"/>
      <c r="M154" s="663"/>
      <c r="R154" s="663"/>
      <c r="S154" s="663"/>
      <c r="T154" s="663"/>
      <c r="U154" s="663"/>
      <c r="V154" s="663"/>
      <c r="W154" s="663"/>
      <c r="X154" s="663"/>
      <c r="Y154" s="663"/>
      <c r="Z154" s="663"/>
      <c r="AB154" s="663"/>
    </row>
    <row r="155">
      <c r="B155" s="663"/>
      <c r="C155" s="663"/>
      <c r="D155" s="663"/>
      <c r="E155" s="663"/>
      <c r="F155" s="663"/>
      <c r="G155" s="663"/>
      <c r="H155" s="663"/>
      <c r="I155" s="663"/>
      <c r="J155" s="663"/>
      <c r="K155" s="663"/>
      <c r="L155" s="663"/>
      <c r="M155" s="663"/>
      <c r="R155" s="663"/>
      <c r="S155" s="663"/>
      <c r="T155" s="663"/>
      <c r="U155" s="663"/>
      <c r="V155" s="663"/>
      <c r="W155" s="663"/>
      <c r="X155" s="663"/>
      <c r="Y155" s="663"/>
      <c r="Z155" s="663"/>
      <c r="AB155" s="663"/>
    </row>
    <row r="156">
      <c r="B156" s="663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R156" s="663"/>
      <c r="S156" s="663"/>
      <c r="T156" s="663"/>
      <c r="U156" s="663"/>
      <c r="V156" s="663"/>
      <c r="W156" s="663"/>
      <c r="X156" s="663"/>
      <c r="Y156" s="663"/>
      <c r="Z156" s="663"/>
      <c r="AB156" s="663"/>
    </row>
    <row r="157">
      <c r="B157" s="663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R157" s="663"/>
      <c r="S157" s="663"/>
      <c r="T157" s="663"/>
      <c r="U157" s="663"/>
      <c r="V157" s="663"/>
      <c r="W157" s="663"/>
      <c r="X157" s="663"/>
      <c r="Y157" s="663"/>
      <c r="Z157" s="663"/>
      <c r="AB157" s="663"/>
    </row>
    <row r="158">
      <c r="B158" s="663"/>
      <c r="C158" s="663"/>
      <c r="D158" s="663"/>
      <c r="E158" s="663"/>
      <c r="F158" s="663"/>
      <c r="G158" s="663"/>
      <c r="H158" s="663"/>
      <c r="I158" s="663"/>
      <c r="J158" s="663"/>
      <c r="K158" s="663"/>
      <c r="L158" s="663"/>
      <c r="M158" s="663"/>
      <c r="R158" s="663"/>
      <c r="S158" s="663"/>
      <c r="T158" s="663"/>
      <c r="U158" s="663"/>
      <c r="V158" s="663"/>
      <c r="W158" s="663"/>
      <c r="X158" s="663"/>
      <c r="Y158" s="663"/>
      <c r="Z158" s="663"/>
      <c r="AB158" s="663"/>
    </row>
    <row r="159">
      <c r="B159" s="663"/>
      <c r="C159" s="663"/>
      <c r="D159" s="663"/>
      <c r="E159" s="663"/>
      <c r="F159" s="663"/>
      <c r="G159" s="663"/>
      <c r="H159" s="663"/>
      <c r="I159" s="663"/>
      <c r="J159" s="663"/>
      <c r="K159" s="663"/>
      <c r="L159" s="663"/>
      <c r="M159" s="663"/>
      <c r="R159" s="663"/>
      <c r="S159" s="663"/>
      <c r="T159" s="663"/>
      <c r="U159" s="663"/>
      <c r="V159" s="663"/>
      <c r="W159" s="663"/>
      <c r="X159" s="663"/>
      <c r="Y159" s="663"/>
      <c r="Z159" s="663"/>
      <c r="AB159" s="663"/>
    </row>
    <row r="160">
      <c r="B160" s="663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R160" s="663"/>
      <c r="S160" s="663"/>
      <c r="T160" s="663"/>
      <c r="U160" s="663"/>
      <c r="V160" s="663"/>
      <c r="W160" s="663"/>
      <c r="X160" s="663"/>
      <c r="Y160" s="663"/>
      <c r="Z160" s="663"/>
      <c r="AB160" s="663"/>
    </row>
    <row r="161"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R161" s="663"/>
      <c r="S161" s="663"/>
      <c r="T161" s="663"/>
      <c r="U161" s="663"/>
      <c r="V161" s="663"/>
      <c r="W161" s="663"/>
      <c r="X161" s="663"/>
      <c r="Y161" s="663"/>
      <c r="Z161" s="663"/>
      <c r="AB161" s="663"/>
    </row>
    <row r="162">
      <c r="B162" s="663"/>
      <c r="C162" s="663"/>
      <c r="D162" s="663"/>
      <c r="E162" s="663"/>
      <c r="F162" s="663"/>
      <c r="G162" s="663"/>
      <c r="H162" s="663"/>
      <c r="I162" s="663"/>
      <c r="J162" s="663"/>
      <c r="K162" s="663"/>
      <c r="L162" s="663"/>
      <c r="M162" s="663"/>
      <c r="R162" s="663"/>
      <c r="S162" s="663"/>
      <c r="T162" s="663"/>
      <c r="U162" s="663"/>
      <c r="V162" s="663"/>
      <c r="W162" s="663"/>
      <c r="X162" s="663"/>
      <c r="Y162" s="663"/>
      <c r="Z162" s="663"/>
      <c r="AB162" s="663"/>
    </row>
    <row r="163">
      <c r="B163" s="663"/>
      <c r="C163" s="663"/>
      <c r="D163" s="663"/>
      <c r="E163" s="663"/>
      <c r="F163" s="663"/>
      <c r="G163" s="663"/>
      <c r="H163" s="663"/>
      <c r="I163" s="663"/>
      <c r="J163" s="663"/>
      <c r="K163" s="663"/>
      <c r="L163" s="663"/>
      <c r="M163" s="663"/>
      <c r="R163" s="663"/>
      <c r="S163" s="663"/>
      <c r="T163" s="663"/>
      <c r="U163" s="663"/>
      <c r="V163" s="663"/>
      <c r="W163" s="663"/>
      <c r="X163" s="663"/>
      <c r="Y163" s="663"/>
      <c r="Z163" s="663"/>
      <c r="AB163" s="663"/>
    </row>
    <row r="164">
      <c r="B164" s="663"/>
      <c r="C164" s="663"/>
      <c r="D164" s="663"/>
      <c r="E164" s="663"/>
      <c r="F164" s="663"/>
      <c r="G164" s="663"/>
      <c r="H164" s="663"/>
      <c r="I164" s="663"/>
      <c r="J164" s="663"/>
      <c r="K164" s="663"/>
      <c r="L164" s="663"/>
      <c r="M164" s="663"/>
      <c r="R164" s="663"/>
      <c r="S164" s="663"/>
      <c r="T164" s="663"/>
      <c r="U164" s="663"/>
      <c r="V164" s="663"/>
      <c r="W164" s="663"/>
      <c r="X164" s="663"/>
      <c r="Y164" s="663"/>
      <c r="Z164" s="663"/>
      <c r="AB164" s="663"/>
    </row>
    <row r="165">
      <c r="B165" s="663"/>
      <c r="C165" s="663"/>
      <c r="D165" s="663"/>
      <c r="E165" s="663"/>
      <c r="F165" s="663"/>
      <c r="G165" s="663"/>
      <c r="H165" s="663"/>
      <c r="I165" s="663"/>
      <c r="J165" s="663"/>
      <c r="K165" s="663"/>
      <c r="L165" s="663"/>
      <c r="M165" s="663"/>
      <c r="R165" s="663"/>
      <c r="S165" s="663"/>
      <c r="T165" s="663"/>
      <c r="U165" s="663"/>
      <c r="V165" s="663"/>
      <c r="W165" s="663"/>
      <c r="X165" s="663"/>
      <c r="Y165" s="663"/>
      <c r="Z165" s="663"/>
      <c r="AB165" s="663"/>
    </row>
    <row r="166">
      <c r="B166" s="663"/>
      <c r="C166" s="663"/>
      <c r="D166" s="663"/>
      <c r="E166" s="663"/>
      <c r="F166" s="663"/>
      <c r="G166" s="663"/>
      <c r="H166" s="663"/>
      <c r="I166" s="663"/>
      <c r="J166" s="663"/>
      <c r="K166" s="663"/>
      <c r="L166" s="663"/>
      <c r="M166" s="663"/>
      <c r="R166" s="663"/>
      <c r="S166" s="663"/>
      <c r="T166" s="663"/>
      <c r="U166" s="663"/>
      <c r="V166" s="663"/>
      <c r="W166" s="663"/>
      <c r="X166" s="663"/>
      <c r="Y166" s="663"/>
      <c r="Z166" s="663"/>
      <c r="AB166" s="663"/>
    </row>
    <row r="167"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B167" s="663"/>
    </row>
    <row r="168"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R168" s="663"/>
      <c r="S168" s="663"/>
      <c r="T168" s="663"/>
      <c r="U168" s="663"/>
      <c r="V168" s="663"/>
      <c r="W168" s="663"/>
      <c r="X168" s="663"/>
      <c r="Y168" s="663"/>
      <c r="Z168" s="663"/>
      <c r="AB168" s="663"/>
    </row>
    <row r="169"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R169" s="663"/>
      <c r="S169" s="663"/>
      <c r="T169" s="663"/>
      <c r="U169" s="663"/>
      <c r="V169" s="663"/>
      <c r="W169" s="663"/>
      <c r="X169" s="663"/>
      <c r="Y169" s="663"/>
      <c r="Z169" s="663"/>
      <c r="AB169" s="663"/>
    </row>
    <row r="170">
      <c r="B170" s="663"/>
      <c r="C170" s="663"/>
      <c r="D170" s="663"/>
      <c r="E170" s="663"/>
      <c r="F170" s="663"/>
      <c r="G170" s="663"/>
      <c r="H170" s="663"/>
      <c r="I170" s="663"/>
      <c r="J170" s="663"/>
      <c r="K170" s="663"/>
      <c r="L170" s="663"/>
      <c r="M170" s="663"/>
      <c r="R170" s="663"/>
      <c r="S170" s="663"/>
      <c r="T170" s="663"/>
      <c r="U170" s="663"/>
      <c r="V170" s="663"/>
      <c r="W170" s="663"/>
      <c r="X170" s="663"/>
      <c r="Y170" s="663"/>
      <c r="Z170" s="663"/>
      <c r="AB170" s="663"/>
    </row>
    <row r="171">
      <c r="B171" s="663"/>
      <c r="C171" s="663"/>
      <c r="D171" s="663"/>
      <c r="E171" s="663"/>
      <c r="F171" s="663"/>
      <c r="G171" s="663"/>
      <c r="H171" s="663"/>
      <c r="I171" s="663"/>
      <c r="J171" s="663"/>
      <c r="K171" s="663"/>
      <c r="L171" s="663"/>
      <c r="M171" s="663"/>
      <c r="R171" s="663"/>
      <c r="S171" s="663"/>
      <c r="T171" s="663"/>
      <c r="U171" s="663"/>
      <c r="V171" s="663"/>
      <c r="W171" s="663"/>
      <c r="X171" s="663"/>
      <c r="Y171" s="663"/>
      <c r="Z171" s="663"/>
      <c r="AB171" s="663"/>
    </row>
    <row r="172">
      <c r="B172" s="663"/>
      <c r="C172" s="663"/>
      <c r="D172" s="663"/>
      <c r="E172" s="663"/>
      <c r="F172" s="663"/>
      <c r="G172" s="663"/>
      <c r="H172" s="663"/>
      <c r="I172" s="663"/>
      <c r="J172" s="663"/>
      <c r="K172" s="663"/>
      <c r="L172" s="663"/>
      <c r="M172" s="663"/>
      <c r="R172" s="663"/>
      <c r="S172" s="663"/>
      <c r="T172" s="663"/>
      <c r="U172" s="663"/>
      <c r="V172" s="663"/>
      <c r="W172" s="663"/>
      <c r="X172" s="663"/>
      <c r="Y172" s="663"/>
      <c r="Z172" s="663"/>
      <c r="AB172" s="663"/>
    </row>
    <row r="173"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R173" s="663"/>
      <c r="S173" s="663"/>
      <c r="T173" s="663"/>
      <c r="U173" s="663"/>
      <c r="V173" s="663"/>
      <c r="W173" s="663"/>
      <c r="X173" s="663"/>
      <c r="Y173" s="663"/>
      <c r="Z173" s="663"/>
      <c r="AB173" s="663"/>
    </row>
    <row r="174">
      <c r="B174" s="663"/>
      <c r="C174" s="663"/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R174" s="663"/>
      <c r="S174" s="663"/>
      <c r="T174" s="663"/>
      <c r="U174" s="663"/>
      <c r="V174" s="663"/>
      <c r="W174" s="663"/>
      <c r="X174" s="663"/>
      <c r="Y174" s="663"/>
      <c r="Z174" s="663"/>
      <c r="AB174" s="663"/>
    </row>
    <row r="175">
      <c r="B175" s="663"/>
      <c r="C175" s="663"/>
      <c r="D175" s="663"/>
      <c r="E175" s="663"/>
      <c r="F175" s="663"/>
      <c r="G175" s="663"/>
      <c r="H175" s="663"/>
      <c r="I175" s="663"/>
      <c r="J175" s="663"/>
      <c r="K175" s="663"/>
      <c r="L175" s="663"/>
      <c r="M175" s="663"/>
      <c r="R175" s="663"/>
      <c r="S175" s="663"/>
      <c r="T175" s="663"/>
      <c r="U175" s="663"/>
      <c r="V175" s="663"/>
      <c r="W175" s="663"/>
      <c r="X175" s="663"/>
      <c r="Y175" s="663"/>
      <c r="Z175" s="663"/>
      <c r="AB175" s="663"/>
    </row>
    <row r="176">
      <c r="B176" s="663"/>
      <c r="C176" s="663"/>
      <c r="D176" s="663"/>
      <c r="E176" s="663"/>
      <c r="F176" s="663"/>
      <c r="G176" s="663"/>
      <c r="H176" s="663"/>
      <c r="I176" s="663"/>
      <c r="J176" s="663"/>
      <c r="K176" s="663"/>
      <c r="L176" s="663"/>
      <c r="M176" s="663"/>
      <c r="R176" s="663"/>
      <c r="S176" s="663"/>
      <c r="T176" s="663"/>
      <c r="U176" s="663"/>
      <c r="V176" s="663"/>
      <c r="W176" s="663"/>
      <c r="X176" s="663"/>
      <c r="Y176" s="663"/>
      <c r="Z176" s="663"/>
      <c r="AB176" s="663"/>
    </row>
    <row r="177">
      <c r="B177" s="663"/>
      <c r="C177" s="663"/>
      <c r="D177" s="663"/>
      <c r="E177" s="663"/>
      <c r="F177" s="663"/>
      <c r="G177" s="663"/>
      <c r="H177" s="663"/>
      <c r="I177" s="663"/>
      <c r="J177" s="663"/>
      <c r="K177" s="663"/>
      <c r="L177" s="663"/>
      <c r="M177" s="663"/>
      <c r="R177" s="663"/>
      <c r="S177" s="663"/>
      <c r="T177" s="663"/>
      <c r="U177" s="663"/>
      <c r="V177" s="663"/>
      <c r="W177" s="663"/>
      <c r="X177" s="663"/>
      <c r="Y177" s="663"/>
      <c r="Z177" s="663"/>
      <c r="AB177" s="663"/>
    </row>
    <row r="178">
      <c r="B178" s="663"/>
      <c r="C178" s="663"/>
      <c r="D178" s="663"/>
      <c r="E178" s="663"/>
      <c r="F178" s="663"/>
      <c r="G178" s="663"/>
      <c r="H178" s="663"/>
      <c r="I178" s="663"/>
      <c r="J178" s="663"/>
      <c r="K178" s="663"/>
      <c r="L178" s="663"/>
      <c r="M178" s="663"/>
      <c r="R178" s="663"/>
      <c r="S178" s="663"/>
      <c r="T178" s="663"/>
      <c r="U178" s="663"/>
      <c r="V178" s="663"/>
      <c r="W178" s="663"/>
      <c r="X178" s="663"/>
      <c r="Y178" s="663"/>
      <c r="Z178" s="663"/>
      <c r="AB178" s="663"/>
    </row>
    <row r="179">
      <c r="B179" s="663"/>
      <c r="C179" s="663"/>
      <c r="D179" s="663"/>
      <c r="E179" s="663"/>
      <c r="F179" s="663"/>
      <c r="G179" s="663"/>
      <c r="H179" s="663"/>
      <c r="I179" s="663"/>
      <c r="J179" s="663"/>
      <c r="K179" s="663"/>
      <c r="L179" s="663"/>
      <c r="M179" s="663"/>
      <c r="R179" s="663"/>
      <c r="S179" s="663"/>
      <c r="T179" s="663"/>
      <c r="U179" s="663"/>
      <c r="V179" s="663"/>
      <c r="W179" s="663"/>
      <c r="X179" s="663"/>
      <c r="Y179" s="663"/>
      <c r="Z179" s="663"/>
      <c r="AB179" s="663"/>
    </row>
    <row r="180">
      <c r="B180" s="663"/>
      <c r="C180" s="663"/>
      <c r="D180" s="663"/>
      <c r="E180" s="663"/>
      <c r="F180" s="663"/>
      <c r="G180" s="663"/>
      <c r="H180" s="663"/>
      <c r="I180" s="663"/>
      <c r="J180" s="663"/>
      <c r="K180" s="663"/>
      <c r="L180" s="663"/>
      <c r="M180" s="663"/>
      <c r="R180" s="663"/>
      <c r="S180" s="663"/>
      <c r="T180" s="663"/>
      <c r="U180" s="663"/>
      <c r="V180" s="663"/>
      <c r="W180" s="663"/>
      <c r="X180" s="663"/>
      <c r="Y180" s="663"/>
      <c r="Z180" s="663"/>
      <c r="AB180" s="663"/>
    </row>
    <row r="181">
      <c r="B181" s="663"/>
      <c r="C181" s="663"/>
      <c r="D181" s="663"/>
      <c r="E181" s="663"/>
      <c r="F181" s="663"/>
      <c r="G181" s="663"/>
      <c r="H181" s="663"/>
      <c r="I181" s="663"/>
      <c r="J181" s="663"/>
      <c r="K181" s="663"/>
      <c r="L181" s="663"/>
      <c r="M181" s="663"/>
      <c r="R181" s="663"/>
      <c r="S181" s="663"/>
      <c r="T181" s="663"/>
      <c r="U181" s="663"/>
      <c r="V181" s="663"/>
      <c r="W181" s="663"/>
      <c r="X181" s="663"/>
      <c r="Y181" s="663"/>
      <c r="Z181" s="663"/>
      <c r="AB181" s="663"/>
    </row>
    <row r="182">
      <c r="B182" s="663"/>
      <c r="C182" s="663"/>
      <c r="D182" s="663"/>
      <c r="E182" s="663"/>
      <c r="F182" s="663"/>
      <c r="G182" s="663"/>
      <c r="H182" s="663"/>
      <c r="I182" s="663"/>
      <c r="J182" s="663"/>
      <c r="K182" s="663"/>
      <c r="L182" s="663"/>
      <c r="M182" s="663"/>
      <c r="R182" s="663"/>
      <c r="S182" s="663"/>
      <c r="T182" s="663"/>
      <c r="U182" s="663"/>
      <c r="V182" s="663"/>
      <c r="W182" s="663"/>
      <c r="X182" s="663"/>
      <c r="Y182" s="663"/>
      <c r="Z182" s="663"/>
      <c r="AB182" s="663"/>
    </row>
    <row r="183">
      <c r="B183" s="663"/>
      <c r="C183" s="663"/>
      <c r="D183" s="663"/>
      <c r="E183" s="663"/>
      <c r="F183" s="663"/>
      <c r="G183" s="663"/>
      <c r="H183" s="663"/>
      <c r="I183" s="663"/>
      <c r="J183" s="663"/>
      <c r="K183" s="663"/>
      <c r="L183" s="663"/>
      <c r="M183" s="663"/>
      <c r="R183" s="663"/>
      <c r="S183" s="663"/>
      <c r="T183" s="663"/>
      <c r="U183" s="663"/>
      <c r="V183" s="663"/>
      <c r="W183" s="663"/>
      <c r="X183" s="663"/>
      <c r="Y183" s="663"/>
      <c r="Z183" s="663"/>
      <c r="AB183" s="663"/>
    </row>
    <row r="184">
      <c r="B184" s="663"/>
      <c r="C184" s="663"/>
      <c r="D184" s="663"/>
      <c r="E184" s="663"/>
      <c r="F184" s="663"/>
      <c r="G184" s="663"/>
      <c r="H184" s="663"/>
      <c r="I184" s="663"/>
      <c r="J184" s="663"/>
      <c r="K184" s="663"/>
      <c r="L184" s="663"/>
      <c r="M184" s="663"/>
      <c r="R184" s="663"/>
      <c r="S184" s="663"/>
      <c r="T184" s="663"/>
      <c r="U184" s="663"/>
      <c r="V184" s="663"/>
      <c r="W184" s="663"/>
      <c r="X184" s="663"/>
      <c r="Y184" s="663"/>
      <c r="Z184" s="663"/>
      <c r="AB184" s="663"/>
    </row>
    <row r="185">
      <c r="B185" s="663"/>
      <c r="C185" s="663"/>
      <c r="D185" s="663"/>
      <c r="E185" s="663"/>
      <c r="F185" s="663"/>
      <c r="G185" s="663"/>
      <c r="H185" s="663"/>
      <c r="I185" s="663"/>
      <c r="J185" s="663"/>
      <c r="K185" s="663"/>
      <c r="L185" s="663"/>
      <c r="M185" s="663"/>
      <c r="R185" s="663"/>
      <c r="S185" s="663"/>
      <c r="T185" s="663"/>
      <c r="U185" s="663"/>
      <c r="V185" s="663"/>
      <c r="W185" s="663"/>
      <c r="X185" s="663"/>
      <c r="Y185" s="663"/>
      <c r="Z185" s="663"/>
      <c r="AB185" s="663"/>
    </row>
    <row r="186">
      <c r="B186" s="663"/>
      <c r="C186" s="663"/>
      <c r="D186" s="663"/>
      <c r="E186" s="663"/>
      <c r="F186" s="663"/>
      <c r="G186" s="663"/>
      <c r="H186" s="663"/>
      <c r="I186" s="663"/>
      <c r="J186" s="663"/>
      <c r="K186" s="663"/>
      <c r="L186" s="663"/>
      <c r="M186" s="663"/>
      <c r="R186" s="663"/>
      <c r="S186" s="663"/>
      <c r="T186" s="663"/>
      <c r="U186" s="663"/>
      <c r="V186" s="663"/>
      <c r="W186" s="663"/>
      <c r="X186" s="663"/>
      <c r="Y186" s="663"/>
      <c r="Z186" s="663"/>
      <c r="AB186" s="663"/>
    </row>
    <row r="187"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R187" s="663"/>
      <c r="S187" s="663"/>
      <c r="T187" s="663"/>
      <c r="U187" s="663"/>
      <c r="V187" s="663"/>
      <c r="W187" s="663"/>
      <c r="X187" s="663"/>
      <c r="Y187" s="663"/>
      <c r="Z187" s="663"/>
      <c r="AB187" s="663"/>
    </row>
    <row r="188"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R188" s="663"/>
      <c r="S188" s="663"/>
      <c r="T188" s="663"/>
      <c r="U188" s="663"/>
      <c r="V188" s="663"/>
      <c r="W188" s="663"/>
      <c r="X188" s="663"/>
      <c r="Y188" s="663"/>
      <c r="Z188" s="663"/>
      <c r="AB188" s="663"/>
    </row>
    <row r="189">
      <c r="B189" s="663"/>
      <c r="C189" s="663"/>
      <c r="D189" s="663"/>
      <c r="E189" s="663"/>
      <c r="F189" s="663"/>
      <c r="G189" s="663"/>
      <c r="H189" s="663"/>
      <c r="I189" s="663"/>
      <c r="J189" s="663"/>
      <c r="K189" s="663"/>
      <c r="L189" s="663"/>
      <c r="M189" s="663"/>
      <c r="R189" s="663"/>
      <c r="S189" s="663"/>
      <c r="T189" s="663"/>
      <c r="U189" s="663"/>
      <c r="V189" s="663"/>
      <c r="W189" s="663"/>
      <c r="X189" s="663"/>
      <c r="Y189" s="663"/>
      <c r="Z189" s="663"/>
      <c r="AB189" s="663"/>
    </row>
    <row r="190">
      <c r="B190" s="663"/>
      <c r="C190" s="663"/>
      <c r="D190" s="663"/>
      <c r="E190" s="663"/>
      <c r="F190" s="663"/>
      <c r="G190" s="663"/>
      <c r="H190" s="663"/>
      <c r="I190" s="663"/>
      <c r="J190" s="663"/>
      <c r="K190" s="663"/>
      <c r="L190" s="663"/>
      <c r="M190" s="663"/>
      <c r="R190" s="663"/>
      <c r="S190" s="663"/>
      <c r="T190" s="663"/>
      <c r="U190" s="663"/>
      <c r="V190" s="663"/>
      <c r="W190" s="663"/>
      <c r="X190" s="663"/>
      <c r="Y190" s="663"/>
      <c r="Z190" s="663"/>
      <c r="AB190" s="663"/>
    </row>
    <row r="191">
      <c r="B191" s="663"/>
      <c r="C191" s="663"/>
      <c r="D191" s="663"/>
      <c r="E191" s="663"/>
      <c r="F191" s="663"/>
      <c r="G191" s="663"/>
      <c r="H191" s="663"/>
      <c r="I191" s="663"/>
      <c r="J191" s="663"/>
      <c r="K191" s="663"/>
      <c r="L191" s="663"/>
      <c r="M191" s="663"/>
      <c r="R191" s="663"/>
      <c r="S191" s="663"/>
      <c r="T191" s="663"/>
      <c r="U191" s="663"/>
      <c r="V191" s="663"/>
      <c r="W191" s="663"/>
      <c r="X191" s="663"/>
      <c r="Y191" s="663"/>
      <c r="Z191" s="663"/>
      <c r="AB191" s="663"/>
    </row>
    <row r="192">
      <c r="B192" s="663"/>
      <c r="C192" s="663"/>
      <c r="D192" s="663"/>
      <c r="E192" s="663"/>
      <c r="F192" s="663"/>
      <c r="G192" s="663"/>
      <c r="H192" s="663"/>
      <c r="I192" s="663"/>
      <c r="J192" s="663"/>
      <c r="K192" s="663"/>
      <c r="L192" s="663"/>
      <c r="M192" s="663"/>
      <c r="R192" s="663"/>
      <c r="S192" s="663"/>
      <c r="T192" s="663"/>
      <c r="U192" s="663"/>
      <c r="V192" s="663"/>
      <c r="W192" s="663"/>
      <c r="X192" s="663"/>
      <c r="Y192" s="663"/>
      <c r="Z192" s="663"/>
      <c r="AB192" s="663"/>
    </row>
    <row r="193"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R193" s="663"/>
      <c r="S193" s="663"/>
      <c r="T193" s="663"/>
      <c r="U193" s="663"/>
      <c r="V193" s="663"/>
      <c r="W193" s="663"/>
      <c r="X193" s="663"/>
      <c r="Y193" s="663"/>
      <c r="Z193" s="663"/>
      <c r="AB193" s="663"/>
    </row>
    <row r="194">
      <c r="B194" s="663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R194" s="663"/>
      <c r="S194" s="663"/>
      <c r="T194" s="663"/>
      <c r="U194" s="663"/>
      <c r="V194" s="663"/>
      <c r="W194" s="663"/>
      <c r="X194" s="663"/>
      <c r="Y194" s="663"/>
      <c r="Z194" s="663"/>
      <c r="AB194" s="663"/>
    </row>
    <row r="195">
      <c r="B195" s="663"/>
      <c r="C195" s="663"/>
      <c r="D195" s="663"/>
      <c r="E195" s="663"/>
      <c r="F195" s="663"/>
      <c r="G195" s="663"/>
      <c r="H195" s="663"/>
      <c r="I195" s="663"/>
      <c r="J195" s="663"/>
      <c r="K195" s="663"/>
      <c r="L195" s="663"/>
      <c r="M195" s="663"/>
      <c r="R195" s="663"/>
      <c r="S195" s="663"/>
      <c r="T195" s="663"/>
      <c r="U195" s="663"/>
      <c r="V195" s="663"/>
      <c r="W195" s="663"/>
      <c r="X195" s="663"/>
      <c r="Y195" s="663"/>
      <c r="Z195" s="663"/>
      <c r="AB195" s="663"/>
    </row>
    <row r="196">
      <c r="B196" s="663"/>
      <c r="C196" s="663"/>
      <c r="D196" s="663"/>
      <c r="E196" s="663"/>
      <c r="F196" s="663"/>
      <c r="G196" s="663"/>
      <c r="H196" s="663"/>
      <c r="I196" s="663"/>
      <c r="J196" s="663"/>
      <c r="K196" s="663"/>
      <c r="L196" s="663"/>
      <c r="M196" s="663"/>
      <c r="R196" s="663"/>
      <c r="S196" s="663"/>
      <c r="T196" s="663"/>
      <c r="U196" s="663"/>
      <c r="V196" s="663"/>
      <c r="W196" s="663"/>
      <c r="X196" s="663"/>
      <c r="Y196" s="663"/>
      <c r="Z196" s="663"/>
      <c r="AB196" s="663"/>
    </row>
    <row r="197">
      <c r="B197" s="663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R197" s="663"/>
      <c r="S197" s="663"/>
      <c r="T197" s="663"/>
      <c r="U197" s="663"/>
      <c r="V197" s="663"/>
      <c r="W197" s="663"/>
      <c r="X197" s="663"/>
      <c r="Y197" s="663"/>
      <c r="Z197" s="663"/>
      <c r="AB197" s="663"/>
    </row>
    <row r="198">
      <c r="B198" s="663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R198" s="663"/>
      <c r="S198" s="663"/>
      <c r="T198" s="663"/>
      <c r="U198" s="663"/>
      <c r="V198" s="663"/>
      <c r="W198" s="663"/>
      <c r="X198" s="663"/>
      <c r="Y198" s="663"/>
      <c r="Z198" s="663"/>
      <c r="AB198" s="663"/>
    </row>
    <row r="199">
      <c r="B199" s="663"/>
      <c r="C199" s="663"/>
      <c r="D199" s="663"/>
      <c r="E199" s="663"/>
      <c r="F199" s="663"/>
      <c r="G199" s="663"/>
      <c r="H199" s="663"/>
      <c r="I199" s="663"/>
      <c r="J199" s="663"/>
      <c r="K199" s="663"/>
      <c r="L199" s="663"/>
      <c r="M199" s="663"/>
      <c r="R199" s="663"/>
      <c r="S199" s="663"/>
      <c r="T199" s="663"/>
      <c r="U199" s="663"/>
      <c r="V199" s="663"/>
      <c r="W199" s="663"/>
      <c r="X199" s="663"/>
      <c r="Y199" s="663"/>
      <c r="Z199" s="663"/>
      <c r="AB199" s="663"/>
    </row>
    <row r="200">
      <c r="B200" s="663"/>
      <c r="C200" s="663"/>
      <c r="D200" s="663"/>
      <c r="E200" s="663"/>
      <c r="F200" s="663"/>
      <c r="G200" s="663"/>
      <c r="H200" s="663"/>
      <c r="I200" s="663"/>
      <c r="J200" s="663"/>
      <c r="K200" s="663"/>
      <c r="L200" s="663"/>
      <c r="M200" s="663"/>
      <c r="R200" s="663"/>
      <c r="S200" s="663"/>
      <c r="T200" s="663"/>
      <c r="U200" s="663"/>
      <c r="V200" s="663"/>
      <c r="W200" s="663"/>
      <c r="X200" s="663"/>
      <c r="Y200" s="663"/>
      <c r="Z200" s="663"/>
      <c r="AB200" s="663"/>
    </row>
    <row r="201">
      <c r="B201" s="663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R201" s="663"/>
      <c r="S201" s="663"/>
      <c r="T201" s="663"/>
      <c r="U201" s="663"/>
      <c r="V201" s="663"/>
      <c r="W201" s="663"/>
      <c r="X201" s="663"/>
      <c r="Y201" s="663"/>
      <c r="Z201" s="663"/>
      <c r="AB201" s="663"/>
    </row>
    <row r="202">
      <c r="B202" s="663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R202" s="663"/>
      <c r="S202" s="663"/>
      <c r="T202" s="663"/>
      <c r="U202" s="663"/>
      <c r="V202" s="663"/>
      <c r="W202" s="663"/>
      <c r="X202" s="663"/>
      <c r="Y202" s="663"/>
      <c r="Z202" s="663"/>
      <c r="AB202" s="663"/>
    </row>
    <row r="203">
      <c r="B203" s="663"/>
      <c r="C203" s="663"/>
      <c r="D203" s="663"/>
      <c r="E203" s="663"/>
      <c r="F203" s="663"/>
      <c r="G203" s="663"/>
      <c r="H203" s="663"/>
      <c r="I203" s="663"/>
      <c r="J203" s="663"/>
      <c r="K203" s="663"/>
      <c r="L203" s="663"/>
      <c r="M203" s="663"/>
      <c r="R203" s="663"/>
      <c r="S203" s="663"/>
      <c r="T203" s="663"/>
      <c r="U203" s="663"/>
      <c r="V203" s="663"/>
      <c r="W203" s="663"/>
      <c r="X203" s="663"/>
      <c r="Y203" s="663"/>
      <c r="Z203" s="663"/>
      <c r="AB203" s="663"/>
    </row>
    <row r="204">
      <c r="B204" s="663"/>
      <c r="C204" s="663"/>
      <c r="D204" s="663"/>
      <c r="E204" s="663"/>
      <c r="F204" s="663"/>
      <c r="G204" s="663"/>
      <c r="H204" s="663"/>
      <c r="I204" s="663"/>
      <c r="J204" s="663"/>
      <c r="K204" s="663"/>
      <c r="L204" s="663"/>
      <c r="M204" s="663"/>
      <c r="R204" s="663"/>
      <c r="S204" s="663"/>
      <c r="T204" s="663"/>
      <c r="U204" s="663"/>
      <c r="V204" s="663"/>
      <c r="W204" s="663"/>
      <c r="X204" s="663"/>
      <c r="Y204" s="663"/>
      <c r="Z204" s="663"/>
      <c r="AB204" s="663"/>
    </row>
    <row r="205">
      <c r="B205" s="663"/>
      <c r="C205" s="663"/>
      <c r="D205" s="663"/>
      <c r="E205" s="663"/>
      <c r="F205" s="663"/>
      <c r="G205" s="663"/>
      <c r="H205" s="663"/>
      <c r="I205" s="663"/>
      <c r="J205" s="663"/>
      <c r="K205" s="663"/>
      <c r="L205" s="663"/>
      <c r="M205" s="663"/>
      <c r="R205" s="663"/>
      <c r="S205" s="663"/>
      <c r="T205" s="663"/>
      <c r="U205" s="663"/>
      <c r="V205" s="663"/>
      <c r="W205" s="663"/>
      <c r="X205" s="663"/>
      <c r="Y205" s="663"/>
      <c r="Z205" s="663"/>
      <c r="AB205" s="663"/>
    </row>
    <row r="206">
      <c r="B206" s="663"/>
      <c r="C206" s="663"/>
      <c r="D206" s="663"/>
      <c r="E206" s="663"/>
      <c r="F206" s="663"/>
      <c r="G206" s="663"/>
      <c r="H206" s="663"/>
      <c r="I206" s="663"/>
      <c r="J206" s="663"/>
      <c r="K206" s="663"/>
      <c r="L206" s="663"/>
      <c r="M206" s="663"/>
      <c r="R206" s="663"/>
      <c r="S206" s="663"/>
      <c r="T206" s="663"/>
      <c r="U206" s="663"/>
      <c r="V206" s="663"/>
      <c r="W206" s="663"/>
      <c r="X206" s="663"/>
      <c r="Y206" s="663"/>
      <c r="Z206" s="663"/>
      <c r="AB206" s="663"/>
    </row>
    <row r="207">
      <c r="B207" s="663"/>
      <c r="C207" s="663"/>
      <c r="D207" s="663"/>
      <c r="E207" s="663"/>
      <c r="F207" s="663"/>
      <c r="G207" s="663"/>
      <c r="H207" s="663"/>
      <c r="I207" s="663"/>
      <c r="J207" s="663"/>
      <c r="K207" s="663"/>
      <c r="L207" s="663"/>
      <c r="M207" s="663"/>
      <c r="R207" s="663"/>
      <c r="S207" s="663"/>
      <c r="T207" s="663"/>
      <c r="U207" s="663"/>
      <c r="V207" s="663"/>
      <c r="W207" s="663"/>
      <c r="X207" s="663"/>
      <c r="Y207" s="663"/>
      <c r="Z207" s="663"/>
      <c r="AB207" s="663"/>
    </row>
    <row r="208">
      <c r="B208" s="663"/>
      <c r="C208" s="663"/>
      <c r="D208" s="663"/>
      <c r="E208" s="663"/>
      <c r="F208" s="663"/>
      <c r="G208" s="663"/>
      <c r="H208" s="663"/>
      <c r="I208" s="663"/>
      <c r="J208" s="663"/>
      <c r="K208" s="663"/>
      <c r="L208" s="663"/>
      <c r="M208" s="663"/>
      <c r="R208" s="663"/>
      <c r="S208" s="663"/>
      <c r="T208" s="663"/>
      <c r="U208" s="663"/>
      <c r="V208" s="663"/>
      <c r="W208" s="663"/>
      <c r="X208" s="663"/>
      <c r="Y208" s="663"/>
      <c r="Z208" s="663"/>
      <c r="AB208" s="663"/>
    </row>
    <row r="209"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B209" s="663"/>
    </row>
    <row r="210">
      <c r="B210" s="663"/>
      <c r="C210" s="663"/>
      <c r="D210" s="663"/>
      <c r="E210" s="663"/>
      <c r="F210" s="663"/>
      <c r="G210" s="663"/>
      <c r="H210" s="663"/>
      <c r="I210" s="663"/>
      <c r="J210" s="663"/>
      <c r="K210" s="663"/>
      <c r="L210" s="663"/>
      <c r="M210" s="663"/>
      <c r="R210" s="663"/>
      <c r="S210" s="663"/>
      <c r="T210" s="663"/>
      <c r="U210" s="663"/>
      <c r="V210" s="663"/>
      <c r="W210" s="663"/>
      <c r="X210" s="663"/>
      <c r="Y210" s="663"/>
      <c r="Z210" s="663"/>
      <c r="AB210" s="663"/>
    </row>
    <row r="211">
      <c r="B211" s="663"/>
      <c r="C211" s="663"/>
      <c r="D211" s="663"/>
      <c r="E211" s="663"/>
      <c r="F211" s="663"/>
      <c r="G211" s="663"/>
      <c r="H211" s="663"/>
      <c r="I211" s="663"/>
      <c r="J211" s="663"/>
      <c r="K211" s="663"/>
      <c r="L211" s="663"/>
      <c r="M211" s="663"/>
      <c r="R211" s="663"/>
      <c r="S211" s="663"/>
      <c r="T211" s="663"/>
      <c r="U211" s="663"/>
      <c r="V211" s="663"/>
      <c r="W211" s="663"/>
      <c r="X211" s="663"/>
      <c r="Y211" s="663"/>
      <c r="Z211" s="663"/>
      <c r="AB211" s="663"/>
    </row>
    <row r="212">
      <c r="B212" s="663"/>
      <c r="C212" s="663"/>
      <c r="D212" s="663"/>
      <c r="E212" s="663"/>
      <c r="F212" s="663"/>
      <c r="G212" s="663"/>
      <c r="H212" s="663"/>
      <c r="I212" s="663"/>
      <c r="J212" s="663"/>
      <c r="K212" s="663"/>
      <c r="L212" s="663"/>
      <c r="M212" s="663"/>
      <c r="R212" s="663"/>
      <c r="S212" s="663"/>
      <c r="T212" s="663"/>
      <c r="U212" s="663"/>
      <c r="V212" s="663"/>
      <c r="W212" s="663"/>
      <c r="X212" s="663"/>
      <c r="Y212" s="663"/>
      <c r="Z212" s="663"/>
      <c r="AB212" s="663"/>
    </row>
    <row r="213">
      <c r="B213" s="663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R213" s="663"/>
      <c r="S213" s="663"/>
      <c r="T213" s="663"/>
      <c r="U213" s="663"/>
      <c r="V213" s="663"/>
      <c r="W213" s="663"/>
      <c r="X213" s="663"/>
      <c r="Y213" s="663"/>
      <c r="Z213" s="663"/>
      <c r="AB213" s="663"/>
    </row>
    <row r="214"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R214" s="663"/>
      <c r="S214" s="663"/>
      <c r="T214" s="663"/>
      <c r="U214" s="663"/>
      <c r="V214" s="663"/>
      <c r="W214" s="663"/>
      <c r="X214" s="663"/>
      <c r="Y214" s="663"/>
      <c r="Z214" s="663"/>
      <c r="AB214" s="663"/>
    </row>
    <row r="215">
      <c r="B215" s="663"/>
      <c r="C215" s="663"/>
      <c r="D215" s="663"/>
      <c r="E215" s="663"/>
      <c r="F215" s="663"/>
      <c r="G215" s="663"/>
      <c r="H215" s="663"/>
      <c r="I215" s="663"/>
      <c r="J215" s="663"/>
      <c r="K215" s="663"/>
      <c r="L215" s="663"/>
      <c r="M215" s="663"/>
      <c r="R215" s="663"/>
      <c r="S215" s="663"/>
      <c r="T215" s="663"/>
      <c r="U215" s="663"/>
      <c r="V215" s="663"/>
      <c r="W215" s="663"/>
      <c r="X215" s="663"/>
      <c r="Y215" s="663"/>
      <c r="Z215" s="663"/>
      <c r="AB215" s="663"/>
    </row>
    <row r="216">
      <c r="B216" s="663"/>
      <c r="C216" s="663"/>
      <c r="D216" s="663"/>
      <c r="E216" s="663"/>
      <c r="F216" s="663"/>
      <c r="G216" s="663"/>
      <c r="H216" s="663"/>
      <c r="I216" s="663"/>
      <c r="J216" s="663"/>
      <c r="K216" s="663"/>
      <c r="L216" s="663"/>
      <c r="M216" s="663"/>
      <c r="R216" s="663"/>
      <c r="S216" s="663"/>
      <c r="T216" s="663"/>
      <c r="U216" s="663"/>
      <c r="V216" s="663"/>
      <c r="W216" s="663"/>
      <c r="X216" s="663"/>
      <c r="Y216" s="663"/>
      <c r="Z216" s="663"/>
      <c r="AB216" s="663"/>
    </row>
    <row r="217">
      <c r="B217" s="663"/>
      <c r="C217" s="663"/>
      <c r="D217" s="663"/>
      <c r="E217" s="663"/>
      <c r="F217" s="663"/>
      <c r="G217" s="663"/>
      <c r="H217" s="663"/>
      <c r="I217" s="663"/>
      <c r="J217" s="663"/>
      <c r="K217" s="663"/>
      <c r="L217" s="663"/>
      <c r="M217" s="663"/>
      <c r="R217" s="663"/>
      <c r="S217" s="663"/>
      <c r="T217" s="663"/>
      <c r="U217" s="663"/>
      <c r="V217" s="663"/>
      <c r="W217" s="663"/>
      <c r="X217" s="663"/>
      <c r="Y217" s="663"/>
      <c r="Z217" s="663"/>
      <c r="AB217" s="663"/>
    </row>
    <row r="218">
      <c r="B218" s="663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R218" s="663"/>
      <c r="S218" s="663"/>
      <c r="T218" s="663"/>
      <c r="U218" s="663"/>
      <c r="V218" s="663"/>
      <c r="W218" s="663"/>
      <c r="X218" s="663"/>
      <c r="Y218" s="663"/>
      <c r="Z218" s="663"/>
      <c r="AB218" s="663"/>
    </row>
    <row r="219"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R219" s="663"/>
      <c r="S219" s="663"/>
      <c r="T219" s="663"/>
      <c r="U219" s="663"/>
      <c r="V219" s="663"/>
      <c r="W219" s="663"/>
      <c r="X219" s="663"/>
      <c r="Y219" s="663"/>
      <c r="Z219" s="663"/>
      <c r="AB219" s="663"/>
    </row>
    <row r="220"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B220" s="663"/>
    </row>
    <row r="221">
      <c r="B221" s="663"/>
      <c r="C221" s="663"/>
      <c r="D221" s="663"/>
      <c r="E221" s="663"/>
      <c r="F221" s="663"/>
      <c r="G221" s="663"/>
      <c r="H221" s="663"/>
      <c r="I221" s="663"/>
      <c r="J221" s="663"/>
      <c r="K221" s="663"/>
      <c r="L221" s="663"/>
      <c r="M221" s="663"/>
      <c r="R221" s="663"/>
      <c r="S221" s="663"/>
      <c r="T221" s="663"/>
      <c r="U221" s="663"/>
      <c r="V221" s="663"/>
      <c r="W221" s="663"/>
      <c r="X221" s="663"/>
      <c r="Y221" s="663"/>
      <c r="Z221" s="663"/>
      <c r="AB221" s="663"/>
    </row>
    <row r="222">
      <c r="B222" s="663"/>
      <c r="C222" s="663"/>
      <c r="D222" s="663"/>
      <c r="E222" s="663"/>
      <c r="F222" s="663"/>
      <c r="G222" s="663"/>
      <c r="H222" s="663"/>
      <c r="I222" s="663"/>
      <c r="J222" s="663"/>
      <c r="K222" s="663"/>
      <c r="L222" s="663"/>
      <c r="M222" s="663"/>
      <c r="R222" s="663"/>
      <c r="S222" s="663"/>
      <c r="T222" s="663"/>
      <c r="U222" s="663"/>
      <c r="V222" s="663"/>
      <c r="W222" s="663"/>
      <c r="X222" s="663"/>
      <c r="Y222" s="663"/>
      <c r="Z222" s="663"/>
      <c r="AB222" s="663"/>
    </row>
    <row r="223">
      <c r="B223" s="663"/>
      <c r="C223" s="663"/>
      <c r="D223" s="663"/>
      <c r="E223" s="663"/>
      <c r="F223" s="663"/>
      <c r="G223" s="663"/>
      <c r="H223" s="663"/>
      <c r="I223" s="663"/>
      <c r="J223" s="663"/>
      <c r="K223" s="663"/>
      <c r="L223" s="663"/>
      <c r="M223" s="663"/>
      <c r="R223" s="663"/>
      <c r="S223" s="663"/>
      <c r="T223" s="663"/>
      <c r="U223" s="663"/>
      <c r="V223" s="663"/>
      <c r="W223" s="663"/>
      <c r="X223" s="663"/>
      <c r="Y223" s="663"/>
      <c r="Z223" s="663"/>
      <c r="AB223" s="663"/>
    </row>
    <row r="224">
      <c r="B224" s="663"/>
      <c r="C224" s="663"/>
      <c r="D224" s="663"/>
      <c r="E224" s="663"/>
      <c r="F224" s="663"/>
      <c r="G224" s="663"/>
      <c r="H224" s="663"/>
      <c r="I224" s="663"/>
      <c r="J224" s="663"/>
      <c r="K224" s="663"/>
      <c r="L224" s="663"/>
      <c r="M224" s="663"/>
      <c r="R224" s="663"/>
      <c r="S224" s="663"/>
      <c r="T224" s="663"/>
      <c r="U224" s="663"/>
      <c r="V224" s="663"/>
      <c r="W224" s="663"/>
      <c r="X224" s="663"/>
      <c r="Y224" s="663"/>
      <c r="Z224" s="663"/>
      <c r="AB224" s="663"/>
    </row>
    <row r="225">
      <c r="B225" s="663"/>
      <c r="C225" s="663"/>
      <c r="D225" s="663"/>
      <c r="E225" s="663"/>
      <c r="F225" s="663"/>
      <c r="G225" s="663"/>
      <c r="H225" s="663"/>
      <c r="I225" s="663"/>
      <c r="J225" s="663"/>
      <c r="K225" s="663"/>
      <c r="L225" s="663"/>
      <c r="M225" s="663"/>
      <c r="R225" s="663"/>
      <c r="S225" s="663"/>
      <c r="T225" s="663"/>
      <c r="U225" s="663"/>
      <c r="V225" s="663"/>
      <c r="W225" s="663"/>
      <c r="X225" s="663"/>
      <c r="Y225" s="663"/>
      <c r="Z225" s="663"/>
      <c r="AB225" s="663"/>
    </row>
    <row r="226">
      <c r="B226" s="663"/>
      <c r="C226" s="663"/>
      <c r="D226" s="663"/>
      <c r="E226" s="663"/>
      <c r="F226" s="663"/>
      <c r="G226" s="663"/>
      <c r="H226" s="663"/>
      <c r="I226" s="663"/>
      <c r="J226" s="663"/>
      <c r="K226" s="663"/>
      <c r="L226" s="663"/>
      <c r="M226" s="663"/>
      <c r="R226" s="663"/>
      <c r="S226" s="663"/>
      <c r="T226" s="663"/>
      <c r="U226" s="663"/>
      <c r="V226" s="663"/>
      <c r="W226" s="663"/>
      <c r="X226" s="663"/>
      <c r="Y226" s="663"/>
      <c r="Z226" s="663"/>
      <c r="AB226" s="663"/>
    </row>
    <row r="227">
      <c r="B227" s="663"/>
      <c r="C227" s="663"/>
      <c r="D227" s="663"/>
      <c r="E227" s="663"/>
      <c r="F227" s="663"/>
      <c r="G227" s="663"/>
      <c r="H227" s="663"/>
      <c r="I227" s="663"/>
      <c r="J227" s="663"/>
      <c r="K227" s="663"/>
      <c r="L227" s="663"/>
      <c r="M227" s="663"/>
      <c r="R227" s="663"/>
      <c r="S227" s="663"/>
      <c r="T227" s="663"/>
      <c r="U227" s="663"/>
      <c r="V227" s="663"/>
      <c r="W227" s="663"/>
      <c r="X227" s="663"/>
      <c r="Y227" s="663"/>
      <c r="Z227" s="663"/>
      <c r="AB227" s="663"/>
    </row>
    <row r="228">
      <c r="B228" s="663"/>
      <c r="C228" s="663"/>
      <c r="D228" s="663"/>
      <c r="E228" s="663"/>
      <c r="F228" s="663"/>
      <c r="G228" s="663"/>
      <c r="H228" s="663"/>
      <c r="I228" s="663"/>
      <c r="J228" s="663"/>
      <c r="K228" s="663"/>
      <c r="L228" s="663"/>
      <c r="M228" s="663"/>
      <c r="R228" s="663"/>
      <c r="S228" s="663"/>
      <c r="T228" s="663"/>
      <c r="U228" s="663"/>
      <c r="V228" s="663"/>
      <c r="W228" s="663"/>
      <c r="X228" s="663"/>
      <c r="Y228" s="663"/>
      <c r="Z228" s="663"/>
      <c r="AB228" s="663"/>
    </row>
    <row r="229">
      <c r="B229" s="663"/>
      <c r="C229" s="663"/>
      <c r="D229" s="663"/>
      <c r="E229" s="663"/>
      <c r="F229" s="663"/>
      <c r="G229" s="663"/>
      <c r="H229" s="663"/>
      <c r="I229" s="663"/>
      <c r="J229" s="663"/>
      <c r="K229" s="663"/>
      <c r="L229" s="663"/>
      <c r="M229" s="663"/>
      <c r="R229" s="663"/>
      <c r="S229" s="663"/>
      <c r="T229" s="663"/>
      <c r="U229" s="663"/>
      <c r="V229" s="663"/>
      <c r="W229" s="663"/>
      <c r="X229" s="663"/>
      <c r="Y229" s="663"/>
      <c r="Z229" s="663"/>
      <c r="AB229" s="663"/>
    </row>
    <row r="230">
      <c r="B230" s="663"/>
      <c r="C230" s="663"/>
      <c r="D230" s="663"/>
      <c r="E230" s="663"/>
      <c r="F230" s="663"/>
      <c r="G230" s="663"/>
      <c r="H230" s="663"/>
      <c r="I230" s="663"/>
      <c r="J230" s="663"/>
      <c r="K230" s="663"/>
      <c r="L230" s="663"/>
      <c r="M230" s="663"/>
      <c r="R230" s="663"/>
      <c r="S230" s="663"/>
      <c r="T230" s="663"/>
      <c r="U230" s="663"/>
      <c r="V230" s="663"/>
      <c r="W230" s="663"/>
      <c r="X230" s="663"/>
      <c r="Y230" s="663"/>
      <c r="Z230" s="663"/>
      <c r="AB230" s="663"/>
    </row>
    <row r="231">
      <c r="B231" s="663"/>
      <c r="C231" s="663"/>
      <c r="D231" s="663"/>
      <c r="E231" s="663"/>
      <c r="F231" s="663"/>
      <c r="G231" s="663"/>
      <c r="H231" s="663"/>
      <c r="I231" s="663"/>
      <c r="J231" s="663"/>
      <c r="K231" s="663"/>
      <c r="L231" s="663"/>
      <c r="M231" s="663"/>
      <c r="R231" s="663"/>
      <c r="S231" s="663"/>
      <c r="T231" s="663"/>
      <c r="U231" s="663"/>
      <c r="V231" s="663"/>
      <c r="W231" s="663"/>
      <c r="X231" s="663"/>
      <c r="Y231" s="663"/>
      <c r="Z231" s="663"/>
      <c r="AB231" s="663"/>
    </row>
    <row r="232">
      <c r="B232" s="663"/>
      <c r="C232" s="663"/>
      <c r="D232" s="663"/>
      <c r="E232" s="663"/>
      <c r="F232" s="663"/>
      <c r="G232" s="663"/>
      <c r="H232" s="663"/>
      <c r="I232" s="663"/>
      <c r="J232" s="663"/>
      <c r="K232" s="663"/>
      <c r="L232" s="663"/>
      <c r="M232" s="663"/>
      <c r="R232" s="663"/>
      <c r="S232" s="663"/>
      <c r="T232" s="663"/>
      <c r="U232" s="663"/>
      <c r="V232" s="663"/>
      <c r="W232" s="663"/>
      <c r="X232" s="663"/>
      <c r="Y232" s="663"/>
      <c r="Z232" s="663"/>
      <c r="AB232" s="663"/>
    </row>
    <row r="233">
      <c r="B233" s="663"/>
      <c r="C233" s="663"/>
      <c r="D233" s="663"/>
      <c r="E233" s="663"/>
      <c r="F233" s="663"/>
      <c r="G233" s="663"/>
      <c r="H233" s="663"/>
      <c r="I233" s="663"/>
      <c r="J233" s="663"/>
      <c r="K233" s="663"/>
      <c r="L233" s="663"/>
      <c r="M233" s="663"/>
      <c r="R233" s="663"/>
      <c r="S233" s="663"/>
      <c r="T233" s="663"/>
      <c r="U233" s="663"/>
      <c r="V233" s="663"/>
      <c r="W233" s="663"/>
      <c r="X233" s="663"/>
      <c r="Y233" s="663"/>
      <c r="Z233" s="663"/>
      <c r="AB233" s="663"/>
    </row>
    <row r="234">
      <c r="B234" s="663"/>
      <c r="C234" s="663"/>
      <c r="D234" s="663"/>
      <c r="E234" s="663"/>
      <c r="F234" s="663"/>
      <c r="G234" s="663"/>
      <c r="H234" s="663"/>
      <c r="I234" s="663"/>
      <c r="J234" s="663"/>
      <c r="K234" s="663"/>
      <c r="L234" s="663"/>
      <c r="M234" s="663"/>
      <c r="R234" s="663"/>
      <c r="S234" s="663"/>
      <c r="T234" s="663"/>
      <c r="U234" s="663"/>
      <c r="V234" s="663"/>
      <c r="W234" s="663"/>
      <c r="X234" s="663"/>
      <c r="Y234" s="663"/>
      <c r="Z234" s="663"/>
      <c r="AB234" s="663"/>
    </row>
    <row r="235">
      <c r="B235" s="663"/>
      <c r="C235" s="663"/>
      <c r="D235" s="663"/>
      <c r="E235" s="663"/>
      <c r="F235" s="663"/>
      <c r="G235" s="663"/>
      <c r="H235" s="663"/>
      <c r="I235" s="663"/>
      <c r="J235" s="663"/>
      <c r="K235" s="663"/>
      <c r="L235" s="663"/>
      <c r="M235" s="663"/>
      <c r="R235" s="663"/>
      <c r="S235" s="663"/>
      <c r="T235" s="663"/>
      <c r="U235" s="663"/>
      <c r="V235" s="663"/>
      <c r="W235" s="663"/>
      <c r="X235" s="663"/>
      <c r="Y235" s="663"/>
      <c r="Z235" s="663"/>
      <c r="AB235" s="663"/>
    </row>
    <row r="236">
      <c r="B236" s="663"/>
      <c r="C236" s="663"/>
      <c r="D236" s="663"/>
      <c r="E236" s="663"/>
      <c r="F236" s="663"/>
      <c r="G236" s="663"/>
      <c r="H236" s="663"/>
      <c r="I236" s="663"/>
      <c r="J236" s="663"/>
      <c r="K236" s="663"/>
      <c r="L236" s="663"/>
      <c r="M236" s="663"/>
      <c r="R236" s="663"/>
      <c r="S236" s="663"/>
      <c r="T236" s="663"/>
      <c r="U236" s="663"/>
      <c r="V236" s="663"/>
      <c r="W236" s="663"/>
      <c r="X236" s="663"/>
      <c r="Y236" s="663"/>
      <c r="Z236" s="663"/>
      <c r="AB236" s="663"/>
    </row>
    <row r="237">
      <c r="B237" s="663"/>
      <c r="C237" s="663"/>
      <c r="D237" s="663"/>
      <c r="E237" s="663"/>
      <c r="F237" s="663"/>
      <c r="G237" s="663"/>
      <c r="H237" s="663"/>
      <c r="I237" s="663"/>
      <c r="J237" s="663"/>
      <c r="K237" s="663"/>
      <c r="L237" s="663"/>
      <c r="M237" s="663"/>
      <c r="R237" s="663"/>
      <c r="S237" s="663"/>
      <c r="T237" s="663"/>
      <c r="U237" s="663"/>
      <c r="V237" s="663"/>
      <c r="W237" s="663"/>
      <c r="X237" s="663"/>
      <c r="Y237" s="663"/>
      <c r="Z237" s="663"/>
      <c r="AB237" s="663"/>
    </row>
    <row r="238">
      <c r="B238" s="663"/>
      <c r="C238" s="663"/>
      <c r="D238" s="663"/>
      <c r="E238" s="663"/>
      <c r="F238" s="663"/>
      <c r="G238" s="663"/>
      <c r="H238" s="663"/>
      <c r="I238" s="663"/>
      <c r="J238" s="663"/>
      <c r="K238" s="663"/>
      <c r="L238" s="663"/>
      <c r="M238" s="663"/>
      <c r="R238" s="663"/>
      <c r="S238" s="663"/>
      <c r="T238" s="663"/>
      <c r="U238" s="663"/>
      <c r="V238" s="663"/>
      <c r="W238" s="663"/>
      <c r="X238" s="663"/>
      <c r="Y238" s="663"/>
      <c r="Z238" s="663"/>
      <c r="AB238" s="663"/>
    </row>
    <row r="239">
      <c r="B239" s="663"/>
      <c r="C239" s="663"/>
      <c r="D239" s="663"/>
      <c r="E239" s="663"/>
      <c r="F239" s="663"/>
      <c r="G239" s="663"/>
      <c r="H239" s="663"/>
      <c r="I239" s="663"/>
      <c r="J239" s="663"/>
      <c r="K239" s="663"/>
      <c r="L239" s="663"/>
      <c r="M239" s="663"/>
      <c r="R239" s="663"/>
      <c r="S239" s="663"/>
      <c r="T239" s="663"/>
      <c r="U239" s="663"/>
      <c r="V239" s="663"/>
      <c r="W239" s="663"/>
      <c r="X239" s="663"/>
      <c r="Y239" s="663"/>
      <c r="Z239" s="663"/>
      <c r="AB239" s="663"/>
    </row>
    <row r="240">
      <c r="B240" s="663"/>
      <c r="C240" s="663"/>
      <c r="D240" s="663"/>
      <c r="E240" s="663"/>
      <c r="F240" s="663"/>
      <c r="G240" s="663"/>
      <c r="H240" s="663"/>
      <c r="I240" s="663"/>
      <c r="J240" s="663"/>
      <c r="K240" s="663"/>
      <c r="L240" s="663"/>
      <c r="M240" s="663"/>
      <c r="R240" s="663"/>
      <c r="S240" s="663"/>
      <c r="T240" s="663"/>
      <c r="U240" s="663"/>
      <c r="V240" s="663"/>
      <c r="W240" s="663"/>
      <c r="X240" s="663"/>
      <c r="Y240" s="663"/>
      <c r="Z240" s="663"/>
      <c r="AB240" s="663"/>
    </row>
    <row r="241">
      <c r="B241" s="663"/>
      <c r="C241" s="663"/>
      <c r="D241" s="663"/>
      <c r="E241" s="663"/>
      <c r="F241" s="663"/>
      <c r="G241" s="663"/>
      <c r="H241" s="663"/>
      <c r="I241" s="663"/>
      <c r="J241" s="663"/>
      <c r="K241" s="663"/>
      <c r="L241" s="663"/>
      <c r="M241" s="663"/>
      <c r="R241" s="663"/>
      <c r="S241" s="663"/>
      <c r="T241" s="663"/>
      <c r="U241" s="663"/>
      <c r="V241" s="663"/>
      <c r="W241" s="663"/>
      <c r="X241" s="663"/>
      <c r="Y241" s="663"/>
      <c r="Z241" s="663"/>
      <c r="AB241" s="663"/>
    </row>
    <row r="242">
      <c r="B242" s="663"/>
      <c r="C242" s="663"/>
      <c r="D242" s="663"/>
      <c r="E242" s="663"/>
      <c r="F242" s="663"/>
      <c r="G242" s="663"/>
      <c r="H242" s="663"/>
      <c r="I242" s="663"/>
      <c r="J242" s="663"/>
      <c r="K242" s="663"/>
      <c r="L242" s="663"/>
      <c r="M242" s="663"/>
      <c r="R242" s="663"/>
      <c r="S242" s="663"/>
      <c r="T242" s="663"/>
      <c r="U242" s="663"/>
      <c r="V242" s="663"/>
      <c r="W242" s="663"/>
      <c r="X242" s="663"/>
      <c r="Y242" s="663"/>
      <c r="Z242" s="663"/>
      <c r="AB242" s="663"/>
    </row>
    <row r="243">
      <c r="B243" s="663"/>
      <c r="C243" s="663"/>
      <c r="D243" s="663"/>
      <c r="E243" s="663"/>
      <c r="F243" s="663"/>
      <c r="G243" s="663"/>
      <c r="H243" s="663"/>
      <c r="I243" s="663"/>
      <c r="J243" s="663"/>
      <c r="K243" s="663"/>
      <c r="L243" s="663"/>
      <c r="M243" s="663"/>
      <c r="R243" s="663"/>
      <c r="S243" s="663"/>
      <c r="T243" s="663"/>
      <c r="U243" s="663"/>
      <c r="V243" s="663"/>
      <c r="W243" s="663"/>
      <c r="X243" s="663"/>
      <c r="Y243" s="663"/>
      <c r="Z243" s="663"/>
      <c r="AB243" s="663"/>
    </row>
    <row r="244">
      <c r="B244" s="663"/>
      <c r="C244" s="663"/>
      <c r="D244" s="663"/>
      <c r="E244" s="663"/>
      <c r="F244" s="663"/>
      <c r="G244" s="663"/>
      <c r="H244" s="663"/>
      <c r="I244" s="663"/>
      <c r="J244" s="663"/>
      <c r="K244" s="663"/>
      <c r="L244" s="663"/>
      <c r="M244" s="663"/>
      <c r="R244" s="663"/>
      <c r="S244" s="663"/>
      <c r="T244" s="663"/>
      <c r="U244" s="663"/>
      <c r="V244" s="663"/>
      <c r="W244" s="663"/>
      <c r="X244" s="663"/>
      <c r="Y244" s="663"/>
      <c r="Z244" s="663"/>
      <c r="AB244" s="663"/>
    </row>
    <row r="245">
      <c r="B245" s="663"/>
      <c r="C245" s="663"/>
      <c r="D245" s="663"/>
      <c r="E245" s="663"/>
      <c r="F245" s="663"/>
      <c r="G245" s="663"/>
      <c r="H245" s="663"/>
      <c r="I245" s="663"/>
      <c r="J245" s="663"/>
      <c r="K245" s="663"/>
      <c r="L245" s="663"/>
      <c r="M245" s="663"/>
      <c r="R245" s="663"/>
      <c r="S245" s="663"/>
      <c r="T245" s="663"/>
      <c r="U245" s="663"/>
      <c r="V245" s="663"/>
      <c r="W245" s="663"/>
      <c r="X245" s="663"/>
      <c r="Y245" s="663"/>
      <c r="Z245" s="663"/>
      <c r="AB245" s="663"/>
    </row>
    <row r="246">
      <c r="B246" s="663"/>
      <c r="C246" s="663"/>
      <c r="D246" s="663"/>
      <c r="E246" s="663"/>
      <c r="F246" s="663"/>
      <c r="G246" s="663"/>
      <c r="H246" s="663"/>
      <c r="I246" s="663"/>
      <c r="J246" s="663"/>
      <c r="K246" s="663"/>
      <c r="L246" s="663"/>
      <c r="M246" s="663"/>
      <c r="R246" s="663"/>
      <c r="S246" s="663"/>
      <c r="T246" s="663"/>
      <c r="U246" s="663"/>
      <c r="V246" s="663"/>
      <c r="W246" s="663"/>
      <c r="X246" s="663"/>
      <c r="Y246" s="663"/>
      <c r="Z246" s="663"/>
      <c r="AB246" s="663"/>
    </row>
    <row r="247">
      <c r="B247" s="663"/>
      <c r="C247" s="663"/>
      <c r="D247" s="663"/>
      <c r="E247" s="663"/>
      <c r="F247" s="663"/>
      <c r="G247" s="663"/>
      <c r="H247" s="663"/>
      <c r="I247" s="663"/>
      <c r="J247" s="663"/>
      <c r="K247" s="663"/>
      <c r="L247" s="663"/>
      <c r="M247" s="663"/>
      <c r="R247" s="663"/>
      <c r="S247" s="663"/>
      <c r="T247" s="663"/>
      <c r="U247" s="663"/>
      <c r="V247" s="663"/>
      <c r="W247" s="663"/>
      <c r="X247" s="663"/>
      <c r="Y247" s="663"/>
      <c r="Z247" s="663"/>
      <c r="AB247" s="663"/>
    </row>
    <row r="248">
      <c r="B248" s="663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R248" s="663"/>
      <c r="S248" s="663"/>
      <c r="T248" s="663"/>
      <c r="U248" s="663"/>
      <c r="V248" s="663"/>
      <c r="W248" s="663"/>
      <c r="X248" s="663"/>
      <c r="Y248" s="663"/>
      <c r="Z248" s="663"/>
      <c r="AB248" s="663"/>
    </row>
    <row r="249">
      <c r="B249" s="663"/>
      <c r="C249" s="663"/>
      <c r="D249" s="663"/>
      <c r="E249" s="663"/>
      <c r="F249" s="663"/>
      <c r="G249" s="663"/>
      <c r="H249" s="663"/>
      <c r="I249" s="663"/>
      <c r="J249" s="663"/>
      <c r="K249" s="663"/>
      <c r="L249" s="663"/>
      <c r="M249" s="663"/>
      <c r="R249" s="663"/>
      <c r="S249" s="663"/>
      <c r="T249" s="663"/>
      <c r="U249" s="663"/>
      <c r="V249" s="663"/>
      <c r="W249" s="663"/>
      <c r="X249" s="663"/>
      <c r="Y249" s="663"/>
      <c r="Z249" s="663"/>
      <c r="AB249" s="663"/>
    </row>
    <row r="250">
      <c r="B250" s="663"/>
      <c r="C250" s="663"/>
      <c r="D250" s="663"/>
      <c r="E250" s="663"/>
      <c r="F250" s="663"/>
      <c r="G250" s="663"/>
      <c r="H250" s="663"/>
      <c r="I250" s="663"/>
      <c r="J250" s="663"/>
      <c r="K250" s="663"/>
      <c r="L250" s="663"/>
      <c r="M250" s="663"/>
      <c r="R250" s="663"/>
      <c r="S250" s="663"/>
      <c r="T250" s="663"/>
      <c r="U250" s="663"/>
      <c r="V250" s="663"/>
      <c r="W250" s="663"/>
      <c r="X250" s="663"/>
      <c r="Y250" s="663"/>
      <c r="Z250" s="663"/>
      <c r="AB250" s="663"/>
    </row>
    <row r="251">
      <c r="B251" s="663"/>
      <c r="C251" s="663"/>
      <c r="D251" s="663"/>
      <c r="E251" s="663"/>
      <c r="F251" s="663"/>
      <c r="G251" s="663"/>
      <c r="H251" s="663"/>
      <c r="I251" s="663"/>
      <c r="J251" s="663"/>
      <c r="K251" s="663"/>
      <c r="L251" s="663"/>
      <c r="M251" s="663"/>
      <c r="R251" s="663"/>
      <c r="S251" s="663"/>
      <c r="T251" s="663"/>
      <c r="U251" s="663"/>
      <c r="V251" s="663"/>
      <c r="W251" s="663"/>
      <c r="X251" s="663"/>
      <c r="Y251" s="663"/>
      <c r="Z251" s="663"/>
      <c r="AB251" s="663"/>
    </row>
    <row r="252">
      <c r="B252" s="663"/>
      <c r="C252" s="663"/>
      <c r="D252" s="663"/>
      <c r="E252" s="663"/>
      <c r="F252" s="663"/>
      <c r="G252" s="663"/>
      <c r="H252" s="663"/>
      <c r="I252" s="663"/>
      <c r="J252" s="663"/>
      <c r="K252" s="663"/>
      <c r="L252" s="663"/>
      <c r="M252" s="663"/>
      <c r="R252" s="663"/>
      <c r="S252" s="663"/>
      <c r="T252" s="663"/>
      <c r="U252" s="663"/>
      <c r="V252" s="663"/>
      <c r="W252" s="663"/>
      <c r="X252" s="663"/>
      <c r="Y252" s="663"/>
      <c r="Z252" s="663"/>
      <c r="AB252" s="663"/>
    </row>
    <row r="253">
      <c r="B253" s="663"/>
      <c r="C253" s="663"/>
      <c r="D253" s="663"/>
      <c r="E253" s="663"/>
      <c r="F253" s="663"/>
      <c r="G253" s="663"/>
      <c r="H253" s="663"/>
      <c r="I253" s="663"/>
      <c r="J253" s="663"/>
      <c r="K253" s="663"/>
      <c r="L253" s="663"/>
      <c r="M253" s="663"/>
      <c r="R253" s="663"/>
      <c r="S253" s="663"/>
      <c r="T253" s="663"/>
      <c r="U253" s="663"/>
      <c r="V253" s="663"/>
      <c r="W253" s="663"/>
      <c r="X253" s="663"/>
      <c r="Y253" s="663"/>
      <c r="Z253" s="663"/>
      <c r="AB253" s="663"/>
    </row>
    <row r="254">
      <c r="B254" s="663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R254" s="663"/>
      <c r="S254" s="663"/>
      <c r="T254" s="663"/>
      <c r="U254" s="663"/>
      <c r="V254" s="663"/>
      <c r="W254" s="663"/>
      <c r="X254" s="663"/>
      <c r="Y254" s="663"/>
      <c r="Z254" s="663"/>
      <c r="AB254" s="663"/>
    </row>
    <row r="255">
      <c r="B255" s="663"/>
      <c r="C255" s="663"/>
      <c r="D255" s="663"/>
      <c r="E255" s="663"/>
      <c r="F255" s="663"/>
      <c r="G255" s="663"/>
      <c r="H255" s="663"/>
      <c r="I255" s="663"/>
      <c r="J255" s="663"/>
      <c r="K255" s="663"/>
      <c r="L255" s="663"/>
      <c r="M255" s="663"/>
      <c r="R255" s="663"/>
      <c r="S255" s="663"/>
      <c r="T255" s="663"/>
      <c r="U255" s="663"/>
      <c r="V255" s="663"/>
      <c r="W255" s="663"/>
      <c r="X255" s="663"/>
      <c r="Y255" s="663"/>
      <c r="Z255" s="663"/>
      <c r="AB255" s="663"/>
    </row>
    <row r="256">
      <c r="B256" s="663"/>
      <c r="C256" s="663"/>
      <c r="D256" s="663"/>
      <c r="E256" s="663"/>
      <c r="F256" s="663"/>
      <c r="G256" s="663"/>
      <c r="H256" s="663"/>
      <c r="I256" s="663"/>
      <c r="J256" s="663"/>
      <c r="K256" s="663"/>
      <c r="L256" s="663"/>
      <c r="M256" s="663"/>
      <c r="R256" s="663"/>
      <c r="S256" s="663"/>
      <c r="T256" s="663"/>
      <c r="U256" s="663"/>
      <c r="V256" s="663"/>
      <c r="W256" s="663"/>
      <c r="X256" s="663"/>
      <c r="Y256" s="663"/>
      <c r="Z256" s="663"/>
      <c r="AB256" s="663"/>
    </row>
    <row r="257">
      <c r="B257" s="663"/>
      <c r="C257" s="663"/>
      <c r="D257" s="663"/>
      <c r="E257" s="663"/>
      <c r="F257" s="663"/>
      <c r="G257" s="663"/>
      <c r="H257" s="663"/>
      <c r="I257" s="663"/>
      <c r="J257" s="663"/>
      <c r="K257" s="663"/>
      <c r="L257" s="663"/>
      <c r="M257" s="663"/>
      <c r="R257" s="663"/>
      <c r="S257" s="663"/>
      <c r="T257" s="663"/>
      <c r="U257" s="663"/>
      <c r="V257" s="663"/>
      <c r="W257" s="663"/>
      <c r="X257" s="663"/>
      <c r="Y257" s="663"/>
      <c r="Z257" s="663"/>
      <c r="AB257" s="663"/>
    </row>
    <row r="258">
      <c r="B258" s="663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R258" s="663"/>
      <c r="S258" s="663"/>
      <c r="T258" s="663"/>
      <c r="U258" s="663"/>
      <c r="V258" s="663"/>
      <c r="W258" s="663"/>
      <c r="X258" s="663"/>
      <c r="Y258" s="663"/>
      <c r="Z258" s="663"/>
      <c r="AB258" s="663"/>
    </row>
    <row r="259">
      <c r="B259" s="663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R259" s="663"/>
      <c r="S259" s="663"/>
      <c r="T259" s="663"/>
      <c r="U259" s="663"/>
      <c r="V259" s="663"/>
      <c r="W259" s="663"/>
      <c r="X259" s="663"/>
      <c r="Y259" s="663"/>
      <c r="Z259" s="663"/>
      <c r="AB259" s="663"/>
    </row>
    <row r="260"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B260" s="663"/>
    </row>
    <row r="261">
      <c r="B261" s="663"/>
      <c r="C261" s="663"/>
      <c r="D261" s="663"/>
      <c r="E261" s="663"/>
      <c r="F261" s="663"/>
      <c r="G261" s="663"/>
      <c r="H261" s="663"/>
      <c r="I261" s="663"/>
      <c r="J261" s="663"/>
      <c r="K261" s="663"/>
      <c r="L261" s="663"/>
      <c r="M261" s="663"/>
      <c r="R261" s="663"/>
      <c r="S261" s="663"/>
      <c r="T261" s="663"/>
      <c r="U261" s="663"/>
      <c r="V261" s="663"/>
      <c r="W261" s="663"/>
      <c r="X261" s="663"/>
      <c r="Y261" s="663"/>
      <c r="Z261" s="663"/>
      <c r="AB261" s="663"/>
    </row>
    <row r="262">
      <c r="B262" s="663"/>
      <c r="C262" s="663"/>
      <c r="D262" s="663"/>
      <c r="E262" s="663"/>
      <c r="F262" s="663"/>
      <c r="G262" s="663"/>
      <c r="H262" s="663"/>
      <c r="I262" s="663"/>
      <c r="J262" s="663"/>
      <c r="K262" s="663"/>
      <c r="L262" s="663"/>
      <c r="M262" s="663"/>
      <c r="R262" s="663"/>
      <c r="S262" s="663"/>
      <c r="T262" s="663"/>
      <c r="U262" s="663"/>
      <c r="V262" s="663"/>
      <c r="W262" s="663"/>
      <c r="X262" s="663"/>
      <c r="Y262" s="663"/>
      <c r="Z262" s="663"/>
      <c r="AB262" s="663"/>
    </row>
    <row r="263">
      <c r="B263" s="663"/>
      <c r="C263" s="663"/>
      <c r="D263" s="663"/>
      <c r="E263" s="663"/>
      <c r="F263" s="663"/>
      <c r="G263" s="663"/>
      <c r="H263" s="663"/>
      <c r="I263" s="663"/>
      <c r="J263" s="663"/>
      <c r="K263" s="663"/>
      <c r="L263" s="663"/>
      <c r="M263" s="663"/>
      <c r="R263" s="663"/>
      <c r="S263" s="663"/>
      <c r="T263" s="663"/>
      <c r="U263" s="663"/>
      <c r="V263" s="663"/>
      <c r="W263" s="663"/>
      <c r="X263" s="663"/>
      <c r="Y263" s="663"/>
      <c r="Z263" s="663"/>
      <c r="AB263" s="663"/>
    </row>
    <row r="264">
      <c r="B264" s="663"/>
      <c r="C264" s="663"/>
      <c r="D264" s="663"/>
      <c r="E264" s="663"/>
      <c r="F264" s="663"/>
      <c r="G264" s="663"/>
      <c r="H264" s="663"/>
      <c r="I264" s="663"/>
      <c r="J264" s="663"/>
      <c r="K264" s="663"/>
      <c r="L264" s="663"/>
      <c r="M264" s="663"/>
      <c r="R264" s="663"/>
      <c r="S264" s="663"/>
      <c r="T264" s="663"/>
      <c r="U264" s="663"/>
      <c r="V264" s="663"/>
      <c r="W264" s="663"/>
      <c r="X264" s="663"/>
      <c r="Y264" s="663"/>
      <c r="Z264" s="663"/>
      <c r="AB264" s="663"/>
    </row>
    <row r="265">
      <c r="B265" s="663"/>
      <c r="C265" s="663"/>
      <c r="D265" s="663"/>
      <c r="E265" s="663"/>
      <c r="F265" s="663"/>
      <c r="G265" s="663"/>
      <c r="H265" s="663"/>
      <c r="I265" s="663"/>
      <c r="J265" s="663"/>
      <c r="K265" s="663"/>
      <c r="L265" s="663"/>
      <c r="M265" s="663"/>
      <c r="R265" s="663"/>
      <c r="S265" s="663"/>
      <c r="T265" s="663"/>
      <c r="U265" s="663"/>
      <c r="V265" s="663"/>
      <c r="W265" s="663"/>
      <c r="X265" s="663"/>
      <c r="Y265" s="663"/>
      <c r="Z265" s="663"/>
      <c r="AB265" s="663"/>
    </row>
    <row r="266">
      <c r="B266" s="663"/>
      <c r="C266" s="663"/>
      <c r="D266" s="663"/>
      <c r="E266" s="663"/>
      <c r="F266" s="663"/>
      <c r="G266" s="663"/>
      <c r="H266" s="663"/>
      <c r="I266" s="663"/>
      <c r="J266" s="663"/>
      <c r="K266" s="663"/>
      <c r="L266" s="663"/>
      <c r="M266" s="663"/>
      <c r="R266" s="663"/>
      <c r="S266" s="663"/>
      <c r="T266" s="663"/>
      <c r="U266" s="663"/>
      <c r="V266" s="663"/>
      <c r="W266" s="663"/>
      <c r="X266" s="663"/>
      <c r="Y266" s="663"/>
      <c r="Z266" s="663"/>
      <c r="AB266" s="663"/>
    </row>
    <row r="267">
      <c r="B267" s="663"/>
      <c r="C267" s="663"/>
      <c r="D267" s="663"/>
      <c r="E267" s="663"/>
      <c r="F267" s="663"/>
      <c r="G267" s="663"/>
      <c r="H267" s="663"/>
      <c r="I267" s="663"/>
      <c r="J267" s="663"/>
      <c r="K267" s="663"/>
      <c r="L267" s="663"/>
      <c r="M267" s="663"/>
      <c r="R267" s="663"/>
      <c r="S267" s="663"/>
      <c r="T267" s="663"/>
      <c r="U267" s="663"/>
      <c r="V267" s="663"/>
      <c r="W267" s="663"/>
      <c r="X267" s="663"/>
      <c r="Y267" s="663"/>
      <c r="Z267" s="663"/>
      <c r="AB267" s="663"/>
    </row>
    <row r="268">
      <c r="B268" s="663"/>
      <c r="C268" s="663"/>
      <c r="D268" s="663"/>
      <c r="E268" s="663"/>
      <c r="F268" s="663"/>
      <c r="G268" s="663"/>
      <c r="H268" s="663"/>
      <c r="I268" s="663"/>
      <c r="J268" s="663"/>
      <c r="K268" s="663"/>
      <c r="L268" s="663"/>
      <c r="M268" s="663"/>
      <c r="R268" s="663"/>
      <c r="S268" s="663"/>
      <c r="T268" s="663"/>
      <c r="U268" s="663"/>
      <c r="V268" s="663"/>
      <c r="W268" s="663"/>
      <c r="X268" s="663"/>
      <c r="Y268" s="663"/>
      <c r="Z268" s="663"/>
      <c r="AB268" s="663"/>
    </row>
    <row r="269">
      <c r="B269" s="663"/>
      <c r="C269" s="663"/>
      <c r="D269" s="663"/>
      <c r="E269" s="663"/>
      <c r="F269" s="663"/>
      <c r="G269" s="663"/>
      <c r="H269" s="663"/>
      <c r="I269" s="663"/>
      <c r="J269" s="663"/>
      <c r="K269" s="663"/>
      <c r="L269" s="663"/>
      <c r="M269" s="663"/>
      <c r="R269" s="663"/>
      <c r="S269" s="663"/>
      <c r="T269" s="663"/>
      <c r="U269" s="663"/>
      <c r="V269" s="663"/>
      <c r="W269" s="663"/>
      <c r="X269" s="663"/>
      <c r="Y269" s="663"/>
      <c r="Z269" s="663"/>
      <c r="AB269" s="663"/>
    </row>
    <row r="270">
      <c r="B270" s="663"/>
      <c r="C270" s="663"/>
      <c r="D270" s="663"/>
      <c r="E270" s="663"/>
      <c r="F270" s="663"/>
      <c r="G270" s="663"/>
      <c r="H270" s="663"/>
      <c r="I270" s="663"/>
      <c r="J270" s="663"/>
      <c r="K270" s="663"/>
      <c r="L270" s="663"/>
      <c r="M270" s="663"/>
      <c r="R270" s="663"/>
      <c r="S270" s="663"/>
      <c r="T270" s="663"/>
      <c r="U270" s="663"/>
      <c r="V270" s="663"/>
      <c r="W270" s="663"/>
      <c r="X270" s="663"/>
      <c r="Y270" s="663"/>
      <c r="Z270" s="663"/>
      <c r="AB270" s="663"/>
    </row>
    <row r="271">
      <c r="B271" s="663"/>
      <c r="C271" s="663"/>
      <c r="D271" s="663"/>
      <c r="E271" s="663"/>
      <c r="F271" s="663"/>
      <c r="G271" s="663"/>
      <c r="H271" s="663"/>
      <c r="I271" s="663"/>
      <c r="J271" s="663"/>
      <c r="K271" s="663"/>
      <c r="L271" s="663"/>
      <c r="M271" s="663"/>
      <c r="R271" s="663"/>
      <c r="S271" s="663"/>
      <c r="T271" s="663"/>
      <c r="U271" s="663"/>
      <c r="V271" s="663"/>
      <c r="W271" s="663"/>
      <c r="X271" s="663"/>
      <c r="Y271" s="663"/>
      <c r="Z271" s="663"/>
      <c r="AB271" s="663"/>
    </row>
    <row r="272">
      <c r="B272" s="663"/>
      <c r="C272" s="663"/>
      <c r="D272" s="663"/>
      <c r="E272" s="663"/>
      <c r="F272" s="663"/>
      <c r="G272" s="663"/>
      <c r="H272" s="663"/>
      <c r="I272" s="663"/>
      <c r="J272" s="663"/>
      <c r="K272" s="663"/>
      <c r="L272" s="663"/>
      <c r="M272" s="663"/>
      <c r="R272" s="663"/>
      <c r="S272" s="663"/>
      <c r="T272" s="663"/>
      <c r="U272" s="663"/>
      <c r="V272" s="663"/>
      <c r="W272" s="663"/>
      <c r="X272" s="663"/>
      <c r="Y272" s="663"/>
      <c r="Z272" s="663"/>
      <c r="AB272" s="663"/>
    </row>
    <row r="273">
      <c r="B273" s="663"/>
      <c r="C273" s="663"/>
      <c r="D273" s="663"/>
      <c r="E273" s="663"/>
      <c r="F273" s="663"/>
      <c r="G273" s="663"/>
      <c r="H273" s="663"/>
      <c r="I273" s="663"/>
      <c r="J273" s="663"/>
      <c r="K273" s="663"/>
      <c r="L273" s="663"/>
      <c r="M273" s="663"/>
      <c r="R273" s="663"/>
      <c r="S273" s="663"/>
      <c r="T273" s="663"/>
      <c r="U273" s="663"/>
      <c r="V273" s="663"/>
      <c r="W273" s="663"/>
      <c r="X273" s="663"/>
      <c r="Y273" s="663"/>
      <c r="Z273" s="663"/>
      <c r="AB273" s="663"/>
    </row>
    <row r="274">
      <c r="B274" s="663"/>
      <c r="C274" s="663"/>
      <c r="D274" s="663"/>
      <c r="E274" s="663"/>
      <c r="F274" s="663"/>
      <c r="G274" s="663"/>
      <c r="H274" s="663"/>
      <c r="I274" s="663"/>
      <c r="J274" s="663"/>
      <c r="K274" s="663"/>
      <c r="L274" s="663"/>
      <c r="M274" s="663"/>
      <c r="R274" s="663"/>
      <c r="S274" s="663"/>
      <c r="T274" s="663"/>
      <c r="U274" s="663"/>
      <c r="V274" s="663"/>
      <c r="W274" s="663"/>
      <c r="X274" s="663"/>
      <c r="Y274" s="663"/>
      <c r="Z274" s="663"/>
      <c r="AB274" s="663"/>
    </row>
    <row r="275">
      <c r="B275" s="663"/>
      <c r="C275" s="663"/>
      <c r="D275" s="663"/>
      <c r="E275" s="663"/>
      <c r="F275" s="663"/>
      <c r="G275" s="663"/>
      <c r="H275" s="663"/>
      <c r="I275" s="663"/>
      <c r="J275" s="663"/>
      <c r="K275" s="663"/>
      <c r="L275" s="663"/>
      <c r="M275" s="663"/>
      <c r="R275" s="663"/>
      <c r="S275" s="663"/>
      <c r="T275" s="663"/>
      <c r="U275" s="663"/>
      <c r="V275" s="663"/>
      <c r="W275" s="663"/>
      <c r="X275" s="663"/>
      <c r="Y275" s="663"/>
      <c r="Z275" s="663"/>
      <c r="AB275" s="663"/>
    </row>
    <row r="276">
      <c r="B276" s="663"/>
      <c r="C276" s="663"/>
      <c r="D276" s="663"/>
      <c r="E276" s="663"/>
      <c r="F276" s="663"/>
      <c r="G276" s="663"/>
      <c r="H276" s="663"/>
      <c r="I276" s="663"/>
      <c r="J276" s="663"/>
      <c r="K276" s="663"/>
      <c r="L276" s="663"/>
      <c r="M276" s="663"/>
      <c r="R276" s="663"/>
      <c r="S276" s="663"/>
      <c r="T276" s="663"/>
      <c r="U276" s="663"/>
      <c r="V276" s="663"/>
      <c r="W276" s="663"/>
      <c r="X276" s="663"/>
      <c r="Y276" s="663"/>
      <c r="Z276" s="663"/>
      <c r="AB276" s="663"/>
    </row>
    <row r="277">
      <c r="B277" s="663"/>
      <c r="C277" s="663"/>
      <c r="D277" s="663"/>
      <c r="E277" s="663"/>
      <c r="F277" s="663"/>
      <c r="G277" s="663"/>
      <c r="H277" s="663"/>
      <c r="I277" s="663"/>
      <c r="J277" s="663"/>
      <c r="K277" s="663"/>
      <c r="L277" s="663"/>
      <c r="M277" s="663"/>
      <c r="R277" s="663"/>
      <c r="S277" s="663"/>
      <c r="T277" s="663"/>
      <c r="U277" s="663"/>
      <c r="V277" s="663"/>
      <c r="W277" s="663"/>
      <c r="X277" s="663"/>
      <c r="Y277" s="663"/>
      <c r="Z277" s="663"/>
      <c r="AB277" s="663"/>
    </row>
    <row r="278">
      <c r="B278" s="663"/>
      <c r="C278" s="663"/>
      <c r="D278" s="663"/>
      <c r="E278" s="663"/>
      <c r="F278" s="663"/>
      <c r="G278" s="663"/>
      <c r="H278" s="663"/>
      <c r="I278" s="663"/>
      <c r="J278" s="663"/>
      <c r="K278" s="663"/>
      <c r="L278" s="663"/>
      <c r="M278" s="663"/>
      <c r="R278" s="663"/>
      <c r="S278" s="663"/>
      <c r="T278" s="663"/>
      <c r="U278" s="663"/>
      <c r="V278" s="663"/>
      <c r="W278" s="663"/>
      <c r="X278" s="663"/>
      <c r="Y278" s="663"/>
      <c r="Z278" s="663"/>
      <c r="AB278" s="663"/>
    </row>
    <row r="279">
      <c r="B279" s="663"/>
      <c r="C279" s="663"/>
      <c r="D279" s="663"/>
      <c r="E279" s="663"/>
      <c r="F279" s="663"/>
      <c r="G279" s="663"/>
      <c r="H279" s="663"/>
      <c r="I279" s="663"/>
      <c r="J279" s="663"/>
      <c r="K279" s="663"/>
      <c r="L279" s="663"/>
      <c r="M279" s="663"/>
      <c r="R279" s="663"/>
      <c r="S279" s="663"/>
      <c r="T279" s="663"/>
      <c r="U279" s="663"/>
      <c r="V279" s="663"/>
      <c r="W279" s="663"/>
      <c r="X279" s="663"/>
      <c r="Y279" s="663"/>
      <c r="Z279" s="663"/>
      <c r="AB279" s="663"/>
    </row>
    <row r="280"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R280" s="663"/>
      <c r="S280" s="663"/>
      <c r="T280" s="663"/>
      <c r="U280" s="663"/>
      <c r="V280" s="663"/>
      <c r="W280" s="663"/>
      <c r="X280" s="663"/>
      <c r="Y280" s="663"/>
      <c r="Z280" s="663"/>
      <c r="AB280" s="663"/>
    </row>
    <row r="281">
      <c r="B281" s="663"/>
      <c r="C281" s="663"/>
      <c r="D281" s="663"/>
      <c r="E281" s="663"/>
      <c r="F281" s="663"/>
      <c r="G281" s="663"/>
      <c r="H281" s="663"/>
      <c r="I281" s="663"/>
      <c r="J281" s="663"/>
      <c r="K281" s="663"/>
      <c r="L281" s="663"/>
      <c r="M281" s="663"/>
      <c r="R281" s="663"/>
      <c r="S281" s="663"/>
      <c r="T281" s="663"/>
      <c r="U281" s="663"/>
      <c r="V281" s="663"/>
      <c r="W281" s="663"/>
      <c r="X281" s="663"/>
      <c r="Y281" s="663"/>
      <c r="Z281" s="663"/>
      <c r="AB281" s="663"/>
    </row>
    <row r="282">
      <c r="B282" s="663"/>
      <c r="C282" s="663"/>
      <c r="D282" s="663"/>
      <c r="E282" s="663"/>
      <c r="F282" s="663"/>
      <c r="G282" s="663"/>
      <c r="H282" s="663"/>
      <c r="I282" s="663"/>
      <c r="J282" s="663"/>
      <c r="K282" s="663"/>
      <c r="L282" s="663"/>
      <c r="M282" s="663"/>
      <c r="R282" s="663"/>
      <c r="S282" s="663"/>
      <c r="T282" s="663"/>
      <c r="U282" s="663"/>
      <c r="V282" s="663"/>
      <c r="W282" s="663"/>
      <c r="X282" s="663"/>
      <c r="Y282" s="663"/>
      <c r="Z282" s="663"/>
      <c r="AB282" s="663"/>
    </row>
    <row r="283">
      <c r="B283" s="663"/>
      <c r="C283" s="663"/>
      <c r="D283" s="663"/>
      <c r="E283" s="663"/>
      <c r="F283" s="663"/>
      <c r="G283" s="663"/>
      <c r="H283" s="663"/>
      <c r="I283" s="663"/>
      <c r="J283" s="663"/>
      <c r="K283" s="663"/>
      <c r="L283" s="663"/>
      <c r="M283" s="663"/>
      <c r="R283" s="663"/>
      <c r="S283" s="663"/>
      <c r="T283" s="663"/>
      <c r="U283" s="663"/>
      <c r="V283" s="663"/>
      <c r="W283" s="663"/>
      <c r="X283" s="663"/>
      <c r="Y283" s="663"/>
      <c r="Z283" s="663"/>
      <c r="AB283" s="663"/>
    </row>
    <row r="284">
      <c r="B284" s="663"/>
      <c r="C284" s="663"/>
      <c r="D284" s="663"/>
      <c r="E284" s="663"/>
      <c r="F284" s="663"/>
      <c r="G284" s="663"/>
      <c r="H284" s="663"/>
      <c r="I284" s="663"/>
      <c r="J284" s="663"/>
      <c r="K284" s="663"/>
      <c r="L284" s="663"/>
      <c r="M284" s="663"/>
      <c r="R284" s="663"/>
      <c r="S284" s="663"/>
      <c r="T284" s="663"/>
      <c r="U284" s="663"/>
      <c r="V284" s="663"/>
      <c r="W284" s="663"/>
      <c r="X284" s="663"/>
      <c r="Y284" s="663"/>
      <c r="Z284" s="663"/>
      <c r="AB284" s="663"/>
    </row>
    <row r="285">
      <c r="B285" s="663"/>
      <c r="C285" s="663"/>
      <c r="D285" s="663"/>
      <c r="E285" s="663"/>
      <c r="F285" s="663"/>
      <c r="G285" s="663"/>
      <c r="H285" s="663"/>
      <c r="I285" s="663"/>
      <c r="J285" s="663"/>
      <c r="K285" s="663"/>
      <c r="L285" s="663"/>
      <c r="M285" s="663"/>
      <c r="R285" s="663"/>
      <c r="S285" s="663"/>
      <c r="T285" s="663"/>
      <c r="U285" s="663"/>
      <c r="V285" s="663"/>
      <c r="W285" s="663"/>
      <c r="X285" s="663"/>
      <c r="Y285" s="663"/>
      <c r="Z285" s="663"/>
      <c r="AB285" s="663"/>
    </row>
    <row r="286">
      <c r="B286" s="663"/>
      <c r="C286" s="663"/>
      <c r="D286" s="663"/>
      <c r="E286" s="663"/>
      <c r="F286" s="663"/>
      <c r="G286" s="663"/>
      <c r="H286" s="663"/>
      <c r="I286" s="663"/>
      <c r="J286" s="663"/>
      <c r="K286" s="663"/>
      <c r="L286" s="663"/>
      <c r="M286" s="663"/>
      <c r="R286" s="663"/>
      <c r="S286" s="663"/>
      <c r="T286" s="663"/>
      <c r="U286" s="663"/>
      <c r="V286" s="663"/>
      <c r="W286" s="663"/>
      <c r="X286" s="663"/>
      <c r="Y286" s="663"/>
      <c r="Z286" s="663"/>
      <c r="AB286" s="663"/>
    </row>
    <row r="287">
      <c r="B287" s="663"/>
      <c r="C287" s="663"/>
      <c r="D287" s="663"/>
      <c r="E287" s="663"/>
      <c r="F287" s="663"/>
      <c r="G287" s="663"/>
      <c r="H287" s="663"/>
      <c r="I287" s="663"/>
      <c r="J287" s="663"/>
      <c r="K287" s="663"/>
      <c r="L287" s="663"/>
      <c r="M287" s="663"/>
      <c r="R287" s="663"/>
      <c r="S287" s="663"/>
      <c r="T287" s="663"/>
      <c r="U287" s="663"/>
      <c r="V287" s="663"/>
      <c r="W287" s="663"/>
      <c r="X287" s="663"/>
      <c r="Y287" s="663"/>
      <c r="Z287" s="663"/>
      <c r="AB287" s="663"/>
    </row>
    <row r="288">
      <c r="B288" s="663"/>
      <c r="C288" s="663"/>
      <c r="D288" s="663"/>
      <c r="E288" s="663"/>
      <c r="F288" s="663"/>
      <c r="G288" s="663"/>
      <c r="H288" s="663"/>
      <c r="I288" s="663"/>
      <c r="J288" s="663"/>
      <c r="K288" s="663"/>
      <c r="L288" s="663"/>
      <c r="M288" s="663"/>
      <c r="R288" s="663"/>
      <c r="S288" s="663"/>
      <c r="T288" s="663"/>
      <c r="U288" s="663"/>
      <c r="V288" s="663"/>
      <c r="W288" s="663"/>
      <c r="X288" s="663"/>
      <c r="Y288" s="663"/>
      <c r="Z288" s="663"/>
      <c r="AB288" s="663"/>
    </row>
    <row r="289">
      <c r="B289" s="663"/>
      <c r="C289" s="663"/>
      <c r="D289" s="663"/>
      <c r="E289" s="663"/>
      <c r="F289" s="663"/>
      <c r="G289" s="663"/>
      <c r="H289" s="663"/>
      <c r="I289" s="663"/>
      <c r="J289" s="663"/>
      <c r="K289" s="663"/>
      <c r="L289" s="663"/>
      <c r="M289" s="663"/>
      <c r="R289" s="663"/>
      <c r="S289" s="663"/>
      <c r="T289" s="663"/>
      <c r="U289" s="663"/>
      <c r="V289" s="663"/>
      <c r="W289" s="663"/>
      <c r="X289" s="663"/>
      <c r="Y289" s="663"/>
      <c r="Z289" s="663"/>
      <c r="AB289" s="663"/>
    </row>
    <row r="290">
      <c r="B290" s="663"/>
      <c r="C290" s="663"/>
      <c r="D290" s="663"/>
      <c r="E290" s="663"/>
      <c r="F290" s="663"/>
      <c r="G290" s="663"/>
      <c r="H290" s="663"/>
      <c r="I290" s="663"/>
      <c r="J290" s="663"/>
      <c r="K290" s="663"/>
      <c r="L290" s="663"/>
      <c r="M290" s="663"/>
      <c r="R290" s="663"/>
      <c r="S290" s="663"/>
      <c r="T290" s="663"/>
      <c r="U290" s="663"/>
      <c r="V290" s="663"/>
      <c r="W290" s="663"/>
      <c r="X290" s="663"/>
      <c r="Y290" s="663"/>
      <c r="Z290" s="663"/>
      <c r="AB290" s="663"/>
    </row>
    <row r="291">
      <c r="B291" s="663"/>
      <c r="C291" s="663"/>
      <c r="D291" s="663"/>
      <c r="E291" s="663"/>
      <c r="F291" s="663"/>
      <c r="G291" s="663"/>
      <c r="H291" s="663"/>
      <c r="I291" s="663"/>
      <c r="J291" s="663"/>
      <c r="K291" s="663"/>
      <c r="L291" s="663"/>
      <c r="M291" s="663"/>
      <c r="R291" s="663"/>
      <c r="S291" s="663"/>
      <c r="T291" s="663"/>
      <c r="U291" s="663"/>
      <c r="V291" s="663"/>
      <c r="W291" s="663"/>
      <c r="X291" s="663"/>
      <c r="Y291" s="663"/>
      <c r="Z291" s="663"/>
      <c r="AB291" s="663"/>
    </row>
    <row r="292">
      <c r="B292" s="663"/>
      <c r="C292" s="663"/>
      <c r="D292" s="663"/>
      <c r="E292" s="663"/>
      <c r="F292" s="663"/>
      <c r="G292" s="663"/>
      <c r="H292" s="663"/>
      <c r="I292" s="663"/>
      <c r="J292" s="663"/>
      <c r="K292" s="663"/>
      <c r="L292" s="663"/>
      <c r="M292" s="663"/>
      <c r="R292" s="663"/>
      <c r="S292" s="663"/>
      <c r="T292" s="663"/>
      <c r="U292" s="663"/>
      <c r="V292" s="663"/>
      <c r="W292" s="663"/>
      <c r="X292" s="663"/>
      <c r="Y292" s="663"/>
      <c r="Z292" s="663"/>
      <c r="AB292" s="663"/>
    </row>
    <row r="293">
      <c r="B293" s="663"/>
      <c r="C293" s="663"/>
      <c r="D293" s="663"/>
      <c r="E293" s="663"/>
      <c r="F293" s="663"/>
      <c r="G293" s="663"/>
      <c r="H293" s="663"/>
      <c r="I293" s="663"/>
      <c r="J293" s="663"/>
      <c r="K293" s="663"/>
      <c r="L293" s="663"/>
      <c r="M293" s="663"/>
      <c r="R293" s="663"/>
      <c r="S293" s="663"/>
      <c r="T293" s="663"/>
      <c r="U293" s="663"/>
      <c r="V293" s="663"/>
      <c r="W293" s="663"/>
      <c r="X293" s="663"/>
      <c r="Y293" s="663"/>
      <c r="Z293" s="663"/>
      <c r="AB293" s="663"/>
    </row>
    <row r="294">
      <c r="B294" s="663"/>
      <c r="C294" s="663"/>
      <c r="D294" s="663"/>
      <c r="E294" s="663"/>
      <c r="F294" s="663"/>
      <c r="G294" s="663"/>
      <c r="H294" s="663"/>
      <c r="I294" s="663"/>
      <c r="J294" s="663"/>
      <c r="K294" s="663"/>
      <c r="L294" s="663"/>
      <c r="M294" s="663"/>
      <c r="R294" s="663"/>
      <c r="S294" s="663"/>
      <c r="T294" s="663"/>
      <c r="U294" s="663"/>
      <c r="V294" s="663"/>
      <c r="W294" s="663"/>
      <c r="X294" s="663"/>
      <c r="Y294" s="663"/>
      <c r="Z294" s="663"/>
      <c r="AB294" s="663"/>
    </row>
    <row r="295">
      <c r="B295" s="663"/>
      <c r="C295" s="663"/>
      <c r="D295" s="663"/>
      <c r="E295" s="663"/>
      <c r="F295" s="663"/>
      <c r="G295" s="663"/>
      <c r="H295" s="663"/>
      <c r="I295" s="663"/>
      <c r="J295" s="663"/>
      <c r="K295" s="663"/>
      <c r="L295" s="663"/>
      <c r="M295" s="663"/>
      <c r="R295" s="663"/>
      <c r="S295" s="663"/>
      <c r="T295" s="663"/>
      <c r="U295" s="663"/>
      <c r="V295" s="663"/>
      <c r="W295" s="663"/>
      <c r="X295" s="663"/>
      <c r="Y295" s="663"/>
      <c r="Z295" s="663"/>
      <c r="AB295" s="663"/>
    </row>
    <row r="296">
      <c r="B296" s="663"/>
      <c r="C296" s="663"/>
      <c r="D296" s="663"/>
      <c r="E296" s="663"/>
      <c r="F296" s="663"/>
      <c r="G296" s="663"/>
      <c r="H296" s="663"/>
      <c r="I296" s="663"/>
      <c r="J296" s="663"/>
      <c r="K296" s="663"/>
      <c r="L296" s="663"/>
      <c r="M296" s="663"/>
      <c r="R296" s="663"/>
      <c r="S296" s="663"/>
      <c r="T296" s="663"/>
      <c r="U296" s="663"/>
      <c r="V296" s="663"/>
      <c r="W296" s="663"/>
      <c r="X296" s="663"/>
      <c r="Y296" s="663"/>
      <c r="Z296" s="663"/>
      <c r="AB296" s="663"/>
    </row>
    <row r="297">
      <c r="B297" s="663"/>
      <c r="C297" s="663"/>
      <c r="D297" s="663"/>
      <c r="E297" s="663"/>
      <c r="F297" s="663"/>
      <c r="G297" s="663"/>
      <c r="H297" s="663"/>
      <c r="I297" s="663"/>
      <c r="J297" s="663"/>
      <c r="K297" s="663"/>
      <c r="L297" s="663"/>
      <c r="M297" s="663"/>
      <c r="R297" s="663"/>
      <c r="S297" s="663"/>
      <c r="T297" s="663"/>
      <c r="U297" s="663"/>
      <c r="V297" s="663"/>
      <c r="W297" s="663"/>
      <c r="X297" s="663"/>
      <c r="Y297" s="663"/>
      <c r="Z297" s="663"/>
      <c r="AB297" s="663"/>
    </row>
    <row r="298">
      <c r="B298" s="663"/>
      <c r="C298" s="663"/>
      <c r="D298" s="663"/>
      <c r="E298" s="663"/>
      <c r="F298" s="663"/>
      <c r="G298" s="663"/>
      <c r="H298" s="663"/>
      <c r="I298" s="663"/>
      <c r="J298" s="663"/>
      <c r="K298" s="663"/>
      <c r="L298" s="663"/>
      <c r="M298" s="663"/>
      <c r="R298" s="663"/>
      <c r="S298" s="663"/>
      <c r="T298" s="663"/>
      <c r="U298" s="663"/>
      <c r="V298" s="663"/>
      <c r="W298" s="663"/>
      <c r="X298" s="663"/>
      <c r="Y298" s="663"/>
      <c r="Z298" s="663"/>
      <c r="AB298" s="663"/>
    </row>
    <row r="299">
      <c r="B299" s="663"/>
      <c r="C299" s="663"/>
      <c r="D299" s="663"/>
      <c r="E299" s="663"/>
      <c r="F299" s="663"/>
      <c r="G299" s="663"/>
      <c r="H299" s="663"/>
      <c r="I299" s="663"/>
      <c r="J299" s="663"/>
      <c r="K299" s="663"/>
      <c r="L299" s="663"/>
      <c r="M299" s="663"/>
      <c r="R299" s="663"/>
      <c r="S299" s="663"/>
      <c r="T299" s="663"/>
      <c r="U299" s="663"/>
      <c r="V299" s="663"/>
      <c r="W299" s="663"/>
      <c r="X299" s="663"/>
      <c r="Y299" s="663"/>
      <c r="Z299" s="663"/>
      <c r="AB299" s="663"/>
    </row>
    <row r="300">
      <c r="B300" s="663"/>
      <c r="C300" s="663"/>
      <c r="D300" s="663"/>
      <c r="E300" s="663"/>
      <c r="F300" s="663"/>
      <c r="G300" s="663"/>
      <c r="H300" s="663"/>
      <c r="I300" s="663"/>
      <c r="J300" s="663"/>
      <c r="K300" s="663"/>
      <c r="L300" s="663"/>
      <c r="M300" s="663"/>
      <c r="R300" s="663"/>
      <c r="S300" s="663"/>
      <c r="T300" s="663"/>
      <c r="U300" s="663"/>
      <c r="V300" s="663"/>
      <c r="W300" s="663"/>
      <c r="X300" s="663"/>
      <c r="Y300" s="663"/>
      <c r="Z300" s="663"/>
      <c r="AB300" s="663"/>
    </row>
    <row r="301">
      <c r="B301" s="663"/>
      <c r="C301" s="663"/>
      <c r="D301" s="663"/>
      <c r="E301" s="663"/>
      <c r="F301" s="663"/>
      <c r="G301" s="663"/>
      <c r="H301" s="663"/>
      <c r="I301" s="663"/>
      <c r="J301" s="663"/>
      <c r="K301" s="663"/>
      <c r="L301" s="663"/>
      <c r="M301" s="663"/>
      <c r="R301" s="663"/>
      <c r="S301" s="663"/>
      <c r="T301" s="663"/>
      <c r="U301" s="663"/>
      <c r="V301" s="663"/>
      <c r="W301" s="663"/>
      <c r="X301" s="663"/>
      <c r="Y301" s="663"/>
      <c r="Z301" s="663"/>
      <c r="AB301" s="663"/>
    </row>
    <row r="302"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B302" s="663"/>
    </row>
    <row r="303">
      <c r="B303" s="663"/>
      <c r="C303" s="663"/>
      <c r="D303" s="663"/>
      <c r="E303" s="663"/>
      <c r="F303" s="663"/>
      <c r="G303" s="663"/>
      <c r="H303" s="663"/>
      <c r="I303" s="663"/>
      <c r="J303" s="663"/>
      <c r="K303" s="663"/>
      <c r="L303" s="663"/>
      <c r="M303" s="663"/>
      <c r="R303" s="663"/>
      <c r="S303" s="663"/>
      <c r="T303" s="663"/>
      <c r="U303" s="663"/>
      <c r="V303" s="663"/>
      <c r="W303" s="663"/>
      <c r="X303" s="663"/>
      <c r="Y303" s="663"/>
      <c r="Z303" s="663"/>
      <c r="AB303" s="663"/>
    </row>
    <row r="304">
      <c r="B304" s="663"/>
      <c r="C304" s="663"/>
      <c r="D304" s="663"/>
      <c r="E304" s="663"/>
      <c r="F304" s="663"/>
      <c r="G304" s="663"/>
      <c r="H304" s="663"/>
      <c r="I304" s="663"/>
      <c r="J304" s="663"/>
      <c r="K304" s="663"/>
      <c r="L304" s="663"/>
      <c r="M304" s="663"/>
      <c r="R304" s="663"/>
      <c r="S304" s="663"/>
      <c r="T304" s="663"/>
      <c r="U304" s="663"/>
      <c r="V304" s="663"/>
      <c r="W304" s="663"/>
      <c r="X304" s="663"/>
      <c r="Y304" s="663"/>
      <c r="Z304" s="663"/>
      <c r="AB304" s="663"/>
    </row>
    <row r="305">
      <c r="B305" s="663"/>
      <c r="C305" s="663"/>
      <c r="D305" s="663"/>
      <c r="E305" s="663"/>
      <c r="F305" s="663"/>
      <c r="G305" s="663"/>
      <c r="H305" s="663"/>
      <c r="I305" s="663"/>
      <c r="J305" s="663"/>
      <c r="K305" s="663"/>
      <c r="L305" s="663"/>
      <c r="M305" s="663"/>
      <c r="R305" s="663"/>
      <c r="S305" s="663"/>
      <c r="T305" s="663"/>
      <c r="U305" s="663"/>
      <c r="V305" s="663"/>
      <c r="W305" s="663"/>
      <c r="X305" s="663"/>
      <c r="Y305" s="663"/>
      <c r="Z305" s="663"/>
      <c r="AB305" s="663"/>
    </row>
    <row r="306">
      <c r="B306" s="663"/>
      <c r="C306" s="663"/>
      <c r="D306" s="663"/>
      <c r="E306" s="663"/>
      <c r="F306" s="663"/>
      <c r="G306" s="663"/>
      <c r="H306" s="663"/>
      <c r="I306" s="663"/>
      <c r="J306" s="663"/>
      <c r="K306" s="663"/>
      <c r="L306" s="663"/>
      <c r="M306" s="663"/>
      <c r="R306" s="663"/>
      <c r="S306" s="663"/>
      <c r="T306" s="663"/>
      <c r="U306" s="663"/>
      <c r="V306" s="663"/>
      <c r="W306" s="663"/>
      <c r="X306" s="663"/>
      <c r="Y306" s="663"/>
      <c r="Z306" s="663"/>
      <c r="AB306" s="663"/>
    </row>
    <row r="307">
      <c r="B307" s="663"/>
      <c r="C307" s="663"/>
      <c r="D307" s="663"/>
      <c r="E307" s="663"/>
      <c r="F307" s="663"/>
      <c r="G307" s="663"/>
      <c r="H307" s="663"/>
      <c r="I307" s="663"/>
      <c r="J307" s="663"/>
      <c r="K307" s="663"/>
      <c r="L307" s="663"/>
      <c r="M307" s="663"/>
      <c r="R307" s="663"/>
      <c r="S307" s="663"/>
      <c r="T307" s="663"/>
      <c r="U307" s="663"/>
      <c r="V307" s="663"/>
      <c r="W307" s="663"/>
      <c r="X307" s="663"/>
      <c r="Y307" s="663"/>
      <c r="Z307" s="663"/>
      <c r="AB307" s="663"/>
    </row>
    <row r="308">
      <c r="B308" s="663"/>
      <c r="C308" s="663"/>
      <c r="D308" s="663"/>
      <c r="E308" s="663"/>
      <c r="F308" s="663"/>
      <c r="G308" s="663"/>
      <c r="H308" s="663"/>
      <c r="I308" s="663"/>
      <c r="J308" s="663"/>
      <c r="K308" s="663"/>
      <c r="L308" s="663"/>
      <c r="M308" s="663"/>
      <c r="R308" s="663"/>
      <c r="S308" s="663"/>
      <c r="T308" s="663"/>
      <c r="U308" s="663"/>
      <c r="V308" s="663"/>
      <c r="W308" s="663"/>
      <c r="X308" s="663"/>
      <c r="Y308" s="663"/>
      <c r="Z308" s="663"/>
      <c r="AB308" s="663"/>
    </row>
    <row r="309">
      <c r="B309" s="663"/>
      <c r="C309" s="663"/>
      <c r="D309" s="663"/>
      <c r="E309" s="663"/>
      <c r="F309" s="663"/>
      <c r="G309" s="663"/>
      <c r="H309" s="663"/>
      <c r="I309" s="663"/>
      <c r="J309" s="663"/>
      <c r="K309" s="663"/>
      <c r="L309" s="663"/>
      <c r="M309" s="663"/>
      <c r="R309" s="663"/>
      <c r="S309" s="663"/>
      <c r="T309" s="663"/>
      <c r="U309" s="663"/>
      <c r="V309" s="663"/>
      <c r="W309" s="663"/>
      <c r="X309" s="663"/>
      <c r="Y309" s="663"/>
      <c r="Z309" s="663"/>
      <c r="AB309" s="663"/>
    </row>
    <row r="310">
      <c r="B310" s="663"/>
      <c r="C310" s="663"/>
      <c r="D310" s="663"/>
      <c r="E310" s="663"/>
      <c r="F310" s="663"/>
      <c r="G310" s="663"/>
      <c r="H310" s="663"/>
      <c r="I310" s="663"/>
      <c r="J310" s="663"/>
      <c r="K310" s="663"/>
      <c r="L310" s="663"/>
      <c r="M310" s="663"/>
      <c r="R310" s="663"/>
      <c r="S310" s="663"/>
      <c r="T310" s="663"/>
      <c r="U310" s="663"/>
      <c r="V310" s="663"/>
      <c r="W310" s="663"/>
      <c r="X310" s="663"/>
      <c r="Y310" s="663"/>
      <c r="Z310" s="663"/>
      <c r="AB310" s="663"/>
    </row>
    <row r="311">
      <c r="B311" s="663"/>
      <c r="C311" s="663"/>
      <c r="D311" s="663"/>
      <c r="E311" s="663"/>
      <c r="F311" s="663"/>
      <c r="G311" s="663"/>
      <c r="H311" s="663"/>
      <c r="I311" s="663"/>
      <c r="J311" s="663"/>
      <c r="K311" s="663"/>
      <c r="L311" s="663"/>
      <c r="M311" s="663"/>
      <c r="R311" s="663"/>
      <c r="S311" s="663"/>
      <c r="T311" s="663"/>
      <c r="U311" s="663"/>
      <c r="V311" s="663"/>
      <c r="W311" s="663"/>
      <c r="X311" s="663"/>
      <c r="Y311" s="663"/>
      <c r="Z311" s="663"/>
      <c r="AB311" s="663"/>
    </row>
    <row r="312">
      <c r="B312" s="663"/>
      <c r="C312" s="663"/>
      <c r="D312" s="663"/>
      <c r="E312" s="663"/>
      <c r="F312" s="663"/>
      <c r="G312" s="663"/>
      <c r="H312" s="663"/>
      <c r="I312" s="663"/>
      <c r="J312" s="663"/>
      <c r="K312" s="663"/>
      <c r="L312" s="663"/>
      <c r="M312" s="663"/>
      <c r="R312" s="663"/>
      <c r="S312" s="663"/>
      <c r="T312" s="663"/>
      <c r="U312" s="663"/>
      <c r="V312" s="663"/>
      <c r="W312" s="663"/>
      <c r="X312" s="663"/>
      <c r="Y312" s="663"/>
      <c r="Z312" s="663"/>
      <c r="AB312" s="663"/>
    </row>
    <row r="313">
      <c r="B313" s="663"/>
      <c r="C313" s="663"/>
      <c r="D313" s="663"/>
      <c r="E313" s="663"/>
      <c r="F313" s="663"/>
      <c r="G313" s="663"/>
      <c r="H313" s="663"/>
      <c r="I313" s="663"/>
      <c r="J313" s="663"/>
      <c r="K313" s="663"/>
      <c r="L313" s="663"/>
      <c r="M313" s="663"/>
      <c r="R313" s="663"/>
      <c r="S313" s="663"/>
      <c r="T313" s="663"/>
      <c r="U313" s="663"/>
      <c r="V313" s="663"/>
      <c r="W313" s="663"/>
      <c r="X313" s="663"/>
      <c r="Y313" s="663"/>
      <c r="Z313" s="663"/>
      <c r="AB313" s="663"/>
    </row>
    <row r="314">
      <c r="B314" s="663"/>
      <c r="C314" s="663"/>
      <c r="D314" s="663"/>
      <c r="E314" s="663"/>
      <c r="F314" s="663"/>
      <c r="G314" s="663"/>
      <c r="H314" s="663"/>
      <c r="I314" s="663"/>
      <c r="J314" s="663"/>
      <c r="K314" s="663"/>
      <c r="L314" s="663"/>
      <c r="M314" s="663"/>
      <c r="R314" s="663"/>
      <c r="S314" s="663"/>
      <c r="T314" s="663"/>
      <c r="U314" s="663"/>
      <c r="V314" s="663"/>
      <c r="W314" s="663"/>
      <c r="X314" s="663"/>
      <c r="Y314" s="663"/>
      <c r="Z314" s="663"/>
      <c r="AB314" s="663"/>
    </row>
    <row r="315">
      <c r="B315" s="663"/>
      <c r="C315" s="663"/>
      <c r="D315" s="663"/>
      <c r="E315" s="663"/>
      <c r="F315" s="663"/>
      <c r="G315" s="663"/>
      <c r="H315" s="663"/>
      <c r="I315" s="663"/>
      <c r="J315" s="663"/>
      <c r="K315" s="663"/>
      <c r="L315" s="663"/>
      <c r="M315" s="663"/>
      <c r="R315" s="663"/>
      <c r="S315" s="663"/>
      <c r="T315" s="663"/>
      <c r="U315" s="663"/>
      <c r="V315" s="663"/>
      <c r="W315" s="663"/>
      <c r="X315" s="663"/>
      <c r="Y315" s="663"/>
      <c r="Z315" s="663"/>
      <c r="AB315" s="663"/>
    </row>
    <row r="316"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R316" s="663"/>
      <c r="S316" s="663"/>
      <c r="T316" s="663"/>
      <c r="U316" s="663"/>
      <c r="V316" s="663"/>
      <c r="W316" s="663"/>
      <c r="X316" s="663"/>
      <c r="Y316" s="663"/>
      <c r="Z316" s="663"/>
      <c r="AB316" s="663"/>
    </row>
    <row r="317">
      <c r="B317" s="663"/>
      <c r="C317" s="663"/>
      <c r="D317" s="663"/>
      <c r="E317" s="663"/>
      <c r="F317" s="663"/>
      <c r="G317" s="663"/>
      <c r="H317" s="663"/>
      <c r="I317" s="663"/>
      <c r="J317" s="663"/>
      <c r="K317" s="663"/>
      <c r="L317" s="663"/>
      <c r="M317" s="663"/>
      <c r="R317" s="663"/>
      <c r="S317" s="663"/>
      <c r="T317" s="663"/>
      <c r="U317" s="663"/>
      <c r="V317" s="663"/>
      <c r="W317" s="663"/>
      <c r="X317" s="663"/>
      <c r="Y317" s="663"/>
      <c r="Z317" s="663"/>
      <c r="AB317" s="663"/>
    </row>
    <row r="318">
      <c r="B318" s="663"/>
      <c r="C318" s="663"/>
      <c r="D318" s="663"/>
      <c r="E318" s="663"/>
      <c r="F318" s="663"/>
      <c r="G318" s="663"/>
      <c r="H318" s="663"/>
      <c r="I318" s="663"/>
      <c r="J318" s="663"/>
      <c r="K318" s="663"/>
      <c r="L318" s="663"/>
      <c r="M318" s="663"/>
      <c r="R318" s="663"/>
      <c r="S318" s="663"/>
      <c r="T318" s="663"/>
      <c r="U318" s="663"/>
      <c r="V318" s="663"/>
      <c r="W318" s="663"/>
      <c r="X318" s="663"/>
      <c r="Y318" s="663"/>
      <c r="Z318" s="663"/>
      <c r="AB318" s="663"/>
    </row>
    <row r="319">
      <c r="B319" s="663"/>
      <c r="C319" s="663"/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R319" s="663"/>
      <c r="S319" s="663"/>
      <c r="T319" s="663"/>
      <c r="U319" s="663"/>
      <c r="V319" s="663"/>
      <c r="W319" s="663"/>
      <c r="X319" s="663"/>
      <c r="Y319" s="663"/>
      <c r="Z319" s="663"/>
      <c r="AB319" s="663"/>
    </row>
    <row r="320">
      <c r="B320" s="663"/>
      <c r="C320" s="663"/>
      <c r="D320" s="663"/>
      <c r="E320" s="663"/>
      <c r="F320" s="663"/>
      <c r="G320" s="663"/>
      <c r="H320" s="663"/>
      <c r="I320" s="663"/>
      <c r="J320" s="663"/>
      <c r="K320" s="663"/>
      <c r="L320" s="663"/>
      <c r="M320" s="663"/>
      <c r="R320" s="663"/>
      <c r="S320" s="663"/>
      <c r="T320" s="663"/>
      <c r="U320" s="663"/>
      <c r="V320" s="663"/>
      <c r="W320" s="663"/>
      <c r="X320" s="663"/>
      <c r="Y320" s="663"/>
      <c r="Z320" s="663"/>
      <c r="AB320" s="663"/>
    </row>
    <row r="321">
      <c r="B321" s="663"/>
      <c r="C321" s="663"/>
      <c r="D321" s="663"/>
      <c r="E321" s="663"/>
      <c r="F321" s="663"/>
      <c r="G321" s="663"/>
      <c r="H321" s="663"/>
      <c r="I321" s="663"/>
      <c r="J321" s="663"/>
      <c r="K321" s="663"/>
      <c r="L321" s="663"/>
      <c r="M321" s="663"/>
      <c r="R321" s="663"/>
      <c r="S321" s="663"/>
      <c r="T321" s="663"/>
      <c r="U321" s="663"/>
      <c r="V321" s="663"/>
      <c r="W321" s="663"/>
      <c r="X321" s="663"/>
      <c r="Y321" s="663"/>
      <c r="Z321" s="663"/>
      <c r="AB321" s="663"/>
    </row>
    <row r="322">
      <c r="B322" s="663"/>
      <c r="C322" s="663"/>
      <c r="D322" s="663"/>
      <c r="E322" s="663"/>
      <c r="F322" s="663"/>
      <c r="G322" s="663"/>
      <c r="H322" s="663"/>
      <c r="I322" s="663"/>
      <c r="J322" s="663"/>
      <c r="K322" s="663"/>
      <c r="L322" s="663"/>
      <c r="M322" s="663"/>
      <c r="R322" s="663"/>
      <c r="S322" s="663"/>
      <c r="T322" s="663"/>
      <c r="U322" s="663"/>
      <c r="V322" s="663"/>
      <c r="W322" s="663"/>
      <c r="X322" s="663"/>
      <c r="Y322" s="663"/>
      <c r="Z322" s="663"/>
      <c r="AB322" s="663"/>
    </row>
    <row r="323">
      <c r="B323" s="663"/>
      <c r="C323" s="663"/>
      <c r="D323" s="663"/>
      <c r="E323" s="663"/>
      <c r="F323" s="663"/>
      <c r="G323" s="663"/>
      <c r="H323" s="663"/>
      <c r="I323" s="663"/>
      <c r="J323" s="663"/>
      <c r="K323" s="663"/>
      <c r="L323" s="663"/>
      <c r="M323" s="663"/>
      <c r="R323" s="663"/>
      <c r="S323" s="663"/>
      <c r="T323" s="663"/>
      <c r="U323" s="663"/>
      <c r="V323" s="663"/>
      <c r="W323" s="663"/>
      <c r="X323" s="663"/>
      <c r="Y323" s="663"/>
      <c r="Z323" s="663"/>
      <c r="AB323" s="663"/>
    </row>
    <row r="324">
      <c r="B324" s="663"/>
      <c r="C324" s="663"/>
      <c r="D324" s="663"/>
      <c r="E324" s="663"/>
      <c r="F324" s="663"/>
      <c r="G324" s="663"/>
      <c r="H324" s="663"/>
      <c r="I324" s="663"/>
      <c r="J324" s="663"/>
      <c r="K324" s="663"/>
      <c r="L324" s="663"/>
      <c r="M324" s="663"/>
      <c r="R324" s="663"/>
      <c r="S324" s="663"/>
      <c r="T324" s="663"/>
      <c r="U324" s="663"/>
      <c r="V324" s="663"/>
      <c r="W324" s="663"/>
      <c r="X324" s="663"/>
      <c r="Y324" s="663"/>
      <c r="Z324" s="663"/>
      <c r="AB324" s="663"/>
    </row>
    <row r="325">
      <c r="B325" s="663"/>
      <c r="C325" s="663"/>
      <c r="D325" s="663"/>
      <c r="E325" s="663"/>
      <c r="F325" s="663"/>
      <c r="G325" s="663"/>
      <c r="H325" s="663"/>
      <c r="I325" s="663"/>
      <c r="J325" s="663"/>
      <c r="K325" s="663"/>
      <c r="L325" s="663"/>
      <c r="M325" s="663"/>
      <c r="R325" s="663"/>
      <c r="S325" s="663"/>
      <c r="T325" s="663"/>
      <c r="U325" s="663"/>
      <c r="V325" s="663"/>
      <c r="W325" s="663"/>
      <c r="X325" s="663"/>
      <c r="Y325" s="663"/>
      <c r="Z325" s="663"/>
      <c r="AB325" s="663"/>
    </row>
    <row r="326">
      <c r="B326" s="663"/>
      <c r="C326" s="663"/>
      <c r="D326" s="663"/>
      <c r="E326" s="663"/>
      <c r="F326" s="663"/>
      <c r="G326" s="663"/>
      <c r="H326" s="663"/>
      <c r="I326" s="663"/>
      <c r="J326" s="663"/>
      <c r="K326" s="663"/>
      <c r="L326" s="663"/>
      <c r="M326" s="663"/>
      <c r="R326" s="663"/>
      <c r="S326" s="663"/>
      <c r="T326" s="663"/>
      <c r="U326" s="663"/>
      <c r="V326" s="663"/>
      <c r="W326" s="663"/>
      <c r="X326" s="663"/>
      <c r="Y326" s="663"/>
      <c r="Z326" s="663"/>
      <c r="AB326" s="663"/>
    </row>
    <row r="327"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B327" s="663"/>
    </row>
    <row r="328">
      <c r="B328" s="663"/>
      <c r="C328" s="663"/>
      <c r="D328" s="663"/>
      <c r="E328" s="663"/>
      <c r="F328" s="663"/>
      <c r="G328" s="663"/>
      <c r="H328" s="663"/>
      <c r="I328" s="663"/>
      <c r="J328" s="663"/>
      <c r="K328" s="663"/>
      <c r="L328" s="663"/>
      <c r="M328" s="663"/>
      <c r="R328" s="663"/>
      <c r="S328" s="663"/>
      <c r="T328" s="663"/>
      <c r="U328" s="663"/>
      <c r="V328" s="663"/>
      <c r="W328" s="663"/>
      <c r="X328" s="663"/>
      <c r="Y328" s="663"/>
      <c r="Z328" s="663"/>
      <c r="AB328" s="663"/>
    </row>
    <row r="329">
      <c r="B329" s="663"/>
      <c r="C329" s="663"/>
      <c r="D329" s="663"/>
      <c r="E329" s="663"/>
      <c r="F329" s="663"/>
      <c r="G329" s="663"/>
      <c r="H329" s="663"/>
      <c r="I329" s="663"/>
      <c r="J329" s="663"/>
      <c r="K329" s="663"/>
      <c r="L329" s="663"/>
      <c r="M329" s="663"/>
      <c r="R329" s="663"/>
      <c r="S329" s="663"/>
      <c r="T329" s="663"/>
      <c r="U329" s="663"/>
      <c r="V329" s="663"/>
      <c r="W329" s="663"/>
      <c r="X329" s="663"/>
      <c r="Y329" s="663"/>
      <c r="Z329" s="663"/>
      <c r="AB329" s="663"/>
    </row>
    <row r="330">
      <c r="B330" s="663"/>
      <c r="C330" s="663"/>
      <c r="D330" s="663"/>
      <c r="E330" s="663"/>
      <c r="F330" s="663"/>
      <c r="G330" s="663"/>
      <c r="H330" s="663"/>
      <c r="I330" s="663"/>
      <c r="J330" s="663"/>
      <c r="K330" s="663"/>
      <c r="L330" s="663"/>
      <c r="M330" s="663"/>
      <c r="R330" s="663"/>
      <c r="S330" s="663"/>
      <c r="T330" s="663"/>
      <c r="U330" s="663"/>
      <c r="V330" s="663"/>
      <c r="W330" s="663"/>
      <c r="X330" s="663"/>
      <c r="Y330" s="663"/>
      <c r="Z330" s="663"/>
      <c r="AB330" s="663"/>
    </row>
    <row r="331">
      <c r="B331" s="663"/>
      <c r="C331" s="663"/>
      <c r="D331" s="663"/>
      <c r="E331" s="663"/>
      <c r="F331" s="663"/>
      <c r="G331" s="663"/>
      <c r="H331" s="663"/>
      <c r="I331" s="663"/>
      <c r="J331" s="663"/>
      <c r="K331" s="663"/>
      <c r="L331" s="663"/>
      <c r="M331" s="663"/>
      <c r="R331" s="663"/>
      <c r="S331" s="663"/>
      <c r="T331" s="663"/>
      <c r="U331" s="663"/>
      <c r="V331" s="663"/>
      <c r="W331" s="663"/>
      <c r="X331" s="663"/>
      <c r="Y331" s="663"/>
      <c r="Z331" s="663"/>
      <c r="AB331" s="663"/>
    </row>
    <row r="332">
      <c r="B332" s="663"/>
      <c r="C332" s="663"/>
      <c r="D332" s="663"/>
      <c r="E332" s="663"/>
      <c r="F332" s="663"/>
      <c r="G332" s="663"/>
      <c r="H332" s="663"/>
      <c r="I332" s="663"/>
      <c r="J332" s="663"/>
      <c r="K332" s="663"/>
      <c r="L332" s="663"/>
      <c r="M332" s="663"/>
      <c r="R332" s="663"/>
      <c r="S332" s="663"/>
      <c r="T332" s="663"/>
      <c r="U332" s="663"/>
      <c r="V332" s="663"/>
      <c r="W332" s="663"/>
      <c r="X332" s="663"/>
      <c r="Y332" s="663"/>
      <c r="Z332" s="663"/>
      <c r="AB332" s="663"/>
    </row>
    <row r="333">
      <c r="B333" s="663"/>
      <c r="C333" s="663"/>
      <c r="D333" s="663"/>
      <c r="E333" s="663"/>
      <c r="F333" s="663"/>
      <c r="G333" s="663"/>
      <c r="H333" s="663"/>
      <c r="I333" s="663"/>
      <c r="J333" s="663"/>
      <c r="K333" s="663"/>
      <c r="L333" s="663"/>
      <c r="M333" s="663"/>
      <c r="R333" s="663"/>
      <c r="S333" s="663"/>
      <c r="T333" s="663"/>
      <c r="U333" s="663"/>
      <c r="V333" s="663"/>
      <c r="W333" s="663"/>
      <c r="X333" s="663"/>
      <c r="Y333" s="663"/>
      <c r="Z333" s="663"/>
      <c r="AB333" s="663"/>
    </row>
    <row r="334">
      <c r="B334" s="663"/>
      <c r="C334" s="663"/>
      <c r="D334" s="663"/>
      <c r="E334" s="663"/>
      <c r="F334" s="663"/>
      <c r="G334" s="663"/>
      <c r="H334" s="663"/>
      <c r="I334" s="663"/>
      <c r="J334" s="663"/>
      <c r="K334" s="663"/>
      <c r="L334" s="663"/>
      <c r="M334" s="663"/>
      <c r="R334" s="663"/>
      <c r="S334" s="663"/>
      <c r="T334" s="663"/>
      <c r="U334" s="663"/>
      <c r="V334" s="663"/>
      <c r="W334" s="663"/>
      <c r="X334" s="663"/>
      <c r="Y334" s="663"/>
      <c r="Z334" s="663"/>
      <c r="AB334" s="663"/>
    </row>
    <row r="335">
      <c r="B335" s="663"/>
      <c r="C335" s="663"/>
      <c r="D335" s="663"/>
      <c r="E335" s="663"/>
      <c r="F335" s="663"/>
      <c r="G335" s="663"/>
      <c r="H335" s="663"/>
      <c r="I335" s="663"/>
      <c r="J335" s="663"/>
      <c r="K335" s="663"/>
      <c r="L335" s="663"/>
      <c r="M335" s="663"/>
      <c r="R335" s="663"/>
      <c r="S335" s="663"/>
      <c r="T335" s="663"/>
      <c r="U335" s="663"/>
      <c r="V335" s="663"/>
      <c r="W335" s="663"/>
      <c r="X335" s="663"/>
      <c r="Y335" s="663"/>
      <c r="Z335" s="663"/>
      <c r="AB335" s="663"/>
    </row>
    <row r="336"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B336" s="663"/>
    </row>
    <row r="337">
      <c r="B337" s="663"/>
      <c r="C337" s="663"/>
      <c r="D337" s="663"/>
      <c r="E337" s="663"/>
      <c r="F337" s="663"/>
      <c r="G337" s="663"/>
      <c r="H337" s="663"/>
      <c r="I337" s="663"/>
      <c r="J337" s="663"/>
      <c r="K337" s="663"/>
      <c r="L337" s="663"/>
      <c r="M337" s="663"/>
      <c r="R337" s="663"/>
      <c r="S337" s="663"/>
      <c r="T337" s="663"/>
      <c r="U337" s="663"/>
      <c r="V337" s="663"/>
      <c r="W337" s="663"/>
      <c r="X337" s="663"/>
      <c r="Y337" s="663"/>
      <c r="Z337" s="663"/>
      <c r="AB337" s="663"/>
    </row>
    <row r="338">
      <c r="B338" s="663"/>
      <c r="C338" s="663"/>
      <c r="D338" s="663"/>
      <c r="E338" s="663"/>
      <c r="F338" s="663"/>
      <c r="G338" s="663"/>
      <c r="H338" s="663"/>
      <c r="I338" s="663"/>
      <c r="J338" s="663"/>
      <c r="K338" s="663"/>
      <c r="L338" s="663"/>
      <c r="M338" s="663"/>
      <c r="R338" s="663"/>
      <c r="S338" s="663"/>
      <c r="T338" s="663"/>
      <c r="U338" s="663"/>
      <c r="V338" s="663"/>
      <c r="W338" s="663"/>
      <c r="X338" s="663"/>
      <c r="Y338" s="663"/>
      <c r="Z338" s="663"/>
      <c r="AB338" s="663"/>
    </row>
    <row r="339">
      <c r="B339" s="663"/>
      <c r="C339" s="663"/>
      <c r="D339" s="663"/>
      <c r="E339" s="663"/>
      <c r="F339" s="663"/>
      <c r="G339" s="663"/>
      <c r="H339" s="663"/>
      <c r="I339" s="663"/>
      <c r="J339" s="663"/>
      <c r="K339" s="663"/>
      <c r="L339" s="663"/>
      <c r="M339" s="663"/>
      <c r="R339" s="663"/>
      <c r="S339" s="663"/>
      <c r="T339" s="663"/>
      <c r="U339" s="663"/>
      <c r="V339" s="663"/>
      <c r="W339" s="663"/>
      <c r="X339" s="663"/>
      <c r="Y339" s="663"/>
      <c r="Z339" s="663"/>
      <c r="AB339" s="663"/>
    </row>
    <row r="340">
      <c r="B340" s="663"/>
      <c r="C340" s="663"/>
      <c r="D340" s="663"/>
      <c r="E340" s="663"/>
      <c r="F340" s="663"/>
      <c r="G340" s="663"/>
      <c r="H340" s="663"/>
      <c r="I340" s="663"/>
      <c r="J340" s="663"/>
      <c r="K340" s="663"/>
      <c r="L340" s="663"/>
      <c r="M340" s="663"/>
      <c r="R340" s="663"/>
      <c r="S340" s="663"/>
      <c r="T340" s="663"/>
      <c r="U340" s="663"/>
      <c r="V340" s="663"/>
      <c r="W340" s="663"/>
      <c r="X340" s="663"/>
      <c r="Y340" s="663"/>
      <c r="Z340" s="663"/>
      <c r="AB340" s="663"/>
    </row>
    <row r="341">
      <c r="B341" s="663"/>
      <c r="C341" s="663"/>
      <c r="D341" s="663"/>
      <c r="E341" s="663"/>
      <c r="F341" s="663"/>
      <c r="G341" s="663"/>
      <c r="H341" s="663"/>
      <c r="I341" s="663"/>
      <c r="J341" s="663"/>
      <c r="K341" s="663"/>
      <c r="L341" s="663"/>
      <c r="M341" s="663"/>
      <c r="R341" s="663"/>
      <c r="S341" s="663"/>
      <c r="T341" s="663"/>
      <c r="U341" s="663"/>
      <c r="V341" s="663"/>
      <c r="W341" s="663"/>
      <c r="X341" s="663"/>
      <c r="Y341" s="663"/>
      <c r="Z341" s="663"/>
      <c r="AB341" s="663"/>
    </row>
    <row r="342">
      <c r="B342" s="663"/>
      <c r="C342" s="663"/>
      <c r="D342" s="663"/>
      <c r="E342" s="663"/>
      <c r="F342" s="663"/>
      <c r="G342" s="663"/>
      <c r="H342" s="663"/>
      <c r="I342" s="663"/>
      <c r="J342" s="663"/>
      <c r="K342" s="663"/>
      <c r="L342" s="663"/>
      <c r="M342" s="663"/>
      <c r="R342" s="663"/>
      <c r="S342" s="663"/>
      <c r="T342" s="663"/>
      <c r="U342" s="663"/>
      <c r="V342" s="663"/>
      <c r="W342" s="663"/>
      <c r="X342" s="663"/>
      <c r="Y342" s="663"/>
      <c r="Z342" s="663"/>
      <c r="AB342" s="663"/>
    </row>
    <row r="343"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B343" s="663"/>
    </row>
    <row r="344">
      <c r="B344" s="663"/>
      <c r="C344" s="663"/>
      <c r="D344" s="663"/>
      <c r="E344" s="663"/>
      <c r="F344" s="663"/>
      <c r="G344" s="663"/>
      <c r="H344" s="663"/>
      <c r="I344" s="663"/>
      <c r="J344" s="663"/>
      <c r="K344" s="663"/>
      <c r="L344" s="663"/>
      <c r="M344" s="663"/>
      <c r="R344" s="663"/>
      <c r="S344" s="663"/>
      <c r="T344" s="663"/>
      <c r="U344" s="663"/>
      <c r="V344" s="663"/>
      <c r="W344" s="663"/>
      <c r="X344" s="663"/>
      <c r="Y344" s="663"/>
      <c r="Z344" s="663"/>
      <c r="AB344" s="663"/>
    </row>
    <row r="345">
      <c r="B345" s="663"/>
      <c r="C345" s="663"/>
      <c r="D345" s="663"/>
      <c r="E345" s="663"/>
      <c r="F345" s="663"/>
      <c r="G345" s="663"/>
      <c r="H345" s="663"/>
      <c r="I345" s="663"/>
      <c r="J345" s="663"/>
      <c r="K345" s="663"/>
      <c r="L345" s="663"/>
      <c r="M345" s="663"/>
      <c r="R345" s="663"/>
      <c r="S345" s="663"/>
      <c r="T345" s="663"/>
      <c r="U345" s="663"/>
      <c r="V345" s="663"/>
      <c r="W345" s="663"/>
      <c r="X345" s="663"/>
      <c r="Y345" s="663"/>
      <c r="Z345" s="663"/>
      <c r="AB345" s="663"/>
    </row>
    <row r="346">
      <c r="B346" s="663"/>
      <c r="C346" s="663"/>
      <c r="D346" s="663"/>
      <c r="E346" s="663"/>
      <c r="F346" s="663"/>
      <c r="G346" s="663"/>
      <c r="H346" s="663"/>
      <c r="I346" s="663"/>
      <c r="J346" s="663"/>
      <c r="K346" s="663"/>
      <c r="L346" s="663"/>
      <c r="M346" s="663"/>
      <c r="R346" s="663"/>
      <c r="S346" s="663"/>
      <c r="T346" s="663"/>
      <c r="U346" s="663"/>
      <c r="V346" s="663"/>
      <c r="W346" s="663"/>
      <c r="X346" s="663"/>
      <c r="Y346" s="663"/>
      <c r="Z346" s="663"/>
      <c r="AB346" s="663"/>
    </row>
    <row r="347">
      <c r="B347" s="663"/>
      <c r="C347" s="663"/>
      <c r="D347" s="663"/>
      <c r="E347" s="663"/>
      <c r="F347" s="663"/>
      <c r="G347" s="663"/>
      <c r="H347" s="663"/>
      <c r="I347" s="663"/>
      <c r="J347" s="663"/>
      <c r="K347" s="663"/>
      <c r="L347" s="663"/>
      <c r="M347" s="663"/>
      <c r="R347" s="663"/>
      <c r="S347" s="663"/>
      <c r="T347" s="663"/>
      <c r="U347" s="663"/>
      <c r="V347" s="663"/>
      <c r="W347" s="663"/>
      <c r="X347" s="663"/>
      <c r="Y347" s="663"/>
      <c r="Z347" s="663"/>
      <c r="AB347" s="663"/>
    </row>
    <row r="348">
      <c r="B348" s="663"/>
      <c r="C348" s="663"/>
      <c r="D348" s="663"/>
      <c r="E348" s="663"/>
      <c r="F348" s="663"/>
      <c r="G348" s="663"/>
      <c r="H348" s="663"/>
      <c r="I348" s="663"/>
      <c r="J348" s="663"/>
      <c r="K348" s="663"/>
      <c r="L348" s="663"/>
      <c r="M348" s="663"/>
      <c r="R348" s="663"/>
      <c r="S348" s="663"/>
      <c r="T348" s="663"/>
      <c r="U348" s="663"/>
      <c r="V348" s="663"/>
      <c r="W348" s="663"/>
      <c r="X348" s="663"/>
      <c r="Y348" s="663"/>
      <c r="Z348" s="663"/>
      <c r="AB348" s="663"/>
    </row>
    <row r="349">
      <c r="B349" s="663"/>
      <c r="C349" s="663"/>
      <c r="D349" s="663"/>
      <c r="E349" s="663"/>
      <c r="F349" s="663"/>
      <c r="G349" s="663"/>
      <c r="H349" s="663"/>
      <c r="I349" s="663"/>
      <c r="J349" s="663"/>
      <c r="K349" s="663"/>
      <c r="L349" s="663"/>
      <c r="M349" s="663"/>
      <c r="R349" s="663"/>
      <c r="S349" s="663"/>
      <c r="T349" s="663"/>
      <c r="U349" s="663"/>
      <c r="V349" s="663"/>
      <c r="W349" s="663"/>
      <c r="X349" s="663"/>
      <c r="Y349" s="663"/>
      <c r="Z349" s="663"/>
      <c r="AB349" s="663"/>
    </row>
    <row r="350">
      <c r="B350" s="663"/>
      <c r="C350" s="663"/>
      <c r="D350" s="663"/>
      <c r="E350" s="663"/>
      <c r="F350" s="663"/>
      <c r="G350" s="663"/>
      <c r="H350" s="663"/>
      <c r="I350" s="663"/>
      <c r="J350" s="663"/>
      <c r="K350" s="663"/>
      <c r="L350" s="663"/>
      <c r="M350" s="663"/>
      <c r="R350" s="663"/>
      <c r="S350" s="663"/>
      <c r="T350" s="663"/>
      <c r="U350" s="663"/>
      <c r="V350" s="663"/>
      <c r="W350" s="663"/>
      <c r="X350" s="663"/>
      <c r="Y350" s="663"/>
      <c r="Z350" s="663"/>
      <c r="AB350" s="663"/>
    </row>
    <row r="351">
      <c r="B351" s="663"/>
      <c r="C351" s="663"/>
      <c r="D351" s="663"/>
      <c r="E351" s="663"/>
      <c r="F351" s="663"/>
      <c r="G351" s="663"/>
      <c r="H351" s="663"/>
      <c r="I351" s="663"/>
      <c r="J351" s="663"/>
      <c r="K351" s="663"/>
      <c r="L351" s="663"/>
      <c r="M351" s="663"/>
      <c r="R351" s="663"/>
      <c r="S351" s="663"/>
      <c r="T351" s="663"/>
      <c r="U351" s="663"/>
      <c r="V351" s="663"/>
      <c r="W351" s="663"/>
      <c r="X351" s="663"/>
      <c r="Y351" s="663"/>
      <c r="Z351" s="663"/>
      <c r="AB351" s="663"/>
    </row>
    <row r="352">
      <c r="B352" s="663"/>
      <c r="C352" s="663"/>
      <c r="D352" s="663"/>
      <c r="E352" s="663"/>
      <c r="F352" s="663"/>
      <c r="G352" s="663"/>
      <c r="H352" s="663"/>
      <c r="I352" s="663"/>
      <c r="J352" s="663"/>
      <c r="K352" s="663"/>
      <c r="L352" s="663"/>
      <c r="M352" s="663"/>
      <c r="R352" s="663"/>
      <c r="S352" s="663"/>
      <c r="T352" s="663"/>
      <c r="U352" s="663"/>
      <c r="V352" s="663"/>
      <c r="W352" s="663"/>
      <c r="X352" s="663"/>
      <c r="Y352" s="663"/>
      <c r="Z352" s="663"/>
      <c r="AB352" s="663"/>
    </row>
    <row r="353">
      <c r="B353" s="663"/>
      <c r="C353" s="663"/>
      <c r="D353" s="663"/>
      <c r="E353" s="663"/>
      <c r="F353" s="663"/>
      <c r="G353" s="663"/>
      <c r="H353" s="663"/>
      <c r="I353" s="663"/>
      <c r="J353" s="663"/>
      <c r="K353" s="663"/>
      <c r="L353" s="663"/>
      <c r="M353" s="663"/>
      <c r="R353" s="663"/>
      <c r="S353" s="663"/>
      <c r="T353" s="663"/>
      <c r="U353" s="663"/>
      <c r="V353" s="663"/>
      <c r="W353" s="663"/>
      <c r="X353" s="663"/>
      <c r="Y353" s="663"/>
      <c r="Z353" s="663"/>
      <c r="AB353" s="663"/>
    </row>
    <row r="354">
      <c r="B354" s="663"/>
      <c r="C354" s="663"/>
      <c r="D354" s="663"/>
      <c r="E354" s="663"/>
      <c r="F354" s="663"/>
      <c r="G354" s="663"/>
      <c r="H354" s="663"/>
      <c r="I354" s="663"/>
      <c r="J354" s="663"/>
      <c r="K354" s="663"/>
      <c r="L354" s="663"/>
      <c r="M354" s="663"/>
      <c r="R354" s="663"/>
      <c r="S354" s="663"/>
      <c r="T354" s="663"/>
      <c r="U354" s="663"/>
      <c r="V354" s="663"/>
      <c r="W354" s="663"/>
      <c r="X354" s="663"/>
      <c r="Y354" s="663"/>
      <c r="Z354" s="663"/>
      <c r="AB354" s="663"/>
    </row>
    <row r="355">
      <c r="B355" s="663"/>
      <c r="C355" s="663"/>
      <c r="D355" s="663"/>
      <c r="E355" s="663"/>
      <c r="F355" s="663"/>
      <c r="G355" s="663"/>
      <c r="H355" s="663"/>
      <c r="I355" s="663"/>
      <c r="J355" s="663"/>
      <c r="K355" s="663"/>
      <c r="L355" s="663"/>
      <c r="M355" s="663"/>
      <c r="R355" s="663"/>
      <c r="S355" s="663"/>
      <c r="T355" s="663"/>
      <c r="U355" s="663"/>
      <c r="V355" s="663"/>
      <c r="W355" s="663"/>
      <c r="X355" s="663"/>
      <c r="Y355" s="663"/>
      <c r="Z355" s="663"/>
      <c r="AB355" s="663"/>
    </row>
    <row r="356">
      <c r="B356" s="663"/>
      <c r="C356" s="663"/>
      <c r="D356" s="663"/>
      <c r="E356" s="663"/>
      <c r="F356" s="663"/>
      <c r="G356" s="663"/>
      <c r="H356" s="663"/>
      <c r="I356" s="663"/>
      <c r="J356" s="663"/>
      <c r="K356" s="663"/>
      <c r="L356" s="663"/>
      <c r="M356" s="663"/>
      <c r="R356" s="663"/>
      <c r="S356" s="663"/>
      <c r="T356" s="663"/>
      <c r="U356" s="663"/>
      <c r="V356" s="663"/>
      <c r="W356" s="663"/>
      <c r="X356" s="663"/>
      <c r="Y356" s="663"/>
      <c r="Z356" s="663"/>
      <c r="AB356" s="663"/>
    </row>
    <row r="357"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B357" s="663"/>
    </row>
    <row r="358">
      <c r="B358" s="663"/>
      <c r="C358" s="663"/>
      <c r="D358" s="663"/>
      <c r="E358" s="663"/>
      <c r="F358" s="663"/>
      <c r="G358" s="663"/>
      <c r="H358" s="663"/>
      <c r="I358" s="663"/>
      <c r="J358" s="663"/>
      <c r="K358" s="663"/>
      <c r="L358" s="663"/>
      <c r="M358" s="663"/>
      <c r="R358" s="663"/>
      <c r="S358" s="663"/>
      <c r="T358" s="663"/>
      <c r="U358" s="663"/>
      <c r="V358" s="663"/>
      <c r="W358" s="663"/>
      <c r="X358" s="663"/>
      <c r="Y358" s="663"/>
      <c r="Z358" s="663"/>
      <c r="AB358" s="663"/>
    </row>
    <row r="359">
      <c r="B359" s="663"/>
      <c r="C359" s="663"/>
      <c r="D359" s="663"/>
      <c r="E359" s="663"/>
      <c r="F359" s="663"/>
      <c r="G359" s="663"/>
      <c r="H359" s="663"/>
      <c r="I359" s="663"/>
      <c r="J359" s="663"/>
      <c r="K359" s="663"/>
      <c r="L359" s="663"/>
      <c r="M359" s="663"/>
      <c r="R359" s="663"/>
      <c r="S359" s="663"/>
      <c r="T359" s="663"/>
      <c r="U359" s="663"/>
      <c r="V359" s="663"/>
      <c r="W359" s="663"/>
      <c r="X359" s="663"/>
      <c r="Y359" s="663"/>
      <c r="Z359" s="663"/>
      <c r="AB359" s="663"/>
    </row>
    <row r="360">
      <c r="B360" s="663"/>
      <c r="C360" s="663"/>
      <c r="D360" s="663"/>
      <c r="E360" s="663"/>
      <c r="F360" s="663"/>
      <c r="G360" s="663"/>
      <c r="H360" s="663"/>
      <c r="I360" s="663"/>
      <c r="J360" s="663"/>
      <c r="K360" s="663"/>
      <c r="L360" s="663"/>
      <c r="M360" s="663"/>
      <c r="R360" s="663"/>
      <c r="S360" s="663"/>
      <c r="T360" s="663"/>
      <c r="U360" s="663"/>
      <c r="V360" s="663"/>
      <c r="W360" s="663"/>
      <c r="X360" s="663"/>
      <c r="Y360" s="663"/>
      <c r="Z360" s="663"/>
      <c r="AB360" s="663"/>
    </row>
    <row r="361">
      <c r="B361" s="663"/>
      <c r="C361" s="663"/>
      <c r="D361" s="663"/>
      <c r="E361" s="663"/>
      <c r="F361" s="663"/>
      <c r="G361" s="663"/>
      <c r="H361" s="663"/>
      <c r="I361" s="663"/>
      <c r="J361" s="663"/>
      <c r="K361" s="663"/>
      <c r="L361" s="663"/>
      <c r="M361" s="663"/>
      <c r="R361" s="663"/>
      <c r="S361" s="663"/>
      <c r="T361" s="663"/>
      <c r="U361" s="663"/>
      <c r="V361" s="663"/>
      <c r="W361" s="663"/>
      <c r="X361" s="663"/>
      <c r="Y361" s="663"/>
      <c r="Z361" s="663"/>
      <c r="AB361" s="663"/>
    </row>
    <row r="362">
      <c r="B362" s="663"/>
      <c r="C362" s="663"/>
      <c r="D362" s="663"/>
      <c r="E362" s="663"/>
      <c r="F362" s="663"/>
      <c r="G362" s="663"/>
      <c r="H362" s="663"/>
      <c r="I362" s="663"/>
      <c r="J362" s="663"/>
      <c r="K362" s="663"/>
      <c r="L362" s="663"/>
      <c r="M362" s="663"/>
      <c r="R362" s="663"/>
      <c r="S362" s="663"/>
      <c r="T362" s="663"/>
      <c r="U362" s="663"/>
      <c r="V362" s="663"/>
      <c r="W362" s="663"/>
      <c r="X362" s="663"/>
      <c r="Y362" s="663"/>
      <c r="Z362" s="663"/>
      <c r="AB362" s="663"/>
    </row>
    <row r="363"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R363" s="663"/>
      <c r="S363" s="663"/>
      <c r="T363" s="663"/>
      <c r="U363" s="663"/>
      <c r="V363" s="663"/>
      <c r="W363" s="663"/>
      <c r="X363" s="663"/>
      <c r="Y363" s="663"/>
      <c r="Z363" s="663"/>
      <c r="AB363" s="663"/>
    </row>
    <row r="364"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B364" s="663"/>
    </row>
    <row r="365">
      <c r="B365" s="663"/>
      <c r="C365" s="663"/>
      <c r="D365" s="663"/>
      <c r="E365" s="663"/>
      <c r="F365" s="663"/>
      <c r="G365" s="663"/>
      <c r="H365" s="663"/>
      <c r="I365" s="663"/>
      <c r="J365" s="663"/>
      <c r="K365" s="663"/>
      <c r="L365" s="663"/>
      <c r="M365" s="663"/>
      <c r="R365" s="663"/>
      <c r="S365" s="663"/>
      <c r="T365" s="663"/>
      <c r="U365" s="663"/>
      <c r="V365" s="663"/>
      <c r="W365" s="663"/>
      <c r="X365" s="663"/>
      <c r="Y365" s="663"/>
      <c r="Z365" s="663"/>
      <c r="AB365" s="663"/>
    </row>
    <row r="366">
      <c r="B366" s="663"/>
      <c r="C366" s="663"/>
      <c r="D366" s="663"/>
      <c r="E366" s="663"/>
      <c r="F366" s="663"/>
      <c r="G366" s="663"/>
      <c r="H366" s="663"/>
      <c r="I366" s="663"/>
      <c r="J366" s="663"/>
      <c r="K366" s="663"/>
      <c r="L366" s="663"/>
      <c r="M366" s="663"/>
      <c r="R366" s="663"/>
      <c r="S366" s="663"/>
      <c r="T366" s="663"/>
      <c r="U366" s="663"/>
      <c r="V366" s="663"/>
      <c r="W366" s="663"/>
      <c r="X366" s="663"/>
      <c r="Y366" s="663"/>
      <c r="Z366" s="663"/>
      <c r="AB366" s="663"/>
    </row>
    <row r="367">
      <c r="B367" s="663"/>
      <c r="C367" s="663"/>
      <c r="D367" s="663"/>
      <c r="E367" s="663"/>
      <c r="F367" s="663"/>
      <c r="G367" s="663"/>
      <c r="H367" s="663"/>
      <c r="I367" s="663"/>
      <c r="J367" s="663"/>
      <c r="K367" s="663"/>
      <c r="L367" s="663"/>
      <c r="M367" s="663"/>
      <c r="R367" s="663"/>
      <c r="S367" s="663"/>
      <c r="T367" s="663"/>
      <c r="U367" s="663"/>
      <c r="V367" s="663"/>
      <c r="W367" s="663"/>
      <c r="X367" s="663"/>
      <c r="Y367" s="663"/>
      <c r="Z367" s="663"/>
      <c r="AB367" s="663"/>
    </row>
    <row r="368">
      <c r="B368" s="663"/>
      <c r="C368" s="663"/>
      <c r="D368" s="663"/>
      <c r="E368" s="663"/>
      <c r="F368" s="663"/>
      <c r="G368" s="663"/>
      <c r="H368" s="663"/>
      <c r="I368" s="663"/>
      <c r="J368" s="663"/>
      <c r="K368" s="663"/>
      <c r="L368" s="663"/>
      <c r="M368" s="663"/>
      <c r="R368" s="663"/>
      <c r="S368" s="663"/>
      <c r="T368" s="663"/>
      <c r="U368" s="663"/>
      <c r="V368" s="663"/>
      <c r="W368" s="663"/>
      <c r="X368" s="663"/>
      <c r="Y368" s="663"/>
      <c r="Z368" s="663"/>
      <c r="AB368" s="663"/>
    </row>
    <row r="369">
      <c r="B369" s="663"/>
      <c r="C369" s="663"/>
      <c r="D369" s="663"/>
      <c r="E369" s="663"/>
      <c r="F369" s="663"/>
      <c r="G369" s="663"/>
      <c r="H369" s="663"/>
      <c r="I369" s="663"/>
      <c r="J369" s="663"/>
      <c r="K369" s="663"/>
      <c r="L369" s="663"/>
      <c r="M369" s="663"/>
      <c r="R369" s="663"/>
      <c r="S369" s="663"/>
      <c r="T369" s="663"/>
      <c r="U369" s="663"/>
      <c r="V369" s="663"/>
      <c r="W369" s="663"/>
      <c r="X369" s="663"/>
      <c r="Y369" s="663"/>
      <c r="Z369" s="663"/>
      <c r="AB369" s="663"/>
    </row>
    <row r="370">
      <c r="B370" s="663"/>
      <c r="C370" s="663"/>
      <c r="D370" s="663"/>
      <c r="E370" s="663"/>
      <c r="F370" s="663"/>
      <c r="G370" s="663"/>
      <c r="H370" s="663"/>
      <c r="I370" s="663"/>
      <c r="J370" s="663"/>
      <c r="K370" s="663"/>
      <c r="L370" s="663"/>
      <c r="M370" s="663"/>
      <c r="R370" s="663"/>
      <c r="S370" s="663"/>
      <c r="T370" s="663"/>
      <c r="U370" s="663"/>
      <c r="V370" s="663"/>
      <c r="W370" s="663"/>
      <c r="X370" s="663"/>
      <c r="Y370" s="663"/>
      <c r="Z370" s="663"/>
      <c r="AB370" s="663"/>
    </row>
    <row r="371">
      <c r="B371" s="663"/>
      <c r="C371" s="663"/>
      <c r="D371" s="663"/>
      <c r="E371" s="663"/>
      <c r="F371" s="663"/>
      <c r="G371" s="663"/>
      <c r="H371" s="663"/>
      <c r="I371" s="663"/>
      <c r="J371" s="663"/>
      <c r="K371" s="663"/>
      <c r="L371" s="663"/>
      <c r="M371" s="663"/>
      <c r="R371" s="663"/>
      <c r="S371" s="663"/>
      <c r="T371" s="663"/>
      <c r="U371" s="663"/>
      <c r="V371" s="663"/>
      <c r="W371" s="663"/>
      <c r="X371" s="663"/>
      <c r="Y371" s="663"/>
      <c r="Z371" s="663"/>
      <c r="AB371" s="663"/>
    </row>
    <row r="372">
      <c r="B372" s="663"/>
      <c r="C372" s="663"/>
      <c r="D372" s="663"/>
      <c r="E372" s="663"/>
      <c r="F372" s="663"/>
      <c r="G372" s="663"/>
      <c r="H372" s="663"/>
      <c r="I372" s="663"/>
      <c r="J372" s="663"/>
      <c r="K372" s="663"/>
      <c r="L372" s="663"/>
      <c r="M372" s="663"/>
      <c r="R372" s="663"/>
      <c r="S372" s="663"/>
      <c r="T372" s="663"/>
      <c r="U372" s="663"/>
      <c r="V372" s="663"/>
      <c r="W372" s="663"/>
      <c r="X372" s="663"/>
      <c r="Y372" s="663"/>
      <c r="Z372" s="663"/>
      <c r="AB372" s="663"/>
    </row>
    <row r="373">
      <c r="B373" s="663"/>
      <c r="C373" s="663"/>
      <c r="D373" s="663"/>
      <c r="E373" s="663"/>
      <c r="F373" s="663"/>
      <c r="G373" s="663"/>
      <c r="H373" s="663"/>
      <c r="I373" s="663"/>
      <c r="J373" s="663"/>
      <c r="K373" s="663"/>
      <c r="L373" s="663"/>
      <c r="M373" s="663"/>
      <c r="R373" s="663"/>
      <c r="S373" s="663"/>
      <c r="T373" s="663"/>
      <c r="U373" s="663"/>
      <c r="V373" s="663"/>
      <c r="W373" s="663"/>
      <c r="X373" s="663"/>
      <c r="Y373" s="663"/>
      <c r="Z373" s="663"/>
      <c r="AB373" s="663"/>
    </row>
    <row r="374">
      <c r="B374" s="663"/>
      <c r="C374" s="663"/>
      <c r="D374" s="663"/>
      <c r="E374" s="663"/>
      <c r="F374" s="663"/>
      <c r="G374" s="663"/>
      <c r="H374" s="663"/>
      <c r="I374" s="663"/>
      <c r="J374" s="663"/>
      <c r="K374" s="663"/>
      <c r="L374" s="663"/>
      <c r="M374" s="663"/>
      <c r="R374" s="663"/>
      <c r="S374" s="663"/>
      <c r="T374" s="663"/>
      <c r="U374" s="663"/>
      <c r="V374" s="663"/>
      <c r="W374" s="663"/>
      <c r="X374" s="663"/>
      <c r="Y374" s="663"/>
      <c r="Z374" s="663"/>
      <c r="AB374" s="663"/>
    </row>
    <row r="375">
      <c r="B375" s="663"/>
      <c r="C375" s="663"/>
      <c r="D375" s="663"/>
      <c r="E375" s="663"/>
      <c r="F375" s="663"/>
      <c r="G375" s="663"/>
      <c r="H375" s="663"/>
      <c r="I375" s="663"/>
      <c r="J375" s="663"/>
      <c r="K375" s="663"/>
      <c r="L375" s="663"/>
      <c r="M375" s="663"/>
      <c r="R375" s="663"/>
      <c r="S375" s="663"/>
      <c r="T375" s="663"/>
      <c r="U375" s="663"/>
      <c r="V375" s="663"/>
      <c r="W375" s="663"/>
      <c r="X375" s="663"/>
      <c r="Y375" s="663"/>
      <c r="Z375" s="663"/>
      <c r="AB375" s="663"/>
    </row>
    <row r="376">
      <c r="B376" s="663"/>
      <c r="C376" s="663"/>
      <c r="D376" s="663"/>
      <c r="E376" s="663"/>
      <c r="F376" s="663"/>
      <c r="G376" s="663"/>
      <c r="H376" s="663"/>
      <c r="I376" s="663"/>
      <c r="J376" s="663"/>
      <c r="K376" s="663"/>
      <c r="L376" s="663"/>
      <c r="M376" s="663"/>
      <c r="R376" s="663"/>
      <c r="S376" s="663"/>
      <c r="T376" s="663"/>
      <c r="U376" s="663"/>
      <c r="V376" s="663"/>
      <c r="W376" s="663"/>
      <c r="X376" s="663"/>
      <c r="Y376" s="663"/>
      <c r="Z376" s="663"/>
      <c r="AB376" s="663"/>
    </row>
    <row r="377">
      <c r="B377" s="663"/>
      <c r="C377" s="663"/>
      <c r="D377" s="663"/>
      <c r="E377" s="663"/>
      <c r="F377" s="663"/>
      <c r="G377" s="663"/>
      <c r="H377" s="663"/>
      <c r="I377" s="663"/>
      <c r="J377" s="663"/>
      <c r="K377" s="663"/>
      <c r="L377" s="663"/>
      <c r="M377" s="663"/>
      <c r="R377" s="663"/>
      <c r="S377" s="663"/>
      <c r="T377" s="663"/>
      <c r="U377" s="663"/>
      <c r="V377" s="663"/>
      <c r="W377" s="663"/>
      <c r="X377" s="663"/>
      <c r="Y377" s="663"/>
      <c r="Z377" s="663"/>
      <c r="AB377" s="663"/>
    </row>
    <row r="378">
      <c r="B378" s="663"/>
      <c r="C378" s="663"/>
      <c r="D378" s="663"/>
      <c r="E378" s="663"/>
      <c r="F378" s="663"/>
      <c r="G378" s="663"/>
      <c r="H378" s="663"/>
      <c r="I378" s="663"/>
      <c r="J378" s="663"/>
      <c r="K378" s="663"/>
      <c r="L378" s="663"/>
      <c r="M378" s="663"/>
      <c r="R378" s="663"/>
      <c r="S378" s="663"/>
      <c r="T378" s="663"/>
      <c r="U378" s="663"/>
      <c r="V378" s="663"/>
      <c r="W378" s="663"/>
      <c r="X378" s="663"/>
      <c r="Y378" s="663"/>
      <c r="Z378" s="663"/>
      <c r="AB378" s="663"/>
    </row>
    <row r="379">
      <c r="B379" s="663"/>
      <c r="C379" s="663"/>
      <c r="D379" s="663"/>
      <c r="E379" s="663"/>
      <c r="F379" s="663"/>
      <c r="G379" s="663"/>
      <c r="H379" s="663"/>
      <c r="I379" s="663"/>
      <c r="J379" s="663"/>
      <c r="K379" s="663"/>
      <c r="L379" s="663"/>
      <c r="M379" s="663"/>
      <c r="R379" s="663"/>
      <c r="S379" s="663"/>
      <c r="T379" s="663"/>
      <c r="U379" s="663"/>
      <c r="V379" s="663"/>
      <c r="W379" s="663"/>
      <c r="X379" s="663"/>
      <c r="Y379" s="663"/>
      <c r="Z379" s="663"/>
      <c r="AB379" s="663"/>
    </row>
    <row r="380">
      <c r="B380" s="663"/>
      <c r="C380" s="663"/>
      <c r="D380" s="663"/>
      <c r="E380" s="663"/>
      <c r="F380" s="663"/>
      <c r="G380" s="663"/>
      <c r="H380" s="663"/>
      <c r="I380" s="663"/>
      <c r="J380" s="663"/>
      <c r="K380" s="663"/>
      <c r="L380" s="663"/>
      <c r="M380" s="663"/>
      <c r="R380" s="663"/>
      <c r="S380" s="663"/>
      <c r="T380" s="663"/>
      <c r="U380" s="663"/>
      <c r="V380" s="663"/>
      <c r="W380" s="663"/>
      <c r="X380" s="663"/>
      <c r="Y380" s="663"/>
      <c r="Z380" s="663"/>
      <c r="AB380" s="663"/>
    </row>
    <row r="381">
      <c r="B381" s="663"/>
      <c r="C381" s="663"/>
      <c r="D381" s="663"/>
      <c r="E381" s="663"/>
      <c r="F381" s="663"/>
      <c r="G381" s="663"/>
      <c r="H381" s="663"/>
      <c r="I381" s="663"/>
      <c r="J381" s="663"/>
      <c r="K381" s="663"/>
      <c r="L381" s="663"/>
      <c r="M381" s="663"/>
      <c r="R381" s="663"/>
      <c r="S381" s="663"/>
      <c r="T381" s="663"/>
      <c r="U381" s="663"/>
      <c r="V381" s="663"/>
      <c r="W381" s="663"/>
      <c r="X381" s="663"/>
      <c r="Y381" s="663"/>
      <c r="Z381" s="663"/>
      <c r="AB381" s="663"/>
    </row>
    <row r="382">
      <c r="B382" s="663"/>
      <c r="C382" s="663"/>
      <c r="D382" s="663"/>
      <c r="E382" s="663"/>
      <c r="F382" s="663"/>
      <c r="G382" s="663"/>
      <c r="H382" s="663"/>
      <c r="I382" s="663"/>
      <c r="J382" s="663"/>
      <c r="K382" s="663"/>
      <c r="L382" s="663"/>
      <c r="M382" s="663"/>
      <c r="R382" s="663"/>
      <c r="S382" s="663"/>
      <c r="T382" s="663"/>
      <c r="U382" s="663"/>
      <c r="V382" s="663"/>
      <c r="W382" s="663"/>
      <c r="X382" s="663"/>
      <c r="Y382" s="663"/>
      <c r="Z382" s="663"/>
      <c r="AB382" s="663"/>
    </row>
    <row r="383"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R383" s="663"/>
      <c r="S383" s="663"/>
      <c r="T383" s="663"/>
      <c r="U383" s="663"/>
      <c r="V383" s="663"/>
      <c r="W383" s="663"/>
      <c r="X383" s="663"/>
      <c r="Y383" s="663"/>
      <c r="Z383" s="663"/>
      <c r="AB383" s="663"/>
    </row>
    <row r="384">
      <c r="B384" s="663"/>
      <c r="C384" s="663"/>
      <c r="D384" s="663"/>
      <c r="E384" s="663"/>
      <c r="F384" s="663"/>
      <c r="G384" s="663"/>
      <c r="H384" s="663"/>
      <c r="I384" s="663"/>
      <c r="J384" s="663"/>
      <c r="K384" s="663"/>
      <c r="L384" s="663"/>
      <c r="M384" s="663"/>
      <c r="R384" s="663"/>
      <c r="S384" s="663"/>
      <c r="T384" s="663"/>
      <c r="U384" s="663"/>
      <c r="V384" s="663"/>
      <c r="W384" s="663"/>
      <c r="X384" s="663"/>
      <c r="Y384" s="663"/>
      <c r="Z384" s="663"/>
      <c r="AB384" s="663"/>
    </row>
    <row r="385">
      <c r="B385" s="663"/>
      <c r="C385" s="663"/>
      <c r="D385" s="663"/>
      <c r="E385" s="663"/>
      <c r="F385" s="663"/>
      <c r="G385" s="663"/>
      <c r="H385" s="663"/>
      <c r="I385" s="663"/>
      <c r="J385" s="663"/>
      <c r="K385" s="663"/>
      <c r="L385" s="663"/>
      <c r="M385" s="663"/>
      <c r="R385" s="663"/>
      <c r="S385" s="663"/>
      <c r="T385" s="663"/>
      <c r="U385" s="663"/>
      <c r="V385" s="663"/>
      <c r="W385" s="663"/>
      <c r="X385" s="663"/>
      <c r="Y385" s="663"/>
      <c r="Z385" s="663"/>
      <c r="AB385" s="663"/>
    </row>
    <row r="386">
      <c r="B386" s="663"/>
      <c r="C386" s="663"/>
      <c r="D386" s="663"/>
      <c r="E386" s="663"/>
      <c r="F386" s="663"/>
      <c r="G386" s="663"/>
      <c r="H386" s="663"/>
      <c r="I386" s="663"/>
      <c r="J386" s="663"/>
      <c r="K386" s="663"/>
      <c r="L386" s="663"/>
      <c r="M386" s="663"/>
      <c r="R386" s="663"/>
      <c r="S386" s="663"/>
      <c r="T386" s="663"/>
      <c r="U386" s="663"/>
      <c r="V386" s="663"/>
      <c r="W386" s="663"/>
      <c r="X386" s="663"/>
      <c r="Y386" s="663"/>
      <c r="Z386" s="663"/>
      <c r="AB386" s="663"/>
    </row>
    <row r="387">
      <c r="B387" s="663"/>
      <c r="C387" s="663"/>
      <c r="D387" s="663"/>
      <c r="E387" s="663"/>
      <c r="F387" s="663"/>
      <c r="G387" s="663"/>
      <c r="H387" s="663"/>
      <c r="I387" s="663"/>
      <c r="J387" s="663"/>
      <c r="K387" s="663"/>
      <c r="L387" s="663"/>
      <c r="M387" s="663"/>
      <c r="R387" s="663"/>
      <c r="S387" s="663"/>
      <c r="T387" s="663"/>
      <c r="U387" s="663"/>
      <c r="V387" s="663"/>
      <c r="W387" s="663"/>
      <c r="X387" s="663"/>
      <c r="Y387" s="663"/>
      <c r="Z387" s="663"/>
      <c r="AB387" s="663"/>
    </row>
    <row r="388">
      <c r="B388" s="663"/>
      <c r="C388" s="663"/>
      <c r="D388" s="663"/>
      <c r="E388" s="663"/>
      <c r="F388" s="663"/>
      <c r="G388" s="663"/>
      <c r="H388" s="663"/>
      <c r="I388" s="663"/>
      <c r="J388" s="663"/>
      <c r="K388" s="663"/>
      <c r="L388" s="663"/>
      <c r="M388" s="663"/>
      <c r="R388" s="663"/>
      <c r="S388" s="663"/>
      <c r="T388" s="663"/>
      <c r="U388" s="663"/>
      <c r="V388" s="663"/>
      <c r="W388" s="663"/>
      <c r="X388" s="663"/>
      <c r="Y388" s="663"/>
      <c r="Z388" s="663"/>
      <c r="AB388" s="663"/>
    </row>
    <row r="389">
      <c r="B389" s="663"/>
      <c r="C389" s="663"/>
      <c r="D389" s="663"/>
      <c r="E389" s="663"/>
      <c r="F389" s="663"/>
      <c r="G389" s="663"/>
      <c r="H389" s="663"/>
      <c r="I389" s="663"/>
      <c r="J389" s="663"/>
      <c r="K389" s="663"/>
      <c r="L389" s="663"/>
      <c r="M389" s="663"/>
      <c r="R389" s="663"/>
      <c r="S389" s="663"/>
      <c r="T389" s="663"/>
      <c r="U389" s="663"/>
      <c r="V389" s="663"/>
      <c r="W389" s="663"/>
      <c r="X389" s="663"/>
      <c r="Y389" s="663"/>
      <c r="Z389" s="663"/>
      <c r="AB389" s="663"/>
    </row>
    <row r="390"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R390" s="663"/>
      <c r="S390" s="663"/>
      <c r="T390" s="663"/>
      <c r="U390" s="663"/>
      <c r="V390" s="663"/>
      <c r="W390" s="663"/>
      <c r="X390" s="663"/>
      <c r="Y390" s="663"/>
      <c r="Z390" s="663"/>
      <c r="AB390" s="663"/>
    </row>
    <row r="391">
      <c r="B391" s="663"/>
      <c r="C391" s="663"/>
      <c r="D391" s="663"/>
      <c r="E391" s="663"/>
      <c r="F391" s="663"/>
      <c r="G391" s="663"/>
      <c r="H391" s="663"/>
      <c r="I391" s="663"/>
      <c r="J391" s="663"/>
      <c r="K391" s="663"/>
      <c r="L391" s="663"/>
      <c r="M391" s="663"/>
      <c r="R391" s="663"/>
      <c r="S391" s="663"/>
      <c r="T391" s="663"/>
      <c r="U391" s="663"/>
      <c r="V391" s="663"/>
      <c r="W391" s="663"/>
      <c r="X391" s="663"/>
      <c r="Y391" s="663"/>
      <c r="Z391" s="663"/>
      <c r="AB391" s="663"/>
    </row>
    <row r="392">
      <c r="B392" s="663"/>
      <c r="C392" s="663"/>
      <c r="D392" s="663"/>
      <c r="E392" s="663"/>
      <c r="F392" s="663"/>
      <c r="G392" s="663"/>
      <c r="H392" s="663"/>
      <c r="I392" s="663"/>
      <c r="J392" s="663"/>
      <c r="K392" s="663"/>
      <c r="L392" s="663"/>
      <c r="M392" s="663"/>
      <c r="R392" s="663"/>
      <c r="S392" s="663"/>
      <c r="T392" s="663"/>
      <c r="U392" s="663"/>
      <c r="V392" s="663"/>
      <c r="W392" s="663"/>
      <c r="X392" s="663"/>
      <c r="Y392" s="663"/>
      <c r="Z392" s="663"/>
      <c r="AB392" s="663"/>
    </row>
    <row r="393">
      <c r="B393" s="663"/>
      <c r="C393" s="663"/>
      <c r="D393" s="663"/>
      <c r="E393" s="663"/>
      <c r="F393" s="663"/>
      <c r="G393" s="663"/>
      <c r="H393" s="663"/>
      <c r="I393" s="663"/>
      <c r="J393" s="663"/>
      <c r="K393" s="663"/>
      <c r="L393" s="663"/>
      <c r="M393" s="663"/>
      <c r="R393" s="663"/>
      <c r="S393" s="663"/>
      <c r="T393" s="663"/>
      <c r="U393" s="663"/>
      <c r="V393" s="663"/>
      <c r="W393" s="663"/>
      <c r="X393" s="663"/>
      <c r="Y393" s="663"/>
      <c r="Z393" s="663"/>
      <c r="AB393" s="663"/>
    </row>
    <row r="394">
      <c r="B394" s="663"/>
      <c r="C394" s="663"/>
      <c r="D394" s="663"/>
      <c r="E394" s="663"/>
      <c r="F394" s="663"/>
      <c r="G394" s="663"/>
      <c r="H394" s="663"/>
      <c r="I394" s="663"/>
      <c r="J394" s="663"/>
      <c r="K394" s="663"/>
      <c r="L394" s="663"/>
      <c r="M394" s="663"/>
      <c r="R394" s="663"/>
      <c r="S394" s="663"/>
      <c r="T394" s="663"/>
      <c r="U394" s="663"/>
      <c r="V394" s="663"/>
      <c r="W394" s="663"/>
      <c r="X394" s="663"/>
      <c r="Y394" s="663"/>
      <c r="Z394" s="663"/>
      <c r="AB394" s="663"/>
    </row>
    <row r="395">
      <c r="B395" s="663"/>
      <c r="C395" s="663"/>
      <c r="D395" s="663"/>
      <c r="E395" s="663"/>
      <c r="F395" s="663"/>
      <c r="G395" s="663"/>
      <c r="H395" s="663"/>
      <c r="I395" s="663"/>
      <c r="J395" s="663"/>
      <c r="K395" s="663"/>
      <c r="L395" s="663"/>
      <c r="M395" s="663"/>
      <c r="R395" s="663"/>
      <c r="S395" s="663"/>
      <c r="T395" s="663"/>
      <c r="U395" s="663"/>
      <c r="V395" s="663"/>
      <c r="W395" s="663"/>
      <c r="X395" s="663"/>
      <c r="Y395" s="663"/>
      <c r="Z395" s="663"/>
      <c r="AB395" s="663"/>
    </row>
    <row r="396">
      <c r="B396" s="663"/>
      <c r="C396" s="663"/>
      <c r="D396" s="663"/>
      <c r="E396" s="663"/>
      <c r="F396" s="663"/>
      <c r="G396" s="663"/>
      <c r="H396" s="663"/>
      <c r="I396" s="663"/>
      <c r="J396" s="663"/>
      <c r="K396" s="663"/>
      <c r="L396" s="663"/>
      <c r="M396" s="663"/>
      <c r="R396" s="663"/>
      <c r="S396" s="663"/>
      <c r="T396" s="663"/>
      <c r="U396" s="663"/>
      <c r="V396" s="663"/>
      <c r="W396" s="663"/>
      <c r="X396" s="663"/>
      <c r="Y396" s="663"/>
      <c r="Z396" s="663"/>
      <c r="AB396" s="663"/>
    </row>
    <row r="397">
      <c r="B397" s="663"/>
      <c r="C397" s="663"/>
      <c r="D397" s="663"/>
      <c r="E397" s="663"/>
      <c r="F397" s="663"/>
      <c r="G397" s="663"/>
      <c r="H397" s="663"/>
      <c r="I397" s="663"/>
      <c r="J397" s="663"/>
      <c r="K397" s="663"/>
      <c r="L397" s="663"/>
      <c r="M397" s="663"/>
      <c r="R397" s="663"/>
      <c r="S397" s="663"/>
      <c r="T397" s="663"/>
      <c r="U397" s="663"/>
      <c r="V397" s="663"/>
      <c r="W397" s="663"/>
      <c r="X397" s="663"/>
      <c r="Y397" s="663"/>
      <c r="Z397" s="663"/>
      <c r="AB397" s="663"/>
    </row>
    <row r="398">
      <c r="B398" s="663"/>
      <c r="C398" s="663"/>
      <c r="D398" s="663"/>
      <c r="E398" s="663"/>
      <c r="F398" s="663"/>
      <c r="G398" s="663"/>
      <c r="H398" s="663"/>
      <c r="I398" s="663"/>
      <c r="J398" s="663"/>
      <c r="K398" s="663"/>
      <c r="L398" s="663"/>
      <c r="M398" s="663"/>
      <c r="R398" s="663"/>
      <c r="S398" s="663"/>
      <c r="T398" s="663"/>
      <c r="U398" s="663"/>
      <c r="V398" s="663"/>
      <c r="W398" s="663"/>
      <c r="X398" s="663"/>
      <c r="Y398" s="663"/>
      <c r="Z398" s="663"/>
      <c r="AB398" s="663"/>
    </row>
    <row r="399">
      <c r="B399" s="663"/>
      <c r="C399" s="663"/>
      <c r="D399" s="663"/>
      <c r="E399" s="663"/>
      <c r="F399" s="663"/>
      <c r="G399" s="663"/>
      <c r="H399" s="663"/>
      <c r="I399" s="663"/>
      <c r="J399" s="663"/>
      <c r="K399" s="663"/>
      <c r="L399" s="663"/>
      <c r="M399" s="663"/>
      <c r="R399" s="663"/>
      <c r="S399" s="663"/>
      <c r="T399" s="663"/>
      <c r="U399" s="663"/>
      <c r="V399" s="663"/>
      <c r="W399" s="663"/>
      <c r="X399" s="663"/>
      <c r="Y399" s="663"/>
      <c r="Z399" s="663"/>
      <c r="AB399" s="663"/>
    </row>
    <row r="400">
      <c r="B400" s="663"/>
      <c r="C400" s="663"/>
      <c r="D400" s="663"/>
      <c r="E400" s="663"/>
      <c r="F400" s="663"/>
      <c r="G400" s="663"/>
      <c r="H400" s="663"/>
      <c r="I400" s="663"/>
      <c r="J400" s="663"/>
      <c r="K400" s="663"/>
      <c r="L400" s="663"/>
      <c r="M400" s="663"/>
      <c r="R400" s="663"/>
      <c r="S400" s="663"/>
      <c r="T400" s="663"/>
      <c r="U400" s="663"/>
      <c r="V400" s="663"/>
      <c r="W400" s="663"/>
      <c r="X400" s="663"/>
      <c r="Y400" s="663"/>
      <c r="Z400" s="663"/>
      <c r="AB400" s="663"/>
    </row>
    <row r="401">
      <c r="B401" s="663"/>
      <c r="C401" s="663"/>
      <c r="D401" s="663"/>
      <c r="E401" s="663"/>
      <c r="F401" s="663"/>
      <c r="G401" s="663"/>
      <c r="H401" s="663"/>
      <c r="I401" s="663"/>
      <c r="J401" s="663"/>
      <c r="K401" s="663"/>
      <c r="L401" s="663"/>
      <c r="M401" s="663"/>
      <c r="R401" s="663"/>
      <c r="S401" s="663"/>
      <c r="T401" s="663"/>
      <c r="U401" s="663"/>
      <c r="V401" s="663"/>
      <c r="W401" s="663"/>
      <c r="X401" s="663"/>
      <c r="Y401" s="663"/>
      <c r="Z401" s="663"/>
      <c r="AB401" s="663"/>
    </row>
    <row r="402">
      <c r="B402" s="663"/>
      <c r="C402" s="663"/>
      <c r="D402" s="663"/>
      <c r="E402" s="663"/>
      <c r="F402" s="663"/>
      <c r="G402" s="663"/>
      <c r="H402" s="663"/>
      <c r="I402" s="663"/>
      <c r="J402" s="663"/>
      <c r="K402" s="663"/>
      <c r="L402" s="663"/>
      <c r="M402" s="663"/>
      <c r="R402" s="663"/>
      <c r="S402" s="663"/>
      <c r="T402" s="663"/>
      <c r="U402" s="663"/>
      <c r="V402" s="663"/>
      <c r="W402" s="663"/>
      <c r="X402" s="663"/>
      <c r="Y402" s="663"/>
      <c r="Z402" s="663"/>
      <c r="AB402" s="663"/>
    </row>
    <row r="403">
      <c r="B403" s="663"/>
      <c r="C403" s="663"/>
      <c r="D403" s="663"/>
      <c r="E403" s="663"/>
      <c r="F403" s="663"/>
      <c r="G403" s="663"/>
      <c r="H403" s="663"/>
      <c r="I403" s="663"/>
      <c r="J403" s="663"/>
      <c r="K403" s="663"/>
      <c r="L403" s="663"/>
      <c r="M403" s="663"/>
      <c r="R403" s="663"/>
      <c r="S403" s="663"/>
      <c r="T403" s="663"/>
      <c r="U403" s="663"/>
      <c r="V403" s="663"/>
      <c r="W403" s="663"/>
      <c r="X403" s="663"/>
      <c r="Y403" s="663"/>
      <c r="Z403" s="663"/>
      <c r="AB403" s="663"/>
    </row>
    <row r="404">
      <c r="B404" s="663"/>
      <c r="C404" s="663"/>
      <c r="D404" s="663"/>
      <c r="E404" s="663"/>
      <c r="F404" s="663"/>
      <c r="G404" s="663"/>
      <c r="H404" s="663"/>
      <c r="I404" s="663"/>
      <c r="J404" s="663"/>
      <c r="K404" s="663"/>
      <c r="L404" s="663"/>
      <c r="M404" s="663"/>
      <c r="R404" s="663"/>
      <c r="S404" s="663"/>
      <c r="T404" s="663"/>
      <c r="U404" s="663"/>
      <c r="V404" s="663"/>
      <c r="W404" s="663"/>
      <c r="X404" s="663"/>
      <c r="Y404" s="663"/>
      <c r="Z404" s="663"/>
      <c r="AB404" s="663"/>
    </row>
    <row r="405">
      <c r="B405" s="663"/>
      <c r="C405" s="663"/>
      <c r="D405" s="663"/>
      <c r="E405" s="663"/>
      <c r="F405" s="663"/>
      <c r="G405" s="663"/>
      <c r="H405" s="663"/>
      <c r="I405" s="663"/>
      <c r="J405" s="663"/>
      <c r="K405" s="663"/>
      <c r="L405" s="663"/>
      <c r="M405" s="663"/>
      <c r="R405" s="663"/>
      <c r="S405" s="663"/>
      <c r="T405" s="663"/>
      <c r="U405" s="663"/>
      <c r="V405" s="663"/>
      <c r="W405" s="663"/>
      <c r="X405" s="663"/>
      <c r="Y405" s="663"/>
      <c r="Z405" s="663"/>
      <c r="AB405" s="663"/>
    </row>
    <row r="406">
      <c r="B406" s="663"/>
      <c r="C406" s="663"/>
      <c r="D406" s="663"/>
      <c r="E406" s="663"/>
      <c r="F406" s="663"/>
      <c r="G406" s="663"/>
      <c r="H406" s="663"/>
      <c r="I406" s="663"/>
      <c r="J406" s="663"/>
      <c r="K406" s="663"/>
      <c r="L406" s="663"/>
      <c r="M406" s="663"/>
      <c r="R406" s="663"/>
      <c r="S406" s="663"/>
      <c r="T406" s="663"/>
      <c r="U406" s="663"/>
      <c r="V406" s="663"/>
      <c r="W406" s="663"/>
      <c r="X406" s="663"/>
      <c r="Y406" s="663"/>
      <c r="Z406" s="663"/>
      <c r="AB406" s="663"/>
    </row>
    <row r="407">
      <c r="B407" s="663"/>
      <c r="C407" s="663"/>
      <c r="D407" s="663"/>
      <c r="E407" s="663"/>
      <c r="F407" s="663"/>
      <c r="G407" s="663"/>
      <c r="H407" s="663"/>
      <c r="I407" s="663"/>
      <c r="J407" s="663"/>
      <c r="K407" s="663"/>
      <c r="L407" s="663"/>
      <c r="M407" s="663"/>
      <c r="R407" s="663"/>
      <c r="S407" s="663"/>
      <c r="T407" s="663"/>
      <c r="U407" s="663"/>
      <c r="V407" s="663"/>
      <c r="W407" s="663"/>
      <c r="X407" s="663"/>
      <c r="Y407" s="663"/>
      <c r="Z407" s="663"/>
      <c r="AB407" s="663"/>
    </row>
    <row r="408">
      <c r="B408" s="663"/>
      <c r="C408" s="663"/>
      <c r="D408" s="663"/>
      <c r="E408" s="663"/>
      <c r="F408" s="663"/>
      <c r="G408" s="663"/>
      <c r="H408" s="663"/>
      <c r="I408" s="663"/>
      <c r="J408" s="663"/>
      <c r="K408" s="663"/>
      <c r="L408" s="663"/>
      <c r="M408" s="663"/>
      <c r="R408" s="663"/>
      <c r="S408" s="663"/>
      <c r="T408" s="663"/>
      <c r="U408" s="663"/>
      <c r="V408" s="663"/>
      <c r="W408" s="663"/>
      <c r="X408" s="663"/>
      <c r="Y408" s="663"/>
      <c r="Z408" s="663"/>
      <c r="AB408" s="663"/>
    </row>
    <row r="409"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R409" s="663"/>
      <c r="S409" s="663"/>
      <c r="T409" s="663"/>
      <c r="U409" s="663"/>
      <c r="V409" s="663"/>
      <c r="W409" s="663"/>
      <c r="X409" s="663"/>
      <c r="Y409" s="663"/>
      <c r="Z409" s="663"/>
      <c r="AB409" s="663"/>
    </row>
    <row r="410">
      <c r="B410" s="663"/>
      <c r="C410" s="663"/>
      <c r="D410" s="663"/>
      <c r="E410" s="663"/>
      <c r="F410" s="663"/>
      <c r="G410" s="663"/>
      <c r="H410" s="663"/>
      <c r="I410" s="663"/>
      <c r="J410" s="663"/>
      <c r="K410" s="663"/>
      <c r="L410" s="663"/>
      <c r="M410" s="663"/>
      <c r="R410" s="663"/>
      <c r="S410" s="663"/>
      <c r="T410" s="663"/>
      <c r="U410" s="663"/>
      <c r="V410" s="663"/>
      <c r="W410" s="663"/>
      <c r="X410" s="663"/>
      <c r="Y410" s="663"/>
      <c r="Z410" s="663"/>
      <c r="AB410" s="663"/>
    </row>
    <row r="411">
      <c r="B411" s="663"/>
      <c r="C411" s="663"/>
      <c r="D411" s="663"/>
      <c r="E411" s="663"/>
      <c r="F411" s="663"/>
      <c r="G411" s="663"/>
      <c r="H411" s="663"/>
      <c r="I411" s="663"/>
      <c r="J411" s="663"/>
      <c r="K411" s="663"/>
      <c r="L411" s="663"/>
      <c r="M411" s="663"/>
      <c r="R411" s="663"/>
      <c r="S411" s="663"/>
      <c r="T411" s="663"/>
      <c r="U411" s="663"/>
      <c r="V411" s="663"/>
      <c r="W411" s="663"/>
      <c r="X411" s="663"/>
      <c r="Y411" s="663"/>
      <c r="Z411" s="663"/>
      <c r="AB411" s="663"/>
    </row>
    <row r="412">
      <c r="B412" s="663"/>
      <c r="C412" s="663"/>
      <c r="D412" s="663"/>
      <c r="E412" s="663"/>
      <c r="F412" s="663"/>
      <c r="G412" s="663"/>
      <c r="H412" s="663"/>
      <c r="I412" s="663"/>
      <c r="J412" s="663"/>
      <c r="K412" s="663"/>
      <c r="L412" s="663"/>
      <c r="M412" s="663"/>
      <c r="R412" s="663"/>
      <c r="S412" s="663"/>
      <c r="T412" s="663"/>
      <c r="U412" s="663"/>
      <c r="V412" s="663"/>
      <c r="W412" s="663"/>
      <c r="X412" s="663"/>
      <c r="Y412" s="663"/>
      <c r="Z412" s="663"/>
      <c r="AB412" s="663"/>
    </row>
    <row r="413">
      <c r="B413" s="663"/>
      <c r="C413" s="663"/>
      <c r="D413" s="663"/>
      <c r="E413" s="663"/>
      <c r="F413" s="663"/>
      <c r="G413" s="663"/>
      <c r="H413" s="663"/>
      <c r="I413" s="663"/>
      <c r="J413" s="663"/>
      <c r="K413" s="663"/>
      <c r="L413" s="663"/>
      <c r="M413" s="663"/>
      <c r="R413" s="663"/>
      <c r="S413" s="663"/>
      <c r="T413" s="663"/>
      <c r="U413" s="663"/>
      <c r="V413" s="663"/>
      <c r="W413" s="663"/>
      <c r="X413" s="663"/>
      <c r="Y413" s="663"/>
      <c r="Z413" s="663"/>
      <c r="AB413" s="663"/>
    </row>
    <row r="414">
      <c r="B414" s="663"/>
      <c r="C414" s="663"/>
      <c r="D414" s="663"/>
      <c r="E414" s="663"/>
      <c r="F414" s="663"/>
      <c r="G414" s="663"/>
      <c r="H414" s="663"/>
      <c r="I414" s="663"/>
      <c r="J414" s="663"/>
      <c r="K414" s="663"/>
      <c r="L414" s="663"/>
      <c r="M414" s="663"/>
      <c r="R414" s="663"/>
      <c r="S414" s="663"/>
      <c r="T414" s="663"/>
      <c r="U414" s="663"/>
      <c r="V414" s="663"/>
      <c r="W414" s="663"/>
      <c r="X414" s="663"/>
      <c r="Y414" s="663"/>
      <c r="Z414" s="663"/>
      <c r="AB414" s="663"/>
    </row>
    <row r="415"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R415" s="663"/>
      <c r="S415" s="663"/>
      <c r="T415" s="663"/>
      <c r="U415" s="663"/>
      <c r="V415" s="663"/>
      <c r="W415" s="663"/>
      <c r="X415" s="663"/>
      <c r="Y415" s="663"/>
      <c r="Z415" s="663"/>
      <c r="AB415" s="663"/>
    </row>
    <row r="416"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B416" s="663"/>
    </row>
    <row r="417">
      <c r="B417" s="663"/>
      <c r="C417" s="663"/>
      <c r="D417" s="663"/>
      <c r="E417" s="663"/>
      <c r="F417" s="663"/>
      <c r="G417" s="663"/>
      <c r="H417" s="663"/>
      <c r="I417" s="663"/>
      <c r="J417" s="663"/>
      <c r="K417" s="663"/>
      <c r="L417" s="663"/>
      <c r="M417" s="663"/>
      <c r="R417" s="663"/>
      <c r="S417" s="663"/>
      <c r="T417" s="663"/>
      <c r="U417" s="663"/>
      <c r="V417" s="663"/>
      <c r="W417" s="663"/>
      <c r="X417" s="663"/>
      <c r="Y417" s="663"/>
      <c r="Z417" s="663"/>
      <c r="AB417" s="663"/>
    </row>
    <row r="418">
      <c r="B418" s="663"/>
      <c r="C418" s="663"/>
      <c r="D418" s="663"/>
      <c r="E418" s="663"/>
      <c r="F418" s="663"/>
      <c r="G418" s="663"/>
      <c r="H418" s="663"/>
      <c r="I418" s="663"/>
      <c r="J418" s="663"/>
      <c r="K418" s="663"/>
      <c r="L418" s="663"/>
      <c r="M418" s="663"/>
      <c r="R418" s="663"/>
      <c r="S418" s="663"/>
      <c r="T418" s="663"/>
      <c r="U418" s="663"/>
      <c r="V418" s="663"/>
      <c r="W418" s="663"/>
      <c r="X418" s="663"/>
      <c r="Y418" s="663"/>
      <c r="Z418" s="663"/>
      <c r="AB418" s="663"/>
    </row>
    <row r="419">
      <c r="B419" s="663"/>
      <c r="C419" s="663"/>
      <c r="D419" s="663"/>
      <c r="E419" s="663"/>
      <c r="F419" s="663"/>
      <c r="G419" s="663"/>
      <c r="H419" s="663"/>
      <c r="I419" s="663"/>
      <c r="J419" s="663"/>
      <c r="K419" s="663"/>
      <c r="L419" s="663"/>
      <c r="M419" s="663"/>
      <c r="R419" s="663"/>
      <c r="S419" s="663"/>
      <c r="T419" s="663"/>
      <c r="U419" s="663"/>
      <c r="V419" s="663"/>
      <c r="W419" s="663"/>
      <c r="X419" s="663"/>
      <c r="Y419" s="663"/>
      <c r="Z419" s="663"/>
      <c r="AB419" s="663"/>
    </row>
    <row r="420">
      <c r="B420" s="663"/>
      <c r="C420" s="663"/>
      <c r="D420" s="663"/>
      <c r="E420" s="663"/>
      <c r="F420" s="663"/>
      <c r="G420" s="663"/>
      <c r="H420" s="663"/>
      <c r="I420" s="663"/>
      <c r="J420" s="663"/>
      <c r="K420" s="663"/>
      <c r="L420" s="663"/>
      <c r="M420" s="663"/>
      <c r="R420" s="663"/>
      <c r="S420" s="663"/>
      <c r="T420" s="663"/>
      <c r="U420" s="663"/>
      <c r="V420" s="663"/>
      <c r="W420" s="663"/>
      <c r="X420" s="663"/>
      <c r="Y420" s="663"/>
      <c r="Z420" s="663"/>
      <c r="AB420" s="663"/>
    </row>
    <row r="421">
      <c r="B421" s="663"/>
      <c r="C421" s="663"/>
      <c r="D421" s="663"/>
      <c r="E421" s="663"/>
      <c r="F421" s="663"/>
      <c r="G421" s="663"/>
      <c r="H421" s="663"/>
      <c r="I421" s="663"/>
      <c r="J421" s="663"/>
      <c r="K421" s="663"/>
      <c r="L421" s="663"/>
      <c r="M421" s="663"/>
      <c r="R421" s="663"/>
      <c r="S421" s="663"/>
      <c r="T421" s="663"/>
      <c r="U421" s="663"/>
      <c r="V421" s="663"/>
      <c r="W421" s="663"/>
      <c r="X421" s="663"/>
      <c r="Y421" s="663"/>
      <c r="Z421" s="663"/>
      <c r="AB421" s="663"/>
    </row>
    <row r="422"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B422" s="663"/>
    </row>
    <row r="423">
      <c r="B423" s="663"/>
      <c r="C423" s="663"/>
      <c r="D423" s="663"/>
      <c r="E423" s="663"/>
      <c r="F423" s="663"/>
      <c r="G423" s="663"/>
      <c r="H423" s="663"/>
      <c r="I423" s="663"/>
      <c r="J423" s="663"/>
      <c r="K423" s="663"/>
      <c r="L423" s="663"/>
      <c r="M423" s="663"/>
      <c r="R423" s="663"/>
      <c r="S423" s="663"/>
      <c r="T423" s="663"/>
      <c r="U423" s="663"/>
      <c r="V423" s="663"/>
      <c r="W423" s="663"/>
      <c r="X423" s="663"/>
      <c r="Y423" s="663"/>
      <c r="Z423" s="663"/>
      <c r="AB423" s="663"/>
    </row>
    <row r="424">
      <c r="B424" s="663"/>
      <c r="C424" s="663"/>
      <c r="D424" s="663"/>
      <c r="E424" s="663"/>
      <c r="F424" s="663"/>
      <c r="G424" s="663"/>
      <c r="H424" s="663"/>
      <c r="I424" s="663"/>
      <c r="J424" s="663"/>
      <c r="K424" s="663"/>
      <c r="L424" s="663"/>
      <c r="M424" s="663"/>
      <c r="R424" s="663"/>
      <c r="S424" s="663"/>
      <c r="T424" s="663"/>
      <c r="U424" s="663"/>
      <c r="V424" s="663"/>
      <c r="W424" s="663"/>
      <c r="X424" s="663"/>
      <c r="Y424" s="663"/>
      <c r="Z424" s="663"/>
      <c r="AB424" s="663"/>
    </row>
    <row r="425">
      <c r="B425" s="663"/>
      <c r="C425" s="663"/>
      <c r="D425" s="663"/>
      <c r="E425" s="663"/>
      <c r="F425" s="663"/>
      <c r="G425" s="663"/>
      <c r="H425" s="663"/>
      <c r="I425" s="663"/>
      <c r="J425" s="663"/>
      <c r="K425" s="663"/>
      <c r="L425" s="663"/>
      <c r="M425" s="663"/>
      <c r="R425" s="663"/>
      <c r="S425" s="663"/>
      <c r="T425" s="663"/>
      <c r="U425" s="663"/>
      <c r="V425" s="663"/>
      <c r="W425" s="663"/>
      <c r="X425" s="663"/>
      <c r="Y425" s="663"/>
      <c r="Z425" s="663"/>
      <c r="AB425" s="663"/>
    </row>
    <row r="426">
      <c r="B426" s="663"/>
      <c r="C426" s="663"/>
      <c r="D426" s="663"/>
      <c r="E426" s="663"/>
      <c r="F426" s="663"/>
      <c r="G426" s="663"/>
      <c r="H426" s="663"/>
      <c r="I426" s="663"/>
      <c r="J426" s="663"/>
      <c r="K426" s="663"/>
      <c r="L426" s="663"/>
      <c r="M426" s="663"/>
      <c r="R426" s="663"/>
      <c r="S426" s="663"/>
      <c r="T426" s="663"/>
      <c r="U426" s="663"/>
      <c r="V426" s="663"/>
      <c r="W426" s="663"/>
      <c r="X426" s="663"/>
      <c r="Y426" s="663"/>
      <c r="Z426" s="663"/>
      <c r="AB426" s="663"/>
    </row>
    <row r="427">
      <c r="B427" s="663"/>
      <c r="C427" s="663"/>
      <c r="D427" s="663"/>
      <c r="E427" s="663"/>
      <c r="F427" s="663"/>
      <c r="G427" s="663"/>
      <c r="H427" s="663"/>
      <c r="I427" s="663"/>
      <c r="J427" s="663"/>
      <c r="K427" s="663"/>
      <c r="L427" s="663"/>
      <c r="M427" s="663"/>
      <c r="R427" s="663"/>
      <c r="S427" s="663"/>
      <c r="T427" s="663"/>
      <c r="U427" s="663"/>
      <c r="V427" s="663"/>
      <c r="W427" s="663"/>
      <c r="X427" s="663"/>
      <c r="Y427" s="663"/>
      <c r="Z427" s="663"/>
      <c r="AB427" s="663"/>
    </row>
    <row r="428">
      <c r="B428" s="663"/>
      <c r="C428" s="663"/>
      <c r="D428" s="663"/>
      <c r="E428" s="663"/>
      <c r="F428" s="663"/>
      <c r="G428" s="663"/>
      <c r="H428" s="663"/>
      <c r="I428" s="663"/>
      <c r="J428" s="663"/>
      <c r="K428" s="663"/>
      <c r="L428" s="663"/>
      <c r="M428" s="663"/>
      <c r="R428" s="663"/>
      <c r="S428" s="663"/>
      <c r="T428" s="663"/>
      <c r="U428" s="663"/>
      <c r="V428" s="663"/>
      <c r="W428" s="663"/>
      <c r="X428" s="663"/>
      <c r="Y428" s="663"/>
      <c r="Z428" s="663"/>
      <c r="AB428" s="663"/>
    </row>
    <row r="429">
      <c r="B429" s="663"/>
      <c r="C429" s="663"/>
      <c r="D429" s="663"/>
      <c r="E429" s="663"/>
      <c r="F429" s="663"/>
      <c r="G429" s="663"/>
      <c r="H429" s="663"/>
      <c r="I429" s="663"/>
      <c r="J429" s="663"/>
      <c r="K429" s="663"/>
      <c r="L429" s="663"/>
      <c r="M429" s="663"/>
      <c r="R429" s="663"/>
      <c r="S429" s="663"/>
      <c r="T429" s="663"/>
      <c r="U429" s="663"/>
      <c r="V429" s="663"/>
      <c r="W429" s="663"/>
      <c r="X429" s="663"/>
      <c r="Y429" s="663"/>
      <c r="Z429" s="663"/>
      <c r="AB429" s="663"/>
    </row>
    <row r="430"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B430" s="663"/>
    </row>
    <row r="431">
      <c r="B431" s="663"/>
      <c r="C431" s="663"/>
      <c r="D431" s="663"/>
      <c r="E431" s="663"/>
      <c r="F431" s="663"/>
      <c r="G431" s="663"/>
      <c r="H431" s="663"/>
      <c r="I431" s="663"/>
      <c r="J431" s="663"/>
      <c r="K431" s="663"/>
      <c r="L431" s="663"/>
      <c r="M431" s="663"/>
      <c r="R431" s="663"/>
      <c r="S431" s="663"/>
      <c r="T431" s="663"/>
      <c r="U431" s="663"/>
      <c r="V431" s="663"/>
      <c r="W431" s="663"/>
      <c r="X431" s="663"/>
      <c r="Y431" s="663"/>
      <c r="Z431" s="663"/>
      <c r="AB431" s="663"/>
    </row>
    <row r="432">
      <c r="B432" s="663"/>
      <c r="C432" s="663"/>
      <c r="D432" s="663"/>
      <c r="E432" s="663"/>
      <c r="F432" s="663"/>
      <c r="G432" s="663"/>
      <c r="H432" s="663"/>
      <c r="I432" s="663"/>
      <c r="J432" s="663"/>
      <c r="K432" s="663"/>
      <c r="L432" s="663"/>
      <c r="M432" s="663"/>
      <c r="R432" s="663"/>
      <c r="S432" s="663"/>
      <c r="T432" s="663"/>
      <c r="U432" s="663"/>
      <c r="V432" s="663"/>
      <c r="W432" s="663"/>
      <c r="X432" s="663"/>
      <c r="Y432" s="663"/>
      <c r="Z432" s="663"/>
      <c r="AB432" s="663"/>
    </row>
    <row r="433">
      <c r="B433" s="663"/>
      <c r="C433" s="663"/>
      <c r="D433" s="663"/>
      <c r="E433" s="663"/>
      <c r="F433" s="663"/>
      <c r="G433" s="663"/>
      <c r="H433" s="663"/>
      <c r="I433" s="663"/>
      <c r="J433" s="663"/>
      <c r="K433" s="663"/>
      <c r="L433" s="663"/>
      <c r="M433" s="663"/>
      <c r="R433" s="663"/>
      <c r="S433" s="663"/>
      <c r="T433" s="663"/>
      <c r="U433" s="663"/>
      <c r="V433" s="663"/>
      <c r="W433" s="663"/>
      <c r="X433" s="663"/>
      <c r="Y433" s="663"/>
      <c r="Z433" s="663"/>
      <c r="AB433" s="663"/>
    </row>
    <row r="434">
      <c r="B434" s="663"/>
      <c r="C434" s="663"/>
      <c r="D434" s="663"/>
      <c r="E434" s="663"/>
      <c r="F434" s="663"/>
      <c r="G434" s="663"/>
      <c r="H434" s="663"/>
      <c r="I434" s="663"/>
      <c r="J434" s="663"/>
      <c r="K434" s="663"/>
      <c r="L434" s="663"/>
      <c r="M434" s="663"/>
      <c r="R434" s="663"/>
      <c r="S434" s="663"/>
      <c r="T434" s="663"/>
      <c r="U434" s="663"/>
      <c r="V434" s="663"/>
      <c r="W434" s="663"/>
      <c r="X434" s="663"/>
      <c r="Y434" s="663"/>
      <c r="Z434" s="663"/>
      <c r="AB434" s="663"/>
    </row>
    <row r="435">
      <c r="B435" s="663"/>
      <c r="C435" s="663"/>
      <c r="D435" s="663"/>
      <c r="E435" s="663"/>
      <c r="F435" s="663"/>
      <c r="G435" s="663"/>
      <c r="H435" s="663"/>
      <c r="I435" s="663"/>
      <c r="J435" s="663"/>
      <c r="K435" s="663"/>
      <c r="L435" s="663"/>
      <c r="M435" s="663"/>
      <c r="R435" s="663"/>
      <c r="S435" s="663"/>
      <c r="T435" s="663"/>
      <c r="U435" s="663"/>
      <c r="V435" s="663"/>
      <c r="W435" s="663"/>
      <c r="X435" s="663"/>
      <c r="Y435" s="663"/>
      <c r="Z435" s="663"/>
      <c r="AB435" s="663"/>
    </row>
    <row r="436">
      <c r="B436" s="663"/>
      <c r="C436" s="663"/>
      <c r="D436" s="663"/>
      <c r="E436" s="663"/>
      <c r="F436" s="663"/>
      <c r="G436" s="663"/>
      <c r="H436" s="663"/>
      <c r="I436" s="663"/>
      <c r="J436" s="663"/>
      <c r="K436" s="663"/>
      <c r="L436" s="663"/>
      <c r="M436" s="663"/>
      <c r="R436" s="663"/>
      <c r="S436" s="663"/>
      <c r="T436" s="663"/>
      <c r="U436" s="663"/>
      <c r="V436" s="663"/>
      <c r="W436" s="663"/>
      <c r="X436" s="663"/>
      <c r="Y436" s="663"/>
      <c r="Z436" s="663"/>
      <c r="AB436" s="663"/>
    </row>
    <row r="437">
      <c r="B437" s="663"/>
      <c r="C437" s="663"/>
      <c r="D437" s="663"/>
      <c r="E437" s="663"/>
      <c r="F437" s="663"/>
      <c r="G437" s="663"/>
      <c r="H437" s="663"/>
      <c r="I437" s="663"/>
      <c r="J437" s="663"/>
      <c r="K437" s="663"/>
      <c r="L437" s="663"/>
      <c r="M437" s="663"/>
      <c r="R437" s="663"/>
      <c r="S437" s="663"/>
      <c r="T437" s="663"/>
      <c r="U437" s="663"/>
      <c r="V437" s="663"/>
      <c r="W437" s="663"/>
      <c r="X437" s="663"/>
      <c r="Y437" s="663"/>
      <c r="Z437" s="663"/>
      <c r="AB437" s="663"/>
    </row>
    <row r="438">
      <c r="B438" s="663"/>
      <c r="C438" s="663"/>
      <c r="D438" s="663"/>
      <c r="E438" s="663"/>
      <c r="F438" s="663"/>
      <c r="G438" s="663"/>
      <c r="H438" s="663"/>
      <c r="I438" s="663"/>
      <c r="J438" s="663"/>
      <c r="K438" s="663"/>
      <c r="L438" s="663"/>
      <c r="M438" s="663"/>
      <c r="R438" s="663"/>
      <c r="S438" s="663"/>
      <c r="T438" s="663"/>
      <c r="U438" s="663"/>
      <c r="V438" s="663"/>
      <c r="W438" s="663"/>
      <c r="X438" s="663"/>
      <c r="Y438" s="663"/>
      <c r="Z438" s="663"/>
      <c r="AB438" s="663"/>
    </row>
    <row r="439">
      <c r="B439" s="663"/>
      <c r="C439" s="663"/>
      <c r="D439" s="663"/>
      <c r="E439" s="663"/>
      <c r="F439" s="663"/>
      <c r="G439" s="663"/>
      <c r="H439" s="663"/>
      <c r="I439" s="663"/>
      <c r="J439" s="663"/>
      <c r="K439" s="663"/>
      <c r="L439" s="663"/>
      <c r="M439" s="663"/>
      <c r="R439" s="663"/>
      <c r="S439" s="663"/>
      <c r="T439" s="663"/>
      <c r="U439" s="663"/>
      <c r="V439" s="663"/>
      <c r="W439" s="663"/>
      <c r="X439" s="663"/>
      <c r="Y439" s="663"/>
      <c r="Z439" s="663"/>
      <c r="AB439" s="663"/>
    </row>
    <row r="440">
      <c r="B440" s="663"/>
      <c r="C440" s="663"/>
      <c r="D440" s="663"/>
      <c r="E440" s="663"/>
      <c r="F440" s="663"/>
      <c r="G440" s="663"/>
      <c r="H440" s="663"/>
      <c r="I440" s="663"/>
      <c r="J440" s="663"/>
      <c r="K440" s="663"/>
      <c r="L440" s="663"/>
      <c r="M440" s="663"/>
      <c r="R440" s="663"/>
      <c r="S440" s="663"/>
      <c r="T440" s="663"/>
      <c r="U440" s="663"/>
      <c r="V440" s="663"/>
      <c r="W440" s="663"/>
      <c r="X440" s="663"/>
      <c r="Y440" s="663"/>
      <c r="Z440" s="663"/>
      <c r="AB440" s="663"/>
    </row>
    <row r="441">
      <c r="B441" s="663"/>
      <c r="C441" s="663"/>
      <c r="D441" s="663"/>
      <c r="E441" s="663"/>
      <c r="F441" s="663"/>
      <c r="G441" s="663"/>
      <c r="H441" s="663"/>
      <c r="I441" s="663"/>
      <c r="J441" s="663"/>
      <c r="K441" s="663"/>
      <c r="L441" s="663"/>
      <c r="M441" s="663"/>
      <c r="R441" s="663"/>
      <c r="S441" s="663"/>
      <c r="T441" s="663"/>
      <c r="U441" s="663"/>
      <c r="V441" s="663"/>
      <c r="W441" s="663"/>
      <c r="X441" s="663"/>
      <c r="Y441" s="663"/>
      <c r="Z441" s="663"/>
      <c r="AB441" s="663"/>
    </row>
    <row r="442"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R442" s="663"/>
      <c r="S442" s="663"/>
      <c r="T442" s="663"/>
      <c r="U442" s="663"/>
      <c r="V442" s="663"/>
      <c r="W442" s="663"/>
      <c r="X442" s="663"/>
      <c r="Y442" s="663"/>
      <c r="Z442" s="663"/>
      <c r="AB442" s="663"/>
    </row>
    <row r="443">
      <c r="B443" s="663"/>
      <c r="C443" s="663"/>
      <c r="D443" s="663"/>
      <c r="E443" s="663"/>
      <c r="F443" s="663"/>
      <c r="G443" s="663"/>
      <c r="H443" s="663"/>
      <c r="I443" s="663"/>
      <c r="J443" s="663"/>
      <c r="K443" s="663"/>
      <c r="L443" s="663"/>
      <c r="M443" s="663"/>
      <c r="R443" s="663"/>
      <c r="S443" s="663"/>
      <c r="T443" s="663"/>
      <c r="U443" s="663"/>
      <c r="V443" s="663"/>
      <c r="W443" s="663"/>
      <c r="X443" s="663"/>
      <c r="Y443" s="663"/>
      <c r="Z443" s="663"/>
      <c r="AB443" s="663"/>
    </row>
    <row r="444">
      <c r="B444" s="663"/>
      <c r="C444" s="663"/>
      <c r="D444" s="663"/>
      <c r="E444" s="663"/>
      <c r="F444" s="663"/>
      <c r="G444" s="663"/>
      <c r="H444" s="663"/>
      <c r="I444" s="663"/>
      <c r="J444" s="663"/>
      <c r="K444" s="663"/>
      <c r="L444" s="663"/>
      <c r="M444" s="663"/>
      <c r="R444" s="663"/>
      <c r="S444" s="663"/>
      <c r="T444" s="663"/>
      <c r="U444" s="663"/>
      <c r="V444" s="663"/>
      <c r="W444" s="663"/>
      <c r="X444" s="663"/>
      <c r="Y444" s="663"/>
      <c r="Z444" s="663"/>
      <c r="AB444" s="663"/>
    </row>
    <row r="445">
      <c r="B445" s="663"/>
      <c r="C445" s="663"/>
      <c r="D445" s="663"/>
      <c r="E445" s="663"/>
      <c r="F445" s="663"/>
      <c r="G445" s="663"/>
      <c r="H445" s="663"/>
      <c r="I445" s="663"/>
      <c r="J445" s="663"/>
      <c r="K445" s="663"/>
      <c r="L445" s="663"/>
      <c r="M445" s="663"/>
      <c r="R445" s="663"/>
      <c r="S445" s="663"/>
      <c r="T445" s="663"/>
      <c r="U445" s="663"/>
      <c r="V445" s="663"/>
      <c r="W445" s="663"/>
      <c r="X445" s="663"/>
      <c r="Y445" s="663"/>
      <c r="Z445" s="663"/>
      <c r="AB445" s="663"/>
    </row>
    <row r="446">
      <c r="B446" s="663"/>
      <c r="C446" s="663"/>
      <c r="D446" s="663"/>
      <c r="E446" s="663"/>
      <c r="F446" s="663"/>
      <c r="G446" s="663"/>
      <c r="H446" s="663"/>
      <c r="I446" s="663"/>
      <c r="J446" s="663"/>
      <c r="K446" s="663"/>
      <c r="L446" s="663"/>
      <c r="M446" s="663"/>
      <c r="R446" s="663"/>
      <c r="S446" s="663"/>
      <c r="T446" s="663"/>
      <c r="U446" s="663"/>
      <c r="V446" s="663"/>
      <c r="W446" s="663"/>
      <c r="X446" s="663"/>
      <c r="Y446" s="663"/>
      <c r="Z446" s="663"/>
      <c r="AB446" s="663"/>
    </row>
    <row r="447">
      <c r="B447" s="663"/>
      <c r="C447" s="663"/>
      <c r="D447" s="663"/>
      <c r="E447" s="663"/>
      <c r="F447" s="663"/>
      <c r="G447" s="663"/>
      <c r="H447" s="663"/>
      <c r="I447" s="663"/>
      <c r="J447" s="663"/>
      <c r="K447" s="663"/>
      <c r="L447" s="663"/>
      <c r="M447" s="663"/>
      <c r="R447" s="663"/>
      <c r="S447" s="663"/>
      <c r="T447" s="663"/>
      <c r="U447" s="663"/>
      <c r="V447" s="663"/>
      <c r="W447" s="663"/>
      <c r="X447" s="663"/>
      <c r="Y447" s="663"/>
      <c r="Z447" s="663"/>
      <c r="AB447" s="663"/>
    </row>
    <row r="448">
      <c r="B448" s="663"/>
      <c r="C448" s="663"/>
      <c r="D448" s="663"/>
      <c r="E448" s="663"/>
      <c r="F448" s="663"/>
      <c r="G448" s="663"/>
      <c r="H448" s="663"/>
      <c r="I448" s="663"/>
      <c r="J448" s="663"/>
      <c r="K448" s="663"/>
      <c r="L448" s="663"/>
      <c r="M448" s="663"/>
      <c r="R448" s="663"/>
      <c r="S448" s="663"/>
      <c r="T448" s="663"/>
      <c r="U448" s="663"/>
      <c r="V448" s="663"/>
      <c r="W448" s="663"/>
      <c r="X448" s="663"/>
      <c r="Y448" s="663"/>
      <c r="Z448" s="663"/>
      <c r="AB448" s="663"/>
    </row>
    <row r="449">
      <c r="B449" s="663"/>
      <c r="C449" s="663"/>
      <c r="D449" s="663"/>
      <c r="E449" s="663"/>
      <c r="F449" s="663"/>
      <c r="G449" s="663"/>
      <c r="H449" s="663"/>
      <c r="I449" s="663"/>
      <c r="J449" s="663"/>
      <c r="K449" s="663"/>
      <c r="L449" s="663"/>
      <c r="M449" s="663"/>
      <c r="R449" s="663"/>
      <c r="S449" s="663"/>
      <c r="T449" s="663"/>
      <c r="U449" s="663"/>
      <c r="V449" s="663"/>
      <c r="W449" s="663"/>
      <c r="X449" s="663"/>
      <c r="Y449" s="663"/>
      <c r="Z449" s="663"/>
      <c r="AB449" s="663"/>
    </row>
    <row r="450">
      <c r="B450" s="663"/>
      <c r="C450" s="663"/>
      <c r="D450" s="663"/>
      <c r="E450" s="663"/>
      <c r="F450" s="663"/>
      <c r="G450" s="663"/>
      <c r="H450" s="663"/>
      <c r="I450" s="663"/>
      <c r="J450" s="663"/>
      <c r="K450" s="663"/>
      <c r="L450" s="663"/>
      <c r="M450" s="663"/>
      <c r="R450" s="663"/>
      <c r="S450" s="663"/>
      <c r="T450" s="663"/>
      <c r="U450" s="663"/>
      <c r="V450" s="663"/>
      <c r="W450" s="663"/>
      <c r="X450" s="663"/>
      <c r="Y450" s="663"/>
      <c r="Z450" s="663"/>
      <c r="AB450" s="663"/>
    </row>
    <row r="451">
      <c r="B451" s="663"/>
      <c r="C451" s="663"/>
      <c r="D451" s="663"/>
      <c r="E451" s="663"/>
      <c r="F451" s="663"/>
      <c r="G451" s="663"/>
      <c r="H451" s="663"/>
      <c r="I451" s="663"/>
      <c r="J451" s="663"/>
      <c r="K451" s="663"/>
      <c r="L451" s="663"/>
      <c r="M451" s="663"/>
      <c r="R451" s="663"/>
      <c r="S451" s="663"/>
      <c r="T451" s="663"/>
      <c r="U451" s="663"/>
      <c r="V451" s="663"/>
      <c r="W451" s="663"/>
      <c r="X451" s="663"/>
      <c r="Y451" s="663"/>
      <c r="Z451" s="663"/>
      <c r="AB451" s="663"/>
    </row>
    <row r="452">
      <c r="B452" s="663"/>
      <c r="C452" s="663"/>
      <c r="D452" s="663"/>
      <c r="E452" s="663"/>
      <c r="F452" s="663"/>
      <c r="G452" s="663"/>
      <c r="H452" s="663"/>
      <c r="I452" s="663"/>
      <c r="J452" s="663"/>
      <c r="K452" s="663"/>
      <c r="L452" s="663"/>
      <c r="M452" s="663"/>
      <c r="R452" s="663"/>
      <c r="S452" s="663"/>
      <c r="T452" s="663"/>
      <c r="U452" s="663"/>
      <c r="V452" s="663"/>
      <c r="W452" s="663"/>
      <c r="X452" s="663"/>
      <c r="Y452" s="663"/>
      <c r="Z452" s="663"/>
      <c r="AB452" s="663"/>
    </row>
    <row r="453">
      <c r="B453" s="663"/>
      <c r="C453" s="663"/>
      <c r="D453" s="663"/>
      <c r="E453" s="663"/>
      <c r="F453" s="663"/>
      <c r="G453" s="663"/>
      <c r="H453" s="663"/>
      <c r="I453" s="663"/>
      <c r="J453" s="663"/>
      <c r="K453" s="663"/>
      <c r="L453" s="663"/>
      <c r="M453" s="663"/>
      <c r="R453" s="663"/>
      <c r="S453" s="663"/>
      <c r="T453" s="663"/>
      <c r="U453" s="663"/>
      <c r="V453" s="663"/>
      <c r="W453" s="663"/>
      <c r="X453" s="663"/>
      <c r="Y453" s="663"/>
      <c r="Z453" s="663"/>
      <c r="AB453" s="663"/>
    </row>
    <row r="454">
      <c r="B454" s="663"/>
      <c r="C454" s="663"/>
      <c r="D454" s="663"/>
      <c r="E454" s="663"/>
      <c r="F454" s="663"/>
      <c r="G454" s="663"/>
      <c r="H454" s="663"/>
      <c r="I454" s="663"/>
      <c r="J454" s="663"/>
      <c r="K454" s="663"/>
      <c r="L454" s="663"/>
      <c r="M454" s="663"/>
      <c r="R454" s="663"/>
      <c r="S454" s="663"/>
      <c r="T454" s="663"/>
      <c r="U454" s="663"/>
      <c r="V454" s="663"/>
      <c r="W454" s="663"/>
      <c r="X454" s="663"/>
      <c r="Y454" s="663"/>
      <c r="Z454" s="663"/>
      <c r="AB454" s="663"/>
    </row>
    <row r="455">
      <c r="B455" s="663"/>
      <c r="C455" s="663"/>
      <c r="D455" s="663"/>
      <c r="E455" s="663"/>
      <c r="F455" s="663"/>
      <c r="G455" s="663"/>
      <c r="H455" s="663"/>
      <c r="I455" s="663"/>
      <c r="J455" s="663"/>
      <c r="K455" s="663"/>
      <c r="L455" s="663"/>
      <c r="M455" s="663"/>
      <c r="R455" s="663"/>
      <c r="S455" s="663"/>
      <c r="T455" s="663"/>
      <c r="U455" s="663"/>
      <c r="V455" s="663"/>
      <c r="W455" s="663"/>
      <c r="X455" s="663"/>
      <c r="Y455" s="663"/>
      <c r="Z455" s="663"/>
      <c r="AB455" s="663"/>
    </row>
    <row r="456">
      <c r="B456" s="663"/>
      <c r="C456" s="663"/>
      <c r="D456" s="663"/>
      <c r="E456" s="663"/>
      <c r="F456" s="663"/>
      <c r="G456" s="663"/>
      <c r="H456" s="663"/>
      <c r="I456" s="663"/>
      <c r="J456" s="663"/>
      <c r="K456" s="663"/>
      <c r="L456" s="663"/>
      <c r="M456" s="663"/>
      <c r="R456" s="663"/>
      <c r="S456" s="663"/>
      <c r="T456" s="663"/>
      <c r="U456" s="663"/>
      <c r="V456" s="663"/>
      <c r="W456" s="663"/>
      <c r="X456" s="663"/>
      <c r="Y456" s="663"/>
      <c r="Z456" s="663"/>
      <c r="AB456" s="663"/>
    </row>
    <row r="457">
      <c r="B457" s="663"/>
      <c r="C457" s="663"/>
      <c r="D457" s="663"/>
      <c r="E457" s="663"/>
      <c r="F457" s="663"/>
      <c r="G457" s="663"/>
      <c r="H457" s="663"/>
      <c r="I457" s="663"/>
      <c r="J457" s="663"/>
      <c r="K457" s="663"/>
      <c r="L457" s="663"/>
      <c r="M457" s="663"/>
      <c r="R457" s="663"/>
      <c r="S457" s="663"/>
      <c r="T457" s="663"/>
      <c r="U457" s="663"/>
      <c r="V457" s="663"/>
      <c r="W457" s="663"/>
      <c r="X457" s="663"/>
      <c r="Y457" s="663"/>
      <c r="Z457" s="663"/>
      <c r="AB457" s="663"/>
    </row>
    <row r="458">
      <c r="B458" s="663"/>
      <c r="C458" s="663"/>
      <c r="D458" s="663"/>
      <c r="E458" s="663"/>
      <c r="F458" s="663"/>
      <c r="G458" s="663"/>
      <c r="H458" s="663"/>
      <c r="I458" s="663"/>
      <c r="J458" s="663"/>
      <c r="K458" s="663"/>
      <c r="L458" s="663"/>
      <c r="M458" s="663"/>
      <c r="R458" s="663"/>
      <c r="S458" s="663"/>
      <c r="T458" s="663"/>
      <c r="U458" s="663"/>
      <c r="V458" s="663"/>
      <c r="W458" s="663"/>
      <c r="X458" s="663"/>
      <c r="Y458" s="663"/>
      <c r="Z458" s="663"/>
      <c r="AB458" s="663"/>
    </row>
    <row r="459"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B459" s="663"/>
    </row>
    <row r="460">
      <c r="B460" s="663"/>
      <c r="C460" s="663"/>
      <c r="D460" s="663"/>
      <c r="E460" s="663"/>
      <c r="F460" s="663"/>
      <c r="G460" s="663"/>
      <c r="H460" s="663"/>
      <c r="I460" s="663"/>
      <c r="J460" s="663"/>
      <c r="K460" s="663"/>
      <c r="L460" s="663"/>
      <c r="M460" s="663"/>
      <c r="R460" s="663"/>
      <c r="S460" s="663"/>
      <c r="T460" s="663"/>
      <c r="U460" s="663"/>
      <c r="V460" s="663"/>
      <c r="W460" s="663"/>
      <c r="X460" s="663"/>
      <c r="Y460" s="663"/>
      <c r="Z460" s="663"/>
      <c r="AB460" s="663"/>
    </row>
    <row r="461">
      <c r="B461" s="663"/>
      <c r="C461" s="663"/>
      <c r="D461" s="663"/>
      <c r="E461" s="663"/>
      <c r="F461" s="663"/>
      <c r="G461" s="663"/>
      <c r="H461" s="663"/>
      <c r="I461" s="663"/>
      <c r="J461" s="663"/>
      <c r="K461" s="663"/>
      <c r="L461" s="663"/>
      <c r="M461" s="663"/>
      <c r="R461" s="663"/>
      <c r="S461" s="663"/>
      <c r="T461" s="663"/>
      <c r="U461" s="663"/>
      <c r="V461" s="663"/>
      <c r="W461" s="663"/>
      <c r="X461" s="663"/>
      <c r="Y461" s="663"/>
      <c r="Z461" s="663"/>
      <c r="AB461" s="663"/>
    </row>
    <row r="462">
      <c r="B462" s="663"/>
      <c r="C462" s="663"/>
      <c r="D462" s="663"/>
      <c r="E462" s="663"/>
      <c r="F462" s="663"/>
      <c r="G462" s="663"/>
      <c r="H462" s="663"/>
      <c r="I462" s="663"/>
      <c r="J462" s="663"/>
      <c r="K462" s="663"/>
      <c r="L462" s="663"/>
      <c r="M462" s="663"/>
      <c r="R462" s="663"/>
      <c r="S462" s="663"/>
      <c r="T462" s="663"/>
      <c r="U462" s="663"/>
      <c r="V462" s="663"/>
      <c r="W462" s="663"/>
      <c r="X462" s="663"/>
      <c r="Y462" s="663"/>
      <c r="Z462" s="663"/>
      <c r="AB462" s="663"/>
    </row>
    <row r="463">
      <c r="B463" s="663"/>
      <c r="C463" s="663"/>
      <c r="D463" s="663"/>
      <c r="E463" s="663"/>
      <c r="F463" s="663"/>
      <c r="G463" s="663"/>
      <c r="H463" s="663"/>
      <c r="I463" s="663"/>
      <c r="J463" s="663"/>
      <c r="K463" s="663"/>
      <c r="L463" s="663"/>
      <c r="M463" s="663"/>
      <c r="R463" s="663"/>
      <c r="S463" s="663"/>
      <c r="T463" s="663"/>
      <c r="U463" s="663"/>
      <c r="V463" s="663"/>
      <c r="W463" s="663"/>
      <c r="X463" s="663"/>
      <c r="Y463" s="663"/>
      <c r="Z463" s="663"/>
      <c r="AB463" s="663"/>
    </row>
    <row r="464">
      <c r="B464" s="663"/>
      <c r="C464" s="663"/>
      <c r="D464" s="663"/>
      <c r="E464" s="663"/>
      <c r="F464" s="663"/>
      <c r="G464" s="663"/>
      <c r="H464" s="663"/>
      <c r="I464" s="663"/>
      <c r="J464" s="663"/>
      <c r="K464" s="663"/>
      <c r="L464" s="663"/>
      <c r="M464" s="663"/>
      <c r="R464" s="663"/>
      <c r="S464" s="663"/>
      <c r="T464" s="663"/>
      <c r="U464" s="663"/>
      <c r="V464" s="663"/>
      <c r="W464" s="663"/>
      <c r="X464" s="663"/>
      <c r="Y464" s="663"/>
      <c r="Z464" s="663"/>
      <c r="AB464" s="663"/>
    </row>
    <row r="465">
      <c r="B465" s="663"/>
      <c r="C465" s="663"/>
      <c r="D465" s="663"/>
      <c r="E465" s="663"/>
      <c r="F465" s="663"/>
      <c r="G465" s="663"/>
      <c r="H465" s="663"/>
      <c r="I465" s="663"/>
      <c r="J465" s="663"/>
      <c r="K465" s="663"/>
      <c r="L465" s="663"/>
      <c r="M465" s="663"/>
      <c r="R465" s="663"/>
      <c r="S465" s="663"/>
      <c r="T465" s="663"/>
      <c r="U465" s="663"/>
      <c r="V465" s="663"/>
      <c r="W465" s="663"/>
      <c r="X465" s="663"/>
      <c r="Y465" s="663"/>
      <c r="Z465" s="663"/>
      <c r="AB465" s="663"/>
    </row>
    <row r="466">
      <c r="B466" s="663"/>
      <c r="C466" s="663"/>
      <c r="D466" s="663"/>
      <c r="E466" s="663"/>
      <c r="F466" s="663"/>
      <c r="G466" s="663"/>
      <c r="H466" s="663"/>
      <c r="I466" s="663"/>
      <c r="J466" s="663"/>
      <c r="K466" s="663"/>
      <c r="L466" s="663"/>
      <c r="M466" s="663"/>
      <c r="R466" s="663"/>
      <c r="S466" s="663"/>
      <c r="T466" s="663"/>
      <c r="U466" s="663"/>
      <c r="V466" s="663"/>
      <c r="W466" s="663"/>
      <c r="X466" s="663"/>
      <c r="Y466" s="663"/>
      <c r="Z466" s="663"/>
      <c r="AB466" s="663"/>
    </row>
    <row r="467">
      <c r="B467" s="663"/>
      <c r="C467" s="663"/>
      <c r="D467" s="663"/>
      <c r="E467" s="663"/>
      <c r="F467" s="663"/>
      <c r="G467" s="663"/>
      <c r="H467" s="663"/>
      <c r="I467" s="663"/>
      <c r="J467" s="663"/>
      <c r="K467" s="663"/>
      <c r="L467" s="663"/>
      <c r="M467" s="663"/>
      <c r="R467" s="663"/>
      <c r="S467" s="663"/>
      <c r="T467" s="663"/>
      <c r="U467" s="663"/>
      <c r="V467" s="663"/>
      <c r="W467" s="663"/>
      <c r="X467" s="663"/>
      <c r="Y467" s="663"/>
      <c r="Z467" s="663"/>
      <c r="AB467" s="663"/>
    </row>
    <row r="468">
      <c r="B468" s="663"/>
      <c r="C468" s="663"/>
      <c r="D468" s="663"/>
      <c r="E468" s="663"/>
      <c r="F468" s="663"/>
      <c r="G468" s="663"/>
      <c r="H468" s="663"/>
      <c r="I468" s="663"/>
      <c r="J468" s="663"/>
      <c r="K468" s="663"/>
      <c r="L468" s="663"/>
      <c r="M468" s="663"/>
      <c r="R468" s="663"/>
      <c r="S468" s="663"/>
      <c r="T468" s="663"/>
      <c r="U468" s="663"/>
      <c r="V468" s="663"/>
      <c r="W468" s="663"/>
      <c r="X468" s="663"/>
      <c r="Y468" s="663"/>
      <c r="Z468" s="663"/>
      <c r="AB468" s="663"/>
    </row>
    <row r="469"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R469" s="663"/>
      <c r="S469" s="663"/>
      <c r="T469" s="663"/>
      <c r="U469" s="663"/>
      <c r="V469" s="663"/>
      <c r="W469" s="663"/>
      <c r="X469" s="663"/>
      <c r="Y469" s="663"/>
      <c r="Z469" s="663"/>
      <c r="AB469" s="663"/>
    </row>
    <row r="470">
      <c r="B470" s="663"/>
      <c r="C470" s="663"/>
      <c r="D470" s="663"/>
      <c r="E470" s="663"/>
      <c r="F470" s="663"/>
      <c r="G470" s="663"/>
      <c r="H470" s="663"/>
      <c r="I470" s="663"/>
      <c r="J470" s="663"/>
      <c r="K470" s="663"/>
      <c r="L470" s="663"/>
      <c r="M470" s="663"/>
      <c r="R470" s="663"/>
      <c r="S470" s="663"/>
      <c r="T470" s="663"/>
      <c r="U470" s="663"/>
      <c r="V470" s="663"/>
      <c r="W470" s="663"/>
      <c r="X470" s="663"/>
      <c r="Y470" s="663"/>
      <c r="Z470" s="663"/>
      <c r="AB470" s="663"/>
    </row>
    <row r="471">
      <c r="B471" s="663"/>
      <c r="C471" s="663"/>
      <c r="D471" s="663"/>
      <c r="E471" s="663"/>
      <c r="F471" s="663"/>
      <c r="G471" s="663"/>
      <c r="H471" s="663"/>
      <c r="I471" s="663"/>
      <c r="J471" s="663"/>
      <c r="K471" s="663"/>
      <c r="L471" s="663"/>
      <c r="M471" s="663"/>
      <c r="R471" s="663"/>
      <c r="S471" s="663"/>
      <c r="T471" s="663"/>
      <c r="U471" s="663"/>
      <c r="V471" s="663"/>
      <c r="W471" s="663"/>
      <c r="X471" s="663"/>
      <c r="Y471" s="663"/>
      <c r="Z471" s="663"/>
      <c r="AB471" s="663"/>
    </row>
    <row r="472">
      <c r="B472" s="663"/>
      <c r="C472" s="663"/>
      <c r="D472" s="663"/>
      <c r="E472" s="663"/>
      <c r="F472" s="663"/>
      <c r="G472" s="663"/>
      <c r="H472" s="663"/>
      <c r="I472" s="663"/>
      <c r="J472" s="663"/>
      <c r="K472" s="663"/>
      <c r="L472" s="663"/>
      <c r="M472" s="663"/>
      <c r="R472" s="663"/>
      <c r="S472" s="663"/>
      <c r="T472" s="663"/>
      <c r="U472" s="663"/>
      <c r="V472" s="663"/>
      <c r="W472" s="663"/>
      <c r="X472" s="663"/>
      <c r="Y472" s="663"/>
      <c r="Z472" s="663"/>
      <c r="AB472" s="663"/>
    </row>
    <row r="473">
      <c r="B473" s="663"/>
      <c r="C473" s="663"/>
      <c r="D473" s="663"/>
      <c r="E473" s="663"/>
      <c r="F473" s="663"/>
      <c r="G473" s="663"/>
      <c r="H473" s="663"/>
      <c r="I473" s="663"/>
      <c r="J473" s="663"/>
      <c r="K473" s="663"/>
      <c r="L473" s="663"/>
      <c r="M473" s="663"/>
      <c r="R473" s="663"/>
      <c r="S473" s="663"/>
      <c r="T473" s="663"/>
      <c r="U473" s="663"/>
      <c r="V473" s="663"/>
      <c r="W473" s="663"/>
      <c r="X473" s="663"/>
      <c r="Y473" s="663"/>
      <c r="Z473" s="663"/>
      <c r="AB473" s="663"/>
    </row>
    <row r="474">
      <c r="B474" s="663"/>
      <c r="C474" s="663"/>
      <c r="D474" s="663"/>
      <c r="E474" s="663"/>
      <c r="F474" s="663"/>
      <c r="G474" s="663"/>
      <c r="H474" s="663"/>
      <c r="I474" s="663"/>
      <c r="J474" s="663"/>
      <c r="K474" s="663"/>
      <c r="L474" s="663"/>
      <c r="M474" s="663"/>
      <c r="R474" s="663"/>
      <c r="S474" s="663"/>
      <c r="T474" s="663"/>
      <c r="U474" s="663"/>
      <c r="V474" s="663"/>
      <c r="W474" s="663"/>
      <c r="X474" s="663"/>
      <c r="Y474" s="663"/>
      <c r="Z474" s="663"/>
      <c r="AB474" s="663"/>
    </row>
    <row r="475">
      <c r="B475" s="663"/>
      <c r="C475" s="663"/>
      <c r="D475" s="663"/>
      <c r="E475" s="663"/>
      <c r="F475" s="663"/>
      <c r="G475" s="663"/>
      <c r="H475" s="663"/>
      <c r="I475" s="663"/>
      <c r="J475" s="663"/>
      <c r="K475" s="663"/>
      <c r="L475" s="663"/>
      <c r="M475" s="663"/>
      <c r="R475" s="663"/>
      <c r="S475" s="663"/>
      <c r="T475" s="663"/>
      <c r="U475" s="663"/>
      <c r="V475" s="663"/>
      <c r="W475" s="663"/>
      <c r="X475" s="663"/>
      <c r="Y475" s="663"/>
      <c r="Z475" s="663"/>
      <c r="AB475" s="663"/>
    </row>
    <row r="476"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B476" s="663"/>
    </row>
    <row r="477">
      <c r="B477" s="663"/>
      <c r="C477" s="663"/>
      <c r="D477" s="663"/>
      <c r="E477" s="663"/>
      <c r="F477" s="663"/>
      <c r="G477" s="663"/>
      <c r="H477" s="663"/>
      <c r="I477" s="663"/>
      <c r="J477" s="663"/>
      <c r="K477" s="663"/>
      <c r="L477" s="663"/>
      <c r="M477" s="663"/>
      <c r="R477" s="663"/>
      <c r="S477" s="663"/>
      <c r="T477" s="663"/>
      <c r="U477" s="663"/>
      <c r="V477" s="663"/>
      <c r="W477" s="663"/>
      <c r="X477" s="663"/>
      <c r="Y477" s="663"/>
      <c r="Z477" s="663"/>
      <c r="AB477" s="663"/>
    </row>
    <row r="478">
      <c r="B478" s="663"/>
      <c r="C478" s="663"/>
      <c r="D478" s="663"/>
      <c r="E478" s="663"/>
      <c r="F478" s="663"/>
      <c r="G478" s="663"/>
      <c r="H478" s="663"/>
      <c r="I478" s="663"/>
      <c r="J478" s="663"/>
      <c r="K478" s="663"/>
      <c r="L478" s="663"/>
      <c r="M478" s="663"/>
      <c r="R478" s="663"/>
      <c r="S478" s="663"/>
      <c r="T478" s="663"/>
      <c r="U478" s="663"/>
      <c r="V478" s="663"/>
      <c r="W478" s="663"/>
      <c r="X478" s="663"/>
      <c r="Y478" s="663"/>
      <c r="Z478" s="663"/>
      <c r="AB478" s="663"/>
    </row>
    <row r="479">
      <c r="B479" s="663"/>
      <c r="C479" s="663"/>
      <c r="D479" s="663"/>
      <c r="E479" s="663"/>
      <c r="F479" s="663"/>
      <c r="G479" s="663"/>
      <c r="H479" s="663"/>
      <c r="I479" s="663"/>
      <c r="J479" s="663"/>
      <c r="K479" s="663"/>
      <c r="L479" s="663"/>
      <c r="M479" s="663"/>
      <c r="R479" s="663"/>
      <c r="S479" s="663"/>
      <c r="T479" s="663"/>
      <c r="U479" s="663"/>
      <c r="V479" s="663"/>
      <c r="W479" s="663"/>
      <c r="X479" s="663"/>
      <c r="Y479" s="663"/>
      <c r="Z479" s="663"/>
      <c r="AB479" s="663"/>
    </row>
    <row r="480">
      <c r="B480" s="663"/>
      <c r="C480" s="663"/>
      <c r="D480" s="663"/>
      <c r="E480" s="663"/>
      <c r="F480" s="663"/>
      <c r="G480" s="663"/>
      <c r="H480" s="663"/>
      <c r="I480" s="663"/>
      <c r="J480" s="663"/>
      <c r="K480" s="663"/>
      <c r="L480" s="663"/>
      <c r="M480" s="663"/>
      <c r="R480" s="663"/>
      <c r="S480" s="663"/>
      <c r="T480" s="663"/>
      <c r="U480" s="663"/>
      <c r="V480" s="663"/>
      <c r="W480" s="663"/>
      <c r="X480" s="663"/>
      <c r="Y480" s="663"/>
      <c r="Z480" s="663"/>
      <c r="AB480" s="663"/>
    </row>
    <row r="481">
      <c r="B481" s="663"/>
      <c r="C481" s="663"/>
      <c r="D481" s="663"/>
      <c r="E481" s="663"/>
      <c r="F481" s="663"/>
      <c r="G481" s="663"/>
      <c r="H481" s="663"/>
      <c r="I481" s="663"/>
      <c r="J481" s="663"/>
      <c r="K481" s="663"/>
      <c r="L481" s="663"/>
      <c r="M481" s="663"/>
      <c r="R481" s="663"/>
      <c r="S481" s="663"/>
      <c r="T481" s="663"/>
      <c r="U481" s="663"/>
      <c r="V481" s="663"/>
      <c r="W481" s="663"/>
      <c r="X481" s="663"/>
      <c r="Y481" s="663"/>
      <c r="Z481" s="663"/>
      <c r="AB481" s="663"/>
    </row>
    <row r="482">
      <c r="B482" s="663"/>
      <c r="C482" s="663"/>
      <c r="D482" s="663"/>
      <c r="E482" s="663"/>
      <c r="F482" s="663"/>
      <c r="G482" s="663"/>
      <c r="H482" s="663"/>
      <c r="I482" s="663"/>
      <c r="J482" s="663"/>
      <c r="K482" s="663"/>
      <c r="L482" s="663"/>
      <c r="M482" s="663"/>
      <c r="R482" s="663"/>
      <c r="S482" s="663"/>
      <c r="T482" s="663"/>
      <c r="U482" s="663"/>
      <c r="V482" s="663"/>
      <c r="W482" s="663"/>
      <c r="X482" s="663"/>
      <c r="Y482" s="663"/>
      <c r="Z482" s="663"/>
      <c r="AB482" s="663"/>
    </row>
    <row r="483">
      <c r="B483" s="663"/>
      <c r="C483" s="663"/>
      <c r="D483" s="663"/>
      <c r="E483" s="663"/>
      <c r="F483" s="663"/>
      <c r="G483" s="663"/>
      <c r="H483" s="663"/>
      <c r="I483" s="663"/>
      <c r="J483" s="663"/>
      <c r="K483" s="663"/>
      <c r="L483" s="663"/>
      <c r="M483" s="663"/>
      <c r="R483" s="663"/>
      <c r="S483" s="663"/>
      <c r="T483" s="663"/>
      <c r="U483" s="663"/>
      <c r="V483" s="663"/>
      <c r="W483" s="663"/>
      <c r="X483" s="663"/>
      <c r="Y483" s="663"/>
      <c r="Z483" s="663"/>
      <c r="AB483" s="663"/>
    </row>
    <row r="484">
      <c r="B484" s="663"/>
      <c r="C484" s="663"/>
      <c r="D484" s="663"/>
      <c r="E484" s="663"/>
      <c r="F484" s="663"/>
      <c r="G484" s="663"/>
      <c r="H484" s="663"/>
      <c r="I484" s="663"/>
      <c r="J484" s="663"/>
      <c r="K484" s="663"/>
      <c r="L484" s="663"/>
      <c r="M484" s="663"/>
      <c r="R484" s="663"/>
      <c r="S484" s="663"/>
      <c r="T484" s="663"/>
      <c r="U484" s="663"/>
      <c r="V484" s="663"/>
      <c r="W484" s="663"/>
      <c r="X484" s="663"/>
      <c r="Y484" s="663"/>
      <c r="Z484" s="663"/>
      <c r="AB484" s="663"/>
    </row>
    <row r="485">
      <c r="B485" s="663"/>
      <c r="C485" s="663"/>
      <c r="D485" s="663"/>
      <c r="E485" s="663"/>
      <c r="F485" s="663"/>
      <c r="G485" s="663"/>
      <c r="H485" s="663"/>
      <c r="I485" s="663"/>
      <c r="J485" s="663"/>
      <c r="K485" s="663"/>
      <c r="L485" s="663"/>
      <c r="M485" s="663"/>
      <c r="R485" s="663"/>
      <c r="S485" s="663"/>
      <c r="T485" s="663"/>
      <c r="U485" s="663"/>
      <c r="V485" s="663"/>
      <c r="W485" s="663"/>
      <c r="X485" s="663"/>
      <c r="Y485" s="663"/>
      <c r="Z485" s="663"/>
      <c r="AB485" s="663"/>
    </row>
    <row r="486">
      <c r="B486" s="663"/>
      <c r="C486" s="663"/>
      <c r="D486" s="663"/>
      <c r="E486" s="663"/>
      <c r="F486" s="663"/>
      <c r="G486" s="663"/>
      <c r="H486" s="663"/>
      <c r="I486" s="663"/>
      <c r="J486" s="663"/>
      <c r="K486" s="663"/>
      <c r="L486" s="663"/>
      <c r="M486" s="663"/>
      <c r="R486" s="663"/>
      <c r="S486" s="663"/>
      <c r="T486" s="663"/>
      <c r="U486" s="663"/>
      <c r="V486" s="663"/>
      <c r="W486" s="663"/>
      <c r="X486" s="663"/>
      <c r="Y486" s="663"/>
      <c r="Z486" s="663"/>
      <c r="AB486" s="663"/>
    </row>
    <row r="487">
      <c r="B487" s="663"/>
      <c r="C487" s="663"/>
      <c r="D487" s="663"/>
      <c r="E487" s="663"/>
      <c r="F487" s="663"/>
      <c r="G487" s="663"/>
      <c r="H487" s="663"/>
      <c r="I487" s="663"/>
      <c r="J487" s="663"/>
      <c r="K487" s="663"/>
      <c r="L487" s="663"/>
      <c r="M487" s="663"/>
      <c r="R487" s="663"/>
      <c r="S487" s="663"/>
      <c r="T487" s="663"/>
      <c r="U487" s="663"/>
      <c r="V487" s="663"/>
      <c r="W487" s="663"/>
      <c r="X487" s="663"/>
      <c r="Y487" s="663"/>
      <c r="Z487" s="663"/>
      <c r="AB487" s="663"/>
    </row>
    <row r="488">
      <c r="B488" s="663"/>
      <c r="C488" s="663"/>
      <c r="D488" s="663"/>
      <c r="E488" s="663"/>
      <c r="F488" s="663"/>
      <c r="G488" s="663"/>
      <c r="H488" s="663"/>
      <c r="I488" s="663"/>
      <c r="J488" s="663"/>
      <c r="K488" s="663"/>
      <c r="L488" s="663"/>
      <c r="M488" s="663"/>
      <c r="R488" s="663"/>
      <c r="S488" s="663"/>
      <c r="T488" s="663"/>
      <c r="U488" s="663"/>
      <c r="V488" s="663"/>
      <c r="W488" s="663"/>
      <c r="X488" s="663"/>
      <c r="Y488" s="663"/>
      <c r="Z488" s="663"/>
      <c r="AB488" s="663"/>
    </row>
    <row r="489">
      <c r="B489" s="663"/>
      <c r="C489" s="663"/>
      <c r="D489" s="663"/>
      <c r="E489" s="663"/>
      <c r="F489" s="663"/>
      <c r="G489" s="663"/>
      <c r="H489" s="663"/>
      <c r="I489" s="663"/>
      <c r="J489" s="663"/>
      <c r="K489" s="663"/>
      <c r="L489" s="663"/>
      <c r="M489" s="663"/>
      <c r="R489" s="663"/>
      <c r="S489" s="663"/>
      <c r="T489" s="663"/>
      <c r="U489" s="663"/>
      <c r="V489" s="663"/>
      <c r="W489" s="663"/>
      <c r="X489" s="663"/>
      <c r="Y489" s="663"/>
      <c r="Z489" s="663"/>
      <c r="AB489" s="663"/>
    </row>
    <row r="490">
      <c r="B490" s="663"/>
      <c r="C490" s="663"/>
      <c r="D490" s="663"/>
      <c r="E490" s="663"/>
      <c r="F490" s="663"/>
      <c r="G490" s="663"/>
      <c r="H490" s="663"/>
      <c r="I490" s="663"/>
      <c r="J490" s="663"/>
      <c r="K490" s="663"/>
      <c r="L490" s="663"/>
      <c r="M490" s="663"/>
      <c r="R490" s="663"/>
      <c r="S490" s="663"/>
      <c r="T490" s="663"/>
      <c r="U490" s="663"/>
      <c r="V490" s="663"/>
      <c r="W490" s="663"/>
      <c r="X490" s="663"/>
      <c r="Y490" s="663"/>
      <c r="Z490" s="663"/>
      <c r="AB490" s="663"/>
    </row>
    <row r="491"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B491" s="663"/>
    </row>
    <row r="492">
      <c r="B492" s="663"/>
      <c r="C492" s="663"/>
      <c r="D492" s="663"/>
      <c r="E492" s="663"/>
      <c r="F492" s="663"/>
      <c r="G492" s="663"/>
      <c r="H492" s="663"/>
      <c r="I492" s="663"/>
      <c r="J492" s="663"/>
      <c r="K492" s="663"/>
      <c r="L492" s="663"/>
      <c r="M492" s="663"/>
      <c r="R492" s="663"/>
      <c r="S492" s="663"/>
      <c r="T492" s="663"/>
      <c r="U492" s="663"/>
      <c r="V492" s="663"/>
      <c r="W492" s="663"/>
      <c r="X492" s="663"/>
      <c r="Y492" s="663"/>
      <c r="Z492" s="663"/>
      <c r="AB492" s="663"/>
    </row>
    <row r="493">
      <c r="B493" s="663"/>
      <c r="C493" s="663"/>
      <c r="D493" s="663"/>
      <c r="E493" s="663"/>
      <c r="F493" s="663"/>
      <c r="G493" s="663"/>
      <c r="H493" s="663"/>
      <c r="I493" s="663"/>
      <c r="J493" s="663"/>
      <c r="K493" s="663"/>
      <c r="L493" s="663"/>
      <c r="M493" s="663"/>
      <c r="R493" s="663"/>
      <c r="S493" s="663"/>
      <c r="T493" s="663"/>
      <c r="U493" s="663"/>
      <c r="V493" s="663"/>
      <c r="W493" s="663"/>
      <c r="X493" s="663"/>
      <c r="Y493" s="663"/>
      <c r="Z493" s="663"/>
      <c r="AB493" s="663"/>
    </row>
    <row r="494">
      <c r="B494" s="663"/>
      <c r="C494" s="663"/>
      <c r="D494" s="663"/>
      <c r="E494" s="663"/>
      <c r="F494" s="663"/>
      <c r="G494" s="663"/>
      <c r="H494" s="663"/>
      <c r="I494" s="663"/>
      <c r="J494" s="663"/>
      <c r="K494" s="663"/>
      <c r="L494" s="663"/>
      <c r="M494" s="663"/>
      <c r="R494" s="663"/>
      <c r="S494" s="663"/>
      <c r="T494" s="663"/>
      <c r="U494" s="663"/>
      <c r="V494" s="663"/>
      <c r="W494" s="663"/>
      <c r="X494" s="663"/>
      <c r="Y494" s="663"/>
      <c r="Z494" s="663"/>
      <c r="AB494" s="663"/>
    </row>
    <row r="495">
      <c r="B495" s="663"/>
      <c r="C495" s="663"/>
      <c r="D495" s="663"/>
      <c r="E495" s="663"/>
      <c r="F495" s="663"/>
      <c r="G495" s="663"/>
      <c r="H495" s="663"/>
      <c r="I495" s="663"/>
      <c r="J495" s="663"/>
      <c r="K495" s="663"/>
      <c r="L495" s="663"/>
      <c r="M495" s="663"/>
      <c r="R495" s="663"/>
      <c r="S495" s="663"/>
      <c r="T495" s="663"/>
      <c r="U495" s="663"/>
      <c r="V495" s="663"/>
      <c r="W495" s="663"/>
      <c r="X495" s="663"/>
      <c r="Y495" s="663"/>
      <c r="Z495" s="663"/>
      <c r="AB495" s="663"/>
    </row>
    <row r="496">
      <c r="B496" s="663"/>
      <c r="C496" s="663"/>
      <c r="D496" s="663"/>
      <c r="E496" s="663"/>
      <c r="F496" s="663"/>
      <c r="G496" s="663"/>
      <c r="H496" s="663"/>
      <c r="I496" s="663"/>
      <c r="J496" s="663"/>
      <c r="K496" s="663"/>
      <c r="L496" s="663"/>
      <c r="M496" s="663"/>
      <c r="R496" s="663"/>
      <c r="S496" s="663"/>
      <c r="T496" s="663"/>
      <c r="U496" s="663"/>
      <c r="V496" s="663"/>
      <c r="W496" s="663"/>
      <c r="X496" s="663"/>
      <c r="Y496" s="663"/>
      <c r="Z496" s="663"/>
      <c r="AB496" s="663"/>
    </row>
    <row r="497">
      <c r="B497" s="663"/>
      <c r="C497" s="663"/>
      <c r="D497" s="663"/>
      <c r="E497" s="663"/>
      <c r="F497" s="663"/>
      <c r="G497" s="663"/>
      <c r="H497" s="663"/>
      <c r="I497" s="663"/>
      <c r="J497" s="663"/>
      <c r="K497" s="663"/>
      <c r="L497" s="663"/>
      <c r="M497" s="663"/>
      <c r="R497" s="663"/>
      <c r="S497" s="663"/>
      <c r="T497" s="663"/>
      <c r="U497" s="663"/>
      <c r="V497" s="663"/>
      <c r="W497" s="663"/>
      <c r="X497" s="663"/>
      <c r="Y497" s="663"/>
      <c r="Z497" s="663"/>
      <c r="AB497" s="663"/>
    </row>
    <row r="498">
      <c r="B498" s="663"/>
      <c r="C498" s="663"/>
      <c r="D498" s="663"/>
      <c r="E498" s="663"/>
      <c r="F498" s="663"/>
      <c r="G498" s="663"/>
      <c r="H498" s="663"/>
      <c r="I498" s="663"/>
      <c r="J498" s="663"/>
      <c r="K498" s="663"/>
      <c r="L498" s="663"/>
      <c r="M498" s="663"/>
      <c r="R498" s="663"/>
      <c r="S498" s="663"/>
      <c r="T498" s="663"/>
      <c r="U498" s="663"/>
      <c r="V498" s="663"/>
      <c r="W498" s="663"/>
      <c r="X498" s="663"/>
      <c r="Y498" s="663"/>
      <c r="Z498" s="663"/>
      <c r="AB498" s="663"/>
    </row>
    <row r="499"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R499" s="663"/>
      <c r="S499" s="663"/>
      <c r="T499" s="663"/>
      <c r="U499" s="663"/>
      <c r="V499" s="663"/>
      <c r="W499" s="663"/>
      <c r="X499" s="663"/>
      <c r="Y499" s="663"/>
      <c r="Z499" s="663"/>
      <c r="AB499" s="663"/>
    </row>
    <row r="500">
      <c r="B500" s="663"/>
      <c r="C500" s="663"/>
      <c r="D500" s="663"/>
      <c r="E500" s="663"/>
      <c r="F500" s="663"/>
      <c r="G500" s="663"/>
      <c r="H500" s="663"/>
      <c r="I500" s="663"/>
      <c r="J500" s="663"/>
      <c r="K500" s="663"/>
      <c r="L500" s="663"/>
      <c r="M500" s="663"/>
      <c r="R500" s="663"/>
      <c r="S500" s="663"/>
      <c r="T500" s="663"/>
      <c r="U500" s="663"/>
      <c r="V500" s="663"/>
      <c r="W500" s="663"/>
      <c r="X500" s="663"/>
      <c r="Y500" s="663"/>
      <c r="Z500" s="663"/>
      <c r="AB500" s="663"/>
    </row>
    <row r="501">
      <c r="B501" s="663"/>
      <c r="C501" s="663"/>
      <c r="D501" s="663"/>
      <c r="E501" s="663"/>
      <c r="F501" s="663"/>
      <c r="G501" s="663"/>
      <c r="H501" s="663"/>
      <c r="I501" s="663"/>
      <c r="J501" s="663"/>
      <c r="K501" s="663"/>
      <c r="L501" s="663"/>
      <c r="M501" s="663"/>
      <c r="R501" s="663"/>
      <c r="S501" s="663"/>
      <c r="T501" s="663"/>
      <c r="U501" s="663"/>
      <c r="V501" s="663"/>
      <c r="W501" s="663"/>
      <c r="X501" s="663"/>
      <c r="Y501" s="663"/>
      <c r="Z501" s="663"/>
      <c r="AB501" s="663"/>
    </row>
    <row r="502">
      <c r="B502" s="663"/>
      <c r="C502" s="663"/>
      <c r="D502" s="663"/>
      <c r="E502" s="663"/>
      <c r="F502" s="663"/>
      <c r="G502" s="663"/>
      <c r="H502" s="663"/>
      <c r="I502" s="663"/>
      <c r="J502" s="663"/>
      <c r="K502" s="663"/>
      <c r="L502" s="663"/>
      <c r="M502" s="663"/>
      <c r="R502" s="663"/>
      <c r="S502" s="663"/>
      <c r="T502" s="663"/>
      <c r="U502" s="663"/>
      <c r="V502" s="663"/>
      <c r="W502" s="663"/>
      <c r="X502" s="663"/>
      <c r="Y502" s="663"/>
      <c r="Z502" s="663"/>
      <c r="AB502" s="663"/>
    </row>
    <row r="503"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B503" s="663"/>
    </row>
    <row r="504">
      <c r="B504" s="663"/>
      <c r="C504" s="663"/>
      <c r="D504" s="663"/>
      <c r="E504" s="663"/>
      <c r="F504" s="663"/>
      <c r="G504" s="663"/>
      <c r="H504" s="663"/>
      <c r="I504" s="663"/>
      <c r="J504" s="663"/>
      <c r="K504" s="663"/>
      <c r="L504" s="663"/>
      <c r="M504" s="663"/>
      <c r="R504" s="663"/>
      <c r="S504" s="663"/>
      <c r="T504" s="663"/>
      <c r="U504" s="663"/>
      <c r="V504" s="663"/>
      <c r="W504" s="663"/>
      <c r="X504" s="663"/>
      <c r="Y504" s="663"/>
      <c r="Z504" s="663"/>
      <c r="AB504" s="663"/>
    </row>
    <row r="505">
      <c r="B505" s="663"/>
      <c r="C505" s="663"/>
      <c r="D505" s="663"/>
      <c r="E505" s="663"/>
      <c r="F505" s="663"/>
      <c r="G505" s="663"/>
      <c r="H505" s="663"/>
      <c r="I505" s="663"/>
      <c r="J505" s="663"/>
      <c r="K505" s="663"/>
      <c r="L505" s="663"/>
      <c r="M505" s="663"/>
      <c r="R505" s="663"/>
      <c r="S505" s="663"/>
      <c r="T505" s="663"/>
      <c r="U505" s="663"/>
      <c r="V505" s="663"/>
      <c r="W505" s="663"/>
      <c r="X505" s="663"/>
      <c r="Y505" s="663"/>
      <c r="Z505" s="663"/>
      <c r="AB505" s="663"/>
    </row>
    <row r="506">
      <c r="B506" s="663"/>
      <c r="C506" s="663"/>
      <c r="D506" s="663"/>
      <c r="E506" s="663"/>
      <c r="F506" s="663"/>
      <c r="G506" s="663"/>
      <c r="H506" s="663"/>
      <c r="I506" s="663"/>
      <c r="J506" s="663"/>
      <c r="K506" s="663"/>
      <c r="L506" s="663"/>
      <c r="M506" s="663"/>
      <c r="R506" s="663"/>
      <c r="S506" s="663"/>
      <c r="T506" s="663"/>
      <c r="U506" s="663"/>
      <c r="V506" s="663"/>
      <c r="W506" s="663"/>
      <c r="X506" s="663"/>
      <c r="Y506" s="663"/>
      <c r="Z506" s="663"/>
      <c r="AB506" s="663"/>
    </row>
    <row r="507">
      <c r="B507" s="663"/>
      <c r="C507" s="663"/>
      <c r="D507" s="663"/>
      <c r="E507" s="663"/>
      <c r="F507" s="663"/>
      <c r="G507" s="663"/>
      <c r="H507" s="663"/>
      <c r="I507" s="663"/>
      <c r="J507" s="663"/>
      <c r="K507" s="663"/>
      <c r="L507" s="663"/>
      <c r="M507" s="663"/>
      <c r="R507" s="663"/>
      <c r="S507" s="663"/>
      <c r="T507" s="663"/>
      <c r="U507" s="663"/>
      <c r="V507" s="663"/>
      <c r="W507" s="663"/>
      <c r="X507" s="663"/>
      <c r="Y507" s="663"/>
      <c r="Z507" s="663"/>
      <c r="AB507" s="663"/>
    </row>
    <row r="508">
      <c r="B508" s="663"/>
      <c r="C508" s="663"/>
      <c r="D508" s="663"/>
      <c r="E508" s="663"/>
      <c r="F508" s="663"/>
      <c r="G508" s="663"/>
      <c r="H508" s="663"/>
      <c r="I508" s="663"/>
      <c r="J508" s="663"/>
      <c r="K508" s="663"/>
      <c r="L508" s="663"/>
      <c r="M508" s="663"/>
      <c r="R508" s="663"/>
      <c r="S508" s="663"/>
      <c r="T508" s="663"/>
      <c r="U508" s="663"/>
      <c r="V508" s="663"/>
      <c r="W508" s="663"/>
      <c r="X508" s="663"/>
      <c r="Y508" s="663"/>
      <c r="Z508" s="663"/>
      <c r="AB508" s="663"/>
    </row>
    <row r="509">
      <c r="B509" s="663"/>
      <c r="C509" s="663"/>
      <c r="D509" s="663"/>
      <c r="E509" s="663"/>
      <c r="F509" s="663"/>
      <c r="G509" s="663"/>
      <c r="H509" s="663"/>
      <c r="I509" s="663"/>
      <c r="J509" s="663"/>
      <c r="K509" s="663"/>
      <c r="L509" s="663"/>
      <c r="M509" s="663"/>
      <c r="R509" s="663"/>
      <c r="S509" s="663"/>
      <c r="T509" s="663"/>
      <c r="U509" s="663"/>
      <c r="V509" s="663"/>
      <c r="W509" s="663"/>
      <c r="X509" s="663"/>
      <c r="Y509" s="663"/>
      <c r="Z509" s="663"/>
      <c r="AB509" s="663"/>
    </row>
    <row r="510">
      <c r="B510" s="663"/>
      <c r="C510" s="663"/>
      <c r="D510" s="663"/>
      <c r="E510" s="663"/>
      <c r="F510" s="663"/>
      <c r="G510" s="663"/>
      <c r="H510" s="663"/>
      <c r="I510" s="663"/>
      <c r="J510" s="663"/>
      <c r="K510" s="663"/>
      <c r="L510" s="663"/>
      <c r="M510" s="663"/>
      <c r="R510" s="663"/>
      <c r="S510" s="663"/>
      <c r="T510" s="663"/>
      <c r="U510" s="663"/>
      <c r="V510" s="663"/>
      <c r="W510" s="663"/>
      <c r="X510" s="663"/>
      <c r="Y510" s="663"/>
      <c r="Z510" s="663"/>
      <c r="AB510" s="663"/>
    </row>
    <row r="511">
      <c r="B511" s="663"/>
      <c r="C511" s="663"/>
      <c r="D511" s="663"/>
      <c r="E511" s="663"/>
      <c r="F511" s="663"/>
      <c r="G511" s="663"/>
      <c r="H511" s="663"/>
      <c r="I511" s="663"/>
      <c r="J511" s="663"/>
      <c r="K511" s="663"/>
      <c r="L511" s="663"/>
      <c r="M511" s="663"/>
      <c r="R511" s="663"/>
      <c r="S511" s="663"/>
      <c r="T511" s="663"/>
      <c r="U511" s="663"/>
      <c r="V511" s="663"/>
      <c r="W511" s="663"/>
      <c r="X511" s="663"/>
      <c r="Y511" s="663"/>
      <c r="Z511" s="663"/>
      <c r="AB511" s="663"/>
    </row>
    <row r="512">
      <c r="B512" s="663"/>
      <c r="C512" s="663"/>
      <c r="D512" s="663"/>
      <c r="E512" s="663"/>
      <c r="F512" s="663"/>
      <c r="G512" s="663"/>
      <c r="H512" s="663"/>
      <c r="I512" s="663"/>
      <c r="J512" s="663"/>
      <c r="K512" s="663"/>
      <c r="L512" s="663"/>
      <c r="M512" s="663"/>
      <c r="R512" s="663"/>
      <c r="S512" s="663"/>
      <c r="T512" s="663"/>
      <c r="U512" s="663"/>
      <c r="V512" s="663"/>
      <c r="W512" s="663"/>
      <c r="X512" s="663"/>
      <c r="Y512" s="663"/>
      <c r="Z512" s="663"/>
      <c r="AB512" s="663"/>
    </row>
    <row r="513">
      <c r="B513" s="663"/>
      <c r="C513" s="663"/>
      <c r="D513" s="663"/>
      <c r="E513" s="663"/>
      <c r="F513" s="663"/>
      <c r="G513" s="663"/>
      <c r="H513" s="663"/>
      <c r="I513" s="663"/>
      <c r="J513" s="663"/>
      <c r="K513" s="663"/>
      <c r="L513" s="663"/>
      <c r="M513" s="663"/>
      <c r="R513" s="663"/>
      <c r="S513" s="663"/>
      <c r="T513" s="663"/>
      <c r="U513" s="663"/>
      <c r="V513" s="663"/>
      <c r="W513" s="663"/>
      <c r="X513" s="663"/>
      <c r="Y513" s="663"/>
      <c r="Z513" s="663"/>
      <c r="AB513" s="663"/>
    </row>
    <row r="514">
      <c r="B514" s="663"/>
      <c r="C514" s="663"/>
      <c r="D514" s="663"/>
      <c r="E514" s="663"/>
      <c r="F514" s="663"/>
      <c r="G514" s="663"/>
      <c r="H514" s="663"/>
      <c r="I514" s="663"/>
      <c r="J514" s="663"/>
      <c r="K514" s="663"/>
      <c r="L514" s="663"/>
      <c r="M514" s="663"/>
      <c r="R514" s="663"/>
      <c r="S514" s="663"/>
      <c r="T514" s="663"/>
      <c r="U514" s="663"/>
      <c r="V514" s="663"/>
      <c r="W514" s="663"/>
      <c r="X514" s="663"/>
      <c r="Y514" s="663"/>
      <c r="Z514" s="663"/>
      <c r="AB514" s="663"/>
    </row>
    <row r="515"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R515" s="663"/>
      <c r="S515" s="663"/>
      <c r="T515" s="663"/>
      <c r="U515" s="663"/>
      <c r="V515" s="663"/>
      <c r="W515" s="663"/>
      <c r="X515" s="663"/>
      <c r="Y515" s="663"/>
      <c r="Z515" s="663"/>
      <c r="AB515" s="663"/>
    </row>
    <row r="516">
      <c r="B516" s="663"/>
      <c r="C516" s="663"/>
      <c r="D516" s="663"/>
      <c r="E516" s="663"/>
      <c r="F516" s="663"/>
      <c r="G516" s="663"/>
      <c r="H516" s="663"/>
      <c r="I516" s="663"/>
      <c r="J516" s="663"/>
      <c r="K516" s="663"/>
      <c r="L516" s="663"/>
      <c r="M516" s="663"/>
      <c r="R516" s="663"/>
      <c r="S516" s="663"/>
      <c r="T516" s="663"/>
      <c r="U516" s="663"/>
      <c r="V516" s="663"/>
      <c r="W516" s="663"/>
      <c r="X516" s="663"/>
      <c r="Y516" s="663"/>
      <c r="Z516" s="663"/>
      <c r="AB516" s="663"/>
    </row>
    <row r="517">
      <c r="B517" s="663"/>
      <c r="C517" s="663"/>
      <c r="D517" s="663"/>
      <c r="E517" s="663"/>
      <c r="F517" s="663"/>
      <c r="G517" s="663"/>
      <c r="H517" s="663"/>
      <c r="I517" s="663"/>
      <c r="J517" s="663"/>
      <c r="K517" s="663"/>
      <c r="L517" s="663"/>
      <c r="M517" s="663"/>
      <c r="R517" s="663"/>
      <c r="S517" s="663"/>
      <c r="T517" s="663"/>
      <c r="U517" s="663"/>
      <c r="V517" s="663"/>
      <c r="W517" s="663"/>
      <c r="X517" s="663"/>
      <c r="Y517" s="663"/>
      <c r="Z517" s="663"/>
      <c r="AB517" s="663"/>
    </row>
    <row r="518">
      <c r="B518" s="663"/>
      <c r="C518" s="663"/>
      <c r="D518" s="663"/>
      <c r="E518" s="663"/>
      <c r="F518" s="663"/>
      <c r="G518" s="663"/>
      <c r="H518" s="663"/>
      <c r="I518" s="663"/>
      <c r="J518" s="663"/>
      <c r="K518" s="663"/>
      <c r="L518" s="663"/>
      <c r="M518" s="663"/>
      <c r="R518" s="663"/>
      <c r="S518" s="663"/>
      <c r="T518" s="663"/>
      <c r="U518" s="663"/>
      <c r="V518" s="663"/>
      <c r="W518" s="663"/>
      <c r="X518" s="663"/>
      <c r="Y518" s="663"/>
      <c r="Z518" s="663"/>
      <c r="AB518" s="663"/>
    </row>
    <row r="519">
      <c r="B519" s="663"/>
      <c r="C519" s="663"/>
      <c r="D519" s="663"/>
      <c r="E519" s="663"/>
      <c r="F519" s="663"/>
      <c r="G519" s="663"/>
      <c r="H519" s="663"/>
      <c r="I519" s="663"/>
      <c r="J519" s="663"/>
      <c r="K519" s="663"/>
      <c r="L519" s="663"/>
      <c r="M519" s="663"/>
      <c r="R519" s="663"/>
      <c r="S519" s="663"/>
      <c r="T519" s="663"/>
      <c r="U519" s="663"/>
      <c r="V519" s="663"/>
      <c r="W519" s="663"/>
      <c r="X519" s="663"/>
      <c r="Y519" s="663"/>
      <c r="Z519" s="663"/>
      <c r="AB519" s="663"/>
    </row>
    <row r="520">
      <c r="B520" s="663"/>
      <c r="C520" s="663"/>
      <c r="D520" s="663"/>
      <c r="E520" s="663"/>
      <c r="F520" s="663"/>
      <c r="G520" s="663"/>
      <c r="H520" s="663"/>
      <c r="I520" s="663"/>
      <c r="J520" s="663"/>
      <c r="K520" s="663"/>
      <c r="L520" s="663"/>
      <c r="M520" s="663"/>
      <c r="R520" s="663"/>
      <c r="S520" s="663"/>
      <c r="T520" s="663"/>
      <c r="U520" s="663"/>
      <c r="V520" s="663"/>
      <c r="W520" s="663"/>
      <c r="X520" s="663"/>
      <c r="Y520" s="663"/>
      <c r="Z520" s="663"/>
      <c r="AB520" s="663"/>
    </row>
    <row r="521"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R521" s="663"/>
      <c r="S521" s="663"/>
      <c r="T521" s="663"/>
      <c r="U521" s="663"/>
      <c r="V521" s="663"/>
      <c r="W521" s="663"/>
      <c r="X521" s="663"/>
      <c r="Y521" s="663"/>
      <c r="Z521" s="663"/>
      <c r="AB521" s="663"/>
    </row>
    <row r="522">
      <c r="B522" s="663"/>
      <c r="C522" s="663"/>
      <c r="D522" s="663"/>
      <c r="E522" s="663"/>
      <c r="F522" s="663"/>
      <c r="G522" s="663"/>
      <c r="H522" s="663"/>
      <c r="I522" s="663"/>
      <c r="J522" s="663"/>
      <c r="K522" s="663"/>
      <c r="L522" s="663"/>
      <c r="M522" s="663"/>
      <c r="R522" s="663"/>
      <c r="S522" s="663"/>
      <c r="T522" s="663"/>
      <c r="U522" s="663"/>
      <c r="V522" s="663"/>
      <c r="W522" s="663"/>
      <c r="X522" s="663"/>
      <c r="Y522" s="663"/>
      <c r="Z522" s="663"/>
      <c r="AB522" s="663"/>
    </row>
    <row r="523">
      <c r="B523" s="663"/>
      <c r="C523" s="663"/>
      <c r="D523" s="663"/>
      <c r="E523" s="663"/>
      <c r="F523" s="663"/>
      <c r="G523" s="663"/>
      <c r="H523" s="663"/>
      <c r="I523" s="663"/>
      <c r="J523" s="663"/>
      <c r="K523" s="663"/>
      <c r="L523" s="663"/>
      <c r="M523" s="663"/>
      <c r="R523" s="663"/>
      <c r="S523" s="663"/>
      <c r="T523" s="663"/>
      <c r="U523" s="663"/>
      <c r="V523" s="663"/>
      <c r="W523" s="663"/>
      <c r="X523" s="663"/>
      <c r="Y523" s="663"/>
      <c r="Z523" s="663"/>
      <c r="AB523" s="663"/>
    </row>
    <row r="524">
      <c r="B524" s="663"/>
      <c r="C524" s="663"/>
      <c r="D524" s="663"/>
      <c r="E524" s="663"/>
      <c r="F524" s="663"/>
      <c r="G524" s="663"/>
      <c r="H524" s="663"/>
      <c r="I524" s="663"/>
      <c r="J524" s="663"/>
      <c r="K524" s="663"/>
      <c r="L524" s="663"/>
      <c r="M524" s="663"/>
      <c r="R524" s="663"/>
      <c r="S524" s="663"/>
      <c r="T524" s="663"/>
      <c r="U524" s="663"/>
      <c r="V524" s="663"/>
      <c r="W524" s="663"/>
      <c r="X524" s="663"/>
      <c r="Y524" s="663"/>
      <c r="Z524" s="663"/>
      <c r="AB524" s="663"/>
    </row>
    <row r="525">
      <c r="B525" s="663"/>
      <c r="C525" s="663"/>
      <c r="D525" s="663"/>
      <c r="E525" s="663"/>
      <c r="F525" s="663"/>
      <c r="G525" s="663"/>
      <c r="H525" s="663"/>
      <c r="I525" s="663"/>
      <c r="J525" s="663"/>
      <c r="K525" s="663"/>
      <c r="L525" s="663"/>
      <c r="M525" s="663"/>
      <c r="R525" s="663"/>
      <c r="S525" s="663"/>
      <c r="T525" s="663"/>
      <c r="U525" s="663"/>
      <c r="V525" s="663"/>
      <c r="W525" s="663"/>
      <c r="X525" s="663"/>
      <c r="Y525" s="663"/>
      <c r="Z525" s="663"/>
      <c r="AB525" s="663"/>
    </row>
    <row r="526">
      <c r="B526" s="663"/>
      <c r="C526" s="663"/>
      <c r="D526" s="663"/>
      <c r="E526" s="663"/>
      <c r="F526" s="663"/>
      <c r="G526" s="663"/>
      <c r="H526" s="663"/>
      <c r="I526" s="663"/>
      <c r="J526" s="663"/>
      <c r="K526" s="663"/>
      <c r="L526" s="663"/>
      <c r="M526" s="663"/>
      <c r="R526" s="663"/>
      <c r="S526" s="663"/>
      <c r="T526" s="663"/>
      <c r="U526" s="663"/>
      <c r="V526" s="663"/>
      <c r="W526" s="663"/>
      <c r="X526" s="663"/>
      <c r="Y526" s="663"/>
      <c r="Z526" s="663"/>
      <c r="AB526" s="663"/>
    </row>
    <row r="527">
      <c r="B527" s="663"/>
      <c r="C527" s="663"/>
      <c r="D527" s="663"/>
      <c r="E527" s="663"/>
      <c r="F527" s="663"/>
      <c r="G527" s="663"/>
      <c r="H527" s="663"/>
      <c r="I527" s="663"/>
      <c r="J527" s="663"/>
      <c r="K527" s="663"/>
      <c r="L527" s="663"/>
      <c r="M527" s="663"/>
      <c r="R527" s="663"/>
      <c r="S527" s="663"/>
      <c r="T527" s="663"/>
      <c r="U527" s="663"/>
      <c r="V527" s="663"/>
      <c r="W527" s="663"/>
      <c r="X527" s="663"/>
      <c r="Y527" s="663"/>
      <c r="Z527" s="663"/>
      <c r="AB527" s="663"/>
    </row>
    <row r="528">
      <c r="B528" s="663"/>
      <c r="C528" s="663"/>
      <c r="D528" s="663"/>
      <c r="E528" s="663"/>
      <c r="F528" s="663"/>
      <c r="G528" s="663"/>
      <c r="H528" s="663"/>
      <c r="I528" s="663"/>
      <c r="J528" s="663"/>
      <c r="K528" s="663"/>
      <c r="L528" s="663"/>
      <c r="M528" s="663"/>
      <c r="R528" s="663"/>
      <c r="S528" s="663"/>
      <c r="T528" s="663"/>
      <c r="U528" s="663"/>
      <c r="V528" s="663"/>
      <c r="W528" s="663"/>
      <c r="X528" s="663"/>
      <c r="Y528" s="663"/>
      <c r="Z528" s="663"/>
      <c r="AB528" s="663"/>
    </row>
    <row r="529">
      <c r="B529" s="663"/>
      <c r="C529" s="663"/>
      <c r="D529" s="663"/>
      <c r="E529" s="663"/>
      <c r="F529" s="663"/>
      <c r="G529" s="663"/>
      <c r="H529" s="663"/>
      <c r="I529" s="663"/>
      <c r="J529" s="663"/>
      <c r="K529" s="663"/>
      <c r="L529" s="663"/>
      <c r="M529" s="663"/>
      <c r="R529" s="663"/>
      <c r="S529" s="663"/>
      <c r="T529" s="663"/>
      <c r="U529" s="663"/>
      <c r="V529" s="663"/>
      <c r="W529" s="663"/>
      <c r="X529" s="663"/>
      <c r="Y529" s="663"/>
      <c r="Z529" s="663"/>
      <c r="AB529" s="663"/>
    </row>
    <row r="530">
      <c r="B530" s="663"/>
      <c r="C530" s="663"/>
      <c r="D530" s="663"/>
      <c r="E530" s="663"/>
      <c r="F530" s="663"/>
      <c r="G530" s="663"/>
      <c r="H530" s="663"/>
      <c r="I530" s="663"/>
      <c r="J530" s="663"/>
      <c r="K530" s="663"/>
      <c r="L530" s="663"/>
      <c r="M530" s="663"/>
      <c r="R530" s="663"/>
      <c r="S530" s="663"/>
      <c r="T530" s="663"/>
      <c r="U530" s="663"/>
      <c r="V530" s="663"/>
      <c r="W530" s="663"/>
      <c r="X530" s="663"/>
      <c r="Y530" s="663"/>
      <c r="Z530" s="663"/>
      <c r="AB530" s="663"/>
    </row>
    <row r="531">
      <c r="B531" s="663"/>
      <c r="C531" s="663"/>
      <c r="D531" s="663"/>
      <c r="E531" s="663"/>
      <c r="F531" s="663"/>
      <c r="G531" s="663"/>
      <c r="H531" s="663"/>
      <c r="I531" s="663"/>
      <c r="J531" s="663"/>
      <c r="K531" s="663"/>
      <c r="L531" s="663"/>
      <c r="M531" s="663"/>
      <c r="R531" s="663"/>
      <c r="S531" s="663"/>
      <c r="T531" s="663"/>
      <c r="U531" s="663"/>
      <c r="V531" s="663"/>
      <c r="W531" s="663"/>
      <c r="X531" s="663"/>
      <c r="Y531" s="663"/>
      <c r="Z531" s="663"/>
      <c r="AB531" s="663"/>
    </row>
    <row r="532">
      <c r="B532" s="663"/>
      <c r="C532" s="663"/>
      <c r="D532" s="663"/>
      <c r="E532" s="663"/>
      <c r="F532" s="663"/>
      <c r="G532" s="663"/>
      <c r="H532" s="663"/>
      <c r="I532" s="663"/>
      <c r="J532" s="663"/>
      <c r="K532" s="663"/>
      <c r="L532" s="663"/>
      <c r="M532" s="663"/>
      <c r="R532" s="663"/>
      <c r="S532" s="663"/>
      <c r="T532" s="663"/>
      <c r="U532" s="663"/>
      <c r="V532" s="663"/>
      <c r="W532" s="663"/>
      <c r="X532" s="663"/>
      <c r="Y532" s="663"/>
      <c r="Z532" s="663"/>
      <c r="AB532" s="663"/>
    </row>
    <row r="533"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B533" s="663"/>
    </row>
    <row r="534">
      <c r="B534" s="663"/>
      <c r="C534" s="663"/>
      <c r="D534" s="663"/>
      <c r="E534" s="663"/>
      <c r="F534" s="663"/>
      <c r="G534" s="663"/>
      <c r="H534" s="663"/>
      <c r="I534" s="663"/>
      <c r="J534" s="663"/>
      <c r="K534" s="663"/>
      <c r="L534" s="663"/>
      <c r="M534" s="663"/>
      <c r="R534" s="663"/>
      <c r="S534" s="663"/>
      <c r="T534" s="663"/>
      <c r="U534" s="663"/>
      <c r="V534" s="663"/>
      <c r="W534" s="663"/>
      <c r="X534" s="663"/>
      <c r="Y534" s="663"/>
      <c r="Z534" s="663"/>
      <c r="AB534" s="663"/>
    </row>
    <row r="535">
      <c r="B535" s="663"/>
      <c r="C535" s="663"/>
      <c r="D535" s="663"/>
      <c r="E535" s="663"/>
      <c r="F535" s="663"/>
      <c r="G535" s="663"/>
      <c r="H535" s="663"/>
      <c r="I535" s="663"/>
      <c r="J535" s="663"/>
      <c r="K535" s="663"/>
      <c r="L535" s="663"/>
      <c r="M535" s="663"/>
      <c r="R535" s="663"/>
      <c r="S535" s="663"/>
      <c r="T535" s="663"/>
      <c r="U535" s="663"/>
      <c r="V535" s="663"/>
      <c r="W535" s="663"/>
      <c r="X535" s="663"/>
      <c r="Y535" s="663"/>
      <c r="Z535" s="663"/>
      <c r="AB535" s="663"/>
    </row>
    <row r="536">
      <c r="B536" s="663"/>
      <c r="C536" s="663"/>
      <c r="D536" s="663"/>
      <c r="E536" s="663"/>
      <c r="F536" s="663"/>
      <c r="G536" s="663"/>
      <c r="H536" s="663"/>
      <c r="I536" s="663"/>
      <c r="J536" s="663"/>
      <c r="K536" s="663"/>
      <c r="L536" s="663"/>
      <c r="M536" s="663"/>
      <c r="R536" s="663"/>
      <c r="S536" s="663"/>
      <c r="T536" s="663"/>
      <c r="U536" s="663"/>
      <c r="V536" s="663"/>
      <c r="W536" s="663"/>
      <c r="X536" s="663"/>
      <c r="Y536" s="663"/>
      <c r="Z536" s="663"/>
      <c r="AB536" s="663"/>
    </row>
    <row r="537">
      <c r="B537" s="663"/>
      <c r="C537" s="663"/>
      <c r="D537" s="663"/>
      <c r="E537" s="663"/>
      <c r="F537" s="663"/>
      <c r="G537" s="663"/>
      <c r="H537" s="663"/>
      <c r="I537" s="663"/>
      <c r="J537" s="663"/>
      <c r="K537" s="663"/>
      <c r="L537" s="663"/>
      <c r="M537" s="663"/>
      <c r="R537" s="663"/>
      <c r="S537" s="663"/>
      <c r="T537" s="663"/>
      <c r="U537" s="663"/>
      <c r="V537" s="663"/>
      <c r="W537" s="663"/>
      <c r="X537" s="663"/>
      <c r="Y537" s="663"/>
      <c r="Z537" s="663"/>
      <c r="AB537" s="663"/>
    </row>
    <row r="538">
      <c r="B538" s="663"/>
      <c r="C538" s="663"/>
      <c r="D538" s="663"/>
      <c r="E538" s="663"/>
      <c r="F538" s="663"/>
      <c r="G538" s="663"/>
      <c r="H538" s="663"/>
      <c r="I538" s="663"/>
      <c r="J538" s="663"/>
      <c r="K538" s="663"/>
      <c r="L538" s="663"/>
      <c r="M538" s="663"/>
      <c r="R538" s="663"/>
      <c r="S538" s="663"/>
      <c r="T538" s="663"/>
      <c r="U538" s="663"/>
      <c r="V538" s="663"/>
      <c r="W538" s="663"/>
      <c r="X538" s="663"/>
      <c r="Y538" s="663"/>
      <c r="Z538" s="663"/>
      <c r="AB538" s="663"/>
    </row>
    <row r="539">
      <c r="B539" s="663"/>
      <c r="C539" s="663"/>
      <c r="D539" s="663"/>
      <c r="E539" s="663"/>
      <c r="F539" s="663"/>
      <c r="G539" s="663"/>
      <c r="H539" s="663"/>
      <c r="I539" s="663"/>
      <c r="J539" s="663"/>
      <c r="K539" s="663"/>
      <c r="L539" s="663"/>
      <c r="M539" s="663"/>
      <c r="R539" s="663"/>
      <c r="S539" s="663"/>
      <c r="T539" s="663"/>
      <c r="U539" s="663"/>
      <c r="V539" s="663"/>
      <c r="W539" s="663"/>
      <c r="X539" s="663"/>
      <c r="Y539" s="663"/>
      <c r="Z539" s="663"/>
      <c r="AB539" s="663"/>
    </row>
    <row r="540">
      <c r="B540" s="663"/>
      <c r="C540" s="663"/>
      <c r="D540" s="663"/>
      <c r="E540" s="663"/>
      <c r="F540" s="663"/>
      <c r="G540" s="663"/>
      <c r="H540" s="663"/>
      <c r="I540" s="663"/>
      <c r="J540" s="663"/>
      <c r="K540" s="663"/>
      <c r="L540" s="663"/>
      <c r="M540" s="663"/>
      <c r="R540" s="663"/>
      <c r="S540" s="663"/>
      <c r="T540" s="663"/>
      <c r="U540" s="663"/>
      <c r="V540" s="663"/>
      <c r="W540" s="663"/>
      <c r="X540" s="663"/>
      <c r="Y540" s="663"/>
      <c r="Z540" s="663"/>
      <c r="AB540" s="663"/>
    </row>
    <row r="541">
      <c r="B541" s="663"/>
      <c r="C541" s="663"/>
      <c r="D541" s="663"/>
      <c r="E541" s="663"/>
      <c r="F541" s="663"/>
      <c r="G541" s="663"/>
      <c r="H541" s="663"/>
      <c r="I541" s="663"/>
      <c r="J541" s="663"/>
      <c r="K541" s="663"/>
      <c r="L541" s="663"/>
      <c r="M541" s="663"/>
      <c r="R541" s="663"/>
      <c r="S541" s="663"/>
      <c r="T541" s="663"/>
      <c r="U541" s="663"/>
      <c r="V541" s="663"/>
      <c r="W541" s="663"/>
      <c r="X541" s="663"/>
      <c r="Y541" s="663"/>
      <c r="Z541" s="663"/>
      <c r="AB541" s="663"/>
    </row>
    <row r="542">
      <c r="B542" s="663"/>
      <c r="C542" s="663"/>
      <c r="D542" s="663"/>
      <c r="E542" s="663"/>
      <c r="F542" s="663"/>
      <c r="G542" s="663"/>
      <c r="H542" s="663"/>
      <c r="I542" s="663"/>
      <c r="J542" s="663"/>
      <c r="K542" s="663"/>
      <c r="L542" s="663"/>
      <c r="M542" s="663"/>
      <c r="R542" s="663"/>
      <c r="S542" s="663"/>
      <c r="T542" s="663"/>
      <c r="U542" s="663"/>
      <c r="V542" s="663"/>
      <c r="W542" s="663"/>
      <c r="X542" s="663"/>
      <c r="Y542" s="663"/>
      <c r="Z542" s="663"/>
      <c r="AB542" s="663"/>
    </row>
    <row r="543">
      <c r="B543" s="663"/>
      <c r="C543" s="663"/>
      <c r="D543" s="663"/>
      <c r="E543" s="663"/>
      <c r="F543" s="663"/>
      <c r="G543" s="663"/>
      <c r="H543" s="663"/>
      <c r="I543" s="663"/>
      <c r="J543" s="663"/>
      <c r="K543" s="663"/>
      <c r="L543" s="663"/>
      <c r="M543" s="663"/>
      <c r="R543" s="663"/>
      <c r="S543" s="663"/>
      <c r="T543" s="663"/>
      <c r="U543" s="663"/>
      <c r="V543" s="663"/>
      <c r="W543" s="663"/>
      <c r="X543" s="663"/>
      <c r="Y543" s="663"/>
      <c r="Z543" s="663"/>
      <c r="AB543" s="663"/>
    </row>
    <row r="544">
      <c r="B544" s="663"/>
      <c r="C544" s="663"/>
      <c r="D544" s="663"/>
      <c r="E544" s="663"/>
      <c r="F544" s="663"/>
      <c r="G544" s="663"/>
      <c r="H544" s="663"/>
      <c r="I544" s="663"/>
      <c r="J544" s="663"/>
      <c r="K544" s="663"/>
      <c r="L544" s="663"/>
      <c r="M544" s="663"/>
      <c r="R544" s="663"/>
      <c r="S544" s="663"/>
      <c r="T544" s="663"/>
      <c r="U544" s="663"/>
      <c r="V544" s="663"/>
      <c r="W544" s="663"/>
      <c r="X544" s="663"/>
      <c r="Y544" s="663"/>
      <c r="Z544" s="663"/>
      <c r="AB544" s="663"/>
    </row>
    <row r="545">
      <c r="B545" s="663"/>
      <c r="C545" s="663"/>
      <c r="D545" s="663"/>
      <c r="E545" s="663"/>
      <c r="F545" s="663"/>
      <c r="G545" s="663"/>
      <c r="H545" s="663"/>
      <c r="I545" s="663"/>
      <c r="J545" s="663"/>
      <c r="K545" s="663"/>
      <c r="L545" s="663"/>
      <c r="M545" s="663"/>
      <c r="R545" s="663"/>
      <c r="S545" s="663"/>
      <c r="T545" s="663"/>
      <c r="U545" s="663"/>
      <c r="V545" s="663"/>
      <c r="W545" s="663"/>
      <c r="X545" s="663"/>
      <c r="Y545" s="663"/>
      <c r="Z545" s="663"/>
      <c r="AB545" s="663"/>
    </row>
    <row r="546">
      <c r="B546" s="663"/>
      <c r="C546" s="663"/>
      <c r="D546" s="663"/>
      <c r="E546" s="663"/>
      <c r="F546" s="663"/>
      <c r="G546" s="663"/>
      <c r="H546" s="663"/>
      <c r="I546" s="663"/>
      <c r="J546" s="663"/>
      <c r="K546" s="663"/>
      <c r="L546" s="663"/>
      <c r="M546" s="663"/>
      <c r="R546" s="663"/>
      <c r="S546" s="663"/>
      <c r="T546" s="663"/>
      <c r="U546" s="663"/>
      <c r="V546" s="663"/>
      <c r="W546" s="663"/>
      <c r="X546" s="663"/>
      <c r="Y546" s="663"/>
      <c r="Z546" s="663"/>
      <c r="AB546" s="663"/>
    </row>
    <row r="547">
      <c r="B547" s="663"/>
      <c r="C547" s="663"/>
      <c r="D547" s="663"/>
      <c r="E547" s="663"/>
      <c r="F547" s="663"/>
      <c r="G547" s="663"/>
      <c r="H547" s="663"/>
      <c r="I547" s="663"/>
      <c r="J547" s="663"/>
      <c r="K547" s="663"/>
      <c r="L547" s="663"/>
      <c r="M547" s="663"/>
      <c r="R547" s="663"/>
      <c r="S547" s="663"/>
      <c r="T547" s="663"/>
      <c r="U547" s="663"/>
      <c r="V547" s="663"/>
      <c r="W547" s="663"/>
      <c r="X547" s="663"/>
      <c r="Y547" s="663"/>
      <c r="Z547" s="663"/>
      <c r="AB547" s="663"/>
    </row>
    <row r="548">
      <c r="B548" s="663"/>
      <c r="C548" s="663"/>
      <c r="D548" s="663"/>
      <c r="E548" s="663"/>
      <c r="F548" s="663"/>
      <c r="G548" s="663"/>
      <c r="H548" s="663"/>
      <c r="I548" s="663"/>
      <c r="J548" s="663"/>
      <c r="K548" s="663"/>
      <c r="L548" s="663"/>
      <c r="M548" s="663"/>
      <c r="R548" s="663"/>
      <c r="S548" s="663"/>
      <c r="T548" s="663"/>
      <c r="U548" s="663"/>
      <c r="V548" s="663"/>
      <c r="W548" s="663"/>
      <c r="X548" s="663"/>
      <c r="Y548" s="663"/>
      <c r="Z548" s="663"/>
      <c r="AB548" s="663"/>
    </row>
    <row r="549">
      <c r="B549" s="663"/>
      <c r="C549" s="663"/>
      <c r="D549" s="663"/>
      <c r="E549" s="663"/>
      <c r="F549" s="663"/>
      <c r="G549" s="663"/>
      <c r="H549" s="663"/>
      <c r="I549" s="663"/>
      <c r="J549" s="663"/>
      <c r="K549" s="663"/>
      <c r="L549" s="663"/>
      <c r="M549" s="663"/>
      <c r="R549" s="663"/>
      <c r="S549" s="663"/>
      <c r="T549" s="663"/>
      <c r="U549" s="663"/>
      <c r="V549" s="663"/>
      <c r="W549" s="663"/>
      <c r="X549" s="663"/>
      <c r="Y549" s="663"/>
      <c r="Z549" s="663"/>
      <c r="AB549" s="663"/>
    </row>
    <row r="550">
      <c r="B550" s="663"/>
      <c r="C550" s="663"/>
      <c r="D550" s="663"/>
      <c r="E550" s="663"/>
      <c r="F550" s="663"/>
      <c r="G550" s="663"/>
      <c r="H550" s="663"/>
      <c r="I550" s="663"/>
      <c r="J550" s="663"/>
      <c r="K550" s="663"/>
      <c r="L550" s="663"/>
      <c r="M550" s="663"/>
      <c r="R550" s="663"/>
      <c r="S550" s="663"/>
      <c r="T550" s="663"/>
      <c r="U550" s="663"/>
      <c r="V550" s="663"/>
      <c r="W550" s="663"/>
      <c r="X550" s="663"/>
      <c r="Y550" s="663"/>
      <c r="Z550" s="663"/>
      <c r="AB550" s="663"/>
    </row>
    <row r="551">
      <c r="B551" s="663"/>
      <c r="C551" s="663"/>
      <c r="D551" s="663"/>
      <c r="E551" s="663"/>
      <c r="F551" s="663"/>
      <c r="G551" s="663"/>
      <c r="H551" s="663"/>
      <c r="I551" s="663"/>
      <c r="J551" s="663"/>
      <c r="K551" s="663"/>
      <c r="L551" s="663"/>
      <c r="M551" s="663"/>
      <c r="R551" s="663"/>
      <c r="S551" s="663"/>
      <c r="T551" s="663"/>
      <c r="U551" s="663"/>
      <c r="V551" s="663"/>
      <c r="W551" s="663"/>
      <c r="X551" s="663"/>
      <c r="Y551" s="663"/>
      <c r="Z551" s="663"/>
      <c r="AB551" s="663"/>
    </row>
    <row r="552">
      <c r="B552" s="663"/>
      <c r="C552" s="663"/>
      <c r="D552" s="663"/>
      <c r="E552" s="663"/>
      <c r="F552" s="663"/>
      <c r="G552" s="663"/>
      <c r="H552" s="663"/>
      <c r="I552" s="663"/>
      <c r="J552" s="663"/>
      <c r="K552" s="663"/>
      <c r="L552" s="663"/>
      <c r="M552" s="663"/>
      <c r="R552" s="663"/>
      <c r="S552" s="663"/>
      <c r="T552" s="663"/>
      <c r="U552" s="663"/>
      <c r="V552" s="663"/>
      <c r="W552" s="663"/>
      <c r="X552" s="663"/>
      <c r="Y552" s="663"/>
      <c r="Z552" s="663"/>
      <c r="AB552" s="663"/>
    </row>
    <row r="553">
      <c r="B553" s="663"/>
      <c r="C553" s="663"/>
      <c r="D553" s="663"/>
      <c r="E553" s="663"/>
      <c r="F553" s="663"/>
      <c r="G553" s="663"/>
      <c r="H553" s="663"/>
      <c r="I553" s="663"/>
      <c r="J553" s="663"/>
      <c r="K553" s="663"/>
      <c r="L553" s="663"/>
      <c r="M553" s="663"/>
      <c r="R553" s="663"/>
      <c r="S553" s="663"/>
      <c r="T553" s="663"/>
      <c r="U553" s="663"/>
      <c r="V553" s="663"/>
      <c r="W553" s="663"/>
      <c r="X553" s="663"/>
      <c r="Y553" s="663"/>
      <c r="Z553" s="663"/>
      <c r="AB553" s="663"/>
    </row>
    <row r="554">
      <c r="B554" s="663"/>
      <c r="C554" s="663"/>
      <c r="D554" s="663"/>
      <c r="E554" s="663"/>
      <c r="F554" s="663"/>
      <c r="G554" s="663"/>
      <c r="H554" s="663"/>
      <c r="I554" s="663"/>
      <c r="J554" s="663"/>
      <c r="K554" s="663"/>
      <c r="L554" s="663"/>
      <c r="M554" s="663"/>
      <c r="R554" s="663"/>
      <c r="S554" s="663"/>
      <c r="T554" s="663"/>
      <c r="U554" s="663"/>
      <c r="V554" s="663"/>
      <c r="W554" s="663"/>
      <c r="X554" s="663"/>
      <c r="Y554" s="663"/>
      <c r="Z554" s="663"/>
      <c r="AB554" s="663"/>
    </row>
    <row r="555"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B555" s="663"/>
    </row>
    <row r="556">
      <c r="B556" s="663"/>
      <c r="C556" s="663"/>
      <c r="D556" s="663"/>
      <c r="E556" s="663"/>
      <c r="F556" s="663"/>
      <c r="G556" s="663"/>
      <c r="H556" s="663"/>
      <c r="I556" s="663"/>
      <c r="J556" s="663"/>
      <c r="K556" s="663"/>
      <c r="L556" s="663"/>
      <c r="M556" s="663"/>
      <c r="R556" s="663"/>
      <c r="S556" s="663"/>
      <c r="T556" s="663"/>
      <c r="U556" s="663"/>
      <c r="V556" s="663"/>
      <c r="W556" s="663"/>
      <c r="X556" s="663"/>
      <c r="Y556" s="663"/>
      <c r="Z556" s="663"/>
      <c r="AB556" s="663"/>
    </row>
    <row r="557">
      <c r="B557" s="663"/>
      <c r="C557" s="663"/>
      <c r="D557" s="663"/>
      <c r="E557" s="663"/>
      <c r="F557" s="663"/>
      <c r="G557" s="663"/>
      <c r="H557" s="663"/>
      <c r="I557" s="663"/>
      <c r="J557" s="663"/>
      <c r="K557" s="663"/>
      <c r="L557" s="663"/>
      <c r="M557" s="663"/>
      <c r="R557" s="663"/>
      <c r="S557" s="663"/>
      <c r="T557" s="663"/>
      <c r="U557" s="663"/>
      <c r="V557" s="663"/>
      <c r="W557" s="663"/>
      <c r="X557" s="663"/>
      <c r="Y557" s="663"/>
      <c r="Z557" s="663"/>
      <c r="AB557" s="663"/>
    </row>
    <row r="558">
      <c r="B558" s="663"/>
      <c r="C558" s="663"/>
      <c r="D558" s="663"/>
      <c r="E558" s="663"/>
      <c r="F558" s="663"/>
      <c r="G558" s="663"/>
      <c r="H558" s="663"/>
      <c r="I558" s="663"/>
      <c r="J558" s="663"/>
      <c r="K558" s="663"/>
      <c r="L558" s="663"/>
      <c r="M558" s="663"/>
      <c r="R558" s="663"/>
      <c r="S558" s="663"/>
      <c r="T558" s="663"/>
      <c r="U558" s="663"/>
      <c r="V558" s="663"/>
      <c r="W558" s="663"/>
      <c r="X558" s="663"/>
      <c r="Y558" s="663"/>
      <c r="Z558" s="663"/>
      <c r="AB558" s="663"/>
    </row>
    <row r="559">
      <c r="B559" s="663"/>
      <c r="C559" s="663"/>
      <c r="D559" s="663"/>
      <c r="E559" s="663"/>
      <c r="F559" s="663"/>
      <c r="G559" s="663"/>
      <c r="H559" s="663"/>
      <c r="I559" s="663"/>
      <c r="J559" s="663"/>
      <c r="K559" s="663"/>
      <c r="L559" s="663"/>
      <c r="M559" s="663"/>
      <c r="R559" s="663"/>
      <c r="S559" s="663"/>
      <c r="T559" s="663"/>
      <c r="U559" s="663"/>
      <c r="V559" s="663"/>
      <c r="W559" s="663"/>
      <c r="X559" s="663"/>
      <c r="Y559" s="663"/>
      <c r="Z559" s="663"/>
      <c r="AB559" s="663"/>
    </row>
    <row r="560">
      <c r="B560" s="663"/>
      <c r="C560" s="663"/>
      <c r="D560" s="663"/>
      <c r="E560" s="663"/>
      <c r="F560" s="663"/>
      <c r="G560" s="663"/>
      <c r="H560" s="663"/>
      <c r="I560" s="663"/>
      <c r="J560" s="663"/>
      <c r="K560" s="663"/>
      <c r="L560" s="663"/>
      <c r="M560" s="663"/>
      <c r="R560" s="663"/>
      <c r="S560" s="663"/>
      <c r="T560" s="663"/>
      <c r="U560" s="663"/>
      <c r="V560" s="663"/>
      <c r="W560" s="663"/>
      <c r="X560" s="663"/>
      <c r="Y560" s="663"/>
      <c r="Z560" s="663"/>
      <c r="AB560" s="663"/>
    </row>
    <row r="561">
      <c r="B561" s="663"/>
      <c r="C561" s="663"/>
      <c r="D561" s="663"/>
      <c r="E561" s="663"/>
      <c r="F561" s="663"/>
      <c r="G561" s="663"/>
      <c r="H561" s="663"/>
      <c r="I561" s="663"/>
      <c r="J561" s="663"/>
      <c r="K561" s="663"/>
      <c r="L561" s="663"/>
      <c r="M561" s="663"/>
      <c r="R561" s="663"/>
      <c r="S561" s="663"/>
      <c r="T561" s="663"/>
      <c r="U561" s="663"/>
      <c r="V561" s="663"/>
      <c r="W561" s="663"/>
      <c r="X561" s="663"/>
      <c r="Y561" s="663"/>
      <c r="Z561" s="663"/>
      <c r="AB561" s="663"/>
    </row>
    <row r="562">
      <c r="B562" s="663"/>
      <c r="C562" s="663"/>
      <c r="D562" s="663"/>
      <c r="E562" s="663"/>
      <c r="F562" s="663"/>
      <c r="G562" s="663"/>
      <c r="H562" s="663"/>
      <c r="I562" s="663"/>
      <c r="J562" s="663"/>
      <c r="K562" s="663"/>
      <c r="L562" s="663"/>
      <c r="M562" s="663"/>
      <c r="R562" s="663"/>
      <c r="S562" s="663"/>
      <c r="T562" s="663"/>
      <c r="U562" s="663"/>
      <c r="V562" s="663"/>
      <c r="W562" s="663"/>
      <c r="X562" s="663"/>
      <c r="Y562" s="663"/>
      <c r="Z562" s="663"/>
      <c r="AB562" s="663"/>
    </row>
    <row r="563">
      <c r="B563" s="663"/>
      <c r="C563" s="663"/>
      <c r="D563" s="663"/>
      <c r="E563" s="663"/>
      <c r="F563" s="663"/>
      <c r="G563" s="663"/>
      <c r="H563" s="663"/>
      <c r="I563" s="663"/>
      <c r="J563" s="663"/>
      <c r="K563" s="663"/>
      <c r="L563" s="663"/>
      <c r="M563" s="663"/>
      <c r="R563" s="663"/>
      <c r="S563" s="663"/>
      <c r="T563" s="663"/>
      <c r="U563" s="663"/>
      <c r="V563" s="663"/>
      <c r="W563" s="663"/>
      <c r="X563" s="663"/>
      <c r="Y563" s="663"/>
      <c r="Z563" s="663"/>
      <c r="AB563" s="663"/>
    </row>
    <row r="564">
      <c r="B564" s="663"/>
      <c r="C564" s="663"/>
      <c r="D564" s="663"/>
      <c r="E564" s="663"/>
      <c r="F564" s="663"/>
      <c r="G564" s="663"/>
      <c r="H564" s="663"/>
      <c r="I564" s="663"/>
      <c r="J564" s="663"/>
      <c r="K564" s="663"/>
      <c r="L564" s="663"/>
      <c r="M564" s="663"/>
      <c r="R564" s="663"/>
      <c r="S564" s="663"/>
      <c r="T564" s="663"/>
      <c r="U564" s="663"/>
      <c r="V564" s="663"/>
      <c r="W564" s="663"/>
      <c r="X564" s="663"/>
      <c r="Y564" s="663"/>
      <c r="Z564" s="663"/>
      <c r="AB564" s="663"/>
    </row>
    <row r="565">
      <c r="B565" s="663"/>
      <c r="C565" s="663"/>
      <c r="D565" s="663"/>
      <c r="E565" s="663"/>
      <c r="F565" s="663"/>
      <c r="G565" s="663"/>
      <c r="H565" s="663"/>
      <c r="I565" s="663"/>
      <c r="J565" s="663"/>
      <c r="K565" s="663"/>
      <c r="L565" s="663"/>
      <c r="M565" s="663"/>
      <c r="R565" s="663"/>
      <c r="S565" s="663"/>
      <c r="T565" s="663"/>
      <c r="U565" s="663"/>
      <c r="V565" s="663"/>
      <c r="W565" s="663"/>
      <c r="X565" s="663"/>
      <c r="Y565" s="663"/>
      <c r="Z565" s="663"/>
      <c r="AB565" s="663"/>
    </row>
    <row r="566">
      <c r="B566" s="663"/>
      <c r="C566" s="663"/>
      <c r="D566" s="663"/>
      <c r="E566" s="663"/>
      <c r="F566" s="663"/>
      <c r="G566" s="663"/>
      <c r="H566" s="663"/>
      <c r="I566" s="663"/>
      <c r="J566" s="663"/>
      <c r="K566" s="663"/>
      <c r="L566" s="663"/>
      <c r="M566" s="663"/>
      <c r="R566" s="663"/>
      <c r="S566" s="663"/>
      <c r="T566" s="663"/>
      <c r="U566" s="663"/>
      <c r="V566" s="663"/>
      <c r="W566" s="663"/>
      <c r="X566" s="663"/>
      <c r="Y566" s="663"/>
      <c r="Z566" s="663"/>
      <c r="AB566" s="663"/>
    </row>
    <row r="567">
      <c r="B567" s="663"/>
      <c r="C567" s="663"/>
      <c r="D567" s="663"/>
      <c r="E567" s="663"/>
      <c r="F567" s="663"/>
      <c r="G567" s="663"/>
      <c r="H567" s="663"/>
      <c r="I567" s="663"/>
      <c r="J567" s="663"/>
      <c r="K567" s="663"/>
      <c r="L567" s="663"/>
      <c r="M567" s="663"/>
      <c r="R567" s="663"/>
      <c r="S567" s="663"/>
      <c r="T567" s="663"/>
      <c r="U567" s="663"/>
      <c r="V567" s="663"/>
      <c r="W567" s="663"/>
      <c r="X567" s="663"/>
      <c r="Y567" s="663"/>
      <c r="Z567" s="663"/>
      <c r="AB567" s="663"/>
    </row>
    <row r="568">
      <c r="B568" s="663"/>
      <c r="C568" s="663"/>
      <c r="D568" s="663"/>
      <c r="E568" s="663"/>
      <c r="F568" s="663"/>
      <c r="G568" s="663"/>
      <c r="H568" s="663"/>
      <c r="I568" s="663"/>
      <c r="J568" s="663"/>
      <c r="K568" s="663"/>
      <c r="L568" s="663"/>
      <c r="M568" s="663"/>
      <c r="R568" s="663"/>
      <c r="S568" s="663"/>
      <c r="T568" s="663"/>
      <c r="U568" s="663"/>
      <c r="V568" s="663"/>
      <c r="W568" s="663"/>
      <c r="X568" s="663"/>
      <c r="Y568" s="663"/>
      <c r="Z568" s="663"/>
      <c r="AB568" s="663"/>
    </row>
    <row r="569">
      <c r="B569" s="663"/>
      <c r="C569" s="663"/>
      <c r="D569" s="663"/>
      <c r="E569" s="663"/>
      <c r="F569" s="663"/>
      <c r="G569" s="663"/>
      <c r="H569" s="663"/>
      <c r="I569" s="663"/>
      <c r="J569" s="663"/>
      <c r="K569" s="663"/>
      <c r="L569" s="663"/>
      <c r="M569" s="663"/>
      <c r="R569" s="663"/>
      <c r="S569" s="663"/>
      <c r="T569" s="663"/>
      <c r="U569" s="663"/>
      <c r="V569" s="663"/>
      <c r="W569" s="663"/>
      <c r="X569" s="663"/>
      <c r="Y569" s="663"/>
      <c r="Z569" s="663"/>
      <c r="AB569" s="663"/>
    </row>
    <row r="570">
      <c r="B570" s="663"/>
      <c r="C570" s="663"/>
      <c r="D570" s="663"/>
      <c r="E570" s="663"/>
      <c r="F570" s="663"/>
      <c r="G570" s="663"/>
      <c r="H570" s="663"/>
      <c r="I570" s="663"/>
      <c r="J570" s="663"/>
      <c r="K570" s="663"/>
      <c r="L570" s="663"/>
      <c r="M570" s="663"/>
      <c r="R570" s="663"/>
      <c r="S570" s="663"/>
      <c r="T570" s="663"/>
      <c r="U570" s="663"/>
      <c r="V570" s="663"/>
      <c r="W570" s="663"/>
      <c r="X570" s="663"/>
      <c r="Y570" s="663"/>
      <c r="Z570" s="663"/>
      <c r="AB570" s="663"/>
    </row>
    <row r="571">
      <c r="B571" s="663"/>
      <c r="C571" s="663"/>
      <c r="D571" s="663"/>
      <c r="E571" s="663"/>
      <c r="F571" s="663"/>
      <c r="G571" s="663"/>
      <c r="H571" s="663"/>
      <c r="I571" s="663"/>
      <c r="J571" s="663"/>
      <c r="K571" s="663"/>
      <c r="L571" s="663"/>
      <c r="M571" s="663"/>
      <c r="R571" s="663"/>
      <c r="S571" s="663"/>
      <c r="T571" s="663"/>
      <c r="U571" s="663"/>
      <c r="V571" s="663"/>
      <c r="W571" s="663"/>
      <c r="X571" s="663"/>
      <c r="Y571" s="663"/>
      <c r="Z571" s="663"/>
      <c r="AB571" s="663"/>
    </row>
    <row r="572">
      <c r="B572" s="663"/>
      <c r="C572" s="663"/>
      <c r="D572" s="663"/>
      <c r="E572" s="663"/>
      <c r="F572" s="663"/>
      <c r="G572" s="663"/>
      <c r="H572" s="663"/>
      <c r="I572" s="663"/>
      <c r="J572" s="663"/>
      <c r="K572" s="663"/>
      <c r="L572" s="663"/>
      <c r="M572" s="663"/>
      <c r="R572" s="663"/>
      <c r="S572" s="663"/>
      <c r="T572" s="663"/>
      <c r="U572" s="663"/>
      <c r="V572" s="663"/>
      <c r="W572" s="663"/>
      <c r="X572" s="663"/>
      <c r="Y572" s="663"/>
      <c r="Z572" s="663"/>
      <c r="AB572" s="663"/>
    </row>
    <row r="573">
      <c r="B573" s="663"/>
      <c r="C573" s="663"/>
      <c r="D573" s="663"/>
      <c r="E573" s="663"/>
      <c r="F573" s="663"/>
      <c r="G573" s="663"/>
      <c r="H573" s="663"/>
      <c r="I573" s="663"/>
      <c r="J573" s="663"/>
      <c r="K573" s="663"/>
      <c r="L573" s="663"/>
      <c r="M573" s="663"/>
      <c r="R573" s="663"/>
      <c r="S573" s="663"/>
      <c r="T573" s="663"/>
      <c r="U573" s="663"/>
      <c r="V573" s="663"/>
      <c r="W573" s="663"/>
      <c r="X573" s="663"/>
      <c r="Y573" s="663"/>
      <c r="Z573" s="663"/>
      <c r="AB573" s="663"/>
    </row>
    <row r="574">
      <c r="B574" s="663"/>
      <c r="C574" s="663"/>
      <c r="D574" s="663"/>
      <c r="E574" s="663"/>
      <c r="F574" s="663"/>
      <c r="G574" s="663"/>
      <c r="H574" s="663"/>
      <c r="I574" s="663"/>
      <c r="J574" s="663"/>
      <c r="K574" s="663"/>
      <c r="L574" s="663"/>
      <c r="M574" s="663"/>
      <c r="R574" s="663"/>
      <c r="S574" s="663"/>
      <c r="T574" s="663"/>
      <c r="U574" s="663"/>
      <c r="V574" s="663"/>
      <c r="W574" s="663"/>
      <c r="X574" s="663"/>
      <c r="Y574" s="663"/>
      <c r="Z574" s="663"/>
      <c r="AB574" s="663"/>
    </row>
    <row r="575">
      <c r="B575" s="663"/>
      <c r="C575" s="663"/>
      <c r="D575" s="663"/>
      <c r="E575" s="663"/>
      <c r="F575" s="663"/>
      <c r="G575" s="663"/>
      <c r="H575" s="663"/>
      <c r="I575" s="663"/>
      <c r="J575" s="663"/>
      <c r="K575" s="663"/>
      <c r="L575" s="663"/>
      <c r="M575" s="663"/>
      <c r="R575" s="663"/>
      <c r="S575" s="663"/>
      <c r="T575" s="663"/>
      <c r="U575" s="663"/>
      <c r="V575" s="663"/>
      <c r="W575" s="663"/>
      <c r="X575" s="663"/>
      <c r="Y575" s="663"/>
      <c r="Z575" s="663"/>
      <c r="AB575" s="663"/>
    </row>
    <row r="576">
      <c r="B576" s="663"/>
      <c r="C576" s="663"/>
      <c r="D576" s="663"/>
      <c r="E576" s="663"/>
      <c r="F576" s="663"/>
      <c r="G576" s="663"/>
      <c r="H576" s="663"/>
      <c r="I576" s="663"/>
      <c r="J576" s="663"/>
      <c r="K576" s="663"/>
      <c r="L576" s="663"/>
      <c r="M576" s="663"/>
      <c r="R576" s="663"/>
      <c r="S576" s="663"/>
      <c r="T576" s="663"/>
      <c r="U576" s="663"/>
      <c r="V576" s="663"/>
      <c r="W576" s="663"/>
      <c r="X576" s="663"/>
      <c r="Y576" s="663"/>
      <c r="Z576" s="663"/>
      <c r="AB576" s="663"/>
    </row>
    <row r="577">
      <c r="B577" s="663"/>
      <c r="C577" s="663"/>
      <c r="D577" s="663"/>
      <c r="E577" s="663"/>
      <c r="F577" s="663"/>
      <c r="G577" s="663"/>
      <c r="H577" s="663"/>
      <c r="I577" s="663"/>
      <c r="J577" s="663"/>
      <c r="K577" s="663"/>
      <c r="L577" s="663"/>
      <c r="M577" s="663"/>
      <c r="R577" s="663"/>
      <c r="S577" s="663"/>
      <c r="T577" s="663"/>
      <c r="U577" s="663"/>
      <c r="V577" s="663"/>
      <c r="W577" s="663"/>
      <c r="X577" s="663"/>
      <c r="Y577" s="663"/>
      <c r="Z577" s="663"/>
      <c r="AB577" s="663"/>
    </row>
    <row r="578">
      <c r="B578" s="663"/>
      <c r="C578" s="663"/>
      <c r="D578" s="663"/>
      <c r="E578" s="663"/>
      <c r="F578" s="663"/>
      <c r="G578" s="663"/>
      <c r="H578" s="663"/>
      <c r="I578" s="663"/>
      <c r="J578" s="663"/>
      <c r="K578" s="663"/>
      <c r="L578" s="663"/>
      <c r="M578" s="663"/>
      <c r="R578" s="663"/>
      <c r="S578" s="663"/>
      <c r="T578" s="663"/>
      <c r="U578" s="663"/>
      <c r="V578" s="663"/>
      <c r="W578" s="663"/>
      <c r="X578" s="663"/>
      <c r="Y578" s="663"/>
      <c r="Z578" s="663"/>
      <c r="AB578" s="663"/>
    </row>
    <row r="579">
      <c r="B579" s="663"/>
      <c r="C579" s="663"/>
      <c r="D579" s="663"/>
      <c r="E579" s="663"/>
      <c r="F579" s="663"/>
      <c r="G579" s="663"/>
      <c r="H579" s="663"/>
      <c r="I579" s="663"/>
      <c r="J579" s="663"/>
      <c r="K579" s="663"/>
      <c r="L579" s="663"/>
      <c r="M579" s="663"/>
      <c r="R579" s="663"/>
      <c r="S579" s="663"/>
      <c r="T579" s="663"/>
      <c r="U579" s="663"/>
      <c r="V579" s="663"/>
      <c r="W579" s="663"/>
      <c r="X579" s="663"/>
      <c r="Y579" s="663"/>
      <c r="Z579" s="663"/>
      <c r="AB579" s="663"/>
    </row>
    <row r="580">
      <c r="B580" s="663"/>
      <c r="C580" s="663"/>
      <c r="D580" s="663"/>
      <c r="E580" s="663"/>
      <c r="F580" s="663"/>
      <c r="G580" s="663"/>
      <c r="H580" s="663"/>
      <c r="I580" s="663"/>
      <c r="J580" s="663"/>
      <c r="K580" s="663"/>
      <c r="L580" s="663"/>
      <c r="M580" s="663"/>
      <c r="R580" s="663"/>
      <c r="S580" s="663"/>
      <c r="T580" s="663"/>
      <c r="U580" s="663"/>
      <c r="V580" s="663"/>
      <c r="W580" s="663"/>
      <c r="X580" s="663"/>
      <c r="Y580" s="663"/>
      <c r="Z580" s="663"/>
      <c r="AB580" s="663"/>
    </row>
    <row r="581">
      <c r="B581" s="663"/>
      <c r="C581" s="663"/>
      <c r="D581" s="663"/>
      <c r="E581" s="663"/>
      <c r="F581" s="663"/>
      <c r="G581" s="663"/>
      <c r="H581" s="663"/>
      <c r="I581" s="663"/>
      <c r="J581" s="663"/>
      <c r="K581" s="663"/>
      <c r="L581" s="663"/>
      <c r="M581" s="663"/>
      <c r="R581" s="663"/>
      <c r="S581" s="663"/>
      <c r="T581" s="663"/>
      <c r="U581" s="663"/>
      <c r="V581" s="663"/>
      <c r="W581" s="663"/>
      <c r="X581" s="663"/>
      <c r="Y581" s="663"/>
      <c r="Z581" s="663"/>
      <c r="AB581" s="663"/>
    </row>
    <row r="582">
      <c r="B582" s="663"/>
      <c r="C582" s="663"/>
      <c r="D582" s="663"/>
      <c r="E582" s="663"/>
      <c r="F582" s="663"/>
      <c r="G582" s="663"/>
      <c r="H582" s="663"/>
      <c r="I582" s="663"/>
      <c r="J582" s="663"/>
      <c r="K582" s="663"/>
      <c r="L582" s="663"/>
      <c r="M582" s="663"/>
      <c r="R582" s="663"/>
      <c r="S582" s="663"/>
      <c r="T582" s="663"/>
      <c r="U582" s="663"/>
      <c r="V582" s="663"/>
      <c r="W582" s="663"/>
      <c r="X582" s="663"/>
      <c r="Y582" s="663"/>
      <c r="Z582" s="663"/>
      <c r="AB582" s="663"/>
    </row>
    <row r="583">
      <c r="B583" s="663"/>
      <c r="C583" s="663"/>
      <c r="D583" s="663"/>
      <c r="E583" s="663"/>
      <c r="F583" s="663"/>
      <c r="G583" s="663"/>
      <c r="H583" s="663"/>
      <c r="I583" s="663"/>
      <c r="J583" s="663"/>
      <c r="K583" s="663"/>
      <c r="L583" s="663"/>
      <c r="M583" s="663"/>
      <c r="R583" s="663"/>
      <c r="S583" s="663"/>
      <c r="T583" s="663"/>
      <c r="U583" s="663"/>
      <c r="V583" s="663"/>
      <c r="W583" s="663"/>
      <c r="X583" s="663"/>
      <c r="Y583" s="663"/>
      <c r="Z583" s="663"/>
      <c r="AB583" s="663"/>
    </row>
    <row r="584">
      <c r="B584" s="663"/>
      <c r="C584" s="663"/>
      <c r="D584" s="663"/>
      <c r="E584" s="663"/>
      <c r="F584" s="663"/>
      <c r="G584" s="663"/>
      <c r="H584" s="663"/>
      <c r="I584" s="663"/>
      <c r="J584" s="663"/>
      <c r="K584" s="663"/>
      <c r="L584" s="663"/>
      <c r="M584" s="663"/>
      <c r="R584" s="663"/>
      <c r="S584" s="663"/>
      <c r="T584" s="663"/>
      <c r="U584" s="663"/>
      <c r="V584" s="663"/>
      <c r="W584" s="663"/>
      <c r="X584" s="663"/>
      <c r="Y584" s="663"/>
      <c r="Z584" s="663"/>
      <c r="AB584" s="663"/>
    </row>
    <row r="585">
      <c r="B585" s="663"/>
      <c r="C585" s="663"/>
      <c r="D585" s="663"/>
      <c r="E585" s="663"/>
      <c r="F585" s="663"/>
      <c r="G585" s="663"/>
      <c r="H585" s="663"/>
      <c r="I585" s="663"/>
      <c r="J585" s="663"/>
      <c r="K585" s="663"/>
      <c r="L585" s="663"/>
      <c r="M585" s="663"/>
      <c r="R585" s="663"/>
      <c r="S585" s="663"/>
      <c r="T585" s="663"/>
      <c r="U585" s="663"/>
      <c r="V585" s="663"/>
      <c r="W585" s="663"/>
      <c r="X585" s="663"/>
      <c r="Y585" s="663"/>
      <c r="Z585" s="663"/>
      <c r="AB585" s="663"/>
    </row>
    <row r="586">
      <c r="B586" s="663"/>
      <c r="C586" s="663"/>
      <c r="D586" s="663"/>
      <c r="E586" s="663"/>
      <c r="F586" s="663"/>
      <c r="G586" s="663"/>
      <c r="H586" s="663"/>
      <c r="I586" s="663"/>
      <c r="J586" s="663"/>
      <c r="K586" s="663"/>
      <c r="L586" s="663"/>
      <c r="M586" s="663"/>
      <c r="R586" s="663"/>
      <c r="S586" s="663"/>
      <c r="T586" s="663"/>
      <c r="U586" s="663"/>
      <c r="V586" s="663"/>
      <c r="W586" s="663"/>
      <c r="X586" s="663"/>
      <c r="Y586" s="663"/>
      <c r="Z586" s="663"/>
      <c r="AB586" s="663"/>
    </row>
    <row r="587">
      <c r="B587" s="663"/>
      <c r="C587" s="663"/>
      <c r="D587" s="663"/>
      <c r="E587" s="663"/>
      <c r="F587" s="663"/>
      <c r="G587" s="663"/>
      <c r="H587" s="663"/>
      <c r="I587" s="663"/>
      <c r="J587" s="663"/>
      <c r="K587" s="663"/>
      <c r="L587" s="663"/>
      <c r="M587" s="663"/>
      <c r="R587" s="663"/>
      <c r="S587" s="663"/>
      <c r="T587" s="663"/>
      <c r="U587" s="663"/>
      <c r="V587" s="663"/>
      <c r="W587" s="663"/>
      <c r="X587" s="663"/>
      <c r="Y587" s="663"/>
      <c r="Z587" s="663"/>
      <c r="AB587" s="663"/>
    </row>
    <row r="588">
      <c r="B588" s="663"/>
      <c r="C588" s="663"/>
      <c r="D588" s="663"/>
      <c r="E588" s="663"/>
      <c r="F588" s="663"/>
      <c r="G588" s="663"/>
      <c r="H588" s="663"/>
      <c r="I588" s="663"/>
      <c r="J588" s="663"/>
      <c r="K588" s="663"/>
      <c r="L588" s="663"/>
      <c r="M588" s="663"/>
      <c r="R588" s="663"/>
      <c r="S588" s="663"/>
      <c r="T588" s="663"/>
      <c r="U588" s="663"/>
      <c r="V588" s="663"/>
      <c r="W588" s="663"/>
      <c r="X588" s="663"/>
      <c r="Y588" s="663"/>
      <c r="Z588" s="663"/>
      <c r="AB588" s="663"/>
    </row>
    <row r="589">
      <c r="B589" s="663"/>
      <c r="C589" s="663"/>
      <c r="D589" s="663"/>
      <c r="E589" s="663"/>
      <c r="F589" s="663"/>
      <c r="G589" s="663"/>
      <c r="H589" s="663"/>
      <c r="I589" s="663"/>
      <c r="J589" s="663"/>
      <c r="K589" s="663"/>
      <c r="L589" s="663"/>
      <c r="M589" s="663"/>
      <c r="R589" s="663"/>
      <c r="S589" s="663"/>
      <c r="T589" s="663"/>
      <c r="U589" s="663"/>
      <c r="V589" s="663"/>
      <c r="W589" s="663"/>
      <c r="X589" s="663"/>
      <c r="Y589" s="663"/>
      <c r="Z589" s="663"/>
      <c r="AB589" s="663"/>
    </row>
    <row r="590">
      <c r="B590" s="663"/>
      <c r="C590" s="663"/>
      <c r="D590" s="663"/>
      <c r="E590" s="663"/>
      <c r="F590" s="663"/>
      <c r="G590" s="663"/>
      <c r="H590" s="663"/>
      <c r="I590" s="663"/>
      <c r="J590" s="663"/>
      <c r="K590" s="663"/>
      <c r="L590" s="663"/>
      <c r="M590" s="663"/>
      <c r="R590" s="663"/>
      <c r="S590" s="663"/>
      <c r="T590" s="663"/>
      <c r="U590" s="663"/>
      <c r="V590" s="663"/>
      <c r="W590" s="663"/>
      <c r="X590" s="663"/>
      <c r="Y590" s="663"/>
      <c r="Z590" s="663"/>
      <c r="AB590" s="663"/>
    </row>
    <row r="591">
      <c r="B591" s="663"/>
      <c r="C591" s="663"/>
      <c r="D591" s="663"/>
      <c r="E591" s="663"/>
      <c r="F591" s="663"/>
      <c r="G591" s="663"/>
      <c r="H591" s="663"/>
      <c r="I591" s="663"/>
      <c r="J591" s="663"/>
      <c r="K591" s="663"/>
      <c r="L591" s="663"/>
      <c r="M591" s="663"/>
      <c r="R591" s="663"/>
      <c r="S591" s="663"/>
      <c r="T591" s="663"/>
      <c r="U591" s="663"/>
      <c r="V591" s="663"/>
      <c r="W591" s="663"/>
      <c r="X591" s="663"/>
      <c r="Y591" s="663"/>
      <c r="Z591" s="663"/>
      <c r="AB591" s="663"/>
    </row>
    <row r="592">
      <c r="B592" s="663"/>
      <c r="C592" s="663"/>
      <c r="D592" s="663"/>
      <c r="E592" s="663"/>
      <c r="F592" s="663"/>
      <c r="G592" s="663"/>
      <c r="H592" s="663"/>
      <c r="I592" s="663"/>
      <c r="J592" s="663"/>
      <c r="K592" s="663"/>
      <c r="L592" s="663"/>
      <c r="M592" s="663"/>
      <c r="R592" s="663"/>
      <c r="S592" s="663"/>
      <c r="T592" s="663"/>
      <c r="U592" s="663"/>
      <c r="V592" s="663"/>
      <c r="W592" s="663"/>
      <c r="X592" s="663"/>
      <c r="Y592" s="663"/>
      <c r="Z592" s="663"/>
      <c r="AB592" s="663"/>
    </row>
    <row r="593">
      <c r="B593" s="663"/>
      <c r="C593" s="663"/>
      <c r="D593" s="663"/>
      <c r="E593" s="663"/>
      <c r="F593" s="663"/>
      <c r="G593" s="663"/>
      <c r="H593" s="663"/>
      <c r="I593" s="663"/>
      <c r="J593" s="663"/>
      <c r="K593" s="663"/>
      <c r="L593" s="663"/>
      <c r="M593" s="663"/>
      <c r="R593" s="663"/>
      <c r="S593" s="663"/>
      <c r="T593" s="663"/>
      <c r="U593" s="663"/>
      <c r="V593" s="663"/>
      <c r="W593" s="663"/>
      <c r="X593" s="663"/>
      <c r="Y593" s="663"/>
      <c r="Z593" s="663"/>
      <c r="AB593" s="663"/>
    </row>
    <row r="594">
      <c r="B594" s="663"/>
      <c r="C594" s="663"/>
      <c r="D594" s="663"/>
      <c r="E594" s="663"/>
      <c r="F594" s="663"/>
      <c r="G594" s="663"/>
      <c r="H594" s="663"/>
      <c r="I594" s="663"/>
      <c r="J594" s="663"/>
      <c r="K594" s="663"/>
      <c r="L594" s="663"/>
      <c r="M594" s="663"/>
      <c r="R594" s="663"/>
      <c r="S594" s="663"/>
      <c r="T594" s="663"/>
      <c r="U594" s="663"/>
      <c r="V594" s="663"/>
      <c r="W594" s="663"/>
      <c r="X594" s="663"/>
      <c r="Y594" s="663"/>
      <c r="Z594" s="663"/>
      <c r="AB594" s="663"/>
    </row>
    <row r="595">
      <c r="B595" s="663"/>
      <c r="C595" s="663"/>
      <c r="D595" s="663"/>
      <c r="E595" s="663"/>
      <c r="F595" s="663"/>
      <c r="G595" s="663"/>
      <c r="H595" s="663"/>
      <c r="I595" s="663"/>
      <c r="J595" s="663"/>
      <c r="K595" s="663"/>
      <c r="L595" s="663"/>
      <c r="M595" s="663"/>
      <c r="R595" s="663"/>
      <c r="S595" s="663"/>
      <c r="T595" s="663"/>
      <c r="U595" s="663"/>
      <c r="V595" s="663"/>
      <c r="W595" s="663"/>
      <c r="X595" s="663"/>
      <c r="Y595" s="663"/>
      <c r="Z595" s="663"/>
      <c r="AB595" s="663"/>
    </row>
    <row r="596">
      <c r="B596" s="663"/>
      <c r="C596" s="663"/>
      <c r="D596" s="663"/>
      <c r="E596" s="663"/>
      <c r="F596" s="663"/>
      <c r="G596" s="663"/>
      <c r="H596" s="663"/>
      <c r="I596" s="663"/>
      <c r="J596" s="663"/>
      <c r="K596" s="663"/>
      <c r="L596" s="663"/>
      <c r="M596" s="663"/>
      <c r="R596" s="663"/>
      <c r="S596" s="663"/>
      <c r="T596" s="663"/>
      <c r="U596" s="663"/>
      <c r="V596" s="663"/>
      <c r="W596" s="663"/>
      <c r="X596" s="663"/>
      <c r="Y596" s="663"/>
      <c r="Z596" s="663"/>
      <c r="AB596" s="663"/>
    </row>
    <row r="597">
      <c r="B597" s="663"/>
      <c r="C597" s="663"/>
      <c r="D597" s="663"/>
      <c r="E597" s="663"/>
      <c r="F597" s="663"/>
      <c r="G597" s="663"/>
      <c r="H597" s="663"/>
      <c r="I597" s="663"/>
      <c r="J597" s="663"/>
      <c r="K597" s="663"/>
      <c r="L597" s="663"/>
      <c r="M597" s="663"/>
      <c r="R597" s="663"/>
      <c r="S597" s="663"/>
      <c r="T597" s="663"/>
      <c r="U597" s="663"/>
      <c r="V597" s="663"/>
      <c r="W597" s="663"/>
      <c r="X597" s="663"/>
      <c r="Y597" s="663"/>
      <c r="Z597" s="663"/>
      <c r="AB597" s="663"/>
    </row>
    <row r="598">
      <c r="B598" s="663"/>
      <c r="C598" s="663"/>
      <c r="D598" s="663"/>
      <c r="E598" s="663"/>
      <c r="F598" s="663"/>
      <c r="G598" s="663"/>
      <c r="H598" s="663"/>
      <c r="I598" s="663"/>
      <c r="J598" s="663"/>
      <c r="K598" s="663"/>
      <c r="L598" s="663"/>
      <c r="M598" s="663"/>
      <c r="R598" s="663"/>
      <c r="S598" s="663"/>
      <c r="T598" s="663"/>
      <c r="U598" s="663"/>
      <c r="V598" s="663"/>
      <c r="W598" s="663"/>
      <c r="X598" s="663"/>
      <c r="Y598" s="663"/>
      <c r="Z598" s="663"/>
      <c r="AB598" s="663"/>
    </row>
    <row r="599">
      <c r="B599" s="663"/>
      <c r="C599" s="663"/>
      <c r="D599" s="663"/>
      <c r="E599" s="663"/>
      <c r="F599" s="663"/>
      <c r="G599" s="663"/>
      <c r="H599" s="663"/>
      <c r="I599" s="663"/>
      <c r="J599" s="663"/>
      <c r="K599" s="663"/>
      <c r="L599" s="663"/>
      <c r="M599" s="663"/>
      <c r="R599" s="663"/>
      <c r="S599" s="663"/>
      <c r="T599" s="663"/>
      <c r="U599" s="663"/>
      <c r="V599" s="663"/>
      <c r="W599" s="663"/>
      <c r="X599" s="663"/>
      <c r="Y599" s="663"/>
      <c r="Z599" s="663"/>
      <c r="AB599" s="663"/>
    </row>
    <row r="600">
      <c r="B600" s="663"/>
      <c r="C600" s="663"/>
      <c r="D600" s="663"/>
      <c r="E600" s="663"/>
      <c r="F600" s="663"/>
      <c r="G600" s="663"/>
      <c r="H600" s="663"/>
      <c r="I600" s="663"/>
      <c r="J600" s="663"/>
      <c r="K600" s="663"/>
      <c r="L600" s="663"/>
      <c r="M600" s="663"/>
      <c r="R600" s="663"/>
      <c r="S600" s="663"/>
      <c r="T600" s="663"/>
      <c r="U600" s="663"/>
      <c r="V600" s="663"/>
      <c r="W600" s="663"/>
      <c r="X600" s="663"/>
      <c r="Y600" s="663"/>
      <c r="Z600" s="663"/>
      <c r="AB600" s="663"/>
    </row>
    <row r="601">
      <c r="B601" s="663"/>
      <c r="C601" s="663"/>
      <c r="D601" s="663"/>
      <c r="E601" s="663"/>
      <c r="F601" s="663"/>
      <c r="G601" s="663"/>
      <c r="H601" s="663"/>
      <c r="I601" s="663"/>
      <c r="J601" s="663"/>
      <c r="K601" s="663"/>
      <c r="L601" s="663"/>
      <c r="M601" s="663"/>
      <c r="R601" s="663"/>
      <c r="S601" s="663"/>
      <c r="T601" s="663"/>
      <c r="U601" s="663"/>
      <c r="V601" s="663"/>
      <c r="W601" s="663"/>
      <c r="X601" s="663"/>
      <c r="Y601" s="663"/>
      <c r="Z601" s="663"/>
      <c r="AB601" s="663"/>
    </row>
    <row r="602">
      <c r="B602" s="663"/>
      <c r="C602" s="663"/>
      <c r="D602" s="663"/>
      <c r="E602" s="663"/>
      <c r="F602" s="663"/>
      <c r="G602" s="663"/>
      <c r="H602" s="663"/>
      <c r="I602" s="663"/>
      <c r="J602" s="663"/>
      <c r="K602" s="663"/>
      <c r="L602" s="663"/>
      <c r="M602" s="663"/>
      <c r="R602" s="663"/>
      <c r="S602" s="663"/>
      <c r="T602" s="663"/>
      <c r="U602" s="663"/>
      <c r="V602" s="663"/>
      <c r="W602" s="663"/>
      <c r="X602" s="663"/>
      <c r="Y602" s="663"/>
      <c r="Z602" s="663"/>
      <c r="AB602" s="663"/>
    </row>
    <row r="603">
      <c r="B603" s="663"/>
      <c r="C603" s="663"/>
      <c r="D603" s="663"/>
      <c r="E603" s="663"/>
      <c r="F603" s="663"/>
      <c r="G603" s="663"/>
      <c r="H603" s="663"/>
      <c r="I603" s="663"/>
      <c r="J603" s="663"/>
      <c r="K603" s="663"/>
      <c r="L603" s="663"/>
      <c r="M603" s="663"/>
      <c r="R603" s="663"/>
      <c r="S603" s="663"/>
      <c r="T603" s="663"/>
      <c r="U603" s="663"/>
      <c r="V603" s="663"/>
      <c r="W603" s="663"/>
      <c r="X603" s="663"/>
      <c r="Y603" s="663"/>
      <c r="Z603" s="663"/>
      <c r="AB603" s="663"/>
    </row>
    <row r="604">
      <c r="B604" s="663"/>
      <c r="C604" s="663"/>
      <c r="D604" s="663"/>
      <c r="E604" s="663"/>
      <c r="F604" s="663"/>
      <c r="G604" s="663"/>
      <c r="H604" s="663"/>
      <c r="I604" s="663"/>
      <c r="J604" s="663"/>
      <c r="K604" s="663"/>
      <c r="L604" s="663"/>
      <c r="M604" s="663"/>
      <c r="R604" s="663"/>
      <c r="S604" s="663"/>
      <c r="T604" s="663"/>
      <c r="U604" s="663"/>
      <c r="V604" s="663"/>
      <c r="W604" s="663"/>
      <c r="X604" s="663"/>
      <c r="Y604" s="663"/>
      <c r="Z604" s="663"/>
      <c r="AB604" s="663"/>
    </row>
    <row r="605">
      <c r="B605" s="663"/>
      <c r="C605" s="663"/>
      <c r="D605" s="663"/>
      <c r="E605" s="663"/>
      <c r="F605" s="663"/>
      <c r="G605" s="663"/>
      <c r="H605" s="663"/>
      <c r="I605" s="663"/>
      <c r="J605" s="663"/>
      <c r="K605" s="663"/>
      <c r="L605" s="663"/>
      <c r="M605" s="663"/>
      <c r="R605" s="663"/>
      <c r="S605" s="663"/>
      <c r="T605" s="663"/>
      <c r="U605" s="663"/>
      <c r="V605" s="663"/>
      <c r="W605" s="663"/>
      <c r="X605" s="663"/>
      <c r="Y605" s="663"/>
      <c r="Z605" s="663"/>
      <c r="AB605" s="663"/>
    </row>
    <row r="606">
      <c r="B606" s="663"/>
      <c r="C606" s="663"/>
      <c r="D606" s="663"/>
      <c r="E606" s="663"/>
      <c r="F606" s="663"/>
      <c r="G606" s="663"/>
      <c r="H606" s="663"/>
      <c r="I606" s="663"/>
      <c r="J606" s="663"/>
      <c r="K606" s="663"/>
      <c r="L606" s="663"/>
      <c r="M606" s="663"/>
      <c r="R606" s="663"/>
      <c r="S606" s="663"/>
      <c r="T606" s="663"/>
      <c r="U606" s="663"/>
      <c r="V606" s="663"/>
      <c r="W606" s="663"/>
      <c r="X606" s="663"/>
      <c r="Y606" s="663"/>
      <c r="Z606" s="663"/>
      <c r="AB606" s="663"/>
    </row>
    <row r="607">
      <c r="B607" s="663"/>
      <c r="C607" s="663"/>
      <c r="D607" s="663"/>
      <c r="E607" s="663"/>
      <c r="F607" s="663"/>
      <c r="G607" s="663"/>
      <c r="H607" s="663"/>
      <c r="I607" s="663"/>
      <c r="J607" s="663"/>
      <c r="K607" s="663"/>
      <c r="L607" s="663"/>
      <c r="M607" s="663"/>
      <c r="R607" s="663"/>
      <c r="S607" s="663"/>
      <c r="T607" s="663"/>
      <c r="U607" s="663"/>
      <c r="V607" s="663"/>
      <c r="W607" s="663"/>
      <c r="X607" s="663"/>
      <c r="Y607" s="663"/>
      <c r="Z607" s="663"/>
      <c r="AB607" s="663"/>
    </row>
    <row r="608">
      <c r="B608" s="663"/>
      <c r="C608" s="663"/>
      <c r="D608" s="663"/>
      <c r="E608" s="663"/>
      <c r="F608" s="663"/>
      <c r="G608" s="663"/>
      <c r="H608" s="663"/>
      <c r="I608" s="663"/>
      <c r="J608" s="663"/>
      <c r="K608" s="663"/>
      <c r="L608" s="663"/>
      <c r="M608" s="663"/>
      <c r="R608" s="663"/>
      <c r="S608" s="663"/>
      <c r="T608" s="663"/>
      <c r="U608" s="663"/>
      <c r="V608" s="663"/>
      <c r="W608" s="663"/>
      <c r="X608" s="663"/>
      <c r="Y608" s="663"/>
      <c r="Z608" s="663"/>
      <c r="AB608" s="663"/>
    </row>
    <row r="609">
      <c r="B609" s="663"/>
      <c r="C609" s="663"/>
      <c r="D609" s="663"/>
      <c r="E609" s="663"/>
      <c r="F609" s="663"/>
      <c r="G609" s="663"/>
      <c r="H609" s="663"/>
      <c r="I609" s="663"/>
      <c r="J609" s="663"/>
      <c r="K609" s="663"/>
      <c r="L609" s="663"/>
      <c r="M609" s="663"/>
      <c r="R609" s="663"/>
      <c r="S609" s="663"/>
      <c r="T609" s="663"/>
      <c r="U609" s="663"/>
      <c r="V609" s="663"/>
      <c r="W609" s="663"/>
      <c r="X609" s="663"/>
      <c r="Y609" s="663"/>
      <c r="Z609" s="663"/>
      <c r="AB609" s="663"/>
    </row>
    <row r="610">
      <c r="B610" s="663"/>
      <c r="C610" s="663"/>
      <c r="D610" s="663"/>
      <c r="E610" s="663"/>
      <c r="F610" s="663"/>
      <c r="G610" s="663"/>
      <c r="H610" s="663"/>
      <c r="I610" s="663"/>
      <c r="J610" s="663"/>
      <c r="K610" s="663"/>
      <c r="L610" s="663"/>
      <c r="M610" s="663"/>
      <c r="R610" s="663"/>
      <c r="S610" s="663"/>
      <c r="T610" s="663"/>
      <c r="U610" s="663"/>
      <c r="V610" s="663"/>
      <c r="W610" s="663"/>
      <c r="X610" s="663"/>
      <c r="Y610" s="663"/>
      <c r="Z610" s="663"/>
      <c r="AB610" s="663"/>
    </row>
    <row r="611">
      <c r="B611" s="663"/>
      <c r="C611" s="663"/>
      <c r="D611" s="663"/>
      <c r="E611" s="663"/>
      <c r="F611" s="663"/>
      <c r="G611" s="663"/>
      <c r="H611" s="663"/>
      <c r="I611" s="663"/>
      <c r="J611" s="663"/>
      <c r="K611" s="663"/>
      <c r="L611" s="663"/>
      <c r="M611" s="663"/>
      <c r="R611" s="663"/>
      <c r="S611" s="663"/>
      <c r="T611" s="663"/>
      <c r="U611" s="663"/>
      <c r="V611" s="663"/>
      <c r="W611" s="663"/>
      <c r="X611" s="663"/>
      <c r="Y611" s="663"/>
      <c r="Z611" s="663"/>
      <c r="AB611" s="663"/>
    </row>
    <row r="612">
      <c r="B612" s="663"/>
      <c r="C612" s="663"/>
      <c r="D612" s="663"/>
      <c r="E612" s="663"/>
      <c r="F612" s="663"/>
      <c r="G612" s="663"/>
      <c r="H612" s="663"/>
      <c r="I612" s="663"/>
      <c r="J612" s="663"/>
      <c r="K612" s="663"/>
      <c r="L612" s="663"/>
      <c r="M612" s="663"/>
      <c r="R612" s="663"/>
      <c r="S612" s="663"/>
      <c r="T612" s="663"/>
      <c r="U612" s="663"/>
      <c r="V612" s="663"/>
      <c r="W612" s="663"/>
      <c r="X612" s="663"/>
      <c r="Y612" s="663"/>
      <c r="Z612" s="663"/>
      <c r="AB612" s="663"/>
    </row>
    <row r="613">
      <c r="B613" s="663"/>
      <c r="C613" s="663"/>
      <c r="D613" s="663"/>
      <c r="E613" s="663"/>
      <c r="F613" s="663"/>
      <c r="G613" s="663"/>
      <c r="H613" s="663"/>
      <c r="I613" s="663"/>
      <c r="J613" s="663"/>
      <c r="K613" s="663"/>
      <c r="L613" s="663"/>
      <c r="M613" s="663"/>
      <c r="R613" s="663"/>
      <c r="S613" s="663"/>
      <c r="T613" s="663"/>
      <c r="U613" s="663"/>
      <c r="V613" s="663"/>
      <c r="W613" s="663"/>
      <c r="X613" s="663"/>
      <c r="Y613" s="663"/>
      <c r="Z613" s="663"/>
      <c r="AB613" s="663"/>
    </row>
    <row r="614">
      <c r="B614" s="663"/>
      <c r="C614" s="663"/>
      <c r="D614" s="663"/>
      <c r="E614" s="663"/>
      <c r="F614" s="663"/>
      <c r="G614" s="663"/>
      <c r="H614" s="663"/>
      <c r="I614" s="663"/>
      <c r="J614" s="663"/>
      <c r="K614" s="663"/>
      <c r="L614" s="663"/>
      <c r="M614" s="663"/>
      <c r="R614" s="663"/>
      <c r="S614" s="663"/>
      <c r="T614" s="663"/>
      <c r="U614" s="663"/>
      <c r="V614" s="663"/>
      <c r="W614" s="663"/>
      <c r="X614" s="663"/>
      <c r="Y614" s="663"/>
      <c r="Z614" s="663"/>
      <c r="AB614" s="663"/>
    </row>
    <row r="615">
      <c r="B615" s="663"/>
      <c r="C615" s="663"/>
      <c r="D615" s="663"/>
      <c r="E615" s="663"/>
      <c r="F615" s="663"/>
      <c r="G615" s="663"/>
      <c r="H615" s="663"/>
      <c r="I615" s="663"/>
      <c r="J615" s="663"/>
      <c r="K615" s="663"/>
      <c r="L615" s="663"/>
      <c r="M615" s="663"/>
      <c r="R615" s="663"/>
      <c r="S615" s="663"/>
      <c r="T615" s="663"/>
      <c r="U615" s="663"/>
      <c r="V615" s="663"/>
      <c r="W615" s="663"/>
      <c r="X615" s="663"/>
      <c r="Y615" s="663"/>
      <c r="Z615" s="663"/>
      <c r="AB615" s="663"/>
    </row>
    <row r="616">
      <c r="B616" s="663"/>
      <c r="C616" s="663"/>
      <c r="D616" s="663"/>
      <c r="E616" s="663"/>
      <c r="F616" s="663"/>
      <c r="G616" s="663"/>
      <c r="H616" s="663"/>
      <c r="I616" s="663"/>
      <c r="J616" s="663"/>
      <c r="K616" s="663"/>
      <c r="L616" s="663"/>
      <c r="M616" s="663"/>
      <c r="R616" s="663"/>
      <c r="S616" s="663"/>
      <c r="T616" s="663"/>
      <c r="U616" s="663"/>
      <c r="V616" s="663"/>
      <c r="W616" s="663"/>
      <c r="X616" s="663"/>
      <c r="Y616" s="663"/>
      <c r="Z616" s="663"/>
      <c r="AB616" s="663"/>
    </row>
    <row r="617">
      <c r="B617" s="663"/>
      <c r="C617" s="663"/>
      <c r="D617" s="663"/>
      <c r="E617" s="663"/>
      <c r="F617" s="663"/>
      <c r="G617" s="663"/>
      <c r="H617" s="663"/>
      <c r="I617" s="663"/>
      <c r="J617" s="663"/>
      <c r="K617" s="663"/>
      <c r="L617" s="663"/>
      <c r="M617" s="663"/>
      <c r="R617" s="663"/>
      <c r="S617" s="663"/>
      <c r="T617" s="663"/>
      <c r="U617" s="663"/>
      <c r="V617" s="663"/>
      <c r="W617" s="663"/>
      <c r="X617" s="663"/>
      <c r="Y617" s="663"/>
      <c r="Z617" s="663"/>
      <c r="AB617" s="663"/>
    </row>
    <row r="618">
      <c r="B618" s="663"/>
      <c r="C618" s="663"/>
      <c r="D618" s="663"/>
      <c r="E618" s="663"/>
      <c r="F618" s="663"/>
      <c r="G618" s="663"/>
      <c r="H618" s="663"/>
      <c r="I618" s="663"/>
      <c r="J618" s="663"/>
      <c r="K618" s="663"/>
      <c r="L618" s="663"/>
      <c r="M618" s="663"/>
      <c r="R618" s="663"/>
      <c r="S618" s="663"/>
      <c r="T618" s="663"/>
      <c r="U618" s="663"/>
      <c r="V618" s="663"/>
      <c r="W618" s="663"/>
      <c r="X618" s="663"/>
      <c r="Y618" s="663"/>
      <c r="Z618" s="663"/>
      <c r="AB618" s="663"/>
    </row>
    <row r="619">
      <c r="B619" s="663"/>
      <c r="C619" s="663"/>
      <c r="D619" s="663"/>
      <c r="E619" s="663"/>
      <c r="F619" s="663"/>
      <c r="G619" s="663"/>
      <c r="H619" s="663"/>
      <c r="I619" s="663"/>
      <c r="J619" s="663"/>
      <c r="K619" s="663"/>
      <c r="L619" s="663"/>
      <c r="M619" s="663"/>
      <c r="R619" s="663"/>
      <c r="S619" s="663"/>
      <c r="T619" s="663"/>
      <c r="U619" s="663"/>
      <c r="V619" s="663"/>
      <c r="W619" s="663"/>
      <c r="X619" s="663"/>
      <c r="Y619" s="663"/>
      <c r="Z619" s="663"/>
      <c r="AB619" s="663"/>
    </row>
    <row r="620">
      <c r="B620" s="663"/>
      <c r="C620" s="663"/>
      <c r="D620" s="663"/>
      <c r="E620" s="663"/>
      <c r="F620" s="663"/>
      <c r="G620" s="663"/>
      <c r="H620" s="663"/>
      <c r="I620" s="663"/>
      <c r="J620" s="663"/>
      <c r="K620" s="663"/>
      <c r="L620" s="663"/>
      <c r="M620" s="663"/>
      <c r="R620" s="663"/>
      <c r="S620" s="663"/>
      <c r="T620" s="663"/>
      <c r="U620" s="663"/>
      <c r="V620" s="663"/>
      <c r="W620" s="663"/>
      <c r="X620" s="663"/>
      <c r="Y620" s="663"/>
      <c r="Z620" s="663"/>
      <c r="AB620" s="663"/>
    </row>
    <row r="621">
      <c r="B621" s="663"/>
      <c r="C621" s="663"/>
      <c r="D621" s="663"/>
      <c r="E621" s="663"/>
      <c r="F621" s="663"/>
      <c r="G621" s="663"/>
      <c r="H621" s="663"/>
      <c r="I621" s="663"/>
      <c r="J621" s="663"/>
      <c r="K621" s="663"/>
      <c r="L621" s="663"/>
      <c r="M621" s="663"/>
      <c r="R621" s="663"/>
      <c r="S621" s="663"/>
      <c r="T621" s="663"/>
      <c r="U621" s="663"/>
      <c r="V621" s="663"/>
      <c r="W621" s="663"/>
      <c r="X621" s="663"/>
      <c r="Y621" s="663"/>
      <c r="Z621" s="663"/>
      <c r="AB621" s="663"/>
    </row>
    <row r="622">
      <c r="B622" s="663"/>
      <c r="C622" s="663"/>
      <c r="D622" s="663"/>
      <c r="E622" s="663"/>
      <c r="F622" s="663"/>
      <c r="G622" s="663"/>
      <c r="H622" s="663"/>
      <c r="I622" s="663"/>
      <c r="J622" s="663"/>
      <c r="K622" s="663"/>
      <c r="L622" s="663"/>
      <c r="M622" s="663"/>
      <c r="R622" s="663"/>
      <c r="S622" s="663"/>
      <c r="T622" s="663"/>
      <c r="U622" s="663"/>
      <c r="V622" s="663"/>
      <c r="W622" s="663"/>
      <c r="X622" s="663"/>
      <c r="Y622" s="663"/>
      <c r="Z622" s="663"/>
      <c r="AB622" s="663"/>
    </row>
    <row r="623">
      <c r="B623" s="663"/>
      <c r="C623" s="663"/>
      <c r="D623" s="663"/>
      <c r="E623" s="663"/>
      <c r="F623" s="663"/>
      <c r="G623" s="663"/>
      <c r="H623" s="663"/>
      <c r="I623" s="663"/>
      <c r="J623" s="663"/>
      <c r="K623" s="663"/>
      <c r="L623" s="663"/>
      <c r="M623" s="663"/>
      <c r="R623" s="663"/>
      <c r="S623" s="663"/>
      <c r="T623" s="663"/>
      <c r="U623" s="663"/>
      <c r="V623" s="663"/>
      <c r="W623" s="663"/>
      <c r="X623" s="663"/>
      <c r="Y623" s="663"/>
      <c r="Z623" s="663"/>
      <c r="AB623" s="663"/>
    </row>
    <row r="624">
      <c r="B624" s="663"/>
      <c r="C624" s="663"/>
      <c r="D624" s="663"/>
      <c r="E624" s="663"/>
      <c r="F624" s="663"/>
      <c r="G624" s="663"/>
      <c r="H624" s="663"/>
      <c r="I624" s="663"/>
      <c r="J624" s="663"/>
      <c r="K624" s="663"/>
      <c r="L624" s="663"/>
      <c r="M624" s="663"/>
      <c r="R624" s="663"/>
      <c r="S624" s="663"/>
      <c r="T624" s="663"/>
      <c r="U624" s="663"/>
      <c r="V624" s="663"/>
      <c r="W624" s="663"/>
      <c r="X624" s="663"/>
      <c r="Y624" s="663"/>
      <c r="Z624" s="663"/>
      <c r="AB624" s="663"/>
    </row>
    <row r="625">
      <c r="B625" s="663"/>
      <c r="C625" s="663"/>
      <c r="D625" s="663"/>
      <c r="E625" s="663"/>
      <c r="F625" s="663"/>
      <c r="G625" s="663"/>
      <c r="H625" s="663"/>
      <c r="I625" s="663"/>
      <c r="J625" s="663"/>
      <c r="K625" s="663"/>
      <c r="L625" s="663"/>
      <c r="M625" s="663"/>
      <c r="R625" s="663"/>
      <c r="S625" s="663"/>
      <c r="T625" s="663"/>
      <c r="U625" s="663"/>
      <c r="V625" s="663"/>
      <c r="W625" s="663"/>
      <c r="X625" s="663"/>
      <c r="Y625" s="663"/>
      <c r="Z625" s="663"/>
      <c r="AB625" s="663"/>
    </row>
    <row r="626">
      <c r="B626" s="663"/>
      <c r="C626" s="663"/>
      <c r="D626" s="663"/>
      <c r="E626" s="663"/>
      <c r="F626" s="663"/>
      <c r="G626" s="663"/>
      <c r="H626" s="663"/>
      <c r="I626" s="663"/>
      <c r="J626" s="663"/>
      <c r="K626" s="663"/>
      <c r="L626" s="663"/>
      <c r="M626" s="663"/>
      <c r="R626" s="663"/>
      <c r="S626" s="663"/>
      <c r="T626" s="663"/>
      <c r="U626" s="663"/>
      <c r="V626" s="663"/>
      <c r="W626" s="663"/>
      <c r="X626" s="663"/>
      <c r="Y626" s="663"/>
      <c r="Z626" s="663"/>
      <c r="AB626" s="663"/>
    </row>
    <row r="627">
      <c r="B627" s="663"/>
      <c r="C627" s="663"/>
      <c r="D627" s="663"/>
      <c r="E627" s="663"/>
      <c r="F627" s="663"/>
      <c r="G627" s="663"/>
      <c r="H627" s="663"/>
      <c r="I627" s="663"/>
      <c r="J627" s="663"/>
      <c r="K627" s="663"/>
      <c r="L627" s="663"/>
      <c r="M627" s="663"/>
      <c r="R627" s="663"/>
      <c r="S627" s="663"/>
      <c r="T627" s="663"/>
      <c r="U627" s="663"/>
      <c r="V627" s="663"/>
      <c r="W627" s="663"/>
      <c r="X627" s="663"/>
      <c r="Y627" s="663"/>
      <c r="Z627" s="663"/>
      <c r="AB627" s="663"/>
    </row>
    <row r="628">
      <c r="B628" s="663"/>
      <c r="C628" s="663"/>
      <c r="D628" s="663"/>
      <c r="E628" s="663"/>
      <c r="F628" s="663"/>
      <c r="G628" s="663"/>
      <c r="H628" s="663"/>
      <c r="I628" s="663"/>
      <c r="J628" s="663"/>
      <c r="K628" s="663"/>
      <c r="L628" s="663"/>
      <c r="M628" s="663"/>
      <c r="R628" s="663"/>
      <c r="S628" s="663"/>
      <c r="T628" s="663"/>
      <c r="U628" s="663"/>
      <c r="V628" s="663"/>
      <c r="W628" s="663"/>
      <c r="X628" s="663"/>
      <c r="Y628" s="663"/>
      <c r="Z628" s="663"/>
      <c r="AB628" s="663"/>
    </row>
    <row r="629">
      <c r="B629" s="663"/>
      <c r="C629" s="663"/>
      <c r="D629" s="663"/>
      <c r="E629" s="663"/>
      <c r="F629" s="663"/>
      <c r="G629" s="663"/>
      <c r="H629" s="663"/>
      <c r="I629" s="663"/>
      <c r="J629" s="663"/>
      <c r="K629" s="663"/>
      <c r="L629" s="663"/>
      <c r="M629" s="663"/>
      <c r="R629" s="663"/>
      <c r="S629" s="663"/>
      <c r="T629" s="663"/>
      <c r="U629" s="663"/>
      <c r="V629" s="663"/>
      <c r="W629" s="663"/>
      <c r="X629" s="663"/>
      <c r="Y629" s="663"/>
      <c r="Z629" s="663"/>
      <c r="AB629" s="663"/>
    </row>
    <row r="630">
      <c r="B630" s="663"/>
      <c r="C630" s="663"/>
      <c r="D630" s="663"/>
      <c r="E630" s="663"/>
      <c r="F630" s="663"/>
      <c r="G630" s="663"/>
      <c r="H630" s="663"/>
      <c r="I630" s="663"/>
      <c r="J630" s="663"/>
      <c r="K630" s="663"/>
      <c r="L630" s="663"/>
      <c r="M630" s="663"/>
      <c r="R630" s="663"/>
      <c r="S630" s="663"/>
      <c r="T630" s="663"/>
      <c r="U630" s="663"/>
      <c r="V630" s="663"/>
      <c r="W630" s="663"/>
      <c r="X630" s="663"/>
      <c r="Y630" s="663"/>
      <c r="Z630" s="663"/>
      <c r="AB630" s="663"/>
    </row>
    <row r="631">
      <c r="B631" s="663"/>
      <c r="C631" s="663"/>
      <c r="D631" s="663"/>
      <c r="E631" s="663"/>
      <c r="F631" s="663"/>
      <c r="G631" s="663"/>
      <c r="H631" s="663"/>
      <c r="I631" s="663"/>
      <c r="J631" s="663"/>
      <c r="K631" s="663"/>
      <c r="L631" s="663"/>
      <c r="M631" s="663"/>
      <c r="R631" s="663"/>
      <c r="S631" s="663"/>
      <c r="T631" s="663"/>
      <c r="U631" s="663"/>
      <c r="V631" s="663"/>
      <c r="W631" s="663"/>
      <c r="X631" s="663"/>
      <c r="Y631" s="663"/>
      <c r="Z631" s="663"/>
      <c r="AB631" s="663"/>
    </row>
    <row r="632">
      <c r="B632" s="663"/>
      <c r="C632" s="663"/>
      <c r="D632" s="663"/>
      <c r="E632" s="663"/>
      <c r="F632" s="663"/>
      <c r="G632" s="663"/>
      <c r="H632" s="663"/>
      <c r="I632" s="663"/>
      <c r="J632" s="663"/>
      <c r="K632" s="663"/>
      <c r="L632" s="663"/>
      <c r="M632" s="663"/>
      <c r="R632" s="663"/>
      <c r="S632" s="663"/>
      <c r="T632" s="663"/>
      <c r="U632" s="663"/>
      <c r="V632" s="663"/>
      <c r="W632" s="663"/>
      <c r="X632" s="663"/>
      <c r="Y632" s="663"/>
      <c r="Z632" s="663"/>
      <c r="AB632" s="663"/>
    </row>
    <row r="633">
      <c r="B633" s="663"/>
      <c r="C633" s="663"/>
      <c r="D633" s="663"/>
      <c r="E633" s="663"/>
      <c r="F633" s="663"/>
      <c r="G633" s="663"/>
      <c r="H633" s="663"/>
      <c r="I633" s="663"/>
      <c r="J633" s="663"/>
      <c r="K633" s="663"/>
      <c r="L633" s="663"/>
      <c r="M633" s="663"/>
      <c r="R633" s="663"/>
      <c r="S633" s="663"/>
      <c r="T633" s="663"/>
      <c r="U633" s="663"/>
      <c r="V633" s="663"/>
      <c r="W633" s="663"/>
      <c r="X633" s="663"/>
      <c r="Y633" s="663"/>
      <c r="Z633" s="663"/>
      <c r="AB633" s="663"/>
    </row>
    <row r="634">
      <c r="B634" s="663"/>
      <c r="C634" s="663"/>
      <c r="D634" s="663"/>
      <c r="E634" s="663"/>
      <c r="F634" s="663"/>
      <c r="G634" s="663"/>
      <c r="H634" s="663"/>
      <c r="I634" s="663"/>
      <c r="J634" s="663"/>
      <c r="K634" s="663"/>
      <c r="L634" s="663"/>
      <c r="M634" s="663"/>
      <c r="R634" s="663"/>
      <c r="S634" s="663"/>
      <c r="T634" s="663"/>
      <c r="U634" s="663"/>
      <c r="V634" s="663"/>
      <c r="W634" s="663"/>
      <c r="X634" s="663"/>
      <c r="Y634" s="663"/>
      <c r="Z634" s="663"/>
      <c r="AB634" s="663"/>
    </row>
    <row r="635">
      <c r="B635" s="663"/>
      <c r="C635" s="663"/>
      <c r="D635" s="663"/>
      <c r="E635" s="663"/>
      <c r="F635" s="663"/>
      <c r="G635" s="663"/>
      <c r="H635" s="663"/>
      <c r="I635" s="663"/>
      <c r="J635" s="663"/>
      <c r="K635" s="663"/>
      <c r="L635" s="663"/>
      <c r="M635" s="663"/>
      <c r="R635" s="663"/>
      <c r="S635" s="663"/>
      <c r="T635" s="663"/>
      <c r="U635" s="663"/>
      <c r="V635" s="663"/>
      <c r="W635" s="663"/>
      <c r="X635" s="663"/>
      <c r="Y635" s="663"/>
      <c r="Z635" s="663"/>
      <c r="AB635" s="663"/>
    </row>
    <row r="636">
      <c r="B636" s="663"/>
      <c r="C636" s="663"/>
      <c r="D636" s="663"/>
      <c r="E636" s="663"/>
      <c r="F636" s="663"/>
      <c r="G636" s="663"/>
      <c r="H636" s="663"/>
      <c r="I636" s="663"/>
      <c r="J636" s="663"/>
      <c r="K636" s="663"/>
      <c r="L636" s="663"/>
      <c r="M636" s="663"/>
      <c r="R636" s="663"/>
      <c r="S636" s="663"/>
      <c r="T636" s="663"/>
      <c r="U636" s="663"/>
      <c r="V636" s="663"/>
      <c r="W636" s="663"/>
      <c r="X636" s="663"/>
      <c r="Y636" s="663"/>
      <c r="Z636" s="663"/>
      <c r="AB636" s="663"/>
    </row>
    <row r="637">
      <c r="B637" s="663"/>
      <c r="C637" s="663"/>
      <c r="D637" s="663"/>
      <c r="E637" s="663"/>
      <c r="F637" s="663"/>
      <c r="G637" s="663"/>
      <c r="H637" s="663"/>
      <c r="I637" s="663"/>
      <c r="J637" s="663"/>
      <c r="K637" s="663"/>
      <c r="L637" s="663"/>
      <c r="M637" s="663"/>
      <c r="R637" s="663"/>
      <c r="S637" s="663"/>
      <c r="T637" s="663"/>
      <c r="U637" s="663"/>
      <c r="V637" s="663"/>
      <c r="W637" s="663"/>
      <c r="X637" s="663"/>
      <c r="Y637" s="663"/>
      <c r="Z637" s="663"/>
      <c r="AB637" s="663"/>
    </row>
    <row r="638">
      <c r="B638" s="663"/>
      <c r="C638" s="663"/>
      <c r="D638" s="663"/>
      <c r="E638" s="663"/>
      <c r="F638" s="663"/>
      <c r="G638" s="663"/>
      <c r="H638" s="663"/>
      <c r="I638" s="663"/>
      <c r="J638" s="663"/>
      <c r="K638" s="663"/>
      <c r="L638" s="663"/>
      <c r="M638" s="663"/>
      <c r="R638" s="663"/>
      <c r="S638" s="663"/>
      <c r="T638" s="663"/>
      <c r="U638" s="663"/>
      <c r="V638" s="663"/>
      <c r="W638" s="663"/>
      <c r="X638" s="663"/>
      <c r="Y638" s="663"/>
      <c r="Z638" s="663"/>
      <c r="AB638" s="663"/>
    </row>
    <row r="639">
      <c r="B639" s="663"/>
      <c r="C639" s="663"/>
      <c r="D639" s="663"/>
      <c r="E639" s="663"/>
      <c r="F639" s="663"/>
      <c r="G639" s="663"/>
      <c r="H639" s="663"/>
      <c r="I639" s="663"/>
      <c r="J639" s="663"/>
      <c r="K639" s="663"/>
      <c r="L639" s="663"/>
      <c r="M639" s="663"/>
      <c r="R639" s="663"/>
      <c r="S639" s="663"/>
      <c r="T639" s="663"/>
      <c r="U639" s="663"/>
      <c r="V639" s="663"/>
      <c r="W639" s="663"/>
      <c r="X639" s="663"/>
      <c r="Y639" s="663"/>
      <c r="Z639" s="663"/>
      <c r="AB639" s="663"/>
    </row>
    <row r="640">
      <c r="B640" s="663"/>
      <c r="C640" s="663"/>
      <c r="D640" s="663"/>
      <c r="E640" s="663"/>
      <c r="F640" s="663"/>
      <c r="G640" s="663"/>
      <c r="H640" s="663"/>
      <c r="I640" s="663"/>
      <c r="J640" s="663"/>
      <c r="K640" s="663"/>
      <c r="L640" s="663"/>
      <c r="M640" s="663"/>
      <c r="R640" s="663"/>
      <c r="S640" s="663"/>
      <c r="T640" s="663"/>
      <c r="U640" s="663"/>
      <c r="V640" s="663"/>
      <c r="W640" s="663"/>
      <c r="X640" s="663"/>
      <c r="Y640" s="663"/>
      <c r="Z640" s="663"/>
      <c r="AB640" s="663"/>
    </row>
    <row r="641">
      <c r="B641" s="663"/>
      <c r="C641" s="663"/>
      <c r="D641" s="663"/>
      <c r="E641" s="663"/>
      <c r="F641" s="663"/>
      <c r="G641" s="663"/>
      <c r="H641" s="663"/>
      <c r="I641" s="663"/>
      <c r="J641" s="663"/>
      <c r="K641" s="663"/>
      <c r="L641" s="663"/>
      <c r="M641" s="663"/>
      <c r="R641" s="663"/>
      <c r="S641" s="663"/>
      <c r="T641" s="663"/>
      <c r="U641" s="663"/>
      <c r="V641" s="663"/>
      <c r="W641" s="663"/>
      <c r="X641" s="663"/>
      <c r="Y641" s="663"/>
      <c r="Z641" s="663"/>
      <c r="AB641" s="663"/>
    </row>
    <row r="642">
      <c r="B642" s="663"/>
      <c r="C642" s="663"/>
      <c r="D642" s="663"/>
      <c r="E642" s="663"/>
      <c r="F642" s="663"/>
      <c r="G642" s="663"/>
      <c r="H642" s="663"/>
      <c r="I642" s="663"/>
      <c r="J642" s="663"/>
      <c r="K642" s="663"/>
      <c r="L642" s="663"/>
      <c r="M642" s="663"/>
      <c r="R642" s="663"/>
      <c r="S642" s="663"/>
      <c r="T642" s="663"/>
      <c r="U642" s="663"/>
      <c r="V642" s="663"/>
      <c r="W642" s="663"/>
      <c r="X642" s="663"/>
      <c r="Y642" s="663"/>
      <c r="Z642" s="663"/>
      <c r="AB642" s="663"/>
    </row>
    <row r="643">
      <c r="B643" s="663"/>
      <c r="C643" s="663"/>
      <c r="D643" s="663"/>
      <c r="E643" s="663"/>
      <c r="F643" s="663"/>
      <c r="G643" s="663"/>
      <c r="H643" s="663"/>
      <c r="I643" s="663"/>
      <c r="J643" s="663"/>
      <c r="K643" s="663"/>
      <c r="L643" s="663"/>
      <c r="M643" s="663"/>
      <c r="R643" s="663"/>
      <c r="S643" s="663"/>
      <c r="T643" s="663"/>
      <c r="U643" s="663"/>
      <c r="V643" s="663"/>
      <c r="W643" s="663"/>
      <c r="X643" s="663"/>
      <c r="Y643" s="663"/>
      <c r="Z643" s="663"/>
      <c r="AB643" s="663"/>
    </row>
    <row r="644">
      <c r="B644" s="663"/>
      <c r="C644" s="663"/>
      <c r="D644" s="663"/>
      <c r="E644" s="663"/>
      <c r="F644" s="663"/>
      <c r="G644" s="663"/>
      <c r="H644" s="663"/>
      <c r="I644" s="663"/>
      <c r="J644" s="663"/>
      <c r="K644" s="663"/>
      <c r="L644" s="663"/>
      <c r="M644" s="663"/>
      <c r="R644" s="663"/>
      <c r="S644" s="663"/>
      <c r="T644" s="663"/>
      <c r="U644" s="663"/>
      <c r="V644" s="663"/>
      <c r="W644" s="663"/>
      <c r="X644" s="663"/>
      <c r="Y644" s="663"/>
      <c r="Z644" s="663"/>
      <c r="AB644" s="663"/>
    </row>
    <row r="645">
      <c r="B645" s="663"/>
      <c r="C645" s="663"/>
      <c r="D645" s="663"/>
      <c r="E645" s="663"/>
      <c r="F645" s="663"/>
      <c r="G645" s="663"/>
      <c r="H645" s="663"/>
      <c r="I645" s="663"/>
      <c r="J645" s="663"/>
      <c r="K645" s="663"/>
      <c r="L645" s="663"/>
      <c r="M645" s="663"/>
      <c r="R645" s="663"/>
      <c r="S645" s="663"/>
      <c r="T645" s="663"/>
      <c r="U645" s="663"/>
      <c r="V645" s="663"/>
      <c r="W645" s="663"/>
      <c r="X645" s="663"/>
      <c r="Y645" s="663"/>
      <c r="Z645" s="663"/>
      <c r="AB645" s="663"/>
    </row>
    <row r="646">
      <c r="B646" s="663"/>
      <c r="C646" s="663"/>
      <c r="D646" s="663"/>
      <c r="E646" s="663"/>
      <c r="F646" s="663"/>
      <c r="G646" s="663"/>
      <c r="H646" s="663"/>
      <c r="I646" s="663"/>
      <c r="J646" s="663"/>
      <c r="K646" s="663"/>
      <c r="L646" s="663"/>
      <c r="M646" s="663"/>
      <c r="R646" s="663"/>
      <c r="S646" s="663"/>
      <c r="T646" s="663"/>
      <c r="U646" s="663"/>
      <c r="V646" s="663"/>
      <c r="W646" s="663"/>
      <c r="X646" s="663"/>
      <c r="Y646" s="663"/>
      <c r="Z646" s="663"/>
      <c r="AB646" s="663"/>
    </row>
    <row r="647">
      <c r="B647" s="663"/>
      <c r="C647" s="663"/>
      <c r="D647" s="663"/>
      <c r="E647" s="663"/>
      <c r="F647" s="663"/>
      <c r="G647" s="663"/>
      <c r="H647" s="663"/>
      <c r="I647" s="663"/>
      <c r="J647" s="663"/>
      <c r="K647" s="663"/>
      <c r="L647" s="663"/>
      <c r="M647" s="663"/>
      <c r="R647" s="663"/>
      <c r="S647" s="663"/>
      <c r="T647" s="663"/>
      <c r="U647" s="663"/>
      <c r="V647" s="663"/>
      <c r="W647" s="663"/>
      <c r="X647" s="663"/>
      <c r="Y647" s="663"/>
      <c r="Z647" s="663"/>
      <c r="AB647" s="663"/>
    </row>
    <row r="648">
      <c r="B648" s="663"/>
      <c r="C648" s="663"/>
      <c r="D648" s="663"/>
      <c r="E648" s="663"/>
      <c r="F648" s="663"/>
      <c r="G648" s="663"/>
      <c r="H648" s="663"/>
      <c r="I648" s="663"/>
      <c r="J648" s="663"/>
      <c r="K648" s="663"/>
      <c r="L648" s="663"/>
      <c r="M648" s="663"/>
      <c r="R648" s="663"/>
      <c r="S648" s="663"/>
      <c r="T648" s="663"/>
      <c r="U648" s="663"/>
      <c r="V648" s="663"/>
      <c r="W648" s="663"/>
      <c r="X648" s="663"/>
      <c r="Y648" s="663"/>
      <c r="Z648" s="663"/>
      <c r="AB648" s="663"/>
    </row>
    <row r="649">
      <c r="B649" s="663"/>
      <c r="C649" s="663"/>
      <c r="D649" s="663"/>
      <c r="E649" s="663"/>
      <c r="F649" s="663"/>
      <c r="G649" s="663"/>
      <c r="H649" s="663"/>
      <c r="I649" s="663"/>
      <c r="J649" s="663"/>
      <c r="K649" s="663"/>
      <c r="L649" s="663"/>
      <c r="M649" s="663"/>
      <c r="R649" s="663"/>
      <c r="S649" s="663"/>
      <c r="T649" s="663"/>
      <c r="U649" s="663"/>
      <c r="V649" s="663"/>
      <c r="W649" s="663"/>
      <c r="X649" s="663"/>
      <c r="Y649" s="663"/>
      <c r="Z649" s="663"/>
      <c r="AB649" s="663"/>
    </row>
    <row r="650">
      <c r="B650" s="663"/>
      <c r="C650" s="663"/>
      <c r="D650" s="663"/>
      <c r="E650" s="663"/>
      <c r="F650" s="663"/>
      <c r="G650" s="663"/>
      <c r="H650" s="663"/>
      <c r="I650" s="663"/>
      <c r="J650" s="663"/>
      <c r="K650" s="663"/>
      <c r="L650" s="663"/>
      <c r="M650" s="663"/>
      <c r="R650" s="663"/>
      <c r="S650" s="663"/>
      <c r="T650" s="663"/>
      <c r="U650" s="663"/>
      <c r="V650" s="663"/>
      <c r="W650" s="663"/>
      <c r="X650" s="663"/>
      <c r="Y650" s="663"/>
      <c r="Z650" s="663"/>
      <c r="AB650" s="663"/>
    </row>
    <row r="651">
      <c r="B651" s="663"/>
      <c r="C651" s="663"/>
      <c r="D651" s="663"/>
      <c r="E651" s="663"/>
      <c r="F651" s="663"/>
      <c r="G651" s="663"/>
      <c r="H651" s="663"/>
      <c r="I651" s="663"/>
      <c r="J651" s="663"/>
      <c r="K651" s="663"/>
      <c r="L651" s="663"/>
      <c r="M651" s="663"/>
      <c r="R651" s="663"/>
      <c r="S651" s="663"/>
      <c r="T651" s="663"/>
      <c r="U651" s="663"/>
      <c r="V651" s="663"/>
      <c r="W651" s="663"/>
      <c r="X651" s="663"/>
      <c r="Y651" s="663"/>
      <c r="Z651" s="663"/>
      <c r="AB651" s="663"/>
    </row>
    <row r="652">
      <c r="B652" s="663"/>
      <c r="C652" s="663"/>
      <c r="D652" s="663"/>
      <c r="E652" s="663"/>
      <c r="F652" s="663"/>
      <c r="G652" s="663"/>
      <c r="H652" s="663"/>
      <c r="I652" s="663"/>
      <c r="J652" s="663"/>
      <c r="K652" s="663"/>
      <c r="L652" s="663"/>
      <c r="M652" s="663"/>
      <c r="R652" s="663"/>
      <c r="S652" s="663"/>
      <c r="T652" s="663"/>
      <c r="U652" s="663"/>
      <c r="V652" s="663"/>
      <c r="W652" s="663"/>
      <c r="X652" s="663"/>
      <c r="Y652" s="663"/>
      <c r="Z652" s="663"/>
      <c r="AB652" s="663"/>
    </row>
    <row r="653">
      <c r="B653" s="663"/>
      <c r="C653" s="663"/>
      <c r="D653" s="663"/>
      <c r="E653" s="663"/>
      <c r="F653" s="663"/>
      <c r="G653" s="663"/>
      <c r="H653" s="663"/>
      <c r="I653" s="663"/>
      <c r="J653" s="663"/>
      <c r="K653" s="663"/>
      <c r="L653" s="663"/>
      <c r="M653" s="663"/>
      <c r="R653" s="663"/>
      <c r="S653" s="663"/>
      <c r="T653" s="663"/>
      <c r="U653" s="663"/>
      <c r="V653" s="663"/>
      <c r="W653" s="663"/>
      <c r="X653" s="663"/>
      <c r="Y653" s="663"/>
      <c r="Z653" s="663"/>
      <c r="AB653" s="663"/>
    </row>
    <row r="654">
      <c r="B654" s="663"/>
      <c r="C654" s="663"/>
      <c r="D654" s="663"/>
      <c r="E654" s="663"/>
      <c r="F654" s="663"/>
      <c r="G654" s="663"/>
      <c r="H654" s="663"/>
      <c r="I654" s="663"/>
      <c r="J654" s="663"/>
      <c r="K654" s="663"/>
      <c r="L654" s="663"/>
      <c r="M654" s="663"/>
      <c r="R654" s="663"/>
      <c r="S654" s="663"/>
      <c r="T654" s="663"/>
      <c r="U654" s="663"/>
      <c r="V654" s="663"/>
      <c r="W654" s="663"/>
      <c r="X654" s="663"/>
      <c r="Y654" s="663"/>
      <c r="Z654" s="663"/>
      <c r="AB654" s="663"/>
    </row>
    <row r="655">
      <c r="B655" s="663"/>
      <c r="C655" s="663"/>
      <c r="D655" s="663"/>
      <c r="E655" s="663"/>
      <c r="F655" s="663"/>
      <c r="G655" s="663"/>
      <c r="H655" s="663"/>
      <c r="I655" s="663"/>
      <c r="J655" s="663"/>
      <c r="K655" s="663"/>
      <c r="L655" s="663"/>
      <c r="M655" s="663"/>
      <c r="R655" s="663"/>
      <c r="S655" s="663"/>
      <c r="T655" s="663"/>
      <c r="U655" s="663"/>
      <c r="V655" s="663"/>
      <c r="W655" s="663"/>
      <c r="X655" s="663"/>
      <c r="Y655" s="663"/>
      <c r="Z655" s="663"/>
      <c r="AB655" s="663"/>
    </row>
    <row r="656">
      <c r="B656" s="663"/>
      <c r="C656" s="663"/>
      <c r="D656" s="663"/>
      <c r="E656" s="663"/>
      <c r="F656" s="663"/>
      <c r="G656" s="663"/>
      <c r="H656" s="663"/>
      <c r="I656" s="663"/>
      <c r="J656" s="663"/>
      <c r="K656" s="663"/>
      <c r="L656" s="663"/>
      <c r="M656" s="663"/>
      <c r="R656" s="663"/>
      <c r="S656" s="663"/>
      <c r="T656" s="663"/>
      <c r="U656" s="663"/>
      <c r="V656" s="663"/>
      <c r="W656" s="663"/>
      <c r="X656" s="663"/>
      <c r="Y656" s="663"/>
      <c r="Z656" s="663"/>
      <c r="AB656" s="663"/>
    </row>
    <row r="657">
      <c r="B657" s="663"/>
      <c r="C657" s="663"/>
      <c r="D657" s="663"/>
      <c r="E657" s="663"/>
      <c r="F657" s="663"/>
      <c r="G657" s="663"/>
      <c r="H657" s="663"/>
      <c r="I657" s="663"/>
      <c r="J657" s="663"/>
      <c r="K657" s="663"/>
      <c r="L657" s="663"/>
      <c r="M657" s="663"/>
      <c r="R657" s="663"/>
      <c r="S657" s="663"/>
      <c r="T657" s="663"/>
      <c r="U657" s="663"/>
      <c r="V657" s="663"/>
      <c r="W657" s="663"/>
      <c r="X657" s="663"/>
      <c r="Y657" s="663"/>
      <c r="Z657" s="663"/>
      <c r="AB657" s="663"/>
    </row>
    <row r="658">
      <c r="B658" s="663"/>
      <c r="C658" s="663"/>
      <c r="D658" s="663"/>
      <c r="E658" s="663"/>
      <c r="F658" s="663"/>
      <c r="G658" s="663"/>
      <c r="H658" s="663"/>
      <c r="I658" s="663"/>
      <c r="J658" s="663"/>
      <c r="K658" s="663"/>
      <c r="L658" s="663"/>
      <c r="M658" s="663"/>
      <c r="R658" s="663"/>
      <c r="S658" s="663"/>
      <c r="T658" s="663"/>
      <c r="U658" s="663"/>
      <c r="V658" s="663"/>
      <c r="W658" s="663"/>
      <c r="X658" s="663"/>
      <c r="Y658" s="663"/>
      <c r="Z658" s="663"/>
      <c r="AB658" s="663"/>
    </row>
    <row r="659">
      <c r="B659" s="663"/>
      <c r="C659" s="663"/>
      <c r="D659" s="663"/>
      <c r="E659" s="663"/>
      <c r="F659" s="663"/>
      <c r="G659" s="663"/>
      <c r="H659" s="663"/>
      <c r="I659" s="663"/>
      <c r="J659" s="663"/>
      <c r="K659" s="663"/>
      <c r="L659" s="663"/>
      <c r="M659" s="663"/>
      <c r="R659" s="663"/>
      <c r="S659" s="663"/>
      <c r="T659" s="663"/>
      <c r="U659" s="663"/>
      <c r="V659" s="663"/>
      <c r="W659" s="663"/>
      <c r="X659" s="663"/>
      <c r="Y659" s="663"/>
      <c r="Z659" s="663"/>
      <c r="AB659" s="663"/>
    </row>
    <row r="660">
      <c r="B660" s="663"/>
      <c r="C660" s="663"/>
      <c r="D660" s="663"/>
      <c r="E660" s="663"/>
      <c r="F660" s="663"/>
      <c r="G660" s="663"/>
      <c r="H660" s="663"/>
      <c r="I660" s="663"/>
      <c r="J660" s="663"/>
      <c r="K660" s="663"/>
      <c r="L660" s="663"/>
      <c r="M660" s="663"/>
      <c r="R660" s="663"/>
      <c r="S660" s="663"/>
      <c r="T660" s="663"/>
      <c r="U660" s="663"/>
      <c r="V660" s="663"/>
      <c r="W660" s="663"/>
      <c r="X660" s="663"/>
      <c r="Y660" s="663"/>
      <c r="Z660" s="663"/>
      <c r="AB660" s="663"/>
    </row>
    <row r="661">
      <c r="B661" s="663"/>
      <c r="C661" s="663"/>
      <c r="D661" s="663"/>
      <c r="E661" s="663"/>
      <c r="F661" s="663"/>
      <c r="G661" s="663"/>
      <c r="H661" s="663"/>
      <c r="I661" s="663"/>
      <c r="J661" s="663"/>
      <c r="K661" s="663"/>
      <c r="L661" s="663"/>
      <c r="M661" s="663"/>
      <c r="R661" s="663"/>
      <c r="S661" s="663"/>
      <c r="T661" s="663"/>
      <c r="U661" s="663"/>
      <c r="V661" s="663"/>
      <c r="W661" s="663"/>
      <c r="X661" s="663"/>
      <c r="Y661" s="663"/>
      <c r="Z661" s="663"/>
      <c r="AB661" s="663"/>
    </row>
    <row r="662">
      <c r="B662" s="663"/>
      <c r="C662" s="663"/>
      <c r="D662" s="663"/>
      <c r="E662" s="663"/>
      <c r="F662" s="663"/>
      <c r="G662" s="663"/>
      <c r="H662" s="663"/>
      <c r="I662" s="663"/>
      <c r="J662" s="663"/>
      <c r="K662" s="663"/>
      <c r="L662" s="663"/>
      <c r="M662" s="663"/>
      <c r="R662" s="663"/>
      <c r="S662" s="663"/>
      <c r="T662" s="663"/>
      <c r="U662" s="663"/>
      <c r="V662" s="663"/>
      <c r="W662" s="663"/>
      <c r="X662" s="663"/>
      <c r="Y662" s="663"/>
      <c r="Z662" s="663"/>
      <c r="AB662" s="663"/>
    </row>
    <row r="663">
      <c r="B663" s="663"/>
      <c r="C663" s="663"/>
      <c r="D663" s="663"/>
      <c r="E663" s="663"/>
      <c r="F663" s="663"/>
      <c r="G663" s="663"/>
      <c r="H663" s="663"/>
      <c r="I663" s="663"/>
      <c r="J663" s="663"/>
      <c r="K663" s="663"/>
      <c r="L663" s="663"/>
      <c r="M663" s="663"/>
      <c r="R663" s="663"/>
      <c r="S663" s="663"/>
      <c r="T663" s="663"/>
      <c r="U663" s="663"/>
      <c r="V663" s="663"/>
      <c r="W663" s="663"/>
      <c r="X663" s="663"/>
      <c r="Y663" s="663"/>
      <c r="Z663" s="663"/>
      <c r="AB663" s="663"/>
    </row>
    <row r="664">
      <c r="B664" s="663"/>
      <c r="C664" s="663"/>
      <c r="D664" s="663"/>
      <c r="E664" s="663"/>
      <c r="F664" s="663"/>
      <c r="G664" s="663"/>
      <c r="H664" s="663"/>
      <c r="I664" s="663"/>
      <c r="J664" s="663"/>
      <c r="K664" s="663"/>
      <c r="L664" s="663"/>
      <c r="M664" s="663"/>
      <c r="R664" s="663"/>
      <c r="S664" s="663"/>
      <c r="T664" s="663"/>
      <c r="U664" s="663"/>
      <c r="V664" s="663"/>
      <c r="W664" s="663"/>
      <c r="X664" s="663"/>
      <c r="Y664" s="663"/>
      <c r="Z664" s="663"/>
      <c r="AB664" s="663"/>
    </row>
    <row r="665">
      <c r="B665" s="663"/>
      <c r="C665" s="663"/>
      <c r="D665" s="663"/>
      <c r="E665" s="663"/>
      <c r="F665" s="663"/>
      <c r="G665" s="663"/>
      <c r="H665" s="663"/>
      <c r="I665" s="663"/>
      <c r="J665" s="663"/>
      <c r="K665" s="663"/>
      <c r="L665" s="663"/>
      <c r="M665" s="663"/>
      <c r="R665" s="663"/>
      <c r="S665" s="663"/>
      <c r="T665" s="663"/>
      <c r="U665" s="663"/>
      <c r="V665" s="663"/>
      <c r="W665" s="663"/>
      <c r="X665" s="663"/>
      <c r="Y665" s="663"/>
      <c r="Z665" s="663"/>
      <c r="AB665" s="663"/>
    </row>
    <row r="666">
      <c r="B666" s="663"/>
      <c r="C666" s="663"/>
      <c r="D666" s="663"/>
      <c r="E666" s="663"/>
      <c r="F666" s="663"/>
      <c r="G666" s="663"/>
      <c r="H666" s="663"/>
      <c r="I666" s="663"/>
      <c r="J666" s="663"/>
      <c r="K666" s="663"/>
      <c r="L666" s="663"/>
      <c r="M666" s="663"/>
      <c r="R666" s="663"/>
      <c r="S666" s="663"/>
      <c r="T666" s="663"/>
      <c r="U666" s="663"/>
      <c r="V666" s="663"/>
      <c r="W666" s="663"/>
      <c r="X666" s="663"/>
      <c r="Y666" s="663"/>
      <c r="Z666" s="663"/>
      <c r="AB666" s="663"/>
    </row>
    <row r="667">
      <c r="B667" s="663"/>
      <c r="C667" s="663"/>
      <c r="D667" s="663"/>
      <c r="E667" s="663"/>
      <c r="F667" s="663"/>
      <c r="G667" s="663"/>
      <c r="H667" s="663"/>
      <c r="I667" s="663"/>
      <c r="J667" s="663"/>
      <c r="K667" s="663"/>
      <c r="L667" s="663"/>
      <c r="M667" s="663"/>
      <c r="R667" s="663"/>
      <c r="S667" s="663"/>
      <c r="T667" s="663"/>
      <c r="U667" s="663"/>
      <c r="V667" s="663"/>
      <c r="W667" s="663"/>
      <c r="X667" s="663"/>
      <c r="Y667" s="663"/>
      <c r="Z667" s="663"/>
      <c r="AB667" s="663"/>
    </row>
    <row r="668">
      <c r="B668" s="663"/>
      <c r="C668" s="663"/>
      <c r="D668" s="663"/>
      <c r="E668" s="663"/>
      <c r="F668" s="663"/>
      <c r="G668" s="663"/>
      <c r="H668" s="663"/>
      <c r="I668" s="663"/>
      <c r="J668" s="663"/>
      <c r="K668" s="663"/>
      <c r="L668" s="663"/>
      <c r="M668" s="663"/>
      <c r="R668" s="663"/>
      <c r="S668" s="663"/>
      <c r="T668" s="663"/>
      <c r="U668" s="663"/>
      <c r="V668" s="663"/>
      <c r="W668" s="663"/>
      <c r="X668" s="663"/>
      <c r="Y668" s="663"/>
      <c r="Z668" s="663"/>
      <c r="AB668" s="663"/>
    </row>
    <row r="669">
      <c r="B669" s="663"/>
      <c r="C669" s="663"/>
      <c r="D669" s="663"/>
      <c r="E669" s="663"/>
      <c r="F669" s="663"/>
      <c r="G669" s="663"/>
      <c r="H669" s="663"/>
      <c r="I669" s="663"/>
      <c r="J669" s="663"/>
      <c r="K669" s="663"/>
      <c r="L669" s="663"/>
      <c r="M669" s="663"/>
      <c r="R669" s="663"/>
      <c r="S669" s="663"/>
      <c r="T669" s="663"/>
      <c r="U669" s="663"/>
      <c r="V669" s="663"/>
      <c r="W669" s="663"/>
      <c r="X669" s="663"/>
      <c r="Y669" s="663"/>
      <c r="Z669" s="663"/>
      <c r="AB669" s="663"/>
    </row>
    <row r="670">
      <c r="B670" s="663"/>
      <c r="C670" s="663"/>
      <c r="D670" s="663"/>
      <c r="E670" s="663"/>
      <c r="F670" s="663"/>
      <c r="G670" s="663"/>
      <c r="H670" s="663"/>
      <c r="I670" s="663"/>
      <c r="J670" s="663"/>
      <c r="K670" s="663"/>
      <c r="L670" s="663"/>
      <c r="M670" s="663"/>
      <c r="R670" s="663"/>
      <c r="S670" s="663"/>
      <c r="T670" s="663"/>
      <c r="U670" s="663"/>
      <c r="V670" s="663"/>
      <c r="W670" s="663"/>
      <c r="X670" s="663"/>
      <c r="Y670" s="663"/>
      <c r="Z670" s="663"/>
      <c r="AB670" s="663"/>
    </row>
    <row r="671">
      <c r="B671" s="663"/>
      <c r="C671" s="663"/>
      <c r="D671" s="663"/>
      <c r="E671" s="663"/>
      <c r="F671" s="663"/>
      <c r="G671" s="663"/>
      <c r="H671" s="663"/>
      <c r="I671" s="663"/>
      <c r="J671" s="663"/>
      <c r="K671" s="663"/>
      <c r="L671" s="663"/>
      <c r="M671" s="663"/>
      <c r="R671" s="663"/>
      <c r="S671" s="663"/>
      <c r="T671" s="663"/>
      <c r="U671" s="663"/>
      <c r="V671" s="663"/>
      <c r="W671" s="663"/>
      <c r="X671" s="663"/>
      <c r="Y671" s="663"/>
      <c r="Z671" s="663"/>
      <c r="AB671" s="663"/>
    </row>
    <row r="672">
      <c r="B672" s="663"/>
      <c r="C672" s="663"/>
      <c r="D672" s="663"/>
      <c r="E672" s="663"/>
      <c r="F672" s="663"/>
      <c r="G672" s="663"/>
      <c r="H672" s="663"/>
      <c r="I672" s="663"/>
      <c r="J672" s="663"/>
      <c r="K672" s="663"/>
      <c r="L672" s="663"/>
      <c r="M672" s="663"/>
      <c r="R672" s="663"/>
      <c r="S672" s="663"/>
      <c r="T672" s="663"/>
      <c r="U672" s="663"/>
      <c r="V672" s="663"/>
      <c r="W672" s="663"/>
      <c r="X672" s="663"/>
      <c r="Y672" s="663"/>
      <c r="Z672" s="663"/>
      <c r="AB672" s="663"/>
    </row>
    <row r="673">
      <c r="B673" s="663"/>
      <c r="C673" s="663"/>
      <c r="D673" s="663"/>
      <c r="E673" s="663"/>
      <c r="F673" s="663"/>
      <c r="G673" s="663"/>
      <c r="H673" s="663"/>
      <c r="I673" s="663"/>
      <c r="J673" s="663"/>
      <c r="K673" s="663"/>
      <c r="L673" s="663"/>
      <c r="M673" s="663"/>
      <c r="R673" s="663"/>
      <c r="S673" s="663"/>
      <c r="T673" s="663"/>
      <c r="U673" s="663"/>
      <c r="V673" s="663"/>
      <c r="W673" s="663"/>
      <c r="X673" s="663"/>
      <c r="Y673" s="663"/>
      <c r="Z673" s="663"/>
      <c r="AB673" s="663"/>
    </row>
    <row r="674">
      <c r="B674" s="663"/>
      <c r="C674" s="663"/>
      <c r="D674" s="663"/>
      <c r="E674" s="663"/>
      <c r="F674" s="663"/>
      <c r="G674" s="663"/>
      <c r="H674" s="663"/>
      <c r="I674" s="663"/>
      <c r="J674" s="663"/>
      <c r="K674" s="663"/>
      <c r="L674" s="663"/>
      <c r="M674" s="663"/>
      <c r="R674" s="663"/>
      <c r="S674" s="663"/>
      <c r="T674" s="663"/>
      <c r="U674" s="663"/>
      <c r="V674" s="663"/>
      <c r="W674" s="663"/>
      <c r="X674" s="663"/>
      <c r="Y674" s="663"/>
      <c r="Z674" s="663"/>
      <c r="AB674" s="663"/>
    </row>
    <row r="675">
      <c r="B675" s="663"/>
      <c r="C675" s="663"/>
      <c r="D675" s="663"/>
      <c r="E675" s="663"/>
      <c r="F675" s="663"/>
      <c r="G675" s="663"/>
      <c r="H675" s="663"/>
      <c r="I675" s="663"/>
      <c r="J675" s="663"/>
      <c r="K675" s="663"/>
      <c r="L675" s="663"/>
      <c r="M675" s="663"/>
      <c r="R675" s="663"/>
      <c r="S675" s="663"/>
      <c r="T675" s="663"/>
      <c r="U675" s="663"/>
      <c r="V675" s="663"/>
      <c r="W675" s="663"/>
      <c r="X675" s="663"/>
      <c r="Y675" s="663"/>
      <c r="Z675" s="663"/>
      <c r="AB675" s="663"/>
    </row>
    <row r="676">
      <c r="B676" s="663"/>
      <c r="C676" s="663"/>
      <c r="D676" s="663"/>
      <c r="E676" s="663"/>
      <c r="F676" s="663"/>
      <c r="G676" s="663"/>
      <c r="H676" s="663"/>
      <c r="I676" s="663"/>
      <c r="J676" s="663"/>
      <c r="K676" s="663"/>
      <c r="L676" s="663"/>
      <c r="M676" s="663"/>
      <c r="R676" s="663"/>
      <c r="S676" s="663"/>
      <c r="T676" s="663"/>
      <c r="U676" s="663"/>
      <c r="V676" s="663"/>
      <c r="W676" s="663"/>
      <c r="X676" s="663"/>
      <c r="Y676" s="663"/>
      <c r="Z676" s="663"/>
      <c r="AB676" s="663"/>
    </row>
    <row r="677">
      <c r="B677" s="663"/>
      <c r="C677" s="663"/>
      <c r="D677" s="663"/>
      <c r="E677" s="663"/>
      <c r="F677" s="663"/>
      <c r="G677" s="663"/>
      <c r="H677" s="663"/>
      <c r="I677" s="663"/>
      <c r="J677" s="663"/>
      <c r="K677" s="663"/>
      <c r="L677" s="663"/>
      <c r="M677" s="663"/>
      <c r="R677" s="663"/>
      <c r="S677" s="663"/>
      <c r="T677" s="663"/>
      <c r="U677" s="663"/>
      <c r="V677" s="663"/>
      <c r="W677" s="663"/>
      <c r="X677" s="663"/>
      <c r="Y677" s="663"/>
      <c r="Z677" s="663"/>
      <c r="AB677" s="663"/>
    </row>
    <row r="678">
      <c r="B678" s="663"/>
      <c r="C678" s="663"/>
      <c r="D678" s="663"/>
      <c r="E678" s="663"/>
      <c r="F678" s="663"/>
      <c r="G678" s="663"/>
      <c r="H678" s="663"/>
      <c r="I678" s="663"/>
      <c r="J678" s="663"/>
      <c r="K678" s="663"/>
      <c r="L678" s="663"/>
      <c r="M678" s="663"/>
      <c r="R678" s="663"/>
      <c r="S678" s="663"/>
      <c r="T678" s="663"/>
      <c r="U678" s="663"/>
      <c r="V678" s="663"/>
      <c r="W678" s="663"/>
      <c r="X678" s="663"/>
      <c r="Y678" s="663"/>
      <c r="Z678" s="663"/>
      <c r="AB678" s="663"/>
    </row>
    <row r="679">
      <c r="B679" s="663"/>
      <c r="C679" s="663"/>
      <c r="D679" s="663"/>
      <c r="E679" s="663"/>
      <c r="F679" s="663"/>
      <c r="G679" s="663"/>
      <c r="H679" s="663"/>
      <c r="I679" s="663"/>
      <c r="J679" s="663"/>
      <c r="K679" s="663"/>
      <c r="L679" s="663"/>
      <c r="M679" s="663"/>
      <c r="R679" s="663"/>
      <c r="S679" s="663"/>
      <c r="T679" s="663"/>
      <c r="U679" s="663"/>
      <c r="V679" s="663"/>
      <c r="W679" s="663"/>
      <c r="X679" s="663"/>
      <c r="Y679" s="663"/>
      <c r="Z679" s="663"/>
      <c r="AB679" s="663"/>
    </row>
    <row r="680">
      <c r="B680" s="663"/>
      <c r="C680" s="663"/>
      <c r="D680" s="663"/>
      <c r="E680" s="663"/>
      <c r="F680" s="663"/>
      <c r="G680" s="663"/>
      <c r="H680" s="663"/>
      <c r="I680" s="663"/>
      <c r="J680" s="663"/>
      <c r="K680" s="663"/>
      <c r="L680" s="663"/>
      <c r="M680" s="663"/>
      <c r="R680" s="663"/>
      <c r="S680" s="663"/>
      <c r="T680" s="663"/>
      <c r="U680" s="663"/>
      <c r="V680" s="663"/>
      <c r="W680" s="663"/>
      <c r="X680" s="663"/>
      <c r="Y680" s="663"/>
      <c r="Z680" s="663"/>
      <c r="AB680" s="663"/>
    </row>
    <row r="681">
      <c r="B681" s="663"/>
      <c r="C681" s="663"/>
      <c r="D681" s="663"/>
      <c r="E681" s="663"/>
      <c r="F681" s="663"/>
      <c r="G681" s="663"/>
      <c r="H681" s="663"/>
      <c r="I681" s="663"/>
      <c r="J681" s="663"/>
      <c r="K681" s="663"/>
      <c r="L681" s="663"/>
      <c r="M681" s="663"/>
      <c r="R681" s="663"/>
      <c r="S681" s="663"/>
      <c r="T681" s="663"/>
      <c r="U681" s="663"/>
      <c r="V681" s="663"/>
      <c r="W681" s="663"/>
      <c r="X681" s="663"/>
      <c r="Y681" s="663"/>
      <c r="Z681" s="663"/>
      <c r="AB681" s="663"/>
    </row>
    <row r="682">
      <c r="B682" s="663"/>
      <c r="C682" s="663"/>
      <c r="D682" s="663"/>
      <c r="E682" s="663"/>
      <c r="F682" s="663"/>
      <c r="G682" s="663"/>
      <c r="H682" s="663"/>
      <c r="I682" s="663"/>
      <c r="J682" s="663"/>
      <c r="K682" s="663"/>
      <c r="L682" s="663"/>
      <c r="M682" s="663"/>
      <c r="R682" s="663"/>
      <c r="S682" s="663"/>
      <c r="T682" s="663"/>
      <c r="U682" s="663"/>
      <c r="V682" s="663"/>
      <c r="W682" s="663"/>
      <c r="X682" s="663"/>
      <c r="Y682" s="663"/>
      <c r="Z682" s="663"/>
      <c r="AB682" s="663"/>
    </row>
    <row r="683">
      <c r="B683" s="663"/>
      <c r="C683" s="663"/>
      <c r="D683" s="663"/>
      <c r="E683" s="663"/>
      <c r="F683" s="663"/>
      <c r="G683" s="663"/>
      <c r="H683" s="663"/>
      <c r="I683" s="663"/>
      <c r="J683" s="663"/>
      <c r="K683" s="663"/>
      <c r="L683" s="663"/>
      <c r="M683" s="663"/>
      <c r="R683" s="663"/>
      <c r="S683" s="663"/>
      <c r="T683" s="663"/>
      <c r="U683" s="663"/>
      <c r="V683" s="663"/>
      <c r="W683" s="663"/>
      <c r="X683" s="663"/>
      <c r="Y683" s="663"/>
      <c r="Z683" s="663"/>
      <c r="AB683" s="663"/>
    </row>
    <row r="684">
      <c r="B684" s="663"/>
      <c r="C684" s="663"/>
      <c r="D684" s="663"/>
      <c r="E684" s="663"/>
      <c r="F684" s="663"/>
      <c r="G684" s="663"/>
      <c r="H684" s="663"/>
      <c r="I684" s="663"/>
      <c r="J684" s="663"/>
      <c r="K684" s="663"/>
      <c r="L684" s="663"/>
      <c r="M684" s="663"/>
      <c r="R684" s="663"/>
      <c r="S684" s="663"/>
      <c r="T684" s="663"/>
      <c r="U684" s="663"/>
      <c r="V684" s="663"/>
      <c r="W684" s="663"/>
      <c r="X684" s="663"/>
      <c r="Y684" s="663"/>
      <c r="Z684" s="663"/>
      <c r="AB684" s="663"/>
    </row>
    <row r="685">
      <c r="B685" s="663"/>
      <c r="C685" s="663"/>
      <c r="D685" s="663"/>
      <c r="E685" s="663"/>
      <c r="F685" s="663"/>
      <c r="G685" s="663"/>
      <c r="H685" s="663"/>
      <c r="I685" s="663"/>
      <c r="J685" s="663"/>
      <c r="K685" s="663"/>
      <c r="L685" s="663"/>
      <c r="M685" s="663"/>
      <c r="R685" s="663"/>
      <c r="S685" s="663"/>
      <c r="T685" s="663"/>
      <c r="U685" s="663"/>
      <c r="V685" s="663"/>
      <c r="W685" s="663"/>
      <c r="X685" s="663"/>
      <c r="Y685" s="663"/>
      <c r="Z685" s="663"/>
      <c r="AB685" s="663"/>
    </row>
    <row r="686">
      <c r="B686" s="663"/>
      <c r="C686" s="663"/>
      <c r="D686" s="663"/>
      <c r="E686" s="663"/>
      <c r="F686" s="663"/>
      <c r="G686" s="663"/>
      <c r="H686" s="663"/>
      <c r="I686" s="663"/>
      <c r="J686" s="663"/>
      <c r="K686" s="663"/>
      <c r="L686" s="663"/>
      <c r="M686" s="663"/>
      <c r="R686" s="663"/>
      <c r="S686" s="663"/>
      <c r="T686" s="663"/>
      <c r="U686" s="663"/>
      <c r="V686" s="663"/>
      <c r="W686" s="663"/>
      <c r="X686" s="663"/>
      <c r="Y686" s="663"/>
      <c r="Z686" s="663"/>
      <c r="AB686" s="663"/>
    </row>
    <row r="687">
      <c r="B687" s="663"/>
      <c r="C687" s="663"/>
      <c r="D687" s="663"/>
      <c r="E687" s="663"/>
      <c r="F687" s="663"/>
      <c r="G687" s="663"/>
      <c r="H687" s="663"/>
      <c r="I687" s="663"/>
      <c r="J687" s="663"/>
      <c r="K687" s="663"/>
      <c r="L687" s="663"/>
      <c r="M687" s="663"/>
      <c r="R687" s="663"/>
      <c r="S687" s="663"/>
      <c r="T687" s="663"/>
      <c r="U687" s="663"/>
      <c r="V687" s="663"/>
      <c r="W687" s="663"/>
      <c r="X687" s="663"/>
      <c r="Y687" s="663"/>
      <c r="Z687" s="663"/>
      <c r="AB687" s="663"/>
    </row>
    <row r="688">
      <c r="B688" s="663"/>
      <c r="C688" s="663"/>
      <c r="D688" s="663"/>
      <c r="E688" s="663"/>
      <c r="F688" s="663"/>
      <c r="G688" s="663"/>
      <c r="H688" s="663"/>
      <c r="I688" s="663"/>
      <c r="J688" s="663"/>
      <c r="K688" s="663"/>
      <c r="L688" s="663"/>
      <c r="M688" s="663"/>
      <c r="R688" s="663"/>
      <c r="S688" s="663"/>
      <c r="T688" s="663"/>
      <c r="U688" s="663"/>
      <c r="V688" s="663"/>
      <c r="W688" s="663"/>
      <c r="X688" s="663"/>
      <c r="Y688" s="663"/>
      <c r="Z688" s="663"/>
      <c r="AB688" s="663"/>
    </row>
    <row r="689">
      <c r="B689" s="663"/>
      <c r="C689" s="663"/>
      <c r="D689" s="663"/>
      <c r="E689" s="663"/>
      <c r="F689" s="663"/>
      <c r="G689" s="663"/>
      <c r="H689" s="663"/>
      <c r="I689" s="663"/>
      <c r="J689" s="663"/>
      <c r="K689" s="663"/>
      <c r="L689" s="663"/>
      <c r="M689" s="663"/>
      <c r="R689" s="663"/>
      <c r="S689" s="663"/>
      <c r="T689" s="663"/>
      <c r="U689" s="663"/>
      <c r="V689" s="663"/>
      <c r="W689" s="663"/>
      <c r="X689" s="663"/>
      <c r="Y689" s="663"/>
      <c r="Z689" s="663"/>
      <c r="AB689" s="663"/>
    </row>
    <row r="690">
      <c r="B690" s="663"/>
      <c r="C690" s="663"/>
      <c r="D690" s="663"/>
      <c r="E690" s="663"/>
      <c r="F690" s="663"/>
      <c r="G690" s="663"/>
      <c r="H690" s="663"/>
      <c r="I690" s="663"/>
      <c r="J690" s="663"/>
      <c r="K690" s="663"/>
      <c r="L690" s="663"/>
      <c r="M690" s="663"/>
      <c r="R690" s="663"/>
      <c r="S690" s="663"/>
      <c r="T690" s="663"/>
      <c r="U690" s="663"/>
      <c r="V690" s="663"/>
      <c r="W690" s="663"/>
      <c r="X690" s="663"/>
      <c r="Y690" s="663"/>
      <c r="Z690" s="663"/>
      <c r="AB690" s="663"/>
    </row>
    <row r="691">
      <c r="B691" s="663"/>
      <c r="C691" s="663"/>
      <c r="D691" s="663"/>
      <c r="E691" s="663"/>
      <c r="F691" s="663"/>
      <c r="G691" s="663"/>
      <c r="H691" s="663"/>
      <c r="I691" s="663"/>
      <c r="J691" s="663"/>
      <c r="K691" s="663"/>
      <c r="L691" s="663"/>
      <c r="M691" s="663"/>
      <c r="R691" s="663"/>
      <c r="S691" s="663"/>
      <c r="T691" s="663"/>
      <c r="U691" s="663"/>
      <c r="V691" s="663"/>
      <c r="W691" s="663"/>
      <c r="X691" s="663"/>
      <c r="Y691" s="663"/>
      <c r="Z691" s="663"/>
      <c r="AB691" s="663"/>
    </row>
    <row r="692">
      <c r="B692" s="663"/>
      <c r="C692" s="663"/>
      <c r="D692" s="663"/>
      <c r="E692" s="663"/>
      <c r="F692" s="663"/>
      <c r="G692" s="663"/>
      <c r="H692" s="663"/>
      <c r="I692" s="663"/>
      <c r="J692" s="663"/>
      <c r="K692" s="663"/>
      <c r="L692" s="663"/>
      <c r="M692" s="663"/>
      <c r="R692" s="663"/>
      <c r="S692" s="663"/>
      <c r="T692" s="663"/>
      <c r="U692" s="663"/>
      <c r="V692" s="663"/>
      <c r="W692" s="663"/>
      <c r="X692" s="663"/>
      <c r="Y692" s="663"/>
      <c r="Z692" s="663"/>
      <c r="AB692" s="663"/>
    </row>
    <row r="693">
      <c r="B693" s="663"/>
      <c r="C693" s="663"/>
      <c r="D693" s="663"/>
      <c r="E693" s="663"/>
      <c r="F693" s="663"/>
      <c r="G693" s="663"/>
      <c r="H693" s="663"/>
      <c r="I693" s="663"/>
      <c r="J693" s="663"/>
      <c r="K693" s="663"/>
      <c r="L693" s="663"/>
      <c r="M693" s="663"/>
      <c r="R693" s="663"/>
      <c r="S693" s="663"/>
      <c r="T693" s="663"/>
      <c r="U693" s="663"/>
      <c r="V693" s="663"/>
      <c r="W693" s="663"/>
      <c r="X693" s="663"/>
      <c r="Y693" s="663"/>
      <c r="Z693" s="663"/>
      <c r="AB693" s="663"/>
    </row>
    <row r="694">
      <c r="B694" s="663"/>
      <c r="C694" s="663"/>
      <c r="D694" s="663"/>
      <c r="E694" s="663"/>
      <c r="F694" s="663"/>
      <c r="G694" s="663"/>
      <c r="H694" s="663"/>
      <c r="I694" s="663"/>
      <c r="J694" s="663"/>
      <c r="K694" s="663"/>
      <c r="L694" s="663"/>
      <c r="M694" s="663"/>
      <c r="R694" s="663"/>
      <c r="S694" s="663"/>
      <c r="T694" s="663"/>
      <c r="U694" s="663"/>
      <c r="V694" s="663"/>
      <c r="W694" s="663"/>
      <c r="X694" s="663"/>
      <c r="Y694" s="663"/>
      <c r="Z694" s="663"/>
      <c r="AB694" s="663"/>
    </row>
    <row r="695">
      <c r="B695" s="663"/>
      <c r="C695" s="663"/>
      <c r="D695" s="663"/>
      <c r="E695" s="663"/>
      <c r="F695" s="663"/>
      <c r="G695" s="663"/>
      <c r="H695" s="663"/>
      <c r="I695" s="663"/>
      <c r="J695" s="663"/>
      <c r="K695" s="663"/>
      <c r="L695" s="663"/>
      <c r="M695" s="663"/>
      <c r="R695" s="663"/>
      <c r="S695" s="663"/>
      <c r="T695" s="663"/>
      <c r="U695" s="663"/>
      <c r="V695" s="663"/>
      <c r="W695" s="663"/>
      <c r="X695" s="663"/>
      <c r="Y695" s="663"/>
      <c r="Z695" s="663"/>
      <c r="AB695" s="663"/>
    </row>
    <row r="696">
      <c r="B696" s="663"/>
      <c r="C696" s="663"/>
      <c r="D696" s="663"/>
      <c r="E696" s="663"/>
      <c r="F696" s="663"/>
      <c r="G696" s="663"/>
      <c r="H696" s="663"/>
      <c r="I696" s="663"/>
      <c r="J696" s="663"/>
      <c r="K696" s="663"/>
      <c r="L696" s="663"/>
      <c r="M696" s="663"/>
      <c r="R696" s="663"/>
      <c r="S696" s="663"/>
      <c r="T696" s="663"/>
      <c r="U696" s="663"/>
      <c r="V696" s="663"/>
      <c r="W696" s="663"/>
      <c r="X696" s="663"/>
      <c r="Y696" s="663"/>
      <c r="Z696" s="663"/>
      <c r="AB696" s="663"/>
    </row>
    <row r="697">
      <c r="B697" s="663"/>
      <c r="C697" s="663"/>
      <c r="D697" s="663"/>
      <c r="E697" s="663"/>
      <c r="F697" s="663"/>
      <c r="G697" s="663"/>
      <c r="H697" s="663"/>
      <c r="I697" s="663"/>
      <c r="J697" s="663"/>
      <c r="K697" s="663"/>
      <c r="L697" s="663"/>
      <c r="M697" s="663"/>
      <c r="R697" s="663"/>
      <c r="S697" s="663"/>
      <c r="T697" s="663"/>
      <c r="U697" s="663"/>
      <c r="V697" s="663"/>
      <c r="W697" s="663"/>
      <c r="X697" s="663"/>
      <c r="Y697" s="663"/>
      <c r="Z697" s="663"/>
      <c r="AB697" s="663"/>
    </row>
    <row r="698">
      <c r="B698" s="663"/>
      <c r="C698" s="663"/>
      <c r="D698" s="663"/>
      <c r="E698" s="663"/>
      <c r="F698" s="663"/>
      <c r="G698" s="663"/>
      <c r="H698" s="663"/>
      <c r="I698" s="663"/>
      <c r="J698" s="663"/>
      <c r="K698" s="663"/>
      <c r="L698" s="663"/>
      <c r="M698" s="663"/>
      <c r="R698" s="663"/>
      <c r="S698" s="663"/>
      <c r="T698" s="663"/>
      <c r="U698" s="663"/>
      <c r="V698" s="663"/>
      <c r="W698" s="663"/>
      <c r="X698" s="663"/>
      <c r="Y698" s="663"/>
      <c r="Z698" s="663"/>
      <c r="AB698" s="663"/>
    </row>
    <row r="699">
      <c r="B699" s="663"/>
      <c r="C699" s="663"/>
      <c r="D699" s="663"/>
      <c r="E699" s="663"/>
      <c r="F699" s="663"/>
      <c r="G699" s="663"/>
      <c r="H699" s="663"/>
      <c r="I699" s="663"/>
      <c r="J699" s="663"/>
      <c r="K699" s="663"/>
      <c r="L699" s="663"/>
      <c r="M699" s="663"/>
      <c r="R699" s="663"/>
      <c r="S699" s="663"/>
      <c r="T699" s="663"/>
      <c r="U699" s="663"/>
      <c r="V699" s="663"/>
      <c r="W699" s="663"/>
      <c r="X699" s="663"/>
      <c r="Y699" s="663"/>
      <c r="Z699" s="663"/>
      <c r="AB699" s="663"/>
    </row>
    <row r="700">
      <c r="B700" s="663"/>
      <c r="C700" s="663"/>
      <c r="D700" s="663"/>
      <c r="E700" s="663"/>
      <c r="F700" s="663"/>
      <c r="G700" s="663"/>
      <c r="H700" s="663"/>
      <c r="I700" s="663"/>
      <c r="J700" s="663"/>
      <c r="K700" s="663"/>
      <c r="L700" s="663"/>
      <c r="M700" s="663"/>
      <c r="R700" s="663"/>
      <c r="S700" s="663"/>
      <c r="T700" s="663"/>
      <c r="U700" s="663"/>
      <c r="V700" s="663"/>
      <c r="W700" s="663"/>
      <c r="X700" s="663"/>
      <c r="Y700" s="663"/>
      <c r="Z700" s="663"/>
      <c r="AB700" s="663"/>
    </row>
    <row r="701">
      <c r="B701" s="663"/>
      <c r="C701" s="663"/>
      <c r="D701" s="663"/>
      <c r="E701" s="663"/>
      <c r="F701" s="663"/>
      <c r="G701" s="663"/>
      <c r="H701" s="663"/>
      <c r="I701" s="663"/>
      <c r="J701" s="663"/>
      <c r="K701" s="663"/>
      <c r="L701" s="663"/>
      <c r="M701" s="663"/>
      <c r="R701" s="663"/>
      <c r="S701" s="663"/>
      <c r="T701" s="663"/>
      <c r="U701" s="663"/>
      <c r="V701" s="663"/>
      <c r="W701" s="663"/>
      <c r="X701" s="663"/>
      <c r="Y701" s="663"/>
      <c r="Z701" s="663"/>
      <c r="AB701" s="663"/>
    </row>
    <row r="702">
      <c r="B702" s="663"/>
      <c r="C702" s="663"/>
      <c r="D702" s="663"/>
      <c r="E702" s="663"/>
      <c r="F702" s="663"/>
      <c r="G702" s="663"/>
      <c r="H702" s="663"/>
      <c r="I702" s="663"/>
      <c r="J702" s="663"/>
      <c r="K702" s="663"/>
      <c r="L702" s="663"/>
      <c r="M702" s="663"/>
      <c r="R702" s="663"/>
      <c r="S702" s="663"/>
      <c r="T702" s="663"/>
      <c r="U702" s="663"/>
      <c r="V702" s="663"/>
      <c r="W702" s="663"/>
      <c r="X702" s="663"/>
      <c r="Y702" s="663"/>
      <c r="Z702" s="663"/>
      <c r="AB702" s="663"/>
    </row>
    <row r="703">
      <c r="B703" s="663"/>
      <c r="C703" s="663"/>
      <c r="D703" s="663"/>
      <c r="E703" s="663"/>
      <c r="F703" s="663"/>
      <c r="G703" s="663"/>
      <c r="H703" s="663"/>
      <c r="I703" s="663"/>
      <c r="J703" s="663"/>
      <c r="K703" s="663"/>
      <c r="L703" s="663"/>
      <c r="M703" s="663"/>
      <c r="R703" s="663"/>
      <c r="S703" s="663"/>
      <c r="T703" s="663"/>
      <c r="U703" s="663"/>
      <c r="V703" s="663"/>
      <c r="W703" s="663"/>
      <c r="X703" s="663"/>
      <c r="Y703" s="663"/>
      <c r="Z703" s="663"/>
      <c r="AB703" s="663"/>
    </row>
    <row r="704">
      <c r="B704" s="663"/>
      <c r="C704" s="663"/>
      <c r="D704" s="663"/>
      <c r="E704" s="663"/>
      <c r="F704" s="663"/>
      <c r="G704" s="663"/>
      <c r="H704" s="663"/>
      <c r="I704" s="663"/>
      <c r="J704" s="663"/>
      <c r="K704" s="663"/>
      <c r="L704" s="663"/>
      <c r="M704" s="663"/>
      <c r="R704" s="663"/>
      <c r="S704" s="663"/>
      <c r="T704" s="663"/>
      <c r="U704" s="663"/>
      <c r="V704" s="663"/>
      <c r="W704" s="663"/>
      <c r="X704" s="663"/>
      <c r="Y704" s="663"/>
      <c r="Z704" s="663"/>
      <c r="AB704" s="663"/>
    </row>
    <row r="705">
      <c r="B705" s="663"/>
      <c r="C705" s="663"/>
      <c r="D705" s="663"/>
      <c r="E705" s="663"/>
      <c r="F705" s="663"/>
      <c r="G705" s="663"/>
      <c r="H705" s="663"/>
      <c r="I705" s="663"/>
      <c r="J705" s="663"/>
      <c r="K705" s="663"/>
      <c r="L705" s="663"/>
      <c r="M705" s="663"/>
      <c r="R705" s="663"/>
      <c r="S705" s="663"/>
      <c r="T705" s="663"/>
      <c r="U705" s="663"/>
      <c r="V705" s="663"/>
      <c r="W705" s="663"/>
      <c r="X705" s="663"/>
      <c r="Y705" s="663"/>
      <c r="Z705" s="663"/>
      <c r="AB705" s="663"/>
    </row>
    <row r="706">
      <c r="B706" s="663"/>
      <c r="C706" s="663"/>
      <c r="D706" s="663"/>
      <c r="E706" s="663"/>
      <c r="F706" s="663"/>
      <c r="G706" s="663"/>
      <c r="H706" s="663"/>
      <c r="I706" s="663"/>
      <c r="J706" s="663"/>
      <c r="K706" s="663"/>
      <c r="L706" s="663"/>
      <c r="M706" s="663"/>
      <c r="R706" s="663"/>
      <c r="S706" s="663"/>
      <c r="T706" s="663"/>
      <c r="U706" s="663"/>
      <c r="V706" s="663"/>
      <c r="W706" s="663"/>
      <c r="X706" s="663"/>
      <c r="Y706" s="663"/>
      <c r="Z706" s="663"/>
      <c r="AB706" s="663"/>
    </row>
    <row r="707">
      <c r="B707" s="663"/>
      <c r="C707" s="663"/>
      <c r="D707" s="663"/>
      <c r="E707" s="663"/>
      <c r="F707" s="663"/>
      <c r="G707" s="663"/>
      <c r="H707" s="663"/>
      <c r="I707" s="663"/>
      <c r="J707" s="663"/>
      <c r="K707" s="663"/>
      <c r="L707" s="663"/>
      <c r="M707" s="663"/>
      <c r="R707" s="663"/>
      <c r="S707" s="663"/>
      <c r="T707" s="663"/>
      <c r="U707" s="663"/>
      <c r="V707" s="663"/>
      <c r="W707" s="663"/>
      <c r="X707" s="663"/>
      <c r="Y707" s="663"/>
      <c r="Z707" s="663"/>
      <c r="AB707" s="663"/>
    </row>
    <row r="708">
      <c r="B708" s="663"/>
      <c r="C708" s="663"/>
      <c r="D708" s="663"/>
      <c r="E708" s="663"/>
      <c r="F708" s="663"/>
      <c r="G708" s="663"/>
      <c r="H708" s="663"/>
      <c r="I708" s="663"/>
      <c r="J708" s="663"/>
      <c r="K708" s="663"/>
      <c r="L708" s="663"/>
      <c r="M708" s="663"/>
      <c r="R708" s="663"/>
      <c r="S708" s="663"/>
      <c r="T708" s="663"/>
      <c r="U708" s="663"/>
      <c r="V708" s="663"/>
      <c r="W708" s="663"/>
      <c r="X708" s="663"/>
      <c r="Y708" s="663"/>
      <c r="Z708" s="663"/>
      <c r="AB708" s="663"/>
    </row>
    <row r="709">
      <c r="B709" s="663"/>
      <c r="C709" s="663"/>
      <c r="D709" s="663"/>
      <c r="E709" s="663"/>
      <c r="F709" s="663"/>
      <c r="G709" s="663"/>
      <c r="H709" s="663"/>
      <c r="I709" s="663"/>
      <c r="J709" s="663"/>
      <c r="K709" s="663"/>
      <c r="L709" s="663"/>
      <c r="M709" s="663"/>
      <c r="R709" s="663"/>
      <c r="S709" s="663"/>
      <c r="T709" s="663"/>
      <c r="U709" s="663"/>
      <c r="V709" s="663"/>
      <c r="W709" s="663"/>
      <c r="X709" s="663"/>
      <c r="Y709" s="663"/>
      <c r="Z709" s="663"/>
      <c r="AB709" s="663"/>
    </row>
    <row r="710">
      <c r="B710" s="663"/>
      <c r="C710" s="663"/>
      <c r="D710" s="663"/>
      <c r="E710" s="663"/>
      <c r="F710" s="663"/>
      <c r="G710" s="663"/>
      <c r="H710" s="663"/>
      <c r="I710" s="663"/>
      <c r="J710" s="663"/>
      <c r="K710" s="663"/>
      <c r="L710" s="663"/>
      <c r="M710" s="663"/>
      <c r="R710" s="663"/>
      <c r="S710" s="663"/>
      <c r="T710" s="663"/>
      <c r="U710" s="663"/>
      <c r="V710" s="663"/>
      <c r="W710" s="663"/>
      <c r="X710" s="663"/>
      <c r="Y710" s="663"/>
      <c r="Z710" s="663"/>
      <c r="AB710" s="663"/>
    </row>
    <row r="711">
      <c r="B711" s="663"/>
      <c r="C711" s="663"/>
      <c r="D711" s="663"/>
      <c r="E711" s="663"/>
      <c r="F711" s="663"/>
      <c r="G711" s="663"/>
      <c r="H711" s="663"/>
      <c r="I711" s="663"/>
      <c r="J711" s="663"/>
      <c r="K711" s="663"/>
      <c r="L711" s="663"/>
      <c r="M711" s="663"/>
      <c r="R711" s="663"/>
      <c r="S711" s="663"/>
      <c r="T711" s="663"/>
      <c r="U711" s="663"/>
      <c r="V711" s="663"/>
      <c r="W711" s="663"/>
      <c r="X711" s="663"/>
      <c r="Y711" s="663"/>
      <c r="Z711" s="663"/>
      <c r="AB711" s="663"/>
    </row>
    <row r="712">
      <c r="B712" s="663"/>
      <c r="C712" s="663"/>
      <c r="D712" s="663"/>
      <c r="E712" s="663"/>
      <c r="F712" s="663"/>
      <c r="G712" s="663"/>
      <c r="H712" s="663"/>
      <c r="I712" s="663"/>
      <c r="J712" s="663"/>
      <c r="K712" s="663"/>
      <c r="L712" s="663"/>
      <c r="M712" s="663"/>
      <c r="R712" s="663"/>
      <c r="S712" s="663"/>
      <c r="T712" s="663"/>
      <c r="U712" s="663"/>
      <c r="V712" s="663"/>
      <c r="W712" s="663"/>
      <c r="X712" s="663"/>
      <c r="Y712" s="663"/>
      <c r="Z712" s="663"/>
      <c r="AB712" s="663"/>
    </row>
    <row r="713">
      <c r="B713" s="663"/>
      <c r="C713" s="663"/>
      <c r="D713" s="663"/>
      <c r="E713" s="663"/>
      <c r="F713" s="663"/>
      <c r="G713" s="663"/>
      <c r="H713" s="663"/>
      <c r="I713" s="663"/>
      <c r="J713" s="663"/>
      <c r="K713" s="663"/>
      <c r="L713" s="663"/>
      <c r="M713" s="663"/>
      <c r="R713" s="663"/>
      <c r="S713" s="663"/>
      <c r="T713" s="663"/>
      <c r="U713" s="663"/>
      <c r="V713" s="663"/>
      <c r="W713" s="663"/>
      <c r="X713" s="663"/>
      <c r="Y713" s="663"/>
      <c r="Z713" s="663"/>
      <c r="AB713" s="663"/>
    </row>
    <row r="714">
      <c r="B714" s="663"/>
      <c r="C714" s="663"/>
      <c r="D714" s="663"/>
      <c r="E714" s="663"/>
      <c r="F714" s="663"/>
      <c r="G714" s="663"/>
      <c r="H714" s="663"/>
      <c r="I714" s="663"/>
      <c r="J714" s="663"/>
      <c r="K714" s="663"/>
      <c r="L714" s="663"/>
      <c r="M714" s="663"/>
      <c r="R714" s="663"/>
      <c r="S714" s="663"/>
      <c r="T714" s="663"/>
      <c r="U714" s="663"/>
      <c r="V714" s="663"/>
      <c r="W714" s="663"/>
      <c r="X714" s="663"/>
      <c r="Y714" s="663"/>
      <c r="Z714" s="663"/>
      <c r="AB714" s="663"/>
    </row>
    <row r="715">
      <c r="B715" s="663"/>
      <c r="C715" s="663"/>
      <c r="D715" s="663"/>
      <c r="E715" s="663"/>
      <c r="F715" s="663"/>
      <c r="G715" s="663"/>
      <c r="H715" s="663"/>
      <c r="I715" s="663"/>
      <c r="J715" s="663"/>
      <c r="K715" s="663"/>
      <c r="L715" s="663"/>
      <c r="M715" s="663"/>
      <c r="R715" s="663"/>
      <c r="S715" s="663"/>
      <c r="T715" s="663"/>
      <c r="U715" s="663"/>
      <c r="V715" s="663"/>
      <c r="W715" s="663"/>
      <c r="X715" s="663"/>
      <c r="Y715" s="663"/>
      <c r="Z715" s="663"/>
      <c r="AB715" s="663"/>
    </row>
    <row r="716">
      <c r="B716" s="663"/>
      <c r="C716" s="663"/>
      <c r="D716" s="663"/>
      <c r="E716" s="663"/>
      <c r="F716" s="663"/>
      <c r="G716" s="663"/>
      <c r="H716" s="663"/>
      <c r="I716" s="663"/>
      <c r="J716" s="663"/>
      <c r="K716" s="663"/>
      <c r="L716" s="663"/>
      <c r="M716" s="663"/>
      <c r="R716" s="663"/>
      <c r="S716" s="663"/>
      <c r="T716" s="663"/>
      <c r="U716" s="663"/>
      <c r="V716" s="663"/>
      <c r="W716" s="663"/>
      <c r="X716" s="663"/>
      <c r="Y716" s="663"/>
      <c r="Z716" s="663"/>
      <c r="AB716" s="663"/>
    </row>
    <row r="717">
      <c r="B717" s="663"/>
      <c r="C717" s="663"/>
      <c r="D717" s="663"/>
      <c r="E717" s="663"/>
      <c r="F717" s="663"/>
      <c r="G717" s="663"/>
      <c r="H717" s="663"/>
      <c r="I717" s="663"/>
      <c r="J717" s="663"/>
      <c r="K717" s="663"/>
      <c r="L717" s="663"/>
      <c r="M717" s="663"/>
      <c r="R717" s="663"/>
      <c r="S717" s="663"/>
      <c r="T717" s="663"/>
      <c r="U717" s="663"/>
      <c r="V717" s="663"/>
      <c r="W717" s="663"/>
      <c r="X717" s="663"/>
      <c r="Y717" s="663"/>
      <c r="Z717" s="663"/>
      <c r="AB717" s="663"/>
    </row>
    <row r="718">
      <c r="B718" s="663"/>
      <c r="C718" s="663"/>
      <c r="D718" s="663"/>
      <c r="E718" s="663"/>
      <c r="F718" s="663"/>
      <c r="G718" s="663"/>
      <c r="H718" s="663"/>
      <c r="I718" s="663"/>
      <c r="J718" s="663"/>
      <c r="K718" s="663"/>
      <c r="L718" s="663"/>
      <c r="M718" s="663"/>
      <c r="R718" s="663"/>
      <c r="S718" s="663"/>
      <c r="T718" s="663"/>
      <c r="U718" s="663"/>
      <c r="V718" s="663"/>
      <c r="W718" s="663"/>
      <c r="X718" s="663"/>
      <c r="Y718" s="663"/>
      <c r="Z718" s="663"/>
      <c r="AB718" s="663"/>
    </row>
    <row r="719">
      <c r="B719" s="663"/>
      <c r="C719" s="663"/>
      <c r="D719" s="663"/>
      <c r="E719" s="663"/>
      <c r="F719" s="663"/>
      <c r="G719" s="663"/>
      <c r="H719" s="663"/>
      <c r="I719" s="663"/>
      <c r="J719" s="663"/>
      <c r="K719" s="663"/>
      <c r="L719" s="663"/>
      <c r="M719" s="663"/>
      <c r="R719" s="663"/>
      <c r="S719" s="663"/>
      <c r="T719" s="663"/>
      <c r="U719" s="663"/>
      <c r="V719" s="663"/>
      <c r="W719" s="663"/>
      <c r="X719" s="663"/>
      <c r="Y719" s="663"/>
      <c r="Z719" s="663"/>
      <c r="AB719" s="663"/>
    </row>
    <row r="720">
      <c r="B720" s="663"/>
      <c r="C720" s="663"/>
      <c r="D720" s="663"/>
      <c r="E720" s="663"/>
      <c r="F720" s="663"/>
      <c r="G720" s="663"/>
      <c r="H720" s="663"/>
      <c r="I720" s="663"/>
      <c r="J720" s="663"/>
      <c r="K720" s="663"/>
      <c r="L720" s="663"/>
      <c r="M720" s="663"/>
      <c r="R720" s="663"/>
      <c r="S720" s="663"/>
      <c r="T720" s="663"/>
      <c r="U720" s="663"/>
      <c r="V720" s="663"/>
      <c r="W720" s="663"/>
      <c r="X720" s="663"/>
      <c r="Y720" s="663"/>
      <c r="Z720" s="663"/>
      <c r="AB720" s="663"/>
    </row>
    <row r="721">
      <c r="B721" s="663"/>
      <c r="C721" s="663"/>
      <c r="D721" s="663"/>
      <c r="E721" s="663"/>
      <c r="F721" s="663"/>
      <c r="G721" s="663"/>
      <c r="H721" s="663"/>
      <c r="I721" s="663"/>
      <c r="J721" s="663"/>
      <c r="K721" s="663"/>
      <c r="L721" s="663"/>
      <c r="M721" s="663"/>
      <c r="R721" s="663"/>
      <c r="S721" s="663"/>
      <c r="T721" s="663"/>
      <c r="U721" s="663"/>
      <c r="V721" s="663"/>
      <c r="W721" s="663"/>
      <c r="X721" s="663"/>
      <c r="Y721" s="663"/>
      <c r="Z721" s="663"/>
      <c r="AB721" s="663"/>
    </row>
    <row r="722">
      <c r="B722" s="663"/>
      <c r="C722" s="663"/>
      <c r="D722" s="663"/>
      <c r="E722" s="663"/>
      <c r="F722" s="663"/>
      <c r="G722" s="663"/>
      <c r="H722" s="663"/>
      <c r="I722" s="663"/>
      <c r="J722" s="663"/>
      <c r="K722" s="663"/>
      <c r="L722" s="663"/>
      <c r="M722" s="663"/>
      <c r="R722" s="663"/>
      <c r="S722" s="663"/>
      <c r="T722" s="663"/>
      <c r="U722" s="663"/>
      <c r="V722" s="663"/>
      <c r="W722" s="663"/>
      <c r="X722" s="663"/>
      <c r="Y722" s="663"/>
      <c r="Z722" s="663"/>
      <c r="AB722" s="663"/>
    </row>
    <row r="723">
      <c r="B723" s="663"/>
      <c r="C723" s="663"/>
      <c r="D723" s="663"/>
      <c r="E723" s="663"/>
      <c r="F723" s="663"/>
      <c r="G723" s="663"/>
      <c r="H723" s="663"/>
      <c r="I723" s="663"/>
      <c r="J723" s="663"/>
      <c r="K723" s="663"/>
      <c r="L723" s="663"/>
      <c r="M723" s="663"/>
      <c r="R723" s="663"/>
      <c r="S723" s="663"/>
      <c r="T723" s="663"/>
      <c r="U723" s="663"/>
      <c r="V723" s="663"/>
      <c r="W723" s="663"/>
      <c r="X723" s="663"/>
      <c r="Y723" s="663"/>
      <c r="Z723" s="663"/>
      <c r="AB723" s="663"/>
    </row>
    <row r="724">
      <c r="B724" s="663"/>
      <c r="C724" s="663"/>
      <c r="D724" s="663"/>
      <c r="E724" s="663"/>
      <c r="F724" s="663"/>
      <c r="G724" s="663"/>
      <c r="H724" s="663"/>
      <c r="I724" s="663"/>
      <c r="J724" s="663"/>
      <c r="K724" s="663"/>
      <c r="L724" s="663"/>
      <c r="M724" s="663"/>
      <c r="R724" s="663"/>
      <c r="S724" s="663"/>
      <c r="T724" s="663"/>
      <c r="U724" s="663"/>
      <c r="V724" s="663"/>
      <c r="W724" s="663"/>
      <c r="X724" s="663"/>
      <c r="Y724" s="663"/>
      <c r="Z724" s="663"/>
      <c r="AB724" s="663"/>
    </row>
    <row r="725">
      <c r="B725" s="663"/>
      <c r="C725" s="663"/>
      <c r="D725" s="663"/>
      <c r="E725" s="663"/>
      <c r="F725" s="663"/>
      <c r="G725" s="663"/>
      <c r="H725" s="663"/>
      <c r="I725" s="663"/>
      <c r="J725" s="663"/>
      <c r="K725" s="663"/>
      <c r="L725" s="663"/>
      <c r="M725" s="663"/>
      <c r="R725" s="663"/>
      <c r="S725" s="663"/>
      <c r="T725" s="663"/>
      <c r="U725" s="663"/>
      <c r="V725" s="663"/>
      <c r="W725" s="663"/>
      <c r="X725" s="663"/>
      <c r="Y725" s="663"/>
      <c r="Z725" s="663"/>
      <c r="AB725" s="663"/>
    </row>
    <row r="726">
      <c r="B726" s="663"/>
      <c r="C726" s="663"/>
      <c r="D726" s="663"/>
      <c r="E726" s="663"/>
      <c r="F726" s="663"/>
      <c r="G726" s="663"/>
      <c r="H726" s="663"/>
      <c r="I726" s="663"/>
      <c r="J726" s="663"/>
      <c r="K726" s="663"/>
      <c r="L726" s="663"/>
      <c r="M726" s="663"/>
      <c r="R726" s="663"/>
      <c r="S726" s="663"/>
      <c r="T726" s="663"/>
      <c r="U726" s="663"/>
      <c r="V726" s="663"/>
      <c r="W726" s="663"/>
      <c r="X726" s="663"/>
      <c r="Y726" s="663"/>
      <c r="Z726" s="663"/>
      <c r="AB726" s="663"/>
    </row>
    <row r="727">
      <c r="B727" s="663"/>
      <c r="C727" s="663"/>
      <c r="D727" s="663"/>
      <c r="E727" s="663"/>
      <c r="F727" s="663"/>
      <c r="G727" s="663"/>
      <c r="H727" s="663"/>
      <c r="I727" s="663"/>
      <c r="J727" s="663"/>
      <c r="K727" s="663"/>
      <c r="L727" s="663"/>
      <c r="M727" s="663"/>
      <c r="R727" s="663"/>
      <c r="S727" s="663"/>
      <c r="T727" s="663"/>
      <c r="U727" s="663"/>
      <c r="V727" s="663"/>
      <c r="W727" s="663"/>
      <c r="X727" s="663"/>
      <c r="Y727" s="663"/>
      <c r="Z727" s="663"/>
      <c r="AB727" s="663"/>
    </row>
    <row r="728">
      <c r="B728" s="663"/>
      <c r="C728" s="663"/>
      <c r="D728" s="663"/>
      <c r="E728" s="663"/>
      <c r="F728" s="663"/>
      <c r="G728" s="663"/>
      <c r="H728" s="663"/>
      <c r="I728" s="663"/>
      <c r="J728" s="663"/>
      <c r="K728" s="663"/>
      <c r="L728" s="663"/>
      <c r="M728" s="663"/>
      <c r="R728" s="663"/>
      <c r="S728" s="663"/>
      <c r="T728" s="663"/>
      <c r="U728" s="663"/>
      <c r="V728" s="663"/>
      <c r="W728" s="663"/>
      <c r="X728" s="663"/>
      <c r="Y728" s="663"/>
      <c r="Z728" s="663"/>
      <c r="AB728" s="663"/>
    </row>
    <row r="729">
      <c r="B729" s="663"/>
      <c r="C729" s="663"/>
      <c r="D729" s="663"/>
      <c r="E729" s="663"/>
      <c r="F729" s="663"/>
      <c r="G729" s="663"/>
      <c r="H729" s="663"/>
      <c r="I729" s="663"/>
      <c r="J729" s="663"/>
      <c r="K729" s="663"/>
      <c r="L729" s="663"/>
      <c r="M729" s="663"/>
      <c r="R729" s="663"/>
      <c r="S729" s="663"/>
      <c r="T729" s="663"/>
      <c r="U729" s="663"/>
      <c r="V729" s="663"/>
      <c r="W729" s="663"/>
      <c r="X729" s="663"/>
      <c r="Y729" s="663"/>
      <c r="Z729" s="663"/>
      <c r="AB729" s="663"/>
    </row>
    <row r="730">
      <c r="B730" s="663"/>
      <c r="C730" s="663"/>
      <c r="D730" s="663"/>
      <c r="E730" s="663"/>
      <c r="F730" s="663"/>
      <c r="G730" s="663"/>
      <c r="H730" s="663"/>
      <c r="I730" s="663"/>
      <c r="J730" s="663"/>
      <c r="K730" s="663"/>
      <c r="L730" s="663"/>
      <c r="M730" s="663"/>
      <c r="R730" s="663"/>
      <c r="S730" s="663"/>
      <c r="T730" s="663"/>
      <c r="U730" s="663"/>
      <c r="V730" s="663"/>
      <c r="W730" s="663"/>
      <c r="X730" s="663"/>
      <c r="Y730" s="663"/>
      <c r="Z730" s="663"/>
      <c r="AB730" s="663"/>
    </row>
    <row r="731">
      <c r="B731" s="663"/>
      <c r="C731" s="663"/>
      <c r="D731" s="663"/>
      <c r="E731" s="663"/>
      <c r="F731" s="663"/>
      <c r="G731" s="663"/>
      <c r="H731" s="663"/>
      <c r="I731" s="663"/>
      <c r="J731" s="663"/>
      <c r="K731" s="663"/>
      <c r="L731" s="663"/>
      <c r="M731" s="663"/>
      <c r="R731" s="663"/>
      <c r="S731" s="663"/>
      <c r="T731" s="663"/>
      <c r="U731" s="663"/>
      <c r="V731" s="663"/>
      <c r="W731" s="663"/>
      <c r="X731" s="663"/>
      <c r="Y731" s="663"/>
      <c r="Z731" s="663"/>
      <c r="AB731" s="663"/>
    </row>
    <row r="732">
      <c r="B732" s="663"/>
      <c r="C732" s="663"/>
      <c r="D732" s="663"/>
      <c r="E732" s="663"/>
      <c r="F732" s="663"/>
      <c r="G732" s="663"/>
      <c r="H732" s="663"/>
      <c r="I732" s="663"/>
      <c r="J732" s="663"/>
      <c r="K732" s="663"/>
      <c r="L732" s="663"/>
      <c r="M732" s="663"/>
      <c r="R732" s="663"/>
      <c r="S732" s="663"/>
      <c r="T732" s="663"/>
      <c r="U732" s="663"/>
      <c r="V732" s="663"/>
      <c r="W732" s="663"/>
      <c r="X732" s="663"/>
      <c r="Y732" s="663"/>
      <c r="Z732" s="663"/>
      <c r="AB732" s="663"/>
    </row>
    <row r="733">
      <c r="B733" s="663"/>
      <c r="C733" s="663"/>
      <c r="D733" s="663"/>
      <c r="E733" s="663"/>
      <c r="F733" s="663"/>
      <c r="G733" s="663"/>
      <c r="H733" s="663"/>
      <c r="I733" s="663"/>
      <c r="J733" s="663"/>
      <c r="K733" s="663"/>
      <c r="L733" s="663"/>
      <c r="M733" s="663"/>
      <c r="R733" s="663"/>
      <c r="S733" s="663"/>
      <c r="T733" s="663"/>
      <c r="U733" s="663"/>
      <c r="V733" s="663"/>
      <c r="W733" s="663"/>
      <c r="X733" s="663"/>
      <c r="Y733" s="663"/>
      <c r="Z733" s="663"/>
      <c r="AB733" s="663"/>
    </row>
    <row r="734">
      <c r="B734" s="663"/>
      <c r="C734" s="663"/>
      <c r="D734" s="663"/>
      <c r="E734" s="663"/>
      <c r="F734" s="663"/>
      <c r="G734" s="663"/>
      <c r="H734" s="663"/>
      <c r="I734" s="663"/>
      <c r="J734" s="663"/>
      <c r="K734" s="663"/>
      <c r="L734" s="663"/>
      <c r="M734" s="663"/>
      <c r="R734" s="663"/>
      <c r="S734" s="663"/>
      <c r="T734" s="663"/>
      <c r="U734" s="663"/>
      <c r="V734" s="663"/>
      <c r="W734" s="663"/>
      <c r="X734" s="663"/>
      <c r="Y734" s="663"/>
      <c r="Z734" s="663"/>
      <c r="AB734" s="663"/>
    </row>
    <row r="735">
      <c r="B735" s="663"/>
      <c r="C735" s="663"/>
      <c r="D735" s="663"/>
      <c r="E735" s="663"/>
      <c r="F735" s="663"/>
      <c r="G735" s="663"/>
      <c r="H735" s="663"/>
      <c r="I735" s="663"/>
      <c r="J735" s="663"/>
      <c r="K735" s="663"/>
      <c r="L735" s="663"/>
      <c r="M735" s="663"/>
      <c r="R735" s="663"/>
      <c r="S735" s="663"/>
      <c r="T735" s="663"/>
      <c r="U735" s="663"/>
      <c r="V735" s="663"/>
      <c r="W735" s="663"/>
      <c r="X735" s="663"/>
      <c r="Y735" s="663"/>
      <c r="Z735" s="663"/>
      <c r="AB735" s="663"/>
    </row>
    <row r="736">
      <c r="B736" s="663"/>
      <c r="C736" s="663"/>
      <c r="D736" s="663"/>
      <c r="E736" s="663"/>
      <c r="F736" s="663"/>
      <c r="G736" s="663"/>
      <c r="H736" s="663"/>
      <c r="I736" s="663"/>
      <c r="J736" s="663"/>
      <c r="K736" s="663"/>
      <c r="L736" s="663"/>
      <c r="M736" s="663"/>
      <c r="R736" s="663"/>
      <c r="S736" s="663"/>
      <c r="T736" s="663"/>
      <c r="U736" s="663"/>
      <c r="V736" s="663"/>
      <c r="W736" s="663"/>
      <c r="X736" s="663"/>
      <c r="Y736" s="663"/>
      <c r="Z736" s="663"/>
      <c r="AB736" s="663"/>
    </row>
    <row r="737">
      <c r="B737" s="663"/>
      <c r="C737" s="663"/>
      <c r="D737" s="663"/>
      <c r="E737" s="663"/>
      <c r="F737" s="663"/>
      <c r="G737" s="663"/>
      <c r="H737" s="663"/>
      <c r="I737" s="663"/>
      <c r="J737" s="663"/>
      <c r="K737" s="663"/>
      <c r="L737" s="663"/>
      <c r="M737" s="663"/>
      <c r="R737" s="663"/>
      <c r="S737" s="663"/>
      <c r="T737" s="663"/>
      <c r="U737" s="663"/>
      <c r="V737" s="663"/>
      <c r="W737" s="663"/>
      <c r="X737" s="663"/>
      <c r="Y737" s="663"/>
      <c r="Z737" s="663"/>
      <c r="AB737" s="663"/>
    </row>
    <row r="738">
      <c r="B738" s="663"/>
      <c r="C738" s="663"/>
      <c r="D738" s="663"/>
      <c r="E738" s="663"/>
      <c r="F738" s="663"/>
      <c r="G738" s="663"/>
      <c r="H738" s="663"/>
      <c r="I738" s="663"/>
      <c r="J738" s="663"/>
      <c r="K738" s="663"/>
      <c r="L738" s="663"/>
      <c r="M738" s="663"/>
      <c r="R738" s="663"/>
      <c r="S738" s="663"/>
      <c r="T738" s="663"/>
      <c r="U738" s="663"/>
      <c r="V738" s="663"/>
      <c r="W738" s="663"/>
      <c r="X738" s="663"/>
      <c r="Y738" s="663"/>
      <c r="Z738" s="663"/>
      <c r="AB738" s="663"/>
    </row>
    <row r="739">
      <c r="B739" s="663"/>
      <c r="C739" s="663"/>
      <c r="D739" s="663"/>
      <c r="E739" s="663"/>
      <c r="F739" s="663"/>
      <c r="G739" s="663"/>
      <c r="H739" s="663"/>
      <c r="I739" s="663"/>
      <c r="J739" s="663"/>
      <c r="K739" s="663"/>
      <c r="L739" s="663"/>
      <c r="M739" s="663"/>
      <c r="R739" s="663"/>
      <c r="S739" s="663"/>
      <c r="T739" s="663"/>
      <c r="U739" s="663"/>
      <c r="V739" s="663"/>
      <c r="W739" s="663"/>
      <c r="X739" s="663"/>
      <c r="Y739" s="663"/>
      <c r="Z739" s="663"/>
      <c r="AB739" s="663"/>
    </row>
    <row r="740">
      <c r="B740" s="663"/>
      <c r="C740" s="663"/>
      <c r="D740" s="663"/>
      <c r="E740" s="663"/>
      <c r="F740" s="663"/>
      <c r="G740" s="663"/>
      <c r="H740" s="663"/>
      <c r="I740" s="663"/>
      <c r="J740" s="663"/>
      <c r="K740" s="663"/>
      <c r="L740" s="663"/>
      <c r="M740" s="663"/>
      <c r="R740" s="663"/>
      <c r="S740" s="663"/>
      <c r="T740" s="663"/>
      <c r="U740" s="663"/>
      <c r="V740" s="663"/>
      <c r="W740" s="663"/>
      <c r="X740" s="663"/>
      <c r="Y740" s="663"/>
      <c r="Z740" s="663"/>
      <c r="AB740" s="663"/>
    </row>
    <row r="741">
      <c r="B741" s="663"/>
      <c r="C741" s="663"/>
      <c r="D741" s="663"/>
      <c r="E741" s="663"/>
      <c r="F741" s="663"/>
      <c r="G741" s="663"/>
      <c r="H741" s="663"/>
      <c r="I741" s="663"/>
      <c r="J741" s="663"/>
      <c r="K741" s="663"/>
      <c r="L741" s="663"/>
      <c r="M741" s="663"/>
      <c r="R741" s="663"/>
      <c r="S741" s="663"/>
      <c r="T741" s="663"/>
      <c r="U741" s="663"/>
      <c r="V741" s="663"/>
      <c r="W741" s="663"/>
      <c r="X741" s="663"/>
      <c r="Y741" s="663"/>
      <c r="Z741" s="663"/>
      <c r="AB741" s="663"/>
    </row>
    <row r="742">
      <c r="B742" s="663"/>
      <c r="C742" s="663"/>
      <c r="D742" s="663"/>
      <c r="E742" s="663"/>
      <c r="F742" s="663"/>
      <c r="G742" s="663"/>
      <c r="H742" s="663"/>
      <c r="I742" s="663"/>
      <c r="J742" s="663"/>
      <c r="K742" s="663"/>
      <c r="L742" s="663"/>
      <c r="M742" s="663"/>
      <c r="R742" s="663"/>
      <c r="S742" s="663"/>
      <c r="T742" s="663"/>
      <c r="U742" s="663"/>
      <c r="V742" s="663"/>
      <c r="W742" s="663"/>
      <c r="X742" s="663"/>
      <c r="Y742" s="663"/>
      <c r="Z742" s="663"/>
      <c r="AB742" s="663"/>
    </row>
    <row r="743">
      <c r="B743" s="663"/>
      <c r="C743" s="663"/>
      <c r="D743" s="663"/>
      <c r="E743" s="663"/>
      <c r="F743" s="663"/>
      <c r="G743" s="663"/>
      <c r="H743" s="663"/>
      <c r="I743" s="663"/>
      <c r="J743" s="663"/>
      <c r="K743" s="663"/>
      <c r="L743" s="663"/>
      <c r="M743" s="663"/>
      <c r="R743" s="663"/>
      <c r="S743" s="663"/>
      <c r="T743" s="663"/>
      <c r="U743" s="663"/>
      <c r="V743" s="663"/>
      <c r="W743" s="663"/>
      <c r="X743" s="663"/>
      <c r="Y743" s="663"/>
      <c r="Z743" s="663"/>
      <c r="AB743" s="663"/>
    </row>
    <row r="744">
      <c r="B744" s="663"/>
      <c r="C744" s="663"/>
      <c r="D744" s="663"/>
      <c r="E744" s="663"/>
      <c r="F744" s="663"/>
      <c r="G744" s="663"/>
      <c r="H744" s="663"/>
      <c r="I744" s="663"/>
      <c r="J744" s="663"/>
      <c r="K744" s="663"/>
      <c r="L744" s="663"/>
      <c r="M744" s="663"/>
      <c r="R744" s="663"/>
      <c r="S744" s="663"/>
      <c r="T744" s="663"/>
      <c r="U744" s="663"/>
      <c r="V744" s="663"/>
      <c r="W744" s="663"/>
      <c r="X744" s="663"/>
      <c r="Y744" s="663"/>
      <c r="Z744" s="663"/>
      <c r="AB744" s="663"/>
    </row>
    <row r="745">
      <c r="B745" s="663"/>
      <c r="C745" s="663"/>
      <c r="D745" s="663"/>
      <c r="E745" s="663"/>
      <c r="F745" s="663"/>
      <c r="G745" s="663"/>
      <c r="H745" s="663"/>
      <c r="I745" s="663"/>
      <c r="J745" s="663"/>
      <c r="K745" s="663"/>
      <c r="L745" s="663"/>
      <c r="M745" s="663"/>
      <c r="R745" s="663"/>
      <c r="S745" s="663"/>
      <c r="T745" s="663"/>
      <c r="U745" s="663"/>
      <c r="V745" s="663"/>
      <c r="W745" s="663"/>
      <c r="X745" s="663"/>
      <c r="Y745" s="663"/>
      <c r="Z745" s="663"/>
      <c r="AB745" s="663"/>
    </row>
    <row r="746">
      <c r="B746" s="663"/>
      <c r="C746" s="663"/>
      <c r="D746" s="663"/>
      <c r="E746" s="663"/>
      <c r="F746" s="663"/>
      <c r="G746" s="663"/>
      <c r="H746" s="663"/>
      <c r="I746" s="663"/>
      <c r="J746" s="663"/>
      <c r="K746" s="663"/>
      <c r="L746" s="663"/>
      <c r="M746" s="663"/>
      <c r="R746" s="663"/>
      <c r="S746" s="663"/>
      <c r="T746" s="663"/>
      <c r="U746" s="663"/>
      <c r="V746" s="663"/>
      <c r="W746" s="663"/>
      <c r="X746" s="663"/>
      <c r="Y746" s="663"/>
      <c r="Z746" s="663"/>
      <c r="AB746" s="663"/>
    </row>
    <row r="747">
      <c r="B747" s="663"/>
      <c r="C747" s="663"/>
      <c r="D747" s="663"/>
      <c r="E747" s="663"/>
      <c r="F747" s="663"/>
      <c r="G747" s="663"/>
      <c r="H747" s="663"/>
      <c r="I747" s="663"/>
      <c r="J747" s="663"/>
      <c r="K747" s="663"/>
      <c r="L747" s="663"/>
      <c r="M747" s="663"/>
      <c r="R747" s="663"/>
      <c r="S747" s="663"/>
      <c r="T747" s="663"/>
      <c r="U747" s="663"/>
      <c r="V747" s="663"/>
      <c r="W747" s="663"/>
      <c r="X747" s="663"/>
      <c r="Y747" s="663"/>
      <c r="Z747" s="663"/>
      <c r="AB747" s="663"/>
    </row>
    <row r="748">
      <c r="B748" s="663"/>
      <c r="C748" s="663"/>
      <c r="D748" s="663"/>
      <c r="E748" s="663"/>
      <c r="F748" s="663"/>
      <c r="G748" s="663"/>
      <c r="H748" s="663"/>
      <c r="I748" s="663"/>
      <c r="J748" s="663"/>
      <c r="K748" s="663"/>
      <c r="L748" s="663"/>
      <c r="M748" s="663"/>
      <c r="R748" s="663"/>
      <c r="S748" s="663"/>
      <c r="T748" s="663"/>
      <c r="U748" s="663"/>
      <c r="V748" s="663"/>
      <c r="W748" s="663"/>
      <c r="X748" s="663"/>
      <c r="Y748" s="663"/>
      <c r="Z748" s="663"/>
      <c r="AB748" s="663"/>
    </row>
    <row r="749">
      <c r="B749" s="663"/>
      <c r="C749" s="663"/>
      <c r="D749" s="663"/>
      <c r="E749" s="663"/>
      <c r="F749" s="663"/>
      <c r="G749" s="663"/>
      <c r="H749" s="663"/>
      <c r="I749" s="663"/>
      <c r="J749" s="663"/>
      <c r="K749" s="663"/>
      <c r="L749" s="663"/>
      <c r="M749" s="663"/>
      <c r="R749" s="663"/>
      <c r="S749" s="663"/>
      <c r="T749" s="663"/>
      <c r="U749" s="663"/>
      <c r="V749" s="663"/>
      <c r="W749" s="663"/>
      <c r="X749" s="663"/>
      <c r="Y749" s="663"/>
      <c r="Z749" s="663"/>
      <c r="AB749" s="663"/>
    </row>
    <row r="750">
      <c r="B750" s="663"/>
      <c r="C750" s="663"/>
      <c r="D750" s="663"/>
      <c r="E750" s="663"/>
      <c r="F750" s="663"/>
      <c r="G750" s="663"/>
      <c r="H750" s="663"/>
      <c r="I750" s="663"/>
      <c r="J750" s="663"/>
      <c r="K750" s="663"/>
      <c r="L750" s="663"/>
      <c r="M750" s="663"/>
      <c r="R750" s="663"/>
      <c r="S750" s="663"/>
      <c r="T750" s="663"/>
      <c r="U750" s="663"/>
      <c r="V750" s="663"/>
      <c r="W750" s="663"/>
      <c r="X750" s="663"/>
      <c r="Y750" s="663"/>
      <c r="Z750" s="663"/>
      <c r="AB750" s="663"/>
    </row>
    <row r="751">
      <c r="B751" s="663"/>
      <c r="C751" s="663"/>
      <c r="D751" s="663"/>
      <c r="E751" s="663"/>
      <c r="F751" s="663"/>
      <c r="G751" s="663"/>
      <c r="H751" s="663"/>
      <c r="I751" s="663"/>
      <c r="J751" s="663"/>
      <c r="K751" s="663"/>
      <c r="L751" s="663"/>
      <c r="M751" s="663"/>
      <c r="R751" s="663"/>
      <c r="S751" s="663"/>
      <c r="T751" s="663"/>
      <c r="U751" s="663"/>
      <c r="V751" s="663"/>
      <c r="W751" s="663"/>
      <c r="X751" s="663"/>
      <c r="Y751" s="663"/>
      <c r="Z751" s="663"/>
      <c r="AB751" s="663"/>
    </row>
    <row r="752">
      <c r="B752" s="663"/>
      <c r="C752" s="663"/>
      <c r="D752" s="663"/>
      <c r="E752" s="663"/>
      <c r="F752" s="663"/>
      <c r="G752" s="663"/>
      <c r="H752" s="663"/>
      <c r="I752" s="663"/>
      <c r="J752" s="663"/>
      <c r="K752" s="663"/>
      <c r="L752" s="663"/>
      <c r="M752" s="663"/>
      <c r="R752" s="663"/>
      <c r="S752" s="663"/>
      <c r="T752" s="663"/>
      <c r="U752" s="663"/>
      <c r="V752" s="663"/>
      <c r="W752" s="663"/>
      <c r="X752" s="663"/>
      <c r="Y752" s="663"/>
      <c r="Z752" s="663"/>
      <c r="AB752" s="663"/>
    </row>
    <row r="753">
      <c r="B753" s="663"/>
      <c r="C753" s="663"/>
      <c r="D753" s="663"/>
      <c r="E753" s="663"/>
      <c r="F753" s="663"/>
      <c r="G753" s="663"/>
      <c r="H753" s="663"/>
      <c r="I753" s="663"/>
      <c r="J753" s="663"/>
      <c r="K753" s="663"/>
      <c r="L753" s="663"/>
      <c r="M753" s="663"/>
      <c r="R753" s="663"/>
      <c r="S753" s="663"/>
      <c r="T753" s="663"/>
      <c r="U753" s="663"/>
      <c r="V753" s="663"/>
      <c r="W753" s="663"/>
      <c r="X753" s="663"/>
      <c r="Y753" s="663"/>
      <c r="Z753" s="663"/>
      <c r="AB753" s="663"/>
    </row>
    <row r="754">
      <c r="B754" s="663"/>
      <c r="C754" s="663"/>
      <c r="D754" s="663"/>
      <c r="E754" s="663"/>
      <c r="F754" s="663"/>
      <c r="G754" s="663"/>
      <c r="H754" s="663"/>
      <c r="I754" s="663"/>
      <c r="J754" s="663"/>
      <c r="K754" s="663"/>
      <c r="L754" s="663"/>
      <c r="M754" s="663"/>
      <c r="R754" s="663"/>
      <c r="S754" s="663"/>
      <c r="T754" s="663"/>
      <c r="U754" s="663"/>
      <c r="V754" s="663"/>
      <c r="W754" s="663"/>
      <c r="X754" s="663"/>
      <c r="Y754" s="663"/>
      <c r="Z754" s="663"/>
      <c r="AB754" s="663"/>
    </row>
    <row r="755">
      <c r="B755" s="663"/>
      <c r="C755" s="663"/>
      <c r="D755" s="663"/>
      <c r="E755" s="663"/>
      <c r="F755" s="663"/>
      <c r="G755" s="663"/>
      <c r="H755" s="663"/>
      <c r="I755" s="663"/>
      <c r="J755" s="663"/>
      <c r="K755" s="663"/>
      <c r="L755" s="663"/>
      <c r="M755" s="663"/>
      <c r="R755" s="663"/>
      <c r="S755" s="663"/>
      <c r="T755" s="663"/>
      <c r="U755" s="663"/>
      <c r="V755" s="663"/>
      <c r="W755" s="663"/>
      <c r="X755" s="663"/>
      <c r="Y755" s="663"/>
      <c r="Z755" s="663"/>
      <c r="AB755" s="663"/>
    </row>
    <row r="756">
      <c r="B756" s="663"/>
      <c r="C756" s="663"/>
      <c r="D756" s="663"/>
      <c r="E756" s="663"/>
      <c r="F756" s="663"/>
      <c r="G756" s="663"/>
      <c r="H756" s="663"/>
      <c r="I756" s="663"/>
      <c r="J756" s="663"/>
      <c r="K756" s="663"/>
      <c r="L756" s="663"/>
      <c r="M756" s="663"/>
      <c r="R756" s="663"/>
      <c r="S756" s="663"/>
      <c r="T756" s="663"/>
      <c r="U756" s="663"/>
      <c r="V756" s="663"/>
      <c r="W756" s="663"/>
      <c r="X756" s="663"/>
      <c r="Y756" s="663"/>
      <c r="Z756" s="663"/>
      <c r="AB756" s="663"/>
    </row>
    <row r="757">
      <c r="B757" s="663"/>
      <c r="C757" s="663"/>
      <c r="D757" s="663"/>
      <c r="E757" s="663"/>
      <c r="F757" s="663"/>
      <c r="G757" s="663"/>
      <c r="H757" s="663"/>
      <c r="I757" s="663"/>
      <c r="J757" s="663"/>
      <c r="K757" s="663"/>
      <c r="L757" s="663"/>
      <c r="M757" s="663"/>
      <c r="R757" s="663"/>
      <c r="S757" s="663"/>
      <c r="T757" s="663"/>
      <c r="U757" s="663"/>
      <c r="V757" s="663"/>
      <c r="W757" s="663"/>
      <c r="X757" s="663"/>
      <c r="Y757" s="663"/>
      <c r="Z757" s="663"/>
      <c r="AB757" s="663"/>
    </row>
    <row r="758">
      <c r="B758" s="663"/>
      <c r="C758" s="663"/>
      <c r="D758" s="663"/>
      <c r="E758" s="663"/>
      <c r="F758" s="663"/>
      <c r="G758" s="663"/>
      <c r="H758" s="663"/>
      <c r="I758" s="663"/>
      <c r="J758" s="663"/>
      <c r="K758" s="663"/>
      <c r="L758" s="663"/>
      <c r="M758" s="663"/>
      <c r="R758" s="663"/>
      <c r="S758" s="663"/>
      <c r="T758" s="663"/>
      <c r="U758" s="663"/>
      <c r="V758" s="663"/>
      <c r="W758" s="663"/>
      <c r="X758" s="663"/>
      <c r="Y758" s="663"/>
      <c r="Z758" s="663"/>
      <c r="AB758" s="663"/>
    </row>
    <row r="759">
      <c r="B759" s="663"/>
      <c r="C759" s="663"/>
      <c r="D759" s="663"/>
      <c r="E759" s="663"/>
      <c r="F759" s="663"/>
      <c r="G759" s="663"/>
      <c r="H759" s="663"/>
      <c r="I759" s="663"/>
      <c r="J759" s="663"/>
      <c r="K759" s="663"/>
      <c r="L759" s="663"/>
      <c r="M759" s="663"/>
      <c r="R759" s="663"/>
      <c r="S759" s="663"/>
      <c r="T759" s="663"/>
      <c r="U759" s="663"/>
      <c r="V759" s="663"/>
      <c r="W759" s="663"/>
      <c r="X759" s="663"/>
      <c r="Y759" s="663"/>
      <c r="Z759" s="663"/>
      <c r="AB759" s="663"/>
    </row>
    <row r="760">
      <c r="B760" s="663"/>
      <c r="C760" s="663"/>
      <c r="D760" s="663"/>
      <c r="E760" s="663"/>
      <c r="F760" s="663"/>
      <c r="G760" s="663"/>
      <c r="H760" s="663"/>
      <c r="I760" s="663"/>
      <c r="J760" s="663"/>
      <c r="K760" s="663"/>
      <c r="L760" s="663"/>
      <c r="M760" s="663"/>
      <c r="R760" s="663"/>
      <c r="S760" s="663"/>
      <c r="T760" s="663"/>
      <c r="U760" s="663"/>
      <c r="V760" s="663"/>
      <c r="W760" s="663"/>
      <c r="X760" s="663"/>
      <c r="Y760" s="663"/>
      <c r="Z760" s="663"/>
      <c r="AB760" s="663"/>
    </row>
    <row r="761">
      <c r="B761" s="663"/>
      <c r="C761" s="663"/>
      <c r="D761" s="663"/>
      <c r="E761" s="663"/>
      <c r="F761" s="663"/>
      <c r="G761" s="663"/>
      <c r="H761" s="663"/>
      <c r="I761" s="663"/>
      <c r="J761" s="663"/>
      <c r="K761" s="663"/>
      <c r="L761" s="663"/>
      <c r="M761" s="663"/>
      <c r="R761" s="663"/>
      <c r="S761" s="663"/>
      <c r="T761" s="663"/>
      <c r="U761" s="663"/>
      <c r="V761" s="663"/>
      <c r="W761" s="663"/>
      <c r="X761" s="663"/>
      <c r="Y761" s="663"/>
      <c r="Z761" s="663"/>
      <c r="AB761" s="663"/>
    </row>
    <row r="762">
      <c r="B762" s="663"/>
      <c r="C762" s="663"/>
      <c r="D762" s="663"/>
      <c r="E762" s="663"/>
      <c r="F762" s="663"/>
      <c r="G762" s="663"/>
      <c r="H762" s="663"/>
      <c r="I762" s="663"/>
      <c r="J762" s="663"/>
      <c r="K762" s="663"/>
      <c r="L762" s="663"/>
      <c r="M762" s="663"/>
      <c r="R762" s="663"/>
      <c r="S762" s="663"/>
      <c r="T762" s="663"/>
      <c r="U762" s="663"/>
      <c r="V762" s="663"/>
      <c r="W762" s="663"/>
      <c r="X762" s="663"/>
      <c r="Y762" s="663"/>
      <c r="Z762" s="663"/>
      <c r="AB762" s="663"/>
    </row>
    <row r="763">
      <c r="B763" s="663"/>
      <c r="C763" s="663"/>
      <c r="D763" s="663"/>
      <c r="E763" s="663"/>
      <c r="F763" s="663"/>
      <c r="G763" s="663"/>
      <c r="H763" s="663"/>
      <c r="I763" s="663"/>
      <c r="J763" s="663"/>
      <c r="K763" s="663"/>
      <c r="L763" s="663"/>
      <c r="M763" s="663"/>
      <c r="R763" s="663"/>
      <c r="S763" s="663"/>
      <c r="T763" s="663"/>
      <c r="U763" s="663"/>
      <c r="V763" s="663"/>
      <c r="W763" s="663"/>
      <c r="X763" s="663"/>
      <c r="Y763" s="663"/>
      <c r="Z763" s="663"/>
      <c r="AB763" s="663"/>
    </row>
    <row r="764">
      <c r="B764" s="663"/>
      <c r="C764" s="663"/>
      <c r="D764" s="663"/>
      <c r="E764" s="663"/>
      <c r="F764" s="663"/>
      <c r="G764" s="663"/>
      <c r="H764" s="663"/>
      <c r="I764" s="663"/>
      <c r="J764" s="663"/>
      <c r="K764" s="663"/>
      <c r="L764" s="663"/>
      <c r="M764" s="663"/>
      <c r="R764" s="663"/>
      <c r="S764" s="663"/>
      <c r="T764" s="663"/>
      <c r="U764" s="663"/>
      <c r="V764" s="663"/>
      <c r="W764" s="663"/>
      <c r="X764" s="663"/>
      <c r="Y764" s="663"/>
      <c r="Z764" s="663"/>
      <c r="AB764" s="663"/>
    </row>
    <row r="765">
      <c r="B765" s="663"/>
      <c r="C765" s="663"/>
      <c r="D765" s="663"/>
      <c r="E765" s="663"/>
      <c r="F765" s="663"/>
      <c r="G765" s="663"/>
      <c r="H765" s="663"/>
      <c r="I765" s="663"/>
      <c r="J765" s="663"/>
      <c r="K765" s="663"/>
      <c r="L765" s="663"/>
      <c r="M765" s="663"/>
      <c r="R765" s="663"/>
      <c r="S765" s="663"/>
      <c r="T765" s="663"/>
      <c r="U765" s="663"/>
      <c r="V765" s="663"/>
      <c r="W765" s="663"/>
      <c r="X765" s="663"/>
      <c r="Y765" s="663"/>
      <c r="Z765" s="663"/>
      <c r="AB765" s="663"/>
    </row>
    <row r="766">
      <c r="B766" s="663"/>
      <c r="C766" s="663"/>
      <c r="D766" s="663"/>
      <c r="E766" s="663"/>
      <c r="F766" s="663"/>
      <c r="G766" s="663"/>
      <c r="H766" s="663"/>
      <c r="I766" s="663"/>
      <c r="J766" s="663"/>
      <c r="K766" s="663"/>
      <c r="L766" s="663"/>
      <c r="M766" s="663"/>
      <c r="R766" s="663"/>
      <c r="S766" s="663"/>
      <c r="T766" s="663"/>
      <c r="U766" s="663"/>
      <c r="V766" s="663"/>
      <c r="W766" s="663"/>
      <c r="X766" s="663"/>
      <c r="Y766" s="663"/>
      <c r="Z766" s="663"/>
      <c r="AB766" s="663"/>
    </row>
    <row r="767">
      <c r="B767" s="663"/>
      <c r="C767" s="663"/>
      <c r="D767" s="663"/>
      <c r="E767" s="663"/>
      <c r="F767" s="663"/>
      <c r="G767" s="663"/>
      <c r="H767" s="663"/>
      <c r="I767" s="663"/>
      <c r="J767" s="663"/>
      <c r="K767" s="663"/>
      <c r="L767" s="663"/>
      <c r="M767" s="663"/>
      <c r="R767" s="663"/>
      <c r="S767" s="663"/>
      <c r="T767" s="663"/>
      <c r="U767" s="663"/>
      <c r="V767" s="663"/>
      <c r="W767" s="663"/>
      <c r="X767" s="663"/>
      <c r="Y767" s="663"/>
      <c r="Z767" s="663"/>
      <c r="AB767" s="663"/>
    </row>
    <row r="768">
      <c r="B768" s="663"/>
      <c r="C768" s="663"/>
      <c r="D768" s="663"/>
      <c r="E768" s="663"/>
      <c r="F768" s="663"/>
      <c r="G768" s="663"/>
      <c r="H768" s="663"/>
      <c r="I768" s="663"/>
      <c r="J768" s="663"/>
      <c r="K768" s="663"/>
      <c r="L768" s="663"/>
      <c r="M768" s="663"/>
      <c r="R768" s="663"/>
      <c r="S768" s="663"/>
      <c r="T768" s="663"/>
      <c r="U768" s="663"/>
      <c r="V768" s="663"/>
      <c r="W768" s="663"/>
      <c r="X768" s="663"/>
      <c r="Y768" s="663"/>
      <c r="Z768" s="663"/>
      <c r="AB768" s="663"/>
    </row>
    <row r="769">
      <c r="B769" s="663"/>
      <c r="C769" s="663"/>
      <c r="D769" s="663"/>
      <c r="E769" s="663"/>
      <c r="F769" s="663"/>
      <c r="G769" s="663"/>
      <c r="H769" s="663"/>
      <c r="I769" s="663"/>
      <c r="J769" s="663"/>
      <c r="K769" s="663"/>
      <c r="L769" s="663"/>
      <c r="M769" s="663"/>
      <c r="R769" s="663"/>
      <c r="S769" s="663"/>
      <c r="T769" s="663"/>
      <c r="U769" s="663"/>
      <c r="V769" s="663"/>
      <c r="W769" s="663"/>
      <c r="X769" s="663"/>
      <c r="Y769" s="663"/>
      <c r="Z769" s="663"/>
      <c r="AB769" s="663"/>
    </row>
    <row r="770">
      <c r="B770" s="663"/>
      <c r="C770" s="663"/>
      <c r="D770" s="663"/>
      <c r="E770" s="663"/>
      <c r="F770" s="663"/>
      <c r="G770" s="663"/>
      <c r="H770" s="663"/>
      <c r="I770" s="663"/>
      <c r="J770" s="663"/>
      <c r="K770" s="663"/>
      <c r="L770" s="663"/>
      <c r="M770" s="663"/>
      <c r="R770" s="663"/>
      <c r="S770" s="663"/>
      <c r="T770" s="663"/>
      <c r="U770" s="663"/>
      <c r="V770" s="663"/>
      <c r="W770" s="663"/>
      <c r="X770" s="663"/>
      <c r="Y770" s="663"/>
      <c r="Z770" s="663"/>
      <c r="AB770" s="663"/>
    </row>
    <row r="771">
      <c r="B771" s="663"/>
      <c r="C771" s="663"/>
      <c r="D771" s="663"/>
      <c r="E771" s="663"/>
      <c r="F771" s="663"/>
      <c r="G771" s="663"/>
      <c r="H771" s="663"/>
      <c r="I771" s="663"/>
      <c r="J771" s="663"/>
      <c r="K771" s="663"/>
      <c r="L771" s="663"/>
      <c r="M771" s="663"/>
      <c r="R771" s="663"/>
      <c r="S771" s="663"/>
      <c r="T771" s="663"/>
      <c r="U771" s="663"/>
      <c r="V771" s="663"/>
      <c r="W771" s="663"/>
      <c r="X771" s="663"/>
      <c r="Y771" s="663"/>
      <c r="Z771" s="663"/>
      <c r="AB771" s="663"/>
    </row>
    <row r="772">
      <c r="B772" s="663"/>
      <c r="C772" s="663"/>
      <c r="D772" s="663"/>
      <c r="E772" s="663"/>
      <c r="F772" s="663"/>
      <c r="G772" s="663"/>
      <c r="H772" s="663"/>
      <c r="I772" s="663"/>
      <c r="J772" s="663"/>
      <c r="K772" s="663"/>
      <c r="L772" s="663"/>
      <c r="M772" s="663"/>
      <c r="R772" s="663"/>
      <c r="S772" s="663"/>
      <c r="T772" s="663"/>
      <c r="U772" s="663"/>
      <c r="V772" s="663"/>
      <c r="W772" s="663"/>
      <c r="X772" s="663"/>
      <c r="Y772" s="663"/>
      <c r="Z772" s="663"/>
      <c r="AB772" s="663"/>
    </row>
    <row r="773">
      <c r="B773" s="663"/>
      <c r="C773" s="663"/>
      <c r="D773" s="663"/>
      <c r="E773" s="663"/>
      <c r="F773" s="663"/>
      <c r="G773" s="663"/>
      <c r="H773" s="663"/>
      <c r="I773" s="663"/>
      <c r="J773" s="663"/>
      <c r="K773" s="663"/>
      <c r="L773" s="663"/>
      <c r="M773" s="663"/>
      <c r="R773" s="663"/>
      <c r="S773" s="663"/>
      <c r="T773" s="663"/>
      <c r="U773" s="663"/>
      <c r="V773" s="663"/>
      <c r="W773" s="663"/>
      <c r="X773" s="663"/>
      <c r="Y773" s="663"/>
      <c r="Z773" s="663"/>
      <c r="AB773" s="663"/>
    </row>
    <row r="774">
      <c r="B774" s="663"/>
      <c r="C774" s="663"/>
      <c r="D774" s="663"/>
      <c r="E774" s="663"/>
      <c r="F774" s="663"/>
      <c r="G774" s="663"/>
      <c r="H774" s="663"/>
      <c r="I774" s="663"/>
      <c r="J774" s="663"/>
      <c r="K774" s="663"/>
      <c r="L774" s="663"/>
      <c r="M774" s="663"/>
      <c r="R774" s="663"/>
      <c r="S774" s="663"/>
      <c r="T774" s="663"/>
      <c r="U774" s="663"/>
      <c r="V774" s="663"/>
      <c r="W774" s="663"/>
      <c r="X774" s="663"/>
      <c r="Y774" s="663"/>
      <c r="Z774" s="663"/>
      <c r="AB774" s="663"/>
    </row>
    <row r="775">
      <c r="B775" s="663"/>
      <c r="C775" s="663"/>
      <c r="D775" s="663"/>
      <c r="E775" s="663"/>
      <c r="F775" s="663"/>
      <c r="G775" s="663"/>
      <c r="H775" s="663"/>
      <c r="I775" s="663"/>
      <c r="J775" s="663"/>
      <c r="K775" s="663"/>
      <c r="L775" s="663"/>
      <c r="M775" s="663"/>
      <c r="R775" s="663"/>
      <c r="S775" s="663"/>
      <c r="T775" s="663"/>
      <c r="U775" s="663"/>
      <c r="V775" s="663"/>
      <c r="W775" s="663"/>
      <c r="X775" s="663"/>
      <c r="Y775" s="663"/>
      <c r="Z775" s="663"/>
      <c r="AB775" s="663"/>
    </row>
    <row r="776">
      <c r="B776" s="663"/>
      <c r="C776" s="663"/>
      <c r="D776" s="663"/>
      <c r="E776" s="663"/>
      <c r="F776" s="663"/>
      <c r="G776" s="663"/>
      <c r="H776" s="663"/>
      <c r="I776" s="663"/>
      <c r="J776" s="663"/>
      <c r="K776" s="663"/>
      <c r="L776" s="663"/>
      <c r="M776" s="663"/>
      <c r="R776" s="663"/>
      <c r="S776" s="663"/>
      <c r="T776" s="663"/>
      <c r="U776" s="663"/>
      <c r="V776" s="663"/>
      <c r="W776" s="663"/>
      <c r="X776" s="663"/>
      <c r="Y776" s="663"/>
      <c r="Z776" s="663"/>
      <c r="AB776" s="663"/>
    </row>
    <row r="777">
      <c r="B777" s="663"/>
      <c r="C777" s="663"/>
      <c r="D777" s="663"/>
      <c r="E777" s="663"/>
      <c r="F777" s="663"/>
      <c r="G777" s="663"/>
      <c r="H777" s="663"/>
      <c r="I777" s="663"/>
      <c r="J777" s="663"/>
      <c r="K777" s="663"/>
      <c r="L777" s="663"/>
      <c r="M777" s="663"/>
      <c r="R777" s="663"/>
      <c r="S777" s="663"/>
      <c r="T777" s="663"/>
      <c r="U777" s="663"/>
      <c r="V777" s="663"/>
      <c r="W777" s="663"/>
      <c r="X777" s="663"/>
      <c r="Y777" s="663"/>
      <c r="Z777" s="663"/>
      <c r="AB777" s="663"/>
    </row>
    <row r="778">
      <c r="B778" s="663"/>
      <c r="C778" s="663"/>
      <c r="D778" s="663"/>
      <c r="E778" s="663"/>
      <c r="F778" s="663"/>
      <c r="G778" s="663"/>
      <c r="H778" s="663"/>
      <c r="I778" s="663"/>
      <c r="J778" s="663"/>
      <c r="K778" s="663"/>
      <c r="L778" s="663"/>
      <c r="M778" s="663"/>
      <c r="R778" s="663"/>
      <c r="S778" s="663"/>
      <c r="T778" s="663"/>
      <c r="U778" s="663"/>
      <c r="V778" s="663"/>
      <c r="W778" s="663"/>
      <c r="X778" s="663"/>
      <c r="Y778" s="663"/>
      <c r="Z778" s="663"/>
      <c r="AB778" s="663"/>
    </row>
    <row r="779">
      <c r="B779" s="663"/>
      <c r="C779" s="663"/>
      <c r="D779" s="663"/>
      <c r="E779" s="663"/>
      <c r="F779" s="663"/>
      <c r="G779" s="663"/>
      <c r="H779" s="663"/>
      <c r="I779" s="663"/>
      <c r="J779" s="663"/>
      <c r="K779" s="663"/>
      <c r="L779" s="663"/>
      <c r="M779" s="663"/>
      <c r="R779" s="663"/>
      <c r="S779" s="663"/>
      <c r="T779" s="663"/>
      <c r="U779" s="663"/>
      <c r="V779" s="663"/>
      <c r="W779" s="663"/>
      <c r="X779" s="663"/>
      <c r="Y779" s="663"/>
      <c r="Z779" s="663"/>
      <c r="AB779" s="663"/>
    </row>
    <row r="780">
      <c r="B780" s="663"/>
      <c r="C780" s="663"/>
      <c r="D780" s="663"/>
      <c r="E780" s="663"/>
      <c r="F780" s="663"/>
      <c r="G780" s="663"/>
      <c r="H780" s="663"/>
      <c r="I780" s="663"/>
      <c r="J780" s="663"/>
      <c r="K780" s="663"/>
      <c r="L780" s="663"/>
      <c r="M780" s="663"/>
      <c r="R780" s="663"/>
      <c r="S780" s="663"/>
      <c r="T780" s="663"/>
      <c r="U780" s="663"/>
      <c r="V780" s="663"/>
      <c r="W780" s="663"/>
      <c r="X780" s="663"/>
      <c r="Y780" s="663"/>
      <c r="Z780" s="663"/>
      <c r="AB780" s="663"/>
    </row>
    <row r="781">
      <c r="B781" s="663"/>
      <c r="C781" s="663"/>
      <c r="D781" s="663"/>
      <c r="E781" s="663"/>
      <c r="F781" s="663"/>
      <c r="G781" s="663"/>
      <c r="H781" s="663"/>
      <c r="I781" s="663"/>
      <c r="J781" s="663"/>
      <c r="K781" s="663"/>
      <c r="L781" s="663"/>
      <c r="M781" s="663"/>
      <c r="R781" s="663"/>
      <c r="S781" s="663"/>
      <c r="T781" s="663"/>
      <c r="U781" s="663"/>
      <c r="V781" s="663"/>
      <c r="W781" s="663"/>
      <c r="X781" s="663"/>
      <c r="Y781" s="663"/>
      <c r="Z781" s="663"/>
      <c r="AB781" s="663"/>
    </row>
    <row r="782">
      <c r="B782" s="663"/>
      <c r="C782" s="663"/>
      <c r="D782" s="663"/>
      <c r="E782" s="663"/>
      <c r="F782" s="663"/>
      <c r="G782" s="663"/>
      <c r="H782" s="663"/>
      <c r="I782" s="663"/>
      <c r="J782" s="663"/>
      <c r="K782" s="663"/>
      <c r="L782" s="663"/>
      <c r="M782" s="663"/>
      <c r="R782" s="663"/>
      <c r="S782" s="663"/>
      <c r="T782" s="663"/>
      <c r="U782" s="663"/>
      <c r="V782" s="663"/>
      <c r="W782" s="663"/>
      <c r="X782" s="663"/>
      <c r="Y782" s="663"/>
      <c r="Z782" s="663"/>
      <c r="AB782" s="663"/>
    </row>
    <row r="783">
      <c r="B783" s="663"/>
      <c r="C783" s="663"/>
      <c r="D783" s="663"/>
      <c r="E783" s="663"/>
      <c r="F783" s="663"/>
      <c r="G783" s="663"/>
      <c r="H783" s="663"/>
      <c r="I783" s="663"/>
      <c r="J783" s="663"/>
      <c r="K783" s="663"/>
      <c r="L783" s="663"/>
      <c r="M783" s="663"/>
      <c r="R783" s="663"/>
      <c r="S783" s="663"/>
      <c r="T783" s="663"/>
      <c r="U783" s="663"/>
      <c r="V783" s="663"/>
      <c r="W783" s="663"/>
      <c r="X783" s="663"/>
      <c r="Y783" s="663"/>
      <c r="Z783" s="663"/>
      <c r="AB783" s="663"/>
    </row>
    <row r="784">
      <c r="B784" s="663"/>
      <c r="C784" s="663"/>
      <c r="D784" s="663"/>
      <c r="E784" s="663"/>
      <c r="F784" s="663"/>
      <c r="G784" s="663"/>
      <c r="H784" s="663"/>
      <c r="I784" s="663"/>
      <c r="J784" s="663"/>
      <c r="K784" s="663"/>
      <c r="L784" s="663"/>
      <c r="M784" s="663"/>
      <c r="R784" s="663"/>
      <c r="S784" s="663"/>
      <c r="T784" s="663"/>
      <c r="U784" s="663"/>
      <c r="V784" s="663"/>
      <c r="W784" s="663"/>
      <c r="X784" s="663"/>
      <c r="Y784" s="663"/>
      <c r="Z784" s="663"/>
      <c r="AB784" s="663"/>
    </row>
    <row r="785">
      <c r="B785" s="663"/>
      <c r="C785" s="663"/>
      <c r="D785" s="663"/>
      <c r="E785" s="663"/>
      <c r="F785" s="663"/>
      <c r="G785" s="663"/>
      <c r="H785" s="663"/>
      <c r="I785" s="663"/>
      <c r="J785" s="663"/>
      <c r="K785" s="663"/>
      <c r="L785" s="663"/>
      <c r="M785" s="663"/>
      <c r="R785" s="663"/>
      <c r="S785" s="663"/>
      <c r="T785" s="663"/>
      <c r="U785" s="663"/>
      <c r="V785" s="663"/>
      <c r="W785" s="663"/>
      <c r="X785" s="663"/>
      <c r="Y785" s="663"/>
      <c r="Z785" s="663"/>
      <c r="AB785" s="663"/>
    </row>
    <row r="786">
      <c r="B786" s="663"/>
      <c r="C786" s="663"/>
      <c r="D786" s="663"/>
      <c r="E786" s="663"/>
      <c r="F786" s="663"/>
      <c r="G786" s="663"/>
      <c r="H786" s="663"/>
      <c r="I786" s="663"/>
      <c r="J786" s="663"/>
      <c r="K786" s="663"/>
      <c r="L786" s="663"/>
      <c r="M786" s="663"/>
      <c r="R786" s="663"/>
      <c r="S786" s="663"/>
      <c r="T786" s="663"/>
      <c r="U786" s="663"/>
      <c r="V786" s="663"/>
      <c r="W786" s="663"/>
      <c r="X786" s="663"/>
      <c r="Y786" s="663"/>
      <c r="Z786" s="663"/>
      <c r="AB786" s="663"/>
    </row>
    <row r="787">
      <c r="B787" s="663"/>
      <c r="C787" s="663"/>
      <c r="D787" s="663"/>
      <c r="E787" s="663"/>
      <c r="F787" s="663"/>
      <c r="G787" s="663"/>
      <c r="H787" s="663"/>
      <c r="I787" s="663"/>
      <c r="J787" s="663"/>
      <c r="K787" s="663"/>
      <c r="L787" s="663"/>
      <c r="M787" s="663"/>
      <c r="R787" s="663"/>
      <c r="S787" s="663"/>
      <c r="T787" s="663"/>
      <c r="U787" s="663"/>
      <c r="V787" s="663"/>
      <c r="W787" s="663"/>
      <c r="X787" s="663"/>
      <c r="Y787" s="663"/>
      <c r="Z787" s="663"/>
      <c r="AB787" s="663"/>
    </row>
    <row r="788">
      <c r="B788" s="663"/>
      <c r="C788" s="663"/>
      <c r="D788" s="663"/>
      <c r="E788" s="663"/>
      <c r="F788" s="663"/>
      <c r="G788" s="663"/>
      <c r="H788" s="663"/>
      <c r="I788" s="663"/>
      <c r="J788" s="663"/>
      <c r="K788" s="663"/>
      <c r="L788" s="663"/>
      <c r="M788" s="663"/>
      <c r="R788" s="663"/>
      <c r="S788" s="663"/>
      <c r="T788" s="663"/>
      <c r="U788" s="663"/>
      <c r="V788" s="663"/>
      <c r="W788" s="663"/>
      <c r="X788" s="663"/>
      <c r="Y788" s="663"/>
      <c r="Z788" s="663"/>
      <c r="AB788" s="663"/>
    </row>
    <row r="789">
      <c r="B789" s="663"/>
      <c r="C789" s="663"/>
      <c r="D789" s="663"/>
      <c r="E789" s="663"/>
      <c r="F789" s="663"/>
      <c r="G789" s="663"/>
      <c r="H789" s="663"/>
      <c r="I789" s="663"/>
      <c r="J789" s="663"/>
      <c r="K789" s="663"/>
      <c r="L789" s="663"/>
      <c r="M789" s="663"/>
      <c r="R789" s="663"/>
      <c r="S789" s="663"/>
      <c r="T789" s="663"/>
      <c r="U789" s="663"/>
      <c r="V789" s="663"/>
      <c r="W789" s="663"/>
      <c r="X789" s="663"/>
      <c r="Y789" s="663"/>
      <c r="Z789" s="663"/>
      <c r="AB789" s="663"/>
    </row>
    <row r="790">
      <c r="B790" s="663"/>
      <c r="C790" s="663"/>
      <c r="D790" s="663"/>
      <c r="E790" s="663"/>
      <c r="F790" s="663"/>
      <c r="G790" s="663"/>
      <c r="H790" s="663"/>
      <c r="I790" s="663"/>
      <c r="J790" s="663"/>
      <c r="K790" s="663"/>
      <c r="L790" s="663"/>
      <c r="M790" s="663"/>
      <c r="R790" s="663"/>
      <c r="S790" s="663"/>
      <c r="T790" s="663"/>
      <c r="U790" s="663"/>
      <c r="V790" s="663"/>
      <c r="W790" s="663"/>
      <c r="X790" s="663"/>
      <c r="Y790" s="663"/>
      <c r="Z790" s="663"/>
      <c r="AB790" s="663"/>
    </row>
    <row r="791">
      <c r="B791" s="663"/>
      <c r="C791" s="663"/>
      <c r="D791" s="663"/>
      <c r="E791" s="663"/>
      <c r="F791" s="663"/>
      <c r="G791" s="663"/>
      <c r="H791" s="663"/>
      <c r="I791" s="663"/>
      <c r="J791" s="663"/>
      <c r="K791" s="663"/>
      <c r="L791" s="663"/>
      <c r="M791" s="663"/>
      <c r="R791" s="663"/>
      <c r="S791" s="663"/>
      <c r="T791" s="663"/>
      <c r="U791" s="663"/>
      <c r="V791" s="663"/>
      <c r="W791" s="663"/>
      <c r="X791" s="663"/>
      <c r="Y791" s="663"/>
      <c r="Z791" s="663"/>
      <c r="AB791" s="663"/>
    </row>
    <row r="792">
      <c r="B792" s="663"/>
      <c r="C792" s="663"/>
      <c r="D792" s="663"/>
      <c r="E792" s="663"/>
      <c r="F792" s="663"/>
      <c r="G792" s="663"/>
      <c r="H792" s="663"/>
      <c r="I792" s="663"/>
      <c r="J792" s="663"/>
      <c r="K792" s="663"/>
      <c r="L792" s="663"/>
      <c r="M792" s="663"/>
      <c r="R792" s="663"/>
      <c r="S792" s="663"/>
      <c r="T792" s="663"/>
      <c r="U792" s="663"/>
      <c r="V792" s="663"/>
      <c r="W792" s="663"/>
      <c r="X792" s="663"/>
      <c r="Y792" s="663"/>
      <c r="Z792" s="663"/>
      <c r="AB792" s="663"/>
    </row>
    <row r="793">
      <c r="B793" s="663"/>
      <c r="C793" s="663"/>
      <c r="D793" s="663"/>
      <c r="E793" s="663"/>
      <c r="F793" s="663"/>
      <c r="G793" s="663"/>
      <c r="H793" s="663"/>
      <c r="I793" s="663"/>
      <c r="J793" s="663"/>
      <c r="K793" s="663"/>
      <c r="L793" s="663"/>
      <c r="M793" s="663"/>
      <c r="R793" s="663"/>
      <c r="S793" s="663"/>
      <c r="T793" s="663"/>
      <c r="U793" s="663"/>
      <c r="V793" s="663"/>
      <c r="W793" s="663"/>
      <c r="X793" s="663"/>
      <c r="Y793" s="663"/>
      <c r="Z793" s="663"/>
      <c r="AB793" s="663"/>
    </row>
    <row r="794">
      <c r="B794" s="663"/>
      <c r="C794" s="663"/>
      <c r="D794" s="663"/>
      <c r="E794" s="663"/>
      <c r="F794" s="663"/>
      <c r="G794" s="663"/>
      <c r="H794" s="663"/>
      <c r="I794" s="663"/>
      <c r="J794" s="663"/>
      <c r="K794" s="663"/>
      <c r="L794" s="663"/>
      <c r="M794" s="663"/>
      <c r="R794" s="663"/>
      <c r="S794" s="663"/>
      <c r="T794" s="663"/>
      <c r="U794" s="663"/>
      <c r="V794" s="663"/>
      <c r="W794" s="663"/>
      <c r="X794" s="663"/>
      <c r="Y794" s="663"/>
      <c r="Z794" s="663"/>
      <c r="AB794" s="663"/>
    </row>
    <row r="795">
      <c r="B795" s="663"/>
      <c r="C795" s="663"/>
      <c r="D795" s="663"/>
      <c r="E795" s="663"/>
      <c r="F795" s="663"/>
      <c r="G795" s="663"/>
      <c r="H795" s="663"/>
      <c r="I795" s="663"/>
      <c r="J795" s="663"/>
      <c r="K795" s="663"/>
      <c r="L795" s="663"/>
      <c r="M795" s="663"/>
      <c r="R795" s="663"/>
      <c r="S795" s="663"/>
      <c r="T795" s="663"/>
      <c r="U795" s="663"/>
      <c r="V795" s="663"/>
      <c r="W795" s="663"/>
      <c r="X795" s="663"/>
      <c r="Y795" s="663"/>
      <c r="Z795" s="663"/>
      <c r="AB795" s="663"/>
    </row>
    <row r="796">
      <c r="B796" s="663"/>
      <c r="C796" s="663"/>
      <c r="D796" s="663"/>
      <c r="E796" s="663"/>
      <c r="F796" s="663"/>
      <c r="G796" s="663"/>
      <c r="H796" s="663"/>
      <c r="I796" s="663"/>
      <c r="J796" s="663"/>
      <c r="K796" s="663"/>
      <c r="L796" s="663"/>
      <c r="M796" s="663"/>
      <c r="R796" s="663"/>
      <c r="S796" s="663"/>
      <c r="T796" s="663"/>
      <c r="U796" s="663"/>
      <c r="V796" s="663"/>
      <c r="W796" s="663"/>
      <c r="X796" s="663"/>
      <c r="Y796" s="663"/>
      <c r="Z796" s="663"/>
      <c r="AB796" s="663"/>
    </row>
    <row r="797">
      <c r="B797" s="663"/>
      <c r="C797" s="663"/>
      <c r="D797" s="663"/>
      <c r="E797" s="663"/>
      <c r="F797" s="663"/>
      <c r="G797" s="663"/>
      <c r="H797" s="663"/>
      <c r="I797" s="663"/>
      <c r="J797" s="663"/>
      <c r="K797" s="663"/>
      <c r="L797" s="663"/>
      <c r="M797" s="663"/>
      <c r="R797" s="663"/>
      <c r="S797" s="663"/>
      <c r="T797" s="663"/>
      <c r="U797" s="663"/>
      <c r="V797" s="663"/>
      <c r="W797" s="663"/>
      <c r="X797" s="663"/>
      <c r="Y797" s="663"/>
      <c r="Z797" s="663"/>
      <c r="AB797" s="663"/>
    </row>
    <row r="798">
      <c r="B798" s="663"/>
      <c r="C798" s="663"/>
      <c r="D798" s="663"/>
      <c r="E798" s="663"/>
      <c r="F798" s="663"/>
      <c r="G798" s="663"/>
      <c r="H798" s="663"/>
      <c r="I798" s="663"/>
      <c r="J798" s="663"/>
      <c r="K798" s="663"/>
      <c r="L798" s="663"/>
      <c r="M798" s="663"/>
      <c r="R798" s="663"/>
      <c r="S798" s="663"/>
      <c r="T798" s="663"/>
      <c r="U798" s="663"/>
      <c r="V798" s="663"/>
      <c r="W798" s="663"/>
      <c r="X798" s="663"/>
      <c r="Y798" s="663"/>
      <c r="Z798" s="663"/>
      <c r="AB798" s="663"/>
    </row>
    <row r="799">
      <c r="B799" s="663"/>
      <c r="C799" s="663"/>
      <c r="D799" s="663"/>
      <c r="E799" s="663"/>
      <c r="F799" s="663"/>
      <c r="G799" s="663"/>
      <c r="H799" s="663"/>
      <c r="I799" s="663"/>
      <c r="J799" s="663"/>
      <c r="K799" s="663"/>
      <c r="L799" s="663"/>
      <c r="M799" s="663"/>
      <c r="R799" s="663"/>
      <c r="S799" s="663"/>
      <c r="T799" s="663"/>
      <c r="U799" s="663"/>
      <c r="V799" s="663"/>
      <c r="W799" s="663"/>
      <c r="X799" s="663"/>
      <c r="Y799" s="663"/>
      <c r="Z799" s="663"/>
      <c r="AB799" s="663"/>
    </row>
    <row r="800">
      <c r="B800" s="663"/>
      <c r="C800" s="663"/>
      <c r="D800" s="663"/>
      <c r="E800" s="663"/>
      <c r="F800" s="663"/>
      <c r="G800" s="663"/>
      <c r="H800" s="663"/>
      <c r="I800" s="663"/>
      <c r="J800" s="663"/>
      <c r="K800" s="663"/>
      <c r="L800" s="663"/>
      <c r="M800" s="663"/>
      <c r="R800" s="663"/>
      <c r="S800" s="663"/>
      <c r="T800" s="663"/>
      <c r="U800" s="663"/>
      <c r="V800" s="663"/>
      <c r="W800" s="663"/>
      <c r="X800" s="663"/>
      <c r="Y800" s="663"/>
      <c r="Z800" s="663"/>
      <c r="AB800" s="663"/>
    </row>
    <row r="801">
      <c r="B801" s="663"/>
      <c r="C801" s="663"/>
      <c r="D801" s="663"/>
      <c r="E801" s="663"/>
      <c r="F801" s="663"/>
      <c r="G801" s="663"/>
      <c r="H801" s="663"/>
      <c r="I801" s="663"/>
      <c r="J801" s="663"/>
      <c r="K801" s="663"/>
      <c r="L801" s="663"/>
      <c r="M801" s="663"/>
      <c r="R801" s="663"/>
      <c r="S801" s="663"/>
      <c r="T801" s="663"/>
      <c r="U801" s="663"/>
      <c r="V801" s="663"/>
      <c r="W801" s="663"/>
      <c r="X801" s="663"/>
      <c r="Y801" s="663"/>
      <c r="Z801" s="663"/>
      <c r="AB801" s="663"/>
    </row>
    <row r="802">
      <c r="B802" s="663"/>
      <c r="C802" s="663"/>
      <c r="D802" s="663"/>
      <c r="E802" s="663"/>
      <c r="F802" s="663"/>
      <c r="G802" s="663"/>
      <c r="H802" s="663"/>
      <c r="I802" s="663"/>
      <c r="J802" s="663"/>
      <c r="K802" s="663"/>
      <c r="L802" s="663"/>
      <c r="M802" s="663"/>
      <c r="R802" s="663"/>
      <c r="S802" s="663"/>
      <c r="T802" s="663"/>
      <c r="U802" s="663"/>
      <c r="V802" s="663"/>
      <c r="W802" s="663"/>
      <c r="X802" s="663"/>
      <c r="Y802" s="663"/>
      <c r="Z802" s="663"/>
      <c r="AB802" s="663"/>
    </row>
    <row r="803">
      <c r="B803" s="663"/>
      <c r="C803" s="663"/>
      <c r="D803" s="663"/>
      <c r="E803" s="663"/>
      <c r="F803" s="663"/>
      <c r="G803" s="663"/>
      <c r="H803" s="663"/>
      <c r="I803" s="663"/>
      <c r="J803" s="663"/>
      <c r="K803" s="663"/>
      <c r="L803" s="663"/>
      <c r="M803" s="663"/>
      <c r="R803" s="663"/>
      <c r="S803" s="663"/>
      <c r="T803" s="663"/>
      <c r="U803" s="663"/>
      <c r="V803" s="663"/>
      <c r="W803" s="663"/>
      <c r="X803" s="663"/>
      <c r="Y803" s="663"/>
      <c r="Z803" s="663"/>
      <c r="AB803" s="663"/>
    </row>
    <row r="804">
      <c r="B804" s="663"/>
      <c r="C804" s="663"/>
      <c r="D804" s="663"/>
      <c r="E804" s="663"/>
      <c r="F804" s="663"/>
      <c r="G804" s="663"/>
      <c r="H804" s="663"/>
      <c r="I804" s="663"/>
      <c r="J804" s="663"/>
      <c r="K804" s="663"/>
      <c r="L804" s="663"/>
      <c r="M804" s="663"/>
      <c r="R804" s="663"/>
      <c r="S804" s="663"/>
      <c r="T804" s="663"/>
      <c r="U804" s="663"/>
      <c r="V804" s="663"/>
      <c r="W804" s="663"/>
      <c r="X804" s="663"/>
      <c r="Y804" s="663"/>
      <c r="Z804" s="663"/>
      <c r="AB804" s="663"/>
    </row>
    <row r="805">
      <c r="B805" s="663"/>
      <c r="C805" s="663"/>
      <c r="D805" s="663"/>
      <c r="E805" s="663"/>
      <c r="F805" s="663"/>
      <c r="G805" s="663"/>
      <c r="H805" s="663"/>
      <c r="I805" s="663"/>
      <c r="J805" s="663"/>
      <c r="K805" s="663"/>
      <c r="L805" s="663"/>
      <c r="M805" s="663"/>
      <c r="R805" s="663"/>
      <c r="S805" s="663"/>
      <c r="T805" s="663"/>
      <c r="U805" s="663"/>
      <c r="V805" s="663"/>
      <c r="W805" s="663"/>
      <c r="X805" s="663"/>
      <c r="Y805" s="663"/>
      <c r="Z805" s="663"/>
      <c r="AB805" s="663"/>
    </row>
    <row r="806">
      <c r="B806" s="663"/>
      <c r="C806" s="663"/>
      <c r="D806" s="663"/>
      <c r="E806" s="663"/>
      <c r="F806" s="663"/>
      <c r="G806" s="663"/>
      <c r="H806" s="663"/>
      <c r="I806" s="663"/>
      <c r="J806" s="663"/>
      <c r="K806" s="663"/>
      <c r="L806" s="663"/>
      <c r="M806" s="663"/>
      <c r="R806" s="663"/>
      <c r="S806" s="663"/>
      <c r="T806" s="663"/>
      <c r="U806" s="663"/>
      <c r="V806" s="663"/>
      <c r="W806" s="663"/>
      <c r="X806" s="663"/>
      <c r="Y806" s="663"/>
      <c r="Z806" s="663"/>
      <c r="AB806" s="663"/>
    </row>
    <row r="807">
      <c r="B807" s="663"/>
      <c r="C807" s="663"/>
      <c r="D807" s="663"/>
      <c r="E807" s="663"/>
      <c r="F807" s="663"/>
      <c r="G807" s="663"/>
      <c r="H807" s="663"/>
      <c r="I807" s="663"/>
      <c r="J807" s="663"/>
      <c r="K807" s="663"/>
      <c r="L807" s="663"/>
      <c r="M807" s="663"/>
      <c r="R807" s="663"/>
      <c r="S807" s="663"/>
      <c r="T807" s="663"/>
      <c r="U807" s="663"/>
      <c r="V807" s="663"/>
      <c r="W807" s="663"/>
      <c r="X807" s="663"/>
      <c r="Y807" s="663"/>
      <c r="Z807" s="663"/>
      <c r="AB807" s="663"/>
    </row>
    <row r="808">
      <c r="B808" s="663"/>
      <c r="C808" s="663"/>
      <c r="D808" s="663"/>
      <c r="E808" s="663"/>
      <c r="F808" s="663"/>
      <c r="G808" s="663"/>
      <c r="H808" s="663"/>
      <c r="I808" s="663"/>
      <c r="J808" s="663"/>
      <c r="K808" s="663"/>
      <c r="L808" s="663"/>
      <c r="M808" s="663"/>
      <c r="R808" s="663"/>
      <c r="S808" s="663"/>
      <c r="T808" s="663"/>
      <c r="U808" s="663"/>
      <c r="V808" s="663"/>
      <c r="W808" s="663"/>
      <c r="X808" s="663"/>
      <c r="Y808" s="663"/>
      <c r="Z808" s="663"/>
      <c r="AB808" s="663"/>
    </row>
    <row r="809">
      <c r="B809" s="663"/>
      <c r="C809" s="663"/>
      <c r="D809" s="663"/>
      <c r="E809" s="663"/>
      <c r="F809" s="663"/>
      <c r="G809" s="663"/>
      <c r="H809" s="663"/>
      <c r="I809" s="663"/>
      <c r="J809" s="663"/>
      <c r="K809" s="663"/>
      <c r="L809" s="663"/>
      <c r="M809" s="663"/>
      <c r="R809" s="663"/>
      <c r="S809" s="663"/>
      <c r="T809" s="663"/>
      <c r="U809" s="663"/>
      <c r="V809" s="663"/>
      <c r="W809" s="663"/>
      <c r="X809" s="663"/>
      <c r="Y809" s="663"/>
      <c r="Z809" s="663"/>
      <c r="AB809" s="663"/>
    </row>
    <row r="810">
      <c r="B810" s="663"/>
      <c r="C810" s="663"/>
      <c r="D810" s="663"/>
      <c r="E810" s="663"/>
      <c r="F810" s="663"/>
      <c r="G810" s="663"/>
      <c r="H810" s="663"/>
      <c r="I810" s="663"/>
      <c r="J810" s="663"/>
      <c r="K810" s="663"/>
      <c r="L810" s="663"/>
      <c r="M810" s="663"/>
      <c r="R810" s="663"/>
      <c r="S810" s="663"/>
      <c r="T810" s="663"/>
      <c r="U810" s="663"/>
      <c r="V810" s="663"/>
      <c r="W810" s="663"/>
      <c r="X810" s="663"/>
      <c r="Y810" s="663"/>
      <c r="Z810" s="663"/>
      <c r="AB810" s="663"/>
    </row>
    <row r="811">
      <c r="B811" s="663"/>
      <c r="C811" s="663"/>
      <c r="D811" s="663"/>
      <c r="E811" s="663"/>
      <c r="F811" s="663"/>
      <c r="G811" s="663"/>
      <c r="H811" s="663"/>
      <c r="I811" s="663"/>
      <c r="J811" s="663"/>
      <c r="K811" s="663"/>
      <c r="L811" s="663"/>
      <c r="M811" s="663"/>
      <c r="R811" s="663"/>
      <c r="S811" s="663"/>
      <c r="T811" s="663"/>
      <c r="U811" s="663"/>
      <c r="V811" s="663"/>
      <c r="W811" s="663"/>
      <c r="X811" s="663"/>
      <c r="Y811" s="663"/>
      <c r="Z811" s="663"/>
      <c r="AB811" s="663"/>
    </row>
    <row r="812">
      <c r="B812" s="663"/>
      <c r="C812" s="663"/>
      <c r="D812" s="663"/>
      <c r="E812" s="663"/>
      <c r="F812" s="663"/>
      <c r="G812" s="663"/>
      <c r="H812" s="663"/>
      <c r="I812" s="663"/>
      <c r="J812" s="663"/>
      <c r="K812" s="663"/>
      <c r="L812" s="663"/>
      <c r="M812" s="663"/>
      <c r="R812" s="663"/>
      <c r="S812" s="663"/>
      <c r="T812" s="663"/>
      <c r="U812" s="663"/>
      <c r="V812" s="663"/>
      <c r="W812" s="663"/>
      <c r="X812" s="663"/>
      <c r="Y812" s="663"/>
      <c r="Z812" s="663"/>
      <c r="AB812" s="663"/>
    </row>
    <row r="813">
      <c r="B813" s="663"/>
      <c r="C813" s="663"/>
      <c r="D813" s="663"/>
      <c r="E813" s="663"/>
      <c r="F813" s="663"/>
      <c r="G813" s="663"/>
      <c r="H813" s="663"/>
      <c r="I813" s="663"/>
      <c r="J813" s="663"/>
      <c r="K813" s="663"/>
      <c r="L813" s="663"/>
      <c r="M813" s="663"/>
      <c r="R813" s="663"/>
      <c r="S813" s="663"/>
      <c r="T813" s="663"/>
      <c r="U813" s="663"/>
      <c r="V813" s="663"/>
      <c r="W813" s="663"/>
      <c r="X813" s="663"/>
      <c r="Y813" s="663"/>
      <c r="Z813" s="663"/>
      <c r="AB813" s="663"/>
    </row>
    <row r="814">
      <c r="B814" s="663"/>
      <c r="C814" s="663"/>
      <c r="D814" s="663"/>
      <c r="E814" s="663"/>
      <c r="F814" s="663"/>
      <c r="G814" s="663"/>
      <c r="H814" s="663"/>
      <c r="I814" s="663"/>
      <c r="J814" s="663"/>
      <c r="K814" s="663"/>
      <c r="L814" s="663"/>
      <c r="M814" s="663"/>
      <c r="R814" s="663"/>
      <c r="S814" s="663"/>
      <c r="T814" s="663"/>
      <c r="U814" s="663"/>
      <c r="V814" s="663"/>
      <c r="W814" s="663"/>
      <c r="X814" s="663"/>
      <c r="Y814" s="663"/>
      <c r="Z814" s="663"/>
      <c r="AB814" s="663"/>
    </row>
    <row r="815">
      <c r="B815" s="663"/>
      <c r="C815" s="663"/>
      <c r="D815" s="663"/>
      <c r="E815" s="663"/>
      <c r="F815" s="663"/>
      <c r="G815" s="663"/>
      <c r="H815" s="663"/>
      <c r="I815" s="663"/>
      <c r="J815" s="663"/>
      <c r="K815" s="663"/>
      <c r="L815" s="663"/>
      <c r="M815" s="663"/>
      <c r="R815" s="663"/>
      <c r="S815" s="663"/>
      <c r="T815" s="663"/>
      <c r="U815" s="663"/>
      <c r="V815" s="663"/>
      <c r="W815" s="663"/>
      <c r="X815" s="663"/>
      <c r="Y815" s="663"/>
      <c r="Z815" s="663"/>
      <c r="AB815" s="663"/>
    </row>
    <row r="816">
      <c r="B816" s="663"/>
      <c r="C816" s="663"/>
      <c r="D816" s="663"/>
      <c r="E816" s="663"/>
      <c r="F816" s="663"/>
      <c r="G816" s="663"/>
      <c r="H816" s="663"/>
      <c r="I816" s="663"/>
      <c r="J816" s="663"/>
      <c r="K816" s="663"/>
      <c r="L816" s="663"/>
      <c r="M816" s="663"/>
      <c r="R816" s="663"/>
      <c r="S816" s="663"/>
      <c r="T816" s="663"/>
      <c r="U816" s="663"/>
      <c r="V816" s="663"/>
      <c r="W816" s="663"/>
      <c r="X816" s="663"/>
      <c r="Y816" s="663"/>
      <c r="Z816" s="663"/>
      <c r="AB816" s="663"/>
    </row>
    <row r="817">
      <c r="B817" s="663"/>
      <c r="C817" s="663"/>
      <c r="D817" s="663"/>
      <c r="E817" s="663"/>
      <c r="F817" s="663"/>
      <c r="G817" s="663"/>
      <c r="H817" s="663"/>
      <c r="I817" s="663"/>
      <c r="J817" s="663"/>
      <c r="K817" s="663"/>
      <c r="L817" s="663"/>
      <c r="M817" s="663"/>
      <c r="R817" s="663"/>
      <c r="S817" s="663"/>
      <c r="T817" s="663"/>
      <c r="U817" s="663"/>
      <c r="V817" s="663"/>
      <c r="W817" s="663"/>
      <c r="X817" s="663"/>
      <c r="Y817" s="663"/>
      <c r="Z817" s="663"/>
      <c r="AB817" s="663"/>
    </row>
    <row r="818">
      <c r="B818" s="663"/>
      <c r="C818" s="663"/>
      <c r="D818" s="663"/>
      <c r="E818" s="663"/>
      <c r="F818" s="663"/>
      <c r="G818" s="663"/>
      <c r="H818" s="663"/>
      <c r="I818" s="663"/>
      <c r="J818" s="663"/>
      <c r="K818" s="663"/>
      <c r="L818" s="663"/>
      <c r="M818" s="663"/>
      <c r="R818" s="663"/>
      <c r="S818" s="663"/>
      <c r="T818" s="663"/>
      <c r="U818" s="663"/>
      <c r="V818" s="663"/>
      <c r="W818" s="663"/>
      <c r="X818" s="663"/>
      <c r="Y818" s="663"/>
      <c r="Z818" s="663"/>
      <c r="AB818" s="663"/>
    </row>
    <row r="819">
      <c r="B819" s="663"/>
      <c r="C819" s="663"/>
      <c r="D819" s="663"/>
      <c r="E819" s="663"/>
      <c r="F819" s="663"/>
      <c r="G819" s="663"/>
      <c r="H819" s="663"/>
      <c r="I819" s="663"/>
      <c r="J819" s="663"/>
      <c r="K819" s="663"/>
      <c r="L819" s="663"/>
      <c r="M819" s="663"/>
      <c r="R819" s="663"/>
      <c r="S819" s="663"/>
      <c r="T819" s="663"/>
      <c r="U819" s="663"/>
      <c r="V819" s="663"/>
      <c r="W819" s="663"/>
      <c r="X819" s="663"/>
      <c r="Y819" s="663"/>
      <c r="Z819" s="663"/>
      <c r="AB819" s="663"/>
    </row>
    <row r="820">
      <c r="B820" s="663"/>
      <c r="C820" s="663"/>
      <c r="D820" s="663"/>
      <c r="E820" s="663"/>
      <c r="F820" s="663"/>
      <c r="G820" s="663"/>
      <c r="H820" s="663"/>
      <c r="I820" s="663"/>
      <c r="J820" s="663"/>
      <c r="K820" s="663"/>
      <c r="L820" s="663"/>
      <c r="M820" s="663"/>
      <c r="R820" s="663"/>
      <c r="S820" s="663"/>
      <c r="T820" s="663"/>
      <c r="U820" s="663"/>
      <c r="V820" s="663"/>
      <c r="W820" s="663"/>
      <c r="X820" s="663"/>
      <c r="Y820" s="663"/>
      <c r="Z820" s="663"/>
      <c r="AB820" s="663"/>
    </row>
    <row r="821">
      <c r="B821" s="663"/>
      <c r="C821" s="663"/>
      <c r="D821" s="663"/>
      <c r="E821" s="663"/>
      <c r="F821" s="663"/>
      <c r="G821" s="663"/>
      <c r="H821" s="663"/>
      <c r="I821" s="663"/>
      <c r="J821" s="663"/>
      <c r="K821" s="663"/>
      <c r="L821" s="663"/>
      <c r="M821" s="663"/>
      <c r="R821" s="663"/>
      <c r="S821" s="663"/>
      <c r="T821" s="663"/>
      <c r="U821" s="663"/>
      <c r="V821" s="663"/>
      <c r="W821" s="663"/>
      <c r="X821" s="663"/>
      <c r="Y821" s="663"/>
      <c r="Z821" s="663"/>
      <c r="AB821" s="663"/>
    </row>
    <row r="822">
      <c r="B822" s="663"/>
      <c r="C822" s="663"/>
      <c r="D822" s="663"/>
      <c r="E822" s="663"/>
      <c r="F822" s="663"/>
      <c r="G822" s="663"/>
      <c r="H822" s="663"/>
      <c r="I822" s="663"/>
      <c r="J822" s="663"/>
      <c r="K822" s="663"/>
      <c r="L822" s="663"/>
      <c r="M822" s="663"/>
      <c r="R822" s="663"/>
      <c r="S822" s="663"/>
      <c r="T822" s="663"/>
      <c r="U822" s="663"/>
      <c r="V822" s="663"/>
      <c r="W822" s="663"/>
      <c r="X822" s="663"/>
      <c r="Y822" s="663"/>
      <c r="Z822" s="663"/>
      <c r="AB822" s="663"/>
    </row>
    <row r="823">
      <c r="B823" s="663"/>
      <c r="C823" s="663"/>
      <c r="D823" s="663"/>
      <c r="E823" s="663"/>
      <c r="F823" s="663"/>
      <c r="G823" s="663"/>
      <c r="H823" s="663"/>
      <c r="I823" s="663"/>
      <c r="J823" s="663"/>
      <c r="K823" s="663"/>
      <c r="L823" s="663"/>
      <c r="M823" s="663"/>
      <c r="R823" s="663"/>
      <c r="S823" s="663"/>
      <c r="T823" s="663"/>
      <c r="U823" s="663"/>
      <c r="V823" s="663"/>
      <c r="W823" s="663"/>
      <c r="X823" s="663"/>
      <c r="Y823" s="663"/>
      <c r="Z823" s="663"/>
      <c r="AB823" s="663"/>
    </row>
    <row r="824">
      <c r="B824" s="663"/>
      <c r="C824" s="663"/>
      <c r="D824" s="663"/>
      <c r="E824" s="663"/>
      <c r="F824" s="663"/>
      <c r="G824" s="663"/>
      <c r="H824" s="663"/>
      <c r="I824" s="663"/>
      <c r="J824" s="663"/>
      <c r="K824" s="663"/>
      <c r="L824" s="663"/>
      <c r="M824" s="663"/>
      <c r="R824" s="663"/>
      <c r="S824" s="663"/>
      <c r="T824" s="663"/>
      <c r="U824" s="663"/>
      <c r="V824" s="663"/>
      <c r="W824" s="663"/>
      <c r="X824" s="663"/>
      <c r="Y824" s="663"/>
      <c r="Z824" s="663"/>
      <c r="AB824" s="663"/>
    </row>
    <row r="825">
      <c r="B825" s="663"/>
      <c r="C825" s="663"/>
      <c r="D825" s="663"/>
      <c r="E825" s="663"/>
      <c r="F825" s="663"/>
      <c r="G825" s="663"/>
      <c r="H825" s="663"/>
      <c r="I825" s="663"/>
      <c r="J825" s="663"/>
      <c r="K825" s="663"/>
      <c r="L825" s="663"/>
      <c r="M825" s="663"/>
      <c r="R825" s="663"/>
      <c r="S825" s="663"/>
      <c r="T825" s="663"/>
      <c r="U825" s="663"/>
      <c r="V825" s="663"/>
      <c r="W825" s="663"/>
      <c r="X825" s="663"/>
      <c r="Y825" s="663"/>
      <c r="Z825" s="663"/>
      <c r="AB825" s="663"/>
    </row>
    <row r="826">
      <c r="B826" s="663"/>
      <c r="C826" s="663"/>
      <c r="D826" s="663"/>
      <c r="E826" s="663"/>
      <c r="F826" s="663"/>
      <c r="G826" s="663"/>
      <c r="H826" s="663"/>
      <c r="I826" s="663"/>
      <c r="J826" s="663"/>
      <c r="K826" s="663"/>
      <c r="L826" s="663"/>
      <c r="M826" s="663"/>
      <c r="R826" s="663"/>
      <c r="S826" s="663"/>
      <c r="T826" s="663"/>
      <c r="U826" s="663"/>
      <c r="V826" s="663"/>
      <c r="W826" s="663"/>
      <c r="X826" s="663"/>
      <c r="Y826" s="663"/>
      <c r="Z826" s="663"/>
      <c r="AB826" s="663"/>
    </row>
    <row r="827">
      <c r="B827" s="663"/>
      <c r="C827" s="663"/>
      <c r="D827" s="663"/>
      <c r="E827" s="663"/>
      <c r="F827" s="663"/>
      <c r="G827" s="663"/>
      <c r="H827" s="663"/>
      <c r="I827" s="663"/>
      <c r="J827" s="663"/>
      <c r="K827" s="663"/>
      <c r="L827" s="663"/>
      <c r="M827" s="663"/>
      <c r="R827" s="663"/>
      <c r="S827" s="663"/>
      <c r="T827" s="663"/>
      <c r="U827" s="663"/>
      <c r="V827" s="663"/>
      <c r="W827" s="663"/>
      <c r="X827" s="663"/>
      <c r="Y827" s="663"/>
      <c r="Z827" s="663"/>
      <c r="AB827" s="663"/>
    </row>
    <row r="828">
      <c r="B828" s="663"/>
      <c r="C828" s="663"/>
      <c r="D828" s="663"/>
      <c r="E828" s="663"/>
      <c r="F828" s="663"/>
      <c r="G828" s="663"/>
      <c r="H828" s="663"/>
      <c r="I828" s="663"/>
      <c r="J828" s="663"/>
      <c r="K828" s="663"/>
      <c r="L828" s="663"/>
      <c r="M828" s="663"/>
      <c r="R828" s="663"/>
      <c r="S828" s="663"/>
      <c r="T828" s="663"/>
      <c r="U828" s="663"/>
      <c r="V828" s="663"/>
      <c r="W828" s="663"/>
      <c r="X828" s="663"/>
      <c r="Y828" s="663"/>
      <c r="Z828" s="663"/>
      <c r="AB828" s="663"/>
    </row>
    <row r="829">
      <c r="B829" s="663"/>
      <c r="C829" s="663"/>
      <c r="D829" s="663"/>
      <c r="E829" s="663"/>
      <c r="F829" s="663"/>
      <c r="G829" s="663"/>
      <c r="H829" s="663"/>
      <c r="I829" s="663"/>
      <c r="J829" s="663"/>
      <c r="K829" s="663"/>
      <c r="L829" s="663"/>
      <c r="M829" s="663"/>
      <c r="R829" s="663"/>
      <c r="S829" s="663"/>
      <c r="T829" s="663"/>
      <c r="U829" s="663"/>
      <c r="V829" s="663"/>
      <c r="W829" s="663"/>
      <c r="X829" s="663"/>
      <c r="Y829" s="663"/>
      <c r="Z829" s="663"/>
      <c r="AB829" s="663"/>
    </row>
    <row r="830">
      <c r="B830" s="663"/>
      <c r="C830" s="663"/>
      <c r="D830" s="663"/>
      <c r="E830" s="663"/>
      <c r="F830" s="663"/>
      <c r="G830" s="663"/>
      <c r="H830" s="663"/>
      <c r="I830" s="663"/>
      <c r="J830" s="663"/>
      <c r="K830" s="663"/>
      <c r="L830" s="663"/>
      <c r="M830" s="663"/>
      <c r="R830" s="663"/>
      <c r="S830" s="663"/>
      <c r="T830" s="663"/>
      <c r="U830" s="663"/>
      <c r="V830" s="663"/>
      <c r="W830" s="663"/>
      <c r="X830" s="663"/>
      <c r="Y830" s="663"/>
      <c r="Z830" s="663"/>
      <c r="AB830" s="663"/>
    </row>
    <row r="831">
      <c r="B831" s="663"/>
      <c r="C831" s="663"/>
      <c r="D831" s="663"/>
      <c r="E831" s="663"/>
      <c r="F831" s="663"/>
      <c r="G831" s="663"/>
      <c r="H831" s="663"/>
      <c r="I831" s="663"/>
      <c r="J831" s="663"/>
      <c r="K831" s="663"/>
      <c r="L831" s="663"/>
      <c r="M831" s="663"/>
      <c r="R831" s="663"/>
      <c r="S831" s="663"/>
      <c r="T831" s="663"/>
      <c r="U831" s="663"/>
      <c r="V831" s="663"/>
      <c r="W831" s="663"/>
      <c r="X831" s="663"/>
      <c r="Y831" s="663"/>
      <c r="Z831" s="663"/>
      <c r="AB831" s="663"/>
    </row>
    <row r="832">
      <c r="B832" s="663"/>
      <c r="C832" s="663"/>
      <c r="D832" s="663"/>
      <c r="E832" s="663"/>
      <c r="F832" s="663"/>
      <c r="G832" s="663"/>
      <c r="H832" s="663"/>
      <c r="I832" s="663"/>
      <c r="J832" s="663"/>
      <c r="K832" s="663"/>
      <c r="L832" s="663"/>
      <c r="M832" s="663"/>
      <c r="R832" s="663"/>
      <c r="S832" s="663"/>
      <c r="T832" s="663"/>
      <c r="U832" s="663"/>
      <c r="V832" s="663"/>
      <c r="W832" s="663"/>
      <c r="X832" s="663"/>
      <c r="Y832" s="663"/>
      <c r="Z832" s="663"/>
      <c r="AB832" s="663"/>
    </row>
    <row r="833">
      <c r="B833" s="663"/>
      <c r="C833" s="663"/>
      <c r="D833" s="663"/>
      <c r="E833" s="663"/>
      <c r="F833" s="663"/>
      <c r="G833" s="663"/>
      <c r="H833" s="663"/>
      <c r="I833" s="663"/>
      <c r="J833" s="663"/>
      <c r="K833" s="663"/>
      <c r="L833" s="663"/>
      <c r="M833" s="663"/>
      <c r="R833" s="663"/>
      <c r="S833" s="663"/>
      <c r="T833" s="663"/>
      <c r="U833" s="663"/>
      <c r="V833" s="663"/>
      <c r="W833" s="663"/>
      <c r="X833" s="663"/>
      <c r="Y833" s="663"/>
      <c r="Z833" s="663"/>
      <c r="AB833" s="663"/>
    </row>
    <row r="834">
      <c r="B834" s="663"/>
      <c r="C834" s="663"/>
      <c r="D834" s="663"/>
      <c r="E834" s="663"/>
      <c r="F834" s="663"/>
      <c r="G834" s="663"/>
      <c r="H834" s="663"/>
      <c r="I834" s="663"/>
      <c r="J834" s="663"/>
      <c r="K834" s="663"/>
      <c r="L834" s="663"/>
      <c r="M834" s="663"/>
      <c r="R834" s="663"/>
      <c r="S834" s="663"/>
      <c r="T834" s="663"/>
      <c r="U834" s="663"/>
      <c r="V834" s="663"/>
      <c r="W834" s="663"/>
      <c r="X834" s="663"/>
      <c r="Y834" s="663"/>
      <c r="Z834" s="663"/>
      <c r="AB834" s="663"/>
    </row>
    <row r="835">
      <c r="B835" s="663"/>
      <c r="C835" s="663"/>
      <c r="D835" s="663"/>
      <c r="E835" s="663"/>
      <c r="F835" s="663"/>
      <c r="G835" s="663"/>
      <c r="H835" s="663"/>
      <c r="I835" s="663"/>
      <c r="J835" s="663"/>
      <c r="K835" s="663"/>
      <c r="L835" s="663"/>
      <c r="M835" s="663"/>
      <c r="R835" s="663"/>
      <c r="S835" s="663"/>
      <c r="T835" s="663"/>
      <c r="U835" s="663"/>
      <c r="V835" s="663"/>
      <c r="W835" s="663"/>
      <c r="X835" s="663"/>
      <c r="Y835" s="663"/>
      <c r="Z835" s="663"/>
      <c r="AB835" s="663"/>
    </row>
    <row r="836">
      <c r="B836" s="663"/>
      <c r="C836" s="663"/>
      <c r="D836" s="663"/>
      <c r="E836" s="663"/>
      <c r="F836" s="663"/>
      <c r="G836" s="663"/>
      <c r="H836" s="663"/>
      <c r="I836" s="663"/>
      <c r="J836" s="663"/>
      <c r="K836" s="663"/>
      <c r="L836" s="663"/>
      <c r="M836" s="663"/>
      <c r="R836" s="663"/>
      <c r="S836" s="663"/>
      <c r="T836" s="663"/>
      <c r="U836" s="663"/>
      <c r="V836" s="663"/>
      <c r="W836" s="663"/>
      <c r="X836" s="663"/>
      <c r="Y836" s="663"/>
      <c r="Z836" s="663"/>
      <c r="AB836" s="663"/>
    </row>
    <row r="837">
      <c r="B837" s="663"/>
      <c r="C837" s="663"/>
      <c r="D837" s="663"/>
      <c r="E837" s="663"/>
      <c r="F837" s="663"/>
      <c r="G837" s="663"/>
      <c r="H837" s="663"/>
      <c r="I837" s="663"/>
      <c r="J837" s="663"/>
      <c r="K837" s="663"/>
      <c r="L837" s="663"/>
      <c r="M837" s="663"/>
      <c r="R837" s="663"/>
      <c r="S837" s="663"/>
      <c r="T837" s="663"/>
      <c r="U837" s="663"/>
      <c r="V837" s="663"/>
      <c r="W837" s="663"/>
      <c r="X837" s="663"/>
      <c r="Y837" s="663"/>
      <c r="Z837" s="663"/>
      <c r="AB837" s="663"/>
    </row>
    <row r="838">
      <c r="B838" s="663"/>
      <c r="C838" s="663"/>
      <c r="D838" s="663"/>
      <c r="E838" s="663"/>
      <c r="F838" s="663"/>
      <c r="G838" s="663"/>
      <c r="H838" s="663"/>
      <c r="I838" s="663"/>
      <c r="J838" s="663"/>
      <c r="K838" s="663"/>
      <c r="L838" s="663"/>
      <c r="M838" s="663"/>
      <c r="R838" s="663"/>
      <c r="S838" s="663"/>
      <c r="T838" s="663"/>
      <c r="U838" s="663"/>
      <c r="V838" s="663"/>
      <c r="W838" s="663"/>
      <c r="X838" s="663"/>
      <c r="Y838" s="663"/>
      <c r="Z838" s="663"/>
      <c r="AB838" s="663"/>
    </row>
    <row r="839">
      <c r="B839" s="663"/>
      <c r="C839" s="663"/>
      <c r="D839" s="663"/>
      <c r="E839" s="663"/>
      <c r="F839" s="663"/>
      <c r="G839" s="663"/>
      <c r="H839" s="663"/>
      <c r="I839" s="663"/>
      <c r="J839" s="663"/>
      <c r="K839" s="663"/>
      <c r="L839" s="663"/>
      <c r="M839" s="663"/>
      <c r="R839" s="663"/>
      <c r="S839" s="663"/>
      <c r="T839" s="663"/>
      <c r="U839" s="663"/>
      <c r="V839" s="663"/>
      <c r="W839" s="663"/>
      <c r="X839" s="663"/>
      <c r="Y839" s="663"/>
      <c r="Z839" s="663"/>
      <c r="AB839" s="663"/>
    </row>
    <row r="840">
      <c r="B840" s="663"/>
      <c r="C840" s="663"/>
      <c r="D840" s="663"/>
      <c r="E840" s="663"/>
      <c r="F840" s="663"/>
      <c r="G840" s="663"/>
      <c r="H840" s="663"/>
      <c r="I840" s="663"/>
      <c r="J840" s="663"/>
      <c r="K840" s="663"/>
      <c r="L840" s="663"/>
      <c r="M840" s="663"/>
      <c r="R840" s="663"/>
      <c r="S840" s="663"/>
      <c r="T840" s="663"/>
      <c r="U840" s="663"/>
      <c r="V840" s="663"/>
      <c r="W840" s="663"/>
      <c r="X840" s="663"/>
      <c r="Y840" s="663"/>
      <c r="Z840" s="663"/>
      <c r="AB840" s="663"/>
    </row>
    <row r="841">
      <c r="B841" s="663"/>
      <c r="C841" s="663"/>
      <c r="D841" s="663"/>
      <c r="E841" s="663"/>
      <c r="F841" s="663"/>
      <c r="G841" s="663"/>
      <c r="H841" s="663"/>
      <c r="I841" s="663"/>
      <c r="J841" s="663"/>
      <c r="K841" s="663"/>
      <c r="L841" s="663"/>
      <c r="M841" s="663"/>
      <c r="R841" s="663"/>
      <c r="S841" s="663"/>
      <c r="T841" s="663"/>
      <c r="U841" s="663"/>
      <c r="V841" s="663"/>
      <c r="W841" s="663"/>
      <c r="X841" s="663"/>
      <c r="Y841" s="663"/>
      <c r="Z841" s="663"/>
      <c r="AB841" s="663"/>
    </row>
    <row r="842">
      <c r="B842" s="663"/>
      <c r="C842" s="663"/>
      <c r="D842" s="663"/>
      <c r="E842" s="663"/>
      <c r="F842" s="663"/>
      <c r="G842" s="663"/>
      <c r="H842" s="663"/>
      <c r="I842" s="663"/>
      <c r="J842" s="663"/>
      <c r="K842" s="663"/>
      <c r="L842" s="663"/>
      <c r="M842" s="663"/>
      <c r="R842" s="663"/>
      <c r="S842" s="663"/>
      <c r="T842" s="663"/>
      <c r="U842" s="663"/>
      <c r="V842" s="663"/>
      <c r="W842" s="663"/>
      <c r="X842" s="663"/>
      <c r="Y842" s="663"/>
      <c r="Z842" s="663"/>
      <c r="AB842" s="663"/>
    </row>
    <row r="843">
      <c r="B843" s="663"/>
      <c r="C843" s="663"/>
      <c r="D843" s="663"/>
      <c r="E843" s="663"/>
      <c r="F843" s="663"/>
      <c r="G843" s="663"/>
      <c r="H843" s="663"/>
      <c r="I843" s="663"/>
      <c r="J843" s="663"/>
      <c r="K843" s="663"/>
      <c r="L843" s="663"/>
      <c r="M843" s="663"/>
      <c r="R843" s="663"/>
      <c r="S843" s="663"/>
      <c r="T843" s="663"/>
      <c r="U843" s="663"/>
      <c r="V843" s="663"/>
      <c r="W843" s="663"/>
      <c r="X843" s="663"/>
      <c r="Y843" s="663"/>
      <c r="Z843" s="663"/>
      <c r="AB843" s="663"/>
    </row>
    <row r="844">
      <c r="B844" s="663"/>
      <c r="C844" s="663"/>
      <c r="D844" s="663"/>
      <c r="E844" s="663"/>
      <c r="F844" s="663"/>
      <c r="G844" s="663"/>
      <c r="H844" s="663"/>
      <c r="I844" s="663"/>
      <c r="J844" s="663"/>
      <c r="K844" s="663"/>
      <c r="L844" s="663"/>
      <c r="M844" s="663"/>
      <c r="R844" s="663"/>
      <c r="S844" s="663"/>
      <c r="T844" s="663"/>
      <c r="U844" s="663"/>
      <c r="V844" s="663"/>
      <c r="W844" s="663"/>
      <c r="X844" s="663"/>
      <c r="Y844" s="663"/>
      <c r="Z844" s="663"/>
      <c r="AB844" s="663"/>
    </row>
    <row r="845">
      <c r="B845" s="663"/>
      <c r="C845" s="663"/>
      <c r="D845" s="663"/>
      <c r="E845" s="663"/>
      <c r="F845" s="663"/>
      <c r="G845" s="663"/>
      <c r="H845" s="663"/>
      <c r="I845" s="663"/>
      <c r="J845" s="663"/>
      <c r="K845" s="663"/>
      <c r="L845" s="663"/>
      <c r="M845" s="663"/>
      <c r="R845" s="663"/>
      <c r="S845" s="663"/>
      <c r="T845" s="663"/>
      <c r="U845" s="663"/>
      <c r="V845" s="663"/>
      <c r="W845" s="663"/>
      <c r="X845" s="663"/>
      <c r="Y845" s="663"/>
      <c r="Z845" s="663"/>
      <c r="AB845" s="663"/>
    </row>
    <row r="846">
      <c r="B846" s="663"/>
      <c r="C846" s="663"/>
      <c r="D846" s="663"/>
      <c r="E846" s="663"/>
      <c r="F846" s="663"/>
      <c r="G846" s="663"/>
      <c r="H846" s="663"/>
      <c r="I846" s="663"/>
      <c r="J846" s="663"/>
      <c r="K846" s="663"/>
      <c r="L846" s="663"/>
      <c r="M846" s="663"/>
      <c r="R846" s="663"/>
      <c r="S846" s="663"/>
      <c r="T846" s="663"/>
      <c r="U846" s="663"/>
      <c r="V846" s="663"/>
      <c r="W846" s="663"/>
      <c r="X846" s="663"/>
      <c r="Y846" s="663"/>
      <c r="Z846" s="663"/>
      <c r="AB846" s="663"/>
    </row>
    <row r="847">
      <c r="B847" s="663"/>
      <c r="C847" s="663"/>
      <c r="D847" s="663"/>
      <c r="E847" s="663"/>
      <c r="F847" s="663"/>
      <c r="G847" s="663"/>
      <c r="H847" s="663"/>
      <c r="I847" s="663"/>
      <c r="J847" s="663"/>
      <c r="K847" s="663"/>
      <c r="L847" s="663"/>
      <c r="M847" s="663"/>
      <c r="R847" s="663"/>
      <c r="S847" s="663"/>
      <c r="T847" s="663"/>
      <c r="U847" s="663"/>
      <c r="V847" s="663"/>
      <c r="W847" s="663"/>
      <c r="X847" s="663"/>
      <c r="Y847" s="663"/>
      <c r="Z847" s="663"/>
      <c r="AB847" s="663"/>
    </row>
    <row r="848">
      <c r="B848" s="663"/>
      <c r="C848" s="663"/>
      <c r="D848" s="663"/>
      <c r="E848" s="663"/>
      <c r="F848" s="663"/>
      <c r="G848" s="663"/>
      <c r="H848" s="663"/>
      <c r="I848" s="663"/>
      <c r="J848" s="663"/>
      <c r="K848" s="663"/>
      <c r="L848" s="663"/>
      <c r="M848" s="663"/>
      <c r="R848" s="663"/>
      <c r="S848" s="663"/>
      <c r="T848" s="663"/>
      <c r="U848" s="663"/>
      <c r="V848" s="663"/>
      <c r="W848" s="663"/>
      <c r="X848" s="663"/>
      <c r="Y848" s="663"/>
      <c r="Z848" s="663"/>
      <c r="AB848" s="663"/>
    </row>
    <row r="849">
      <c r="B849" s="663"/>
      <c r="C849" s="663"/>
      <c r="D849" s="663"/>
      <c r="E849" s="663"/>
      <c r="F849" s="663"/>
      <c r="G849" s="663"/>
      <c r="H849" s="663"/>
      <c r="I849" s="663"/>
      <c r="J849" s="663"/>
      <c r="K849" s="663"/>
      <c r="L849" s="663"/>
      <c r="M849" s="663"/>
      <c r="R849" s="663"/>
      <c r="S849" s="663"/>
      <c r="T849" s="663"/>
      <c r="U849" s="663"/>
      <c r="V849" s="663"/>
      <c r="W849" s="663"/>
      <c r="X849" s="663"/>
      <c r="Y849" s="663"/>
      <c r="Z849" s="663"/>
      <c r="AB849" s="663"/>
    </row>
    <row r="850">
      <c r="B850" s="663"/>
      <c r="C850" s="663"/>
      <c r="D850" s="663"/>
      <c r="E850" s="663"/>
      <c r="F850" s="663"/>
      <c r="G850" s="663"/>
      <c r="H850" s="663"/>
      <c r="I850" s="663"/>
      <c r="J850" s="663"/>
      <c r="K850" s="663"/>
      <c r="L850" s="663"/>
      <c r="M850" s="663"/>
      <c r="R850" s="663"/>
      <c r="S850" s="663"/>
      <c r="T850" s="663"/>
      <c r="U850" s="663"/>
      <c r="V850" s="663"/>
      <c r="W850" s="663"/>
      <c r="X850" s="663"/>
      <c r="Y850" s="663"/>
      <c r="Z850" s="663"/>
      <c r="AB850" s="663"/>
    </row>
    <row r="851">
      <c r="B851" s="663"/>
      <c r="C851" s="663"/>
      <c r="D851" s="663"/>
      <c r="E851" s="663"/>
      <c r="F851" s="663"/>
      <c r="G851" s="663"/>
      <c r="H851" s="663"/>
      <c r="I851" s="663"/>
      <c r="J851" s="663"/>
      <c r="K851" s="663"/>
      <c r="L851" s="663"/>
      <c r="M851" s="663"/>
      <c r="R851" s="663"/>
      <c r="S851" s="663"/>
      <c r="T851" s="663"/>
      <c r="U851" s="663"/>
      <c r="V851" s="663"/>
      <c r="W851" s="663"/>
      <c r="X851" s="663"/>
      <c r="Y851" s="663"/>
      <c r="Z851" s="663"/>
      <c r="AB851" s="663"/>
    </row>
    <row r="852">
      <c r="B852" s="663"/>
      <c r="C852" s="663"/>
      <c r="D852" s="663"/>
      <c r="E852" s="663"/>
      <c r="F852" s="663"/>
      <c r="G852" s="663"/>
      <c r="H852" s="663"/>
      <c r="I852" s="663"/>
      <c r="J852" s="663"/>
      <c r="K852" s="663"/>
      <c r="L852" s="663"/>
      <c r="M852" s="663"/>
      <c r="R852" s="663"/>
      <c r="S852" s="663"/>
      <c r="T852" s="663"/>
      <c r="U852" s="663"/>
      <c r="V852" s="663"/>
      <c r="W852" s="663"/>
      <c r="X852" s="663"/>
      <c r="Y852" s="663"/>
      <c r="Z852" s="663"/>
      <c r="AB852" s="663"/>
    </row>
    <row r="853">
      <c r="B853" s="663"/>
      <c r="C853" s="663"/>
      <c r="D853" s="663"/>
      <c r="E853" s="663"/>
      <c r="F853" s="663"/>
      <c r="G853" s="663"/>
      <c r="H853" s="663"/>
      <c r="I853" s="663"/>
      <c r="J853" s="663"/>
      <c r="K853" s="663"/>
      <c r="L853" s="663"/>
      <c r="M853" s="663"/>
      <c r="R853" s="663"/>
      <c r="S853" s="663"/>
      <c r="T853" s="663"/>
      <c r="U853" s="663"/>
      <c r="V853" s="663"/>
      <c r="W853" s="663"/>
      <c r="X853" s="663"/>
      <c r="Y853" s="663"/>
      <c r="Z853" s="663"/>
      <c r="AB853" s="663"/>
    </row>
    <row r="854">
      <c r="B854" s="663"/>
      <c r="C854" s="663"/>
      <c r="D854" s="663"/>
      <c r="E854" s="663"/>
      <c r="F854" s="663"/>
      <c r="G854" s="663"/>
      <c r="H854" s="663"/>
      <c r="I854" s="663"/>
      <c r="J854" s="663"/>
      <c r="K854" s="663"/>
      <c r="L854" s="663"/>
      <c r="M854" s="663"/>
      <c r="R854" s="663"/>
      <c r="S854" s="663"/>
      <c r="T854" s="663"/>
      <c r="U854" s="663"/>
      <c r="V854" s="663"/>
      <c r="W854" s="663"/>
      <c r="X854" s="663"/>
      <c r="Y854" s="663"/>
      <c r="Z854" s="663"/>
      <c r="AB854" s="663"/>
    </row>
    <row r="855">
      <c r="B855" s="663"/>
      <c r="C855" s="663"/>
      <c r="D855" s="663"/>
      <c r="E855" s="663"/>
      <c r="F855" s="663"/>
      <c r="G855" s="663"/>
      <c r="H855" s="663"/>
      <c r="I855" s="663"/>
      <c r="J855" s="663"/>
      <c r="K855" s="663"/>
      <c r="L855" s="663"/>
      <c r="M855" s="663"/>
      <c r="R855" s="663"/>
      <c r="S855" s="663"/>
      <c r="T855" s="663"/>
      <c r="U855" s="663"/>
      <c r="V855" s="663"/>
      <c r="W855" s="663"/>
      <c r="X855" s="663"/>
      <c r="Y855" s="663"/>
      <c r="Z855" s="663"/>
      <c r="AB855" s="663"/>
    </row>
    <row r="856">
      <c r="B856" s="663"/>
      <c r="C856" s="663"/>
      <c r="D856" s="663"/>
      <c r="E856" s="663"/>
      <c r="F856" s="663"/>
      <c r="G856" s="663"/>
      <c r="H856" s="663"/>
      <c r="I856" s="663"/>
      <c r="J856" s="663"/>
      <c r="K856" s="663"/>
      <c r="L856" s="663"/>
      <c r="M856" s="663"/>
      <c r="R856" s="663"/>
      <c r="S856" s="663"/>
      <c r="T856" s="663"/>
      <c r="U856" s="663"/>
      <c r="V856" s="663"/>
      <c r="W856" s="663"/>
      <c r="X856" s="663"/>
      <c r="Y856" s="663"/>
      <c r="Z856" s="663"/>
      <c r="AB856" s="663"/>
    </row>
    <row r="857">
      <c r="B857" s="663"/>
      <c r="C857" s="663"/>
      <c r="D857" s="663"/>
      <c r="E857" s="663"/>
      <c r="F857" s="663"/>
      <c r="G857" s="663"/>
      <c r="H857" s="663"/>
      <c r="I857" s="663"/>
      <c r="J857" s="663"/>
      <c r="K857" s="663"/>
      <c r="L857" s="663"/>
      <c r="M857" s="663"/>
      <c r="R857" s="663"/>
      <c r="S857" s="663"/>
      <c r="T857" s="663"/>
      <c r="U857" s="663"/>
      <c r="V857" s="663"/>
      <c r="W857" s="663"/>
      <c r="X857" s="663"/>
      <c r="Y857" s="663"/>
      <c r="Z857" s="663"/>
      <c r="AB857" s="663"/>
    </row>
    <row r="858">
      <c r="B858" s="663"/>
      <c r="C858" s="663"/>
      <c r="D858" s="663"/>
      <c r="E858" s="663"/>
      <c r="F858" s="663"/>
      <c r="G858" s="663"/>
      <c r="H858" s="663"/>
      <c r="I858" s="663"/>
      <c r="J858" s="663"/>
      <c r="K858" s="663"/>
      <c r="L858" s="663"/>
      <c r="M858" s="663"/>
      <c r="R858" s="663"/>
      <c r="S858" s="663"/>
      <c r="T858" s="663"/>
      <c r="U858" s="663"/>
      <c r="V858" s="663"/>
      <c r="W858" s="663"/>
      <c r="X858" s="663"/>
      <c r="Y858" s="663"/>
      <c r="Z858" s="663"/>
      <c r="AB858" s="663"/>
    </row>
    <row r="859">
      <c r="B859" s="663"/>
      <c r="C859" s="663"/>
      <c r="D859" s="663"/>
      <c r="E859" s="663"/>
      <c r="F859" s="663"/>
      <c r="G859" s="663"/>
      <c r="H859" s="663"/>
      <c r="I859" s="663"/>
      <c r="J859" s="663"/>
      <c r="K859" s="663"/>
      <c r="L859" s="663"/>
      <c r="M859" s="663"/>
      <c r="R859" s="663"/>
      <c r="S859" s="663"/>
      <c r="T859" s="663"/>
      <c r="U859" s="663"/>
      <c r="V859" s="663"/>
      <c r="W859" s="663"/>
      <c r="X859" s="663"/>
      <c r="Y859" s="663"/>
      <c r="Z859" s="663"/>
      <c r="AB859" s="663"/>
    </row>
    <row r="860">
      <c r="B860" s="663"/>
      <c r="C860" s="663"/>
      <c r="D860" s="663"/>
      <c r="E860" s="663"/>
      <c r="F860" s="663"/>
      <c r="G860" s="663"/>
      <c r="H860" s="663"/>
      <c r="I860" s="663"/>
      <c r="J860" s="663"/>
      <c r="K860" s="663"/>
      <c r="L860" s="663"/>
      <c r="M860" s="663"/>
      <c r="R860" s="663"/>
      <c r="S860" s="663"/>
      <c r="T860" s="663"/>
      <c r="U860" s="663"/>
      <c r="V860" s="663"/>
      <c r="W860" s="663"/>
      <c r="X860" s="663"/>
      <c r="Y860" s="663"/>
      <c r="Z860" s="663"/>
      <c r="AB860" s="663"/>
    </row>
    <row r="861">
      <c r="B861" s="663"/>
      <c r="C861" s="663"/>
      <c r="D861" s="663"/>
      <c r="E861" s="663"/>
      <c r="F861" s="663"/>
      <c r="G861" s="663"/>
      <c r="H861" s="663"/>
      <c r="I861" s="663"/>
      <c r="J861" s="663"/>
      <c r="K861" s="663"/>
      <c r="L861" s="663"/>
      <c r="M861" s="663"/>
      <c r="R861" s="663"/>
      <c r="S861" s="663"/>
      <c r="T861" s="663"/>
      <c r="U861" s="663"/>
      <c r="V861" s="663"/>
      <c r="W861" s="663"/>
      <c r="X861" s="663"/>
      <c r="Y861" s="663"/>
      <c r="Z861" s="663"/>
      <c r="AB861" s="663"/>
    </row>
    <row r="862">
      <c r="B862" s="663"/>
      <c r="C862" s="663"/>
      <c r="D862" s="663"/>
      <c r="E862" s="663"/>
      <c r="F862" s="663"/>
      <c r="G862" s="663"/>
      <c r="H862" s="663"/>
      <c r="I862" s="663"/>
      <c r="J862" s="663"/>
      <c r="K862" s="663"/>
      <c r="L862" s="663"/>
      <c r="M862" s="663"/>
      <c r="R862" s="663"/>
      <c r="S862" s="663"/>
      <c r="T862" s="663"/>
      <c r="U862" s="663"/>
      <c r="V862" s="663"/>
      <c r="W862" s="663"/>
      <c r="X862" s="663"/>
      <c r="Y862" s="663"/>
      <c r="Z862" s="663"/>
      <c r="AB862" s="663"/>
    </row>
    <row r="863">
      <c r="B863" s="663"/>
      <c r="C863" s="663"/>
      <c r="D863" s="663"/>
      <c r="E863" s="663"/>
      <c r="F863" s="663"/>
      <c r="G863" s="663"/>
      <c r="H863" s="663"/>
      <c r="I863" s="663"/>
      <c r="J863" s="663"/>
      <c r="K863" s="663"/>
      <c r="L863" s="663"/>
      <c r="M863" s="663"/>
      <c r="R863" s="663"/>
      <c r="S863" s="663"/>
      <c r="T863" s="663"/>
      <c r="U863" s="663"/>
      <c r="V863" s="663"/>
      <c r="W863" s="663"/>
      <c r="X863" s="663"/>
      <c r="Y863" s="663"/>
      <c r="Z863" s="663"/>
      <c r="AB863" s="663"/>
    </row>
    <row r="864">
      <c r="B864" s="663"/>
      <c r="C864" s="663"/>
      <c r="D864" s="663"/>
      <c r="E864" s="663"/>
      <c r="F864" s="663"/>
      <c r="G864" s="663"/>
      <c r="H864" s="663"/>
      <c r="I864" s="663"/>
      <c r="J864" s="663"/>
      <c r="K864" s="663"/>
      <c r="L864" s="663"/>
      <c r="M864" s="663"/>
      <c r="R864" s="663"/>
      <c r="S864" s="663"/>
      <c r="T864" s="663"/>
      <c r="U864" s="663"/>
      <c r="V864" s="663"/>
      <c r="W864" s="663"/>
      <c r="X864" s="663"/>
      <c r="Y864" s="663"/>
      <c r="Z864" s="663"/>
      <c r="AB864" s="663"/>
    </row>
    <row r="865">
      <c r="B865" s="663"/>
      <c r="C865" s="663"/>
      <c r="D865" s="663"/>
      <c r="E865" s="663"/>
      <c r="F865" s="663"/>
      <c r="G865" s="663"/>
      <c r="H865" s="663"/>
      <c r="I865" s="663"/>
      <c r="J865" s="663"/>
      <c r="K865" s="663"/>
      <c r="L865" s="663"/>
      <c r="M865" s="663"/>
      <c r="R865" s="663"/>
      <c r="S865" s="663"/>
      <c r="T865" s="663"/>
      <c r="U865" s="663"/>
      <c r="V865" s="663"/>
      <c r="W865" s="663"/>
      <c r="X865" s="663"/>
      <c r="Y865" s="663"/>
      <c r="Z865" s="663"/>
      <c r="AB865" s="663"/>
    </row>
    <row r="866">
      <c r="B866" s="663"/>
      <c r="C866" s="663"/>
      <c r="D866" s="663"/>
      <c r="E866" s="663"/>
      <c r="F866" s="663"/>
      <c r="G866" s="663"/>
      <c r="H866" s="663"/>
      <c r="I866" s="663"/>
      <c r="J866" s="663"/>
      <c r="K866" s="663"/>
      <c r="L866" s="663"/>
      <c r="M866" s="663"/>
      <c r="R866" s="663"/>
      <c r="S866" s="663"/>
      <c r="T866" s="663"/>
      <c r="U866" s="663"/>
      <c r="V866" s="663"/>
      <c r="W866" s="663"/>
      <c r="X866" s="663"/>
      <c r="Y866" s="663"/>
      <c r="Z866" s="663"/>
      <c r="AB866" s="663"/>
    </row>
    <row r="867">
      <c r="B867" s="663"/>
      <c r="C867" s="663"/>
      <c r="D867" s="663"/>
      <c r="E867" s="663"/>
      <c r="F867" s="663"/>
      <c r="G867" s="663"/>
      <c r="H867" s="663"/>
      <c r="I867" s="663"/>
      <c r="J867" s="663"/>
      <c r="K867" s="663"/>
      <c r="L867" s="663"/>
      <c r="M867" s="663"/>
      <c r="R867" s="663"/>
      <c r="S867" s="663"/>
      <c r="T867" s="663"/>
      <c r="U867" s="663"/>
      <c r="V867" s="663"/>
      <c r="W867" s="663"/>
      <c r="X867" s="663"/>
      <c r="Y867" s="663"/>
      <c r="Z867" s="663"/>
      <c r="AB867" s="663"/>
    </row>
    <row r="868">
      <c r="B868" s="663"/>
      <c r="C868" s="663"/>
      <c r="D868" s="663"/>
      <c r="E868" s="663"/>
      <c r="F868" s="663"/>
      <c r="G868" s="663"/>
      <c r="H868" s="663"/>
      <c r="I868" s="663"/>
      <c r="J868" s="663"/>
      <c r="K868" s="663"/>
      <c r="L868" s="663"/>
      <c r="M868" s="663"/>
      <c r="R868" s="663"/>
      <c r="S868" s="663"/>
      <c r="T868" s="663"/>
      <c r="U868" s="663"/>
      <c r="V868" s="663"/>
      <c r="W868" s="663"/>
      <c r="X868" s="663"/>
      <c r="Y868" s="663"/>
      <c r="Z868" s="663"/>
      <c r="AB868" s="663"/>
    </row>
    <row r="869">
      <c r="B869" s="663"/>
      <c r="C869" s="663"/>
      <c r="D869" s="663"/>
      <c r="E869" s="663"/>
      <c r="F869" s="663"/>
      <c r="G869" s="663"/>
      <c r="H869" s="663"/>
      <c r="I869" s="663"/>
      <c r="J869" s="663"/>
      <c r="K869" s="663"/>
      <c r="L869" s="663"/>
      <c r="M869" s="663"/>
      <c r="R869" s="663"/>
      <c r="S869" s="663"/>
      <c r="T869" s="663"/>
      <c r="U869" s="663"/>
      <c r="V869" s="663"/>
      <c r="W869" s="663"/>
      <c r="X869" s="663"/>
      <c r="Y869" s="663"/>
      <c r="Z869" s="663"/>
      <c r="AB869" s="663"/>
    </row>
    <row r="870">
      <c r="B870" s="663"/>
      <c r="C870" s="663"/>
      <c r="D870" s="663"/>
      <c r="E870" s="663"/>
      <c r="F870" s="663"/>
      <c r="G870" s="663"/>
      <c r="H870" s="663"/>
      <c r="I870" s="663"/>
      <c r="J870" s="663"/>
      <c r="K870" s="663"/>
      <c r="L870" s="663"/>
      <c r="M870" s="663"/>
      <c r="R870" s="663"/>
      <c r="S870" s="663"/>
      <c r="T870" s="663"/>
      <c r="U870" s="663"/>
      <c r="V870" s="663"/>
      <c r="W870" s="663"/>
      <c r="X870" s="663"/>
      <c r="Y870" s="663"/>
      <c r="Z870" s="663"/>
      <c r="AB870" s="663"/>
    </row>
    <row r="871">
      <c r="B871" s="663"/>
      <c r="C871" s="663"/>
      <c r="D871" s="663"/>
      <c r="E871" s="663"/>
      <c r="F871" s="663"/>
      <c r="G871" s="663"/>
      <c r="H871" s="663"/>
      <c r="I871" s="663"/>
      <c r="J871" s="663"/>
      <c r="K871" s="663"/>
      <c r="L871" s="663"/>
      <c r="M871" s="663"/>
      <c r="R871" s="663"/>
      <c r="S871" s="663"/>
      <c r="T871" s="663"/>
      <c r="U871" s="663"/>
      <c r="V871" s="663"/>
      <c r="W871" s="663"/>
      <c r="X871" s="663"/>
      <c r="Y871" s="663"/>
      <c r="Z871" s="663"/>
      <c r="AB871" s="663"/>
    </row>
    <row r="872">
      <c r="B872" s="663"/>
      <c r="C872" s="663"/>
      <c r="D872" s="663"/>
      <c r="E872" s="663"/>
      <c r="F872" s="663"/>
      <c r="G872" s="663"/>
      <c r="H872" s="663"/>
      <c r="I872" s="663"/>
      <c r="J872" s="663"/>
      <c r="K872" s="663"/>
      <c r="L872" s="663"/>
      <c r="M872" s="663"/>
      <c r="R872" s="663"/>
      <c r="S872" s="663"/>
      <c r="T872" s="663"/>
      <c r="U872" s="663"/>
      <c r="V872" s="663"/>
      <c r="W872" s="663"/>
      <c r="X872" s="663"/>
      <c r="Y872" s="663"/>
      <c r="Z872" s="663"/>
      <c r="AB872" s="663"/>
    </row>
    <row r="873">
      <c r="B873" s="663"/>
      <c r="C873" s="663"/>
      <c r="D873" s="663"/>
      <c r="E873" s="663"/>
      <c r="F873" s="663"/>
      <c r="G873" s="663"/>
      <c r="H873" s="663"/>
      <c r="I873" s="663"/>
      <c r="J873" s="663"/>
      <c r="K873" s="663"/>
      <c r="L873" s="663"/>
      <c r="M873" s="663"/>
      <c r="R873" s="663"/>
      <c r="S873" s="663"/>
      <c r="T873" s="663"/>
      <c r="U873" s="663"/>
      <c r="V873" s="663"/>
      <c r="W873" s="663"/>
      <c r="X873" s="663"/>
      <c r="Y873" s="663"/>
      <c r="Z873" s="663"/>
      <c r="AB873" s="663"/>
    </row>
    <row r="874">
      <c r="B874" s="663"/>
      <c r="C874" s="663"/>
      <c r="D874" s="663"/>
      <c r="E874" s="663"/>
      <c r="F874" s="663"/>
      <c r="G874" s="663"/>
      <c r="H874" s="663"/>
      <c r="I874" s="663"/>
      <c r="J874" s="663"/>
      <c r="K874" s="663"/>
      <c r="L874" s="663"/>
      <c r="M874" s="663"/>
      <c r="R874" s="663"/>
      <c r="S874" s="663"/>
      <c r="T874" s="663"/>
      <c r="U874" s="663"/>
      <c r="V874" s="663"/>
      <c r="W874" s="663"/>
      <c r="X874" s="663"/>
      <c r="Y874" s="663"/>
      <c r="Z874" s="663"/>
      <c r="AB874" s="663"/>
    </row>
    <row r="875">
      <c r="B875" s="663"/>
      <c r="C875" s="663"/>
      <c r="D875" s="663"/>
      <c r="E875" s="663"/>
      <c r="F875" s="663"/>
      <c r="G875" s="663"/>
      <c r="H875" s="663"/>
      <c r="I875" s="663"/>
      <c r="J875" s="663"/>
      <c r="K875" s="663"/>
      <c r="L875" s="663"/>
      <c r="M875" s="663"/>
      <c r="R875" s="663"/>
      <c r="S875" s="663"/>
      <c r="T875" s="663"/>
      <c r="U875" s="663"/>
      <c r="V875" s="663"/>
      <c r="W875" s="663"/>
      <c r="X875" s="663"/>
      <c r="Y875" s="663"/>
      <c r="Z875" s="663"/>
      <c r="AB875" s="663"/>
    </row>
    <row r="876">
      <c r="B876" s="663"/>
      <c r="C876" s="663"/>
      <c r="D876" s="663"/>
      <c r="E876" s="663"/>
      <c r="F876" s="663"/>
      <c r="G876" s="663"/>
      <c r="H876" s="663"/>
      <c r="I876" s="663"/>
      <c r="J876" s="663"/>
      <c r="K876" s="663"/>
      <c r="L876" s="663"/>
      <c r="M876" s="663"/>
      <c r="R876" s="663"/>
      <c r="S876" s="663"/>
      <c r="T876" s="663"/>
      <c r="U876" s="663"/>
      <c r="V876" s="663"/>
      <c r="W876" s="663"/>
      <c r="X876" s="663"/>
      <c r="Y876" s="663"/>
      <c r="Z876" s="663"/>
      <c r="AB876" s="663"/>
    </row>
    <row r="877">
      <c r="B877" s="663"/>
      <c r="C877" s="663"/>
      <c r="D877" s="663"/>
      <c r="E877" s="663"/>
      <c r="F877" s="663"/>
      <c r="G877" s="663"/>
      <c r="H877" s="663"/>
      <c r="I877" s="663"/>
      <c r="J877" s="663"/>
      <c r="K877" s="663"/>
      <c r="L877" s="663"/>
      <c r="M877" s="663"/>
      <c r="R877" s="663"/>
      <c r="S877" s="663"/>
      <c r="T877" s="663"/>
      <c r="U877" s="663"/>
      <c r="V877" s="663"/>
      <c r="W877" s="663"/>
      <c r="X877" s="663"/>
      <c r="Y877" s="663"/>
      <c r="Z877" s="663"/>
      <c r="AB877" s="663"/>
    </row>
    <row r="878">
      <c r="B878" s="663"/>
      <c r="C878" s="663"/>
      <c r="D878" s="663"/>
      <c r="E878" s="663"/>
      <c r="F878" s="663"/>
      <c r="G878" s="663"/>
      <c r="H878" s="663"/>
      <c r="I878" s="663"/>
      <c r="J878" s="663"/>
      <c r="K878" s="663"/>
      <c r="L878" s="663"/>
      <c r="M878" s="663"/>
      <c r="R878" s="663"/>
      <c r="S878" s="663"/>
      <c r="T878" s="663"/>
      <c r="U878" s="663"/>
      <c r="V878" s="663"/>
      <c r="W878" s="663"/>
      <c r="X878" s="663"/>
      <c r="Y878" s="663"/>
      <c r="Z878" s="663"/>
      <c r="AB878" s="663"/>
    </row>
    <row r="879">
      <c r="B879" s="663"/>
      <c r="C879" s="663"/>
      <c r="D879" s="663"/>
      <c r="E879" s="663"/>
      <c r="F879" s="663"/>
      <c r="G879" s="663"/>
      <c r="H879" s="663"/>
      <c r="I879" s="663"/>
      <c r="J879" s="663"/>
      <c r="K879" s="663"/>
      <c r="L879" s="663"/>
      <c r="M879" s="663"/>
      <c r="R879" s="663"/>
      <c r="S879" s="663"/>
      <c r="T879" s="663"/>
      <c r="U879" s="663"/>
      <c r="V879" s="663"/>
      <c r="W879" s="663"/>
      <c r="X879" s="663"/>
      <c r="Y879" s="663"/>
      <c r="Z879" s="663"/>
      <c r="AB879" s="663"/>
    </row>
    <row r="880">
      <c r="B880" s="663"/>
      <c r="C880" s="663"/>
      <c r="D880" s="663"/>
      <c r="E880" s="663"/>
      <c r="F880" s="663"/>
      <c r="G880" s="663"/>
      <c r="H880" s="663"/>
      <c r="I880" s="663"/>
      <c r="J880" s="663"/>
      <c r="K880" s="663"/>
      <c r="L880" s="663"/>
      <c r="M880" s="663"/>
      <c r="R880" s="663"/>
      <c r="S880" s="663"/>
      <c r="T880" s="663"/>
      <c r="U880" s="663"/>
      <c r="V880" s="663"/>
      <c r="W880" s="663"/>
      <c r="X880" s="663"/>
      <c r="Y880" s="663"/>
      <c r="Z880" s="663"/>
      <c r="AB880" s="663"/>
    </row>
    <row r="881">
      <c r="B881" s="663"/>
      <c r="C881" s="663"/>
      <c r="D881" s="663"/>
      <c r="E881" s="663"/>
      <c r="F881" s="663"/>
      <c r="G881" s="663"/>
      <c r="H881" s="663"/>
      <c r="I881" s="663"/>
      <c r="J881" s="663"/>
      <c r="K881" s="663"/>
      <c r="L881" s="663"/>
      <c r="M881" s="663"/>
      <c r="R881" s="663"/>
      <c r="S881" s="663"/>
      <c r="T881" s="663"/>
      <c r="U881" s="663"/>
      <c r="V881" s="663"/>
      <c r="W881" s="663"/>
      <c r="X881" s="663"/>
      <c r="Y881" s="663"/>
      <c r="Z881" s="663"/>
      <c r="AB881" s="663"/>
    </row>
    <row r="882">
      <c r="B882" s="663"/>
      <c r="C882" s="663"/>
      <c r="D882" s="663"/>
      <c r="E882" s="663"/>
      <c r="F882" s="663"/>
      <c r="G882" s="663"/>
      <c r="H882" s="663"/>
      <c r="I882" s="663"/>
      <c r="J882" s="663"/>
      <c r="K882" s="663"/>
      <c r="L882" s="663"/>
      <c r="M882" s="663"/>
      <c r="R882" s="663"/>
      <c r="S882" s="663"/>
      <c r="T882" s="663"/>
      <c r="U882" s="663"/>
      <c r="V882" s="663"/>
      <c r="W882" s="663"/>
      <c r="X882" s="663"/>
      <c r="Y882" s="663"/>
      <c r="Z882" s="663"/>
      <c r="AB882" s="663"/>
    </row>
    <row r="883">
      <c r="B883" s="663"/>
      <c r="C883" s="663"/>
      <c r="D883" s="663"/>
      <c r="E883" s="663"/>
      <c r="F883" s="663"/>
      <c r="G883" s="663"/>
      <c r="H883" s="663"/>
      <c r="I883" s="663"/>
      <c r="J883" s="663"/>
      <c r="K883" s="663"/>
      <c r="L883" s="663"/>
      <c r="M883" s="663"/>
      <c r="R883" s="663"/>
      <c r="S883" s="663"/>
      <c r="T883" s="663"/>
      <c r="U883" s="663"/>
      <c r="V883" s="663"/>
      <c r="W883" s="663"/>
      <c r="X883" s="663"/>
      <c r="Y883" s="663"/>
      <c r="Z883" s="663"/>
      <c r="AB883" s="663"/>
    </row>
    <row r="884">
      <c r="B884" s="663"/>
      <c r="C884" s="663"/>
      <c r="D884" s="663"/>
      <c r="E884" s="663"/>
      <c r="F884" s="663"/>
      <c r="G884" s="663"/>
      <c r="H884" s="663"/>
      <c r="I884" s="663"/>
      <c r="J884" s="663"/>
      <c r="K884" s="663"/>
      <c r="L884" s="663"/>
      <c r="M884" s="663"/>
      <c r="R884" s="663"/>
      <c r="S884" s="663"/>
      <c r="T884" s="663"/>
      <c r="U884" s="663"/>
      <c r="V884" s="663"/>
      <c r="W884" s="663"/>
      <c r="X884" s="663"/>
      <c r="Y884" s="663"/>
      <c r="Z884" s="663"/>
      <c r="AB884" s="663"/>
    </row>
    <row r="885">
      <c r="B885" s="663"/>
      <c r="C885" s="663"/>
      <c r="D885" s="663"/>
      <c r="E885" s="663"/>
      <c r="F885" s="663"/>
      <c r="G885" s="663"/>
      <c r="H885" s="663"/>
      <c r="I885" s="663"/>
      <c r="J885" s="663"/>
      <c r="K885" s="663"/>
      <c r="L885" s="663"/>
      <c r="M885" s="663"/>
      <c r="R885" s="663"/>
      <c r="S885" s="663"/>
      <c r="T885" s="663"/>
      <c r="U885" s="663"/>
      <c r="V885" s="663"/>
      <c r="W885" s="663"/>
      <c r="X885" s="663"/>
      <c r="Y885" s="663"/>
      <c r="Z885" s="663"/>
      <c r="AB885" s="663"/>
    </row>
    <row r="886">
      <c r="B886" s="663"/>
      <c r="C886" s="663"/>
      <c r="D886" s="663"/>
      <c r="E886" s="663"/>
      <c r="F886" s="663"/>
      <c r="G886" s="663"/>
      <c r="H886" s="663"/>
      <c r="I886" s="663"/>
      <c r="J886" s="663"/>
      <c r="K886" s="663"/>
      <c r="L886" s="663"/>
      <c r="M886" s="663"/>
      <c r="R886" s="663"/>
      <c r="S886" s="663"/>
      <c r="T886" s="663"/>
      <c r="U886" s="663"/>
      <c r="V886" s="663"/>
      <c r="W886" s="663"/>
      <c r="X886" s="663"/>
      <c r="Y886" s="663"/>
      <c r="Z886" s="663"/>
      <c r="AB886" s="663"/>
    </row>
    <row r="887">
      <c r="B887" s="663"/>
      <c r="C887" s="663"/>
      <c r="D887" s="663"/>
      <c r="E887" s="663"/>
      <c r="F887" s="663"/>
      <c r="G887" s="663"/>
      <c r="H887" s="663"/>
      <c r="I887" s="663"/>
      <c r="J887" s="663"/>
      <c r="K887" s="663"/>
      <c r="L887" s="663"/>
      <c r="M887" s="663"/>
      <c r="R887" s="663"/>
      <c r="S887" s="663"/>
      <c r="T887" s="663"/>
      <c r="U887" s="663"/>
      <c r="V887" s="663"/>
      <c r="W887" s="663"/>
      <c r="X887" s="663"/>
      <c r="Y887" s="663"/>
      <c r="Z887" s="663"/>
      <c r="AB887" s="663"/>
    </row>
    <row r="888">
      <c r="B888" s="663"/>
      <c r="C888" s="663"/>
      <c r="D888" s="663"/>
      <c r="E888" s="663"/>
      <c r="F888" s="663"/>
      <c r="G888" s="663"/>
      <c r="H888" s="663"/>
      <c r="I888" s="663"/>
      <c r="J888" s="663"/>
      <c r="K888" s="663"/>
      <c r="L888" s="663"/>
      <c r="M888" s="663"/>
      <c r="R888" s="663"/>
      <c r="S888" s="663"/>
      <c r="T888" s="663"/>
      <c r="U888" s="663"/>
      <c r="V888" s="663"/>
      <c r="W888" s="663"/>
      <c r="X888" s="663"/>
      <c r="Y888" s="663"/>
      <c r="Z888" s="663"/>
      <c r="AB888" s="663"/>
    </row>
    <row r="889">
      <c r="B889" s="663"/>
      <c r="C889" s="663"/>
      <c r="D889" s="663"/>
      <c r="E889" s="663"/>
      <c r="F889" s="663"/>
      <c r="G889" s="663"/>
      <c r="H889" s="663"/>
      <c r="I889" s="663"/>
      <c r="J889" s="663"/>
      <c r="K889" s="663"/>
      <c r="L889" s="663"/>
      <c r="M889" s="663"/>
      <c r="R889" s="663"/>
      <c r="S889" s="663"/>
      <c r="T889" s="663"/>
      <c r="U889" s="663"/>
      <c r="V889" s="663"/>
      <c r="W889" s="663"/>
      <c r="X889" s="663"/>
      <c r="Y889" s="663"/>
      <c r="Z889" s="663"/>
      <c r="AB889" s="663"/>
    </row>
    <row r="890">
      <c r="B890" s="663"/>
      <c r="C890" s="663"/>
      <c r="D890" s="663"/>
      <c r="E890" s="663"/>
      <c r="F890" s="663"/>
      <c r="G890" s="663"/>
      <c r="H890" s="663"/>
      <c r="I890" s="663"/>
      <c r="J890" s="663"/>
      <c r="K890" s="663"/>
      <c r="L890" s="663"/>
      <c r="M890" s="663"/>
      <c r="R890" s="663"/>
      <c r="S890" s="663"/>
      <c r="T890" s="663"/>
      <c r="U890" s="663"/>
      <c r="V890" s="663"/>
      <c r="W890" s="663"/>
      <c r="X890" s="663"/>
      <c r="Y890" s="663"/>
      <c r="Z890" s="663"/>
      <c r="AB890" s="663"/>
    </row>
    <row r="891">
      <c r="B891" s="663"/>
      <c r="C891" s="663"/>
      <c r="D891" s="663"/>
      <c r="E891" s="663"/>
      <c r="F891" s="663"/>
      <c r="G891" s="663"/>
      <c r="H891" s="663"/>
      <c r="I891" s="663"/>
      <c r="J891" s="663"/>
      <c r="K891" s="663"/>
      <c r="L891" s="663"/>
      <c r="M891" s="663"/>
      <c r="R891" s="663"/>
      <c r="S891" s="663"/>
      <c r="T891" s="663"/>
      <c r="U891" s="663"/>
      <c r="V891" s="663"/>
      <c r="W891" s="663"/>
      <c r="X891" s="663"/>
      <c r="Y891" s="663"/>
      <c r="Z891" s="663"/>
      <c r="AB891" s="663"/>
    </row>
    <row r="892">
      <c r="B892" s="663"/>
      <c r="C892" s="663"/>
      <c r="D892" s="663"/>
      <c r="E892" s="663"/>
      <c r="F892" s="663"/>
      <c r="G892" s="663"/>
      <c r="H892" s="663"/>
      <c r="I892" s="663"/>
      <c r="J892" s="663"/>
      <c r="K892" s="663"/>
      <c r="L892" s="663"/>
      <c r="M892" s="663"/>
      <c r="R892" s="663"/>
      <c r="S892" s="663"/>
      <c r="T892" s="663"/>
      <c r="U892" s="663"/>
      <c r="V892" s="663"/>
      <c r="W892" s="663"/>
      <c r="X892" s="663"/>
      <c r="Y892" s="663"/>
      <c r="Z892" s="663"/>
      <c r="AB892" s="663"/>
    </row>
    <row r="893">
      <c r="B893" s="663"/>
      <c r="C893" s="663"/>
      <c r="D893" s="663"/>
      <c r="E893" s="663"/>
      <c r="F893" s="663"/>
      <c r="G893" s="663"/>
      <c r="H893" s="663"/>
      <c r="I893" s="663"/>
      <c r="J893" s="663"/>
      <c r="K893" s="663"/>
      <c r="L893" s="663"/>
      <c r="M893" s="663"/>
      <c r="R893" s="663"/>
      <c r="S893" s="663"/>
      <c r="T893" s="663"/>
      <c r="U893" s="663"/>
      <c r="V893" s="663"/>
      <c r="W893" s="663"/>
      <c r="X893" s="663"/>
      <c r="Y893" s="663"/>
      <c r="Z893" s="663"/>
      <c r="AB893" s="663"/>
    </row>
    <row r="894">
      <c r="B894" s="663"/>
      <c r="C894" s="663"/>
      <c r="D894" s="663"/>
      <c r="E894" s="663"/>
      <c r="F894" s="663"/>
      <c r="G894" s="663"/>
      <c r="H894" s="663"/>
      <c r="I894" s="663"/>
      <c r="J894" s="663"/>
      <c r="K894" s="663"/>
      <c r="L894" s="663"/>
      <c r="M894" s="663"/>
      <c r="R894" s="663"/>
      <c r="S894" s="663"/>
      <c r="T894" s="663"/>
      <c r="U894" s="663"/>
      <c r="V894" s="663"/>
      <c r="W894" s="663"/>
      <c r="X894" s="663"/>
      <c r="Y894" s="663"/>
      <c r="Z894" s="663"/>
      <c r="AB894" s="663"/>
    </row>
    <row r="895">
      <c r="B895" s="663"/>
      <c r="C895" s="663"/>
      <c r="D895" s="663"/>
      <c r="E895" s="663"/>
      <c r="F895" s="663"/>
      <c r="G895" s="663"/>
      <c r="H895" s="663"/>
      <c r="I895" s="663"/>
      <c r="J895" s="663"/>
      <c r="K895" s="663"/>
      <c r="L895" s="663"/>
      <c r="M895" s="663"/>
      <c r="R895" s="663"/>
      <c r="S895" s="663"/>
      <c r="T895" s="663"/>
      <c r="U895" s="663"/>
      <c r="V895" s="663"/>
      <c r="W895" s="663"/>
      <c r="X895" s="663"/>
      <c r="Y895" s="663"/>
      <c r="Z895" s="663"/>
      <c r="AB895" s="663"/>
    </row>
    <row r="896">
      <c r="B896" s="663"/>
      <c r="C896" s="663"/>
      <c r="D896" s="663"/>
      <c r="E896" s="663"/>
      <c r="F896" s="663"/>
      <c r="G896" s="663"/>
      <c r="H896" s="663"/>
      <c r="I896" s="663"/>
      <c r="J896" s="663"/>
      <c r="K896" s="663"/>
      <c r="L896" s="663"/>
      <c r="M896" s="663"/>
      <c r="R896" s="663"/>
      <c r="S896" s="663"/>
      <c r="T896" s="663"/>
      <c r="U896" s="663"/>
      <c r="V896" s="663"/>
      <c r="W896" s="663"/>
      <c r="X896" s="663"/>
      <c r="Y896" s="663"/>
      <c r="Z896" s="663"/>
      <c r="AB896" s="663"/>
    </row>
    <row r="897">
      <c r="B897" s="663"/>
      <c r="C897" s="663"/>
      <c r="D897" s="663"/>
      <c r="E897" s="663"/>
      <c r="F897" s="663"/>
      <c r="G897" s="663"/>
      <c r="H897" s="663"/>
      <c r="I897" s="663"/>
      <c r="J897" s="663"/>
      <c r="K897" s="663"/>
      <c r="L897" s="663"/>
      <c r="M897" s="663"/>
      <c r="R897" s="663"/>
      <c r="S897" s="663"/>
      <c r="T897" s="663"/>
      <c r="U897" s="663"/>
      <c r="V897" s="663"/>
      <c r="W897" s="663"/>
      <c r="X897" s="663"/>
      <c r="Y897" s="663"/>
      <c r="Z897" s="663"/>
      <c r="AB897" s="663"/>
    </row>
    <row r="898">
      <c r="B898" s="663"/>
      <c r="C898" s="663"/>
      <c r="D898" s="663"/>
      <c r="E898" s="663"/>
      <c r="F898" s="663"/>
      <c r="G898" s="663"/>
      <c r="H898" s="663"/>
      <c r="I898" s="663"/>
      <c r="J898" s="663"/>
      <c r="K898" s="663"/>
      <c r="L898" s="663"/>
      <c r="M898" s="663"/>
      <c r="R898" s="663"/>
      <c r="S898" s="663"/>
      <c r="T898" s="663"/>
      <c r="U898" s="663"/>
      <c r="V898" s="663"/>
      <c r="W898" s="663"/>
      <c r="X898" s="663"/>
      <c r="Y898" s="663"/>
      <c r="Z898" s="663"/>
      <c r="AB898" s="663"/>
    </row>
    <row r="899">
      <c r="B899" s="663"/>
      <c r="C899" s="663"/>
      <c r="D899" s="663"/>
      <c r="E899" s="663"/>
      <c r="F899" s="663"/>
      <c r="G899" s="663"/>
      <c r="H899" s="663"/>
      <c r="I899" s="663"/>
      <c r="J899" s="663"/>
      <c r="K899" s="663"/>
      <c r="L899" s="663"/>
      <c r="M899" s="663"/>
      <c r="R899" s="663"/>
      <c r="S899" s="663"/>
      <c r="T899" s="663"/>
      <c r="U899" s="663"/>
      <c r="V899" s="663"/>
      <c r="W899" s="663"/>
      <c r="X899" s="663"/>
      <c r="Y899" s="663"/>
      <c r="Z899" s="663"/>
      <c r="AB899" s="663"/>
    </row>
    <row r="900">
      <c r="B900" s="663"/>
      <c r="C900" s="663"/>
      <c r="D900" s="663"/>
      <c r="E900" s="663"/>
      <c r="F900" s="663"/>
      <c r="G900" s="663"/>
      <c r="H900" s="663"/>
      <c r="I900" s="663"/>
      <c r="J900" s="663"/>
      <c r="K900" s="663"/>
      <c r="L900" s="663"/>
      <c r="M900" s="663"/>
      <c r="R900" s="663"/>
      <c r="S900" s="663"/>
      <c r="T900" s="663"/>
      <c r="U900" s="663"/>
      <c r="V900" s="663"/>
      <c r="W900" s="663"/>
      <c r="X900" s="663"/>
      <c r="Y900" s="663"/>
      <c r="Z900" s="663"/>
      <c r="AB900" s="663"/>
    </row>
    <row r="901">
      <c r="B901" s="663"/>
      <c r="C901" s="663"/>
      <c r="D901" s="663"/>
      <c r="E901" s="663"/>
      <c r="F901" s="663"/>
      <c r="G901" s="663"/>
      <c r="H901" s="663"/>
      <c r="I901" s="663"/>
      <c r="J901" s="663"/>
      <c r="K901" s="663"/>
      <c r="L901" s="663"/>
      <c r="M901" s="663"/>
      <c r="R901" s="663"/>
      <c r="S901" s="663"/>
      <c r="T901" s="663"/>
      <c r="U901" s="663"/>
      <c r="V901" s="663"/>
      <c r="W901" s="663"/>
      <c r="X901" s="663"/>
      <c r="Y901" s="663"/>
      <c r="Z901" s="663"/>
      <c r="AB901" s="663"/>
    </row>
    <row r="902">
      <c r="B902" s="663"/>
      <c r="C902" s="663"/>
      <c r="D902" s="663"/>
      <c r="E902" s="663"/>
      <c r="F902" s="663"/>
      <c r="G902" s="663"/>
      <c r="H902" s="663"/>
      <c r="I902" s="663"/>
      <c r="J902" s="663"/>
      <c r="K902" s="663"/>
      <c r="L902" s="663"/>
      <c r="M902" s="663"/>
      <c r="R902" s="663"/>
      <c r="S902" s="663"/>
      <c r="T902" s="663"/>
      <c r="U902" s="663"/>
      <c r="V902" s="663"/>
      <c r="W902" s="663"/>
      <c r="X902" s="663"/>
      <c r="Y902" s="663"/>
      <c r="Z902" s="663"/>
      <c r="AB902" s="663"/>
    </row>
    <row r="903">
      <c r="B903" s="663"/>
      <c r="C903" s="663"/>
      <c r="D903" s="663"/>
      <c r="E903" s="663"/>
      <c r="F903" s="663"/>
      <c r="G903" s="663"/>
      <c r="H903" s="663"/>
      <c r="I903" s="663"/>
      <c r="J903" s="663"/>
      <c r="K903" s="663"/>
      <c r="L903" s="663"/>
      <c r="M903" s="663"/>
      <c r="R903" s="663"/>
      <c r="S903" s="663"/>
      <c r="T903" s="663"/>
      <c r="U903" s="663"/>
      <c r="V903" s="663"/>
      <c r="W903" s="663"/>
      <c r="X903" s="663"/>
      <c r="Y903" s="663"/>
      <c r="Z903" s="663"/>
      <c r="AB903" s="663"/>
    </row>
    <row r="904">
      <c r="B904" s="663"/>
      <c r="C904" s="663"/>
      <c r="D904" s="663"/>
      <c r="E904" s="663"/>
      <c r="F904" s="663"/>
      <c r="G904" s="663"/>
      <c r="H904" s="663"/>
      <c r="I904" s="663"/>
      <c r="J904" s="663"/>
      <c r="K904" s="663"/>
      <c r="L904" s="663"/>
      <c r="M904" s="663"/>
      <c r="R904" s="663"/>
      <c r="S904" s="663"/>
      <c r="T904" s="663"/>
      <c r="U904" s="663"/>
      <c r="V904" s="663"/>
      <c r="W904" s="663"/>
      <c r="X904" s="663"/>
      <c r="Y904" s="663"/>
      <c r="Z904" s="663"/>
      <c r="AB904" s="663"/>
    </row>
    <row r="905">
      <c r="B905" s="663"/>
      <c r="C905" s="663"/>
      <c r="D905" s="663"/>
      <c r="E905" s="663"/>
      <c r="F905" s="663"/>
      <c r="G905" s="663"/>
      <c r="H905" s="663"/>
      <c r="I905" s="663"/>
      <c r="J905" s="663"/>
      <c r="K905" s="663"/>
      <c r="L905" s="663"/>
      <c r="M905" s="663"/>
      <c r="R905" s="663"/>
      <c r="S905" s="663"/>
      <c r="T905" s="663"/>
      <c r="U905" s="663"/>
      <c r="V905" s="663"/>
      <c r="W905" s="663"/>
      <c r="X905" s="663"/>
      <c r="Y905" s="663"/>
      <c r="Z905" s="663"/>
      <c r="AB905" s="663"/>
    </row>
    <row r="906">
      <c r="B906" s="663"/>
      <c r="C906" s="663"/>
      <c r="D906" s="663"/>
      <c r="E906" s="663"/>
      <c r="F906" s="663"/>
      <c r="G906" s="663"/>
      <c r="H906" s="663"/>
      <c r="I906" s="663"/>
      <c r="J906" s="663"/>
      <c r="K906" s="663"/>
      <c r="L906" s="663"/>
      <c r="M906" s="663"/>
      <c r="R906" s="663"/>
      <c r="S906" s="663"/>
      <c r="T906" s="663"/>
      <c r="U906" s="663"/>
      <c r="V906" s="663"/>
      <c r="W906" s="663"/>
      <c r="X906" s="663"/>
      <c r="Y906" s="663"/>
      <c r="Z906" s="663"/>
      <c r="AB906" s="663"/>
    </row>
    <row r="907">
      <c r="B907" s="663"/>
      <c r="C907" s="663"/>
      <c r="D907" s="663"/>
      <c r="E907" s="663"/>
      <c r="F907" s="663"/>
      <c r="G907" s="663"/>
      <c r="H907" s="663"/>
      <c r="I907" s="663"/>
      <c r="J907" s="663"/>
      <c r="K907" s="663"/>
      <c r="L907" s="663"/>
      <c r="M907" s="663"/>
      <c r="R907" s="663"/>
      <c r="S907" s="663"/>
      <c r="T907" s="663"/>
      <c r="U907" s="663"/>
      <c r="V907" s="663"/>
      <c r="W907" s="663"/>
      <c r="X907" s="663"/>
      <c r="Y907" s="663"/>
      <c r="Z907" s="663"/>
      <c r="AB907" s="663"/>
    </row>
    <row r="908">
      <c r="B908" s="663"/>
      <c r="C908" s="663"/>
      <c r="D908" s="663"/>
      <c r="E908" s="663"/>
      <c r="F908" s="663"/>
      <c r="G908" s="663"/>
      <c r="H908" s="663"/>
      <c r="I908" s="663"/>
      <c r="J908" s="663"/>
      <c r="K908" s="663"/>
      <c r="L908" s="663"/>
      <c r="M908" s="663"/>
      <c r="R908" s="663"/>
      <c r="S908" s="663"/>
      <c r="T908" s="663"/>
      <c r="U908" s="663"/>
      <c r="V908" s="663"/>
      <c r="W908" s="663"/>
      <c r="X908" s="663"/>
      <c r="Y908" s="663"/>
      <c r="Z908" s="663"/>
      <c r="AB908" s="663"/>
    </row>
    <row r="909">
      <c r="B909" s="663"/>
      <c r="C909" s="663"/>
      <c r="D909" s="663"/>
      <c r="E909" s="663"/>
      <c r="F909" s="663"/>
      <c r="G909" s="663"/>
      <c r="H909" s="663"/>
      <c r="I909" s="663"/>
      <c r="J909" s="663"/>
      <c r="K909" s="663"/>
      <c r="L909" s="663"/>
      <c r="M909" s="663"/>
      <c r="R909" s="663"/>
      <c r="S909" s="663"/>
      <c r="T909" s="663"/>
      <c r="U909" s="663"/>
      <c r="V909" s="663"/>
      <c r="W909" s="663"/>
      <c r="X909" s="663"/>
      <c r="Y909" s="663"/>
      <c r="Z909" s="663"/>
      <c r="AB909" s="663"/>
    </row>
    <row r="910">
      <c r="B910" s="663"/>
      <c r="C910" s="663"/>
      <c r="D910" s="663"/>
      <c r="E910" s="663"/>
      <c r="F910" s="663"/>
      <c r="G910" s="663"/>
      <c r="H910" s="663"/>
      <c r="I910" s="663"/>
      <c r="J910" s="663"/>
      <c r="K910" s="663"/>
      <c r="L910" s="663"/>
      <c r="M910" s="663"/>
      <c r="R910" s="663"/>
      <c r="S910" s="663"/>
      <c r="T910" s="663"/>
      <c r="U910" s="663"/>
      <c r="V910" s="663"/>
      <c r="W910" s="663"/>
      <c r="X910" s="663"/>
      <c r="Y910" s="663"/>
      <c r="Z910" s="663"/>
      <c r="AB910" s="663"/>
    </row>
    <row r="911">
      <c r="B911" s="663"/>
      <c r="C911" s="663"/>
      <c r="D911" s="663"/>
      <c r="E911" s="663"/>
      <c r="F911" s="663"/>
      <c r="G911" s="663"/>
      <c r="H911" s="663"/>
      <c r="I911" s="663"/>
      <c r="J911" s="663"/>
      <c r="K911" s="663"/>
      <c r="L911" s="663"/>
      <c r="M911" s="663"/>
      <c r="R911" s="663"/>
      <c r="S911" s="663"/>
      <c r="T911" s="663"/>
      <c r="U911" s="663"/>
      <c r="V911" s="663"/>
      <c r="W911" s="663"/>
      <c r="X911" s="663"/>
      <c r="Y911" s="663"/>
      <c r="Z911" s="663"/>
      <c r="AB911" s="663"/>
    </row>
    <row r="912">
      <c r="B912" s="663"/>
      <c r="C912" s="663"/>
      <c r="D912" s="663"/>
      <c r="E912" s="663"/>
      <c r="F912" s="663"/>
      <c r="G912" s="663"/>
      <c r="H912" s="663"/>
      <c r="I912" s="663"/>
      <c r="J912" s="663"/>
      <c r="K912" s="663"/>
      <c r="L912" s="663"/>
      <c r="M912" s="663"/>
      <c r="R912" s="663"/>
      <c r="S912" s="663"/>
      <c r="T912" s="663"/>
      <c r="U912" s="663"/>
      <c r="V912" s="663"/>
      <c r="W912" s="663"/>
      <c r="X912" s="663"/>
      <c r="Y912" s="663"/>
      <c r="Z912" s="663"/>
      <c r="AB912" s="663"/>
    </row>
    <row r="913">
      <c r="B913" s="663"/>
      <c r="C913" s="663"/>
      <c r="D913" s="663"/>
      <c r="E913" s="663"/>
      <c r="F913" s="663"/>
      <c r="G913" s="663"/>
      <c r="H913" s="663"/>
      <c r="I913" s="663"/>
      <c r="J913" s="663"/>
      <c r="K913" s="663"/>
      <c r="L913" s="663"/>
      <c r="M913" s="663"/>
      <c r="R913" s="663"/>
      <c r="S913" s="663"/>
      <c r="T913" s="663"/>
      <c r="U913" s="663"/>
      <c r="V913" s="663"/>
      <c r="W913" s="663"/>
      <c r="X913" s="663"/>
      <c r="Y913" s="663"/>
      <c r="Z913" s="663"/>
      <c r="AB913" s="663"/>
    </row>
    <row r="914">
      <c r="B914" s="663"/>
      <c r="C914" s="663"/>
      <c r="D914" s="663"/>
      <c r="E914" s="663"/>
      <c r="F914" s="663"/>
      <c r="G914" s="663"/>
      <c r="H914" s="663"/>
      <c r="I914" s="663"/>
      <c r="J914" s="663"/>
      <c r="K914" s="663"/>
      <c r="L914" s="663"/>
      <c r="M914" s="663"/>
      <c r="R914" s="663"/>
      <c r="S914" s="663"/>
      <c r="T914" s="663"/>
      <c r="U914" s="663"/>
      <c r="V914" s="663"/>
      <c r="W914" s="663"/>
      <c r="X914" s="663"/>
      <c r="Y914" s="663"/>
      <c r="Z914" s="663"/>
      <c r="AB914" s="663"/>
    </row>
    <row r="915">
      <c r="B915" s="663"/>
      <c r="C915" s="663"/>
      <c r="D915" s="663"/>
      <c r="E915" s="663"/>
      <c r="F915" s="663"/>
      <c r="G915" s="663"/>
      <c r="H915" s="663"/>
      <c r="I915" s="663"/>
      <c r="J915" s="663"/>
      <c r="K915" s="663"/>
      <c r="L915" s="663"/>
      <c r="M915" s="663"/>
      <c r="R915" s="663"/>
      <c r="S915" s="663"/>
      <c r="T915" s="663"/>
      <c r="U915" s="663"/>
      <c r="V915" s="663"/>
      <c r="W915" s="663"/>
      <c r="X915" s="663"/>
      <c r="Y915" s="663"/>
      <c r="Z915" s="663"/>
      <c r="AB915" s="663"/>
    </row>
    <row r="916">
      <c r="B916" s="663"/>
      <c r="C916" s="663"/>
      <c r="D916" s="663"/>
      <c r="E916" s="663"/>
      <c r="F916" s="663"/>
      <c r="G916" s="663"/>
      <c r="H916" s="663"/>
      <c r="I916" s="663"/>
      <c r="J916" s="663"/>
      <c r="K916" s="663"/>
      <c r="L916" s="663"/>
      <c r="M916" s="663"/>
      <c r="R916" s="663"/>
      <c r="S916" s="663"/>
      <c r="T916" s="663"/>
      <c r="U916" s="663"/>
      <c r="V916" s="663"/>
      <c r="W916" s="663"/>
      <c r="X916" s="663"/>
      <c r="Y916" s="663"/>
      <c r="Z916" s="663"/>
      <c r="AB916" s="663"/>
    </row>
    <row r="917">
      <c r="B917" s="663"/>
      <c r="C917" s="663"/>
      <c r="D917" s="663"/>
      <c r="E917" s="663"/>
      <c r="F917" s="663"/>
      <c r="G917" s="663"/>
      <c r="H917" s="663"/>
      <c r="I917" s="663"/>
      <c r="J917" s="663"/>
      <c r="K917" s="663"/>
      <c r="L917" s="663"/>
      <c r="M917" s="663"/>
      <c r="R917" s="663"/>
      <c r="S917" s="663"/>
      <c r="T917" s="663"/>
      <c r="U917" s="663"/>
      <c r="V917" s="663"/>
      <c r="W917" s="663"/>
      <c r="X917" s="663"/>
      <c r="Y917" s="663"/>
      <c r="Z917" s="663"/>
      <c r="AB917" s="663"/>
    </row>
    <row r="918">
      <c r="B918" s="663"/>
      <c r="C918" s="663"/>
      <c r="D918" s="663"/>
      <c r="E918" s="663"/>
      <c r="F918" s="663"/>
      <c r="G918" s="663"/>
      <c r="H918" s="663"/>
      <c r="I918" s="663"/>
      <c r="J918" s="663"/>
      <c r="K918" s="663"/>
      <c r="L918" s="663"/>
      <c r="M918" s="663"/>
      <c r="R918" s="663"/>
      <c r="S918" s="663"/>
      <c r="T918" s="663"/>
      <c r="U918" s="663"/>
      <c r="V918" s="663"/>
      <c r="W918" s="663"/>
      <c r="X918" s="663"/>
      <c r="Y918" s="663"/>
      <c r="Z918" s="663"/>
      <c r="AB918" s="663"/>
    </row>
    <row r="919">
      <c r="B919" s="663"/>
      <c r="C919" s="663"/>
      <c r="D919" s="663"/>
      <c r="E919" s="663"/>
      <c r="F919" s="663"/>
      <c r="G919" s="663"/>
      <c r="H919" s="663"/>
      <c r="I919" s="663"/>
      <c r="J919" s="663"/>
      <c r="K919" s="663"/>
      <c r="L919" s="663"/>
      <c r="M919" s="663"/>
      <c r="R919" s="663"/>
      <c r="S919" s="663"/>
      <c r="T919" s="663"/>
      <c r="U919" s="663"/>
      <c r="V919" s="663"/>
      <c r="W919" s="663"/>
      <c r="X919" s="663"/>
      <c r="Y919" s="663"/>
      <c r="Z919" s="663"/>
      <c r="AB919" s="663"/>
    </row>
    <row r="920">
      <c r="B920" s="663"/>
      <c r="C920" s="663"/>
      <c r="D920" s="663"/>
      <c r="E920" s="663"/>
      <c r="F920" s="663"/>
      <c r="G920" s="663"/>
      <c r="H920" s="663"/>
      <c r="I920" s="663"/>
      <c r="J920" s="663"/>
      <c r="K920" s="663"/>
      <c r="L920" s="663"/>
      <c r="M920" s="663"/>
      <c r="R920" s="663"/>
      <c r="S920" s="663"/>
      <c r="T920" s="663"/>
      <c r="U920" s="663"/>
      <c r="V920" s="663"/>
      <c r="W920" s="663"/>
      <c r="X920" s="663"/>
      <c r="Y920" s="663"/>
      <c r="Z920" s="663"/>
      <c r="AB920" s="663"/>
    </row>
    <row r="921">
      <c r="B921" s="663"/>
      <c r="C921" s="663"/>
      <c r="D921" s="663"/>
      <c r="E921" s="663"/>
      <c r="F921" s="663"/>
      <c r="G921" s="663"/>
      <c r="H921" s="663"/>
      <c r="I921" s="663"/>
      <c r="J921" s="663"/>
      <c r="K921" s="663"/>
      <c r="L921" s="663"/>
      <c r="M921" s="663"/>
      <c r="R921" s="663"/>
      <c r="S921" s="663"/>
      <c r="T921" s="663"/>
      <c r="U921" s="663"/>
      <c r="V921" s="663"/>
      <c r="W921" s="663"/>
      <c r="X921" s="663"/>
      <c r="Y921" s="663"/>
      <c r="Z921" s="663"/>
      <c r="AB921" s="663"/>
    </row>
    <row r="922">
      <c r="B922" s="663"/>
      <c r="C922" s="663"/>
      <c r="D922" s="663"/>
      <c r="E922" s="663"/>
      <c r="F922" s="663"/>
      <c r="G922" s="663"/>
      <c r="H922" s="663"/>
      <c r="I922" s="663"/>
      <c r="J922" s="663"/>
      <c r="K922" s="663"/>
      <c r="L922" s="663"/>
      <c r="M922" s="663"/>
      <c r="R922" s="663"/>
      <c r="S922" s="663"/>
      <c r="T922" s="663"/>
      <c r="U922" s="663"/>
      <c r="V922" s="663"/>
      <c r="W922" s="663"/>
      <c r="X922" s="663"/>
      <c r="Y922" s="663"/>
      <c r="Z922" s="663"/>
      <c r="AB922" s="663"/>
    </row>
    <row r="923">
      <c r="B923" s="663"/>
      <c r="C923" s="663"/>
      <c r="D923" s="663"/>
      <c r="E923" s="663"/>
      <c r="F923" s="663"/>
      <c r="G923" s="663"/>
      <c r="H923" s="663"/>
      <c r="I923" s="663"/>
      <c r="J923" s="663"/>
      <c r="K923" s="663"/>
      <c r="L923" s="663"/>
      <c r="M923" s="663"/>
      <c r="R923" s="663"/>
      <c r="S923" s="663"/>
      <c r="T923" s="663"/>
      <c r="U923" s="663"/>
      <c r="V923" s="663"/>
      <c r="W923" s="663"/>
      <c r="X923" s="663"/>
      <c r="Y923" s="663"/>
      <c r="Z923" s="663"/>
      <c r="AB923" s="663"/>
    </row>
    <row r="924">
      <c r="B924" s="663"/>
      <c r="C924" s="663"/>
      <c r="D924" s="663"/>
      <c r="E924" s="663"/>
      <c r="F924" s="663"/>
      <c r="G924" s="663"/>
      <c r="H924" s="663"/>
      <c r="I924" s="663"/>
      <c r="J924" s="663"/>
      <c r="K924" s="663"/>
      <c r="L924" s="663"/>
      <c r="M924" s="663"/>
      <c r="R924" s="663"/>
      <c r="S924" s="663"/>
      <c r="T924" s="663"/>
      <c r="U924" s="663"/>
      <c r="V924" s="663"/>
      <c r="W924" s="663"/>
      <c r="X924" s="663"/>
      <c r="Y924" s="663"/>
      <c r="Z924" s="663"/>
      <c r="AB924" s="663"/>
    </row>
    <row r="925">
      <c r="B925" s="663"/>
      <c r="C925" s="663"/>
      <c r="D925" s="663"/>
      <c r="E925" s="663"/>
      <c r="F925" s="663"/>
      <c r="G925" s="663"/>
      <c r="H925" s="663"/>
      <c r="I925" s="663"/>
      <c r="J925" s="663"/>
      <c r="K925" s="663"/>
      <c r="L925" s="663"/>
      <c r="M925" s="663"/>
      <c r="R925" s="663"/>
      <c r="S925" s="663"/>
      <c r="T925" s="663"/>
      <c r="U925" s="663"/>
      <c r="V925" s="663"/>
      <c r="W925" s="663"/>
      <c r="X925" s="663"/>
      <c r="Y925" s="663"/>
      <c r="Z925" s="663"/>
      <c r="AB925" s="663"/>
    </row>
    <row r="926">
      <c r="B926" s="663"/>
      <c r="C926" s="663"/>
      <c r="D926" s="663"/>
      <c r="E926" s="663"/>
      <c r="F926" s="663"/>
      <c r="G926" s="663"/>
      <c r="H926" s="663"/>
      <c r="I926" s="663"/>
      <c r="J926" s="663"/>
      <c r="K926" s="663"/>
      <c r="L926" s="663"/>
      <c r="M926" s="663"/>
      <c r="R926" s="663"/>
      <c r="S926" s="663"/>
      <c r="T926" s="663"/>
      <c r="U926" s="663"/>
      <c r="V926" s="663"/>
      <c r="W926" s="663"/>
      <c r="X926" s="663"/>
      <c r="Y926" s="663"/>
      <c r="Z926" s="663"/>
      <c r="AB926" s="663"/>
    </row>
    <row r="927">
      <c r="B927" s="663"/>
      <c r="C927" s="663"/>
      <c r="D927" s="663"/>
      <c r="E927" s="663"/>
      <c r="F927" s="663"/>
      <c r="G927" s="663"/>
      <c r="H927" s="663"/>
      <c r="I927" s="663"/>
      <c r="J927" s="663"/>
      <c r="K927" s="663"/>
      <c r="L927" s="663"/>
      <c r="M927" s="663"/>
      <c r="R927" s="663"/>
      <c r="S927" s="663"/>
      <c r="T927" s="663"/>
      <c r="U927" s="663"/>
      <c r="V927" s="663"/>
      <c r="W927" s="663"/>
      <c r="X927" s="663"/>
      <c r="Y927" s="663"/>
      <c r="Z927" s="663"/>
      <c r="AB927" s="663"/>
    </row>
    <row r="928">
      <c r="B928" s="663"/>
      <c r="C928" s="663"/>
      <c r="D928" s="663"/>
      <c r="E928" s="663"/>
      <c r="F928" s="663"/>
      <c r="G928" s="663"/>
      <c r="H928" s="663"/>
      <c r="I928" s="663"/>
      <c r="J928" s="663"/>
      <c r="K928" s="663"/>
      <c r="L928" s="663"/>
      <c r="M928" s="663"/>
      <c r="R928" s="663"/>
      <c r="S928" s="663"/>
      <c r="T928" s="663"/>
      <c r="U928" s="663"/>
      <c r="V928" s="663"/>
      <c r="W928" s="663"/>
      <c r="X928" s="663"/>
      <c r="Y928" s="663"/>
      <c r="Z928" s="663"/>
      <c r="AB928" s="663"/>
    </row>
    <row r="929">
      <c r="B929" s="663"/>
      <c r="C929" s="663"/>
      <c r="D929" s="663"/>
      <c r="E929" s="663"/>
      <c r="F929" s="663"/>
      <c r="G929" s="663"/>
      <c r="H929" s="663"/>
      <c r="I929" s="663"/>
      <c r="J929" s="663"/>
      <c r="K929" s="663"/>
      <c r="L929" s="663"/>
      <c r="M929" s="663"/>
      <c r="R929" s="663"/>
      <c r="S929" s="663"/>
      <c r="T929" s="663"/>
      <c r="U929" s="663"/>
      <c r="V929" s="663"/>
      <c r="W929" s="663"/>
      <c r="X929" s="663"/>
      <c r="Y929" s="663"/>
      <c r="Z929" s="663"/>
      <c r="AB929" s="663"/>
    </row>
    <row r="930">
      <c r="B930" s="663"/>
      <c r="C930" s="663"/>
      <c r="D930" s="663"/>
      <c r="E930" s="663"/>
      <c r="F930" s="663"/>
      <c r="G930" s="663"/>
      <c r="H930" s="663"/>
      <c r="I930" s="663"/>
      <c r="J930" s="663"/>
      <c r="K930" s="663"/>
      <c r="L930" s="663"/>
      <c r="M930" s="663"/>
      <c r="R930" s="663"/>
      <c r="S930" s="663"/>
      <c r="T930" s="663"/>
      <c r="U930" s="663"/>
      <c r="V930" s="663"/>
      <c r="W930" s="663"/>
      <c r="X930" s="663"/>
      <c r="Y930" s="663"/>
      <c r="Z930" s="663"/>
      <c r="AB930" s="663"/>
    </row>
    <row r="931">
      <c r="B931" s="663"/>
      <c r="C931" s="663"/>
      <c r="D931" s="663"/>
      <c r="E931" s="663"/>
      <c r="F931" s="663"/>
      <c r="G931" s="663"/>
      <c r="H931" s="663"/>
      <c r="I931" s="663"/>
      <c r="J931" s="663"/>
      <c r="K931" s="663"/>
      <c r="L931" s="663"/>
      <c r="M931" s="663"/>
      <c r="R931" s="663"/>
      <c r="S931" s="663"/>
      <c r="T931" s="663"/>
      <c r="U931" s="663"/>
      <c r="V931" s="663"/>
      <c r="W931" s="663"/>
      <c r="X931" s="663"/>
      <c r="Y931" s="663"/>
      <c r="Z931" s="663"/>
      <c r="AB931" s="663"/>
    </row>
    <row r="932">
      <c r="B932" s="663"/>
      <c r="C932" s="663"/>
      <c r="D932" s="663"/>
      <c r="E932" s="663"/>
      <c r="F932" s="663"/>
      <c r="G932" s="663"/>
      <c r="H932" s="663"/>
      <c r="I932" s="663"/>
      <c r="J932" s="663"/>
      <c r="K932" s="663"/>
      <c r="L932" s="663"/>
      <c r="M932" s="663"/>
      <c r="R932" s="663"/>
      <c r="S932" s="663"/>
      <c r="T932" s="663"/>
      <c r="U932" s="663"/>
      <c r="V932" s="663"/>
      <c r="W932" s="663"/>
      <c r="X932" s="663"/>
      <c r="Y932" s="663"/>
      <c r="Z932" s="663"/>
      <c r="AB932" s="663"/>
    </row>
    <row r="933">
      <c r="B933" s="663"/>
      <c r="C933" s="663"/>
      <c r="D933" s="663"/>
      <c r="E933" s="663"/>
      <c r="F933" s="663"/>
      <c r="G933" s="663"/>
      <c r="H933" s="663"/>
      <c r="I933" s="663"/>
      <c r="J933" s="663"/>
      <c r="K933" s="663"/>
      <c r="L933" s="663"/>
      <c r="M933" s="663"/>
      <c r="R933" s="663"/>
      <c r="S933" s="663"/>
      <c r="T933" s="663"/>
      <c r="U933" s="663"/>
      <c r="V933" s="663"/>
      <c r="W933" s="663"/>
      <c r="X933" s="663"/>
      <c r="Y933" s="663"/>
      <c r="Z933" s="663"/>
      <c r="AB933" s="663"/>
    </row>
    <row r="934">
      <c r="B934" s="663"/>
      <c r="C934" s="663"/>
      <c r="D934" s="663"/>
      <c r="E934" s="663"/>
      <c r="F934" s="663"/>
      <c r="G934" s="663"/>
      <c r="H934" s="663"/>
      <c r="I934" s="663"/>
      <c r="J934" s="663"/>
      <c r="K934" s="663"/>
      <c r="L934" s="663"/>
      <c r="M934" s="663"/>
      <c r="R934" s="663"/>
      <c r="S934" s="663"/>
      <c r="T934" s="663"/>
      <c r="U934" s="663"/>
      <c r="V934" s="663"/>
      <c r="W934" s="663"/>
      <c r="X934" s="663"/>
      <c r="Y934" s="663"/>
      <c r="Z934" s="663"/>
      <c r="AB934" s="663"/>
    </row>
    <row r="935">
      <c r="B935" s="663"/>
      <c r="C935" s="663"/>
      <c r="D935" s="663"/>
      <c r="E935" s="663"/>
      <c r="F935" s="663"/>
      <c r="G935" s="663"/>
      <c r="H935" s="663"/>
      <c r="I935" s="663"/>
      <c r="J935" s="663"/>
      <c r="K935" s="663"/>
      <c r="L935" s="663"/>
      <c r="M935" s="663"/>
      <c r="R935" s="663"/>
      <c r="S935" s="663"/>
      <c r="T935" s="663"/>
      <c r="U935" s="663"/>
      <c r="V935" s="663"/>
      <c r="W935" s="663"/>
      <c r="X935" s="663"/>
      <c r="Y935" s="663"/>
      <c r="Z935" s="663"/>
      <c r="AB935" s="663"/>
    </row>
    <row r="936">
      <c r="B936" s="663"/>
      <c r="C936" s="663"/>
      <c r="D936" s="663"/>
      <c r="E936" s="663"/>
      <c r="F936" s="663"/>
      <c r="G936" s="663"/>
      <c r="H936" s="663"/>
      <c r="I936" s="663"/>
      <c r="J936" s="663"/>
      <c r="K936" s="663"/>
      <c r="L936" s="663"/>
      <c r="M936" s="663"/>
      <c r="R936" s="663"/>
      <c r="S936" s="663"/>
      <c r="T936" s="663"/>
      <c r="U936" s="663"/>
      <c r="V936" s="663"/>
      <c r="W936" s="663"/>
      <c r="X936" s="663"/>
      <c r="Y936" s="663"/>
      <c r="Z936" s="663"/>
      <c r="AB936" s="663"/>
    </row>
    <row r="937">
      <c r="B937" s="663"/>
      <c r="C937" s="663"/>
      <c r="D937" s="663"/>
      <c r="E937" s="663"/>
      <c r="F937" s="663"/>
      <c r="G937" s="663"/>
      <c r="H937" s="663"/>
      <c r="I937" s="663"/>
      <c r="J937" s="663"/>
      <c r="K937" s="663"/>
      <c r="L937" s="663"/>
      <c r="M937" s="663"/>
      <c r="R937" s="663"/>
      <c r="S937" s="663"/>
      <c r="T937" s="663"/>
      <c r="U937" s="663"/>
      <c r="V937" s="663"/>
      <c r="W937" s="663"/>
      <c r="X937" s="663"/>
      <c r="Y937" s="663"/>
      <c r="Z937" s="663"/>
      <c r="AB937" s="663"/>
    </row>
    <row r="938">
      <c r="B938" s="663"/>
      <c r="C938" s="663"/>
      <c r="D938" s="663"/>
      <c r="E938" s="663"/>
      <c r="F938" s="663"/>
      <c r="G938" s="663"/>
      <c r="H938" s="663"/>
      <c r="I938" s="663"/>
      <c r="J938" s="663"/>
      <c r="K938" s="663"/>
      <c r="L938" s="663"/>
      <c r="M938" s="663"/>
      <c r="R938" s="663"/>
      <c r="S938" s="663"/>
      <c r="T938" s="663"/>
      <c r="U938" s="663"/>
      <c r="V938" s="663"/>
      <c r="W938" s="663"/>
      <c r="X938" s="663"/>
      <c r="Y938" s="663"/>
      <c r="Z938" s="663"/>
      <c r="AB938" s="663"/>
    </row>
    <row r="939">
      <c r="B939" s="663"/>
      <c r="C939" s="663"/>
      <c r="D939" s="663"/>
      <c r="E939" s="663"/>
      <c r="F939" s="663"/>
      <c r="G939" s="663"/>
      <c r="H939" s="663"/>
      <c r="I939" s="663"/>
      <c r="J939" s="663"/>
      <c r="K939" s="663"/>
      <c r="L939" s="663"/>
      <c r="M939" s="663"/>
      <c r="R939" s="663"/>
      <c r="S939" s="663"/>
      <c r="T939" s="663"/>
      <c r="U939" s="663"/>
      <c r="V939" s="663"/>
      <c r="W939" s="663"/>
      <c r="X939" s="663"/>
      <c r="Y939" s="663"/>
      <c r="Z939" s="663"/>
      <c r="AB939" s="663"/>
    </row>
    <row r="940">
      <c r="B940" s="663"/>
      <c r="C940" s="663"/>
      <c r="D940" s="663"/>
      <c r="E940" s="663"/>
      <c r="F940" s="663"/>
      <c r="G940" s="663"/>
      <c r="H940" s="663"/>
      <c r="I940" s="663"/>
      <c r="J940" s="663"/>
      <c r="K940" s="663"/>
      <c r="L940" s="663"/>
      <c r="M940" s="663"/>
      <c r="R940" s="663"/>
      <c r="S940" s="663"/>
      <c r="T940" s="663"/>
      <c r="U940" s="663"/>
      <c r="V940" s="663"/>
      <c r="W940" s="663"/>
      <c r="X940" s="663"/>
      <c r="Y940" s="663"/>
      <c r="Z940" s="663"/>
      <c r="AB940" s="663"/>
    </row>
    <row r="941">
      <c r="B941" s="663"/>
      <c r="C941" s="663"/>
      <c r="D941" s="663"/>
      <c r="E941" s="663"/>
      <c r="F941" s="663"/>
      <c r="G941" s="663"/>
      <c r="H941" s="663"/>
      <c r="I941" s="663"/>
      <c r="J941" s="663"/>
      <c r="K941" s="663"/>
      <c r="L941" s="663"/>
      <c r="M941" s="663"/>
      <c r="R941" s="663"/>
      <c r="S941" s="663"/>
      <c r="T941" s="663"/>
      <c r="U941" s="663"/>
      <c r="V941" s="663"/>
      <c r="W941" s="663"/>
      <c r="X941" s="663"/>
      <c r="Y941" s="663"/>
      <c r="Z941" s="663"/>
      <c r="AB941" s="663"/>
    </row>
    <row r="942">
      <c r="B942" s="663"/>
      <c r="C942" s="663"/>
      <c r="D942" s="663"/>
      <c r="E942" s="663"/>
      <c r="F942" s="663"/>
      <c r="G942" s="663"/>
      <c r="H942" s="663"/>
      <c r="I942" s="663"/>
      <c r="J942" s="663"/>
      <c r="K942" s="663"/>
      <c r="L942" s="663"/>
      <c r="M942" s="663"/>
      <c r="R942" s="663"/>
      <c r="S942" s="663"/>
      <c r="T942" s="663"/>
      <c r="U942" s="663"/>
      <c r="V942" s="663"/>
      <c r="W942" s="663"/>
      <c r="X942" s="663"/>
      <c r="Y942" s="663"/>
      <c r="Z942" s="663"/>
      <c r="AB942" s="663"/>
    </row>
    <row r="943">
      <c r="B943" s="663"/>
      <c r="C943" s="663"/>
      <c r="D943" s="663"/>
      <c r="E943" s="663"/>
      <c r="F943" s="663"/>
      <c r="G943" s="663"/>
      <c r="H943" s="663"/>
      <c r="I943" s="663"/>
      <c r="J943" s="663"/>
      <c r="K943" s="663"/>
      <c r="L943" s="663"/>
      <c r="M943" s="663"/>
      <c r="R943" s="663"/>
      <c r="S943" s="663"/>
      <c r="T943" s="663"/>
      <c r="U943" s="663"/>
      <c r="V943" s="663"/>
      <c r="W943" s="663"/>
      <c r="X943" s="663"/>
      <c r="Y943" s="663"/>
      <c r="Z943" s="663"/>
      <c r="AB943" s="663"/>
    </row>
    <row r="944">
      <c r="B944" s="663"/>
      <c r="C944" s="663"/>
      <c r="D944" s="663"/>
      <c r="E944" s="663"/>
      <c r="F944" s="663"/>
      <c r="G944" s="663"/>
      <c r="H944" s="663"/>
      <c r="I944" s="663"/>
      <c r="J944" s="663"/>
      <c r="K944" s="663"/>
      <c r="L944" s="663"/>
      <c r="M944" s="663"/>
      <c r="R944" s="663"/>
      <c r="S944" s="663"/>
      <c r="T944" s="663"/>
      <c r="U944" s="663"/>
      <c r="V944" s="663"/>
      <c r="W944" s="663"/>
      <c r="X944" s="663"/>
      <c r="Y944" s="663"/>
      <c r="Z944" s="663"/>
      <c r="AB944" s="663"/>
    </row>
    <row r="945">
      <c r="B945" s="663"/>
      <c r="C945" s="663"/>
      <c r="D945" s="663"/>
      <c r="E945" s="663"/>
      <c r="F945" s="663"/>
      <c r="G945" s="663"/>
      <c r="H945" s="663"/>
      <c r="I945" s="663"/>
      <c r="J945" s="663"/>
      <c r="K945" s="663"/>
      <c r="L945" s="663"/>
      <c r="M945" s="663"/>
      <c r="R945" s="663"/>
      <c r="S945" s="663"/>
      <c r="T945" s="663"/>
      <c r="U945" s="663"/>
      <c r="V945" s="663"/>
      <c r="W945" s="663"/>
      <c r="X945" s="663"/>
      <c r="Y945" s="663"/>
      <c r="Z945" s="663"/>
      <c r="AB945" s="663"/>
    </row>
    <row r="946">
      <c r="B946" s="663"/>
      <c r="C946" s="663"/>
      <c r="D946" s="663"/>
      <c r="E946" s="663"/>
      <c r="F946" s="663"/>
      <c r="G946" s="663"/>
      <c r="H946" s="663"/>
      <c r="I946" s="663"/>
      <c r="J946" s="663"/>
      <c r="K946" s="663"/>
      <c r="L946" s="663"/>
      <c r="M946" s="663"/>
      <c r="R946" s="663"/>
      <c r="S946" s="663"/>
      <c r="T946" s="663"/>
      <c r="U946" s="663"/>
      <c r="V946" s="663"/>
      <c r="W946" s="663"/>
      <c r="X946" s="663"/>
      <c r="Y946" s="663"/>
      <c r="Z946" s="663"/>
      <c r="AB946" s="663"/>
    </row>
    <row r="947">
      <c r="B947" s="663"/>
      <c r="C947" s="663"/>
      <c r="D947" s="663"/>
      <c r="E947" s="663"/>
      <c r="F947" s="663"/>
      <c r="G947" s="663"/>
      <c r="H947" s="663"/>
      <c r="I947" s="663"/>
      <c r="J947" s="663"/>
      <c r="K947" s="663"/>
      <c r="L947" s="663"/>
      <c r="M947" s="663"/>
      <c r="R947" s="663"/>
      <c r="S947" s="663"/>
      <c r="T947" s="663"/>
      <c r="U947" s="663"/>
      <c r="V947" s="663"/>
      <c r="W947" s="663"/>
      <c r="X947" s="663"/>
      <c r="Y947" s="663"/>
      <c r="Z947" s="663"/>
      <c r="AB947" s="663"/>
    </row>
    <row r="948">
      <c r="B948" s="663"/>
      <c r="C948" s="663"/>
      <c r="D948" s="663"/>
      <c r="E948" s="663"/>
      <c r="F948" s="663"/>
      <c r="G948" s="663"/>
      <c r="H948" s="663"/>
      <c r="I948" s="663"/>
      <c r="J948" s="663"/>
      <c r="K948" s="663"/>
      <c r="L948" s="663"/>
      <c r="M948" s="663"/>
      <c r="R948" s="663"/>
      <c r="S948" s="663"/>
      <c r="T948" s="663"/>
      <c r="U948" s="663"/>
      <c r="V948" s="663"/>
      <c r="W948" s="663"/>
      <c r="X948" s="663"/>
      <c r="Y948" s="663"/>
      <c r="Z948" s="663"/>
      <c r="AB948" s="663"/>
    </row>
    <row r="949">
      <c r="B949" s="663"/>
      <c r="C949" s="663"/>
      <c r="D949" s="663"/>
      <c r="E949" s="663"/>
      <c r="F949" s="663"/>
      <c r="G949" s="663"/>
      <c r="H949" s="663"/>
      <c r="I949" s="663"/>
      <c r="J949" s="663"/>
      <c r="K949" s="663"/>
      <c r="L949" s="663"/>
      <c r="M949" s="663"/>
      <c r="R949" s="663"/>
      <c r="S949" s="663"/>
      <c r="T949" s="663"/>
      <c r="U949" s="663"/>
      <c r="V949" s="663"/>
      <c r="W949" s="663"/>
      <c r="X949" s="663"/>
      <c r="Y949" s="663"/>
      <c r="Z949" s="663"/>
      <c r="AB949" s="663"/>
    </row>
    <row r="950">
      <c r="B950" s="663"/>
      <c r="C950" s="663"/>
      <c r="D950" s="663"/>
      <c r="E950" s="663"/>
      <c r="F950" s="663"/>
      <c r="G950" s="663"/>
      <c r="H950" s="663"/>
      <c r="I950" s="663"/>
      <c r="J950" s="663"/>
      <c r="K950" s="663"/>
      <c r="L950" s="663"/>
      <c r="M950" s="663"/>
      <c r="R950" s="663"/>
      <c r="S950" s="663"/>
      <c r="T950" s="663"/>
      <c r="U950" s="663"/>
      <c r="V950" s="663"/>
      <c r="W950" s="663"/>
      <c r="X950" s="663"/>
      <c r="Y950" s="663"/>
      <c r="Z950" s="663"/>
      <c r="AB950" s="663"/>
    </row>
    <row r="951">
      <c r="B951" s="663"/>
      <c r="C951" s="663"/>
      <c r="D951" s="663"/>
      <c r="E951" s="663"/>
      <c r="F951" s="663"/>
      <c r="G951" s="663"/>
      <c r="H951" s="663"/>
      <c r="I951" s="663"/>
      <c r="J951" s="663"/>
      <c r="K951" s="663"/>
      <c r="L951" s="663"/>
      <c r="M951" s="663"/>
      <c r="R951" s="663"/>
      <c r="S951" s="663"/>
      <c r="T951" s="663"/>
      <c r="U951" s="663"/>
      <c r="V951" s="663"/>
      <c r="W951" s="663"/>
      <c r="X951" s="663"/>
      <c r="Y951" s="663"/>
      <c r="Z951" s="663"/>
      <c r="AB951" s="663"/>
    </row>
    <row r="952">
      <c r="B952" s="663"/>
      <c r="C952" s="663"/>
      <c r="D952" s="663"/>
      <c r="E952" s="663"/>
      <c r="F952" s="663"/>
      <c r="G952" s="663"/>
      <c r="H952" s="663"/>
      <c r="I952" s="663"/>
      <c r="J952" s="663"/>
      <c r="K952" s="663"/>
      <c r="L952" s="663"/>
      <c r="M952" s="663"/>
      <c r="R952" s="663"/>
      <c r="S952" s="663"/>
      <c r="T952" s="663"/>
      <c r="U952" s="663"/>
      <c r="V952" s="663"/>
      <c r="W952" s="663"/>
      <c r="X952" s="663"/>
      <c r="Y952" s="663"/>
      <c r="Z952" s="663"/>
      <c r="AB952" s="663"/>
    </row>
    <row r="953">
      <c r="B953" s="663"/>
      <c r="C953" s="663"/>
      <c r="D953" s="663"/>
      <c r="E953" s="663"/>
      <c r="F953" s="663"/>
      <c r="G953" s="663"/>
      <c r="H953" s="663"/>
      <c r="I953" s="663"/>
      <c r="J953" s="663"/>
      <c r="K953" s="663"/>
      <c r="L953" s="663"/>
      <c r="M953" s="663"/>
      <c r="R953" s="663"/>
      <c r="S953" s="663"/>
      <c r="T953" s="663"/>
      <c r="U953" s="663"/>
      <c r="V953" s="663"/>
      <c r="W953" s="663"/>
      <c r="X953" s="663"/>
      <c r="Y953" s="663"/>
      <c r="Z953" s="663"/>
      <c r="AB953" s="663"/>
    </row>
    <row r="954">
      <c r="B954" s="663"/>
      <c r="C954" s="663"/>
      <c r="D954" s="663"/>
      <c r="E954" s="663"/>
      <c r="F954" s="663"/>
      <c r="G954" s="663"/>
      <c r="H954" s="663"/>
      <c r="I954" s="663"/>
      <c r="J954" s="663"/>
      <c r="K954" s="663"/>
      <c r="L954" s="663"/>
      <c r="M954" s="663"/>
      <c r="R954" s="663"/>
      <c r="S954" s="663"/>
      <c r="T954" s="663"/>
      <c r="U954" s="663"/>
      <c r="V954" s="663"/>
      <c r="W954" s="663"/>
      <c r="X954" s="663"/>
      <c r="Y954" s="663"/>
      <c r="Z954" s="663"/>
      <c r="AB954" s="663"/>
    </row>
    <row r="955">
      <c r="B955" s="663"/>
      <c r="C955" s="663"/>
      <c r="D955" s="663"/>
      <c r="E955" s="663"/>
      <c r="F955" s="663"/>
      <c r="G955" s="663"/>
      <c r="H955" s="663"/>
      <c r="I955" s="663"/>
      <c r="J955" s="663"/>
      <c r="K955" s="663"/>
      <c r="L955" s="663"/>
      <c r="M955" s="663"/>
      <c r="R955" s="663"/>
      <c r="S955" s="663"/>
      <c r="T955" s="663"/>
      <c r="U955" s="663"/>
      <c r="V955" s="663"/>
      <c r="W955" s="663"/>
      <c r="X955" s="663"/>
      <c r="Y955" s="663"/>
      <c r="Z955" s="663"/>
      <c r="AB955" s="663"/>
    </row>
    <row r="956">
      <c r="B956" s="663"/>
      <c r="C956" s="663"/>
      <c r="D956" s="663"/>
      <c r="E956" s="663"/>
      <c r="F956" s="663"/>
      <c r="G956" s="663"/>
      <c r="H956" s="663"/>
      <c r="I956" s="663"/>
      <c r="J956" s="663"/>
      <c r="K956" s="663"/>
      <c r="L956" s="663"/>
      <c r="M956" s="663"/>
      <c r="R956" s="663"/>
      <c r="S956" s="663"/>
      <c r="T956" s="663"/>
      <c r="U956" s="663"/>
      <c r="V956" s="663"/>
      <c r="W956" s="663"/>
      <c r="X956" s="663"/>
      <c r="Y956" s="663"/>
      <c r="Z956" s="663"/>
      <c r="AB956" s="663"/>
    </row>
    <row r="957">
      <c r="B957" s="663"/>
      <c r="C957" s="663"/>
      <c r="D957" s="663"/>
      <c r="E957" s="663"/>
      <c r="F957" s="663"/>
      <c r="G957" s="663"/>
      <c r="H957" s="663"/>
      <c r="I957" s="663"/>
      <c r="J957" s="663"/>
      <c r="K957" s="663"/>
      <c r="L957" s="663"/>
      <c r="M957" s="663"/>
      <c r="R957" s="663"/>
      <c r="S957" s="663"/>
      <c r="T957" s="663"/>
      <c r="U957" s="663"/>
      <c r="V957" s="663"/>
      <c r="W957" s="663"/>
      <c r="X957" s="663"/>
      <c r="Y957" s="663"/>
      <c r="Z957" s="663"/>
      <c r="AB957" s="663"/>
    </row>
    <row r="958">
      <c r="B958" s="663"/>
      <c r="C958" s="663"/>
      <c r="D958" s="663"/>
      <c r="E958" s="663"/>
      <c r="F958" s="663"/>
      <c r="G958" s="663"/>
      <c r="H958" s="663"/>
      <c r="I958" s="663"/>
      <c r="J958" s="663"/>
      <c r="K958" s="663"/>
      <c r="L958" s="663"/>
      <c r="M958" s="663"/>
      <c r="R958" s="663"/>
      <c r="S958" s="663"/>
      <c r="T958" s="663"/>
      <c r="U958" s="663"/>
      <c r="V958" s="663"/>
      <c r="W958" s="663"/>
      <c r="X958" s="663"/>
      <c r="Y958" s="663"/>
      <c r="Z958" s="663"/>
      <c r="AB958" s="663"/>
    </row>
    <row r="959">
      <c r="B959" s="663"/>
      <c r="C959" s="663"/>
      <c r="D959" s="663"/>
      <c r="E959" s="663"/>
      <c r="F959" s="663"/>
      <c r="G959" s="663"/>
      <c r="H959" s="663"/>
      <c r="I959" s="663"/>
      <c r="J959" s="663"/>
      <c r="K959" s="663"/>
      <c r="L959" s="663"/>
      <c r="M959" s="663"/>
      <c r="R959" s="663"/>
      <c r="S959" s="663"/>
      <c r="T959" s="663"/>
      <c r="U959" s="663"/>
      <c r="V959" s="663"/>
      <c r="W959" s="663"/>
      <c r="X959" s="663"/>
      <c r="Y959" s="663"/>
      <c r="Z959" s="663"/>
      <c r="AB959" s="663"/>
    </row>
    <row r="960">
      <c r="B960" s="663"/>
      <c r="C960" s="663"/>
      <c r="D960" s="663"/>
      <c r="E960" s="663"/>
      <c r="F960" s="663"/>
      <c r="G960" s="663"/>
      <c r="H960" s="663"/>
      <c r="I960" s="663"/>
      <c r="J960" s="663"/>
      <c r="K960" s="663"/>
      <c r="L960" s="663"/>
      <c r="M960" s="663"/>
      <c r="R960" s="663"/>
      <c r="S960" s="663"/>
      <c r="T960" s="663"/>
      <c r="U960" s="663"/>
      <c r="V960" s="663"/>
      <c r="W960" s="663"/>
      <c r="X960" s="663"/>
      <c r="Y960" s="663"/>
      <c r="Z960" s="663"/>
      <c r="AB960" s="663"/>
    </row>
    <row r="961">
      <c r="B961" s="663"/>
      <c r="C961" s="663"/>
      <c r="D961" s="663"/>
      <c r="E961" s="663"/>
      <c r="F961" s="663"/>
      <c r="G961" s="663"/>
      <c r="H961" s="663"/>
      <c r="I961" s="663"/>
      <c r="J961" s="663"/>
      <c r="K961" s="663"/>
      <c r="L961" s="663"/>
      <c r="M961" s="663"/>
      <c r="R961" s="663"/>
      <c r="S961" s="663"/>
      <c r="T961" s="663"/>
      <c r="U961" s="663"/>
      <c r="V961" s="663"/>
      <c r="W961" s="663"/>
      <c r="X961" s="663"/>
      <c r="Y961" s="663"/>
      <c r="Z961" s="663"/>
      <c r="AB961" s="663"/>
    </row>
    <row r="962">
      <c r="B962" s="663"/>
      <c r="C962" s="663"/>
      <c r="D962" s="663"/>
      <c r="E962" s="663"/>
      <c r="F962" s="663"/>
      <c r="G962" s="663"/>
      <c r="H962" s="663"/>
      <c r="I962" s="663"/>
      <c r="J962" s="663"/>
      <c r="K962" s="663"/>
      <c r="L962" s="663"/>
      <c r="M962" s="663"/>
      <c r="R962" s="663"/>
      <c r="S962" s="663"/>
      <c r="T962" s="663"/>
      <c r="U962" s="663"/>
      <c r="V962" s="663"/>
      <c r="W962" s="663"/>
      <c r="X962" s="663"/>
      <c r="Y962" s="663"/>
      <c r="Z962" s="663"/>
      <c r="AB962" s="663"/>
    </row>
    <row r="963">
      <c r="B963" s="663"/>
      <c r="C963" s="663"/>
      <c r="D963" s="663"/>
      <c r="E963" s="663"/>
      <c r="F963" s="663"/>
      <c r="G963" s="663"/>
      <c r="H963" s="663"/>
      <c r="I963" s="663"/>
      <c r="J963" s="663"/>
      <c r="K963" s="663"/>
      <c r="L963" s="663"/>
      <c r="M963" s="663"/>
      <c r="R963" s="663"/>
      <c r="S963" s="663"/>
      <c r="T963" s="663"/>
      <c r="U963" s="663"/>
      <c r="V963" s="663"/>
      <c r="W963" s="663"/>
      <c r="X963" s="663"/>
      <c r="Y963" s="663"/>
      <c r="Z963" s="663"/>
      <c r="AB963" s="663"/>
    </row>
    <row r="964">
      <c r="B964" s="663"/>
      <c r="C964" s="663"/>
      <c r="D964" s="663"/>
      <c r="E964" s="663"/>
      <c r="F964" s="663"/>
      <c r="G964" s="663"/>
      <c r="H964" s="663"/>
      <c r="I964" s="663"/>
      <c r="J964" s="663"/>
      <c r="K964" s="663"/>
      <c r="L964" s="663"/>
      <c r="M964" s="663"/>
      <c r="R964" s="663"/>
      <c r="S964" s="663"/>
      <c r="T964" s="663"/>
      <c r="U964" s="663"/>
      <c r="V964" s="663"/>
      <c r="W964" s="663"/>
      <c r="X964" s="663"/>
      <c r="Y964" s="663"/>
      <c r="Z964" s="663"/>
      <c r="AB964" s="663"/>
    </row>
    <row r="965">
      <c r="B965" s="663"/>
      <c r="C965" s="663"/>
      <c r="D965" s="663"/>
      <c r="E965" s="663"/>
      <c r="F965" s="663"/>
      <c r="G965" s="663"/>
      <c r="H965" s="663"/>
      <c r="I965" s="663"/>
      <c r="J965" s="663"/>
      <c r="K965" s="663"/>
      <c r="L965" s="663"/>
      <c r="M965" s="663"/>
      <c r="R965" s="663"/>
      <c r="S965" s="663"/>
      <c r="T965" s="663"/>
      <c r="U965" s="663"/>
      <c r="V965" s="663"/>
      <c r="W965" s="663"/>
      <c r="X965" s="663"/>
      <c r="Y965" s="663"/>
      <c r="Z965" s="663"/>
      <c r="AB965" s="663"/>
    </row>
    <row r="966">
      <c r="B966" s="663"/>
      <c r="C966" s="663"/>
      <c r="D966" s="663"/>
      <c r="E966" s="663"/>
      <c r="F966" s="663"/>
      <c r="G966" s="663"/>
      <c r="H966" s="663"/>
      <c r="I966" s="663"/>
      <c r="J966" s="663"/>
      <c r="K966" s="663"/>
      <c r="L966" s="663"/>
      <c r="M966" s="663"/>
      <c r="R966" s="663"/>
      <c r="S966" s="663"/>
      <c r="T966" s="663"/>
      <c r="U966" s="663"/>
      <c r="V966" s="663"/>
      <c r="W966" s="663"/>
      <c r="X966" s="663"/>
      <c r="Y966" s="663"/>
      <c r="Z966" s="663"/>
      <c r="AB966" s="663"/>
    </row>
    <row r="967">
      <c r="B967" s="663"/>
      <c r="C967" s="663"/>
      <c r="D967" s="663"/>
      <c r="E967" s="663"/>
      <c r="F967" s="663"/>
      <c r="G967" s="663"/>
      <c r="H967" s="663"/>
      <c r="I967" s="663"/>
      <c r="J967" s="663"/>
      <c r="K967" s="663"/>
      <c r="L967" s="663"/>
      <c r="M967" s="663"/>
      <c r="R967" s="663"/>
      <c r="S967" s="663"/>
      <c r="T967" s="663"/>
      <c r="U967" s="663"/>
      <c r="V967" s="663"/>
      <c r="W967" s="663"/>
      <c r="X967" s="663"/>
      <c r="Y967" s="663"/>
      <c r="Z967" s="663"/>
      <c r="AB967" s="663"/>
    </row>
    <row r="968">
      <c r="B968" s="663"/>
      <c r="C968" s="663"/>
      <c r="D968" s="663"/>
      <c r="E968" s="663"/>
      <c r="F968" s="663"/>
      <c r="G968" s="663"/>
      <c r="H968" s="663"/>
      <c r="I968" s="663"/>
      <c r="J968" s="663"/>
      <c r="K968" s="663"/>
      <c r="L968" s="663"/>
      <c r="M968" s="663"/>
      <c r="R968" s="663"/>
      <c r="S968" s="663"/>
      <c r="T968" s="663"/>
      <c r="U968" s="663"/>
      <c r="V968" s="663"/>
      <c r="W968" s="663"/>
      <c r="X968" s="663"/>
      <c r="Y968" s="663"/>
      <c r="Z968" s="663"/>
      <c r="AB968" s="663"/>
    </row>
    <row r="969">
      <c r="B969" s="663"/>
      <c r="C969" s="663"/>
      <c r="D969" s="663"/>
      <c r="E969" s="663"/>
      <c r="F969" s="663"/>
      <c r="G969" s="663"/>
      <c r="H969" s="663"/>
      <c r="I969" s="663"/>
      <c r="J969" s="663"/>
      <c r="K969" s="663"/>
      <c r="L969" s="663"/>
      <c r="M969" s="663"/>
      <c r="R969" s="663"/>
      <c r="S969" s="663"/>
      <c r="T969" s="663"/>
      <c r="U969" s="663"/>
      <c r="V969" s="663"/>
      <c r="W969" s="663"/>
      <c r="X969" s="663"/>
      <c r="Y969" s="663"/>
      <c r="Z969" s="663"/>
      <c r="AB969" s="663"/>
    </row>
    <row r="970">
      <c r="B970" s="663"/>
      <c r="C970" s="663"/>
      <c r="D970" s="663"/>
      <c r="E970" s="663"/>
      <c r="F970" s="663"/>
      <c r="G970" s="663"/>
      <c r="H970" s="663"/>
      <c r="I970" s="663"/>
      <c r="J970" s="663"/>
      <c r="K970" s="663"/>
      <c r="L970" s="663"/>
      <c r="M970" s="663"/>
      <c r="R970" s="663"/>
      <c r="S970" s="663"/>
      <c r="T970" s="663"/>
      <c r="U970" s="663"/>
      <c r="V970" s="663"/>
      <c r="W970" s="663"/>
      <c r="X970" s="663"/>
      <c r="Y970" s="663"/>
      <c r="Z970" s="663"/>
      <c r="AB970" s="663"/>
    </row>
    <row r="971">
      <c r="B971" s="663"/>
      <c r="C971" s="663"/>
      <c r="D971" s="663"/>
      <c r="E971" s="663"/>
      <c r="F971" s="663"/>
      <c r="G971" s="663"/>
      <c r="H971" s="663"/>
      <c r="I971" s="663"/>
      <c r="J971" s="663"/>
      <c r="K971" s="663"/>
      <c r="L971" s="663"/>
      <c r="M971" s="663"/>
      <c r="R971" s="663"/>
      <c r="S971" s="663"/>
      <c r="T971" s="663"/>
      <c r="U971" s="663"/>
      <c r="V971" s="663"/>
      <c r="W971" s="663"/>
      <c r="X971" s="663"/>
      <c r="Y971" s="663"/>
      <c r="Z971" s="663"/>
      <c r="AB971" s="663"/>
    </row>
    <row r="972">
      <c r="B972" s="663"/>
      <c r="C972" s="663"/>
      <c r="D972" s="663"/>
      <c r="E972" s="663"/>
      <c r="F972" s="663"/>
      <c r="G972" s="663"/>
      <c r="H972" s="663"/>
      <c r="I972" s="663"/>
      <c r="J972" s="663"/>
      <c r="K972" s="663"/>
      <c r="L972" s="663"/>
      <c r="M972" s="663"/>
      <c r="R972" s="663"/>
      <c r="S972" s="663"/>
      <c r="T972" s="663"/>
      <c r="U972" s="663"/>
      <c r="V972" s="663"/>
      <c r="W972" s="663"/>
      <c r="X972" s="663"/>
      <c r="Y972" s="663"/>
      <c r="Z972" s="663"/>
      <c r="AB972" s="663"/>
    </row>
    <row r="973">
      <c r="B973" s="663"/>
      <c r="C973" s="663"/>
      <c r="D973" s="663"/>
      <c r="E973" s="663"/>
      <c r="F973" s="663"/>
      <c r="G973" s="663"/>
      <c r="H973" s="663"/>
      <c r="I973" s="663"/>
      <c r="J973" s="663"/>
      <c r="K973" s="663"/>
      <c r="L973" s="663"/>
      <c r="M973" s="663"/>
      <c r="R973" s="663"/>
      <c r="S973" s="663"/>
      <c r="T973" s="663"/>
      <c r="U973" s="663"/>
      <c r="V973" s="663"/>
      <c r="W973" s="663"/>
      <c r="X973" s="663"/>
      <c r="Y973" s="663"/>
      <c r="Z973" s="663"/>
      <c r="AB973" s="663"/>
    </row>
    <row r="974">
      <c r="B974" s="663"/>
      <c r="C974" s="663"/>
      <c r="D974" s="663"/>
      <c r="E974" s="663"/>
      <c r="F974" s="663"/>
      <c r="G974" s="663"/>
      <c r="H974" s="663"/>
      <c r="I974" s="663"/>
      <c r="J974" s="663"/>
      <c r="K974" s="663"/>
      <c r="L974" s="663"/>
      <c r="M974" s="663"/>
      <c r="R974" s="663"/>
      <c r="S974" s="663"/>
      <c r="T974" s="663"/>
      <c r="U974" s="663"/>
      <c r="V974" s="663"/>
      <c r="W974" s="663"/>
      <c r="X974" s="663"/>
      <c r="Y974" s="663"/>
      <c r="Z974" s="663"/>
      <c r="AB974" s="663"/>
    </row>
    <row r="975">
      <c r="B975" s="663"/>
      <c r="C975" s="663"/>
      <c r="D975" s="663"/>
      <c r="E975" s="663"/>
      <c r="F975" s="663"/>
      <c r="G975" s="663"/>
      <c r="H975" s="663"/>
      <c r="I975" s="663"/>
      <c r="J975" s="663"/>
      <c r="K975" s="663"/>
      <c r="L975" s="663"/>
      <c r="M975" s="663"/>
      <c r="R975" s="663"/>
      <c r="S975" s="663"/>
      <c r="T975" s="663"/>
      <c r="U975" s="663"/>
      <c r="V975" s="663"/>
      <c r="W975" s="663"/>
      <c r="X975" s="663"/>
      <c r="Y975" s="663"/>
      <c r="Z975" s="663"/>
      <c r="AB975" s="663"/>
    </row>
    <row r="976">
      <c r="B976" s="663"/>
      <c r="C976" s="663"/>
      <c r="D976" s="663"/>
      <c r="E976" s="663"/>
      <c r="F976" s="663"/>
      <c r="G976" s="663"/>
      <c r="H976" s="663"/>
      <c r="I976" s="663"/>
      <c r="J976" s="663"/>
      <c r="K976" s="663"/>
      <c r="L976" s="663"/>
      <c r="M976" s="663"/>
      <c r="R976" s="663"/>
      <c r="S976" s="663"/>
      <c r="T976" s="663"/>
      <c r="U976" s="663"/>
      <c r="V976" s="663"/>
      <c r="W976" s="663"/>
      <c r="X976" s="663"/>
      <c r="Y976" s="663"/>
      <c r="Z976" s="663"/>
      <c r="AB976" s="663"/>
    </row>
    <row r="977">
      <c r="B977" s="663"/>
      <c r="C977" s="663"/>
      <c r="D977" s="663"/>
      <c r="E977" s="663"/>
      <c r="F977" s="663"/>
      <c r="G977" s="663"/>
      <c r="H977" s="663"/>
      <c r="I977" s="663"/>
      <c r="J977" s="663"/>
      <c r="K977" s="663"/>
      <c r="L977" s="663"/>
      <c r="M977" s="663"/>
      <c r="R977" s="663"/>
      <c r="S977" s="663"/>
      <c r="T977" s="663"/>
      <c r="U977" s="663"/>
      <c r="V977" s="663"/>
      <c r="W977" s="663"/>
      <c r="X977" s="663"/>
      <c r="Y977" s="663"/>
      <c r="Z977" s="663"/>
      <c r="AB977" s="663"/>
    </row>
    <row r="978">
      <c r="B978" s="663"/>
      <c r="C978" s="663"/>
      <c r="D978" s="663"/>
      <c r="E978" s="663"/>
      <c r="F978" s="663"/>
      <c r="G978" s="663"/>
      <c r="H978" s="663"/>
      <c r="I978" s="663"/>
      <c r="J978" s="663"/>
      <c r="K978" s="663"/>
      <c r="L978" s="663"/>
      <c r="M978" s="663"/>
      <c r="R978" s="663"/>
      <c r="S978" s="663"/>
      <c r="T978" s="663"/>
      <c r="U978" s="663"/>
      <c r="V978" s="663"/>
      <c r="W978" s="663"/>
      <c r="X978" s="663"/>
      <c r="Y978" s="663"/>
      <c r="Z978" s="663"/>
      <c r="AB978" s="663"/>
    </row>
    <row r="979">
      <c r="B979" s="663"/>
      <c r="C979" s="663"/>
      <c r="D979" s="663"/>
      <c r="E979" s="663"/>
      <c r="F979" s="663"/>
      <c r="G979" s="663"/>
      <c r="H979" s="663"/>
      <c r="I979" s="663"/>
      <c r="J979" s="663"/>
      <c r="K979" s="663"/>
      <c r="L979" s="663"/>
      <c r="M979" s="663"/>
      <c r="R979" s="663"/>
      <c r="S979" s="663"/>
      <c r="T979" s="663"/>
      <c r="U979" s="663"/>
      <c r="V979" s="663"/>
      <c r="W979" s="663"/>
      <c r="X979" s="663"/>
      <c r="Y979" s="663"/>
      <c r="Z979" s="663"/>
      <c r="AB979" s="663"/>
    </row>
    <row r="980">
      <c r="B980" s="663"/>
      <c r="C980" s="663"/>
      <c r="D980" s="663"/>
      <c r="E980" s="663"/>
      <c r="F980" s="663"/>
      <c r="G980" s="663"/>
      <c r="H980" s="663"/>
      <c r="I980" s="663"/>
      <c r="J980" s="663"/>
      <c r="K980" s="663"/>
      <c r="L980" s="663"/>
      <c r="M980" s="663"/>
      <c r="R980" s="663"/>
      <c r="S980" s="663"/>
      <c r="T980" s="663"/>
      <c r="U980" s="663"/>
      <c r="V980" s="663"/>
      <c r="W980" s="663"/>
      <c r="X980" s="663"/>
      <c r="Y980" s="663"/>
      <c r="Z980" s="663"/>
      <c r="AB980" s="663"/>
    </row>
    <row r="981">
      <c r="B981" s="663"/>
      <c r="C981" s="663"/>
      <c r="D981" s="663"/>
      <c r="E981" s="663"/>
      <c r="F981" s="663"/>
      <c r="G981" s="663"/>
      <c r="H981" s="663"/>
      <c r="I981" s="663"/>
      <c r="J981" s="663"/>
      <c r="K981" s="663"/>
      <c r="L981" s="663"/>
      <c r="M981" s="663"/>
      <c r="R981" s="663"/>
      <c r="S981" s="663"/>
      <c r="T981" s="663"/>
      <c r="U981" s="663"/>
      <c r="V981" s="663"/>
      <c r="W981" s="663"/>
      <c r="X981" s="663"/>
      <c r="Y981" s="663"/>
      <c r="Z981" s="663"/>
      <c r="AB981" s="663"/>
    </row>
    <row r="982">
      <c r="B982" s="663"/>
      <c r="C982" s="663"/>
      <c r="D982" s="663"/>
      <c r="E982" s="663"/>
      <c r="F982" s="663"/>
      <c r="G982" s="663"/>
      <c r="H982" s="663"/>
      <c r="I982" s="663"/>
      <c r="J982" s="663"/>
      <c r="K982" s="663"/>
      <c r="L982" s="663"/>
      <c r="M982" s="663"/>
      <c r="R982" s="663"/>
      <c r="S982" s="663"/>
      <c r="T982" s="663"/>
      <c r="U982" s="663"/>
      <c r="V982" s="663"/>
      <c r="W982" s="663"/>
      <c r="X982" s="663"/>
      <c r="Y982" s="663"/>
      <c r="Z982" s="663"/>
      <c r="AB982" s="663"/>
    </row>
    <row r="983">
      <c r="B983" s="663"/>
      <c r="C983" s="663"/>
      <c r="D983" s="663"/>
      <c r="E983" s="663"/>
      <c r="F983" s="663"/>
      <c r="G983" s="663"/>
      <c r="H983" s="663"/>
      <c r="I983" s="663"/>
      <c r="J983" s="663"/>
      <c r="K983" s="663"/>
      <c r="L983" s="663"/>
      <c r="M983" s="663"/>
      <c r="R983" s="663"/>
      <c r="S983" s="663"/>
      <c r="T983" s="663"/>
      <c r="U983" s="663"/>
      <c r="V983" s="663"/>
      <c r="W983" s="663"/>
      <c r="X983" s="663"/>
      <c r="Y983" s="663"/>
      <c r="Z983" s="663"/>
      <c r="AB983" s="663"/>
    </row>
    <row r="984">
      <c r="B984" s="663"/>
      <c r="C984" s="663"/>
      <c r="D984" s="663"/>
      <c r="E984" s="663"/>
      <c r="F984" s="663"/>
      <c r="G984" s="663"/>
      <c r="H984" s="663"/>
      <c r="I984" s="663"/>
      <c r="J984" s="663"/>
      <c r="K984" s="663"/>
      <c r="L984" s="663"/>
      <c r="M984" s="663"/>
      <c r="R984" s="663"/>
      <c r="S984" s="663"/>
      <c r="T984" s="663"/>
      <c r="U984" s="663"/>
      <c r="V984" s="663"/>
      <c r="W984" s="663"/>
      <c r="X984" s="663"/>
      <c r="Y984" s="663"/>
      <c r="Z984" s="663"/>
      <c r="AB984" s="663"/>
    </row>
    <row r="985">
      <c r="B985" s="663"/>
      <c r="C985" s="663"/>
      <c r="D985" s="663"/>
      <c r="E985" s="663"/>
      <c r="F985" s="663"/>
      <c r="G985" s="663"/>
      <c r="H985" s="663"/>
      <c r="I985" s="663"/>
      <c r="J985" s="663"/>
      <c r="K985" s="663"/>
      <c r="L985" s="663"/>
      <c r="M985" s="663"/>
      <c r="R985" s="663"/>
      <c r="S985" s="663"/>
      <c r="T985" s="663"/>
      <c r="U985" s="663"/>
      <c r="V985" s="663"/>
      <c r="W985" s="663"/>
      <c r="X985" s="663"/>
      <c r="Y985" s="663"/>
      <c r="Z985" s="663"/>
      <c r="AB985" s="663"/>
    </row>
    <row r="986">
      <c r="B986" s="663"/>
      <c r="C986" s="663"/>
      <c r="D986" s="663"/>
      <c r="E986" s="663"/>
      <c r="F986" s="663"/>
      <c r="G986" s="663"/>
      <c r="H986" s="663"/>
      <c r="I986" s="663"/>
      <c r="J986" s="663"/>
      <c r="K986" s="663"/>
      <c r="L986" s="663"/>
      <c r="M986" s="663"/>
      <c r="R986" s="663"/>
      <c r="S986" s="663"/>
      <c r="T986" s="663"/>
      <c r="U986" s="663"/>
      <c r="V986" s="663"/>
      <c r="W986" s="663"/>
      <c r="X986" s="663"/>
      <c r="Y986" s="663"/>
      <c r="Z986" s="663"/>
      <c r="AB986" s="663"/>
    </row>
    <row r="987">
      <c r="B987" s="663"/>
      <c r="C987" s="663"/>
      <c r="D987" s="663"/>
      <c r="E987" s="663"/>
      <c r="F987" s="663"/>
      <c r="G987" s="663"/>
      <c r="H987" s="663"/>
      <c r="I987" s="663"/>
      <c r="J987" s="663"/>
      <c r="K987" s="663"/>
      <c r="L987" s="663"/>
      <c r="M987" s="663"/>
      <c r="R987" s="663"/>
      <c r="S987" s="663"/>
      <c r="T987" s="663"/>
      <c r="U987" s="663"/>
      <c r="V987" s="663"/>
      <c r="W987" s="663"/>
      <c r="X987" s="663"/>
      <c r="Y987" s="663"/>
      <c r="Z987" s="663"/>
      <c r="AB987" s="663"/>
    </row>
    <row r="988">
      <c r="B988" s="663"/>
      <c r="C988" s="663"/>
      <c r="D988" s="663"/>
      <c r="E988" s="663"/>
      <c r="F988" s="663"/>
      <c r="G988" s="663"/>
      <c r="H988" s="663"/>
      <c r="I988" s="663"/>
      <c r="J988" s="663"/>
      <c r="K988" s="663"/>
      <c r="L988" s="663"/>
      <c r="M988" s="663"/>
      <c r="R988" s="663"/>
      <c r="S988" s="663"/>
      <c r="T988" s="663"/>
      <c r="U988" s="663"/>
      <c r="V988" s="663"/>
      <c r="W988" s="663"/>
      <c r="X988" s="663"/>
      <c r="Y988" s="663"/>
      <c r="Z988" s="663"/>
      <c r="AB988" s="663"/>
    </row>
    <row r="989">
      <c r="B989" s="663"/>
      <c r="C989" s="663"/>
      <c r="D989" s="663"/>
      <c r="E989" s="663"/>
      <c r="F989" s="663"/>
      <c r="G989" s="663"/>
      <c r="H989" s="663"/>
      <c r="I989" s="663"/>
      <c r="J989" s="663"/>
      <c r="K989" s="663"/>
      <c r="L989" s="663"/>
      <c r="M989" s="663"/>
      <c r="R989" s="663"/>
      <c r="S989" s="663"/>
      <c r="T989" s="663"/>
      <c r="U989" s="663"/>
      <c r="V989" s="663"/>
      <c r="W989" s="663"/>
      <c r="X989" s="663"/>
      <c r="Y989" s="663"/>
      <c r="Z989" s="663"/>
      <c r="AB989" s="663"/>
    </row>
    <row r="990">
      <c r="B990" s="663"/>
      <c r="C990" s="663"/>
      <c r="D990" s="663"/>
      <c r="E990" s="663"/>
      <c r="F990" s="663"/>
      <c r="G990" s="663"/>
      <c r="H990" s="663"/>
      <c r="I990" s="663"/>
      <c r="J990" s="663"/>
      <c r="K990" s="663"/>
      <c r="L990" s="663"/>
      <c r="M990" s="663"/>
      <c r="R990" s="663"/>
      <c r="S990" s="663"/>
      <c r="T990" s="663"/>
      <c r="U990" s="663"/>
      <c r="V990" s="663"/>
      <c r="W990" s="663"/>
      <c r="X990" s="663"/>
      <c r="Y990" s="663"/>
      <c r="Z990" s="663"/>
      <c r="AB990" s="663"/>
    </row>
    <row r="991">
      <c r="B991" s="663"/>
      <c r="C991" s="663"/>
      <c r="D991" s="663"/>
      <c r="E991" s="663"/>
      <c r="F991" s="663"/>
      <c r="G991" s="663"/>
      <c r="H991" s="663"/>
      <c r="I991" s="663"/>
      <c r="J991" s="663"/>
      <c r="K991" s="663"/>
      <c r="L991" s="663"/>
      <c r="M991" s="663"/>
      <c r="R991" s="663"/>
      <c r="S991" s="663"/>
      <c r="T991" s="663"/>
      <c r="U991" s="663"/>
      <c r="V991" s="663"/>
      <c r="W991" s="663"/>
      <c r="X991" s="663"/>
      <c r="Y991" s="663"/>
      <c r="Z991" s="663"/>
      <c r="AB991" s="663"/>
    </row>
    <row r="992">
      <c r="B992" s="663"/>
      <c r="C992" s="663"/>
      <c r="D992" s="663"/>
      <c r="E992" s="663"/>
      <c r="F992" s="663"/>
      <c r="G992" s="663"/>
      <c r="H992" s="663"/>
      <c r="I992" s="663"/>
      <c r="J992" s="663"/>
      <c r="K992" s="663"/>
      <c r="L992" s="663"/>
      <c r="M992" s="663"/>
      <c r="R992" s="663"/>
      <c r="S992" s="663"/>
      <c r="T992" s="663"/>
      <c r="U992" s="663"/>
      <c r="V992" s="663"/>
      <c r="W992" s="663"/>
      <c r="X992" s="663"/>
      <c r="Y992" s="663"/>
      <c r="Z992" s="663"/>
      <c r="AB992" s="663"/>
    </row>
    <row r="993">
      <c r="B993" s="663"/>
      <c r="C993" s="663"/>
      <c r="D993" s="663"/>
      <c r="E993" s="663"/>
      <c r="F993" s="663"/>
      <c r="G993" s="663"/>
      <c r="H993" s="663"/>
      <c r="I993" s="663"/>
      <c r="J993" s="663"/>
      <c r="K993" s="663"/>
      <c r="L993" s="663"/>
      <c r="M993" s="663"/>
      <c r="R993" s="663"/>
      <c r="S993" s="663"/>
      <c r="T993" s="663"/>
      <c r="U993" s="663"/>
      <c r="V993" s="663"/>
      <c r="W993" s="663"/>
      <c r="X993" s="663"/>
      <c r="Y993" s="663"/>
      <c r="Z993" s="663"/>
      <c r="AB993" s="663"/>
    </row>
    <row r="994">
      <c r="B994" s="663"/>
      <c r="C994" s="663"/>
      <c r="D994" s="663"/>
      <c r="E994" s="663"/>
      <c r="F994" s="663"/>
      <c r="G994" s="663"/>
      <c r="H994" s="663"/>
      <c r="I994" s="663"/>
      <c r="J994" s="663"/>
      <c r="K994" s="663"/>
      <c r="L994" s="663"/>
      <c r="M994" s="663"/>
      <c r="R994" s="663"/>
      <c r="S994" s="663"/>
      <c r="T994" s="663"/>
      <c r="U994" s="663"/>
      <c r="V994" s="663"/>
      <c r="W994" s="663"/>
      <c r="X994" s="663"/>
      <c r="Y994" s="663"/>
      <c r="Z994" s="663"/>
      <c r="AB994" s="663"/>
    </row>
    <row r="995">
      <c r="B995" s="663"/>
      <c r="C995" s="663"/>
      <c r="D995" s="663"/>
      <c r="E995" s="663"/>
      <c r="F995" s="663"/>
      <c r="G995" s="663"/>
      <c r="H995" s="663"/>
      <c r="I995" s="663"/>
      <c r="J995" s="663"/>
      <c r="K995" s="663"/>
      <c r="L995" s="663"/>
      <c r="M995" s="663"/>
      <c r="R995" s="663"/>
      <c r="S995" s="663"/>
      <c r="T995" s="663"/>
      <c r="U995" s="663"/>
      <c r="V995" s="663"/>
      <c r="W995" s="663"/>
      <c r="X995" s="663"/>
      <c r="Y995" s="663"/>
      <c r="Z995" s="663"/>
      <c r="AB995" s="663"/>
    </row>
    <row r="996">
      <c r="B996" s="663"/>
      <c r="C996" s="663"/>
      <c r="D996" s="663"/>
      <c r="E996" s="663"/>
      <c r="F996" s="663"/>
      <c r="G996" s="663"/>
      <c r="H996" s="663"/>
      <c r="I996" s="663"/>
      <c r="J996" s="663"/>
      <c r="K996" s="663"/>
      <c r="L996" s="663"/>
      <c r="M996" s="663"/>
      <c r="R996" s="663"/>
      <c r="S996" s="663"/>
      <c r="T996" s="663"/>
      <c r="U996" s="663"/>
      <c r="V996" s="663"/>
      <c r="W996" s="663"/>
      <c r="X996" s="663"/>
      <c r="Y996" s="663"/>
      <c r="Z996" s="663"/>
      <c r="AB996" s="663"/>
    </row>
    <row r="997">
      <c r="B997" s="663"/>
      <c r="C997" s="663"/>
      <c r="D997" s="663"/>
      <c r="E997" s="663"/>
      <c r="F997" s="663"/>
      <c r="G997" s="663"/>
      <c r="H997" s="663"/>
      <c r="I997" s="663"/>
      <c r="J997" s="663"/>
      <c r="K997" s="663"/>
      <c r="L997" s="663"/>
      <c r="M997" s="663"/>
      <c r="R997" s="663"/>
      <c r="S997" s="663"/>
      <c r="T997" s="663"/>
      <c r="U997" s="663"/>
      <c r="V997" s="663"/>
      <c r="W997" s="663"/>
      <c r="X997" s="663"/>
      <c r="Y997" s="663"/>
      <c r="Z997" s="663"/>
      <c r="AB997" s="663"/>
    </row>
    <row r="998">
      <c r="B998" s="663"/>
      <c r="C998" s="663"/>
      <c r="D998" s="663"/>
      <c r="E998" s="663"/>
      <c r="F998" s="663"/>
      <c r="G998" s="663"/>
      <c r="H998" s="663"/>
      <c r="I998" s="663"/>
      <c r="J998" s="663"/>
      <c r="K998" s="663"/>
      <c r="L998" s="663"/>
      <c r="M998" s="663"/>
      <c r="R998" s="663"/>
      <c r="S998" s="663"/>
      <c r="T998" s="663"/>
      <c r="U998" s="663"/>
      <c r="V998" s="663"/>
      <c r="W998" s="663"/>
      <c r="X998" s="663"/>
      <c r="Y998" s="663"/>
      <c r="Z998" s="663"/>
      <c r="AB998" s="663"/>
    </row>
    <row r="999">
      <c r="B999" s="663"/>
      <c r="C999" s="663"/>
      <c r="D999" s="663"/>
      <c r="E999" s="663"/>
      <c r="F999" s="663"/>
      <c r="G999" s="663"/>
      <c r="H999" s="663"/>
      <c r="I999" s="663"/>
      <c r="J999" s="663"/>
      <c r="K999" s="663"/>
      <c r="L999" s="663"/>
      <c r="M999" s="663"/>
      <c r="R999" s="663"/>
      <c r="S999" s="663"/>
      <c r="T999" s="663"/>
      <c r="U999" s="663"/>
      <c r="V999" s="663"/>
      <c r="W999" s="663"/>
      <c r="X999" s="663"/>
      <c r="Y999" s="663"/>
      <c r="Z999" s="663"/>
      <c r="AB999" s="663"/>
    </row>
    <row r="1000">
      <c r="B1000" s="663"/>
      <c r="C1000" s="663"/>
      <c r="D1000" s="663"/>
      <c r="E1000" s="663"/>
      <c r="F1000" s="663"/>
      <c r="G1000" s="663"/>
      <c r="H1000" s="663"/>
      <c r="I1000" s="663"/>
      <c r="J1000" s="663"/>
      <c r="K1000" s="663"/>
      <c r="L1000" s="663"/>
      <c r="M1000" s="663"/>
      <c r="R1000" s="663"/>
      <c r="S1000" s="663"/>
      <c r="T1000" s="663"/>
      <c r="U1000" s="663"/>
      <c r="V1000" s="663"/>
      <c r="W1000" s="663"/>
      <c r="X1000" s="663"/>
      <c r="Y1000" s="663"/>
      <c r="Z1000" s="663"/>
      <c r="AB1000" s="663"/>
    </row>
  </sheetData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13"/>
    <col customWidth="1" min="2" max="2" width="7.25"/>
    <col customWidth="1" min="3" max="3" width="6.5"/>
    <col customWidth="1" min="4" max="4" width="10.25"/>
    <col customWidth="1" min="5" max="5" width="9.5"/>
    <col customWidth="1" min="6" max="6" width="10.5"/>
    <col customWidth="1" min="7" max="7" width="9.38"/>
    <col customWidth="1" min="8" max="8" width="6.25"/>
    <col customWidth="1" min="9" max="9" width="5.88"/>
    <col customWidth="1" min="10" max="10" width="6.5"/>
    <col customWidth="1" min="11" max="11" width="2.0"/>
    <col customWidth="1" min="12" max="12" width="14.5"/>
    <col customWidth="1" min="13" max="13" width="8.63"/>
    <col customWidth="1" min="14" max="14" width="6.38"/>
    <col customWidth="1" min="15" max="15" width="8.63"/>
    <col customWidth="1" min="16" max="16" width="10.25"/>
    <col customWidth="1" min="17" max="17" width="10.5"/>
    <col customWidth="1" min="18" max="18" width="9.5"/>
    <col customWidth="1" min="19" max="19" width="10.5"/>
    <col customWidth="1" min="20" max="21" width="9.38"/>
    <col customWidth="1" min="22" max="22" width="9.75"/>
    <col customWidth="1" min="23" max="23" width="9.5"/>
    <col customWidth="1" min="24" max="24" width="9.0"/>
    <col customWidth="1" min="25" max="25" width="5.63"/>
    <col customWidth="1" min="26" max="26" width="10.5"/>
    <col customWidth="1" min="27" max="27" width="8.63"/>
    <col customWidth="1" min="28" max="28" width="7.88"/>
    <col customWidth="1" min="29" max="29" width="8.63"/>
    <col customWidth="1" min="30" max="30" width="10.25"/>
    <col customWidth="1" min="31" max="31" width="10.5"/>
    <col customWidth="1" min="32" max="32" width="9.5"/>
    <col customWidth="1" min="33" max="33" width="10.5"/>
    <col customWidth="1" min="34" max="35" width="9.38"/>
  </cols>
  <sheetData>
    <row r="1">
      <c r="A1" s="664" t="s">
        <v>421</v>
      </c>
      <c r="B1" s="665" t="s">
        <v>422</v>
      </c>
      <c r="C1" s="665" t="s">
        <v>423</v>
      </c>
      <c r="D1" s="665" t="s">
        <v>424</v>
      </c>
      <c r="E1" s="665" t="s">
        <v>425</v>
      </c>
      <c r="F1" s="665" t="s">
        <v>426</v>
      </c>
      <c r="G1" s="665" t="s">
        <v>427</v>
      </c>
      <c r="H1" s="666" t="s">
        <v>428</v>
      </c>
      <c r="I1" s="667" t="s">
        <v>429</v>
      </c>
      <c r="J1" s="667" t="s">
        <v>430</v>
      </c>
      <c r="K1" s="668"/>
      <c r="L1" s="664" t="s">
        <v>421</v>
      </c>
      <c r="M1" s="665" t="s">
        <v>422</v>
      </c>
      <c r="N1" s="665" t="s">
        <v>423</v>
      </c>
      <c r="O1" s="665" t="s">
        <v>424</v>
      </c>
      <c r="P1" s="665" t="s">
        <v>425</v>
      </c>
      <c r="Q1" s="665" t="s">
        <v>426</v>
      </c>
      <c r="R1" s="665" t="s">
        <v>427</v>
      </c>
      <c r="S1" s="666" t="s">
        <v>428</v>
      </c>
      <c r="T1" s="667" t="s">
        <v>429</v>
      </c>
      <c r="U1" s="667" t="s">
        <v>430</v>
      </c>
      <c r="V1" s="669" t="s">
        <v>431</v>
      </c>
      <c r="W1" s="670" t="s">
        <v>432</v>
      </c>
      <c r="X1" s="671"/>
      <c r="Y1" s="672"/>
      <c r="Z1" s="671"/>
      <c r="AA1" s="665" t="s">
        <v>422</v>
      </c>
      <c r="AB1" s="665" t="s">
        <v>423</v>
      </c>
      <c r="AC1" s="665" t="s">
        <v>424</v>
      </c>
      <c r="AD1" s="665" t="s">
        <v>425</v>
      </c>
      <c r="AE1" s="665" t="s">
        <v>426</v>
      </c>
      <c r="AF1" s="665" t="s">
        <v>427</v>
      </c>
      <c r="AG1" s="666" t="s">
        <v>428</v>
      </c>
      <c r="AH1" s="667" t="s">
        <v>429</v>
      </c>
      <c r="AI1" s="667" t="s">
        <v>430</v>
      </c>
    </row>
    <row r="2">
      <c r="A2" s="673" t="str">
        <f>'Halo Reach Stats'!$A2</f>
        <v>ActiveHate</v>
      </c>
      <c r="B2" s="674">
        <f>IFERROR(VLOOKUP(A2,'PG Stats'!A:S,10,0),)</f>
        <v>0.001469075951</v>
      </c>
      <c r="C2" s="674">
        <f>IFERROR(VLOOKUP(A2,'PG Stats'!A:S,11,0),)</f>
        <v>-0.9798736595</v>
      </c>
      <c r="D2" s="675">
        <f>IFERROR(VLOOKUP(A2,'PG Stats'!A:S,12,0),)</f>
        <v>0.07492287351</v>
      </c>
      <c r="E2" s="675">
        <f>IFERROR(VLOOKUP(A2,'PG Stats'!A:S,13,0),)</f>
        <v>0.02791244307</v>
      </c>
      <c r="F2" s="675">
        <f>IFERROR(VLOOKUP(A2,'PG Stats'!A:S,14,0),)</f>
        <v>0.4201557221</v>
      </c>
      <c r="G2" s="676">
        <f>IFERROR(VLOOKUP(A2,'PG Stats'!A:S,15,0),)</f>
        <v>0.08373732922</v>
      </c>
      <c r="H2" s="676">
        <f>IFERROR(VLOOKUP(A2,'PG Stats'!A:S,16,0),)</f>
        <v>0.02497429117</v>
      </c>
      <c r="I2" s="676">
        <f>IFERROR(VLOOKUP(A2,'PG Stats'!A:S,17,0),)</f>
        <v>0.4642280006</v>
      </c>
      <c r="J2" s="677">
        <f>IFERROR(VLOOKUP(A2,'PG Stats'!A:S,18,0),)</f>
        <v>1.177820046</v>
      </c>
      <c r="K2" s="678"/>
      <c r="L2" s="673" t="str">
        <f>'Halo Reach Stats'!$A2</f>
        <v>ActiveHate</v>
      </c>
      <c r="M2" s="679" t="str">
        <f t="shared" ref="M2:U2" si="1">IF(B2&lt;=AA$21,"F-",IF(B2&lt;AA$20,"F",IF(B2&lt;AA$19,"F+",IF(B2&lt;AA$18,"E-",IF(B2&lt;AA$17,"E",IF(B2&lt;AA$16,"E+",IF(B2&lt;AA$15,"D-",IF(B2&lt;AA$14,"D",IF(B2&lt;AA$13,"D+",IF(B2&lt;AA$12,"C-",IF(B2&lt;AA$11,"C",IF(B2&lt;AA$10,"C+",IF(B2&lt;AA$9,"B-",IF(B2&lt;AA$8,"B",IF(B2&lt;AA$7,"B+",IF(B2&lt;AA$6,"A-",IF(B2&lt;AA$5,"A",IF(B2&lt;AA$4,"A+",IF(B2&lt;AA$3,"S-",IF(B2&lt;AA$2,"S","S+"))))))))))))))))))))</f>
        <v>F-</v>
      </c>
      <c r="N2" s="679" t="str">
        <f t="shared" si="1"/>
        <v>F</v>
      </c>
      <c r="O2" s="679" t="str">
        <f t="shared" si="1"/>
        <v>E+</v>
      </c>
      <c r="P2" s="679" t="str">
        <f t="shared" si="1"/>
        <v>D+</v>
      </c>
      <c r="Q2" s="679" t="str">
        <f t="shared" si="1"/>
        <v>C+</v>
      </c>
      <c r="R2" s="679" t="str">
        <f t="shared" si="1"/>
        <v>B</v>
      </c>
      <c r="S2" s="679" t="str">
        <f t="shared" si="1"/>
        <v>B-</v>
      </c>
      <c r="T2" s="679" t="str">
        <f t="shared" si="1"/>
        <v>E-</v>
      </c>
      <c r="U2" s="679" t="str">
        <f t="shared" si="1"/>
        <v>D+</v>
      </c>
      <c r="V2" s="680" t="str">
        <f t="shared" ref="V2:V39" si="4">IF(W2&lt;$Y$44,"F-",IF(W2&lt;$Y$43,"F",IF(W2&lt;$Y$42,"F+",IF(W2&lt;$Y$41,"E-",IF(W2&lt;$Y$40,"E",IF(W2&lt;$Y$39,"E+",IF(W2&lt;$Y$38,"D-",IF(W2&lt;$Y$37,"D",IF(W2&lt;$Y$36,"D+",IF(W2&lt;$Y$35,"C-",IF(W2&lt;$Y$34,"C",IF(W2&lt;$Y$33,"C+",IF(W2&lt;$Y$32,"B-",IF(W2&lt;$Y$31,"B",IF(W2&lt;$Y$30,"B+",IF(W2&lt;$Y$29,"A-",IF(W2&lt;$Y$28,"A",IF(W2&lt;$Y$27,"A+",IF(W2&lt;$Y$26,"S-",IF(W2&lt;$Y$25,"S","S+"))))))))))))))))))))</f>
        <v>D-</v>
      </c>
      <c r="W2" s="681">
        <f t="shared" ref="W2:W39" si="5">($Y$47*(VLOOKUP(M2, $X$3:$Y$23, 2, FALSE)))+($Y$48*(VLOOKUP(N2, $X$3:$Y$23, 2, FALSE)))+($Y$49*(VLOOKUP(O2, $X$3:$Y$23, 2, FALSE)))+($Y$50*(VLOOKUP(P2, $X$3:$Y$23, 2, FALSE)))+($Y$51*(VLOOKUP(Q2, $X$3:$Y$23, 2, FALSE)))+($Y$52*(VLOOKUP(R2, $X$3:$Y$23, 2, FALSE)))+($Y$53*(VLOOKUP(S2, $X$3:$Y$23, 2, FALSE)))+($Y$54*(VLOOKUP(T2, $X$3:$Y$23, 2, FALSE)))+($Y$55*(VLOOKUP(U2, $X$3:$Y$23, 2, FALSE)))</f>
        <v>14.3</v>
      </c>
      <c r="X2" s="682" t="s">
        <v>327</v>
      </c>
      <c r="Y2" s="683" t="s">
        <v>433</v>
      </c>
      <c r="Z2" s="684" t="s">
        <v>434</v>
      </c>
      <c r="AA2" s="685">
        <f t="shared" ref="AA2:AI2" si="2">PERCENTILE(B2:B55,1)</f>
        <v>0.8429567346</v>
      </c>
      <c r="AB2" s="685">
        <f t="shared" si="2"/>
        <v>0.9386657021</v>
      </c>
      <c r="AC2" s="685">
        <f t="shared" si="2"/>
        <v>0.2997761852</v>
      </c>
      <c r="AD2" s="685">
        <f t="shared" si="2"/>
        <v>0.103316732</v>
      </c>
      <c r="AE2" s="685">
        <f t="shared" si="2"/>
        <v>0.7054410519</v>
      </c>
      <c r="AF2" s="685">
        <f t="shared" si="2"/>
        <v>0.146232913</v>
      </c>
      <c r="AG2" s="685">
        <f t="shared" si="2"/>
        <v>0.08742185016</v>
      </c>
      <c r="AH2" s="685">
        <f t="shared" si="2"/>
        <v>0.7568890344</v>
      </c>
      <c r="AI2" s="685">
        <f t="shared" si="2"/>
        <v>1.881249828</v>
      </c>
    </row>
    <row r="3">
      <c r="A3" s="673" t="str">
        <f>'Halo Reach Stats'!$A3</f>
        <v>ADhillyy</v>
      </c>
      <c r="B3" s="674">
        <f>IFERROR(VLOOKUP(A3,'PG Stats'!A:R,10,0),)</f>
        <v>0.007026995374</v>
      </c>
      <c r="C3" s="674">
        <f>IFERROR(VLOOKUP(A3,'PG Stats'!A:R,11,0),)</f>
        <v>-1.208643204</v>
      </c>
      <c r="D3" s="675">
        <f>IFERROR(VLOOKUP(A3,'PG Stats'!A:R,12,0),)</f>
        <v>0.09135093986</v>
      </c>
      <c r="E3" s="675">
        <f>IFERROR(VLOOKUP(A3,'PG Stats'!A:R,13,0),)</f>
        <v>0.007026995374</v>
      </c>
      <c r="F3" s="675">
        <f>IFERROR(VLOOKUP(A3,'PG Stats'!A:R,14,0),)</f>
        <v>0.3618902618</v>
      </c>
      <c r="G3" s="676">
        <f>IFERROR(VLOOKUP(A3,'PG Stats'!A:R,15,0),)</f>
        <v>0.07026995374</v>
      </c>
      <c r="H3" s="676">
        <f>IFERROR(VLOOKUP(A3,'PG Stats'!A:R,16,0),)</f>
        <v>0.007026995374</v>
      </c>
      <c r="I3" s="676">
        <f>IFERROR(VLOOKUP(A3,'PG Stats'!A:R,17,0),)</f>
        <v>0.4743221877</v>
      </c>
      <c r="J3" s="677">
        <f>IFERROR(VLOOKUP(A3,'PG Stats'!A:S,18,0),)</f>
        <v>1.446214206</v>
      </c>
      <c r="K3" s="678"/>
      <c r="L3" s="673" t="str">
        <f>'Halo Reach Stats'!$A3</f>
        <v>ADhillyy</v>
      </c>
      <c r="M3" s="679" t="str">
        <f t="shared" ref="M3:U3" si="3">IF(B3&lt;=AA$21,"F-",IF(B3&lt;AA$20,"F",IF(B3&lt;AA$19,"F+",IF(B3&lt;AA$18,"E-",IF(B3&lt;AA$17,"E",IF(B3&lt;AA$16,"E+",IF(B3&lt;AA$15,"D-",IF(B3&lt;AA$14,"D",IF(B3&lt;AA$13,"D+",IF(B3&lt;AA$12,"C-",IF(B3&lt;AA$11,"C",IF(B3&lt;AA$10,"C+",IF(B3&lt;AA$9,"B-",IF(B3&lt;AA$8,"B",IF(B3&lt;AA$7,"B+",IF(B3&lt;AA$6,"A-",IF(B3&lt;AA$5,"A",IF(B3&lt;AA$4,"A+",IF(B3&lt;AA$3,"S-",IF(B3&lt;AA$2,"S","S+"))))))))))))))))))))</f>
        <v>F-</v>
      </c>
      <c r="N3" s="679" t="str">
        <f t="shared" si="3"/>
        <v>F-</v>
      </c>
      <c r="O3" s="679" t="str">
        <f t="shared" si="3"/>
        <v>D</v>
      </c>
      <c r="P3" s="679" t="str">
        <f t="shared" si="3"/>
        <v>F</v>
      </c>
      <c r="Q3" s="679" t="str">
        <f t="shared" si="3"/>
        <v>D+</v>
      </c>
      <c r="R3" s="679" t="str">
        <f t="shared" si="3"/>
        <v>C</v>
      </c>
      <c r="S3" s="679" t="str">
        <f t="shared" si="3"/>
        <v>E-</v>
      </c>
      <c r="T3" s="679" t="str">
        <f t="shared" si="3"/>
        <v>E+</v>
      </c>
      <c r="U3" s="679" t="str">
        <f t="shared" si="3"/>
        <v>B+</v>
      </c>
      <c r="V3" s="680" t="str">
        <f t="shared" si="4"/>
        <v>E-</v>
      </c>
      <c r="W3" s="681">
        <f t="shared" si="5"/>
        <v>12.45</v>
      </c>
      <c r="X3" s="686" t="s">
        <v>434</v>
      </c>
      <c r="Y3" s="687">
        <v>11.0</v>
      </c>
      <c r="Z3" s="688" t="s">
        <v>435</v>
      </c>
      <c r="AA3" s="685">
        <f t="shared" ref="AA3:AI3" si="6">PERCENTILE(B2:B55,0.95)</f>
        <v>0.6612755398</v>
      </c>
      <c r="AB3" s="685">
        <f t="shared" si="6"/>
        <v>0.7221064409</v>
      </c>
      <c r="AC3" s="685">
        <f t="shared" si="6"/>
        <v>0.1827826972</v>
      </c>
      <c r="AD3" s="685">
        <f t="shared" si="6"/>
        <v>0.09526061161</v>
      </c>
      <c r="AE3" s="685">
        <f t="shared" si="6"/>
        <v>0.6433081553</v>
      </c>
      <c r="AF3" s="685">
        <f t="shared" si="6"/>
        <v>0.1228573763</v>
      </c>
      <c r="AG3" s="685">
        <f t="shared" si="6"/>
        <v>0.0833593458</v>
      </c>
      <c r="AH3" s="685">
        <f t="shared" si="6"/>
        <v>0.7125660812</v>
      </c>
      <c r="AI3" s="685">
        <f t="shared" si="6"/>
        <v>1.70565564</v>
      </c>
    </row>
    <row r="4">
      <c r="A4" s="673" t="str">
        <f>'Halo Reach Stats'!$A4</f>
        <v>Almighty Tycoon</v>
      </c>
      <c r="B4" s="674">
        <f>IFERROR(VLOOKUP(A4,'PG Stats'!A:R,10,0),)</f>
        <v>0.02612309519</v>
      </c>
      <c r="C4" s="674">
        <f>IFERROR(VLOOKUP(A4,'PG Stats'!A:R,11,0),)</f>
        <v>-0.6340787651</v>
      </c>
      <c r="D4" s="675">
        <f>IFERROR(VLOOKUP(A4,'PG Stats'!A:R,12,0),)</f>
        <v>0.07836928557</v>
      </c>
      <c r="E4" s="675">
        <f>IFERROR(VLOOKUP(A4,'PG Stats'!A:R,13,0),)</f>
        <v>0.01899861468</v>
      </c>
      <c r="F4" s="675">
        <f>IFERROR(VLOOKUP(A4,'PG Stats'!A:R,14,0),)</f>
        <v>0.3087274886</v>
      </c>
      <c r="G4" s="676">
        <f>IFERROR(VLOOKUP(A4,'PG Stats'!A:R,15,0),)</f>
        <v>0.05224619038</v>
      </c>
      <c r="H4" s="676">
        <f>IFERROR(VLOOKUP(A4,'PG Stats'!A:R,16,0),)</f>
        <v>0.01662378785</v>
      </c>
      <c r="I4" s="676">
        <f>IFERROR(VLOOKUP(A4,'PG Stats'!A:R,17,0),)</f>
        <v>0.5082129428</v>
      </c>
      <c r="J4" s="677">
        <f>IFERROR(VLOOKUP(A4,'PG Stats'!A:S,18,0),)</f>
        <v>0.513305627</v>
      </c>
      <c r="K4" s="678"/>
      <c r="L4" s="673" t="str">
        <f>'Halo Reach Stats'!$A4</f>
        <v>Almighty Tycoon</v>
      </c>
      <c r="M4" s="679" t="str">
        <f t="shared" ref="M4:U4" si="7">IF(B4&lt;=AA$21,"F-",IF(B4&lt;AA$20,"F",IF(B4&lt;AA$19,"F+",IF(B4&lt;AA$18,"E-",IF(B4&lt;AA$17,"E",IF(B4&lt;AA$16,"E+",IF(B4&lt;AA$15,"D-",IF(B4&lt;AA$14,"D",IF(B4&lt;AA$13,"D+",IF(B4&lt;AA$12,"C-",IF(B4&lt;AA$11,"C",IF(B4&lt;AA$10,"C+",IF(B4&lt;AA$9,"B-",IF(B4&lt;AA$8,"B",IF(B4&lt;AA$7,"B+",IF(B4&lt;AA$6,"A-",IF(B4&lt;AA$5,"A",IF(B4&lt;AA$4,"A+",IF(B4&lt;AA$3,"S-",IF(B4&lt;AA$2,"S","S+"))))))))))))))))))))</f>
        <v>D-</v>
      </c>
      <c r="N4" s="679" t="str">
        <f t="shared" si="7"/>
        <v>D-</v>
      </c>
      <c r="O4" s="679" t="str">
        <f t="shared" si="7"/>
        <v>D-</v>
      </c>
      <c r="P4" s="679" t="str">
        <f t="shared" si="7"/>
        <v>E</v>
      </c>
      <c r="Q4" s="679" t="str">
        <f t="shared" si="7"/>
        <v>E-</v>
      </c>
      <c r="R4" s="679" t="str">
        <f t="shared" si="7"/>
        <v>D</v>
      </c>
      <c r="S4" s="679" t="str">
        <f t="shared" si="7"/>
        <v>D-</v>
      </c>
      <c r="T4" s="679" t="str">
        <f t="shared" si="7"/>
        <v>D</v>
      </c>
      <c r="U4" s="679" t="str">
        <f t="shared" si="7"/>
        <v>F-</v>
      </c>
      <c r="V4" s="680" t="str">
        <f t="shared" si="4"/>
        <v>E</v>
      </c>
      <c r="W4" s="681">
        <f t="shared" si="5"/>
        <v>12.75</v>
      </c>
      <c r="X4" s="689" t="s">
        <v>435</v>
      </c>
      <c r="Y4" s="687">
        <v>10.5</v>
      </c>
      <c r="Z4" s="684" t="s">
        <v>436</v>
      </c>
      <c r="AA4" s="685">
        <f t="shared" ref="AA4:AI4" si="8">PERCENTILE(B2:B55,0.9)</f>
        <v>0.5305813172</v>
      </c>
      <c r="AB4" s="685">
        <f t="shared" si="8"/>
        <v>0.542461708</v>
      </c>
      <c r="AC4" s="685">
        <f t="shared" si="8"/>
        <v>0.1669167269</v>
      </c>
      <c r="AD4" s="685">
        <f t="shared" si="8"/>
        <v>0.08503952875</v>
      </c>
      <c r="AE4" s="685">
        <f t="shared" si="8"/>
        <v>0.6085621694</v>
      </c>
      <c r="AF4" s="685">
        <f t="shared" si="8"/>
        <v>0.1054204698</v>
      </c>
      <c r="AG4" s="685">
        <f t="shared" si="8"/>
        <v>0.06648400941</v>
      </c>
      <c r="AH4" s="685">
        <f t="shared" si="8"/>
        <v>0.6676042533</v>
      </c>
      <c r="AI4" s="685">
        <f t="shared" si="8"/>
        <v>1.589437763</v>
      </c>
    </row>
    <row r="5">
      <c r="A5" s="673" t="str">
        <f>'Halo Reach Stats'!$A5</f>
        <v>ASpence501</v>
      </c>
      <c r="B5" s="674">
        <f>IFERROR(VLOOKUP(A5,'PG Stats'!A:R,10,0),)</f>
        <v>0.03087580406</v>
      </c>
      <c r="C5" s="674">
        <f>IFERROR(VLOOKUP(A5,'PG Stats'!A:R,11,0),)</f>
        <v>-0.02493814943</v>
      </c>
      <c r="D5" s="675">
        <f>IFERROR(VLOOKUP(A5,'PG Stats'!A:R,12,0),)</f>
        <v>0.1626917368</v>
      </c>
      <c r="E5" s="675">
        <f>IFERROR(VLOOKUP(A5,'PG Stats'!A:R,13,0),)</f>
        <v>0.05106382979</v>
      </c>
      <c r="F5" s="675">
        <f>IFERROR(VLOOKUP(A5,'PG Stats'!A:R,14,0),)</f>
        <v>0.5818901534</v>
      </c>
      <c r="G5" s="676">
        <f>IFERROR(VLOOKUP(A5,'PG Stats'!A:R,15,0),)</f>
        <v>0.1033151905</v>
      </c>
      <c r="H5" s="676">
        <f>IFERROR(VLOOKUP(A5,'PG Stats'!A:R,16,0),)</f>
        <v>0.04156358238</v>
      </c>
      <c r="I5" s="676">
        <f>IFERROR(VLOOKUP(A5,'PG Stats'!A:R,17,0),)</f>
        <v>0.7481444829</v>
      </c>
      <c r="J5" s="677">
        <f>IFERROR(VLOOKUP(A5,'PG Stats'!A:R,18,0),)</f>
        <v>1.457004677</v>
      </c>
      <c r="K5" s="678"/>
      <c r="L5" s="673" t="str">
        <f>'Halo Reach Stats'!$A5</f>
        <v>ASpence501</v>
      </c>
      <c r="M5" s="679" t="str">
        <f t="shared" ref="M5:U5" si="9">IF(B5&lt;=AA$21,"F-",IF(B5&lt;AA$20,"F",IF(B5&lt;AA$19,"F+",IF(B5&lt;AA$18,"E-",IF(B5&lt;AA$17,"E",IF(B5&lt;AA$16,"E+",IF(B5&lt;AA$15,"D-",IF(B5&lt;AA$14,"D",IF(B5&lt;AA$13,"D+",IF(B5&lt;AA$12,"C-",IF(B5&lt;AA$11,"C",IF(B5&lt;AA$10,"C+",IF(B5&lt;AA$9,"B-",IF(B5&lt;AA$8,"B",IF(B5&lt;AA$7,"B+",IF(B5&lt;AA$6,"A-",IF(B5&lt;AA$5,"A",IF(B5&lt;AA$4,"A+",IF(B5&lt;AA$3,"S-",IF(B5&lt;AA$2,"S","S+"))))))))))))))))))))</f>
        <v>D</v>
      </c>
      <c r="N5" s="679" t="str">
        <f t="shared" si="9"/>
        <v>B-</v>
      </c>
      <c r="O5" s="679" t="str">
        <f t="shared" si="9"/>
        <v>A+</v>
      </c>
      <c r="P5" s="679" t="str">
        <f t="shared" si="9"/>
        <v>B</v>
      </c>
      <c r="Q5" s="679" t="str">
        <f t="shared" si="9"/>
        <v>A</v>
      </c>
      <c r="R5" s="679" t="str">
        <f t="shared" si="9"/>
        <v>A+</v>
      </c>
      <c r="S5" s="679" t="str">
        <f t="shared" si="9"/>
        <v>A</v>
      </c>
      <c r="T5" s="679" t="str">
        <f t="shared" si="9"/>
        <v>S</v>
      </c>
      <c r="U5" s="679" t="str">
        <f t="shared" si="9"/>
        <v>A-</v>
      </c>
      <c r="V5" s="680" t="str">
        <f t="shared" si="4"/>
        <v>A+</v>
      </c>
      <c r="W5" s="681">
        <f t="shared" si="5"/>
        <v>28.65</v>
      </c>
      <c r="X5" s="686" t="s">
        <v>436</v>
      </c>
      <c r="Y5" s="687">
        <v>10.0</v>
      </c>
      <c r="Z5" s="690" t="s">
        <v>437</v>
      </c>
      <c r="AA5" s="691">
        <f t="shared" ref="AA5:AI5" si="10">PERCENTILE(B2:B55,0.85)</f>
        <v>0.3741345493</v>
      </c>
      <c r="AB5" s="691">
        <f t="shared" si="10"/>
        <v>0.4321005561</v>
      </c>
      <c r="AC5" s="691">
        <f t="shared" si="10"/>
        <v>0.1611123515</v>
      </c>
      <c r="AD5" s="691">
        <f t="shared" si="10"/>
        <v>0.07555201039</v>
      </c>
      <c r="AE5" s="691">
        <f t="shared" si="10"/>
        <v>0.5860534339</v>
      </c>
      <c r="AF5" s="691">
        <f t="shared" si="10"/>
        <v>0.1020099111</v>
      </c>
      <c r="AG5" s="691">
        <f t="shared" si="10"/>
        <v>0.06105067509</v>
      </c>
      <c r="AH5" s="691">
        <f t="shared" si="10"/>
        <v>0.6442681051</v>
      </c>
      <c r="AI5" s="691">
        <f t="shared" si="10"/>
        <v>1.524988303</v>
      </c>
    </row>
    <row r="6">
      <c r="A6" s="673" t="str">
        <f>'Halo Reach Stats'!$A6</f>
        <v>AwareMosquito</v>
      </c>
      <c r="B6" s="674">
        <f>IFERROR(VLOOKUP(A6,'PG Stats'!A:R,10,0),)</f>
        <v>0.04601932812</v>
      </c>
      <c r="C6" s="674">
        <f>IFERROR(VLOOKUP(A6,'PG Stats'!A:R,11,0),)</f>
        <v>-0.8283479061</v>
      </c>
      <c r="D6" s="675">
        <f>IFERROR(VLOOKUP(A6,'PG Stats'!A:R,12,0),)</f>
        <v>0.09203865624</v>
      </c>
      <c r="E6" s="675">
        <f>IFERROR(VLOOKUP(A6,'PG Stats'!A:R,13,0),)</f>
        <v>0.009203865624</v>
      </c>
      <c r="F6" s="675">
        <f>IFERROR(VLOOKUP(A6,'PG Stats'!A:R,14,0),)</f>
        <v>0.317533364</v>
      </c>
      <c r="G6" s="676">
        <f>IFERROR(VLOOKUP(A6,'PG Stats'!A:R,15,0),)</f>
        <v>0.04141739531</v>
      </c>
      <c r="H6" s="676">
        <f>IFERROR(VLOOKUP(A6,'PG Stats'!A:R,16,0),)</f>
        <v>0.009203865624</v>
      </c>
      <c r="I6" s="676">
        <f>IFERROR(VLOOKUP(A6,'PG Stats'!A:R,17,0),)</f>
        <v>0.317533364</v>
      </c>
      <c r="J6" s="677">
        <f>IFERROR(VLOOKUP(A6,'PG Stats'!A:R,18,0),)</f>
        <v>0.4601932812</v>
      </c>
      <c r="K6" s="678"/>
      <c r="L6" s="673" t="str">
        <f>'Halo Reach Stats'!$A6</f>
        <v>AwareMosquito</v>
      </c>
      <c r="M6" s="679" t="str">
        <f t="shared" ref="M6:U6" si="11">IF(B6&lt;=AA$21,"F-",IF(B6&lt;AA$20,"F",IF(B6&lt;AA$19,"F+",IF(B6&lt;AA$18,"E-",IF(B6&lt;AA$17,"E",IF(B6&lt;AA$16,"E+",IF(B6&lt;AA$15,"D-",IF(B6&lt;AA$14,"D",IF(B6&lt;AA$13,"D+",IF(B6&lt;AA$12,"C-",IF(B6&lt;AA$11,"C",IF(B6&lt;AA$10,"C+",IF(B6&lt;AA$9,"B-",IF(B6&lt;AA$8,"B",IF(B6&lt;AA$7,"B+",IF(B6&lt;AA$6,"A-",IF(B6&lt;AA$5,"A",IF(B6&lt;AA$4,"A+",IF(B6&lt;AA$3,"S-",IF(B6&lt;AA$2,"S","S+"))))))))))))))))))))</f>
        <v>C+</v>
      </c>
      <c r="N6" s="679" t="str">
        <f t="shared" si="11"/>
        <v>E</v>
      </c>
      <c r="O6" s="679" t="str">
        <f t="shared" si="11"/>
        <v>D+</v>
      </c>
      <c r="P6" s="679" t="str">
        <f t="shared" si="11"/>
        <v>F+</v>
      </c>
      <c r="Q6" s="679" t="str">
        <f t="shared" si="11"/>
        <v>E</v>
      </c>
      <c r="R6" s="679" t="str">
        <f t="shared" si="11"/>
        <v>E</v>
      </c>
      <c r="S6" s="679" t="str">
        <f t="shared" si="11"/>
        <v>E-</v>
      </c>
      <c r="T6" s="679" t="str">
        <f t="shared" si="11"/>
        <v>F-</v>
      </c>
      <c r="U6" s="679" t="str">
        <f t="shared" si="11"/>
        <v>F-</v>
      </c>
      <c r="V6" s="680" t="str">
        <f t="shared" si="4"/>
        <v>F+</v>
      </c>
      <c r="W6" s="681">
        <f t="shared" si="5"/>
        <v>10.7</v>
      </c>
      <c r="X6" s="692" t="s">
        <v>437</v>
      </c>
      <c r="Y6" s="693">
        <v>9.5</v>
      </c>
      <c r="Z6" s="694" t="s">
        <v>438</v>
      </c>
      <c r="AA6" s="695">
        <f t="shared" ref="AA6:AI6" si="12">PERCENTILE(B2:B55,0.8)</f>
        <v>0.2678224753</v>
      </c>
      <c r="AB6" s="695">
        <f t="shared" si="12"/>
        <v>0.3672150625</v>
      </c>
      <c r="AC6" s="695">
        <f t="shared" si="12"/>
        <v>0.1416731043</v>
      </c>
      <c r="AD6" s="695">
        <f t="shared" si="12"/>
        <v>0.07040030914</v>
      </c>
      <c r="AE6" s="695">
        <f t="shared" si="12"/>
        <v>0.5403673376</v>
      </c>
      <c r="AF6" s="695">
        <f t="shared" si="12"/>
        <v>0.09876825349</v>
      </c>
      <c r="AG6" s="695">
        <f t="shared" si="12"/>
        <v>0.04099643568</v>
      </c>
      <c r="AH6" s="695">
        <f t="shared" si="12"/>
        <v>0.6245512271</v>
      </c>
      <c r="AI6" s="695">
        <f t="shared" si="12"/>
        <v>1.499097157</v>
      </c>
    </row>
    <row r="7">
      <c r="A7" s="673" t="str">
        <f>'Halo Reach Stats'!$A7</f>
        <v>Beautytism</v>
      </c>
      <c r="B7" s="674">
        <f>IFERROR(VLOOKUP(A7,'PG Stats'!A:R,10,0),)</f>
        <v>0.01719580932</v>
      </c>
      <c r="C7" s="674">
        <f>IFERROR(VLOOKUP(A7,'PG Stats'!A:R,11,0),)</f>
        <v>0.4528229787</v>
      </c>
      <c r="D7" s="675">
        <f>IFERROR(VLOOKUP(A7,'PG Stats'!A:R,12,0),)</f>
        <v>0.1413877655</v>
      </c>
      <c r="E7" s="675">
        <f>IFERROR(VLOOKUP(A7,'PG Stats'!A:R,13,0),)</f>
        <v>0.07069388275</v>
      </c>
      <c r="F7" s="675">
        <f>IFERROR(VLOOKUP(A7,'PG Stats'!A:R,14,0),)</f>
        <v>0.3649332866</v>
      </c>
      <c r="G7" s="676">
        <f>IFERROR(VLOOKUP(A7,'PG Stats'!A:R,15,0),)</f>
        <v>0.04776613699</v>
      </c>
      <c r="H7" s="676">
        <f>IFERROR(VLOOKUP(A7,'PG Stats'!A:R,16,0),)</f>
        <v>0.06496194631</v>
      </c>
      <c r="I7" s="676">
        <f>IFERROR(VLOOKUP(A7,'PG Stats'!A:R,17,0),)</f>
        <v>0.6859217272</v>
      </c>
      <c r="J7" s="677">
        <f>IFERROR(VLOOKUP(A7,'PG Stats'!A:R,18,0),)</f>
        <v>1.413022641</v>
      </c>
      <c r="K7" s="678"/>
      <c r="L7" s="673" t="str">
        <f>'Halo Reach Stats'!$A7</f>
        <v>Beautytism</v>
      </c>
      <c r="M7" s="679" t="str">
        <f t="shared" ref="M7:U7" si="13">IF(B7&lt;=AA$21,"F-",IF(B7&lt;AA$20,"F",IF(B7&lt;AA$19,"F+",IF(B7&lt;AA$18,"E-",IF(B7&lt;AA$17,"E",IF(B7&lt;AA$16,"E+",IF(B7&lt;AA$15,"D-",IF(B7&lt;AA$14,"D",IF(B7&lt;AA$13,"D+",IF(B7&lt;AA$12,"C-",IF(B7&lt;AA$11,"C",IF(B7&lt;AA$10,"C+",IF(B7&lt;AA$9,"B-",IF(B7&lt;AA$8,"B",IF(B7&lt;AA$7,"B+",IF(B7&lt;AA$6,"A-",IF(B7&lt;AA$5,"A",IF(B7&lt;AA$4,"A+",IF(B7&lt;AA$3,"S-",IF(B7&lt;AA$2,"S","S+"))))))))))))))))))))</f>
        <v>F+</v>
      </c>
      <c r="N7" s="679" t="str">
        <f t="shared" si="13"/>
        <v>A+</v>
      </c>
      <c r="O7" s="679" t="str">
        <f t="shared" si="13"/>
        <v>A-</v>
      </c>
      <c r="P7" s="679" t="str">
        <f t="shared" si="13"/>
        <v>A</v>
      </c>
      <c r="Q7" s="679" t="str">
        <f t="shared" si="13"/>
        <v>D+</v>
      </c>
      <c r="R7" s="679" t="str">
        <f t="shared" si="13"/>
        <v>D-</v>
      </c>
      <c r="S7" s="679" t="str">
        <f t="shared" si="13"/>
        <v>A+</v>
      </c>
      <c r="T7" s="679" t="str">
        <f t="shared" si="13"/>
        <v>S-</v>
      </c>
      <c r="U7" s="679" t="str">
        <f t="shared" si="13"/>
        <v>B</v>
      </c>
      <c r="V7" s="680" t="str">
        <f t="shared" si="4"/>
        <v>B+</v>
      </c>
      <c r="W7" s="681">
        <f t="shared" si="5"/>
        <v>23.55</v>
      </c>
      <c r="X7" s="696" t="s">
        <v>439</v>
      </c>
      <c r="Y7" s="697">
        <v>9.0</v>
      </c>
      <c r="Z7" s="698" t="s">
        <v>440</v>
      </c>
      <c r="AA7" s="691">
        <f t="shared" ref="AA7:AI7" si="14">PERCENTILE(B2:B55,0.75)</f>
        <v>0.2043976463</v>
      </c>
      <c r="AB7" s="691">
        <f t="shared" si="14"/>
        <v>0.2958588009</v>
      </c>
      <c r="AC7" s="691">
        <f t="shared" si="14"/>
        <v>0.1387935085</v>
      </c>
      <c r="AD7" s="691">
        <f t="shared" si="14"/>
        <v>0.06138223704</v>
      </c>
      <c r="AE7" s="691">
        <f t="shared" si="14"/>
        <v>0.4911395376</v>
      </c>
      <c r="AF7" s="691">
        <f t="shared" si="14"/>
        <v>0.09147723371</v>
      </c>
      <c r="AG7" s="691">
        <f t="shared" si="14"/>
        <v>0.03790948424</v>
      </c>
      <c r="AH7" s="691">
        <f t="shared" si="14"/>
        <v>0.5923000987</v>
      </c>
      <c r="AI7" s="691">
        <f t="shared" si="14"/>
        <v>1.457004677</v>
      </c>
    </row>
    <row r="8">
      <c r="A8" s="673" t="str">
        <f>'Halo Reach Stats'!$A8</f>
        <v>CaptainSev004</v>
      </c>
      <c r="B8" s="674">
        <f>IFERROR(VLOOKUP(A8,'PG Stats'!A:R,10,0),)</f>
        <v>0.01945945946</v>
      </c>
      <c r="C8" s="674">
        <f>IFERROR(VLOOKUP(A8,'PG Stats'!A:R,11,0),)</f>
        <v>-0.6259459459</v>
      </c>
      <c r="D8" s="675">
        <f>IFERROR(VLOOKUP(A8,'PG Stats'!A:R,12,0),)</f>
        <v>0.0972972973</v>
      </c>
      <c r="E8" s="675">
        <f>IFERROR(VLOOKUP(A8,'PG Stats'!A:R,13,0),)</f>
        <v>0.0227027027</v>
      </c>
      <c r="F8" s="675">
        <f>IFERROR(VLOOKUP(A8,'PG Stats'!A:R,14,0),)</f>
        <v>0.3275675676</v>
      </c>
      <c r="G8" s="676">
        <f>IFERROR(VLOOKUP(A8,'PG Stats'!A:R,15,0),)</f>
        <v>0.03567567568</v>
      </c>
      <c r="H8" s="676">
        <f>IFERROR(VLOOKUP(A8,'PG Stats'!A:R,16,0),)</f>
        <v>0.01945945946</v>
      </c>
      <c r="I8" s="676">
        <f>IFERROR(VLOOKUP(A8,'PG Stats'!A:R,17,0),)</f>
        <v>0.5221621622</v>
      </c>
      <c r="J8" s="677">
        <f>IFERROR(VLOOKUP(A8,'PG Stats'!A:R,18,0),)</f>
        <v>0.9118918919</v>
      </c>
      <c r="K8" s="678"/>
      <c r="L8" s="673" t="str">
        <f>'Halo Reach Stats'!$A8</f>
        <v>CaptainSev004</v>
      </c>
      <c r="M8" s="679" t="str">
        <f t="shared" ref="M8:U8" si="15">IF(B8&lt;=AA$21,"F-",IF(B8&lt;AA$20,"F",IF(B8&lt;AA$19,"F+",IF(B8&lt;AA$18,"E-",IF(B8&lt;AA$17,"E",IF(B8&lt;AA$16,"E+",IF(B8&lt;AA$15,"D-",IF(B8&lt;AA$14,"D",IF(B8&lt;AA$13,"D+",IF(B8&lt;AA$12,"C-",IF(B8&lt;AA$11,"C",IF(B8&lt;AA$10,"C+",IF(B8&lt;AA$9,"B-",IF(B8&lt;AA$8,"B",IF(B8&lt;AA$7,"B+",IF(B8&lt;AA$6,"A-",IF(B8&lt;AA$5,"A",IF(B8&lt;AA$4,"A+",IF(B8&lt;AA$3,"S-",IF(B8&lt;AA$2,"S","S+"))))))))))))))))))))</f>
        <v>E-</v>
      </c>
      <c r="N8" s="679" t="str">
        <f t="shared" si="15"/>
        <v>D-</v>
      </c>
      <c r="O8" s="679" t="str">
        <f t="shared" si="15"/>
        <v>C-</v>
      </c>
      <c r="P8" s="679" t="str">
        <f t="shared" si="15"/>
        <v>D-</v>
      </c>
      <c r="Q8" s="679" t="str">
        <f t="shared" si="15"/>
        <v>E+</v>
      </c>
      <c r="R8" s="679" t="str">
        <f t="shared" si="15"/>
        <v>F+</v>
      </c>
      <c r="S8" s="679" t="str">
        <f t="shared" si="15"/>
        <v>C</v>
      </c>
      <c r="T8" s="679" t="str">
        <f t="shared" si="15"/>
        <v>C</v>
      </c>
      <c r="U8" s="679" t="str">
        <f t="shared" si="15"/>
        <v>E-</v>
      </c>
      <c r="V8" s="680" t="str">
        <f t="shared" si="4"/>
        <v>E</v>
      </c>
      <c r="W8" s="681">
        <f t="shared" si="5"/>
        <v>13.3</v>
      </c>
      <c r="X8" s="692" t="s">
        <v>440</v>
      </c>
      <c r="Y8" s="693">
        <v>8.5</v>
      </c>
      <c r="Z8" s="699" t="s">
        <v>441</v>
      </c>
      <c r="AA8" s="700">
        <f t="shared" ref="AA8:AI8" si="16">PERCENTILE(B2:B55,0.7)</f>
        <v>0.1309342549</v>
      </c>
      <c r="AB8" s="700">
        <f t="shared" si="16"/>
        <v>0.1062125087</v>
      </c>
      <c r="AC8" s="700">
        <f t="shared" si="16"/>
        <v>0.1333645104</v>
      </c>
      <c r="AD8" s="700">
        <f t="shared" si="16"/>
        <v>0.05283408788</v>
      </c>
      <c r="AE8" s="700">
        <f t="shared" si="16"/>
        <v>0.4485686775</v>
      </c>
      <c r="AF8" s="700">
        <f t="shared" si="16"/>
        <v>0.08737196951</v>
      </c>
      <c r="AG8" s="700">
        <f t="shared" si="16"/>
        <v>0.03121077617</v>
      </c>
      <c r="AH8" s="700">
        <f t="shared" si="16"/>
        <v>0.5832899313</v>
      </c>
      <c r="AI8" s="700">
        <f t="shared" si="16"/>
        <v>1.419660954</v>
      </c>
    </row>
    <row r="9">
      <c r="A9" s="673" t="str">
        <f>'Halo Reach Stats'!$A9</f>
        <v>Cell x2</v>
      </c>
      <c r="B9" s="674">
        <f>IFERROR(VLOOKUP(A9,'PG Stats'!A:R,10,0),)</f>
        <v>0.1241819097</v>
      </c>
      <c r="C9" s="674">
        <f>IFERROR(VLOOKUP(A9,'PG Stats'!A:R,11,0),)</f>
        <v>-0.2315824803</v>
      </c>
      <c r="D9" s="675">
        <f>IFERROR(VLOOKUP(A9,'PG Stats'!A:R,12,0),)</f>
        <v>0.1241819097</v>
      </c>
      <c r="E9" s="675">
        <f>IFERROR(VLOOKUP(A9,'PG Stats'!A:R,13,0),)</f>
        <v>0.03020641047</v>
      </c>
      <c r="F9" s="675">
        <f>IFERROR(VLOOKUP(A9,'PG Stats'!A:R,14,0),)</f>
        <v>0.4430273536</v>
      </c>
      <c r="G9" s="676">
        <f>IFERROR(VLOOKUP(A9,'PG Stats'!A:R,15,0),)</f>
        <v>0.08726296358</v>
      </c>
      <c r="H9" s="676">
        <f>IFERROR(VLOOKUP(A9,'PG Stats'!A:R,16,0),)</f>
        <v>0.02013760698</v>
      </c>
      <c r="I9" s="676">
        <f>IFERROR(VLOOKUP(A9,'PG Stats'!A:R,17,0),)</f>
        <v>0.6108407451</v>
      </c>
      <c r="J9" s="677">
        <f>IFERROR(VLOOKUP(A9,'PG Stats'!A:R,18,0),)</f>
        <v>1.362476926</v>
      </c>
      <c r="K9" s="678"/>
      <c r="L9" s="673" t="str">
        <f>'Halo Reach Stats'!$A9</f>
        <v>Cell x2</v>
      </c>
      <c r="M9" s="679" t="str">
        <f t="shared" ref="M9:U9" si="17">IF(B9&lt;=AA$21,"F-",IF(B9&lt;AA$20,"F",IF(B9&lt;AA$19,"F+",IF(B9&lt;AA$18,"E-",IF(B9&lt;AA$17,"E",IF(B9&lt;AA$16,"E+",IF(B9&lt;AA$15,"D-",IF(B9&lt;AA$14,"D",IF(B9&lt;AA$13,"D+",IF(B9&lt;AA$12,"C-",IF(B9&lt;AA$11,"C",IF(B9&lt;AA$10,"C+",IF(B9&lt;AA$9,"B-",IF(B9&lt;AA$8,"B",IF(B9&lt;AA$7,"B+",IF(B9&lt;AA$6,"A-",IF(B9&lt;AA$5,"A",IF(B9&lt;AA$4,"A+",IF(B9&lt;AA$3,"S-",IF(B9&lt;AA$2,"S","S+"))))))))))))))))))))</f>
        <v>B</v>
      </c>
      <c r="N9" s="679" t="str">
        <f t="shared" si="17"/>
        <v>C+</v>
      </c>
      <c r="O9" s="679" t="str">
        <f t="shared" si="17"/>
        <v>B-</v>
      </c>
      <c r="P9" s="679" t="str">
        <f t="shared" si="17"/>
        <v>C</v>
      </c>
      <c r="Q9" s="679" t="str">
        <f t="shared" si="17"/>
        <v>B</v>
      </c>
      <c r="R9" s="679" t="str">
        <f t="shared" si="17"/>
        <v>B</v>
      </c>
      <c r="S9" s="679" t="str">
        <f t="shared" si="17"/>
        <v>C+</v>
      </c>
      <c r="T9" s="679" t="str">
        <f t="shared" si="17"/>
        <v>A-</v>
      </c>
      <c r="U9" s="679" t="str">
        <f t="shared" si="17"/>
        <v>B</v>
      </c>
      <c r="V9" s="680" t="str">
        <f t="shared" si="4"/>
        <v>A-</v>
      </c>
      <c r="W9" s="681">
        <f t="shared" si="5"/>
        <v>24.8</v>
      </c>
      <c r="X9" s="701" t="s">
        <v>441</v>
      </c>
      <c r="Y9" s="702">
        <v>8.0</v>
      </c>
      <c r="Z9" s="703" t="s">
        <v>442</v>
      </c>
      <c r="AA9" s="704">
        <f t="shared" ref="AA9:AI9" si="18">PERCENTILE(B2:B55,0.65)</f>
        <v>0.06643178885</v>
      </c>
      <c r="AB9" s="704">
        <f t="shared" si="18"/>
        <v>-0.01801992243</v>
      </c>
      <c r="AC9" s="704">
        <f t="shared" si="18"/>
        <v>0.1270364176</v>
      </c>
      <c r="AD9" s="704">
        <f t="shared" si="18"/>
        <v>0.04760518806</v>
      </c>
      <c r="AE9" s="704">
        <f t="shared" si="18"/>
        <v>0.4376769288</v>
      </c>
      <c r="AF9" s="704">
        <f t="shared" si="18"/>
        <v>0.08180710264</v>
      </c>
      <c r="AG9" s="704">
        <f t="shared" si="18"/>
        <v>0.02592408564</v>
      </c>
      <c r="AH9" s="704">
        <f t="shared" si="18"/>
        <v>0.5685696094</v>
      </c>
      <c r="AI9" s="704">
        <f t="shared" si="18"/>
        <v>1.35596415</v>
      </c>
    </row>
    <row r="10">
      <c r="A10" s="673" t="str">
        <f>'Halo Reach Stats'!$A10</f>
        <v>Dhlyn</v>
      </c>
      <c r="B10" s="674">
        <f>IFERROR(VLOOKUP(A10,'PG Stats'!A:R,10,0),)</f>
        <v>0.6701124083</v>
      </c>
      <c r="C10" s="674">
        <f>IFERROR(VLOOKUP(A10,'PG Stats'!A:R,11,0),)</f>
        <v>0.2992735027</v>
      </c>
      <c r="D10" s="675">
        <f>IFERROR(VLOOKUP(A10,'PG Stats'!A:R,12,0),)</f>
        <v>0.05638486283</v>
      </c>
      <c r="E10" s="675">
        <f>IFERROR(VLOOKUP(A10,'PG Stats'!A:R,13,0),)</f>
        <v>0.08023999711</v>
      </c>
      <c r="F10" s="675">
        <f>IFERROR(VLOOKUP(A10,'PG Stats'!A:R,14,0),)</f>
        <v>0.3795134998</v>
      </c>
      <c r="G10" s="676">
        <f>IFERROR(VLOOKUP(A10,'PG Stats'!A:R,15,0),)</f>
        <v>0.06722810569</v>
      </c>
      <c r="H10" s="676">
        <f>IFERROR(VLOOKUP(A10,'PG Stats'!A:R,16,0),)</f>
        <v>0.01734918856</v>
      </c>
      <c r="I10" s="676">
        <f>IFERROR(VLOOKUP(A10,'PG Stats'!A:R,17,0),)</f>
        <v>0.5204756569</v>
      </c>
      <c r="J10" s="677">
        <f>IFERROR(VLOOKUP(A10,'PG Stats'!A:R,18,0),)</f>
        <v>1.510712486</v>
      </c>
      <c r="K10" s="678"/>
      <c r="L10" s="673" t="str">
        <f>'Halo Reach Stats'!$A10</f>
        <v>Dhlyn</v>
      </c>
      <c r="M10" s="679" t="str">
        <f t="shared" ref="M10:U10" si="19">IF(B10&lt;=AA$21,"F-",IF(B10&lt;AA$20,"F",IF(B10&lt;AA$19,"F+",IF(B10&lt;AA$18,"E-",IF(B10&lt;AA$17,"E",IF(B10&lt;AA$16,"E+",IF(B10&lt;AA$15,"D-",IF(B10&lt;AA$14,"D",IF(B10&lt;AA$13,"D+",IF(B10&lt;AA$12,"C-",IF(B10&lt;AA$11,"C",IF(B10&lt;AA$10,"C+",IF(B10&lt;AA$9,"B-",IF(B10&lt;AA$8,"B",IF(B10&lt;AA$7,"B+",IF(B10&lt;AA$6,"A-",IF(B10&lt;AA$5,"A",IF(B10&lt;AA$4,"A+",IF(B10&lt;AA$3,"S-",IF(B10&lt;AA$2,"S","S+"))))))))))))))))))))</f>
        <v>S</v>
      </c>
      <c r="N10" s="679" t="str">
        <f t="shared" si="19"/>
        <v>A-</v>
      </c>
      <c r="O10" s="679" t="str">
        <f t="shared" si="19"/>
        <v>F+</v>
      </c>
      <c r="P10" s="679" t="str">
        <f t="shared" si="19"/>
        <v>A+</v>
      </c>
      <c r="Q10" s="679" t="str">
        <f t="shared" si="19"/>
        <v>C</v>
      </c>
      <c r="R10" s="679" t="str">
        <f t="shared" si="19"/>
        <v>C-</v>
      </c>
      <c r="S10" s="679" t="str">
        <f t="shared" si="19"/>
        <v>D</v>
      </c>
      <c r="T10" s="679" t="str">
        <f t="shared" si="19"/>
        <v>D+</v>
      </c>
      <c r="U10" s="679" t="str">
        <f t="shared" si="19"/>
        <v>A</v>
      </c>
      <c r="V10" s="680" t="str">
        <f t="shared" si="4"/>
        <v>B-</v>
      </c>
      <c r="W10" s="681">
        <f t="shared" si="5"/>
        <v>22.05</v>
      </c>
      <c r="X10" s="705" t="s">
        <v>443</v>
      </c>
      <c r="Y10" s="706">
        <v>7.5</v>
      </c>
      <c r="Z10" s="707" t="s">
        <v>444</v>
      </c>
      <c r="AA10" s="700">
        <f t="shared" ref="AA10:AI10" si="20">PERCENTILE(B2:B55,0.6)</f>
        <v>0.05223956975</v>
      </c>
      <c r="AB10" s="700">
        <f t="shared" si="20"/>
        <v>-0.1070789963</v>
      </c>
      <c r="AC10" s="700">
        <f t="shared" si="20"/>
        <v>0.1206173198</v>
      </c>
      <c r="AD10" s="700">
        <f t="shared" si="20"/>
        <v>0.04362235041</v>
      </c>
      <c r="AE10" s="700">
        <f t="shared" si="20"/>
        <v>0.4294665167</v>
      </c>
      <c r="AF10" s="700">
        <f t="shared" si="20"/>
        <v>0.07486458581</v>
      </c>
      <c r="AG10" s="700">
        <f t="shared" si="20"/>
        <v>0.02222661056</v>
      </c>
      <c r="AH10" s="700">
        <f t="shared" si="20"/>
        <v>0.5450603902</v>
      </c>
      <c r="AI10" s="700">
        <f t="shared" si="20"/>
        <v>1.322917447</v>
      </c>
    </row>
    <row r="11">
      <c r="A11" s="673" t="str">
        <f>'Halo Reach Stats'!$A11</f>
        <v>Dior Glori</v>
      </c>
      <c r="B11" s="674">
        <f>IFERROR(VLOOKUP(A11,'PG Stats'!A:R,10,0),)</f>
        <v>0.1579436358</v>
      </c>
      <c r="C11" s="674">
        <f>IFERROR(VLOOKUP(A11,'PG Stats'!A:R,11,0),)</f>
        <v>-0.3964075565</v>
      </c>
      <c r="D11" s="675">
        <f>IFERROR(VLOOKUP(A11,'PG Stats'!A:R,12,0),)</f>
        <v>0.1331681635</v>
      </c>
      <c r="E11" s="675">
        <f>IFERROR(VLOOKUP(A11,'PG Stats'!A:R,13,0),)</f>
        <v>0.02477547228</v>
      </c>
      <c r="F11" s="675">
        <f>IFERROR(VLOOKUP(A11,'PG Stats'!A:R,14,0),)</f>
        <v>0.3313719418</v>
      </c>
      <c r="G11" s="676">
        <f>IFERROR(VLOOKUP(A11,'PG Stats'!A:R,15,0),)</f>
        <v>0.04026014246</v>
      </c>
      <c r="H11" s="676">
        <f>IFERROR(VLOOKUP(A11,'PG Stats'!A:R,16,0),)</f>
        <v>0.01548467018</v>
      </c>
      <c r="I11" s="676">
        <f>IFERROR(VLOOKUP(A11,'PG Stats'!A:R,17,0),)</f>
        <v>0.5357695881</v>
      </c>
      <c r="J11" s="677">
        <f>IFERROR(VLOOKUP(A11,'PG Stats'!A:R,18,0),)</f>
        <v>0.9678361279</v>
      </c>
      <c r="K11" s="678"/>
      <c r="L11" s="673" t="str">
        <f>'Halo Reach Stats'!$A11</f>
        <v>Dior Glori</v>
      </c>
      <c r="M11" s="679" t="str">
        <f t="shared" ref="M11:U11" si="21">IF(B11&lt;=AA$21,"F-",IF(B11&lt;AA$20,"F",IF(B11&lt;AA$19,"F+",IF(B11&lt;AA$18,"E-",IF(B11&lt;AA$17,"E",IF(B11&lt;AA$16,"E+",IF(B11&lt;AA$15,"D-",IF(B11&lt;AA$14,"D",IF(B11&lt;AA$13,"D+",IF(B11&lt;AA$12,"C-",IF(B11&lt;AA$11,"C",IF(B11&lt;AA$10,"C+",IF(B11&lt;AA$9,"B-",IF(B11&lt;AA$8,"B",IF(B11&lt;AA$7,"B+",IF(B11&lt;AA$6,"A-",IF(B11&lt;AA$5,"A",IF(B11&lt;AA$4,"A+",IF(B11&lt;AA$3,"S-",IF(B11&lt;AA$2,"S","S+"))))))))))))))))))))</f>
        <v>B+</v>
      </c>
      <c r="N11" s="679" t="str">
        <f t="shared" si="21"/>
        <v>D+</v>
      </c>
      <c r="O11" s="679" t="str">
        <f t="shared" si="21"/>
        <v>B</v>
      </c>
      <c r="P11" s="679" t="str">
        <f t="shared" si="21"/>
        <v>D</v>
      </c>
      <c r="Q11" s="679" t="str">
        <f t="shared" si="21"/>
        <v>D-</v>
      </c>
      <c r="R11" s="679" t="str">
        <f t="shared" si="21"/>
        <v>E-</v>
      </c>
      <c r="S11" s="679" t="str">
        <f t="shared" si="21"/>
        <v>D-</v>
      </c>
      <c r="T11" s="679" t="str">
        <f t="shared" si="21"/>
        <v>C+</v>
      </c>
      <c r="U11" s="679" t="str">
        <f t="shared" si="21"/>
        <v>E</v>
      </c>
      <c r="V11" s="680" t="str">
        <f t="shared" si="4"/>
        <v>D+</v>
      </c>
      <c r="W11" s="681">
        <f t="shared" si="5"/>
        <v>17.35</v>
      </c>
      <c r="X11" s="701" t="s">
        <v>444</v>
      </c>
      <c r="Y11" s="702">
        <v>7.0</v>
      </c>
      <c r="Z11" s="708" t="s">
        <v>445</v>
      </c>
      <c r="AA11" s="709">
        <f t="shared" ref="AA11:AI11" si="22">PERCENTILE(B2:B55,0.55)</f>
        <v>0.04411319599</v>
      </c>
      <c r="AB11" s="709">
        <f t="shared" si="22"/>
        <v>-0.2497262914</v>
      </c>
      <c r="AC11" s="709">
        <f t="shared" si="22"/>
        <v>0.1171881201</v>
      </c>
      <c r="AD11" s="709">
        <f t="shared" si="22"/>
        <v>0.03981875827</v>
      </c>
      <c r="AE11" s="709">
        <f t="shared" si="22"/>
        <v>0.4054235749</v>
      </c>
      <c r="AF11" s="709">
        <f t="shared" si="22"/>
        <v>0.07060909695</v>
      </c>
      <c r="AG11" s="709">
        <f t="shared" si="22"/>
        <v>0.02008173888</v>
      </c>
      <c r="AH11" s="709">
        <f t="shared" si="22"/>
        <v>0.531530478</v>
      </c>
      <c r="AI11" s="709">
        <f t="shared" si="22"/>
        <v>1.289786194</v>
      </c>
    </row>
    <row r="12">
      <c r="A12" s="673" t="str">
        <f>'Halo Reach Stats'!$A12</f>
        <v>DlGITAL PAIN</v>
      </c>
      <c r="B12" s="674">
        <f>IFERROR(VLOOKUP(A12,'PG Stats'!A:R,10,0),)</f>
        <v>0.03102004239</v>
      </c>
      <c r="C12" s="674">
        <f>IFERROR(VLOOKUP(A12,'PG Stats'!A:R,11,0),)</f>
        <v>0.8003170938</v>
      </c>
      <c r="D12" s="675">
        <f>IFERROR(VLOOKUP(A12,'PG Stats'!A:R,12,0),)</f>
        <v>0.1313181795</v>
      </c>
      <c r="E12" s="675">
        <f>IFERROR(VLOOKUP(A12,'PG Stats'!A:R,13,0),)</f>
        <v>0.09512813001</v>
      </c>
      <c r="F12" s="675">
        <f>IFERROR(VLOOKUP(A12,'PG Stats'!A:R,14,0),)</f>
        <v>0.6555568959</v>
      </c>
      <c r="G12" s="676">
        <f>IFERROR(VLOOKUP(A12,'PG Stats'!A:R,15,0),)</f>
        <v>0.1178761611</v>
      </c>
      <c r="H12" s="676">
        <f>IFERROR(VLOOKUP(A12,'PG Stats'!A:R,16,0),)</f>
        <v>0.08582211729</v>
      </c>
      <c r="I12" s="676">
        <f>IFERROR(VLOOKUP(A12,'PG Stats'!A:R,17,0),)</f>
        <v>0.7568890344</v>
      </c>
      <c r="J12" s="677">
        <f>IFERROR(VLOOKUP(A12,'PG Stats'!A:R,18,0),)</f>
        <v>1.59370925</v>
      </c>
      <c r="K12" s="678"/>
      <c r="L12" s="673" t="str">
        <f>'Halo Reach Stats'!$A12</f>
        <v>DlGITAL PAIN</v>
      </c>
      <c r="M12" s="679" t="str">
        <f t="shared" ref="M12:U12" si="23">IF(B12&lt;=AA$21,"F-",IF(B12&lt;AA$20,"F",IF(B12&lt;AA$19,"F+",IF(B12&lt;AA$18,"E-",IF(B12&lt;AA$17,"E",IF(B12&lt;AA$16,"E+",IF(B12&lt;AA$15,"D-",IF(B12&lt;AA$14,"D",IF(B12&lt;AA$13,"D+",IF(B12&lt;AA$12,"C-",IF(B12&lt;AA$11,"C",IF(B12&lt;AA$10,"C+",IF(B12&lt;AA$9,"B-",IF(B12&lt;AA$8,"B",IF(B12&lt;AA$7,"B+",IF(B12&lt;AA$6,"A-",IF(B12&lt;AA$5,"A",IF(B12&lt;AA$4,"A+",IF(B12&lt;AA$3,"S-",IF(B12&lt;AA$2,"S","S+"))))))))))))))))))))</f>
        <v>D+</v>
      </c>
      <c r="N12" s="679" t="str">
        <f t="shared" si="23"/>
        <v>S</v>
      </c>
      <c r="O12" s="679" t="str">
        <f t="shared" si="23"/>
        <v>B</v>
      </c>
      <c r="P12" s="679" t="str">
        <f t="shared" si="23"/>
        <v>S-</v>
      </c>
      <c r="Q12" s="679" t="str">
        <f t="shared" si="23"/>
        <v>S</v>
      </c>
      <c r="R12" s="679" t="str">
        <f t="shared" si="23"/>
        <v>S-</v>
      </c>
      <c r="S12" s="679" t="str">
        <f t="shared" si="23"/>
        <v>S</v>
      </c>
      <c r="T12" s="679" t="str">
        <f t="shared" si="23"/>
        <v>S+</v>
      </c>
      <c r="U12" s="679" t="str">
        <f t="shared" si="23"/>
        <v>S-</v>
      </c>
      <c r="V12" s="680" t="str">
        <f t="shared" si="4"/>
        <v>S</v>
      </c>
      <c r="W12" s="681">
        <f t="shared" si="5"/>
        <v>32.05</v>
      </c>
      <c r="X12" s="710" t="s">
        <v>445</v>
      </c>
      <c r="Y12" s="711">
        <v>6.5</v>
      </c>
      <c r="Z12" s="712" t="s">
        <v>446</v>
      </c>
      <c r="AA12" s="713">
        <f t="shared" ref="AA12:AI12" si="24">PERCENTILE(B2:B55,0.5)</f>
        <v>0.03520713531</v>
      </c>
      <c r="AB12" s="713">
        <f t="shared" si="24"/>
        <v>-0.33638527</v>
      </c>
      <c r="AC12" s="713">
        <f t="shared" si="24"/>
        <v>0.109123977</v>
      </c>
      <c r="AD12" s="713">
        <f t="shared" si="24"/>
        <v>0.03020641047</v>
      </c>
      <c r="AE12" s="713">
        <f t="shared" si="24"/>
        <v>0.3795134998</v>
      </c>
      <c r="AF12" s="713">
        <f t="shared" si="24"/>
        <v>0.07026995374</v>
      </c>
      <c r="AG12" s="713">
        <f t="shared" si="24"/>
        <v>0.01945945946</v>
      </c>
      <c r="AH12" s="713">
        <f t="shared" si="24"/>
        <v>0.5221621622</v>
      </c>
      <c r="AI12" s="713">
        <f t="shared" si="24"/>
        <v>1.213595235</v>
      </c>
    </row>
    <row r="13">
      <c r="A13" s="673" t="str">
        <f>'Halo Reach Stats'!$A13</f>
        <v>Doerstopper</v>
      </c>
      <c r="B13" s="674">
        <f>IFERROR(VLOOKUP(A13,'PG Stats'!A:R,10,0),)</f>
        <v>0.3411028994</v>
      </c>
      <c r="C13" s="674">
        <f>IFERROR(VLOOKUP(A13,'PG Stats'!A:R,11,0),)</f>
        <v>-1.093324556</v>
      </c>
      <c r="D13" s="675">
        <f>IFERROR(VLOOKUP(A13,'PG Stats'!A:R,12,0),)</f>
        <v>0.02513389785</v>
      </c>
      <c r="E13" s="675">
        <f>IFERROR(VLOOKUP(A13,'PG Stats'!A:R,13,0),)</f>
        <v>0.01077167051</v>
      </c>
      <c r="F13" s="675">
        <f>IFERROR(VLOOKUP(A13,'PG Stats'!A:R,14,0),)</f>
        <v>0.1741420065</v>
      </c>
      <c r="G13" s="676">
        <f>IFERROR(VLOOKUP(A13,'PG Stats'!A:R,15,0),)</f>
        <v>0.01077167051</v>
      </c>
      <c r="H13" s="676">
        <f>IFERROR(VLOOKUP(A13,'PG Stats'!A:R,16,0),)</f>
        <v>0</v>
      </c>
      <c r="I13" s="676">
        <f>IFERROR(VLOOKUP(A13,'PG Stats'!A:R,17,0),)</f>
        <v>0.3177642799</v>
      </c>
      <c r="J13" s="677">
        <f>IFERROR(VLOOKUP(A13,'PG Stats'!A:R,18,0),)</f>
        <v>1.033997645</v>
      </c>
      <c r="K13" s="678"/>
      <c r="L13" s="673" t="str">
        <f>'Halo Reach Stats'!$A13</f>
        <v>Doerstopper</v>
      </c>
      <c r="M13" s="679" t="str">
        <f t="shared" ref="M13:U13" si="25">IF(B13&lt;=AA$21,"F-",IF(B13&lt;AA$20,"F",IF(B13&lt;AA$19,"F+",IF(B13&lt;AA$18,"E-",IF(B13&lt;AA$17,"E",IF(B13&lt;AA$16,"E+",IF(B13&lt;AA$15,"D-",IF(B13&lt;AA$14,"D",IF(B13&lt;AA$13,"D+",IF(B13&lt;AA$12,"C-",IF(B13&lt;AA$11,"C",IF(B13&lt;AA$10,"C+",IF(B13&lt;AA$9,"B-",IF(B13&lt;AA$8,"B",IF(B13&lt;AA$7,"B+",IF(B13&lt;AA$6,"A-",IF(B13&lt;AA$5,"A",IF(B13&lt;AA$4,"A+",IF(B13&lt;AA$3,"S-",IF(B13&lt;AA$2,"S","S+"))))))))))))))))))))</f>
        <v>A</v>
      </c>
      <c r="N13" s="679" t="str">
        <f t="shared" si="25"/>
        <v>F</v>
      </c>
      <c r="O13" s="679" t="str">
        <f t="shared" si="25"/>
        <v>F-</v>
      </c>
      <c r="P13" s="679" t="str">
        <f t="shared" si="25"/>
        <v>F+</v>
      </c>
      <c r="Q13" s="679" t="str">
        <f t="shared" si="25"/>
        <v>F-</v>
      </c>
      <c r="R13" s="679" t="str">
        <f t="shared" si="25"/>
        <v>F-</v>
      </c>
      <c r="S13" s="679" t="str">
        <f t="shared" si="25"/>
        <v>F-</v>
      </c>
      <c r="T13" s="679" t="str">
        <f t="shared" si="25"/>
        <v>F</v>
      </c>
      <c r="U13" s="679" t="str">
        <f t="shared" si="25"/>
        <v>E+</v>
      </c>
      <c r="V13" s="680" t="str">
        <f t="shared" si="4"/>
        <v>F-</v>
      </c>
      <c r="W13" s="681">
        <f t="shared" si="5"/>
        <v>7.8</v>
      </c>
      <c r="X13" s="714" t="s">
        <v>447</v>
      </c>
      <c r="Y13" s="715">
        <v>6.0</v>
      </c>
      <c r="Z13" s="716" t="s">
        <v>448</v>
      </c>
      <c r="AA13" s="709">
        <f t="shared" ref="AA13:AI13" si="26">PERCENTILE(B2:B55,0.45)</f>
        <v>0.03324982547</v>
      </c>
      <c r="AB13" s="709">
        <f t="shared" si="26"/>
        <v>-0.388691448</v>
      </c>
      <c r="AC13" s="709">
        <f t="shared" si="26"/>
        <v>0.09634647306</v>
      </c>
      <c r="AD13" s="709">
        <f t="shared" si="26"/>
        <v>0.02812146025</v>
      </c>
      <c r="AE13" s="709">
        <f t="shared" si="26"/>
        <v>0.3653154157</v>
      </c>
      <c r="AF13" s="709">
        <f t="shared" si="26"/>
        <v>0.06202334912</v>
      </c>
      <c r="AG13" s="709">
        <f t="shared" si="26"/>
        <v>0.01882363508</v>
      </c>
      <c r="AH13" s="709">
        <f t="shared" si="26"/>
        <v>0.5206276298</v>
      </c>
      <c r="AI13" s="709">
        <f t="shared" si="26"/>
        <v>1.194612234</v>
      </c>
    </row>
    <row r="14">
      <c r="A14" s="673" t="str">
        <f>'Halo Reach Stats'!$A14</f>
        <v>EllisGotMyPills</v>
      </c>
      <c r="B14" s="674">
        <f>IFERROR(VLOOKUP(A14,'PG Stats'!A:R,10,0),)</f>
        <v>0.6590663227</v>
      </c>
      <c r="C14" s="674">
        <f>IFERROR(VLOOKUP(A14,'PG Stats'!A:R,11,0),)</f>
        <v>0.4460347841</v>
      </c>
      <c r="D14" s="675">
        <f>IFERROR(VLOOKUP(A14,'PG Stats'!A:R,12,0),)</f>
        <v>0.02829325123</v>
      </c>
      <c r="E14" s="675">
        <f>IFERROR(VLOOKUP(A14,'PG Stats'!A:R,13,0),)</f>
        <v>0.05991512025</v>
      </c>
      <c r="F14" s="675">
        <f>IFERROR(VLOOKUP(A14,'PG Stats'!A:R,14,0),)</f>
        <v>0.191395523</v>
      </c>
      <c r="G14" s="676">
        <f>IFERROR(VLOOKUP(A14,'PG Stats'!A:R,15,0),)</f>
        <v>0.02496463344</v>
      </c>
      <c r="H14" s="676">
        <f>IFERROR(VLOOKUP(A14,'PG Stats'!A:R,16,0),)</f>
        <v>0.009985853374</v>
      </c>
      <c r="I14" s="676">
        <f>IFERROR(VLOOKUP(A14,'PG Stats'!A:R,17,0),)</f>
        <v>0.4693351086</v>
      </c>
      <c r="J14" s="677">
        <f>IFERROR(VLOOKUP(A14,'PG Stats'!A:R,18,0),)</f>
        <v>1.194724141</v>
      </c>
      <c r="K14" s="678"/>
      <c r="L14" s="673" t="str">
        <f>'Halo Reach Stats'!$A14</f>
        <v>EllisGotMyPills</v>
      </c>
      <c r="M14" s="679" t="str">
        <f t="shared" ref="M14:U14" si="27">IF(B14&lt;=AA$21,"F-",IF(B14&lt;AA$20,"F",IF(B14&lt;AA$19,"F+",IF(B14&lt;AA$18,"E-",IF(B14&lt;AA$17,"E",IF(B14&lt;AA$16,"E+",IF(B14&lt;AA$15,"D-",IF(B14&lt;AA$14,"D",IF(B14&lt;AA$13,"D+",IF(B14&lt;AA$12,"C-",IF(B14&lt;AA$11,"C",IF(B14&lt;AA$10,"C+",IF(B14&lt;AA$9,"B-",IF(B14&lt;AA$8,"B",IF(B14&lt;AA$7,"B+",IF(B14&lt;AA$6,"A-",IF(B14&lt;AA$5,"A",IF(B14&lt;AA$4,"A+",IF(B14&lt;AA$3,"S-",IF(B14&lt;AA$2,"S","S+"))))))))))))))))))))</f>
        <v>S-</v>
      </c>
      <c r="N14" s="679" t="str">
        <f t="shared" si="27"/>
        <v>A+</v>
      </c>
      <c r="O14" s="679" t="str">
        <f t="shared" si="27"/>
        <v>F-</v>
      </c>
      <c r="P14" s="679" t="str">
        <f t="shared" si="27"/>
        <v>B+</v>
      </c>
      <c r="Q14" s="679" t="str">
        <f t="shared" si="27"/>
        <v>F</v>
      </c>
      <c r="R14" s="679" t="str">
        <f t="shared" si="27"/>
        <v>F</v>
      </c>
      <c r="S14" s="679" t="str">
        <f t="shared" si="27"/>
        <v>E+</v>
      </c>
      <c r="T14" s="679" t="str">
        <f t="shared" si="27"/>
        <v>E</v>
      </c>
      <c r="U14" s="679" t="str">
        <f t="shared" si="27"/>
        <v>C-</v>
      </c>
      <c r="V14" s="680" t="str">
        <f t="shared" si="4"/>
        <v>D</v>
      </c>
      <c r="W14" s="681">
        <f t="shared" si="5"/>
        <v>15.55</v>
      </c>
      <c r="X14" s="710" t="s">
        <v>448</v>
      </c>
      <c r="Y14" s="711">
        <v>5.5</v>
      </c>
      <c r="Z14" s="717" t="s">
        <v>449</v>
      </c>
      <c r="AA14" s="718">
        <f t="shared" ref="AA14:AI14" si="28">PERCENTILE(B2:B55,0.4)</f>
        <v>0.03093349939</v>
      </c>
      <c r="AB14" s="718">
        <f t="shared" si="28"/>
        <v>-0.4097962061</v>
      </c>
      <c r="AC14" s="718">
        <f t="shared" si="28"/>
        <v>0.09162602641</v>
      </c>
      <c r="AD14" s="718">
        <f t="shared" si="28"/>
        <v>0.02599745777</v>
      </c>
      <c r="AE14" s="718">
        <f t="shared" si="28"/>
        <v>0.3574110991</v>
      </c>
      <c r="AF14" s="718">
        <f t="shared" si="28"/>
        <v>0.05747192397</v>
      </c>
      <c r="AG14" s="718">
        <f t="shared" si="28"/>
        <v>0.01752332712</v>
      </c>
      <c r="AH14" s="718">
        <f t="shared" si="28"/>
        <v>0.5145161215</v>
      </c>
      <c r="AI14" s="718">
        <f t="shared" si="28"/>
        <v>1.15375608</v>
      </c>
    </row>
    <row r="15">
      <c r="A15" s="673" t="str">
        <f>'Halo Reach Stats'!$A15</f>
        <v>Finesse God24</v>
      </c>
      <c r="B15" s="674">
        <f>IFERROR(VLOOKUP(A15,'PG Stats'!A:R,10,0),)</f>
        <v>0.03304571324</v>
      </c>
      <c r="C15" s="674">
        <f>IFERROR(VLOOKUP(A15,'PG Stats'!A:R,11,0),)</f>
        <v>-0.605838076</v>
      </c>
      <c r="D15" s="675">
        <f>IFERROR(VLOOKUP(A15,'PG Stats'!A:R,12,0),)</f>
        <v>0.1211676152</v>
      </c>
      <c r="E15" s="675">
        <f>IFERROR(VLOOKUP(A15,'PG Stats'!A:R,13,0),)</f>
        <v>0</v>
      </c>
      <c r="F15" s="675">
        <f>IFERROR(VLOOKUP(A15,'PG Stats'!A:R,14,0),)</f>
        <v>0.4075637966</v>
      </c>
      <c r="G15" s="676">
        <f>IFERROR(VLOOKUP(A15,'PG Stats'!A:R,15,0),)</f>
        <v>0.04406095098</v>
      </c>
      <c r="H15" s="676">
        <f>IFERROR(VLOOKUP(A15,'PG Stats'!A:R,16,0),)</f>
        <v>0</v>
      </c>
      <c r="I15" s="676">
        <f>IFERROR(VLOOKUP(A15,'PG Stats'!A:R,17,0),)</f>
        <v>0.4185790343</v>
      </c>
      <c r="J15" s="677">
        <f>IFERROR(VLOOKUP(A15,'PG Stats'!A:R,18,0),)</f>
        <v>0.9635028456</v>
      </c>
      <c r="K15" s="678"/>
      <c r="L15" s="673" t="str">
        <f>'Halo Reach Stats'!$A15</f>
        <v>Finesse God24</v>
      </c>
      <c r="M15" s="679" t="str">
        <f t="shared" ref="M15:U15" si="29">IF(B15&lt;=AA$21,"F-",IF(B15&lt;AA$20,"F",IF(B15&lt;AA$19,"F+",IF(B15&lt;AA$18,"E-",IF(B15&lt;AA$17,"E",IF(B15&lt;AA$16,"E+",IF(B15&lt;AA$15,"D-",IF(B15&lt;AA$14,"D",IF(B15&lt;AA$13,"D+",IF(B15&lt;AA$12,"C-",IF(B15&lt;AA$11,"C",IF(B15&lt;AA$10,"C+",IF(B15&lt;AA$9,"B-",IF(B15&lt;AA$8,"B",IF(B15&lt;AA$7,"B+",IF(B15&lt;AA$6,"A-",IF(B15&lt;AA$5,"A",IF(B15&lt;AA$4,"A+",IF(B15&lt;AA$3,"S-",IF(B15&lt;AA$2,"S","S+"))))))))))))))))))))</f>
        <v>D+</v>
      </c>
      <c r="N15" s="679" t="str">
        <f t="shared" si="29"/>
        <v>D</v>
      </c>
      <c r="O15" s="679" t="str">
        <f t="shared" si="29"/>
        <v>B-</v>
      </c>
      <c r="P15" s="679" t="str">
        <f t="shared" si="29"/>
        <v>F-</v>
      </c>
      <c r="Q15" s="679" t="str">
        <f t="shared" si="29"/>
        <v>C+</v>
      </c>
      <c r="R15" s="679" t="str">
        <f t="shared" si="29"/>
        <v>E+</v>
      </c>
      <c r="S15" s="679" t="str">
        <f t="shared" si="29"/>
        <v>F-</v>
      </c>
      <c r="T15" s="679" t="str">
        <f t="shared" si="29"/>
        <v>F+</v>
      </c>
      <c r="U15" s="679" t="str">
        <f t="shared" si="29"/>
        <v>E-</v>
      </c>
      <c r="V15" s="680" t="str">
        <f t="shared" si="4"/>
        <v>E+</v>
      </c>
      <c r="W15" s="681">
        <f t="shared" si="5"/>
        <v>13.65</v>
      </c>
      <c r="X15" s="719" t="s">
        <v>449</v>
      </c>
      <c r="Y15" s="720">
        <v>5.0</v>
      </c>
      <c r="Z15" s="721" t="s">
        <v>450</v>
      </c>
      <c r="AA15" s="722">
        <f t="shared" ref="AA15:AI15" si="30">PERCENTILE(B2:B55,0.35)</f>
        <v>0.02934015651</v>
      </c>
      <c r="AB15" s="722">
        <f t="shared" si="30"/>
        <v>-0.613881224</v>
      </c>
      <c r="AC15" s="722">
        <f t="shared" si="30"/>
        <v>0.08870458345</v>
      </c>
      <c r="AD15" s="722">
        <f t="shared" si="30"/>
        <v>0.02383777137</v>
      </c>
      <c r="AE15" s="722">
        <f t="shared" si="30"/>
        <v>0.3433988864</v>
      </c>
      <c r="AF15" s="722">
        <f t="shared" si="30"/>
        <v>0.05045416903</v>
      </c>
      <c r="AG15" s="722">
        <f t="shared" si="30"/>
        <v>0.01705902828</v>
      </c>
      <c r="AH15" s="722">
        <f t="shared" si="30"/>
        <v>0.506178353</v>
      </c>
      <c r="AI15" s="722">
        <f t="shared" si="30"/>
        <v>1.055180471</v>
      </c>
    </row>
    <row r="16">
      <c r="A16" s="673" t="str">
        <f>'Halo Reach Stats'!$A16</f>
        <v>GodSnipezX</v>
      </c>
      <c r="B16" s="674">
        <f>IFERROR(VLOOKUP(A16,'PG Stats'!A:R,10,0),)</f>
        <v>0.03520713531</v>
      </c>
      <c r="C16" s="674">
        <f>IFERROR(VLOOKUP(A16,'PG Stats'!A:R,11,0),)</f>
        <v>-0.08449712475</v>
      </c>
      <c r="D16" s="675">
        <f>IFERROR(VLOOKUP(A16,'PG Stats'!A:R,12,0),)</f>
        <v>0.1971599578</v>
      </c>
      <c r="E16" s="675">
        <f>IFERROR(VLOOKUP(A16,'PG Stats'!A:R,13,0),)</f>
        <v>0.04224856238</v>
      </c>
      <c r="F16" s="675">
        <f>IFERROR(VLOOKUP(A16,'PG Stats'!A:R,14,0),)</f>
        <v>0.4911395376</v>
      </c>
      <c r="G16" s="676">
        <f>IFERROR(VLOOKUP(A16,'PG Stats'!A:R,15,0),)</f>
        <v>0.07745569769</v>
      </c>
      <c r="H16" s="676">
        <f>IFERROR(VLOOKUP(A16,'PG Stats'!A:R,16,0),)</f>
        <v>0.03872784884</v>
      </c>
      <c r="I16" s="676">
        <f>IFERROR(VLOOKUP(A16,'PG Stats'!A:R,17,0),)</f>
        <v>0.4700152564</v>
      </c>
      <c r="J16" s="677">
        <f>IFERROR(VLOOKUP(A16,'PG Stats'!A:R,18,0),)</f>
        <v>1.245948512</v>
      </c>
      <c r="K16" s="678"/>
      <c r="L16" s="673" t="str">
        <f>'Halo Reach Stats'!$A16</f>
        <v>GodSnipezX</v>
      </c>
      <c r="M16" s="679" t="str">
        <f t="shared" ref="M16:U16" si="31">IF(B16&lt;=AA$21,"F-",IF(B16&lt;AA$20,"F",IF(B16&lt;AA$19,"F+",IF(B16&lt;AA$18,"E-",IF(B16&lt;AA$17,"E",IF(B16&lt;AA$16,"E+",IF(B16&lt;AA$15,"D-",IF(B16&lt;AA$14,"D",IF(B16&lt;AA$13,"D+",IF(B16&lt;AA$12,"C-",IF(B16&lt;AA$11,"C",IF(B16&lt;AA$10,"C+",IF(B16&lt;AA$9,"B-",IF(B16&lt;AA$8,"B",IF(B16&lt;AA$7,"B+",IF(B16&lt;AA$6,"A-",IF(B16&lt;AA$5,"A",IF(B16&lt;AA$4,"A+",IF(B16&lt;AA$3,"S-",IF(B16&lt;AA$2,"S","S+"))))))))))))))))))))</f>
        <v>C</v>
      </c>
      <c r="N16" s="679" t="str">
        <f t="shared" si="31"/>
        <v>B-</v>
      </c>
      <c r="O16" s="679" t="str">
        <f t="shared" si="31"/>
        <v>S</v>
      </c>
      <c r="P16" s="679" t="str">
        <f t="shared" si="31"/>
        <v>C+</v>
      </c>
      <c r="Q16" s="679" t="str">
        <f t="shared" si="31"/>
        <v>A-</v>
      </c>
      <c r="R16" s="679" t="str">
        <f t="shared" si="31"/>
        <v>B-</v>
      </c>
      <c r="S16" s="679" t="str">
        <f t="shared" si="31"/>
        <v>A-</v>
      </c>
      <c r="T16" s="679" t="str">
        <f t="shared" si="31"/>
        <v>E+</v>
      </c>
      <c r="U16" s="679" t="str">
        <f t="shared" si="31"/>
        <v>C</v>
      </c>
      <c r="V16" s="680" t="str">
        <f t="shared" si="4"/>
        <v>B+</v>
      </c>
      <c r="W16" s="681">
        <f t="shared" si="5"/>
        <v>23.65</v>
      </c>
      <c r="X16" s="723" t="s">
        <v>451</v>
      </c>
      <c r="Y16" s="724">
        <v>4.5</v>
      </c>
      <c r="Z16" s="725" t="s">
        <v>452</v>
      </c>
      <c r="AA16" s="726">
        <f t="shared" ref="AA16:AI16" si="32">PERCENTILE(B2:B55,0.3)</f>
        <v>0.02589999176</v>
      </c>
      <c r="AB16" s="726">
        <f t="shared" si="32"/>
        <v>-0.6353196401</v>
      </c>
      <c r="AC16" s="726">
        <f t="shared" si="32"/>
        <v>0.07818009863</v>
      </c>
      <c r="AD16" s="726">
        <f t="shared" si="32"/>
        <v>0.02154625065</v>
      </c>
      <c r="AE16" s="726">
        <f t="shared" si="32"/>
        <v>0.3306110669</v>
      </c>
      <c r="AF16" s="726">
        <f t="shared" si="32"/>
        <v>0.04631805049</v>
      </c>
      <c r="AG16" s="726">
        <f t="shared" si="32"/>
        <v>0.01548467018</v>
      </c>
      <c r="AH16" s="726">
        <f t="shared" si="32"/>
        <v>0.4911869766</v>
      </c>
      <c r="AI16" s="726">
        <f t="shared" si="32"/>
        <v>1.038703136</v>
      </c>
    </row>
    <row r="17">
      <c r="A17" s="673" t="str">
        <f>'Halo Reach Stats'!$A17</f>
        <v>Hells Angel cx</v>
      </c>
      <c r="B17" s="674">
        <f>IFERROR(VLOOKUP(A17,'PG Stats'!A:R,10,0),)</f>
        <v>0.6343342993</v>
      </c>
      <c r="C17" s="674">
        <f>IFERROR(VLOOKUP(A17,'PG Stats'!A:R,11,0),)</f>
        <v>-0.007642581919</v>
      </c>
      <c r="D17" s="675">
        <f>IFERROR(VLOOKUP(A17,'PG Stats'!A:R,12,0),)</f>
        <v>0.03439161864</v>
      </c>
      <c r="E17" s="675">
        <f>IFERROR(VLOOKUP(A17,'PG Stats'!A:R,13,0),)</f>
        <v>0.04585549151</v>
      </c>
      <c r="F17" s="675">
        <f>IFERROR(VLOOKUP(A17,'PG Stats'!A:R,14,0),)</f>
        <v>0.3668439321</v>
      </c>
      <c r="G17" s="676">
        <f>IFERROR(VLOOKUP(A17,'PG Stats'!A:R,15,0),)</f>
        <v>0.05540871891</v>
      </c>
      <c r="H17" s="676">
        <f>IFERROR(VLOOKUP(A17,'PG Stats'!A:R,16,0),)</f>
        <v>0.005731936439</v>
      </c>
      <c r="I17" s="676">
        <f>IFERROR(VLOOKUP(A17,'PG Stats'!A:R,17,0),)</f>
        <v>0.5923000987</v>
      </c>
      <c r="J17" s="677">
        <f>IFERROR(VLOOKUP(A17,'PG Stats'!A:R,18,0),)</f>
        <v>1.314933287</v>
      </c>
      <c r="K17" s="678"/>
      <c r="L17" s="673" t="str">
        <f>'Halo Reach Stats'!$A17</f>
        <v>Hells Angel cx</v>
      </c>
      <c r="M17" s="679" t="str">
        <f t="shared" ref="M17:U17" si="33">IF(B17&lt;=AA$21,"F-",IF(B17&lt;AA$20,"F",IF(B17&lt;AA$19,"F+",IF(B17&lt;AA$18,"E-",IF(B17&lt;AA$17,"E",IF(B17&lt;AA$16,"E+",IF(B17&lt;AA$15,"D-",IF(B17&lt;AA$14,"D",IF(B17&lt;AA$13,"D+",IF(B17&lt;AA$12,"C-",IF(B17&lt;AA$11,"C",IF(B17&lt;AA$10,"C+",IF(B17&lt;AA$9,"B-",IF(B17&lt;AA$8,"B",IF(B17&lt;AA$7,"B+",IF(B17&lt;AA$6,"A-",IF(B17&lt;AA$5,"A",IF(B17&lt;AA$4,"A+",IF(B17&lt;AA$3,"S-",IF(B17&lt;AA$2,"S","S+"))))))))))))))))))))</f>
        <v>S-</v>
      </c>
      <c r="N17" s="679" t="str">
        <f t="shared" si="33"/>
        <v>B</v>
      </c>
      <c r="O17" s="679" t="str">
        <f t="shared" si="33"/>
        <v>F</v>
      </c>
      <c r="P17" s="679" t="str">
        <f t="shared" si="33"/>
        <v>B-</v>
      </c>
      <c r="Q17" s="679" t="str">
        <f t="shared" si="33"/>
        <v>C-</v>
      </c>
      <c r="R17" s="679" t="str">
        <f t="shared" si="33"/>
        <v>D</v>
      </c>
      <c r="S17" s="679" t="str">
        <f t="shared" si="33"/>
        <v>F+</v>
      </c>
      <c r="T17" s="679" t="str">
        <f t="shared" si="33"/>
        <v>A-</v>
      </c>
      <c r="U17" s="679" t="str">
        <f t="shared" si="33"/>
        <v>C+</v>
      </c>
      <c r="V17" s="680" t="str">
        <f t="shared" si="4"/>
        <v>C+</v>
      </c>
      <c r="W17" s="681">
        <f t="shared" si="5"/>
        <v>20.6</v>
      </c>
      <c r="X17" s="719" t="s">
        <v>452</v>
      </c>
      <c r="Y17" s="720">
        <v>4.0</v>
      </c>
      <c r="Z17" s="727" t="s">
        <v>453</v>
      </c>
      <c r="AA17" s="728">
        <f t="shared" ref="AA17:AI17" si="34">PERCENTILE(B2:B55,0.25)</f>
        <v>0.02385513428</v>
      </c>
      <c r="AB17" s="728">
        <f t="shared" si="34"/>
        <v>-0.7670539172</v>
      </c>
      <c r="AC17" s="728">
        <f t="shared" si="34"/>
        <v>0.07492287351</v>
      </c>
      <c r="AD17" s="728">
        <f t="shared" si="34"/>
        <v>0.01983085448</v>
      </c>
      <c r="AE17" s="728">
        <f t="shared" si="34"/>
        <v>0.3272885536</v>
      </c>
      <c r="AF17" s="728">
        <f t="shared" si="34"/>
        <v>0.04316127151</v>
      </c>
      <c r="AG17" s="728">
        <f t="shared" si="34"/>
        <v>0.009985853374</v>
      </c>
      <c r="AH17" s="728">
        <f t="shared" si="34"/>
        <v>0.4700152564</v>
      </c>
      <c r="AI17" s="728">
        <f t="shared" si="34"/>
        <v>0.9986399591</v>
      </c>
    </row>
    <row r="18">
      <c r="A18" s="673" t="str">
        <f>'Halo Reach Stats'!$A18</f>
        <v>InfiniteRainge</v>
      </c>
      <c r="B18" s="674">
        <f>IFERROR(VLOOKUP(A18,'PG Stats'!A:R,10,0),)</f>
        <v>0.01252827562</v>
      </c>
      <c r="C18" s="674">
        <f>IFERROR(VLOOKUP(A18,'PG Stats'!A:R,11,0),)</f>
        <v>0.3842004524</v>
      </c>
      <c r="D18" s="675">
        <f>IFERROR(VLOOKUP(A18,'PG Stats'!A:R,12,0),)</f>
        <v>0.1127544806</v>
      </c>
      <c r="E18" s="675">
        <f>IFERROR(VLOOKUP(A18,'PG Stats'!A:R,13,0),)</f>
        <v>0.07099356186</v>
      </c>
      <c r="F18" s="675">
        <f>IFERROR(VLOOKUP(A18,'PG Stats'!A:R,14,0),)</f>
        <v>0.5888289542</v>
      </c>
      <c r="G18" s="676">
        <f>IFERROR(VLOOKUP(A18,'PG Stats'!A:R,15,0),)</f>
        <v>0.1085783887</v>
      </c>
      <c r="H18" s="676">
        <f>IFERROR(VLOOKUP(A18,'PG Stats'!A:R,16,0),)</f>
        <v>0.06055333217</v>
      </c>
      <c r="I18" s="676">
        <f>IFERROR(VLOOKUP(A18,'PG Stats'!A:R,17,0),)</f>
        <v>0.7036714808</v>
      </c>
      <c r="J18" s="677">
        <f>IFERROR(VLOOKUP(A18,'PG Stats'!A:R,18,0),)</f>
        <v>1.586590105</v>
      </c>
      <c r="K18" s="678"/>
      <c r="L18" s="673" t="str">
        <f>'Halo Reach Stats'!$A18</f>
        <v>InfiniteRainge</v>
      </c>
      <c r="M18" s="679" t="str">
        <f t="shared" ref="M18:U18" si="35">IF(B18&lt;=AA$21,"F-",IF(B18&lt;AA$20,"F",IF(B18&lt;AA$19,"F+",IF(B18&lt;AA$18,"E-",IF(B18&lt;AA$17,"E",IF(B18&lt;AA$16,"E+",IF(B18&lt;AA$15,"D-",IF(B18&lt;AA$14,"D",IF(B18&lt;AA$13,"D+",IF(B18&lt;AA$12,"C-",IF(B18&lt;AA$11,"C",IF(B18&lt;AA$10,"C+",IF(B18&lt;AA$9,"B-",IF(B18&lt;AA$8,"B",IF(B18&lt;AA$7,"B+",IF(B18&lt;AA$6,"A-",IF(B18&lt;AA$5,"A",IF(B18&lt;AA$4,"A+",IF(B18&lt;AA$3,"S-",IF(B18&lt;AA$2,"S","S+"))))))))))))))))))))</f>
        <v>F</v>
      </c>
      <c r="N18" s="679" t="str">
        <f t="shared" si="35"/>
        <v>A</v>
      </c>
      <c r="O18" s="679" t="str">
        <f t="shared" si="35"/>
        <v>C</v>
      </c>
      <c r="P18" s="679" t="str">
        <f t="shared" si="35"/>
        <v>A</v>
      </c>
      <c r="Q18" s="679" t="str">
        <f t="shared" si="35"/>
        <v>A+</v>
      </c>
      <c r="R18" s="679" t="str">
        <f t="shared" si="35"/>
        <v>S-</v>
      </c>
      <c r="S18" s="679" t="str">
        <f t="shared" si="35"/>
        <v>A</v>
      </c>
      <c r="T18" s="679" t="str">
        <f t="shared" si="35"/>
        <v>S-</v>
      </c>
      <c r="U18" s="679" t="str">
        <f t="shared" si="35"/>
        <v>A+</v>
      </c>
      <c r="V18" s="680" t="str">
        <f t="shared" si="4"/>
        <v>A</v>
      </c>
      <c r="W18" s="681">
        <f t="shared" si="5"/>
        <v>27.8</v>
      </c>
      <c r="X18" s="729" t="s">
        <v>453</v>
      </c>
      <c r="Y18" s="730">
        <v>3.5</v>
      </c>
      <c r="Z18" s="731" t="s">
        <v>454</v>
      </c>
      <c r="AA18" s="732">
        <f t="shared" ref="AA18:AI18" si="36">PERCENTILE(B2:B55,0.2)</f>
        <v>0.02029942877</v>
      </c>
      <c r="AB18" s="732">
        <f t="shared" si="36"/>
        <v>-0.8618492254</v>
      </c>
      <c r="AC18" s="732">
        <f t="shared" si="36"/>
        <v>0.06473980342</v>
      </c>
      <c r="AD18" s="732">
        <f t="shared" si="36"/>
        <v>0.01452358353</v>
      </c>
      <c r="AE18" s="732">
        <f t="shared" si="36"/>
        <v>0.3104886637</v>
      </c>
      <c r="AF18" s="732">
        <f t="shared" si="36"/>
        <v>0.04049159303</v>
      </c>
      <c r="AG18" s="732">
        <f t="shared" si="36"/>
        <v>0.00922125292</v>
      </c>
      <c r="AH18" s="732">
        <f t="shared" si="36"/>
        <v>0.4652494222</v>
      </c>
      <c r="AI18" s="732">
        <f t="shared" si="36"/>
        <v>0.9643695021</v>
      </c>
    </row>
    <row r="19">
      <c r="A19" s="673" t="str">
        <f>'Halo Reach Stats'!$A19</f>
        <v>Itzreelz</v>
      </c>
      <c r="B19" s="674">
        <f>IFERROR(VLOOKUP(A19,'PG Stats'!A:R,10,0),)</f>
        <v>0.08583236198</v>
      </c>
      <c r="C19" s="674">
        <f>IFERROR(VLOOKUP(A19,'PG Stats'!A:R,11,0),)</f>
        <v>0.7025537777</v>
      </c>
      <c r="D19" s="675">
        <f>IFERROR(VLOOKUP(A19,'PG Stats'!A:R,12,0),)</f>
        <v>0.1732542121</v>
      </c>
      <c r="E19" s="675">
        <f>IFERROR(VLOOKUP(A19,'PG Stats'!A:R,13,0),)</f>
        <v>0.103316732</v>
      </c>
      <c r="F19" s="675">
        <f>IFERROR(VLOOKUP(A19,'PG Stats'!A:R,14,0),)</f>
        <v>0.6183109039</v>
      </c>
      <c r="G19" s="676">
        <f>IFERROR(VLOOKUP(A19,'PG Stats'!A:R,15,0),)</f>
        <v>0.146232913</v>
      </c>
      <c r="H19" s="676">
        <f>IFERROR(VLOOKUP(A19,'PG Stats'!A:R,16,0),)</f>
        <v>0.08742185016</v>
      </c>
      <c r="I19" s="676">
        <f>IFERROR(VLOOKUP(A19,'PG Stats'!A:R,17,0),)</f>
        <v>0.653279644</v>
      </c>
      <c r="J19" s="677">
        <f>IFERROR(VLOOKUP(A19,'PG Stats'!A:R,18,0),)</f>
        <v>1.300745614</v>
      </c>
      <c r="K19" s="678"/>
      <c r="L19" s="673" t="str">
        <f>'Halo Reach Stats'!$A19</f>
        <v>Itzreelz</v>
      </c>
      <c r="M19" s="679" t="str">
        <f t="shared" ref="M19:U19" si="37">IF(B19&lt;=AA$21,"F-",IF(B19&lt;AA$20,"F",IF(B19&lt;AA$19,"F+",IF(B19&lt;AA$18,"E-",IF(B19&lt;AA$17,"E",IF(B19&lt;AA$16,"E+",IF(B19&lt;AA$15,"D-",IF(B19&lt;AA$14,"D",IF(B19&lt;AA$13,"D+",IF(B19&lt;AA$12,"C-",IF(B19&lt;AA$11,"C",IF(B19&lt;AA$10,"C+",IF(B19&lt;AA$9,"B-",IF(B19&lt;AA$8,"B",IF(B19&lt;AA$7,"B+",IF(B19&lt;AA$6,"A-",IF(B19&lt;AA$5,"A",IF(B19&lt;AA$4,"A+",IF(B19&lt;AA$3,"S-",IF(B19&lt;AA$2,"S","S+"))))))))))))))))))))</f>
        <v>B</v>
      </c>
      <c r="N19" s="679" t="str">
        <f t="shared" si="37"/>
        <v>S-</v>
      </c>
      <c r="O19" s="679" t="str">
        <f t="shared" si="37"/>
        <v>S-</v>
      </c>
      <c r="P19" s="679" t="str">
        <f t="shared" si="37"/>
        <v>S+</v>
      </c>
      <c r="Q19" s="679" t="str">
        <f t="shared" si="37"/>
        <v>S-</v>
      </c>
      <c r="R19" s="679" t="str">
        <f t="shared" si="37"/>
        <v>S+</v>
      </c>
      <c r="S19" s="679" t="str">
        <f t="shared" si="37"/>
        <v>S+</v>
      </c>
      <c r="T19" s="679" t="str">
        <f t="shared" si="37"/>
        <v>A+</v>
      </c>
      <c r="U19" s="679" t="str">
        <f t="shared" si="37"/>
        <v>C+</v>
      </c>
      <c r="V19" s="680" t="str">
        <f t="shared" si="4"/>
        <v>S+</v>
      </c>
      <c r="W19" s="681">
        <f t="shared" si="5"/>
        <v>33.05</v>
      </c>
      <c r="X19" s="733" t="s">
        <v>455</v>
      </c>
      <c r="Y19" s="734">
        <v>3.0</v>
      </c>
      <c r="Z19" s="735" t="s">
        <v>456</v>
      </c>
      <c r="AA19" s="728">
        <f t="shared" ref="AA19:AI19" si="38">PERCENTILE(B2:B55,0.15)</f>
        <v>0.01812698959</v>
      </c>
      <c r="AB19" s="728">
        <f t="shared" si="38"/>
        <v>-0.9344437966</v>
      </c>
      <c r="AC19" s="728">
        <f t="shared" si="38"/>
        <v>0.0591794122</v>
      </c>
      <c r="AD19" s="728">
        <f t="shared" si="38"/>
        <v>0.01141809676</v>
      </c>
      <c r="AE19" s="728">
        <f t="shared" si="38"/>
        <v>0.2977037204</v>
      </c>
      <c r="AF19" s="728">
        <f t="shared" si="38"/>
        <v>0.0372920186</v>
      </c>
      <c r="AG19" s="728">
        <f t="shared" si="38"/>
        <v>0.006249960013</v>
      </c>
      <c r="AH19" s="728">
        <f t="shared" si="38"/>
        <v>0.4315043044</v>
      </c>
      <c r="AI19" s="728">
        <f t="shared" si="38"/>
        <v>0.9060816779</v>
      </c>
    </row>
    <row r="20">
      <c r="A20" s="673" t="str">
        <f>'Halo Reach Stats'!$A20</f>
        <v>ixGingy</v>
      </c>
      <c r="B20" s="674">
        <f>IFERROR(VLOOKUP(A20,'PG Stats'!A:R,10,0),)</f>
        <v>0.2785522972</v>
      </c>
      <c r="C20" s="674">
        <f>IFERROR(VLOOKUP(A20,'PG Stats'!A:R,11,0),)</f>
        <v>0.2958588009</v>
      </c>
      <c r="D20" s="675">
        <f>IFERROR(VLOOKUP(A20,'PG Stats'!A:R,12,0),)</f>
        <v>0.15905501</v>
      </c>
      <c r="E20" s="675">
        <f>IFERROR(VLOOKUP(A20,'PG Stats'!A:R,13,0),)</f>
        <v>0.0692260147</v>
      </c>
      <c r="F20" s="675">
        <f>IFERROR(VLOOKUP(A20,'PG Stats'!A:R,14,0),)</f>
        <v>0.5010644873</v>
      </c>
      <c r="G20" s="676">
        <f>IFERROR(VLOOKUP(A20,'PG Stats'!A:R,15,0),)</f>
        <v>0.09147723371</v>
      </c>
      <c r="H20" s="676">
        <f>IFERROR(VLOOKUP(A20,'PG Stats'!A:R,16,0),)</f>
        <v>0.03790948424</v>
      </c>
      <c r="I20" s="676">
        <f>IFERROR(VLOOKUP(A20,'PG Stats'!A:R,17,0),)</f>
        <v>0.6279788476</v>
      </c>
      <c r="J20" s="677">
        <f>IFERROR(VLOOKUP(A20,'PG Stats'!A:R,18,0),)</f>
        <v>1.503816834</v>
      </c>
      <c r="K20" s="678"/>
      <c r="L20" s="673" t="str">
        <f>'Halo Reach Stats'!$A20</f>
        <v>ixGingy</v>
      </c>
      <c r="M20" s="679" t="str">
        <f t="shared" ref="M20:U20" si="39">IF(B20&lt;=AA$21,"F-",IF(B20&lt;AA$20,"F",IF(B20&lt;AA$19,"F+",IF(B20&lt;AA$18,"E-",IF(B20&lt;AA$17,"E",IF(B20&lt;AA$16,"E+",IF(B20&lt;AA$15,"D-",IF(B20&lt;AA$14,"D",IF(B20&lt;AA$13,"D+",IF(B20&lt;AA$12,"C-",IF(B20&lt;AA$11,"C",IF(B20&lt;AA$10,"C+",IF(B20&lt;AA$9,"B-",IF(B20&lt;AA$8,"B",IF(B20&lt;AA$7,"B+",IF(B20&lt;AA$6,"A-",IF(B20&lt;AA$5,"A",IF(B20&lt;AA$4,"A+",IF(B20&lt;AA$3,"S-",IF(B20&lt;AA$2,"S","S+"))))))))))))))))))))</f>
        <v>A</v>
      </c>
      <c r="N20" s="679" t="str">
        <f t="shared" si="39"/>
        <v>A-</v>
      </c>
      <c r="O20" s="679" t="str">
        <f t="shared" si="39"/>
        <v>A</v>
      </c>
      <c r="P20" s="679" t="str">
        <f t="shared" si="39"/>
        <v>A-</v>
      </c>
      <c r="Q20" s="679" t="str">
        <f t="shared" si="39"/>
        <v>A-</v>
      </c>
      <c r="R20" s="679" t="str">
        <f t="shared" si="39"/>
        <v>A-</v>
      </c>
      <c r="S20" s="679" t="str">
        <f t="shared" si="39"/>
        <v>A-</v>
      </c>
      <c r="T20" s="679" t="str">
        <f t="shared" si="39"/>
        <v>A</v>
      </c>
      <c r="U20" s="679" t="str">
        <f t="shared" si="39"/>
        <v>A</v>
      </c>
      <c r="V20" s="680" t="str">
        <f t="shared" si="4"/>
        <v>A+</v>
      </c>
      <c r="W20" s="681">
        <f t="shared" si="5"/>
        <v>29.65</v>
      </c>
      <c r="X20" s="729" t="s">
        <v>456</v>
      </c>
      <c r="Y20" s="730">
        <v>2.5</v>
      </c>
      <c r="Z20" s="736" t="s">
        <v>457</v>
      </c>
      <c r="AA20" s="737">
        <f t="shared" ref="AA20:AI20" si="40">PERCENTILE(B2:B55,0.1)</f>
        <v>0.01532879584</v>
      </c>
      <c r="AB20" s="737">
        <f t="shared" si="40"/>
        <v>-0.9777533679</v>
      </c>
      <c r="AC20" s="737">
        <f t="shared" si="40"/>
        <v>0.05235042172</v>
      </c>
      <c r="AD20" s="737">
        <f t="shared" si="40"/>
        <v>0.008333117524</v>
      </c>
      <c r="AE20" s="737">
        <f t="shared" si="40"/>
        <v>0.2731935447</v>
      </c>
      <c r="AF20" s="737">
        <f t="shared" si="40"/>
        <v>0.03297421988</v>
      </c>
      <c r="AG20" s="737">
        <f t="shared" si="40"/>
        <v>0.002089075874</v>
      </c>
      <c r="AH20" s="737">
        <f t="shared" si="40"/>
        <v>0.3911222527</v>
      </c>
      <c r="AI20" s="737">
        <f t="shared" si="40"/>
        <v>0.8135680908</v>
      </c>
    </row>
    <row r="21">
      <c r="A21" s="673"/>
      <c r="B21" s="674" t="str">
        <f>IFERROR(VLOOKUP(A21,'PG Stats'!A:R,10,0),)</f>
        <v/>
      </c>
      <c r="C21" s="674" t="str">
        <f>IFERROR(VLOOKUP(A21,'PG Stats'!A:R,11,0),)</f>
        <v/>
      </c>
      <c r="D21" s="675" t="str">
        <f>IFERROR(VLOOKUP(A21,'PG Stats'!A:R,12,0),)</f>
        <v/>
      </c>
      <c r="E21" s="675" t="str">
        <f>IFERROR(VLOOKUP(A21,'PG Stats'!A:R,13,0),)</f>
        <v/>
      </c>
      <c r="F21" s="675" t="str">
        <f>IFERROR(VLOOKUP(A21,'PG Stats'!A:R,14,0),)</f>
        <v/>
      </c>
      <c r="G21" s="676" t="str">
        <f>IFERROR(VLOOKUP(A21,'PG Stats'!A:R,15,0),)</f>
        <v/>
      </c>
      <c r="H21" s="676" t="str">
        <f>IFERROR(VLOOKUP(A21,'PG Stats'!A:R,16,0),)</f>
        <v/>
      </c>
      <c r="I21" s="676" t="str">
        <f>IFERROR(VLOOKUP(A21,'PG Stats'!A:R,17,0),)</f>
        <v/>
      </c>
      <c r="J21" s="677" t="str">
        <f>IFERROR(VLOOKUP(A21,'PG Stats'!A:R,18,0),)</f>
        <v/>
      </c>
      <c r="K21" s="678"/>
      <c r="L21" s="673"/>
      <c r="M21" s="679" t="str">
        <f t="shared" ref="M21:U21" si="41">IF(B21&lt;=AA$21,"F-",IF(B21&lt;AA$20,"F",IF(B21&lt;AA$19,"F+",IF(B21&lt;AA$18,"E-",IF(B21&lt;AA$17,"E",IF(B21&lt;AA$16,"E+",IF(B21&lt;AA$15,"D-",IF(B21&lt;AA$14,"D",IF(B21&lt;AA$13,"D+",IF(B21&lt;AA$12,"C-",IF(B21&lt;AA$11,"C",IF(B21&lt;AA$10,"C+",IF(B21&lt;AA$9,"B-",IF(B21&lt;AA$8,"B",IF(B21&lt;AA$7,"B+",IF(B21&lt;AA$6,"A-",IF(B21&lt;AA$5,"A",IF(B21&lt;AA$4,"A+",IF(B21&lt;AA$3,"S-",IF(B21&lt;AA$2,"S","S+"))))))))))))))))))))</f>
        <v>F-</v>
      </c>
      <c r="N21" s="679" t="str">
        <f t="shared" si="41"/>
        <v>B</v>
      </c>
      <c r="O21" s="679" t="str">
        <f t="shared" si="41"/>
        <v>F-</v>
      </c>
      <c r="P21" s="679" t="str">
        <f t="shared" si="41"/>
        <v>F-</v>
      </c>
      <c r="Q21" s="679" t="str">
        <f t="shared" si="41"/>
        <v>F-</v>
      </c>
      <c r="R21" s="679" t="str">
        <f t="shared" si="41"/>
        <v>F-</v>
      </c>
      <c r="S21" s="679" t="str">
        <f t="shared" si="41"/>
        <v>F-</v>
      </c>
      <c r="T21" s="679" t="str">
        <f t="shared" si="41"/>
        <v>F-</v>
      </c>
      <c r="U21" s="679" t="str">
        <f t="shared" si="41"/>
        <v>F-</v>
      </c>
      <c r="V21" s="680" t="str">
        <f t="shared" si="4"/>
        <v>F-</v>
      </c>
      <c r="W21" s="681">
        <f t="shared" si="5"/>
        <v>6.65</v>
      </c>
      <c r="X21" s="738" t="s">
        <v>457</v>
      </c>
      <c r="Y21" s="739">
        <v>2.0</v>
      </c>
      <c r="Z21" s="740" t="s">
        <v>458</v>
      </c>
      <c r="AA21" s="737">
        <f t="shared" ref="AA21:AI21" si="42">PERCENTILE(B2:B55,0.05)</f>
        <v>0.01073756589</v>
      </c>
      <c r="AB21" s="737">
        <f t="shared" si="42"/>
        <v>-1.116388286</v>
      </c>
      <c r="AC21" s="737">
        <f t="shared" si="42"/>
        <v>0.03317194515</v>
      </c>
      <c r="AD21" s="737">
        <f t="shared" si="42"/>
        <v>0.004178151748</v>
      </c>
      <c r="AE21" s="737">
        <f t="shared" si="42"/>
        <v>0.1879448197</v>
      </c>
      <c r="AF21" s="737">
        <f t="shared" si="42"/>
        <v>0.0226526719</v>
      </c>
      <c r="AG21" s="737">
        <f t="shared" si="42"/>
        <v>0</v>
      </c>
      <c r="AH21" s="737">
        <f t="shared" si="42"/>
        <v>0.3177180968</v>
      </c>
      <c r="AI21" s="737">
        <f t="shared" si="42"/>
        <v>0.6982280855</v>
      </c>
    </row>
    <row r="22">
      <c r="A22" s="673" t="str">
        <f>'Halo Reach Stats'!$A22</f>
        <v>L0RNA SHORE</v>
      </c>
      <c r="B22" s="674">
        <f>IFERROR(VLOOKUP(A22,'PG Stats'!A:R,10,0),)</f>
        <v>0.3961556493</v>
      </c>
      <c r="C22" s="674">
        <f>IFERROR(VLOOKUP(A22,'PG Stats'!A:R,11,0),)</f>
        <v>0.2180028129</v>
      </c>
      <c r="D22" s="675">
        <f>IFERROR(VLOOKUP(A22,'PG Stats'!A:R,12,0),)</f>
        <v>0.09610876699</v>
      </c>
      <c r="E22" s="675">
        <f>IFERROR(VLOOKUP(A22,'PG Stats'!A:R,13,0),)</f>
        <v>0.0445382091</v>
      </c>
      <c r="F22" s="675">
        <f>IFERROR(VLOOKUP(A22,'PG Stats'!A:R,14,0),)</f>
        <v>0.3328645101</v>
      </c>
      <c r="G22" s="676">
        <f>IFERROR(VLOOKUP(A22,'PG Stats'!A:R,15,0),)</f>
        <v>0.04688232536</v>
      </c>
      <c r="H22" s="676">
        <f>IFERROR(VLOOKUP(A22,'PG Stats'!A:R,16,0),)</f>
        <v>0.01875293015</v>
      </c>
      <c r="I22" s="676">
        <f>IFERROR(VLOOKUP(A22,'PG Stats'!A:R,17,0),)</f>
        <v>0.5883731833</v>
      </c>
      <c r="J22" s="677">
        <f>IFERROR(VLOOKUP(A22,'PG Stats'!A:R,18,0),)</f>
        <v>1.881249828</v>
      </c>
      <c r="K22" s="678"/>
      <c r="L22" s="673" t="str">
        <f>'Halo Reach Stats'!$A22</f>
        <v>L0RNA SHORE</v>
      </c>
      <c r="M22" s="679" t="str">
        <f t="shared" ref="M22:U22" si="43">IF(B22&lt;=AA$21,"F-",IF(B22&lt;AA$20,"F",IF(B22&lt;AA$19,"F+",IF(B22&lt;AA$18,"E-",IF(B22&lt;AA$17,"E",IF(B22&lt;AA$16,"E+",IF(B22&lt;AA$15,"D-",IF(B22&lt;AA$14,"D",IF(B22&lt;AA$13,"D+",IF(B22&lt;AA$12,"C-",IF(B22&lt;AA$11,"C",IF(B22&lt;AA$10,"C+",IF(B22&lt;AA$9,"B-",IF(B22&lt;AA$8,"B",IF(B22&lt;AA$7,"B+",IF(B22&lt;AA$6,"A-",IF(B22&lt;AA$5,"A",IF(B22&lt;AA$4,"A+",IF(B22&lt;AA$3,"S-",IF(B22&lt;AA$2,"S","S+"))))))))))))))))))))</f>
        <v>A+</v>
      </c>
      <c r="N22" s="679" t="str">
        <f t="shared" si="43"/>
        <v>B+</v>
      </c>
      <c r="O22" s="679" t="str">
        <f t="shared" si="43"/>
        <v>D+</v>
      </c>
      <c r="P22" s="679" t="str">
        <f t="shared" si="43"/>
        <v>B-</v>
      </c>
      <c r="Q22" s="679" t="str">
        <f t="shared" si="43"/>
        <v>D-</v>
      </c>
      <c r="R22" s="679" t="str">
        <f t="shared" si="43"/>
        <v>D-</v>
      </c>
      <c r="S22" s="679" t="str">
        <f t="shared" si="43"/>
        <v>D+</v>
      </c>
      <c r="T22" s="679" t="str">
        <f t="shared" si="43"/>
        <v>B+</v>
      </c>
      <c r="U22" s="679" t="str">
        <f t="shared" si="43"/>
        <v>S+</v>
      </c>
      <c r="V22" s="680" t="str">
        <f t="shared" si="4"/>
        <v>B-</v>
      </c>
      <c r="W22" s="681">
        <f t="shared" si="5"/>
        <v>22.4</v>
      </c>
      <c r="X22" s="741" t="s">
        <v>458</v>
      </c>
      <c r="Y22" s="739">
        <v>1.5</v>
      </c>
      <c r="Z22" s="736" t="s">
        <v>459</v>
      </c>
      <c r="AA22" s="737">
        <f t="shared" ref="AA22:AI22" si="44">PERCENTILE(B2:B55,0)</f>
        <v>0.001469075951</v>
      </c>
      <c r="AB22" s="737">
        <f t="shared" si="44"/>
        <v>-2.105678233</v>
      </c>
      <c r="AC22" s="737">
        <f t="shared" si="44"/>
        <v>0.02513389785</v>
      </c>
      <c r="AD22" s="737">
        <f t="shared" si="44"/>
        <v>0</v>
      </c>
      <c r="AE22" s="737">
        <f t="shared" si="44"/>
        <v>0.1340482574</v>
      </c>
      <c r="AF22" s="737">
        <f t="shared" si="44"/>
        <v>0.01077167051</v>
      </c>
      <c r="AG22" s="737">
        <f t="shared" si="44"/>
        <v>0</v>
      </c>
      <c r="AH22" s="737">
        <f t="shared" si="44"/>
        <v>0.2889484659</v>
      </c>
      <c r="AI22" s="737">
        <f t="shared" si="44"/>
        <v>0.4601932812</v>
      </c>
    </row>
    <row r="23">
      <c r="A23" s="673" t="str">
        <f>'Halo Reach Stats'!$A23</f>
        <v>L1ght5aber</v>
      </c>
      <c r="B23" s="674">
        <f>IFERROR(VLOOKUP(A23,'PG Stats'!A:R,10,0),)</f>
        <v>0.01730478045</v>
      </c>
      <c r="C23" s="674">
        <f>IFERROR(VLOOKUP(A23,'PG Stats'!A:R,11,0),)</f>
        <v>-0.3223015358</v>
      </c>
      <c r="D23" s="675">
        <f>IFERROR(VLOOKUP(A23,'PG Stats'!A:R,12,0),)</f>
        <v>0.07138221934</v>
      </c>
      <c r="E23" s="675">
        <f>IFERROR(VLOOKUP(A23,'PG Stats'!A:R,13,0),)</f>
        <v>0.04109885356</v>
      </c>
      <c r="F23" s="675">
        <f>IFERROR(VLOOKUP(A23,'PG Stats'!A:R,14,0),)</f>
        <v>0.350421804</v>
      </c>
      <c r="G23" s="676">
        <f>IFERROR(VLOOKUP(A23,'PG Stats'!A:R,15,0),)</f>
        <v>0.06056673156</v>
      </c>
      <c r="H23" s="676">
        <f>IFERROR(VLOOKUP(A23,'PG Stats'!A:R,16,0),)</f>
        <v>0.03460956089</v>
      </c>
      <c r="I23" s="676">
        <f>IFERROR(VLOOKUP(A23,'PG Stats'!A:R,17,0),)</f>
        <v>0.5321219987</v>
      </c>
      <c r="J23" s="677">
        <f>IFERROR(VLOOKUP(A23,'PG Stats'!A:R,18,0),)</f>
        <v>1.064661166</v>
      </c>
      <c r="K23" s="678"/>
      <c r="L23" s="673" t="str">
        <f>'Halo Reach Stats'!$A23</f>
        <v>L1ght5aber</v>
      </c>
      <c r="M23" s="679" t="str">
        <f t="shared" ref="M23:U23" si="45">IF(B23&lt;=AA$21,"F-",IF(B23&lt;AA$20,"F",IF(B23&lt;AA$19,"F+",IF(B23&lt;AA$18,"E-",IF(B23&lt;AA$17,"E",IF(B23&lt;AA$16,"E+",IF(B23&lt;AA$15,"D-",IF(B23&lt;AA$14,"D",IF(B23&lt;AA$13,"D+",IF(B23&lt;AA$12,"C-",IF(B23&lt;AA$11,"C",IF(B23&lt;AA$10,"C+",IF(B23&lt;AA$9,"B-",IF(B23&lt;AA$8,"B",IF(B23&lt;AA$7,"B+",IF(B23&lt;AA$6,"A-",IF(B23&lt;AA$5,"A",IF(B23&lt;AA$4,"A+",IF(B23&lt;AA$3,"S-",IF(B23&lt;AA$2,"S","S+"))))))))))))))))))))</f>
        <v>F+</v>
      </c>
      <c r="N23" s="679" t="str">
        <f t="shared" si="45"/>
        <v>C</v>
      </c>
      <c r="O23" s="679" t="str">
        <f t="shared" si="45"/>
        <v>E</v>
      </c>
      <c r="P23" s="679" t="str">
        <f t="shared" si="45"/>
        <v>C+</v>
      </c>
      <c r="Q23" s="679" t="str">
        <f t="shared" si="45"/>
        <v>D</v>
      </c>
      <c r="R23" s="679" t="str">
        <f t="shared" si="45"/>
        <v>D+</v>
      </c>
      <c r="S23" s="679" t="str">
        <f t="shared" si="45"/>
        <v>B+</v>
      </c>
      <c r="T23" s="679" t="str">
        <f t="shared" si="45"/>
        <v>C+</v>
      </c>
      <c r="U23" s="679" t="str">
        <f t="shared" si="45"/>
        <v>D</v>
      </c>
      <c r="V23" s="680" t="str">
        <f t="shared" si="4"/>
        <v>D</v>
      </c>
      <c r="W23" s="681">
        <f t="shared" si="5"/>
        <v>16.85</v>
      </c>
      <c r="X23" s="738" t="s">
        <v>459</v>
      </c>
      <c r="Y23" s="739">
        <v>1.0</v>
      </c>
      <c r="Z23" s="678"/>
      <c r="AA23" s="742"/>
      <c r="AB23" s="678"/>
      <c r="AC23" s="678"/>
      <c r="AD23" s="678"/>
      <c r="AE23" s="678"/>
      <c r="AF23" s="678"/>
      <c r="AG23" s="678"/>
      <c r="AH23" s="678"/>
      <c r="AI23" s="678"/>
    </row>
    <row r="24">
      <c r="A24" s="673" t="str">
        <f>'Halo Reach Stats'!$A24</f>
        <v>Lane Uppy</v>
      </c>
      <c r="B24" s="674">
        <f>IFERROR(VLOOKUP(A24,'PG Stats'!A:R,10,0),)</f>
        <v>0.02385513428</v>
      </c>
      <c r="C24" s="674">
        <f>IFERROR(VLOOKUP(A24,'PG Stats'!A:R,11,0),)</f>
        <v>-0.3578270141</v>
      </c>
      <c r="D24" s="675">
        <f>IFERROR(VLOOKUP(A24,'PG Stats'!A:R,12,0),)</f>
        <v>0.1387935085</v>
      </c>
      <c r="E24" s="675">
        <f>IFERROR(VLOOKUP(A24,'PG Stats'!A:R,13,0),)</f>
        <v>0.03469837713</v>
      </c>
      <c r="F24" s="675">
        <f>IFERROR(VLOOKUP(A24,'PG Stats'!A:R,14,0),)</f>
        <v>0.3968626884</v>
      </c>
      <c r="G24" s="676">
        <f>IFERROR(VLOOKUP(A24,'PG Stats'!A:R,15,0),)</f>
        <v>0.06072215997</v>
      </c>
      <c r="H24" s="676">
        <f>IFERROR(VLOOKUP(A24,'PG Stats'!A:R,16,0),)</f>
        <v>0.03036107999</v>
      </c>
      <c r="I24" s="676">
        <f>IFERROR(VLOOKUP(A24,'PG Stats'!A:R,17,0),)</f>
        <v>0.5031264684</v>
      </c>
      <c r="J24" s="677">
        <f>IFERROR(VLOOKUP(A24,'PG Stats'!A:R,18,0),)</f>
        <v>1.137713436</v>
      </c>
      <c r="K24" s="678"/>
      <c r="L24" s="673" t="str">
        <f>'Halo Reach Stats'!$A24</f>
        <v>Lane Uppy</v>
      </c>
      <c r="M24" s="679" t="str">
        <f t="shared" ref="M24:U24" si="46">IF(B24&lt;=AA$21,"F-",IF(B24&lt;AA$20,"F",IF(B24&lt;AA$19,"F+",IF(B24&lt;AA$18,"E-",IF(B24&lt;AA$17,"E",IF(B24&lt;AA$16,"E+",IF(B24&lt;AA$15,"D-",IF(B24&lt;AA$14,"D",IF(B24&lt;AA$13,"D+",IF(B24&lt;AA$12,"C-",IF(B24&lt;AA$11,"C",IF(B24&lt;AA$10,"C+",IF(B24&lt;AA$9,"B-",IF(B24&lt;AA$8,"B",IF(B24&lt;AA$7,"B+",IF(B24&lt;AA$6,"A-",IF(B24&lt;AA$5,"A",IF(B24&lt;AA$4,"A+",IF(B24&lt;AA$3,"S-",IF(B24&lt;AA$2,"S","S+"))))))))))))))))))))</f>
        <v>E+</v>
      </c>
      <c r="N24" s="679" t="str">
        <f t="shared" si="46"/>
        <v>C-</v>
      </c>
      <c r="O24" s="679" t="str">
        <f t="shared" si="46"/>
        <v>A-</v>
      </c>
      <c r="P24" s="679" t="str">
        <f t="shared" si="46"/>
        <v>C</v>
      </c>
      <c r="Q24" s="679" t="str">
        <f t="shared" si="46"/>
        <v>C</v>
      </c>
      <c r="R24" s="679" t="str">
        <f t="shared" si="46"/>
        <v>D+</v>
      </c>
      <c r="S24" s="679" t="str">
        <f t="shared" si="46"/>
        <v>B</v>
      </c>
      <c r="T24" s="679" t="str">
        <f t="shared" si="46"/>
        <v>D-</v>
      </c>
      <c r="U24" s="679" t="str">
        <f t="shared" si="46"/>
        <v>D</v>
      </c>
      <c r="V24" s="680" t="str">
        <f t="shared" si="4"/>
        <v>C-</v>
      </c>
      <c r="W24" s="681">
        <f t="shared" si="5"/>
        <v>18.55</v>
      </c>
      <c r="X24" s="17"/>
      <c r="Y24" s="17"/>
      <c r="Z24" s="678"/>
      <c r="AA24" s="742"/>
      <c r="AB24" s="678"/>
      <c r="AC24" s="678"/>
      <c r="AD24" s="678"/>
      <c r="AE24" s="678"/>
      <c r="AF24" s="678"/>
      <c r="AG24" s="678"/>
      <c r="AH24" s="678"/>
      <c r="AI24" s="678"/>
    </row>
    <row r="25">
      <c r="A25" s="673" t="str">
        <f>'Halo Reach Stats'!$A25</f>
        <v>Laser Wins</v>
      </c>
      <c r="B25" s="674">
        <f>IFERROR(VLOOKUP(A25,'PG Stats'!A:R,10,0),)</f>
        <v>0.2249031874</v>
      </c>
      <c r="C25" s="674">
        <f>IFERROR(VLOOKUP(A25,'PG Stats'!A:R,11,0),)</f>
        <v>-0.7670539172</v>
      </c>
      <c r="D25" s="675">
        <f>IFERROR(VLOOKUP(A25,'PG Stats'!A:R,12,0),)</f>
        <v>0.05659815311</v>
      </c>
      <c r="E25" s="675">
        <f>IFERROR(VLOOKUP(A25,'PG Stats'!A:R,13,0),)</f>
        <v>0.01340482574</v>
      </c>
      <c r="F25" s="675">
        <f>IFERROR(VLOOKUP(A25,'PG Stats'!A:R,14,0),)</f>
        <v>0.1340482574</v>
      </c>
      <c r="G25" s="676">
        <f>IFERROR(VLOOKUP(A25,'PG Stats'!A:R,15,0),)</f>
        <v>0.01340482574</v>
      </c>
      <c r="H25" s="676">
        <f>IFERROR(VLOOKUP(A25,'PG Stats'!A:R,16,0),)</f>
        <v>0</v>
      </c>
      <c r="I25" s="676">
        <f>IFERROR(VLOOKUP(A25,'PG Stats'!A:R,17,0),)</f>
        <v>0.2889484659</v>
      </c>
      <c r="J25" s="677">
        <f>IFERROR(VLOOKUP(A25,'PG Stats'!A:R,18,0),)</f>
        <v>0.8231414103</v>
      </c>
      <c r="K25" s="678"/>
      <c r="L25" s="673" t="str">
        <f>'Halo Reach Stats'!$A25</f>
        <v>Laser Wins</v>
      </c>
      <c r="M25" s="679" t="str">
        <f t="shared" ref="M25:U25" si="47">IF(B25&lt;=AA$21,"F-",IF(B25&lt;AA$20,"F",IF(B25&lt;AA$19,"F+",IF(B25&lt;AA$18,"E-",IF(B25&lt;AA$17,"E",IF(B25&lt;AA$16,"E+",IF(B25&lt;AA$15,"D-",IF(B25&lt;AA$14,"D",IF(B25&lt;AA$13,"D+",IF(B25&lt;AA$12,"C-",IF(B25&lt;AA$11,"C",IF(B25&lt;AA$10,"C+",IF(B25&lt;AA$9,"B-",IF(B25&lt;AA$8,"B",IF(B25&lt;AA$7,"B+",IF(B25&lt;AA$6,"A-",IF(B25&lt;AA$5,"A",IF(B25&lt;AA$4,"A+",IF(B25&lt;AA$3,"S-",IF(B25&lt;AA$2,"S","S+"))))))))))))))))))))</f>
        <v>A-</v>
      </c>
      <c r="N25" s="679" t="str">
        <f t="shared" si="47"/>
        <v>E+</v>
      </c>
      <c r="O25" s="679" t="str">
        <f t="shared" si="47"/>
        <v>F+</v>
      </c>
      <c r="P25" s="679" t="str">
        <f t="shared" si="47"/>
        <v>E-</v>
      </c>
      <c r="Q25" s="679" t="str">
        <f t="shared" si="47"/>
        <v>F-</v>
      </c>
      <c r="R25" s="679" t="str">
        <f t="shared" si="47"/>
        <v>F-</v>
      </c>
      <c r="S25" s="679" t="str">
        <f t="shared" si="47"/>
        <v>F-</v>
      </c>
      <c r="T25" s="679" t="str">
        <f t="shared" si="47"/>
        <v>F-</v>
      </c>
      <c r="U25" s="679" t="str">
        <f t="shared" si="47"/>
        <v>F+</v>
      </c>
      <c r="V25" s="680" t="str">
        <f t="shared" si="4"/>
        <v>F</v>
      </c>
      <c r="W25" s="681">
        <f t="shared" si="5"/>
        <v>8.55</v>
      </c>
      <c r="X25" s="684" t="s">
        <v>434</v>
      </c>
      <c r="Y25" s="743">
        <f>PERCENTILE($W$2:$W$50,1)</f>
        <v>33.05</v>
      </c>
      <c r="Z25" s="678"/>
      <c r="AA25" s="742"/>
      <c r="AB25" s="678"/>
      <c r="AC25" s="678"/>
      <c r="AD25" s="678"/>
      <c r="AE25" s="678"/>
      <c r="AF25" s="678"/>
      <c r="AG25" s="678"/>
      <c r="AH25" s="678"/>
      <c r="AI25" s="678"/>
    </row>
    <row r="26">
      <c r="A26" s="673" t="str">
        <f>'Halo Reach Stats'!$A26</f>
        <v>Luner Panda</v>
      </c>
      <c r="B26" s="674">
        <f>IFERROR(VLOOKUP(A26,'PG Stats'!A:R,10,0),)</f>
        <v>0.2043976463</v>
      </c>
      <c r="C26" s="674">
        <f>IFERROR(VLOOKUP(A26,'PG Stats'!A:R,11,0),)</f>
        <v>-0.9259832766</v>
      </c>
      <c r="D26" s="675">
        <f>IFERROR(VLOOKUP(A26,'PG Stats'!A:R,12,0),)</f>
        <v>0.07742335088</v>
      </c>
      <c r="E26" s="675">
        <f>IFERROR(VLOOKUP(A26,'PG Stats'!A:R,13,0),)</f>
        <v>0.02167853825</v>
      </c>
      <c r="F26" s="675">
        <f>IFERROR(VLOOKUP(A26,'PG Stats'!A:R,14,0),)</f>
        <v>0.2818209972</v>
      </c>
      <c r="G26" s="676">
        <f>IFERROR(VLOOKUP(A26,'PG Stats'!A:R,15,0),)</f>
        <v>0.03406627439</v>
      </c>
      <c r="H26" s="676">
        <f>IFERROR(VLOOKUP(A26,'PG Stats'!A:R,16,0),)</f>
        <v>0.01548467018</v>
      </c>
      <c r="I26" s="676">
        <f>IFERROR(VLOOKUP(A26,'PG Stats'!A:R,17,0),)</f>
        <v>0.3995044906</v>
      </c>
      <c r="J26" s="677">
        <f>IFERROR(VLOOKUP(A26,'PG Stats'!A:R,18,0),)</f>
        <v>0.7444587002</v>
      </c>
      <c r="K26" s="678"/>
      <c r="L26" s="673" t="str">
        <f>'Halo Reach Stats'!$A26</f>
        <v>Luner Panda</v>
      </c>
      <c r="M26" s="679" t="str">
        <f t="shared" ref="M26:U26" si="48">IF(B26&lt;=AA$21,"F-",IF(B26&lt;AA$20,"F",IF(B26&lt;AA$19,"F+",IF(B26&lt;AA$18,"E-",IF(B26&lt;AA$17,"E",IF(B26&lt;AA$16,"E+",IF(B26&lt;AA$15,"D-",IF(B26&lt;AA$14,"D",IF(B26&lt;AA$13,"D+",IF(B26&lt;AA$12,"C-",IF(B26&lt;AA$11,"C",IF(B26&lt;AA$10,"C+",IF(B26&lt;AA$9,"B-",IF(B26&lt;AA$8,"B",IF(B26&lt;AA$7,"B+",IF(B26&lt;AA$6,"A-",IF(B26&lt;AA$5,"A",IF(B26&lt;AA$4,"A+",IF(B26&lt;AA$3,"S-",IF(B26&lt;AA$2,"S","S+"))))))))))))))))))))</f>
        <v>A-</v>
      </c>
      <c r="N26" s="679" t="str">
        <f t="shared" si="48"/>
        <v>E-</v>
      </c>
      <c r="O26" s="679" t="str">
        <f t="shared" si="48"/>
        <v>E+</v>
      </c>
      <c r="P26" s="679" t="str">
        <f t="shared" si="48"/>
        <v>D-</v>
      </c>
      <c r="Q26" s="679" t="str">
        <f t="shared" si="48"/>
        <v>F+</v>
      </c>
      <c r="R26" s="679" t="str">
        <f t="shared" si="48"/>
        <v>F+</v>
      </c>
      <c r="S26" s="679" t="str">
        <f t="shared" si="48"/>
        <v>D-</v>
      </c>
      <c r="T26" s="679" t="str">
        <f t="shared" si="48"/>
        <v>F+</v>
      </c>
      <c r="U26" s="679" t="str">
        <f t="shared" si="48"/>
        <v>F</v>
      </c>
      <c r="V26" s="680" t="str">
        <f t="shared" si="4"/>
        <v>E-</v>
      </c>
      <c r="W26" s="681">
        <f t="shared" si="5"/>
        <v>10.95</v>
      </c>
      <c r="X26" s="688" t="s">
        <v>435</v>
      </c>
      <c r="Y26" s="743">
        <f>PERCENTILE($W$2:$W$50,0.95)</f>
        <v>31.4975</v>
      </c>
      <c r="Z26" s="678"/>
      <c r="AA26" s="742"/>
      <c r="AB26" s="678"/>
      <c r="AC26" s="678"/>
      <c r="AD26" s="678"/>
      <c r="AE26" s="678"/>
      <c r="AF26" s="678"/>
      <c r="AG26" s="678"/>
      <c r="AH26" s="678"/>
      <c r="AI26" s="678"/>
    </row>
    <row r="27">
      <c r="A27" s="673" t="str">
        <f>'Halo Reach Stats'!$A27</f>
        <v>Mavbrid</v>
      </c>
      <c r="B27" s="674">
        <f>IFERROR(VLOOKUP(A27,'PG Stats'!A:R,10,0),)</f>
        <v>0.4614126626</v>
      </c>
      <c r="C27" s="674">
        <f>IFERROR(VLOOKUP(A27,'PG Stats'!A:R,11,0),)</f>
        <v>0.07826493264</v>
      </c>
      <c r="D27" s="675">
        <f>IFERROR(VLOOKUP(A27,'PG Stats'!A:R,12,0),)</f>
        <v>0.06307919944</v>
      </c>
      <c r="E27" s="675">
        <f>IFERROR(VLOOKUP(A27,'PG Stats'!A:R,13,0),)</f>
        <v>0.05022973289</v>
      </c>
      <c r="F27" s="675">
        <f>IFERROR(VLOOKUP(A27,'PG Stats'!A:R,14,0),)</f>
        <v>0.2908651974</v>
      </c>
      <c r="G27" s="676">
        <f>IFERROR(VLOOKUP(A27,'PG Stats'!A:R,15,0),)</f>
        <v>0.03971653298</v>
      </c>
      <c r="H27" s="676">
        <f>IFERROR(VLOOKUP(A27,'PG Stats'!A:R,16,0),)</f>
        <v>0.01985826649</v>
      </c>
      <c r="I27" s="676">
        <f>IFERROR(VLOOKUP(A27,'PG Stats'!A:R,17,0),)</f>
        <v>0.5291643953</v>
      </c>
      <c r="J27" s="677">
        <f>IFERROR(VLOOKUP(A27,'PG Stats'!A:R,18,0),)</f>
        <v>0.9986399591</v>
      </c>
      <c r="K27" s="678"/>
      <c r="L27" s="673" t="str">
        <f>'Halo Reach Stats'!$A27</f>
        <v>Mavbrid</v>
      </c>
      <c r="M27" s="679" t="str">
        <f t="shared" ref="M27:U27" si="49">IF(B27&lt;=AA$21,"F-",IF(B27&lt;AA$20,"F",IF(B27&lt;AA$19,"F+",IF(B27&lt;AA$18,"E-",IF(B27&lt;AA$17,"E",IF(B27&lt;AA$16,"E+",IF(B27&lt;AA$15,"D-",IF(B27&lt;AA$14,"D",IF(B27&lt;AA$13,"D+",IF(B27&lt;AA$12,"C-",IF(B27&lt;AA$11,"C",IF(B27&lt;AA$10,"C+",IF(B27&lt;AA$9,"B-",IF(B27&lt;AA$8,"B",IF(B27&lt;AA$7,"B+",IF(B27&lt;AA$6,"A-",IF(B27&lt;AA$5,"A",IF(B27&lt;AA$4,"A+",IF(B27&lt;AA$3,"S-",IF(B27&lt;AA$2,"S","S+"))))))))))))))))))))</f>
        <v>A+</v>
      </c>
      <c r="N27" s="679" t="str">
        <f t="shared" si="49"/>
        <v>B</v>
      </c>
      <c r="O27" s="679" t="str">
        <f t="shared" si="49"/>
        <v>E-</v>
      </c>
      <c r="P27" s="679" t="str">
        <f t="shared" si="49"/>
        <v>B</v>
      </c>
      <c r="Q27" s="679" t="str">
        <f t="shared" si="49"/>
        <v>F+</v>
      </c>
      <c r="R27" s="679" t="str">
        <f t="shared" si="49"/>
        <v>E-</v>
      </c>
      <c r="S27" s="679" t="str">
        <f t="shared" si="49"/>
        <v>C</v>
      </c>
      <c r="T27" s="679" t="str">
        <f t="shared" si="49"/>
        <v>C</v>
      </c>
      <c r="U27" s="679" t="str">
        <f t="shared" si="49"/>
        <v>E+</v>
      </c>
      <c r="V27" s="680" t="str">
        <f t="shared" si="4"/>
        <v>D+</v>
      </c>
      <c r="W27" s="681">
        <f t="shared" si="5"/>
        <v>17.25</v>
      </c>
      <c r="X27" s="684" t="s">
        <v>436</v>
      </c>
      <c r="Y27" s="743">
        <f>PERCENTILE($W$2:$W$50,0.9)</f>
        <v>29.92</v>
      </c>
      <c r="Z27" s="678"/>
      <c r="AA27" s="742"/>
      <c r="AB27" s="678"/>
      <c r="AC27" s="678"/>
      <c r="AD27" s="678"/>
      <c r="AE27" s="678"/>
      <c r="AF27" s="678"/>
      <c r="AG27" s="678"/>
      <c r="AH27" s="678"/>
      <c r="AI27" s="678"/>
    </row>
    <row r="28">
      <c r="A28" s="673" t="str">
        <f>'Halo Reach Stats'!$A28</f>
        <v>MealyKitten0</v>
      </c>
      <c r="B28" s="674">
        <f>IFERROR(VLOOKUP(A28,'PG Stats'!A:R,10,0),)</f>
        <v>0.03406627439</v>
      </c>
      <c r="C28" s="674">
        <f>IFERROR(VLOOKUP(A28,'PG Stats'!A:R,11,0),)</f>
        <v>-0.4026014246</v>
      </c>
      <c r="D28" s="675">
        <f>IFERROR(VLOOKUP(A28,'PG Stats'!A:R,12,0),)</f>
        <v>0.08981108702</v>
      </c>
      <c r="E28" s="675">
        <f>IFERROR(VLOOKUP(A28,'PG Stats'!A:R,13,0),)</f>
        <v>0.01238773614</v>
      </c>
      <c r="F28" s="675">
        <f>IFERROR(VLOOKUP(A28,'PG Stats'!A:R,14,0),)</f>
        <v>0.4707339734</v>
      </c>
      <c r="G28" s="676">
        <f>IFERROR(VLOOKUP(A28,'PG Stats'!A:R,15,0),)</f>
        <v>0.08052028492</v>
      </c>
      <c r="H28" s="676">
        <f>IFERROR(VLOOKUP(A28,'PG Stats'!A:R,16,0),)</f>
        <v>0.009290802106</v>
      </c>
      <c r="I28" s="676">
        <f>IFERROR(VLOOKUP(A28,'PG Stats'!A:R,17,0),)</f>
        <v>0.5512542583</v>
      </c>
      <c r="J28" s="677">
        <f>IFERROR(VLOOKUP(A28,'PG Stats'!A:R,18,0),)</f>
        <v>1.691213556</v>
      </c>
      <c r="K28" s="678"/>
      <c r="L28" s="673" t="str">
        <f>'Halo Reach Stats'!$A28</f>
        <v>MealyKitten0</v>
      </c>
      <c r="M28" s="679" t="str">
        <f t="shared" ref="M28:U28" si="50">IF(B28&lt;=AA$21,"F-",IF(B28&lt;AA$20,"F",IF(B28&lt;AA$19,"F+",IF(B28&lt;AA$18,"E-",IF(B28&lt;AA$17,"E",IF(B28&lt;AA$16,"E+",IF(B28&lt;AA$15,"D-",IF(B28&lt;AA$14,"D",IF(B28&lt;AA$13,"D+",IF(B28&lt;AA$12,"C-",IF(B28&lt;AA$11,"C",IF(B28&lt;AA$10,"C+",IF(B28&lt;AA$9,"B-",IF(B28&lt;AA$8,"B",IF(B28&lt;AA$7,"B+",IF(B28&lt;AA$6,"A-",IF(B28&lt;AA$5,"A",IF(B28&lt;AA$4,"A+",IF(B28&lt;AA$3,"S-",IF(B28&lt;AA$2,"S","S+"))))))))))))))))))))</f>
        <v>C-</v>
      </c>
      <c r="N28" s="679" t="str">
        <f t="shared" si="50"/>
        <v>D+</v>
      </c>
      <c r="O28" s="679" t="str">
        <f t="shared" si="50"/>
        <v>D</v>
      </c>
      <c r="P28" s="679" t="str">
        <f t="shared" si="50"/>
        <v>E-</v>
      </c>
      <c r="Q28" s="679" t="str">
        <f t="shared" si="50"/>
        <v>B+</v>
      </c>
      <c r="R28" s="679" t="str">
        <f t="shared" si="50"/>
        <v>B-</v>
      </c>
      <c r="S28" s="679" t="str">
        <f t="shared" si="50"/>
        <v>E</v>
      </c>
      <c r="T28" s="679" t="str">
        <f t="shared" si="50"/>
        <v>B-</v>
      </c>
      <c r="U28" s="679" t="str">
        <f t="shared" si="50"/>
        <v>S-</v>
      </c>
      <c r="V28" s="680" t="str">
        <f t="shared" si="4"/>
        <v>C</v>
      </c>
      <c r="W28" s="681">
        <f t="shared" si="5"/>
        <v>20.5</v>
      </c>
      <c r="X28" s="690" t="s">
        <v>437</v>
      </c>
      <c r="Y28" s="744">
        <f>PERCENTILE($W$2:$W$50,0.85)</f>
        <v>28.1825</v>
      </c>
      <c r="Z28" s="678"/>
      <c r="AA28" s="742"/>
      <c r="AB28" s="678"/>
      <c r="AC28" s="678"/>
      <c r="AD28" s="678"/>
      <c r="AE28" s="678"/>
      <c r="AF28" s="678"/>
      <c r="AG28" s="678"/>
      <c r="AH28" s="678"/>
      <c r="AI28" s="678"/>
    </row>
    <row r="29">
      <c r="A29" s="673" t="str">
        <f>'Halo Reach Stats'!$A29</f>
        <v>Mhurcy</v>
      </c>
      <c r="B29" s="674">
        <f>IFERROR(VLOOKUP(A29,'PG Stats'!A:R,10,0),)</f>
        <v>0.0527024653</v>
      </c>
      <c r="C29" s="674">
        <f>IFERROR(VLOOKUP(A29,'PG Stats'!A:R,11,0),)</f>
        <v>-0.4145927271</v>
      </c>
      <c r="D29" s="675">
        <f>IFERROR(VLOOKUP(A29,'PG Stats'!A:R,12,0),)</f>
        <v>0.179188382</v>
      </c>
      <c r="E29" s="675">
        <f>IFERROR(VLOOKUP(A29,'PG Stats'!A:R,13,0),)</f>
        <v>0.02459448381</v>
      </c>
      <c r="F29" s="675">
        <f>IFERROR(VLOOKUP(A29,'PG Stats'!A:R,14,0),)</f>
        <v>0.4356737132</v>
      </c>
      <c r="G29" s="676">
        <f>IFERROR(VLOOKUP(A29,'PG Stats'!A:R,15,0),)</f>
        <v>0.07026995374</v>
      </c>
      <c r="H29" s="676">
        <f>IFERROR(VLOOKUP(A29,'PG Stats'!A:R,16,0),)</f>
        <v>0.02108098612</v>
      </c>
      <c r="I29" s="676">
        <f>IFERROR(VLOOKUP(A29,'PG Stats'!A:R,17,0),)</f>
        <v>0.4954031739</v>
      </c>
      <c r="J29" s="677">
        <f>IFERROR(VLOOKUP(A29,'PG Stats'!A:R,18,0),)</f>
        <v>0.7992081117</v>
      </c>
      <c r="K29" s="678"/>
      <c r="L29" s="673" t="str">
        <f>'Halo Reach Stats'!$A29</f>
        <v>Mhurcy</v>
      </c>
      <c r="M29" s="679" t="str">
        <f t="shared" ref="M29:U29" si="51">IF(B29&lt;=AA$21,"F-",IF(B29&lt;AA$20,"F",IF(B29&lt;AA$19,"F+",IF(B29&lt;AA$18,"E-",IF(B29&lt;AA$17,"E",IF(B29&lt;AA$16,"E+",IF(B29&lt;AA$15,"D-",IF(B29&lt;AA$14,"D",IF(B29&lt;AA$13,"D+",IF(B29&lt;AA$12,"C-",IF(B29&lt;AA$11,"C",IF(B29&lt;AA$10,"C+",IF(B29&lt;AA$9,"B-",IF(B29&lt;AA$8,"B",IF(B29&lt;AA$7,"B+",IF(B29&lt;AA$6,"A-",IF(B29&lt;AA$5,"A",IF(B29&lt;AA$4,"A+",IF(B29&lt;AA$3,"S-",IF(B29&lt;AA$2,"S","S+"))))))))))))))))))))</f>
        <v>B-</v>
      </c>
      <c r="N29" s="679" t="str">
        <f t="shared" si="51"/>
        <v>D</v>
      </c>
      <c r="O29" s="679" t="str">
        <f t="shared" si="51"/>
        <v>S-</v>
      </c>
      <c r="P29" s="679" t="str">
        <f t="shared" si="51"/>
        <v>D</v>
      </c>
      <c r="Q29" s="679" t="str">
        <f t="shared" si="51"/>
        <v>B-</v>
      </c>
      <c r="R29" s="679" t="str">
        <f t="shared" si="51"/>
        <v>C</v>
      </c>
      <c r="S29" s="679" t="str">
        <f t="shared" si="51"/>
        <v>C+</v>
      </c>
      <c r="T29" s="679" t="str">
        <f t="shared" si="51"/>
        <v>D-</v>
      </c>
      <c r="U29" s="679" t="str">
        <f t="shared" si="51"/>
        <v>F</v>
      </c>
      <c r="V29" s="680" t="str">
        <f t="shared" si="4"/>
        <v>C</v>
      </c>
      <c r="W29" s="681">
        <f t="shared" si="5"/>
        <v>19.95</v>
      </c>
      <c r="X29" s="694" t="s">
        <v>439</v>
      </c>
      <c r="Y29" s="745">
        <f>PERCENTILE($W$2:$W$50,0.8)</f>
        <v>25.1</v>
      </c>
      <c r="Z29" s="678"/>
      <c r="AA29" s="742"/>
      <c r="AB29" s="678"/>
      <c r="AC29" s="678"/>
      <c r="AD29" s="678"/>
      <c r="AE29" s="678"/>
      <c r="AF29" s="678"/>
      <c r="AG29" s="678"/>
      <c r="AH29" s="678"/>
      <c r="AI29" s="678"/>
    </row>
    <row r="30">
      <c r="A30" s="673" t="str">
        <f>'Halo Reach Stats'!$A30</f>
        <v>MoldyVolts</v>
      </c>
      <c r="B30" s="674">
        <f>IFERROR(VLOOKUP(A30,'PG Stats'!A:R,10,0),)</f>
        <v>0.01166520852</v>
      </c>
      <c r="C30" s="674">
        <f>IFERROR(VLOOKUP(A30,'PG Stats'!A:R,11,0),)</f>
        <v>-0.8702245553</v>
      </c>
      <c r="D30" s="675">
        <f>IFERROR(VLOOKUP(A30,'PG Stats'!A:R,12,0),)</f>
        <v>0.1341498979</v>
      </c>
      <c r="E30" s="675">
        <f>IFERROR(VLOOKUP(A30,'PG Stats'!A:R,13,0),)</f>
        <v>0.01983085448</v>
      </c>
      <c r="F30" s="675">
        <f>IFERROR(VLOOKUP(A30,'PG Stats'!A:R,14,0),)</f>
        <v>0.3079615048</v>
      </c>
      <c r="G30" s="676">
        <f>IFERROR(VLOOKUP(A30,'PG Stats'!A:R,15,0),)</f>
        <v>0.04316127151</v>
      </c>
      <c r="H30" s="676">
        <f>IFERROR(VLOOKUP(A30,'PG Stats'!A:R,16,0),)</f>
        <v>0.01749781277</v>
      </c>
      <c r="I30" s="676">
        <f>IFERROR(VLOOKUP(A30,'PG Stats'!A:R,17,0),)</f>
        <v>0.5156022164</v>
      </c>
      <c r="J30" s="677">
        <f>IFERROR(VLOOKUP(A30,'PG Stats'!A:R,18,0),)</f>
        <v>1.32824022</v>
      </c>
      <c r="K30" s="678"/>
      <c r="L30" s="673" t="str">
        <f>'Halo Reach Stats'!$A30</f>
        <v>MoldyVolts</v>
      </c>
      <c r="M30" s="679" t="str">
        <f t="shared" ref="M30:U30" si="52">IF(B30&lt;=AA$21,"F-",IF(B30&lt;AA$20,"F",IF(B30&lt;AA$19,"F+",IF(B30&lt;AA$18,"E-",IF(B30&lt;AA$17,"E",IF(B30&lt;AA$16,"E+",IF(B30&lt;AA$15,"D-",IF(B30&lt;AA$14,"D",IF(B30&lt;AA$13,"D+",IF(B30&lt;AA$12,"C-",IF(B30&lt;AA$11,"C",IF(B30&lt;AA$10,"C+",IF(B30&lt;AA$9,"B-",IF(B30&lt;AA$8,"B",IF(B30&lt;AA$7,"B+",IF(B30&lt;AA$6,"A-",IF(B30&lt;AA$5,"A",IF(B30&lt;AA$4,"A+",IF(B30&lt;AA$3,"S-",IF(B30&lt;AA$2,"S","S+"))))))))))))))))))))</f>
        <v>F</v>
      </c>
      <c r="N30" s="679" t="str">
        <f t="shared" si="52"/>
        <v>E-</v>
      </c>
      <c r="O30" s="679" t="str">
        <f t="shared" si="52"/>
        <v>B+</v>
      </c>
      <c r="P30" s="679" t="str">
        <f t="shared" si="52"/>
        <v>E+</v>
      </c>
      <c r="Q30" s="679" t="str">
        <f t="shared" si="52"/>
        <v>E-</v>
      </c>
      <c r="R30" s="679" t="str">
        <f t="shared" si="52"/>
        <v>E+</v>
      </c>
      <c r="S30" s="679" t="str">
        <f t="shared" si="52"/>
        <v>D</v>
      </c>
      <c r="T30" s="679" t="str">
        <f t="shared" si="52"/>
        <v>D+</v>
      </c>
      <c r="U30" s="679" t="str">
        <f t="shared" si="52"/>
        <v>B-</v>
      </c>
      <c r="V30" s="680" t="str">
        <f t="shared" si="4"/>
        <v>E+</v>
      </c>
      <c r="W30" s="681">
        <f t="shared" si="5"/>
        <v>13.65</v>
      </c>
      <c r="X30" s="698" t="s">
        <v>440</v>
      </c>
      <c r="Y30" s="744">
        <f>PERCENTILE($W$2:$W$50,0.75)</f>
        <v>24.4</v>
      </c>
      <c r="Z30" s="678"/>
      <c r="AA30" s="742"/>
      <c r="AB30" s="678"/>
      <c r="AC30" s="678"/>
      <c r="AD30" s="678"/>
      <c r="AE30" s="678"/>
      <c r="AF30" s="678"/>
      <c r="AG30" s="678"/>
      <c r="AH30" s="678"/>
      <c r="AI30" s="678"/>
    </row>
    <row r="31">
      <c r="A31" s="673" t="str">
        <f>'Halo Reach Stats'!$A31</f>
        <v>MuNgO PuNgO</v>
      </c>
      <c r="B31" s="674">
        <f>IFERROR(VLOOKUP(A31,'PG Stats'!A:R,10,0),)</f>
        <v>0.02365930599</v>
      </c>
      <c r="C31" s="674">
        <f>IFERROR(VLOOKUP(A31,'PG Stats'!A:R,11,0),)</f>
        <v>-2.105678233</v>
      </c>
      <c r="D31" s="675">
        <f>IFERROR(VLOOKUP(A31,'PG Stats'!A:R,12,0),)</f>
        <v>0.11829653</v>
      </c>
      <c r="E31" s="675">
        <f>IFERROR(VLOOKUP(A31,'PG Stats'!A:R,13,0),)</f>
        <v>0</v>
      </c>
      <c r="F31" s="675">
        <f>IFERROR(VLOOKUP(A31,'PG Stats'!A:R,14,0),)</f>
        <v>0.2602523659</v>
      </c>
      <c r="G31" s="676">
        <f>IFERROR(VLOOKUP(A31,'PG Stats'!A:R,15,0),)</f>
        <v>0.07097791798</v>
      </c>
      <c r="H31" s="676">
        <f>IFERROR(VLOOKUP(A31,'PG Stats'!A:R,16,0),)</f>
        <v>0</v>
      </c>
      <c r="I31" s="676">
        <f>IFERROR(VLOOKUP(A31,'PG Stats'!A:R,17,0),)</f>
        <v>0.3785488959</v>
      </c>
      <c r="J31" s="677">
        <f>IFERROR(VLOOKUP(A31,'PG Stats'!A:R,18,0),)</f>
        <v>0.9022082019</v>
      </c>
      <c r="K31" s="678"/>
      <c r="L31" s="673" t="str">
        <f>'Halo Reach Stats'!$A31</f>
        <v>MuNgO PuNgO</v>
      </c>
      <c r="M31" s="679" t="str">
        <f t="shared" ref="M31:U31" si="53">IF(B31&lt;=AA$21,"F-",IF(B31&lt;AA$20,"F",IF(B31&lt;AA$19,"F+",IF(B31&lt;AA$18,"E-",IF(B31&lt;AA$17,"E",IF(B31&lt;AA$16,"E+",IF(B31&lt;AA$15,"D-",IF(B31&lt;AA$14,"D",IF(B31&lt;AA$13,"D+",IF(B31&lt;AA$12,"C-",IF(B31&lt;AA$11,"C",IF(B31&lt;AA$10,"C+",IF(B31&lt;AA$9,"B-",IF(B31&lt;AA$8,"B",IF(B31&lt;AA$7,"B+",IF(B31&lt;AA$6,"A-",IF(B31&lt;AA$5,"A",IF(B31&lt;AA$4,"A+",IF(B31&lt;AA$3,"S-",IF(B31&lt;AA$2,"S","S+"))))))))))))))))))))</f>
        <v>E</v>
      </c>
      <c r="N31" s="679" t="str">
        <f t="shared" si="53"/>
        <v>F-</v>
      </c>
      <c r="O31" s="679" t="str">
        <f t="shared" si="53"/>
        <v>C+</v>
      </c>
      <c r="P31" s="679" t="str">
        <f t="shared" si="53"/>
        <v>F-</v>
      </c>
      <c r="Q31" s="679" t="str">
        <f t="shared" si="53"/>
        <v>F</v>
      </c>
      <c r="R31" s="679" t="str">
        <f t="shared" si="53"/>
        <v>C+</v>
      </c>
      <c r="S31" s="679" t="str">
        <f t="shared" si="53"/>
        <v>F-</v>
      </c>
      <c r="T31" s="679" t="str">
        <f t="shared" si="53"/>
        <v>F</v>
      </c>
      <c r="U31" s="679" t="str">
        <f t="shared" si="53"/>
        <v>F+</v>
      </c>
      <c r="V31" s="680" t="str">
        <f t="shared" si="4"/>
        <v>F+</v>
      </c>
      <c r="W31" s="681">
        <f t="shared" si="5"/>
        <v>10.35</v>
      </c>
      <c r="X31" s="699" t="s">
        <v>441</v>
      </c>
      <c r="Y31" s="746">
        <f>PERCENTILE($W$2:$W$50,0.7)</f>
        <v>23.485</v>
      </c>
      <c r="Z31" s="747"/>
      <c r="AA31" s="742"/>
      <c r="AB31" s="678"/>
      <c r="AC31" s="678"/>
      <c r="AD31" s="678"/>
      <c r="AE31" s="678"/>
      <c r="AF31" s="678"/>
      <c r="AG31" s="678"/>
      <c r="AH31" s="678"/>
      <c r="AI31" s="678"/>
    </row>
    <row r="32">
      <c r="A32" s="673" t="str">
        <f>'Halo Reach Stats'!$A32</f>
        <v>MysticalNovice</v>
      </c>
      <c r="B32" s="674">
        <f>IFERROR(VLOOKUP(A32,'PG Stats'!A:R,10,0),)</f>
        <v>0.01936030331</v>
      </c>
      <c r="C32" s="674">
        <f>IFERROR(VLOOKUP(A32,'PG Stats'!A:R,11,0),)</f>
        <v>-0.33638527</v>
      </c>
      <c r="D32" s="675">
        <f>IFERROR(VLOOKUP(A32,'PG Stats'!A:R,12,0),)</f>
        <v>0.1197918767</v>
      </c>
      <c r="E32" s="675">
        <f>IFERROR(VLOOKUP(A32,'PG Stats'!A:R,13,0),)</f>
        <v>0.02783043601</v>
      </c>
      <c r="F32" s="675">
        <f>IFERROR(VLOOKUP(A32,'PG Stats'!A:R,14,0),)</f>
        <v>0.7054410519</v>
      </c>
      <c r="G32" s="676">
        <f>IFERROR(VLOOKUP(A32,'PG Stats'!A:R,15,0),)</f>
        <v>0.1427822369</v>
      </c>
      <c r="H32" s="676">
        <f>IFERROR(VLOOKUP(A32,'PG Stats'!A:R,16,0),)</f>
        <v>0.02299036018</v>
      </c>
      <c r="I32" s="676">
        <f>IFERROR(VLOOKUP(A32,'PG Stats'!A:R,17,0),)</f>
        <v>0.5820191183</v>
      </c>
      <c r="J32" s="677">
        <f>IFERROR(VLOOKUP(A32,'PG Stats'!A:R,18,0),)</f>
        <v>1.213595235</v>
      </c>
      <c r="K32" s="678"/>
      <c r="L32" s="673" t="str">
        <f>'Halo Reach Stats'!$A32</f>
        <v>MysticalNovice</v>
      </c>
      <c r="M32" s="679" t="str">
        <f t="shared" ref="M32:U32" si="54">IF(B32&lt;=AA$21,"F-",IF(B32&lt;AA$20,"F",IF(B32&lt;AA$19,"F+",IF(B32&lt;AA$18,"E-",IF(B32&lt;AA$17,"E",IF(B32&lt;AA$16,"E+",IF(B32&lt;AA$15,"D-",IF(B32&lt;AA$14,"D",IF(B32&lt;AA$13,"D+",IF(B32&lt;AA$12,"C-",IF(B32&lt;AA$11,"C",IF(B32&lt;AA$10,"C+",IF(B32&lt;AA$9,"B-",IF(B32&lt;AA$8,"B",IF(B32&lt;AA$7,"B+",IF(B32&lt;AA$6,"A-",IF(B32&lt;AA$5,"A",IF(B32&lt;AA$4,"A+",IF(B32&lt;AA$3,"S-",IF(B32&lt;AA$2,"S","S+"))))))))))))))))))))</f>
        <v>E-</v>
      </c>
      <c r="N32" s="679" t="str">
        <f t="shared" si="54"/>
        <v>C</v>
      </c>
      <c r="O32" s="679" t="str">
        <f t="shared" si="54"/>
        <v>C+</v>
      </c>
      <c r="P32" s="679" t="str">
        <f t="shared" si="54"/>
        <v>D+</v>
      </c>
      <c r="Q32" s="679" t="str">
        <f t="shared" si="54"/>
        <v>S+</v>
      </c>
      <c r="R32" s="679" t="str">
        <f t="shared" si="54"/>
        <v>S</v>
      </c>
      <c r="S32" s="679" t="str">
        <f t="shared" si="54"/>
        <v>B-</v>
      </c>
      <c r="T32" s="679" t="str">
        <f t="shared" si="54"/>
        <v>B</v>
      </c>
      <c r="U32" s="679" t="str">
        <f t="shared" si="54"/>
        <v>C</v>
      </c>
      <c r="V32" s="680" t="str">
        <f t="shared" si="4"/>
        <v>A-</v>
      </c>
      <c r="W32" s="681">
        <f t="shared" si="5"/>
        <v>24.65</v>
      </c>
      <c r="X32" s="703" t="s">
        <v>443</v>
      </c>
      <c r="Y32" s="748">
        <f>PERCENTILE($W$2:$W$50,0.65)</f>
        <v>22.425</v>
      </c>
      <c r="Z32" s="678"/>
      <c r="AA32" s="742"/>
      <c r="AB32" s="678"/>
      <c r="AC32" s="678"/>
      <c r="AD32" s="678"/>
      <c r="AE32" s="678"/>
      <c r="AF32" s="678"/>
      <c r="AG32" s="678"/>
      <c r="AH32" s="678"/>
      <c r="AI32" s="678"/>
    </row>
    <row r="33">
      <c r="A33" s="673" t="str">
        <f>'Halo Reach Stats'!$A33</f>
        <v>oDhmon</v>
      </c>
      <c r="B33" s="674">
        <f>IFERROR(VLOOKUP(A33,'PG Stats'!A:R,10,0),)</f>
        <v>0.05154522641</v>
      </c>
      <c r="C33" s="674">
        <f>IFERROR(VLOOKUP(A33,'PG Stats'!A:R,11,0),)</f>
        <v>0.9386657021</v>
      </c>
      <c r="D33" s="675">
        <f>IFERROR(VLOOKUP(A33,'PG Stats'!A:R,12,0),)</f>
        <v>0.2997761852</v>
      </c>
      <c r="E33" s="675">
        <f>IFERROR(VLOOKUP(A33,'PG Stats'!A:R,13,0),)</f>
        <v>0.09223882622</v>
      </c>
      <c r="F33" s="675">
        <f>IFERROR(VLOOKUP(A33,'PG Stats'!A:R,14,0),)</f>
        <v>0.6402459702</v>
      </c>
      <c r="G33" s="676">
        <f>IFERROR(VLOOKUP(A33,'PG Stats'!A:R,15,0),)</f>
        <v>0.09902109285</v>
      </c>
      <c r="H33" s="676">
        <f>IFERROR(VLOOKUP(A33,'PG Stats'!A:R,16,0),)</f>
        <v>0.08274365293</v>
      </c>
      <c r="I33" s="676">
        <f>IFERROR(VLOOKUP(A33,'PG Stats'!A:R,17,0),)</f>
        <v>0.6307507969</v>
      </c>
      <c r="J33" s="677">
        <f>IFERROR(VLOOKUP(A33,'PG Stats'!A:R,18,0),)</f>
        <v>1.194584257</v>
      </c>
      <c r="K33" s="678"/>
      <c r="L33" s="673" t="str">
        <f>'Halo Reach Stats'!$A33</f>
        <v>oDhmon</v>
      </c>
      <c r="M33" s="679" t="str">
        <f t="shared" ref="M33:U33" si="55">IF(B33&lt;=AA$21,"F-",IF(B33&lt;AA$20,"F",IF(B33&lt;AA$19,"F+",IF(B33&lt;AA$18,"E-",IF(B33&lt;AA$17,"E",IF(B33&lt;AA$16,"E+",IF(B33&lt;AA$15,"D-",IF(B33&lt;AA$14,"D",IF(B33&lt;AA$13,"D+",IF(B33&lt;AA$12,"C-",IF(B33&lt;AA$11,"C",IF(B33&lt;AA$10,"C+",IF(B33&lt;AA$9,"B-",IF(B33&lt;AA$8,"B",IF(B33&lt;AA$7,"B+",IF(B33&lt;AA$6,"A-",IF(B33&lt;AA$5,"A",IF(B33&lt;AA$4,"A+",IF(B33&lt;AA$3,"S-",IF(B33&lt;AA$2,"S","S+"))))))))))))))))))))</f>
        <v>C+</v>
      </c>
      <c r="N33" s="679" t="str">
        <f t="shared" si="55"/>
        <v>S+</v>
      </c>
      <c r="O33" s="679" t="str">
        <f t="shared" si="55"/>
        <v>S+</v>
      </c>
      <c r="P33" s="679" t="str">
        <f t="shared" si="55"/>
        <v>S-</v>
      </c>
      <c r="Q33" s="679" t="str">
        <f t="shared" si="55"/>
        <v>S-</v>
      </c>
      <c r="R33" s="679" t="str">
        <f t="shared" si="55"/>
        <v>A</v>
      </c>
      <c r="S33" s="679" t="str">
        <f t="shared" si="55"/>
        <v>S-</v>
      </c>
      <c r="T33" s="679" t="str">
        <f t="shared" si="55"/>
        <v>A</v>
      </c>
      <c r="U33" s="679" t="str">
        <f t="shared" si="55"/>
        <v>D+</v>
      </c>
      <c r="V33" s="680" t="str">
        <f t="shared" si="4"/>
        <v>S-</v>
      </c>
      <c r="W33" s="681">
        <f t="shared" si="5"/>
        <v>31.4</v>
      </c>
      <c r="X33" s="699" t="s">
        <v>444</v>
      </c>
      <c r="Y33" s="749">
        <f>PERCENTILE($W$2:$W$50,0.6)</f>
        <v>21.69</v>
      </c>
      <c r="Z33" s="678"/>
      <c r="AA33" s="742"/>
      <c r="AB33" s="678"/>
      <c r="AC33" s="678"/>
      <c r="AD33" s="678"/>
      <c r="AE33" s="678"/>
      <c r="AF33" s="678"/>
      <c r="AG33" s="678"/>
      <c r="AH33" s="678"/>
      <c r="AI33" s="678"/>
    </row>
    <row r="34">
      <c r="A34" s="673" t="str">
        <f>'Halo Reach Stats'!$A34</f>
        <v>oh zilly</v>
      </c>
      <c r="B34" s="674">
        <f>IFERROR(VLOOKUP(A34,'PG Stats'!A:R,10,0),)</f>
        <v>0.02895752896</v>
      </c>
      <c r="C34" s="674">
        <f>IFERROR(VLOOKUP(A34,'PG Stats'!A:R,11,0),)</f>
        <v>-0.6402831403</v>
      </c>
      <c r="D34" s="675">
        <f>IFERROR(VLOOKUP(A34,'PG Stats'!A:R,12,0),)</f>
        <v>0.1624839125</v>
      </c>
      <c r="E34" s="675">
        <f>IFERROR(VLOOKUP(A34,'PG Stats'!A:R,13,0),)</f>
        <v>0.02895752896</v>
      </c>
      <c r="F34" s="675">
        <f>IFERROR(VLOOKUP(A34,'PG Stats'!A:R,14,0),)</f>
        <v>0.5501930502</v>
      </c>
      <c r="G34" s="676">
        <f>IFERROR(VLOOKUP(A34,'PG Stats'!A:R,15,0),)</f>
        <v>0.1013513514</v>
      </c>
      <c r="H34" s="676">
        <f>IFERROR(VLOOKUP(A34,'PG Stats'!A:R,16,0),)</f>
        <v>0.02734877735</v>
      </c>
      <c r="I34" s="676">
        <f>IFERROR(VLOOKUP(A34,'PG Stats'!A:R,17,0),)</f>
        <v>0.5212355212</v>
      </c>
      <c r="J34" s="677">
        <f>IFERROR(VLOOKUP(A34,'PG Stats'!A:R,18,0),)</f>
        <v>1.351622299</v>
      </c>
      <c r="K34" s="678"/>
      <c r="L34" s="673" t="str">
        <f>'Halo Reach Stats'!$A34</f>
        <v>oh zilly</v>
      </c>
      <c r="M34" s="679" t="str">
        <f t="shared" ref="M34:U34" si="56">IF(B34&lt;=AA$21,"F-",IF(B34&lt;AA$20,"F",IF(B34&lt;AA$19,"F+",IF(B34&lt;AA$18,"E-",IF(B34&lt;AA$17,"E",IF(B34&lt;AA$16,"E+",IF(B34&lt;AA$15,"D-",IF(B34&lt;AA$14,"D",IF(B34&lt;AA$13,"D+",IF(B34&lt;AA$12,"C-",IF(B34&lt;AA$11,"C",IF(B34&lt;AA$10,"C+",IF(B34&lt;AA$9,"B-",IF(B34&lt;AA$8,"B",IF(B34&lt;AA$7,"B+",IF(B34&lt;AA$6,"A-",IF(B34&lt;AA$5,"A",IF(B34&lt;AA$4,"A+",IF(B34&lt;AA$3,"S-",IF(B34&lt;AA$2,"S","S+"))))))))))))))))))))</f>
        <v>D-</v>
      </c>
      <c r="N34" s="679" t="str">
        <f t="shared" si="56"/>
        <v>E+</v>
      </c>
      <c r="O34" s="679" t="str">
        <f t="shared" si="56"/>
        <v>A+</v>
      </c>
      <c r="P34" s="679" t="str">
        <f t="shared" si="56"/>
        <v>C-</v>
      </c>
      <c r="Q34" s="679" t="str">
        <f t="shared" si="56"/>
        <v>A</v>
      </c>
      <c r="R34" s="679" t="str">
        <f t="shared" si="56"/>
        <v>A</v>
      </c>
      <c r="S34" s="679" t="str">
        <f t="shared" si="56"/>
        <v>B</v>
      </c>
      <c r="T34" s="679" t="str">
        <f t="shared" si="56"/>
        <v>C-</v>
      </c>
      <c r="U34" s="679" t="str">
        <f t="shared" si="56"/>
        <v>B-</v>
      </c>
      <c r="V34" s="680" t="str">
        <f t="shared" si="4"/>
        <v>B</v>
      </c>
      <c r="W34" s="681">
        <f t="shared" si="5"/>
        <v>22.9</v>
      </c>
      <c r="X34" s="716" t="s">
        <v>445</v>
      </c>
      <c r="Y34" s="750">
        <f>PERCENTILE($W$2:$W$50,0.55)</f>
        <v>20.535</v>
      </c>
      <c r="Z34" s="678"/>
      <c r="AA34" s="742"/>
      <c r="AB34" s="678"/>
      <c r="AC34" s="678"/>
      <c r="AD34" s="678"/>
      <c r="AE34" s="678"/>
      <c r="AF34" s="678"/>
      <c r="AG34" s="678"/>
      <c r="AH34" s="678"/>
      <c r="AI34" s="678"/>
    </row>
    <row r="35">
      <c r="A35" s="673" t="str">
        <f>'Halo Reach Stats'!$A35</f>
        <v>Scullen cx</v>
      </c>
      <c r="B35" s="674">
        <f>IFERROR(VLOOKUP(A35,'PG Stats'!A:R,10,0),)</f>
        <v>0.05349807343</v>
      </c>
      <c r="C35" s="674">
        <f>IFERROR(VLOOKUP(A35,'PG Stats'!A:R,11,0),)</f>
        <v>-0.9763398401</v>
      </c>
      <c r="D35" s="675">
        <f>IFERROR(VLOOKUP(A35,'PG Stats'!A:R,12,0),)</f>
        <v>0.06305130083</v>
      </c>
      <c r="E35" s="675">
        <f>IFERROR(VLOOKUP(A35,'PG Stats'!A:R,13,0),)</f>
        <v>0.02101710028</v>
      </c>
      <c r="F35" s="675">
        <f>IFERROR(VLOOKUP(A35,'PG Stats'!A:R,14,0),)</f>
        <v>0.4394484603</v>
      </c>
      <c r="G35" s="676">
        <f>IFERROR(VLOOKUP(A35,'PG Stats'!A:R,15,0),)</f>
        <v>0.07069388275</v>
      </c>
      <c r="H35" s="676">
        <f>IFERROR(VLOOKUP(A35,'PG Stats'!A:R,16,0),)</f>
        <v>0.0191064548</v>
      </c>
      <c r="I35" s="676">
        <f>IFERROR(VLOOKUP(A35,'PG Stats'!A:R,17,0),)</f>
        <v>0.5712829984</v>
      </c>
      <c r="J35" s="677">
        <f>IFERROR(VLOOKUP(A35,'PG Stats'!A:R,18,0),)</f>
        <v>1.48021845</v>
      </c>
      <c r="K35" s="678"/>
      <c r="L35" s="673" t="str">
        <f>'Halo Reach Stats'!$A35</f>
        <v>Scullen cx</v>
      </c>
      <c r="M35" s="679" t="str">
        <f t="shared" ref="M35:U35" si="57">IF(B35&lt;=AA$21,"F-",IF(B35&lt;AA$20,"F",IF(B35&lt;AA$19,"F+",IF(B35&lt;AA$18,"E-",IF(B35&lt;AA$17,"E",IF(B35&lt;AA$16,"E+",IF(B35&lt;AA$15,"D-",IF(B35&lt;AA$14,"D",IF(B35&lt;AA$13,"D+",IF(B35&lt;AA$12,"C-",IF(B35&lt;AA$11,"C",IF(B35&lt;AA$10,"C+",IF(B35&lt;AA$9,"B-",IF(B35&lt;AA$8,"B",IF(B35&lt;AA$7,"B+",IF(B35&lt;AA$6,"A-",IF(B35&lt;AA$5,"A",IF(B35&lt;AA$4,"A+",IF(B35&lt;AA$3,"S-",IF(B35&lt;AA$2,"S","S+"))))))))))))))))))))</f>
        <v>B-</v>
      </c>
      <c r="N35" s="679" t="str">
        <f t="shared" si="57"/>
        <v>F+</v>
      </c>
      <c r="O35" s="679" t="str">
        <f t="shared" si="57"/>
        <v>E-</v>
      </c>
      <c r="P35" s="679" t="str">
        <f t="shared" si="57"/>
        <v>E+</v>
      </c>
      <c r="Q35" s="679" t="str">
        <f t="shared" si="57"/>
        <v>B</v>
      </c>
      <c r="R35" s="679" t="str">
        <f t="shared" si="57"/>
        <v>C+</v>
      </c>
      <c r="S35" s="679" t="str">
        <f t="shared" si="57"/>
        <v>C-</v>
      </c>
      <c r="T35" s="679" t="str">
        <f t="shared" si="57"/>
        <v>B</v>
      </c>
      <c r="U35" s="679" t="str">
        <f t="shared" si="57"/>
        <v>A-</v>
      </c>
      <c r="V35" s="680" t="str">
        <f t="shared" si="4"/>
        <v>C-</v>
      </c>
      <c r="W35" s="681">
        <f t="shared" si="5"/>
        <v>18.95</v>
      </c>
      <c r="X35" s="712" t="s">
        <v>447</v>
      </c>
      <c r="Y35" s="751">
        <f>PERCENTILE($W$2:$W$50,0.5)</f>
        <v>19.45</v>
      </c>
      <c r="Z35" s="678"/>
      <c r="AA35" s="742"/>
      <c r="AB35" s="678"/>
      <c r="AC35" s="678"/>
      <c r="AD35" s="678"/>
      <c r="AE35" s="678"/>
      <c r="AF35" s="678"/>
      <c r="AG35" s="678"/>
      <c r="AH35" s="678"/>
      <c r="AI35" s="678"/>
    </row>
    <row r="36">
      <c r="A36" s="673" t="str">
        <f>'Halo Reach Stats'!$A36</f>
        <v>Solace VIII</v>
      </c>
      <c r="B36" s="674">
        <f>IFERROR(VLOOKUP(A36,'PG Stats'!A:R,10,0),)</f>
        <v>0.03648866746</v>
      </c>
      <c r="C36" s="674">
        <f>IFERROR(VLOOKUP(A36,'PG Stats'!A:R,11,0),)</f>
        <v>0.4111992141</v>
      </c>
      <c r="D36" s="675">
        <f>IFERROR(VLOOKUP(A36,'PG Stats'!A:R,12,0),)</f>
        <v>0.141744439</v>
      </c>
      <c r="E36" s="675">
        <f>IFERROR(VLOOKUP(A36,'PG Stats'!A:R,13,0),)</f>
        <v>0.07859097607</v>
      </c>
      <c r="F36" s="675">
        <f>IFERROR(VLOOKUP(A36,'PG Stats'!A:R,14,0),)</f>
        <v>0.6020630131</v>
      </c>
      <c r="G36" s="676">
        <f>IFERROR(VLOOKUP(A36,'PG Stats'!A:R,15,0),)</f>
        <v>0.102448951</v>
      </c>
      <c r="H36" s="676">
        <f>IFERROR(VLOOKUP(A36,'PG Stats'!A:R,16,0),)</f>
        <v>0.06876710406</v>
      </c>
      <c r="I36" s="676">
        <f>IFERROR(VLOOKUP(A36,'PG Stats'!A:R,17,0),)</f>
        <v>0.655392604</v>
      </c>
      <c r="J36" s="677">
        <f>IFERROR(VLOOKUP(A36,'PG Stats'!A:R,18,0),)</f>
        <v>1.534505515</v>
      </c>
      <c r="K36" s="678"/>
      <c r="L36" s="673" t="str">
        <f>'Halo Reach Stats'!$A36</f>
        <v>Solace VIII</v>
      </c>
      <c r="M36" s="679" t="str">
        <f t="shared" ref="M36:U36" si="58">IF(B36&lt;=AA$21,"F-",IF(B36&lt;AA$20,"F",IF(B36&lt;AA$19,"F+",IF(B36&lt;AA$18,"E-",IF(B36&lt;AA$17,"E",IF(B36&lt;AA$16,"E+",IF(B36&lt;AA$15,"D-",IF(B36&lt;AA$14,"D",IF(B36&lt;AA$13,"D+",IF(B36&lt;AA$12,"C-",IF(B36&lt;AA$11,"C",IF(B36&lt;AA$10,"C+",IF(B36&lt;AA$9,"B-",IF(B36&lt;AA$8,"B",IF(B36&lt;AA$7,"B+",IF(B36&lt;AA$6,"A-",IF(B36&lt;AA$5,"A",IF(B36&lt;AA$4,"A+",IF(B36&lt;AA$3,"S-",IF(B36&lt;AA$2,"S","S+"))))))))))))))))))))</f>
        <v>C</v>
      </c>
      <c r="N36" s="679" t="str">
        <f t="shared" si="58"/>
        <v>A</v>
      </c>
      <c r="O36" s="679" t="str">
        <f t="shared" si="58"/>
        <v>A</v>
      </c>
      <c r="P36" s="679" t="str">
        <f t="shared" si="58"/>
        <v>A+</v>
      </c>
      <c r="Q36" s="679" t="str">
        <f t="shared" si="58"/>
        <v>A+</v>
      </c>
      <c r="R36" s="679" t="str">
        <f t="shared" si="58"/>
        <v>A+</v>
      </c>
      <c r="S36" s="679" t="str">
        <f t="shared" si="58"/>
        <v>S-</v>
      </c>
      <c r="T36" s="679" t="str">
        <f t="shared" si="58"/>
        <v>A+</v>
      </c>
      <c r="U36" s="679" t="str">
        <f t="shared" si="58"/>
        <v>A+</v>
      </c>
      <c r="V36" s="680" t="str">
        <f t="shared" si="4"/>
        <v>S-</v>
      </c>
      <c r="W36" s="681">
        <f t="shared" si="5"/>
        <v>30.55</v>
      </c>
      <c r="X36" s="716" t="s">
        <v>448</v>
      </c>
      <c r="Y36" s="752">
        <f>PERCENTILE($W$2:$W$50,0.45)</f>
        <v>18.13</v>
      </c>
      <c r="Z36" s="678"/>
      <c r="AA36" s="742"/>
      <c r="AB36" s="678"/>
      <c r="AC36" s="678"/>
      <c r="AD36" s="678"/>
      <c r="AE36" s="678"/>
      <c r="AF36" s="678"/>
      <c r="AG36" s="678"/>
      <c r="AH36" s="678"/>
      <c r="AI36" s="678"/>
    </row>
    <row r="37">
      <c r="A37" s="673" t="str">
        <f>'Halo Reach Stats'!$A37</f>
        <v>SPANKTR0N</v>
      </c>
      <c r="B37" s="674">
        <f>IFERROR(VLOOKUP(A37,'PG Stats'!A:R,10,0),)</f>
        <v>0.02500757805</v>
      </c>
      <c r="C37" s="674">
        <f>IFERROR(VLOOKUP(A37,'PG Stats'!A:R,11,0),)</f>
        <v>-0.1409518036</v>
      </c>
      <c r="D37" s="675">
        <f>IFERROR(VLOOKUP(A37,'PG Stats'!A:R,12,0),)</f>
        <v>0.109123977</v>
      </c>
      <c r="E37" s="675">
        <f>IFERROR(VLOOKUP(A37,'PG Stats'!A:R,13,0),)</f>
        <v>0.06138223704</v>
      </c>
      <c r="F37" s="675">
        <f>IFERROR(VLOOKUP(A37,'PG Stats'!A:R,14,0),)</f>
        <v>0.4364959079</v>
      </c>
      <c r="G37" s="676">
        <f>IFERROR(VLOOKUP(A37,'PG Stats'!A:R,15,0),)</f>
        <v>0.09775689603</v>
      </c>
      <c r="H37" s="676">
        <f>IFERROR(VLOOKUP(A37,'PG Stats'!A:R,16,0),)</f>
        <v>0.06138223704</v>
      </c>
      <c r="I37" s="676">
        <f>IFERROR(VLOOKUP(A37,'PG Stats'!A:R,17,0),)</f>
        <v>0.5137920582</v>
      </c>
      <c r="J37" s="677">
        <f>IFERROR(VLOOKUP(A37,'PG Stats'!A:R,18,0),)</f>
        <v>1.039879509</v>
      </c>
      <c r="K37" s="678"/>
      <c r="L37" s="673" t="str">
        <f>'Halo Reach Stats'!$A37</f>
        <v>SPANKTR0N</v>
      </c>
      <c r="M37" s="679" t="str">
        <f t="shared" ref="M37:U37" si="59">IF(B37&lt;=AA$21,"F-",IF(B37&lt;AA$20,"F",IF(B37&lt;AA$19,"F+",IF(B37&lt;AA$18,"E-",IF(B37&lt;AA$17,"E",IF(B37&lt;AA$16,"E+",IF(B37&lt;AA$15,"D-",IF(B37&lt;AA$14,"D",IF(B37&lt;AA$13,"D+",IF(B37&lt;AA$12,"C-",IF(B37&lt;AA$11,"C",IF(B37&lt;AA$10,"C+",IF(B37&lt;AA$9,"B-",IF(B37&lt;AA$8,"B",IF(B37&lt;AA$7,"B+",IF(B37&lt;AA$6,"A-",IF(B37&lt;AA$5,"A",IF(B37&lt;AA$4,"A+",IF(B37&lt;AA$3,"S-",IF(B37&lt;AA$2,"S","S+"))))))))))))))))))))</f>
        <v>E+</v>
      </c>
      <c r="N37" s="679" t="str">
        <f t="shared" si="59"/>
        <v>C+</v>
      </c>
      <c r="O37" s="679" t="str">
        <f t="shared" si="59"/>
        <v>C</v>
      </c>
      <c r="P37" s="679" t="str">
        <f t="shared" si="59"/>
        <v>A-</v>
      </c>
      <c r="Q37" s="679" t="str">
        <f t="shared" si="59"/>
        <v>B-</v>
      </c>
      <c r="R37" s="679" t="str">
        <f t="shared" si="59"/>
        <v>A-</v>
      </c>
      <c r="S37" s="679" t="str">
        <f t="shared" si="59"/>
        <v>A+</v>
      </c>
      <c r="T37" s="679" t="str">
        <f t="shared" si="59"/>
        <v>D</v>
      </c>
      <c r="U37" s="679" t="str">
        <f t="shared" si="59"/>
        <v>D-</v>
      </c>
      <c r="V37" s="680" t="str">
        <f t="shared" si="4"/>
        <v>C+</v>
      </c>
      <c r="W37" s="681">
        <f t="shared" si="5"/>
        <v>21.6</v>
      </c>
      <c r="X37" s="753" t="s">
        <v>449</v>
      </c>
      <c r="Y37" s="754">
        <f>PERCENTILE($W$2:$W$50,0.4)</f>
        <v>17.17</v>
      </c>
      <c r="Z37" s="678"/>
      <c r="AA37" s="742"/>
      <c r="AB37" s="678"/>
      <c r="AC37" s="678"/>
      <c r="AD37" s="678"/>
      <c r="AE37" s="678"/>
      <c r="AF37" s="678"/>
      <c r="AG37" s="678"/>
      <c r="AH37" s="678"/>
      <c r="AI37" s="678"/>
    </row>
    <row r="38">
      <c r="A38" s="673" t="str">
        <f>'Halo Reach Stats'!$A38</f>
        <v>TommyWstSide</v>
      </c>
      <c r="B38" s="674">
        <f>IFERROR(VLOOKUP(A38,'PG Stats'!A:R,10,0),)</f>
        <v>0.02959524155</v>
      </c>
      <c r="C38" s="674">
        <f>IFERROR(VLOOKUP(A38,'PG Stats'!A:R,11,0),)</f>
        <v>-0.9400841433</v>
      </c>
      <c r="D38" s="675">
        <f>IFERROR(VLOOKUP(A38,'PG Stats'!A:R,12,0),)</f>
        <v>0.08704482809</v>
      </c>
      <c r="E38" s="675">
        <f>IFERROR(VLOOKUP(A38,'PG Stats'!A:R,13,0),)</f>
        <v>0.005222689685</v>
      </c>
      <c r="F38" s="675">
        <f>IFERROR(VLOOKUP(A38,'PG Stats'!A:R,14,0),)</f>
        <v>0.3272885536</v>
      </c>
      <c r="G38" s="676">
        <f>IFERROR(VLOOKUP(A38,'PG Stats'!A:R,15,0),)</f>
        <v>0.03133613811</v>
      </c>
      <c r="H38" s="676">
        <f>IFERROR(VLOOKUP(A38,'PG Stats'!A:R,16,0),)</f>
        <v>0.003481793123</v>
      </c>
      <c r="I38" s="676">
        <f>IFERROR(VLOOKUP(A38,'PG Stats'!A:R,17,0),)</f>
        <v>0.4508922095</v>
      </c>
      <c r="J38" s="677">
        <f>IFERROR(VLOOKUP(A38,'PG Stats'!A:R,18,0),)</f>
        <v>1.040959427</v>
      </c>
      <c r="K38" s="678"/>
      <c r="L38" s="673" t="str">
        <f>'Halo Reach Stats'!$A38</f>
        <v>TommyWstSide</v>
      </c>
      <c r="M38" s="679" t="str">
        <f t="shared" ref="M38:U38" si="60">IF(B38&lt;=AA$21,"F-",IF(B38&lt;AA$20,"F",IF(B38&lt;AA$19,"F+",IF(B38&lt;AA$18,"E-",IF(B38&lt;AA$17,"E",IF(B38&lt;AA$16,"E+",IF(B38&lt;AA$15,"D-",IF(B38&lt;AA$14,"D",IF(B38&lt;AA$13,"D+",IF(B38&lt;AA$12,"C-",IF(B38&lt;AA$11,"C",IF(B38&lt;AA$10,"C+",IF(B38&lt;AA$9,"B-",IF(B38&lt;AA$8,"B",IF(B38&lt;AA$7,"B+",IF(B38&lt;AA$6,"A-",IF(B38&lt;AA$5,"A",IF(B38&lt;AA$4,"A+",IF(B38&lt;AA$3,"S-",IF(B38&lt;AA$2,"S","S+"))))))))))))))))))))</f>
        <v>D</v>
      </c>
      <c r="N38" s="679" t="str">
        <f t="shared" si="60"/>
        <v>F+</v>
      </c>
      <c r="O38" s="679" t="str">
        <f t="shared" si="60"/>
        <v>D-</v>
      </c>
      <c r="P38" s="679" t="str">
        <f t="shared" si="60"/>
        <v>F</v>
      </c>
      <c r="Q38" s="679" t="str">
        <f t="shared" si="60"/>
        <v>E+</v>
      </c>
      <c r="R38" s="679" t="str">
        <f t="shared" si="60"/>
        <v>F</v>
      </c>
      <c r="S38" s="679" t="str">
        <f t="shared" si="60"/>
        <v>F+</v>
      </c>
      <c r="T38" s="679" t="str">
        <f t="shared" si="60"/>
        <v>E-</v>
      </c>
      <c r="U38" s="679" t="str">
        <f t="shared" si="60"/>
        <v>D-</v>
      </c>
      <c r="V38" s="680" t="str">
        <f t="shared" si="4"/>
        <v>F</v>
      </c>
      <c r="W38" s="681">
        <f t="shared" si="5"/>
        <v>9.45</v>
      </c>
      <c r="X38" s="721" t="s">
        <v>451</v>
      </c>
      <c r="Y38" s="755">
        <f>PERCENTILE($W$2:$W$50,0.35)</f>
        <v>15.4875</v>
      </c>
      <c r="Z38" s="678"/>
      <c r="AA38" s="742"/>
      <c r="AB38" s="678"/>
      <c r="AC38" s="678"/>
      <c r="AD38" s="678"/>
      <c r="AE38" s="678"/>
      <c r="AF38" s="678"/>
      <c r="AG38" s="678"/>
      <c r="AH38" s="678"/>
      <c r="AI38" s="678"/>
    </row>
    <row r="39">
      <c r="A39" s="673" t="str">
        <f>'Halo Reach Stats'!$A39</f>
        <v>yLuxe</v>
      </c>
      <c r="B39" s="674">
        <f>IFERROR(VLOOKUP(A39,'PG Stats'!A:R,10,0),)</f>
        <v>0.8429567346</v>
      </c>
      <c r="C39" s="674">
        <f>IFERROR(VLOOKUP(A39,'PG Stats'!A:R,11,0),)</f>
        <v>0.676919802</v>
      </c>
      <c r="D39" s="675">
        <f>IFERROR(VLOOKUP(A39,'PG Stats'!A:R,12,0),)</f>
        <v>0.04629876004</v>
      </c>
      <c r="E39" s="675">
        <f>IFERROR(VLOOKUP(A39,'PG Stats'!A:R,13,0),)</f>
        <v>0.09579053802</v>
      </c>
      <c r="F39" s="675">
        <f>IFERROR(VLOOKUP(A39,'PG Stats'!A:R,14,0),)</f>
        <v>0.3544249907</v>
      </c>
      <c r="G39" s="676">
        <f>IFERROR(VLOOKUP(A39,'PG Stats'!A:R,15,0),)</f>
        <v>0.08780799319</v>
      </c>
      <c r="H39" s="676">
        <f>IFERROR(VLOOKUP(A39,'PG Stats'!A:R,16,0),)</f>
        <v>0.01756159864</v>
      </c>
      <c r="I39" s="676">
        <f>IFERROR(VLOOKUP(A39,'PG Stats'!A:R,17,0),)</f>
        <v>0.5667606833</v>
      </c>
      <c r="J39" s="677">
        <f>IFERROR(VLOOKUP(A39,'PG Stats'!A:R,18,0),)</f>
        <v>1.76342398</v>
      </c>
      <c r="K39" s="678"/>
      <c r="L39" s="673" t="str">
        <f>'Halo Reach Stats'!$A39</f>
        <v>yLuxe</v>
      </c>
      <c r="M39" s="679" t="str">
        <f t="shared" ref="M39:U39" si="61">IF(B39&lt;=AA$21,"F-",IF(B39&lt;AA$20,"F",IF(B39&lt;AA$19,"F+",IF(B39&lt;AA$18,"E-",IF(B39&lt;AA$17,"E",IF(B39&lt;AA$16,"E+",IF(B39&lt;AA$15,"D-",IF(B39&lt;AA$14,"D",IF(B39&lt;AA$13,"D+",IF(B39&lt;AA$12,"C-",IF(B39&lt;AA$11,"C",IF(B39&lt;AA$10,"C+",IF(B39&lt;AA$9,"B-",IF(B39&lt;AA$8,"B",IF(B39&lt;AA$7,"B+",IF(B39&lt;AA$6,"A-",IF(B39&lt;AA$5,"A",IF(B39&lt;AA$4,"A+",IF(B39&lt;AA$3,"S-",IF(B39&lt;AA$2,"S","S+"))))))))))))))))))))</f>
        <v>S+</v>
      </c>
      <c r="N39" s="679" t="str">
        <f t="shared" si="61"/>
        <v>S-</v>
      </c>
      <c r="O39" s="679" t="str">
        <f t="shared" si="61"/>
        <v>F</v>
      </c>
      <c r="P39" s="679" t="str">
        <f t="shared" si="61"/>
        <v>S</v>
      </c>
      <c r="Q39" s="679" t="str">
        <f t="shared" si="61"/>
        <v>D</v>
      </c>
      <c r="R39" s="679" t="str">
        <f t="shared" si="61"/>
        <v>B+</v>
      </c>
      <c r="S39" s="679" t="str">
        <f t="shared" si="61"/>
        <v>D+</v>
      </c>
      <c r="T39" s="679" t="str">
        <f t="shared" si="61"/>
        <v>B-</v>
      </c>
      <c r="U39" s="679" t="str">
        <f t="shared" si="61"/>
        <v>S</v>
      </c>
      <c r="V39" s="680" t="str">
        <f t="shared" si="4"/>
        <v>A</v>
      </c>
      <c r="W39" s="681">
        <f t="shared" si="5"/>
        <v>25.3</v>
      </c>
      <c r="X39" s="753" t="s">
        <v>452</v>
      </c>
      <c r="Y39" s="756">
        <f>PERCENTILE($W$2:$W$50,0.3)</f>
        <v>13.715</v>
      </c>
      <c r="Z39" s="678"/>
      <c r="AA39" s="742"/>
      <c r="AB39" s="678"/>
      <c r="AC39" s="678"/>
      <c r="AD39" s="678"/>
      <c r="AE39" s="678"/>
      <c r="AF39" s="678"/>
      <c r="AG39" s="678"/>
      <c r="AH39" s="678"/>
      <c r="AI39" s="678"/>
    </row>
    <row r="40">
      <c r="A40" s="673"/>
      <c r="B40" s="757"/>
      <c r="C40" s="757"/>
      <c r="D40" s="757"/>
      <c r="E40" s="757"/>
      <c r="F40" s="757"/>
      <c r="G40" s="757"/>
      <c r="H40" s="757"/>
      <c r="I40" s="758"/>
      <c r="J40" s="758"/>
      <c r="K40" s="678"/>
      <c r="L40" s="673"/>
      <c r="M40" s="679"/>
      <c r="N40" s="679"/>
      <c r="O40" s="679"/>
      <c r="P40" s="679"/>
      <c r="Q40" s="679"/>
      <c r="R40" s="679"/>
      <c r="S40" s="679"/>
      <c r="T40" s="679"/>
      <c r="U40" s="679"/>
      <c r="V40" s="680"/>
      <c r="W40" s="681"/>
      <c r="X40" s="735" t="s">
        <v>453</v>
      </c>
      <c r="Y40" s="759">
        <f>PERCENTILE($W$2:$W$50,0.25)</f>
        <v>13.3875</v>
      </c>
      <c r="Z40" s="678"/>
      <c r="AA40" s="742"/>
      <c r="AB40" s="678"/>
      <c r="AC40" s="678"/>
      <c r="AD40" s="678"/>
      <c r="AE40" s="678"/>
      <c r="AF40" s="678"/>
      <c r="AG40" s="678"/>
      <c r="AH40" s="678"/>
      <c r="AI40" s="678"/>
    </row>
    <row r="41">
      <c r="A41" s="673"/>
      <c r="B41" s="757"/>
      <c r="C41" s="757"/>
      <c r="D41" s="757"/>
      <c r="E41" s="757"/>
      <c r="F41" s="757"/>
      <c r="G41" s="757"/>
      <c r="H41" s="757"/>
      <c r="I41" s="758"/>
      <c r="J41" s="758"/>
      <c r="K41" s="678"/>
      <c r="L41" s="673"/>
      <c r="M41" s="679"/>
      <c r="N41" s="679"/>
      <c r="O41" s="679"/>
      <c r="P41" s="679"/>
      <c r="Q41" s="679"/>
      <c r="R41" s="679"/>
      <c r="S41" s="679"/>
      <c r="T41" s="679"/>
      <c r="U41" s="679"/>
      <c r="V41" s="680"/>
      <c r="W41" s="681"/>
      <c r="X41" s="731" t="s">
        <v>455</v>
      </c>
      <c r="Y41" s="760">
        <f>PERCENTILE($W$2:$W$50,0.2)</f>
        <v>12.57</v>
      </c>
      <c r="Z41" s="678"/>
      <c r="AA41" s="742"/>
      <c r="AB41" s="678"/>
      <c r="AC41" s="678"/>
      <c r="AD41" s="678"/>
      <c r="AE41" s="678"/>
      <c r="AF41" s="678"/>
      <c r="AG41" s="678"/>
      <c r="AH41" s="678"/>
      <c r="AI41" s="678"/>
    </row>
    <row r="42">
      <c r="A42" s="673"/>
      <c r="B42" s="757"/>
      <c r="C42" s="757"/>
      <c r="D42" s="757"/>
      <c r="E42" s="757"/>
      <c r="F42" s="757"/>
      <c r="G42" s="757"/>
      <c r="H42" s="757"/>
      <c r="I42" s="758"/>
      <c r="J42" s="758"/>
      <c r="K42" s="678"/>
      <c r="L42" s="673"/>
      <c r="M42" s="679"/>
      <c r="N42" s="679"/>
      <c r="O42" s="679"/>
      <c r="P42" s="679"/>
      <c r="Q42" s="679"/>
      <c r="R42" s="679"/>
      <c r="S42" s="679"/>
      <c r="T42" s="679"/>
      <c r="U42" s="679"/>
      <c r="V42" s="680"/>
      <c r="W42" s="681"/>
      <c r="X42" s="735" t="s">
        <v>456</v>
      </c>
      <c r="Y42" s="761">
        <f>PERCENTILE($W$2:$W$50,0.15)</f>
        <v>10.8375</v>
      </c>
      <c r="Z42" s="678"/>
      <c r="AA42" s="742"/>
      <c r="AB42" s="678"/>
      <c r="AC42" s="678"/>
      <c r="AD42" s="678"/>
      <c r="AE42" s="678"/>
      <c r="AF42" s="678"/>
      <c r="AG42" s="678"/>
      <c r="AH42" s="678"/>
      <c r="AI42" s="678"/>
    </row>
    <row r="43">
      <c r="A43" s="673"/>
      <c r="B43" s="757"/>
      <c r="C43" s="757"/>
      <c r="D43" s="757"/>
      <c r="E43" s="757"/>
      <c r="F43" s="757"/>
      <c r="G43" s="757"/>
      <c r="H43" s="757"/>
      <c r="I43" s="758"/>
      <c r="J43" s="758"/>
      <c r="K43" s="678"/>
      <c r="L43" s="673"/>
      <c r="M43" s="679"/>
      <c r="N43" s="679"/>
      <c r="O43" s="679"/>
      <c r="P43" s="679"/>
      <c r="Q43" s="679"/>
      <c r="R43" s="679"/>
      <c r="S43" s="679"/>
      <c r="T43" s="679"/>
      <c r="U43" s="679"/>
      <c r="V43" s="680"/>
      <c r="W43" s="681"/>
      <c r="X43" s="736" t="s">
        <v>457</v>
      </c>
      <c r="Y43" s="762">
        <f>PERCENTILE($W$2:$W$50,0.1)</f>
        <v>10.08</v>
      </c>
      <c r="Z43" s="678"/>
      <c r="AA43" s="742"/>
      <c r="AB43" s="678"/>
      <c r="AC43" s="678"/>
      <c r="AD43" s="678"/>
      <c r="AE43" s="678"/>
      <c r="AF43" s="678"/>
      <c r="AG43" s="678"/>
      <c r="AH43" s="678"/>
      <c r="AI43" s="678"/>
    </row>
    <row r="44">
      <c r="A44" s="673"/>
      <c r="B44" s="757"/>
      <c r="C44" s="757"/>
      <c r="D44" s="757"/>
      <c r="E44" s="757"/>
      <c r="F44" s="757"/>
      <c r="G44" s="757"/>
      <c r="H44" s="757"/>
      <c r="I44" s="758"/>
      <c r="J44" s="758"/>
      <c r="K44" s="678"/>
      <c r="L44" s="673"/>
      <c r="M44" s="679"/>
      <c r="N44" s="679"/>
      <c r="O44" s="679"/>
      <c r="P44" s="679"/>
      <c r="Q44" s="679"/>
      <c r="R44" s="679"/>
      <c r="S44" s="679"/>
      <c r="T44" s="679"/>
      <c r="U44" s="679"/>
      <c r="V44" s="680"/>
      <c r="W44" s="681"/>
      <c r="X44" s="740" t="s">
        <v>458</v>
      </c>
      <c r="Y44" s="762">
        <f>PERCENTILE($W$2:$W$50,0.05)</f>
        <v>8.4375</v>
      </c>
      <c r="Z44" s="678"/>
      <c r="AA44" s="742"/>
      <c r="AB44" s="678"/>
      <c r="AC44" s="678"/>
      <c r="AD44" s="678"/>
      <c r="AE44" s="678"/>
      <c r="AF44" s="678"/>
      <c r="AG44" s="678"/>
      <c r="AH44" s="678"/>
      <c r="AI44" s="678"/>
    </row>
    <row r="45">
      <c r="A45" s="673"/>
      <c r="B45" s="757"/>
      <c r="C45" s="757"/>
      <c r="D45" s="757"/>
      <c r="E45" s="757"/>
      <c r="F45" s="757"/>
      <c r="G45" s="757"/>
      <c r="H45" s="757"/>
      <c r="I45" s="758"/>
      <c r="J45" s="758"/>
      <c r="K45" s="678"/>
      <c r="L45" s="673"/>
      <c r="M45" s="679"/>
      <c r="N45" s="679"/>
      <c r="O45" s="679"/>
      <c r="P45" s="679"/>
      <c r="Q45" s="679"/>
      <c r="R45" s="679"/>
      <c r="S45" s="679"/>
      <c r="T45" s="679"/>
      <c r="U45" s="679"/>
      <c r="V45" s="680"/>
      <c r="W45" s="681"/>
      <c r="X45" s="736" t="s">
        <v>459</v>
      </c>
      <c r="Y45" s="762">
        <f>PERCENTILE($W$2:$W$50,0)</f>
        <v>6.65</v>
      </c>
      <c r="Z45" s="678"/>
      <c r="AA45" s="742"/>
      <c r="AB45" s="678"/>
      <c r="AC45" s="678"/>
      <c r="AD45" s="678"/>
      <c r="AE45" s="678"/>
      <c r="AF45" s="678"/>
      <c r="AG45" s="678"/>
      <c r="AH45" s="678"/>
      <c r="AI45" s="678"/>
    </row>
    <row r="46">
      <c r="A46" s="673"/>
      <c r="B46" s="757"/>
      <c r="C46" s="757"/>
      <c r="D46" s="757"/>
      <c r="E46" s="757"/>
      <c r="F46" s="757"/>
      <c r="G46" s="757"/>
      <c r="H46" s="757"/>
      <c r="I46" s="758"/>
      <c r="J46" s="758"/>
      <c r="K46" s="678"/>
      <c r="L46" s="673"/>
      <c r="M46" s="679"/>
      <c r="N46" s="679"/>
      <c r="O46" s="679"/>
      <c r="P46" s="679"/>
      <c r="Q46" s="679"/>
      <c r="R46" s="679"/>
      <c r="S46" s="679"/>
      <c r="T46" s="679"/>
      <c r="U46" s="679"/>
      <c r="V46" s="680"/>
      <c r="W46" s="681"/>
      <c r="X46" s="17"/>
      <c r="Y46" s="17"/>
      <c r="Z46" s="678"/>
      <c r="AA46" s="742"/>
      <c r="AB46" s="678"/>
      <c r="AC46" s="678"/>
      <c r="AD46" s="678"/>
      <c r="AE46" s="678"/>
      <c r="AF46" s="678"/>
      <c r="AG46" s="678"/>
      <c r="AH46" s="678"/>
      <c r="AI46" s="678"/>
    </row>
    <row r="47">
      <c r="A47" s="673"/>
      <c r="B47" s="757"/>
      <c r="C47" s="757"/>
      <c r="D47" s="757"/>
      <c r="E47" s="757"/>
      <c r="F47" s="757"/>
      <c r="G47" s="757"/>
      <c r="H47" s="757"/>
      <c r="I47" s="758"/>
      <c r="J47" s="758"/>
      <c r="K47" s="678"/>
      <c r="L47" s="673"/>
      <c r="M47" s="679"/>
      <c r="N47" s="679"/>
      <c r="O47" s="679"/>
      <c r="P47" s="679"/>
      <c r="Q47" s="679"/>
      <c r="R47" s="679"/>
      <c r="S47" s="679"/>
      <c r="T47" s="679"/>
      <c r="U47" s="679"/>
      <c r="V47" s="680"/>
      <c r="W47" s="681"/>
      <c r="X47" s="763" t="s">
        <v>422</v>
      </c>
      <c r="Y47" s="764">
        <v>0.4</v>
      </c>
      <c r="Z47" s="678"/>
      <c r="AA47" s="742"/>
      <c r="AB47" s="678"/>
      <c r="AC47" s="678"/>
      <c r="AD47" s="678"/>
      <c r="AE47" s="678"/>
      <c r="AF47" s="678"/>
      <c r="AG47" s="678"/>
      <c r="AH47" s="678"/>
      <c r="AI47" s="678"/>
    </row>
    <row r="48">
      <c r="A48" s="673"/>
      <c r="B48" s="757"/>
      <c r="C48" s="757"/>
      <c r="D48" s="757"/>
      <c r="E48" s="757"/>
      <c r="F48" s="757"/>
      <c r="G48" s="757"/>
      <c r="H48" s="757"/>
      <c r="I48" s="758"/>
      <c r="J48" s="758"/>
      <c r="K48" s="678"/>
      <c r="L48" s="673"/>
      <c r="M48" s="679"/>
      <c r="N48" s="679"/>
      <c r="O48" s="679"/>
      <c r="P48" s="679"/>
      <c r="Q48" s="679"/>
      <c r="R48" s="679"/>
      <c r="S48" s="679"/>
      <c r="T48" s="679"/>
      <c r="U48" s="679"/>
      <c r="V48" s="680"/>
      <c r="W48" s="681"/>
      <c r="X48" s="765" t="s">
        <v>460</v>
      </c>
      <c r="Y48" s="766">
        <v>0.5</v>
      </c>
      <c r="Z48" s="678"/>
      <c r="AA48" s="742"/>
      <c r="AB48" s="678"/>
      <c r="AC48" s="678"/>
      <c r="AD48" s="678"/>
      <c r="AE48" s="678"/>
      <c r="AF48" s="678"/>
      <c r="AG48" s="678"/>
      <c r="AH48" s="678"/>
      <c r="AI48" s="678"/>
    </row>
    <row r="49">
      <c r="A49" s="673"/>
      <c r="B49" s="757"/>
      <c r="C49" s="757"/>
      <c r="D49" s="757"/>
      <c r="E49" s="757"/>
      <c r="F49" s="757"/>
      <c r="G49" s="757"/>
      <c r="H49" s="757"/>
      <c r="I49" s="758"/>
      <c r="J49" s="758"/>
      <c r="K49" s="678"/>
      <c r="L49" s="673"/>
      <c r="M49" s="679"/>
      <c r="N49" s="679"/>
      <c r="O49" s="679"/>
      <c r="P49" s="679"/>
      <c r="Q49" s="679"/>
      <c r="R49" s="679"/>
      <c r="S49" s="679"/>
      <c r="T49" s="679"/>
      <c r="U49" s="679"/>
      <c r="V49" s="680"/>
      <c r="W49" s="681"/>
      <c r="X49" s="765" t="s">
        <v>461</v>
      </c>
      <c r="Y49" s="766">
        <v>0.4</v>
      </c>
      <c r="Z49" s="678"/>
      <c r="AA49" s="742"/>
      <c r="AB49" s="678"/>
      <c r="AC49" s="678"/>
      <c r="AD49" s="678"/>
      <c r="AE49" s="678"/>
      <c r="AF49" s="678"/>
      <c r="AG49" s="678"/>
      <c r="AH49" s="678"/>
      <c r="AI49" s="678"/>
    </row>
    <row r="50">
      <c r="A50" s="673"/>
      <c r="B50" s="757"/>
      <c r="C50" s="757"/>
      <c r="D50" s="757"/>
      <c r="E50" s="757"/>
      <c r="F50" s="757"/>
      <c r="G50" s="757"/>
      <c r="H50" s="757"/>
      <c r="I50" s="758"/>
      <c r="J50" s="758"/>
      <c r="K50" s="678"/>
      <c r="L50" s="673"/>
      <c r="M50" s="679"/>
      <c r="N50" s="679"/>
      <c r="O50" s="679"/>
      <c r="P50" s="679"/>
      <c r="Q50" s="679"/>
      <c r="R50" s="679"/>
      <c r="S50" s="679"/>
      <c r="T50" s="679"/>
      <c r="U50" s="679"/>
      <c r="V50" s="680"/>
      <c r="W50" s="681"/>
      <c r="X50" s="765" t="s">
        <v>462</v>
      </c>
      <c r="Y50" s="766">
        <v>0.2</v>
      </c>
      <c r="Z50" s="678"/>
      <c r="AA50" s="742"/>
      <c r="AB50" s="678"/>
      <c r="AC50" s="678"/>
      <c r="AD50" s="678"/>
      <c r="AE50" s="678"/>
      <c r="AF50" s="678"/>
      <c r="AG50" s="678"/>
      <c r="AH50" s="678"/>
      <c r="AI50" s="678"/>
    </row>
    <row r="51">
      <c r="A51" s="673"/>
      <c r="B51" s="757"/>
      <c r="C51" s="757"/>
      <c r="D51" s="757"/>
      <c r="E51" s="757"/>
      <c r="F51" s="757"/>
      <c r="G51" s="757"/>
      <c r="H51" s="757"/>
      <c r="I51" s="758"/>
      <c r="J51" s="758"/>
      <c r="K51" s="678"/>
      <c r="L51" s="673"/>
      <c r="M51" s="679"/>
      <c r="N51" s="679"/>
      <c r="O51" s="679"/>
      <c r="P51" s="679"/>
      <c r="Q51" s="679"/>
      <c r="R51" s="679"/>
      <c r="S51" s="679"/>
      <c r="T51" s="679"/>
      <c r="U51" s="679"/>
      <c r="V51" s="680"/>
      <c r="W51" s="681"/>
      <c r="X51" s="765" t="s">
        <v>463</v>
      </c>
      <c r="Y51" s="766">
        <v>0.4</v>
      </c>
      <c r="Z51" s="678"/>
      <c r="AA51" s="742"/>
      <c r="AB51" s="678"/>
      <c r="AC51" s="678"/>
      <c r="AD51" s="678"/>
      <c r="AE51" s="678"/>
      <c r="AF51" s="678"/>
      <c r="AG51" s="678"/>
      <c r="AH51" s="678"/>
      <c r="AI51" s="678"/>
    </row>
    <row r="52">
      <c r="A52" s="673"/>
      <c r="B52" s="757"/>
      <c r="C52" s="757"/>
      <c r="D52" s="757"/>
      <c r="E52" s="757"/>
      <c r="F52" s="757"/>
      <c r="G52" s="757"/>
      <c r="H52" s="757"/>
      <c r="I52" s="758"/>
      <c r="J52" s="758"/>
      <c r="K52" s="678"/>
      <c r="L52" s="673"/>
      <c r="M52" s="679"/>
      <c r="N52" s="679"/>
      <c r="O52" s="679"/>
      <c r="P52" s="679"/>
      <c r="Q52" s="679"/>
      <c r="R52" s="679"/>
      <c r="S52" s="679"/>
      <c r="T52" s="679"/>
      <c r="U52" s="679"/>
      <c r="V52" s="680"/>
      <c r="W52" s="681"/>
      <c r="X52" s="765" t="s">
        <v>464</v>
      </c>
      <c r="Y52" s="766">
        <v>0.6</v>
      </c>
      <c r="Z52" s="678"/>
      <c r="AA52" s="742"/>
      <c r="AB52" s="678"/>
      <c r="AC52" s="678"/>
      <c r="AD52" s="678"/>
      <c r="AE52" s="678"/>
      <c r="AF52" s="678"/>
      <c r="AG52" s="678"/>
      <c r="AH52" s="678"/>
      <c r="AI52" s="678"/>
    </row>
    <row r="53">
      <c r="A53" s="673"/>
      <c r="B53" s="757"/>
      <c r="C53" s="757"/>
      <c r="D53" s="757"/>
      <c r="E53" s="757"/>
      <c r="F53" s="757"/>
      <c r="G53" s="757"/>
      <c r="H53" s="757"/>
      <c r="I53" s="758"/>
      <c r="J53" s="758"/>
      <c r="K53" s="678"/>
      <c r="L53" s="673"/>
      <c r="M53" s="679"/>
      <c r="N53" s="679"/>
      <c r="O53" s="679"/>
      <c r="P53" s="679"/>
      <c r="Q53" s="679"/>
      <c r="R53" s="679"/>
      <c r="S53" s="679"/>
      <c r="T53" s="679"/>
      <c r="U53" s="679"/>
      <c r="V53" s="680"/>
      <c r="W53" s="681"/>
      <c r="X53" s="767" t="s">
        <v>465</v>
      </c>
      <c r="Y53" s="768">
        <v>0.2</v>
      </c>
      <c r="Z53" s="678"/>
      <c r="AA53" s="742"/>
      <c r="AB53" s="678"/>
      <c r="AC53" s="678"/>
      <c r="AD53" s="678"/>
      <c r="AE53" s="678"/>
      <c r="AF53" s="678"/>
      <c r="AG53" s="678"/>
      <c r="AH53" s="678"/>
      <c r="AI53" s="678"/>
    </row>
    <row r="54">
      <c r="A54" s="673"/>
      <c r="B54" s="757"/>
      <c r="C54" s="757"/>
      <c r="D54" s="757"/>
      <c r="E54" s="757"/>
      <c r="F54" s="757"/>
      <c r="G54" s="757"/>
      <c r="H54" s="757"/>
      <c r="I54" s="758"/>
      <c r="J54" s="758"/>
      <c r="K54" s="678"/>
      <c r="L54" s="673"/>
      <c r="M54" s="679"/>
      <c r="N54" s="679"/>
      <c r="O54" s="679"/>
      <c r="P54" s="679"/>
      <c r="Q54" s="679"/>
      <c r="R54" s="679"/>
      <c r="S54" s="679"/>
      <c r="T54" s="679"/>
      <c r="U54" s="679"/>
      <c r="V54" s="680"/>
      <c r="W54" s="681"/>
      <c r="X54" s="767" t="s">
        <v>466</v>
      </c>
      <c r="Y54" s="768">
        <v>0.5</v>
      </c>
      <c r="Z54" s="678"/>
      <c r="AA54" s="742"/>
      <c r="AB54" s="678"/>
      <c r="AC54" s="678"/>
      <c r="AD54" s="678"/>
      <c r="AE54" s="678"/>
      <c r="AF54" s="678"/>
      <c r="AG54" s="678"/>
      <c r="AH54" s="678"/>
      <c r="AI54" s="678"/>
    </row>
    <row r="55">
      <c r="A55" s="769"/>
      <c r="B55" s="757"/>
      <c r="C55" s="757"/>
      <c r="D55" s="757"/>
      <c r="E55" s="757"/>
      <c r="F55" s="757"/>
      <c r="G55" s="757"/>
      <c r="H55" s="757"/>
      <c r="I55" s="758"/>
      <c r="J55" s="758"/>
      <c r="K55" s="678"/>
      <c r="L55" s="673"/>
      <c r="M55" s="679"/>
      <c r="N55" s="679"/>
      <c r="O55" s="679"/>
      <c r="P55" s="679"/>
      <c r="Q55" s="679"/>
      <c r="R55" s="679"/>
      <c r="S55" s="679"/>
      <c r="T55" s="679"/>
      <c r="U55" s="679"/>
      <c r="V55" s="680"/>
      <c r="W55" s="681"/>
      <c r="X55" s="767" t="s">
        <v>430</v>
      </c>
      <c r="Y55" s="768">
        <v>0.2</v>
      </c>
      <c r="Z55" s="678"/>
      <c r="AA55" s="742"/>
      <c r="AB55" s="678"/>
      <c r="AC55" s="678"/>
      <c r="AD55" s="678"/>
      <c r="AE55" s="678"/>
      <c r="AF55" s="678"/>
      <c r="AG55" s="678"/>
      <c r="AH55" s="678"/>
      <c r="AI55" s="678"/>
    </row>
    <row r="56">
      <c r="A56" s="769"/>
      <c r="B56" s="757"/>
      <c r="C56" s="757"/>
      <c r="D56" s="757"/>
      <c r="E56" s="757"/>
      <c r="F56" s="757"/>
      <c r="G56" s="757"/>
      <c r="H56" s="757"/>
      <c r="I56" s="758"/>
      <c r="J56" s="758"/>
      <c r="K56" s="678"/>
      <c r="L56" s="673"/>
      <c r="M56" s="679"/>
      <c r="N56" s="679"/>
      <c r="O56" s="679"/>
      <c r="P56" s="679"/>
      <c r="Q56" s="679"/>
      <c r="R56" s="679"/>
      <c r="S56" s="679"/>
      <c r="T56" s="679"/>
      <c r="U56" s="679"/>
      <c r="V56" s="680"/>
      <c r="W56" s="681"/>
      <c r="X56" s="770" t="s">
        <v>19</v>
      </c>
      <c r="Z56" s="678"/>
      <c r="AA56" s="742"/>
      <c r="AB56" s="678"/>
      <c r="AC56" s="678"/>
      <c r="AD56" s="678"/>
      <c r="AE56" s="678"/>
      <c r="AF56" s="678"/>
      <c r="AG56" s="678"/>
      <c r="AH56" s="678"/>
      <c r="AI56" s="678"/>
    </row>
    <row r="57">
      <c r="A57" s="769"/>
      <c r="B57" s="757"/>
      <c r="C57" s="757"/>
      <c r="D57" s="757"/>
      <c r="E57" s="757"/>
      <c r="F57" s="757"/>
      <c r="G57" s="757"/>
      <c r="H57" s="757"/>
      <c r="I57" s="758"/>
      <c r="J57" s="758"/>
      <c r="K57" s="678"/>
      <c r="L57" s="673"/>
      <c r="M57" s="679"/>
      <c r="N57" s="679"/>
      <c r="O57" s="679"/>
      <c r="P57" s="679"/>
      <c r="Q57" s="679"/>
      <c r="R57" s="679"/>
      <c r="S57" s="679"/>
      <c r="T57" s="679"/>
      <c r="U57" s="679"/>
      <c r="V57" s="680"/>
      <c r="W57" s="681"/>
      <c r="X57" s="678"/>
      <c r="Y57" s="678"/>
      <c r="Z57" s="678"/>
      <c r="AA57" s="742"/>
      <c r="AB57" s="678"/>
      <c r="AC57" s="678"/>
      <c r="AD57" s="678"/>
      <c r="AE57" s="678"/>
      <c r="AF57" s="678"/>
      <c r="AG57" s="678"/>
      <c r="AH57" s="678"/>
      <c r="AI57" s="678"/>
    </row>
    <row r="58">
      <c r="A58" s="769"/>
      <c r="B58" s="757"/>
      <c r="C58" s="757"/>
      <c r="D58" s="757"/>
      <c r="E58" s="757"/>
      <c r="F58" s="757"/>
      <c r="G58" s="757"/>
      <c r="H58" s="757"/>
      <c r="I58" s="758"/>
      <c r="J58" s="758"/>
      <c r="K58" s="678"/>
      <c r="L58" s="673"/>
      <c r="M58" s="679"/>
      <c r="N58" s="679"/>
      <c r="O58" s="679"/>
      <c r="P58" s="679"/>
      <c r="Q58" s="679"/>
      <c r="R58" s="679"/>
      <c r="S58" s="679"/>
      <c r="T58" s="679"/>
      <c r="U58" s="679"/>
      <c r="V58" s="771"/>
      <c r="W58" s="772"/>
      <c r="X58" s="678"/>
      <c r="Y58" s="678"/>
      <c r="Z58" s="678"/>
      <c r="AA58" s="742"/>
      <c r="AB58" s="678"/>
      <c r="AC58" s="678"/>
      <c r="AD58" s="678"/>
      <c r="AE58" s="678"/>
      <c r="AF58" s="678"/>
      <c r="AG58" s="678"/>
      <c r="AH58" s="678"/>
      <c r="AI58" s="678"/>
    </row>
    <row r="59">
      <c r="A59" s="769"/>
      <c r="B59" s="757"/>
      <c r="C59" s="757"/>
      <c r="D59" s="757"/>
      <c r="E59" s="757"/>
      <c r="F59" s="757"/>
      <c r="G59" s="757"/>
      <c r="H59" s="757"/>
      <c r="I59" s="758"/>
      <c r="J59" s="758"/>
      <c r="K59" s="678"/>
      <c r="L59" s="673"/>
      <c r="M59" s="679"/>
      <c r="N59" s="679"/>
      <c r="O59" s="679"/>
      <c r="P59" s="679"/>
      <c r="Q59" s="679"/>
      <c r="R59" s="679"/>
      <c r="S59" s="679"/>
      <c r="T59" s="679"/>
      <c r="U59" s="679"/>
      <c r="V59" s="771"/>
      <c r="W59" s="772"/>
      <c r="X59" s="678"/>
      <c r="Y59" s="678"/>
      <c r="Z59" s="678"/>
      <c r="AA59" s="742"/>
      <c r="AB59" s="678"/>
      <c r="AC59" s="678"/>
      <c r="AD59" s="678"/>
      <c r="AE59" s="678"/>
      <c r="AF59" s="678"/>
      <c r="AG59" s="678"/>
      <c r="AH59" s="678"/>
      <c r="AI59" s="678"/>
    </row>
    <row r="60">
      <c r="A60" s="769"/>
      <c r="B60" s="757"/>
      <c r="C60" s="757"/>
      <c r="D60" s="757"/>
      <c r="E60" s="757"/>
      <c r="F60" s="757"/>
      <c r="G60" s="757"/>
      <c r="H60" s="757"/>
      <c r="I60" s="758"/>
      <c r="J60" s="758"/>
      <c r="K60" s="678"/>
      <c r="L60" s="673"/>
      <c r="M60" s="679"/>
      <c r="N60" s="679"/>
      <c r="O60" s="679"/>
      <c r="P60" s="679"/>
      <c r="Q60" s="679"/>
      <c r="R60" s="679"/>
      <c r="S60" s="679"/>
      <c r="T60" s="679"/>
      <c r="U60" s="679"/>
      <c r="V60" s="771"/>
      <c r="W60" s="772"/>
      <c r="X60" s="678"/>
      <c r="Y60" s="678"/>
      <c r="Z60" s="678"/>
      <c r="AA60" s="742"/>
      <c r="AB60" s="678"/>
      <c r="AC60" s="678"/>
      <c r="AD60" s="678"/>
      <c r="AE60" s="678"/>
      <c r="AF60" s="678"/>
      <c r="AG60" s="678"/>
      <c r="AH60" s="678"/>
      <c r="AI60" s="678"/>
    </row>
  </sheetData>
  <mergeCells count="1">
    <mergeCell ref="X56:Y56"/>
  </mergeCells>
  <conditionalFormatting sqref="M2:W60">
    <cfRule type="cellIs" dxfId="17" priority="1" operator="equal">
      <formula>"S+"</formula>
    </cfRule>
  </conditionalFormatting>
  <conditionalFormatting sqref="M2:W60">
    <cfRule type="cellIs" dxfId="8" priority="2" operator="equal">
      <formula>"A+"</formula>
    </cfRule>
  </conditionalFormatting>
  <conditionalFormatting sqref="M2:W60">
    <cfRule type="cellIs" dxfId="8" priority="3" operator="equal">
      <formula>"A"</formula>
    </cfRule>
  </conditionalFormatting>
  <conditionalFormatting sqref="M2:W60">
    <cfRule type="cellIs" dxfId="8" priority="4" operator="equal">
      <formula>"A-"</formula>
    </cfRule>
  </conditionalFormatting>
  <conditionalFormatting sqref="M2:W60">
    <cfRule type="cellIs" dxfId="9" priority="5" operator="equal">
      <formula>"B+"</formula>
    </cfRule>
  </conditionalFormatting>
  <conditionalFormatting sqref="M2:W60">
    <cfRule type="cellIs" dxfId="9" priority="6" operator="equal">
      <formula>"B"</formula>
    </cfRule>
  </conditionalFormatting>
  <conditionalFormatting sqref="M2:W60">
    <cfRule type="cellIs" dxfId="9" priority="7" operator="equal">
      <formula>"B-"</formula>
    </cfRule>
  </conditionalFormatting>
  <conditionalFormatting sqref="M2:W60">
    <cfRule type="cellIs" dxfId="2" priority="8" operator="equal">
      <formula>"C+"</formula>
    </cfRule>
  </conditionalFormatting>
  <conditionalFormatting sqref="M2:W60">
    <cfRule type="cellIs" dxfId="2" priority="9" operator="equal">
      <formula>"C"</formula>
    </cfRule>
  </conditionalFormatting>
  <conditionalFormatting sqref="M2:W60">
    <cfRule type="cellIs" dxfId="2" priority="10" operator="equal">
      <formula>"C-"</formula>
    </cfRule>
  </conditionalFormatting>
  <conditionalFormatting sqref="M2:W60">
    <cfRule type="cellIs" dxfId="10" priority="11" operator="equal">
      <formula>"D+"</formula>
    </cfRule>
  </conditionalFormatting>
  <conditionalFormatting sqref="M2:W60">
    <cfRule type="cellIs" dxfId="10" priority="12" operator="equal">
      <formula>"D"</formula>
    </cfRule>
  </conditionalFormatting>
  <conditionalFormatting sqref="M2:W60">
    <cfRule type="cellIs" dxfId="10" priority="13" operator="equal">
      <formula>"D-"</formula>
    </cfRule>
  </conditionalFormatting>
  <conditionalFormatting sqref="M2:W60">
    <cfRule type="cellIs" dxfId="11" priority="14" operator="equal">
      <formula>"E+"</formula>
    </cfRule>
  </conditionalFormatting>
  <conditionalFormatting sqref="M2:W60">
    <cfRule type="cellIs" dxfId="11" priority="15" operator="equal">
      <formula>"E"</formula>
    </cfRule>
  </conditionalFormatting>
  <conditionalFormatting sqref="M2:W60">
    <cfRule type="cellIs" dxfId="11" priority="16" operator="equal">
      <formula>"E-"</formula>
    </cfRule>
  </conditionalFormatting>
  <conditionalFormatting sqref="M2:W60">
    <cfRule type="cellIs" dxfId="12" priority="17" operator="equal">
      <formula>"F+"</formula>
    </cfRule>
  </conditionalFormatting>
  <conditionalFormatting sqref="M2:W60">
    <cfRule type="cellIs" dxfId="17" priority="18" operator="equal">
      <formula>"S"</formula>
    </cfRule>
  </conditionalFormatting>
  <conditionalFormatting sqref="M2:W60">
    <cfRule type="cellIs" dxfId="17" priority="19" operator="equal">
      <formula>"S-"</formula>
    </cfRule>
  </conditionalFormatting>
  <conditionalFormatting sqref="M2:W60">
    <cfRule type="cellIs" dxfId="12" priority="20" operator="equal">
      <formula>"F"</formula>
    </cfRule>
  </conditionalFormatting>
  <conditionalFormatting sqref="M2:W60">
    <cfRule type="cellIs" dxfId="12" priority="21" operator="equal">
      <formula>"F-"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Col="1"/>
  <cols>
    <col customWidth="1" min="1" max="1" width="14.5"/>
    <col customWidth="1" min="2" max="2" width="8.13"/>
    <col customWidth="1" min="3" max="3" width="6.13"/>
    <col customWidth="1" min="4" max="4" width="10.25"/>
    <col customWidth="1" min="5" max="5" width="9.13"/>
    <col customWidth="1" min="6" max="6" width="10.0"/>
    <col customWidth="1" min="7" max="7" width="9.13"/>
    <col customWidth="1" min="8" max="10" width="6.25"/>
    <col customWidth="1" hidden="1" min="11" max="11" width="6.25"/>
    <col customWidth="1" min="12" max="12" width="1.25"/>
    <col customWidth="1" min="13" max="13" width="14.5"/>
    <col customWidth="1" min="14" max="14" width="8.63"/>
    <col customWidth="1" min="15" max="15" width="6.38"/>
    <col customWidth="1" min="16" max="16" width="10.25"/>
    <col customWidth="1" min="17" max="17" width="9.5"/>
    <col customWidth="1" min="18" max="18" width="10.5"/>
    <col customWidth="1" min="19" max="19" width="9.38"/>
    <col customWidth="1" min="20" max="22" width="6.25"/>
    <col customWidth="1" hidden="1" min="23" max="23" width="6.25"/>
    <col customWidth="1" min="24" max="24" width="9.75"/>
    <col customWidth="1" min="25" max="25" width="9.5"/>
    <col customWidth="1" min="26" max="26" width="7.88"/>
    <col customWidth="1" min="27" max="27" width="5.63"/>
    <col customWidth="1" min="28" max="28" width="9.75" outlineLevel="1"/>
    <col customWidth="1" min="29" max="29" width="8.63" outlineLevel="1"/>
    <col customWidth="1" min="30" max="30" width="7.88" outlineLevel="1"/>
    <col customWidth="1" min="31" max="31" width="10.25" outlineLevel="1"/>
    <col customWidth="1" min="32" max="32" width="9.5" outlineLevel="1"/>
    <col customWidth="1" min="33" max="33" width="10.5" outlineLevel="1"/>
    <col customWidth="1" min="34" max="37" width="9.38" outlineLevel="1"/>
    <col customWidth="1" hidden="1" min="38" max="38" width="9.38" outlineLevel="1"/>
  </cols>
  <sheetData>
    <row r="1">
      <c r="A1" s="664" t="s">
        <v>421</v>
      </c>
      <c r="B1" s="665" t="s">
        <v>422</v>
      </c>
      <c r="C1" s="665" t="s">
        <v>423</v>
      </c>
      <c r="D1" s="665" t="s">
        <v>424</v>
      </c>
      <c r="E1" s="665" t="s">
        <v>425</v>
      </c>
      <c r="F1" s="665" t="s">
        <v>426</v>
      </c>
      <c r="G1" s="665" t="s">
        <v>427</v>
      </c>
      <c r="H1" s="666" t="s">
        <v>428</v>
      </c>
      <c r="I1" s="667" t="s">
        <v>429</v>
      </c>
      <c r="J1" s="667" t="s">
        <v>430</v>
      </c>
      <c r="K1" s="667" t="s">
        <v>467</v>
      </c>
      <c r="L1" s="17"/>
      <c r="M1" s="664" t="s">
        <v>421</v>
      </c>
      <c r="N1" s="773" t="s">
        <v>422</v>
      </c>
      <c r="O1" s="773" t="s">
        <v>423</v>
      </c>
      <c r="P1" s="773" t="s">
        <v>424</v>
      </c>
      <c r="Q1" s="773" t="s">
        <v>425</v>
      </c>
      <c r="R1" s="773" t="s">
        <v>426</v>
      </c>
      <c r="S1" s="773" t="s">
        <v>427</v>
      </c>
      <c r="T1" s="774" t="s">
        <v>428</v>
      </c>
      <c r="U1" s="667" t="s">
        <v>429</v>
      </c>
      <c r="V1" s="667" t="s">
        <v>430</v>
      </c>
      <c r="W1" s="667" t="s">
        <v>467</v>
      </c>
      <c r="X1" s="660" t="s">
        <v>431</v>
      </c>
      <c r="Y1" s="775" t="s">
        <v>432</v>
      </c>
      <c r="AB1" s="776"/>
      <c r="AC1" s="777" t="s">
        <v>422</v>
      </c>
      <c r="AD1" s="778" t="s">
        <v>423</v>
      </c>
      <c r="AE1" s="778" t="s">
        <v>424</v>
      </c>
      <c r="AF1" s="778" t="s">
        <v>425</v>
      </c>
      <c r="AG1" s="778" t="s">
        <v>426</v>
      </c>
      <c r="AH1" s="778" t="s">
        <v>427</v>
      </c>
      <c r="AI1" s="666" t="s">
        <v>428</v>
      </c>
      <c r="AJ1" s="667" t="s">
        <v>429</v>
      </c>
      <c r="AK1" s="667" t="s">
        <v>430</v>
      </c>
      <c r="AL1" s="667" t="s">
        <v>468</v>
      </c>
    </row>
    <row r="2">
      <c r="A2" s="673" t="str">
        <f>'Halo Reach Stats'!A2</f>
        <v>ActiveHate</v>
      </c>
      <c r="B2" s="674">
        <f>IFERROR(VLOOKUP(A2,'PG Stats'!A:S,10,0),)</f>
        <v>0.001469075951</v>
      </c>
      <c r="C2" s="674">
        <f>IFERROR(VLOOKUP(A2,'PG Stats'!A:S,11,0),)</f>
        <v>-0.9798736595</v>
      </c>
      <c r="D2" s="675">
        <f>IFERROR(VLOOKUP(A2,'PG Stats'!A:S,12,0),)</f>
        <v>0.07492287351</v>
      </c>
      <c r="E2" s="675">
        <f>IFERROR(VLOOKUP(A2,'PG Stats'!A:S,13,0),)</f>
        <v>0.02791244307</v>
      </c>
      <c r="F2" s="675">
        <f>IFERROR(VLOOKUP(A2,'PG Stats'!A:S,14,0),)</f>
        <v>0.4201557221</v>
      </c>
      <c r="G2" s="676">
        <f>IFERROR(VLOOKUP(A2,'PG Stats'!A:S,15,0),)</f>
        <v>0.08373732922</v>
      </c>
      <c r="H2" s="676">
        <f>IFERROR(VLOOKUP(A2,'PG Stats'!A:S,16,0),)</f>
        <v>0.02497429117</v>
      </c>
      <c r="I2" s="676">
        <f>IFERROR(VLOOKUP(A2,'PG Stats'!A:S,17,0),)</f>
        <v>0.4642280006</v>
      </c>
      <c r="J2" s="677">
        <f>IFERROR(VLOOKUP(A2,'PG Stats'!A:S,18,0),)</f>
        <v>1.177820046</v>
      </c>
      <c r="K2" s="677">
        <f>IFERROR(VLOOKUP(A2,'PG Stats'!A:S,19,0),)</f>
        <v>0.2291758484</v>
      </c>
      <c r="L2" s="17"/>
      <c r="M2" s="673" t="str">
        <f>'Halo Reach Stats'!A2</f>
        <v>ActiveHate</v>
      </c>
      <c r="N2" s="779" t="str">
        <f t="shared" ref="N2:N39" si="2">IF(B2&lt;=$AC$17,"F",IF(B2&lt;$AC$15,"E",IF(B2&lt;$AC$12,"D",IF(B2&lt;$AC$9,"C",IF(B2&lt;$AC$6,"B",IF(B2&lt;$AC$3,"A","S"))))))</f>
        <v>F</v>
      </c>
      <c r="O2" s="779" t="str">
        <f t="shared" ref="O2:O39" si="3">IF(C2&lt;=$AD$17,"F",IF(C2&lt;$AD$15,"E",IF(C2&lt;$AD$12,"D",IF(C2&lt;$AD$9,"C",IF(C2&lt;$AD$6,"B",IF(C2&lt;$AD$3,"A","S"))))))</f>
        <v>F</v>
      </c>
      <c r="P2" s="779" t="str">
        <f t="shared" ref="P2:P39" si="4">IF(D2&lt;=$AE$17,"F",IF(D2&lt;$AE$15,"E",IF(D2&lt;$AE$12,"D",IF(D2&lt;$AE$9,"C",IF(D2&lt;$AE$6,"B",IF(D2&lt;$AE$3,"A","S"))))))</f>
        <v>D</v>
      </c>
      <c r="Q2" s="779" t="str">
        <f t="shared" ref="Q2:Q39" si="5">IF(E2&lt;=$AF$17,"F",IF(E2&lt;$AF$15,"E",IF(E2&lt;$AF$12,"D",IF(E2&lt;$AF$9,"C",IF(E2&lt;$AF$6,"B",IF(E2&lt;$AF$3,"A","S"))))))</f>
        <v>C</v>
      </c>
      <c r="R2" s="779" t="str">
        <f t="shared" ref="R2:R39" si="6">IF(F2&lt;=$AG$17,"F",IF(F2&lt;$AG$15,"E",IF(F2&lt;$AG$12,"D",IF(F2&lt;$AG$9,"C",IF(F2&lt;$AG$6,"B",IF(F2&lt;$AG$3,"A","S"))))))</f>
        <v>B</v>
      </c>
      <c r="S2" s="779" t="str">
        <f t="shared" ref="S2:S39" si="7">IF(G2&lt;=$AH$17,"F",IF(G2&lt;$AH$15,"E",IF(G2&lt;$AH$12,"D",IF(G2&lt;$AH$9,"C",IF(G2&lt;$AH$6,"B",IF(G2&lt;$AH$3,"A","S"))))))</f>
        <v>B</v>
      </c>
      <c r="T2" s="779" t="str">
        <f t="shared" ref="T2:T39" si="8">IF(H2&lt;=$AI$17,"F",IF(H2&lt;$AI$15,"E",IF(H2&lt;$AI$12,"D",IF(H2&lt;$AI$9,"C",IF(H2&lt;$AI$6,"B",IF(H2&lt;$AI$3,"A","S"))))))</f>
        <v>B</v>
      </c>
      <c r="U2" s="779" t="str">
        <f t="shared" ref="U2:U39" si="9">IF(I2&lt;=$AJ$17,"F",IF(I2&lt;$AJ$15,"E",IF(I2&lt;$AJ$12,"D",IF(I2&lt;$AJ$9,"C",IF(I2&lt;$AJ$6,"B",IF(I2&lt;$AJ$3,"A","S"))))))</f>
        <v>E</v>
      </c>
      <c r="V2" s="779" t="str">
        <f t="shared" ref="V2:V39" si="10">IF(J2&lt;=$AK$17,"F",IF(J2&lt;$AK$15,"E",IF(J2&lt;$AK$12,"D",IF(J2&lt;$AK$9,"C",IF(J2&lt;$AK$6,"B",IF(J2&lt;$AK$3,"A","S"))))))</f>
        <v>C</v>
      </c>
      <c r="W2" s="779" t="str">
        <f t="shared" ref="W2:W39" si="11">IF(K2&lt;=$AL$17,"F",IF(K2&lt;$AL$15,"E",IF(K2&lt;$AL$12,"D",IF(K2&lt;$AL$9,"C",IF(K2&lt;$AL$6,"B",IF(K2&lt;$AL$3,"A","S"))))))</f>
        <v>A</v>
      </c>
      <c r="X2" s="780" t="str">
        <f t="shared" ref="X2:X39" si="12">IF(Y2&lt;=$AA$23,"F",IF(Y2&lt;$AA$21,"E",IF(Y2&lt;$AA$19,"D",IF(Y2&lt;$AA$17,"C",IF(Y2&lt;$AA$15,"B",IF(Y2&lt;$AA$13,"A","S"))))))</f>
        <v>D</v>
      </c>
      <c r="Y2" s="366">
        <f t="shared" ref="Y2:Y39" si="13">($AA$26*(VLOOKUP(N2, $Z$3:$AA$9, 2, FALSE)))+($AA$27*(VLOOKUP(O2, $Z$3:$AA$9, 2, FALSE)))+($AA$28*(VLOOKUP(P2, $Z$3:$AA$9, 2, FALSE)))+($AA$29*(VLOOKUP(Q2, $Z$3:$AA$9, 2, FALSE)))+($AA$30*(VLOOKUP(R2, $Z$3:$AA$9, 2, FALSE)))+($AA$31*(VLOOKUP(S2, $Z$3:$AA$9, 2, FALSE)))+($AA$32*(VLOOKUP(T2, $Z$3:$AA$9, 2, FALSE)))+($AA$33*(VLOOKUP(U2, $Z$3:$AA$9, 2, FALSE)))+($AA$34*(VLOOKUP(V2, $Z$3:$AA$9, 2, FALSE)))+($AA$35*(VLOOKUP(V2, $Z$3:$AA$9, 2, FALSE)))</f>
        <v>10.7</v>
      </c>
      <c r="Z2" s="781" t="s">
        <v>327</v>
      </c>
      <c r="AA2" s="782" t="s">
        <v>433</v>
      </c>
      <c r="AB2" s="783" t="s">
        <v>435</v>
      </c>
      <c r="AC2" s="784">
        <f t="shared" ref="AC2:AL2" si="1">PERCENTILE(B2:B80,0.9)</f>
        <v>0.5305813172</v>
      </c>
      <c r="AD2" s="784">
        <f t="shared" si="1"/>
        <v>0.542461708</v>
      </c>
      <c r="AE2" s="784">
        <f t="shared" si="1"/>
        <v>0.1669167269</v>
      </c>
      <c r="AF2" s="784">
        <f t="shared" si="1"/>
        <v>0.08503952875</v>
      </c>
      <c r="AG2" s="784">
        <f t="shared" si="1"/>
        <v>0.6085621694</v>
      </c>
      <c r="AH2" s="784">
        <f t="shared" si="1"/>
        <v>0.1054204698</v>
      </c>
      <c r="AI2" s="784">
        <f t="shared" si="1"/>
        <v>0.06648400941</v>
      </c>
      <c r="AJ2" s="784">
        <f t="shared" si="1"/>
        <v>0.6676042533</v>
      </c>
      <c r="AK2" s="784">
        <f t="shared" si="1"/>
        <v>1.589437763</v>
      </c>
      <c r="AL2" s="784">
        <f t="shared" si="1"/>
        <v>0.2576678264</v>
      </c>
    </row>
    <row r="3">
      <c r="A3" s="673" t="str">
        <f>'Halo Reach Stats'!A3</f>
        <v>ADhillyy</v>
      </c>
      <c r="B3" s="674">
        <f>IFERROR(VLOOKUP(A3,'PG Stats'!A:R,10,0),)</f>
        <v>0.007026995374</v>
      </c>
      <c r="C3" s="674">
        <f>IFERROR(VLOOKUP(A3,'PG Stats'!A:R,11,0),)</f>
        <v>-1.208643204</v>
      </c>
      <c r="D3" s="675">
        <f>IFERROR(VLOOKUP(A3,'PG Stats'!A:R,12,0),)</f>
        <v>0.09135093986</v>
      </c>
      <c r="E3" s="675">
        <f>IFERROR(VLOOKUP(A3,'PG Stats'!A:R,13,0),)</f>
        <v>0.007026995374</v>
      </c>
      <c r="F3" s="675">
        <f>IFERROR(VLOOKUP(A3,'PG Stats'!A:R,14,0),)</f>
        <v>0.3618902618</v>
      </c>
      <c r="G3" s="676">
        <f>IFERROR(VLOOKUP(A3,'PG Stats'!A:R,15,0),)</f>
        <v>0.07026995374</v>
      </c>
      <c r="H3" s="676">
        <f>IFERROR(VLOOKUP(A3,'PG Stats'!A:R,16,0),)</f>
        <v>0.007026995374</v>
      </c>
      <c r="I3" s="676">
        <f>IFERROR(VLOOKUP(A3,'PG Stats'!A:R,17,0),)</f>
        <v>0.4743221877</v>
      </c>
      <c r="J3" s="677">
        <f>IFERROR(VLOOKUP(A3,'PG Stats'!A:R,18,0),)</f>
        <v>1.446214206</v>
      </c>
      <c r="K3" s="677">
        <f>IFERROR(VLOOKUP(A3,'PG Stats'!A:S,19,0),)</f>
        <v>0.224863852</v>
      </c>
      <c r="L3" s="17"/>
      <c r="M3" s="673" t="str">
        <f>'Halo Reach Stats'!A3</f>
        <v>ADhillyy</v>
      </c>
      <c r="N3" s="779" t="str">
        <f t="shared" si="2"/>
        <v>F</v>
      </c>
      <c r="O3" s="779" t="str">
        <f t="shared" si="3"/>
        <v>F</v>
      </c>
      <c r="P3" s="779" t="str">
        <f t="shared" si="4"/>
        <v>D</v>
      </c>
      <c r="Q3" s="779" t="str">
        <f t="shared" si="5"/>
        <v>F</v>
      </c>
      <c r="R3" s="779" t="str">
        <f t="shared" si="6"/>
        <v>C</v>
      </c>
      <c r="S3" s="779" t="str">
        <f t="shared" si="7"/>
        <v>C</v>
      </c>
      <c r="T3" s="779" t="str">
        <f t="shared" si="8"/>
        <v>E</v>
      </c>
      <c r="U3" s="779" t="str">
        <f t="shared" si="9"/>
        <v>D</v>
      </c>
      <c r="V3" s="779" t="str">
        <f t="shared" si="10"/>
        <v>A</v>
      </c>
      <c r="W3" s="779" t="str">
        <f t="shared" si="11"/>
        <v>B</v>
      </c>
      <c r="X3" s="785" t="str">
        <f t="shared" si="12"/>
        <v>D</v>
      </c>
      <c r="Y3" s="366">
        <f t="shared" si="13"/>
        <v>9.4</v>
      </c>
      <c r="Z3" s="786" t="s">
        <v>435</v>
      </c>
      <c r="AA3" s="787">
        <v>7.0</v>
      </c>
      <c r="AB3" s="788" t="s">
        <v>469</v>
      </c>
      <c r="AC3" s="789">
        <f t="shared" ref="AC3:AL3" si="14">PERCENTILE(B2:B80,0.85)</f>
        <v>0.3741345493</v>
      </c>
      <c r="AD3" s="789">
        <f t="shared" si="14"/>
        <v>0.4321005561</v>
      </c>
      <c r="AE3" s="789">
        <f t="shared" si="14"/>
        <v>0.1611123515</v>
      </c>
      <c r="AF3" s="789">
        <f t="shared" si="14"/>
        <v>0.07555201039</v>
      </c>
      <c r="AG3" s="789">
        <f t="shared" si="14"/>
        <v>0.5860534339</v>
      </c>
      <c r="AH3" s="789">
        <f t="shared" si="14"/>
        <v>0.1020099111</v>
      </c>
      <c r="AI3" s="789">
        <f t="shared" si="14"/>
        <v>0.06105067509</v>
      </c>
      <c r="AJ3" s="789">
        <f t="shared" si="14"/>
        <v>0.6442681051</v>
      </c>
      <c r="AK3" s="789">
        <f t="shared" si="14"/>
        <v>1.524988303</v>
      </c>
      <c r="AL3" s="789">
        <f t="shared" si="14"/>
        <v>0.2489662808</v>
      </c>
    </row>
    <row r="4">
      <c r="A4" s="673" t="str">
        <f>'Halo Reach Stats'!A4</f>
        <v>Almighty Tycoon</v>
      </c>
      <c r="B4" s="674">
        <f>IFERROR(VLOOKUP(A4,'PG Stats'!A:R,10,0),)</f>
        <v>0.02612309519</v>
      </c>
      <c r="C4" s="674">
        <f>IFERROR(VLOOKUP(A4,'PG Stats'!A:R,11,0),)</f>
        <v>-0.6340787651</v>
      </c>
      <c r="D4" s="675">
        <f>IFERROR(VLOOKUP(A4,'PG Stats'!A:R,12,0),)</f>
        <v>0.07836928557</v>
      </c>
      <c r="E4" s="675">
        <f>IFERROR(VLOOKUP(A4,'PG Stats'!A:R,13,0),)</f>
        <v>0.01899861468</v>
      </c>
      <c r="F4" s="675">
        <f>IFERROR(VLOOKUP(A4,'PG Stats'!A:R,14,0),)</f>
        <v>0.3087274886</v>
      </c>
      <c r="G4" s="676">
        <f>IFERROR(VLOOKUP(A4,'PG Stats'!A:R,15,0),)</f>
        <v>0.05224619038</v>
      </c>
      <c r="H4" s="676">
        <f>IFERROR(VLOOKUP(A4,'PG Stats'!A:R,16,0),)</f>
        <v>0.01662378785</v>
      </c>
      <c r="I4" s="676">
        <f>IFERROR(VLOOKUP(A4,'PG Stats'!A:R,17,0),)</f>
        <v>0.5082129428</v>
      </c>
      <c r="J4" s="677">
        <f>IFERROR(VLOOKUP(A4,'PG Stats'!A:R,18,0),)</f>
        <v>0.513305627</v>
      </c>
      <c r="K4" s="677">
        <f>IFERROR(VLOOKUP(A4,'PG Stats'!A:S,19,0),)</f>
        <v>0.1804868395</v>
      </c>
      <c r="L4" s="17"/>
      <c r="M4" s="673" t="str">
        <f>'Halo Reach Stats'!A4</f>
        <v>Almighty Tycoon</v>
      </c>
      <c r="N4" s="779" t="str">
        <f t="shared" si="2"/>
        <v>D</v>
      </c>
      <c r="O4" s="779" t="str">
        <f t="shared" si="3"/>
        <v>D</v>
      </c>
      <c r="P4" s="779" t="str">
        <f t="shared" si="4"/>
        <v>D</v>
      </c>
      <c r="Q4" s="779" t="str">
        <f t="shared" si="5"/>
        <v>E</v>
      </c>
      <c r="R4" s="779" t="str">
        <f t="shared" si="6"/>
        <v>E</v>
      </c>
      <c r="S4" s="779" t="str">
        <f t="shared" si="7"/>
        <v>D</v>
      </c>
      <c r="T4" s="779" t="str">
        <f t="shared" si="8"/>
        <v>D</v>
      </c>
      <c r="U4" s="779" t="str">
        <f t="shared" si="9"/>
        <v>D</v>
      </c>
      <c r="V4" s="779" t="str">
        <f t="shared" si="10"/>
        <v>F</v>
      </c>
      <c r="W4" s="779" t="str">
        <f t="shared" si="11"/>
        <v>D</v>
      </c>
      <c r="X4" s="785" t="str">
        <f t="shared" si="12"/>
        <v>D</v>
      </c>
      <c r="Y4" s="366">
        <f t="shared" si="13"/>
        <v>9.2</v>
      </c>
      <c r="Z4" s="790" t="s">
        <v>439</v>
      </c>
      <c r="AA4" s="791">
        <v>6.0</v>
      </c>
      <c r="AB4" s="792" t="s">
        <v>439</v>
      </c>
      <c r="AC4" s="793">
        <f t="shared" ref="AC4:AL4" si="15">PERCENTILE(B2:B80,0.8)</f>
        <v>0.2678224753</v>
      </c>
      <c r="AD4" s="793">
        <f t="shared" si="15"/>
        <v>0.3672150625</v>
      </c>
      <c r="AE4" s="793">
        <f t="shared" si="15"/>
        <v>0.1416731043</v>
      </c>
      <c r="AF4" s="793">
        <f t="shared" si="15"/>
        <v>0.07040030914</v>
      </c>
      <c r="AG4" s="793">
        <f t="shared" si="15"/>
        <v>0.5403673376</v>
      </c>
      <c r="AH4" s="793">
        <f t="shared" si="15"/>
        <v>0.09876825349</v>
      </c>
      <c r="AI4" s="793">
        <f t="shared" si="15"/>
        <v>0.04099643568</v>
      </c>
      <c r="AJ4" s="793">
        <f t="shared" si="15"/>
        <v>0.6245512271</v>
      </c>
      <c r="AK4" s="793">
        <f t="shared" si="15"/>
        <v>1.499097157</v>
      </c>
      <c r="AL4" s="793">
        <f t="shared" si="15"/>
        <v>0.2368662939</v>
      </c>
    </row>
    <row r="5">
      <c r="A5" s="673" t="str">
        <f>'Halo Reach Stats'!A5</f>
        <v>ASpence501</v>
      </c>
      <c r="B5" s="674">
        <f>IFERROR(VLOOKUP(A5,'PG Stats'!A:R,10,0),)</f>
        <v>0.03087580406</v>
      </c>
      <c r="C5" s="674">
        <f>IFERROR(VLOOKUP(A5,'PG Stats'!A:R,11,0),)</f>
        <v>-0.02493814943</v>
      </c>
      <c r="D5" s="675">
        <f>IFERROR(VLOOKUP(A5,'PG Stats'!A:R,12,0),)</f>
        <v>0.1626917368</v>
      </c>
      <c r="E5" s="675">
        <f>IFERROR(VLOOKUP(A5,'PG Stats'!A:R,13,0),)</f>
        <v>0.05106382979</v>
      </c>
      <c r="F5" s="675">
        <f>IFERROR(VLOOKUP(A5,'PG Stats'!A:R,14,0),)</f>
        <v>0.5818901534</v>
      </c>
      <c r="G5" s="676">
        <f>IFERROR(VLOOKUP(A5,'PG Stats'!A:R,15,0),)</f>
        <v>0.1033151905</v>
      </c>
      <c r="H5" s="676">
        <f>IFERROR(VLOOKUP(A5,'PG Stats'!A:R,16,0),)</f>
        <v>0.04156358238</v>
      </c>
      <c r="I5" s="676">
        <f>IFERROR(VLOOKUP(A5,'PG Stats'!A:R,17,0),)</f>
        <v>0.7481444829</v>
      </c>
      <c r="J5" s="677">
        <f>IFERROR(VLOOKUP(A5,'PG Stats'!A:R,18,0),)</f>
        <v>1.457004677</v>
      </c>
      <c r="K5" s="677">
        <f>IFERROR(VLOOKUP(A5,'PG Stats'!A:S,19,0),)</f>
        <v>0.3004453241</v>
      </c>
      <c r="L5" s="17"/>
      <c r="M5" s="673" t="str">
        <f>'Halo Reach Stats'!A5</f>
        <v>ASpence501</v>
      </c>
      <c r="N5" s="779" t="str">
        <f t="shared" si="2"/>
        <v>D</v>
      </c>
      <c r="O5" s="779" t="str">
        <f t="shared" si="3"/>
        <v>B</v>
      </c>
      <c r="P5" s="779" t="str">
        <f t="shared" si="4"/>
        <v>S</v>
      </c>
      <c r="Q5" s="779" t="str">
        <f t="shared" si="5"/>
        <v>B</v>
      </c>
      <c r="R5" s="779" t="str">
        <f t="shared" si="6"/>
        <v>A</v>
      </c>
      <c r="S5" s="779" t="str">
        <f t="shared" si="7"/>
        <v>S</v>
      </c>
      <c r="T5" s="779" t="str">
        <f t="shared" si="8"/>
        <v>A</v>
      </c>
      <c r="U5" s="779" t="str">
        <f t="shared" si="9"/>
        <v>S</v>
      </c>
      <c r="V5" s="779" t="str">
        <f t="shared" si="10"/>
        <v>A</v>
      </c>
      <c r="W5" s="779" t="str">
        <f t="shared" si="11"/>
        <v>S</v>
      </c>
      <c r="X5" s="785" t="str">
        <f t="shared" si="12"/>
        <v>A</v>
      </c>
      <c r="Y5" s="366">
        <f t="shared" si="13"/>
        <v>20</v>
      </c>
      <c r="Z5" s="794" t="s">
        <v>443</v>
      </c>
      <c r="AA5" s="795">
        <v>5.0</v>
      </c>
      <c r="AB5" s="796" t="s">
        <v>470</v>
      </c>
      <c r="AC5" s="797">
        <f t="shared" ref="AC5:AL5" si="16">PERCENTILE(B2:B80,0.75)</f>
        <v>0.2043976463</v>
      </c>
      <c r="AD5" s="797">
        <f t="shared" si="16"/>
        <v>0.2958588009</v>
      </c>
      <c r="AE5" s="797">
        <f t="shared" si="16"/>
        <v>0.1387935085</v>
      </c>
      <c r="AF5" s="797">
        <f t="shared" si="16"/>
        <v>0.06138223704</v>
      </c>
      <c r="AG5" s="797">
        <f t="shared" si="16"/>
        <v>0.4911395376</v>
      </c>
      <c r="AH5" s="797">
        <f t="shared" si="16"/>
        <v>0.09147723371</v>
      </c>
      <c r="AI5" s="797">
        <f t="shared" si="16"/>
        <v>0.03790948424</v>
      </c>
      <c r="AJ5" s="797">
        <f t="shared" si="16"/>
        <v>0.5923000987</v>
      </c>
      <c r="AK5" s="797">
        <f t="shared" si="16"/>
        <v>1.457004677</v>
      </c>
      <c r="AL5" s="797">
        <f t="shared" si="16"/>
        <v>0.2295483137</v>
      </c>
    </row>
    <row r="6">
      <c r="A6" s="673" t="str">
        <f>'Halo Reach Stats'!A6</f>
        <v>AwareMosquito</v>
      </c>
      <c r="B6" s="674">
        <f>IFERROR(VLOOKUP(A6,'PG Stats'!A:R,10,0),)</f>
        <v>0.04601932812</v>
      </c>
      <c r="C6" s="674">
        <f>IFERROR(VLOOKUP(A6,'PG Stats'!A:R,11,0),)</f>
        <v>-0.8283479061</v>
      </c>
      <c r="D6" s="675">
        <f>IFERROR(VLOOKUP(A6,'PG Stats'!A:R,12,0),)</f>
        <v>0.09203865624</v>
      </c>
      <c r="E6" s="675">
        <f>IFERROR(VLOOKUP(A6,'PG Stats'!A:R,13,0),)</f>
        <v>0.009203865624</v>
      </c>
      <c r="F6" s="675">
        <f>IFERROR(VLOOKUP(A6,'PG Stats'!A:R,14,0),)</f>
        <v>0.317533364</v>
      </c>
      <c r="G6" s="676">
        <f>IFERROR(VLOOKUP(A6,'PG Stats'!A:R,15,0),)</f>
        <v>0.04141739531</v>
      </c>
      <c r="H6" s="676">
        <f>IFERROR(VLOOKUP(A6,'PG Stats'!A:R,16,0),)</f>
        <v>0.009203865624</v>
      </c>
      <c r="I6" s="676">
        <f>IFERROR(VLOOKUP(A6,'PG Stats'!A:R,17,0),)</f>
        <v>0.317533364</v>
      </c>
      <c r="J6" s="677">
        <f>IFERROR(VLOOKUP(A6,'PG Stats'!A:R,18,0),)</f>
        <v>0.4601932812</v>
      </c>
      <c r="K6" s="677">
        <f>IFERROR(VLOOKUP(A6,'PG Stats'!A:S,19,0),)</f>
        <v>0.1426599172</v>
      </c>
      <c r="L6" s="17"/>
      <c r="M6" s="673" t="str">
        <f>'Halo Reach Stats'!A6</f>
        <v>AwareMosquito</v>
      </c>
      <c r="N6" s="779" t="str">
        <f t="shared" si="2"/>
        <v>B</v>
      </c>
      <c r="O6" s="779" t="str">
        <f t="shared" si="3"/>
        <v>E</v>
      </c>
      <c r="P6" s="779" t="str">
        <f t="shared" si="4"/>
        <v>C</v>
      </c>
      <c r="Q6" s="779" t="str">
        <f t="shared" si="5"/>
        <v>F</v>
      </c>
      <c r="R6" s="779" t="str">
        <f t="shared" si="6"/>
        <v>E</v>
      </c>
      <c r="S6" s="779" t="str">
        <f t="shared" si="7"/>
        <v>E</v>
      </c>
      <c r="T6" s="779" t="str">
        <f t="shared" si="8"/>
        <v>E</v>
      </c>
      <c r="U6" s="779" t="str">
        <f t="shared" si="9"/>
        <v>F</v>
      </c>
      <c r="V6" s="779" t="str">
        <f t="shared" si="10"/>
        <v>F</v>
      </c>
      <c r="W6" s="779" t="str">
        <f t="shared" si="11"/>
        <v>E</v>
      </c>
      <c r="X6" s="785" t="str">
        <f t="shared" si="12"/>
        <v>E</v>
      </c>
      <c r="Y6" s="366">
        <f t="shared" si="13"/>
        <v>7.9</v>
      </c>
      <c r="Z6" s="798" t="s">
        <v>447</v>
      </c>
      <c r="AA6" s="799">
        <v>4.0</v>
      </c>
      <c r="AB6" s="800" t="s">
        <v>471</v>
      </c>
      <c r="AC6" s="801">
        <f t="shared" ref="AC6:AL6" si="17">PERCENTILE(B2:B80,0.7)</f>
        <v>0.1309342549</v>
      </c>
      <c r="AD6" s="801">
        <f t="shared" si="17"/>
        <v>0.1062125087</v>
      </c>
      <c r="AE6" s="801">
        <f t="shared" si="17"/>
        <v>0.1333645104</v>
      </c>
      <c r="AF6" s="801">
        <f t="shared" si="17"/>
        <v>0.05283408788</v>
      </c>
      <c r="AG6" s="801">
        <f t="shared" si="17"/>
        <v>0.4485686775</v>
      </c>
      <c r="AH6" s="801">
        <f t="shared" si="17"/>
        <v>0.08737196951</v>
      </c>
      <c r="AI6" s="801">
        <f t="shared" si="17"/>
        <v>0.03121077617</v>
      </c>
      <c r="AJ6" s="801">
        <f t="shared" si="17"/>
        <v>0.5832899313</v>
      </c>
      <c r="AK6" s="801">
        <f t="shared" si="17"/>
        <v>1.419660954</v>
      </c>
      <c r="AL6" s="801">
        <f t="shared" si="17"/>
        <v>0.2277084646</v>
      </c>
    </row>
    <row r="7">
      <c r="A7" s="673" t="str">
        <f>'Halo Reach Stats'!A7</f>
        <v>Beautytism</v>
      </c>
      <c r="B7" s="674">
        <f>IFERROR(VLOOKUP(A7,'PG Stats'!A:R,10,0),)</f>
        <v>0.01719580932</v>
      </c>
      <c r="C7" s="674">
        <f>IFERROR(VLOOKUP(A7,'PG Stats'!A:R,11,0),)</f>
        <v>0.4528229787</v>
      </c>
      <c r="D7" s="675">
        <f>IFERROR(VLOOKUP(A7,'PG Stats'!A:R,12,0),)</f>
        <v>0.1413877655</v>
      </c>
      <c r="E7" s="675">
        <f>IFERROR(VLOOKUP(A7,'PG Stats'!A:R,13,0),)</f>
        <v>0.07069388275</v>
      </c>
      <c r="F7" s="675">
        <f>IFERROR(VLOOKUP(A7,'PG Stats'!A:R,14,0),)</f>
        <v>0.3649332866</v>
      </c>
      <c r="G7" s="676">
        <f>IFERROR(VLOOKUP(A7,'PG Stats'!A:R,15,0),)</f>
        <v>0.04776613699</v>
      </c>
      <c r="H7" s="676">
        <f>IFERROR(VLOOKUP(A7,'PG Stats'!A:R,16,0),)</f>
        <v>0.06496194631</v>
      </c>
      <c r="I7" s="676">
        <f>IFERROR(VLOOKUP(A7,'PG Stats'!A:R,17,0),)</f>
        <v>0.6859217272</v>
      </c>
      <c r="J7" s="677">
        <f>IFERROR(VLOOKUP(A7,'PG Stats'!A:R,18,0),)</f>
        <v>1.413022641</v>
      </c>
      <c r="K7" s="677">
        <f>IFERROR(VLOOKUP(A7,'PG Stats'!A:S,19,0),)</f>
        <v>0.27895424</v>
      </c>
      <c r="L7" s="17"/>
      <c r="M7" s="673" t="str">
        <f>'Halo Reach Stats'!A7</f>
        <v>Beautytism</v>
      </c>
      <c r="N7" s="779" t="str">
        <f t="shared" si="2"/>
        <v>F</v>
      </c>
      <c r="O7" s="779" t="str">
        <f t="shared" si="3"/>
        <v>S</v>
      </c>
      <c r="P7" s="779" t="str">
        <f t="shared" si="4"/>
        <v>A</v>
      </c>
      <c r="Q7" s="779" t="str">
        <f t="shared" si="5"/>
        <v>A</v>
      </c>
      <c r="R7" s="779" t="str">
        <f t="shared" si="6"/>
        <v>C</v>
      </c>
      <c r="S7" s="779" t="str">
        <f t="shared" si="7"/>
        <v>D</v>
      </c>
      <c r="T7" s="779" t="str">
        <f t="shared" si="8"/>
        <v>S</v>
      </c>
      <c r="U7" s="779" t="str">
        <f t="shared" si="9"/>
        <v>S</v>
      </c>
      <c r="V7" s="779" t="str">
        <f t="shared" si="10"/>
        <v>B</v>
      </c>
      <c r="W7" s="779" t="str">
        <f t="shared" si="11"/>
        <v>S</v>
      </c>
      <c r="X7" s="785" t="str">
        <f t="shared" si="12"/>
        <v>B</v>
      </c>
      <c r="Y7" s="366">
        <f t="shared" si="13"/>
        <v>16.8</v>
      </c>
      <c r="Z7" s="802" t="s">
        <v>451</v>
      </c>
      <c r="AA7" s="803">
        <v>3.0</v>
      </c>
      <c r="AB7" s="804" t="s">
        <v>443</v>
      </c>
      <c r="AC7" s="805">
        <f t="shared" ref="AC7:AL7" si="18">PERCENTILE(B2:B80,0.65)</f>
        <v>0.06643178885</v>
      </c>
      <c r="AD7" s="805">
        <f t="shared" si="18"/>
        <v>-0.01801992243</v>
      </c>
      <c r="AE7" s="805">
        <f t="shared" si="18"/>
        <v>0.1270364176</v>
      </c>
      <c r="AF7" s="805">
        <f t="shared" si="18"/>
        <v>0.04760518806</v>
      </c>
      <c r="AG7" s="805">
        <f t="shared" si="18"/>
        <v>0.4376769288</v>
      </c>
      <c r="AH7" s="805">
        <f t="shared" si="18"/>
        <v>0.08180710264</v>
      </c>
      <c r="AI7" s="805">
        <f t="shared" si="18"/>
        <v>0.02592408564</v>
      </c>
      <c r="AJ7" s="805">
        <f t="shared" si="18"/>
        <v>0.5685696094</v>
      </c>
      <c r="AK7" s="805">
        <f t="shared" si="18"/>
        <v>1.35596415</v>
      </c>
      <c r="AL7" s="805">
        <f t="shared" si="18"/>
        <v>0.2249121303</v>
      </c>
    </row>
    <row r="8">
      <c r="A8" s="673" t="str">
        <f>'Halo Reach Stats'!A8</f>
        <v>CaptainSev004</v>
      </c>
      <c r="B8" s="674">
        <f>IFERROR(VLOOKUP(A8,'PG Stats'!A:R,10,0),)</f>
        <v>0.01945945946</v>
      </c>
      <c r="C8" s="674">
        <f>IFERROR(VLOOKUP(A8,'PG Stats'!A:R,11,0),)</f>
        <v>-0.6259459459</v>
      </c>
      <c r="D8" s="675">
        <f>IFERROR(VLOOKUP(A8,'PG Stats'!A:R,12,0),)</f>
        <v>0.0972972973</v>
      </c>
      <c r="E8" s="675">
        <f>IFERROR(VLOOKUP(A8,'PG Stats'!A:R,13,0),)</f>
        <v>0.0227027027</v>
      </c>
      <c r="F8" s="675">
        <f>IFERROR(VLOOKUP(A8,'PG Stats'!A:R,14,0),)</f>
        <v>0.3275675676</v>
      </c>
      <c r="G8" s="676">
        <f>IFERROR(VLOOKUP(A8,'PG Stats'!A:R,15,0),)</f>
        <v>0.03567567568</v>
      </c>
      <c r="H8" s="676">
        <f>IFERROR(VLOOKUP(A8,'PG Stats'!A:R,16,0),)</f>
        <v>0.01945945946</v>
      </c>
      <c r="I8" s="676">
        <f>IFERROR(VLOOKUP(A8,'PG Stats'!A:R,17,0),)</f>
        <v>0.5221621622</v>
      </c>
      <c r="J8" s="677">
        <f>IFERROR(VLOOKUP(A8,'PG Stats'!A:R,18,0),)</f>
        <v>0.9118918919</v>
      </c>
      <c r="K8" s="677">
        <f>IFERROR(VLOOKUP(A8,'PG Stats'!A:S,19,0),)</f>
        <v>0.1718918919</v>
      </c>
      <c r="L8" s="17"/>
      <c r="M8" s="673" t="str">
        <f>'Halo Reach Stats'!A8</f>
        <v>CaptainSev004</v>
      </c>
      <c r="N8" s="779" t="str">
        <f t="shared" si="2"/>
        <v>E</v>
      </c>
      <c r="O8" s="779" t="str">
        <f t="shared" si="3"/>
        <v>D</v>
      </c>
      <c r="P8" s="779" t="str">
        <f t="shared" si="4"/>
        <v>C</v>
      </c>
      <c r="Q8" s="779" t="str">
        <f t="shared" si="5"/>
        <v>D</v>
      </c>
      <c r="R8" s="779" t="str">
        <f t="shared" si="6"/>
        <v>D</v>
      </c>
      <c r="S8" s="779" t="str">
        <f t="shared" si="7"/>
        <v>F</v>
      </c>
      <c r="T8" s="779" t="str">
        <f t="shared" si="8"/>
        <v>C</v>
      </c>
      <c r="U8" s="779" t="str">
        <f t="shared" si="9"/>
        <v>C</v>
      </c>
      <c r="V8" s="779" t="str">
        <f t="shared" si="10"/>
        <v>E</v>
      </c>
      <c r="W8" s="779" t="str">
        <f t="shared" si="11"/>
        <v>D</v>
      </c>
      <c r="X8" s="785" t="str">
        <f t="shared" si="12"/>
        <v>D</v>
      </c>
      <c r="Y8" s="366">
        <f t="shared" si="13"/>
        <v>9.5</v>
      </c>
      <c r="Z8" s="806" t="s">
        <v>455</v>
      </c>
      <c r="AA8" s="807">
        <v>2.0</v>
      </c>
      <c r="AB8" s="800" t="s">
        <v>472</v>
      </c>
      <c r="AC8" s="801">
        <f t="shared" ref="AC8:AL8" si="19">PERCENTILE(B2:B80,0.6)</f>
        <v>0.05223956975</v>
      </c>
      <c r="AD8" s="801">
        <f t="shared" si="19"/>
        <v>-0.1070789963</v>
      </c>
      <c r="AE8" s="801">
        <f t="shared" si="19"/>
        <v>0.1206173198</v>
      </c>
      <c r="AF8" s="801">
        <f t="shared" si="19"/>
        <v>0.04362235041</v>
      </c>
      <c r="AG8" s="801">
        <f t="shared" si="19"/>
        <v>0.4294665167</v>
      </c>
      <c r="AH8" s="801">
        <f t="shared" si="19"/>
        <v>0.07486458581</v>
      </c>
      <c r="AI8" s="801">
        <f t="shared" si="19"/>
        <v>0.02222661056</v>
      </c>
      <c r="AJ8" s="801">
        <f t="shared" si="19"/>
        <v>0.5450603902</v>
      </c>
      <c r="AK8" s="801">
        <f t="shared" si="19"/>
        <v>1.322917447</v>
      </c>
      <c r="AL8" s="801">
        <f t="shared" si="19"/>
        <v>0.2198566562</v>
      </c>
    </row>
    <row r="9">
      <c r="A9" s="673" t="str">
        <f>'Halo Reach Stats'!A9</f>
        <v>Cell x2</v>
      </c>
      <c r="B9" s="674">
        <f>IFERROR(VLOOKUP(A9,'PG Stats'!A:R,10,0),)</f>
        <v>0.1241819097</v>
      </c>
      <c r="C9" s="674">
        <f>IFERROR(VLOOKUP(A9,'PG Stats'!A:R,11,0),)</f>
        <v>-0.2315824803</v>
      </c>
      <c r="D9" s="675">
        <f>IFERROR(VLOOKUP(A9,'PG Stats'!A:R,12,0),)</f>
        <v>0.1241819097</v>
      </c>
      <c r="E9" s="675">
        <f>IFERROR(VLOOKUP(A9,'PG Stats'!A:R,13,0),)</f>
        <v>0.03020641047</v>
      </c>
      <c r="F9" s="675">
        <f>IFERROR(VLOOKUP(A9,'PG Stats'!A:R,14,0),)</f>
        <v>0.4430273536</v>
      </c>
      <c r="G9" s="676">
        <f>IFERROR(VLOOKUP(A9,'PG Stats'!A:R,15,0),)</f>
        <v>0.08726296358</v>
      </c>
      <c r="H9" s="676">
        <f>IFERROR(VLOOKUP(A9,'PG Stats'!A:R,16,0),)</f>
        <v>0.02013760698</v>
      </c>
      <c r="I9" s="676">
        <f>IFERROR(VLOOKUP(A9,'PG Stats'!A:R,17,0),)</f>
        <v>0.6108407451</v>
      </c>
      <c r="J9" s="677">
        <f>IFERROR(VLOOKUP(A9,'PG Stats'!A:R,18,0),)</f>
        <v>1.362476926</v>
      </c>
      <c r="K9" s="677">
        <f>IFERROR(VLOOKUP(A9,'PG Stats'!A:S,19,0),)</f>
        <v>0.2080886055</v>
      </c>
      <c r="L9" s="17"/>
      <c r="M9" s="673" t="str">
        <f>'Halo Reach Stats'!A9</f>
        <v>Cell x2</v>
      </c>
      <c r="N9" s="779" t="str">
        <f t="shared" si="2"/>
        <v>B</v>
      </c>
      <c r="O9" s="779" t="str">
        <f t="shared" si="3"/>
        <v>B</v>
      </c>
      <c r="P9" s="779" t="str">
        <f t="shared" si="4"/>
        <v>B</v>
      </c>
      <c r="Q9" s="779" t="str">
        <f t="shared" si="5"/>
        <v>C</v>
      </c>
      <c r="R9" s="779" t="str">
        <f t="shared" si="6"/>
        <v>B</v>
      </c>
      <c r="S9" s="779" t="str">
        <f t="shared" si="7"/>
        <v>B</v>
      </c>
      <c r="T9" s="779" t="str">
        <f t="shared" si="8"/>
        <v>B</v>
      </c>
      <c r="U9" s="779" t="str">
        <f t="shared" si="9"/>
        <v>A</v>
      </c>
      <c r="V9" s="779" t="str">
        <f t="shared" si="10"/>
        <v>B</v>
      </c>
      <c r="W9" s="779" t="str">
        <f t="shared" si="11"/>
        <v>C</v>
      </c>
      <c r="X9" s="785" t="str">
        <f t="shared" si="12"/>
        <v>B</v>
      </c>
      <c r="Y9" s="366">
        <f t="shared" si="13"/>
        <v>17.3</v>
      </c>
      <c r="Z9" s="808" t="s">
        <v>458</v>
      </c>
      <c r="AA9" s="809">
        <v>1.0</v>
      </c>
      <c r="AB9" s="810" t="s">
        <v>473</v>
      </c>
      <c r="AC9" s="811">
        <f t="shared" ref="AC9:AL9" si="20">PERCENTILE(B2:B80,0.55)</f>
        <v>0.04411319599</v>
      </c>
      <c r="AD9" s="811">
        <f t="shared" si="20"/>
        <v>-0.2497262914</v>
      </c>
      <c r="AE9" s="811">
        <f t="shared" si="20"/>
        <v>0.1171881201</v>
      </c>
      <c r="AF9" s="811">
        <f t="shared" si="20"/>
        <v>0.03981875827</v>
      </c>
      <c r="AG9" s="811">
        <f t="shared" si="20"/>
        <v>0.4054235749</v>
      </c>
      <c r="AH9" s="811">
        <f t="shared" si="20"/>
        <v>0.07060909695</v>
      </c>
      <c r="AI9" s="811">
        <f t="shared" si="20"/>
        <v>0.02008173888</v>
      </c>
      <c r="AJ9" s="811">
        <f t="shared" si="20"/>
        <v>0.531530478</v>
      </c>
      <c r="AK9" s="811">
        <f t="shared" si="20"/>
        <v>1.289786194</v>
      </c>
      <c r="AL9" s="811">
        <f t="shared" si="20"/>
        <v>0.212799247</v>
      </c>
    </row>
    <row r="10">
      <c r="A10" s="673" t="str">
        <f>'Halo Reach Stats'!A10</f>
        <v>Dhlyn</v>
      </c>
      <c r="B10" s="674">
        <f>IFERROR(VLOOKUP(A10,'PG Stats'!A:R,10,0),)</f>
        <v>0.6701124083</v>
      </c>
      <c r="C10" s="674">
        <f>IFERROR(VLOOKUP(A10,'PG Stats'!A:R,11,0),)</f>
        <v>0.2992735027</v>
      </c>
      <c r="D10" s="675">
        <f>IFERROR(VLOOKUP(A10,'PG Stats'!A:R,12,0),)</f>
        <v>0.05638486283</v>
      </c>
      <c r="E10" s="675">
        <f>IFERROR(VLOOKUP(A10,'PG Stats'!A:R,13,0),)</f>
        <v>0.08023999711</v>
      </c>
      <c r="F10" s="675">
        <f>IFERROR(VLOOKUP(A10,'PG Stats'!A:R,14,0),)</f>
        <v>0.3795134998</v>
      </c>
      <c r="G10" s="676">
        <f>IFERROR(VLOOKUP(A10,'PG Stats'!A:R,15,0),)</f>
        <v>0.06722810569</v>
      </c>
      <c r="H10" s="676">
        <f>IFERROR(VLOOKUP(A10,'PG Stats'!A:R,16,0),)</f>
        <v>0.01734918856</v>
      </c>
      <c r="I10" s="676">
        <f>IFERROR(VLOOKUP(A10,'PG Stats'!A:R,17,0),)</f>
        <v>0.5204756569</v>
      </c>
      <c r="J10" s="677">
        <f>IFERROR(VLOOKUP(A10,'PG Stats'!A:R,18,0),)</f>
        <v>1.510712486</v>
      </c>
      <c r="K10" s="677">
        <f>IFERROR(VLOOKUP(A10,'PG Stats'!A:S,19,0),)</f>
        <v>0.1257816171</v>
      </c>
      <c r="L10" s="17"/>
      <c r="M10" s="673" t="str">
        <f>'Halo Reach Stats'!A10</f>
        <v>Dhlyn</v>
      </c>
      <c r="N10" s="779" t="str">
        <f t="shared" si="2"/>
        <v>S</v>
      </c>
      <c r="O10" s="779" t="str">
        <f t="shared" si="3"/>
        <v>A</v>
      </c>
      <c r="P10" s="779" t="str">
        <f t="shared" si="4"/>
        <v>F</v>
      </c>
      <c r="Q10" s="779" t="str">
        <f t="shared" si="5"/>
        <v>S</v>
      </c>
      <c r="R10" s="779" t="str">
        <f t="shared" si="6"/>
        <v>C</v>
      </c>
      <c r="S10" s="779" t="str">
        <f t="shared" si="7"/>
        <v>C</v>
      </c>
      <c r="T10" s="779" t="str">
        <f t="shared" si="8"/>
        <v>D</v>
      </c>
      <c r="U10" s="779" t="str">
        <f t="shared" si="9"/>
        <v>C</v>
      </c>
      <c r="V10" s="779" t="str">
        <f t="shared" si="10"/>
        <v>A</v>
      </c>
      <c r="W10" s="779" t="str">
        <f t="shared" si="11"/>
        <v>F</v>
      </c>
      <c r="X10" s="785" t="str">
        <f t="shared" si="12"/>
        <v>B</v>
      </c>
      <c r="Y10" s="366">
        <f t="shared" si="13"/>
        <v>15.4</v>
      </c>
      <c r="Z10" s="17"/>
      <c r="AA10" s="17"/>
      <c r="AB10" s="812" t="s">
        <v>447</v>
      </c>
      <c r="AC10" s="813">
        <f t="shared" ref="AC10:AL10" si="21">PERCENTILE(B2:B80,0.5)</f>
        <v>0.03520713531</v>
      </c>
      <c r="AD10" s="813">
        <f t="shared" si="21"/>
        <v>-0.33638527</v>
      </c>
      <c r="AE10" s="813">
        <f t="shared" si="21"/>
        <v>0.109123977</v>
      </c>
      <c r="AF10" s="813">
        <f t="shared" si="21"/>
        <v>0.03020641047</v>
      </c>
      <c r="AG10" s="813">
        <f t="shared" si="21"/>
        <v>0.3795134998</v>
      </c>
      <c r="AH10" s="813">
        <f t="shared" si="21"/>
        <v>0.07026995374</v>
      </c>
      <c r="AI10" s="813">
        <f t="shared" si="21"/>
        <v>0.01945945946</v>
      </c>
      <c r="AJ10" s="813">
        <f t="shared" si="21"/>
        <v>0.5221621622</v>
      </c>
      <c r="AK10" s="813">
        <f t="shared" si="21"/>
        <v>1.213595235</v>
      </c>
      <c r="AL10" s="813">
        <f t="shared" si="21"/>
        <v>0.2105915144</v>
      </c>
    </row>
    <row r="11">
      <c r="A11" s="673" t="str">
        <f>'Halo Reach Stats'!A11</f>
        <v>Dior Glori</v>
      </c>
      <c r="B11" s="674">
        <f>IFERROR(VLOOKUP(A11,'PG Stats'!A:R,10,0),)</f>
        <v>0.1579436358</v>
      </c>
      <c r="C11" s="674">
        <f>IFERROR(VLOOKUP(A11,'PG Stats'!A:R,11,0),)</f>
        <v>-0.3964075565</v>
      </c>
      <c r="D11" s="675">
        <f>IFERROR(VLOOKUP(A11,'PG Stats'!A:R,12,0),)</f>
        <v>0.1331681635</v>
      </c>
      <c r="E11" s="675">
        <f>IFERROR(VLOOKUP(A11,'PG Stats'!A:R,13,0),)</f>
        <v>0.02477547228</v>
      </c>
      <c r="F11" s="675">
        <f>IFERROR(VLOOKUP(A11,'PG Stats'!A:R,14,0),)</f>
        <v>0.3313719418</v>
      </c>
      <c r="G11" s="676">
        <f>IFERROR(VLOOKUP(A11,'PG Stats'!A:R,15,0),)</f>
        <v>0.04026014246</v>
      </c>
      <c r="H11" s="676">
        <f>IFERROR(VLOOKUP(A11,'PG Stats'!A:R,16,0),)</f>
        <v>0.01548467018</v>
      </c>
      <c r="I11" s="676">
        <f>IFERROR(VLOOKUP(A11,'PG Stats'!A:R,17,0),)</f>
        <v>0.5357695881</v>
      </c>
      <c r="J11" s="677">
        <f>IFERROR(VLOOKUP(A11,'PG Stats'!A:R,18,0),)</f>
        <v>0.9678361279</v>
      </c>
      <c r="K11" s="677">
        <f>IFERROR(VLOOKUP(A11,'PG Stats'!A:S,19,0),)</f>
        <v>0.2105915144</v>
      </c>
      <c r="L11" s="17"/>
      <c r="M11" s="673" t="str">
        <f>'Halo Reach Stats'!A11</f>
        <v>Dior Glori</v>
      </c>
      <c r="N11" s="779" t="str">
        <f t="shared" si="2"/>
        <v>A</v>
      </c>
      <c r="O11" s="779" t="str">
        <f t="shared" si="3"/>
        <v>C</v>
      </c>
      <c r="P11" s="779" t="str">
        <f t="shared" si="4"/>
        <v>B</v>
      </c>
      <c r="Q11" s="779" t="str">
        <f t="shared" si="5"/>
        <v>D</v>
      </c>
      <c r="R11" s="779" t="str">
        <f t="shared" si="6"/>
        <v>D</v>
      </c>
      <c r="S11" s="779" t="str">
        <f t="shared" si="7"/>
        <v>E</v>
      </c>
      <c r="T11" s="779" t="str">
        <f t="shared" si="8"/>
        <v>D</v>
      </c>
      <c r="U11" s="779" t="str">
        <f t="shared" si="9"/>
        <v>B</v>
      </c>
      <c r="V11" s="779" t="str">
        <f t="shared" si="10"/>
        <v>E</v>
      </c>
      <c r="W11" s="779" t="str">
        <f t="shared" si="11"/>
        <v>C</v>
      </c>
      <c r="X11" s="785" t="str">
        <f t="shared" si="12"/>
        <v>C</v>
      </c>
      <c r="Y11" s="366">
        <f t="shared" si="13"/>
        <v>12.9</v>
      </c>
      <c r="Z11" s="17"/>
      <c r="AA11" s="17"/>
      <c r="AB11" s="814" t="s">
        <v>474</v>
      </c>
      <c r="AC11" s="815">
        <f t="shared" ref="AC11:AL11" si="22">PERCENTILE(B2:B80,0.45)</f>
        <v>0.03324982547</v>
      </c>
      <c r="AD11" s="815">
        <f t="shared" si="22"/>
        <v>-0.388691448</v>
      </c>
      <c r="AE11" s="815">
        <f t="shared" si="22"/>
        <v>0.09634647306</v>
      </c>
      <c r="AF11" s="815">
        <f t="shared" si="22"/>
        <v>0.02812146025</v>
      </c>
      <c r="AG11" s="815">
        <f t="shared" si="22"/>
        <v>0.3653154157</v>
      </c>
      <c r="AH11" s="815">
        <f t="shared" si="22"/>
        <v>0.06202334912</v>
      </c>
      <c r="AI11" s="815">
        <f t="shared" si="22"/>
        <v>0.01882363508</v>
      </c>
      <c r="AJ11" s="815">
        <f t="shared" si="22"/>
        <v>0.5206276298</v>
      </c>
      <c r="AK11" s="815">
        <f t="shared" si="22"/>
        <v>1.194612234</v>
      </c>
      <c r="AL11" s="815">
        <f t="shared" si="22"/>
        <v>0.2011366323</v>
      </c>
    </row>
    <row r="12">
      <c r="A12" s="673" t="str">
        <f>'Halo Reach Stats'!A12</f>
        <v>DlGITAL PAIN</v>
      </c>
      <c r="B12" s="674">
        <f>IFERROR(VLOOKUP(A12,'PG Stats'!A:R,10,0),)</f>
        <v>0.03102004239</v>
      </c>
      <c r="C12" s="674">
        <f>IFERROR(VLOOKUP(A12,'PG Stats'!A:R,11,0),)</f>
        <v>0.8003170938</v>
      </c>
      <c r="D12" s="675">
        <f>IFERROR(VLOOKUP(A12,'PG Stats'!A:R,12,0),)</f>
        <v>0.1313181795</v>
      </c>
      <c r="E12" s="675">
        <f>IFERROR(VLOOKUP(A12,'PG Stats'!A:R,13,0),)</f>
        <v>0.09512813001</v>
      </c>
      <c r="F12" s="675">
        <f>IFERROR(VLOOKUP(A12,'PG Stats'!A:R,14,0),)</f>
        <v>0.6555568959</v>
      </c>
      <c r="G12" s="676">
        <f>IFERROR(VLOOKUP(A12,'PG Stats'!A:R,15,0),)</f>
        <v>0.1178761611</v>
      </c>
      <c r="H12" s="676">
        <f>IFERROR(VLOOKUP(A12,'PG Stats'!A:R,16,0),)</f>
        <v>0.08582211729</v>
      </c>
      <c r="I12" s="676">
        <f>IFERROR(VLOOKUP(A12,'PG Stats'!A:R,17,0),)</f>
        <v>0.7568890344</v>
      </c>
      <c r="J12" s="677">
        <f>IFERROR(VLOOKUP(A12,'PG Stats'!A:R,18,0),)</f>
        <v>1.59370925</v>
      </c>
      <c r="K12" s="677">
        <f>IFERROR(VLOOKUP(A12,'PG Stats'!A:S,19,0),)</f>
        <v>0.2295483137</v>
      </c>
      <c r="L12" s="17"/>
      <c r="M12" s="673" t="str">
        <f>'Halo Reach Stats'!A12</f>
        <v>DlGITAL PAIN</v>
      </c>
      <c r="N12" s="779" t="str">
        <f t="shared" si="2"/>
        <v>C</v>
      </c>
      <c r="O12" s="779" t="str">
        <f t="shared" si="3"/>
        <v>S</v>
      </c>
      <c r="P12" s="779" t="str">
        <f t="shared" si="4"/>
        <v>B</v>
      </c>
      <c r="Q12" s="779" t="str">
        <f t="shared" si="5"/>
        <v>S</v>
      </c>
      <c r="R12" s="779" t="str">
        <f t="shared" si="6"/>
        <v>S</v>
      </c>
      <c r="S12" s="779" t="str">
        <f t="shared" si="7"/>
        <v>S</v>
      </c>
      <c r="T12" s="779" t="str">
        <f t="shared" si="8"/>
        <v>S</v>
      </c>
      <c r="U12" s="779" t="str">
        <f t="shared" si="9"/>
        <v>S</v>
      </c>
      <c r="V12" s="779" t="str">
        <f t="shared" si="10"/>
        <v>S</v>
      </c>
      <c r="W12" s="779" t="str">
        <f t="shared" si="11"/>
        <v>A</v>
      </c>
      <c r="X12" s="785" t="str">
        <f t="shared" si="12"/>
        <v>A</v>
      </c>
      <c r="Y12" s="366">
        <f t="shared" si="13"/>
        <v>21.8</v>
      </c>
      <c r="Z12" s="783" t="s">
        <v>435</v>
      </c>
      <c r="AA12" s="816">
        <f>(AA26*7)+(AA27*7)+(AA28*7)+(AA29*7)+(AA30*7)+(AA31*7)+(AA32*7)+(AA33*7)+(AA34*7)+(AA35*7)</f>
        <v>23.8</v>
      </c>
      <c r="AB12" s="817" t="s">
        <v>475</v>
      </c>
      <c r="AC12" s="818">
        <f t="shared" ref="AC12:AL12" si="23">PERCENTILE(B2:B80,0.4)</f>
        <v>0.03093349939</v>
      </c>
      <c r="AD12" s="818">
        <f t="shared" si="23"/>
        <v>-0.4097962061</v>
      </c>
      <c r="AE12" s="818">
        <f t="shared" si="23"/>
        <v>0.09162602641</v>
      </c>
      <c r="AF12" s="818">
        <f t="shared" si="23"/>
        <v>0.02599745777</v>
      </c>
      <c r="AG12" s="818">
        <f t="shared" si="23"/>
        <v>0.3574110991</v>
      </c>
      <c r="AH12" s="818">
        <f t="shared" si="23"/>
        <v>0.05747192397</v>
      </c>
      <c r="AI12" s="818">
        <f t="shared" si="23"/>
        <v>0.01752332712</v>
      </c>
      <c r="AJ12" s="818">
        <f t="shared" si="23"/>
        <v>0.5145161215</v>
      </c>
      <c r="AK12" s="818">
        <f t="shared" si="23"/>
        <v>1.15375608</v>
      </c>
      <c r="AL12" s="818">
        <f t="shared" si="23"/>
        <v>0.189481532</v>
      </c>
    </row>
    <row r="13">
      <c r="A13" s="673" t="str">
        <f>'Halo Reach Stats'!A13</f>
        <v>Doerstopper</v>
      </c>
      <c r="B13" s="674">
        <f>IFERROR(VLOOKUP(A13,'PG Stats'!A:R,10,0),)</f>
        <v>0.3411028994</v>
      </c>
      <c r="C13" s="674">
        <f>IFERROR(VLOOKUP(A13,'PG Stats'!A:R,11,0),)</f>
        <v>-1.093324556</v>
      </c>
      <c r="D13" s="675">
        <f>IFERROR(VLOOKUP(A13,'PG Stats'!A:R,12,0),)</f>
        <v>0.02513389785</v>
      </c>
      <c r="E13" s="675">
        <f>IFERROR(VLOOKUP(A13,'PG Stats'!A:R,13,0),)</f>
        <v>0.01077167051</v>
      </c>
      <c r="F13" s="675">
        <f>IFERROR(VLOOKUP(A13,'PG Stats'!A:R,14,0),)</f>
        <v>0.1741420065</v>
      </c>
      <c r="G13" s="676">
        <f>IFERROR(VLOOKUP(A13,'PG Stats'!A:R,15,0),)</f>
        <v>0.01077167051</v>
      </c>
      <c r="H13" s="676">
        <f>IFERROR(VLOOKUP(A13,'PG Stats'!A:R,16,0),)</f>
        <v>0</v>
      </c>
      <c r="I13" s="676">
        <f>IFERROR(VLOOKUP(A13,'PG Stats'!A:R,17,0),)</f>
        <v>0.3177642799</v>
      </c>
      <c r="J13" s="677">
        <f>IFERROR(VLOOKUP(A13,'PG Stats'!A:R,18,0),)</f>
        <v>1.033997645</v>
      </c>
      <c r="K13" s="677">
        <f>IFERROR(VLOOKUP(A13,'PG Stats'!A:S,19,0),)</f>
        <v>0.04667723886</v>
      </c>
      <c r="L13" s="17"/>
      <c r="M13" s="673" t="str">
        <f>'Halo Reach Stats'!A13</f>
        <v>Doerstopper</v>
      </c>
      <c r="N13" s="779" t="str">
        <f t="shared" si="2"/>
        <v>A</v>
      </c>
      <c r="O13" s="779" t="str">
        <f t="shared" si="3"/>
        <v>F</v>
      </c>
      <c r="P13" s="779" t="str">
        <f t="shared" si="4"/>
        <v>F</v>
      </c>
      <c r="Q13" s="779" t="str">
        <f t="shared" si="5"/>
        <v>F</v>
      </c>
      <c r="R13" s="779" t="str">
        <f t="shared" si="6"/>
        <v>F</v>
      </c>
      <c r="S13" s="779" t="str">
        <f t="shared" si="7"/>
        <v>F</v>
      </c>
      <c r="T13" s="779" t="str">
        <f t="shared" si="8"/>
        <v>F</v>
      </c>
      <c r="U13" s="779" t="str">
        <f t="shared" si="9"/>
        <v>F</v>
      </c>
      <c r="V13" s="779" t="str">
        <f t="shared" si="10"/>
        <v>D</v>
      </c>
      <c r="W13" s="779" t="str">
        <f t="shared" si="11"/>
        <v>F</v>
      </c>
      <c r="X13" s="785" t="str">
        <f t="shared" si="12"/>
        <v>E</v>
      </c>
      <c r="Y13" s="366">
        <f t="shared" si="13"/>
        <v>5.8</v>
      </c>
      <c r="Z13" s="788" t="s">
        <v>476</v>
      </c>
      <c r="AA13" s="819">
        <f>MEDIAN(AA12,AA14)</f>
        <v>22.1</v>
      </c>
      <c r="AB13" s="820" t="s">
        <v>451</v>
      </c>
      <c r="AC13" s="821">
        <f t="shared" ref="AC13:AL13" si="24">PERCENTILE(B2:B80,0.35)</f>
        <v>0.02934015651</v>
      </c>
      <c r="AD13" s="821">
        <f t="shared" si="24"/>
        <v>-0.613881224</v>
      </c>
      <c r="AE13" s="821">
        <f t="shared" si="24"/>
        <v>0.08870458345</v>
      </c>
      <c r="AF13" s="821">
        <f t="shared" si="24"/>
        <v>0.02383777137</v>
      </c>
      <c r="AG13" s="821">
        <f t="shared" si="24"/>
        <v>0.3433988864</v>
      </c>
      <c r="AH13" s="821">
        <f t="shared" si="24"/>
        <v>0.05045416903</v>
      </c>
      <c r="AI13" s="821">
        <f t="shared" si="24"/>
        <v>0.01705902828</v>
      </c>
      <c r="AJ13" s="821">
        <f t="shared" si="24"/>
        <v>0.506178353</v>
      </c>
      <c r="AK13" s="821">
        <f t="shared" si="24"/>
        <v>1.055180471</v>
      </c>
      <c r="AL13" s="821">
        <f t="shared" si="24"/>
        <v>0.1795532383</v>
      </c>
    </row>
    <row r="14">
      <c r="A14" s="673" t="str">
        <f>'Halo Reach Stats'!A14</f>
        <v>EllisGotMyPills</v>
      </c>
      <c r="B14" s="674">
        <f>IFERROR(VLOOKUP(A14,'PG Stats'!A:R,10,0),)</f>
        <v>0.6590663227</v>
      </c>
      <c r="C14" s="674">
        <f>IFERROR(VLOOKUP(A14,'PG Stats'!A:R,11,0),)</f>
        <v>0.4460347841</v>
      </c>
      <c r="D14" s="675">
        <f>IFERROR(VLOOKUP(A14,'PG Stats'!A:R,12,0),)</f>
        <v>0.02829325123</v>
      </c>
      <c r="E14" s="675">
        <f>IFERROR(VLOOKUP(A14,'PG Stats'!A:R,13,0),)</f>
        <v>0.05991512025</v>
      </c>
      <c r="F14" s="675">
        <f>IFERROR(VLOOKUP(A14,'PG Stats'!A:R,14,0),)</f>
        <v>0.191395523</v>
      </c>
      <c r="G14" s="676">
        <f>IFERROR(VLOOKUP(A14,'PG Stats'!A:R,15,0),)</f>
        <v>0.02496463344</v>
      </c>
      <c r="H14" s="676">
        <f>IFERROR(VLOOKUP(A14,'PG Stats'!A:R,16,0),)</f>
        <v>0.009985853374</v>
      </c>
      <c r="I14" s="676">
        <f>IFERROR(VLOOKUP(A14,'PG Stats'!A:R,17,0),)</f>
        <v>0.4693351086</v>
      </c>
      <c r="J14" s="677">
        <f>IFERROR(VLOOKUP(A14,'PG Stats'!A:R,18,0),)</f>
        <v>1.194724141</v>
      </c>
      <c r="K14" s="677">
        <f>IFERROR(VLOOKUP(A14,'PG Stats'!A:S,19,0),)</f>
        <v>0.0782225181</v>
      </c>
      <c r="L14" s="17"/>
      <c r="M14" s="673" t="str">
        <f>'Halo Reach Stats'!A14</f>
        <v>EllisGotMyPills</v>
      </c>
      <c r="N14" s="779" t="str">
        <f t="shared" si="2"/>
        <v>S</v>
      </c>
      <c r="O14" s="779" t="str">
        <f t="shared" si="3"/>
        <v>S</v>
      </c>
      <c r="P14" s="779" t="str">
        <f t="shared" si="4"/>
        <v>F</v>
      </c>
      <c r="Q14" s="779" t="str">
        <f t="shared" si="5"/>
        <v>A</v>
      </c>
      <c r="R14" s="779" t="str">
        <f t="shared" si="6"/>
        <v>F</v>
      </c>
      <c r="S14" s="779" t="str">
        <f t="shared" si="7"/>
        <v>F</v>
      </c>
      <c r="T14" s="779" t="str">
        <f t="shared" si="8"/>
        <v>D</v>
      </c>
      <c r="U14" s="779" t="str">
        <f t="shared" si="9"/>
        <v>E</v>
      </c>
      <c r="V14" s="779" t="str">
        <f t="shared" si="10"/>
        <v>C</v>
      </c>
      <c r="W14" s="779" t="str">
        <f t="shared" si="11"/>
        <v>F</v>
      </c>
      <c r="X14" s="785" t="str">
        <f t="shared" si="12"/>
        <v>D</v>
      </c>
      <c r="Y14" s="366">
        <f t="shared" si="13"/>
        <v>11.3</v>
      </c>
      <c r="Z14" s="792" t="s">
        <v>439</v>
      </c>
      <c r="AA14" s="822">
        <f>(AA26*6)+(AA27*6)+(AA28*6)+(AA29*6)+(AA30*6)+(AA31*6)+(AA32*6)+(AA33*6)+(AA34*6)+(AA35*6)</f>
        <v>20.4</v>
      </c>
      <c r="AB14" s="823" t="s">
        <v>477</v>
      </c>
      <c r="AC14" s="818">
        <f t="shared" ref="AC14:AL14" si="25">PERCENTILE(B2:B80,0.3)</f>
        <v>0.02589999176</v>
      </c>
      <c r="AD14" s="818">
        <f t="shared" si="25"/>
        <v>-0.6353196401</v>
      </c>
      <c r="AE14" s="818">
        <f t="shared" si="25"/>
        <v>0.07818009863</v>
      </c>
      <c r="AF14" s="818">
        <f t="shared" si="25"/>
        <v>0.02154625065</v>
      </c>
      <c r="AG14" s="818">
        <f t="shared" si="25"/>
        <v>0.3306110669</v>
      </c>
      <c r="AH14" s="818">
        <f t="shared" si="25"/>
        <v>0.04631805049</v>
      </c>
      <c r="AI14" s="818">
        <f t="shared" si="25"/>
        <v>0.01548467018</v>
      </c>
      <c r="AJ14" s="818">
        <f t="shared" si="25"/>
        <v>0.4911869766</v>
      </c>
      <c r="AK14" s="818">
        <f t="shared" si="25"/>
        <v>1.038703136</v>
      </c>
      <c r="AL14" s="818">
        <f t="shared" si="25"/>
        <v>0.1705592268</v>
      </c>
    </row>
    <row r="15">
      <c r="A15" s="673" t="str">
        <f>'Halo Reach Stats'!A15</f>
        <v>Finesse God24</v>
      </c>
      <c r="B15" s="674">
        <f>IFERROR(VLOOKUP(A15,'PG Stats'!A:R,10,0),)</f>
        <v>0.03304571324</v>
      </c>
      <c r="C15" s="674">
        <f>IFERROR(VLOOKUP(A15,'PG Stats'!A:R,11,0),)</f>
        <v>-0.605838076</v>
      </c>
      <c r="D15" s="675">
        <f>IFERROR(VLOOKUP(A15,'PG Stats'!A:R,12,0),)</f>
        <v>0.1211676152</v>
      </c>
      <c r="E15" s="675">
        <f>IFERROR(VLOOKUP(A15,'PG Stats'!A:R,13,0),)</f>
        <v>0</v>
      </c>
      <c r="F15" s="675">
        <f>IFERROR(VLOOKUP(A15,'PG Stats'!A:R,14,0),)</f>
        <v>0.4075637966</v>
      </c>
      <c r="G15" s="676">
        <f>IFERROR(VLOOKUP(A15,'PG Stats'!A:R,15,0),)</f>
        <v>0.04406095098</v>
      </c>
      <c r="H15" s="676">
        <f>IFERROR(VLOOKUP(A15,'PG Stats'!A:R,16,0),)</f>
        <v>0</v>
      </c>
      <c r="I15" s="676">
        <f>IFERROR(VLOOKUP(A15,'PG Stats'!A:R,17,0),)</f>
        <v>0.4185790343</v>
      </c>
      <c r="J15" s="677">
        <f>IFERROR(VLOOKUP(A15,'PG Stats'!A:R,18,0),)</f>
        <v>0.9635028456</v>
      </c>
      <c r="K15" s="677">
        <f>IFERROR(VLOOKUP(A15,'PG Stats'!A:S,19,0),)</f>
        <v>0.1652285662</v>
      </c>
      <c r="L15" s="17"/>
      <c r="M15" s="673" t="str">
        <f>'Halo Reach Stats'!A15</f>
        <v>Finesse God24</v>
      </c>
      <c r="N15" s="779" t="str">
        <f t="shared" si="2"/>
        <v>C</v>
      </c>
      <c r="O15" s="779" t="str">
        <f t="shared" si="3"/>
        <v>D</v>
      </c>
      <c r="P15" s="779" t="str">
        <f t="shared" si="4"/>
        <v>B</v>
      </c>
      <c r="Q15" s="779" t="str">
        <f t="shared" si="5"/>
        <v>F</v>
      </c>
      <c r="R15" s="779" t="str">
        <f t="shared" si="6"/>
        <v>B</v>
      </c>
      <c r="S15" s="779" t="str">
        <f t="shared" si="7"/>
        <v>D</v>
      </c>
      <c r="T15" s="779" t="str">
        <f t="shared" si="8"/>
        <v>F</v>
      </c>
      <c r="U15" s="779" t="str">
        <f t="shared" si="9"/>
        <v>F</v>
      </c>
      <c r="V15" s="779" t="str">
        <f t="shared" si="10"/>
        <v>E</v>
      </c>
      <c r="W15" s="779" t="str">
        <f t="shared" si="11"/>
        <v>D</v>
      </c>
      <c r="X15" s="785" t="str">
        <f t="shared" si="12"/>
        <v>D</v>
      </c>
      <c r="Y15" s="366">
        <f t="shared" si="13"/>
        <v>10.2</v>
      </c>
      <c r="Z15" s="796" t="s">
        <v>478</v>
      </c>
      <c r="AA15" s="824">
        <f>MEDIAN(AA14,AA16)</f>
        <v>18.7</v>
      </c>
      <c r="AB15" s="825" t="s">
        <v>479</v>
      </c>
      <c r="AC15" s="826">
        <f t="shared" ref="AC15:AL15" si="26">PERCENTILE(B2:B80,0.25)</f>
        <v>0.02385513428</v>
      </c>
      <c r="AD15" s="826">
        <f t="shared" si="26"/>
        <v>-0.7670539172</v>
      </c>
      <c r="AE15" s="826">
        <f t="shared" si="26"/>
        <v>0.07492287351</v>
      </c>
      <c r="AF15" s="826">
        <f t="shared" si="26"/>
        <v>0.01983085448</v>
      </c>
      <c r="AG15" s="826">
        <f t="shared" si="26"/>
        <v>0.3272885536</v>
      </c>
      <c r="AH15" s="826">
        <f t="shared" si="26"/>
        <v>0.04316127151</v>
      </c>
      <c r="AI15" s="826">
        <f t="shared" si="26"/>
        <v>0.009985853374</v>
      </c>
      <c r="AJ15" s="826">
        <f t="shared" si="26"/>
        <v>0.4700152564</v>
      </c>
      <c r="AK15" s="826">
        <f t="shared" si="26"/>
        <v>0.9986399591</v>
      </c>
      <c r="AL15" s="826">
        <f t="shared" si="26"/>
        <v>0.1576979986</v>
      </c>
    </row>
    <row r="16">
      <c r="A16" s="673" t="str">
        <f>'Halo Reach Stats'!A16</f>
        <v>GodSnipezX</v>
      </c>
      <c r="B16" s="674">
        <f>IFERROR(VLOOKUP(A16,'PG Stats'!A:R,10,0),)</f>
        <v>0.03520713531</v>
      </c>
      <c r="C16" s="674">
        <f>IFERROR(VLOOKUP(A16,'PG Stats'!A:R,11,0),)</f>
        <v>-0.08449712475</v>
      </c>
      <c r="D16" s="675">
        <f>IFERROR(VLOOKUP(A16,'PG Stats'!A:R,12,0),)</f>
        <v>0.1971599578</v>
      </c>
      <c r="E16" s="675">
        <f>IFERROR(VLOOKUP(A16,'PG Stats'!A:R,13,0),)</f>
        <v>0.04224856238</v>
      </c>
      <c r="F16" s="675">
        <f>IFERROR(VLOOKUP(A16,'PG Stats'!A:R,14,0),)</f>
        <v>0.4911395376</v>
      </c>
      <c r="G16" s="676">
        <f>IFERROR(VLOOKUP(A16,'PG Stats'!A:R,15,0),)</f>
        <v>0.07745569769</v>
      </c>
      <c r="H16" s="676">
        <f>IFERROR(VLOOKUP(A16,'PG Stats'!A:R,16,0),)</f>
        <v>0.03872784884</v>
      </c>
      <c r="I16" s="676">
        <f>IFERROR(VLOOKUP(A16,'PG Stats'!A:R,17,0),)</f>
        <v>0.4700152564</v>
      </c>
      <c r="J16" s="677">
        <f>IFERROR(VLOOKUP(A16,'PG Stats'!A:R,18,0),)</f>
        <v>1.245948512</v>
      </c>
      <c r="K16" s="677">
        <f>IFERROR(VLOOKUP(A16,'PG Stats'!A:S,19,0),)</f>
        <v>0.2130031686</v>
      </c>
      <c r="L16" s="17"/>
      <c r="M16" s="673" t="str">
        <f>'Halo Reach Stats'!A16</f>
        <v>GodSnipezX</v>
      </c>
      <c r="N16" s="779" t="str">
        <f t="shared" si="2"/>
        <v>C</v>
      </c>
      <c r="O16" s="779" t="str">
        <f t="shared" si="3"/>
        <v>B</v>
      </c>
      <c r="P16" s="779" t="str">
        <f t="shared" si="4"/>
        <v>S</v>
      </c>
      <c r="Q16" s="779" t="str">
        <f t="shared" si="5"/>
        <v>B</v>
      </c>
      <c r="R16" s="779" t="str">
        <f t="shared" si="6"/>
        <v>A</v>
      </c>
      <c r="S16" s="779" t="str">
        <f t="shared" si="7"/>
        <v>B</v>
      </c>
      <c r="T16" s="779" t="str">
        <f t="shared" si="8"/>
        <v>A</v>
      </c>
      <c r="U16" s="779" t="str">
        <f t="shared" si="9"/>
        <v>D</v>
      </c>
      <c r="V16" s="779" t="str">
        <f t="shared" si="10"/>
        <v>C</v>
      </c>
      <c r="W16" s="779" t="str">
        <f t="shared" si="11"/>
        <v>B</v>
      </c>
      <c r="X16" s="785" t="str">
        <f t="shared" si="12"/>
        <v>B</v>
      </c>
      <c r="Y16" s="366">
        <f t="shared" si="13"/>
        <v>16.8</v>
      </c>
      <c r="Z16" s="804" t="s">
        <v>443</v>
      </c>
      <c r="AA16" s="827">
        <f>(AA26*5)+(AA27*5)+(AA28*5)+(AA29*5)+(AA30*5)+(AA31*5)+(AA32*5)+(AA33*5)+(AA34*5)+(AA35*5)</f>
        <v>17</v>
      </c>
      <c r="AB16" s="828" t="s">
        <v>455</v>
      </c>
      <c r="AC16" s="829">
        <f t="shared" ref="AC16:AL16" si="27">PERCENTILE(B2:B80,0.2)</f>
        <v>0.02029942877</v>
      </c>
      <c r="AD16" s="829">
        <f t="shared" si="27"/>
        <v>-0.8618492254</v>
      </c>
      <c r="AE16" s="829">
        <f t="shared" si="27"/>
        <v>0.06473980342</v>
      </c>
      <c r="AF16" s="829">
        <f t="shared" si="27"/>
        <v>0.01452358353</v>
      </c>
      <c r="AG16" s="829">
        <f t="shared" si="27"/>
        <v>0.3104886637</v>
      </c>
      <c r="AH16" s="829">
        <f t="shared" si="27"/>
        <v>0.04049159303</v>
      </c>
      <c r="AI16" s="829">
        <f t="shared" si="27"/>
        <v>0.00922125292</v>
      </c>
      <c r="AJ16" s="829">
        <f t="shared" si="27"/>
        <v>0.4652494222</v>
      </c>
      <c r="AK16" s="829">
        <f t="shared" si="27"/>
        <v>0.9643695021</v>
      </c>
      <c r="AL16" s="829">
        <f t="shared" si="27"/>
        <v>0.1420966522</v>
      </c>
    </row>
    <row r="17">
      <c r="A17" s="673" t="str">
        <f>'Halo Reach Stats'!A17</f>
        <v>Hells Angel cx</v>
      </c>
      <c r="B17" s="674">
        <f>IFERROR(VLOOKUP(A17,'PG Stats'!A:R,10,0),)</f>
        <v>0.6343342993</v>
      </c>
      <c r="C17" s="674">
        <f>IFERROR(VLOOKUP(A17,'PG Stats'!A:R,11,0),)</f>
        <v>-0.007642581919</v>
      </c>
      <c r="D17" s="675">
        <f>IFERROR(VLOOKUP(A17,'PG Stats'!A:R,12,0),)</f>
        <v>0.03439161864</v>
      </c>
      <c r="E17" s="675">
        <f>IFERROR(VLOOKUP(A17,'PG Stats'!A:R,13,0),)</f>
        <v>0.04585549151</v>
      </c>
      <c r="F17" s="675">
        <f>IFERROR(VLOOKUP(A17,'PG Stats'!A:R,14,0),)</f>
        <v>0.3668439321</v>
      </c>
      <c r="G17" s="676">
        <f>IFERROR(VLOOKUP(A17,'PG Stats'!A:R,15,0),)</f>
        <v>0.05540871891</v>
      </c>
      <c r="H17" s="676">
        <f>IFERROR(VLOOKUP(A17,'PG Stats'!A:R,16,0),)</f>
        <v>0.005731936439</v>
      </c>
      <c r="I17" s="676">
        <f>IFERROR(VLOOKUP(A17,'PG Stats'!A:R,17,0),)</f>
        <v>0.5923000987</v>
      </c>
      <c r="J17" s="677">
        <f>IFERROR(VLOOKUP(A17,'PG Stats'!A:R,18,0),)</f>
        <v>1.314933287</v>
      </c>
      <c r="K17" s="677">
        <f>IFERROR(VLOOKUP(A17,'PG Stats'!A:S,19,0),)</f>
        <v>0.1891539025</v>
      </c>
      <c r="L17" s="17"/>
      <c r="M17" s="673" t="str">
        <f>'Halo Reach Stats'!A17</f>
        <v>Hells Angel cx</v>
      </c>
      <c r="N17" s="779" t="str">
        <f t="shared" si="2"/>
        <v>S</v>
      </c>
      <c r="O17" s="779" t="str">
        <f t="shared" si="3"/>
        <v>B</v>
      </c>
      <c r="P17" s="779" t="str">
        <f t="shared" si="4"/>
        <v>F</v>
      </c>
      <c r="Q17" s="779" t="str">
        <f t="shared" si="5"/>
        <v>B</v>
      </c>
      <c r="R17" s="779" t="str">
        <f t="shared" si="6"/>
        <v>C</v>
      </c>
      <c r="S17" s="779" t="str">
        <f t="shared" si="7"/>
        <v>D</v>
      </c>
      <c r="T17" s="779" t="str">
        <f t="shared" si="8"/>
        <v>F</v>
      </c>
      <c r="U17" s="779" t="str">
        <f t="shared" si="9"/>
        <v>A</v>
      </c>
      <c r="V17" s="779" t="str">
        <f t="shared" si="10"/>
        <v>B</v>
      </c>
      <c r="W17" s="779" t="str">
        <f t="shared" si="11"/>
        <v>D</v>
      </c>
      <c r="X17" s="785" t="str">
        <f t="shared" si="12"/>
        <v>C</v>
      </c>
      <c r="Y17" s="366">
        <f t="shared" si="13"/>
        <v>14.3</v>
      </c>
      <c r="Z17" s="800" t="s">
        <v>480</v>
      </c>
      <c r="AA17" s="830">
        <f>MEDIAN(AA16,AA18)</f>
        <v>15.3</v>
      </c>
      <c r="AB17" s="831" t="s">
        <v>481</v>
      </c>
      <c r="AC17" s="832">
        <f t="shared" ref="AC17:AL17" si="28">PERCENTILE(B2:B80,0.15)</f>
        <v>0.01812698959</v>
      </c>
      <c r="AD17" s="832">
        <f t="shared" si="28"/>
        <v>-0.9344437966</v>
      </c>
      <c r="AE17" s="832">
        <f t="shared" si="28"/>
        <v>0.0591794122</v>
      </c>
      <c r="AF17" s="832">
        <f t="shared" si="28"/>
        <v>0.01141809676</v>
      </c>
      <c r="AG17" s="832">
        <f t="shared" si="28"/>
        <v>0.2977037204</v>
      </c>
      <c r="AH17" s="832">
        <f t="shared" si="28"/>
        <v>0.0372920186</v>
      </c>
      <c r="AI17" s="832">
        <f t="shared" si="28"/>
        <v>0.006249960013</v>
      </c>
      <c r="AJ17" s="832">
        <f t="shared" si="28"/>
        <v>0.4315043044</v>
      </c>
      <c r="AK17" s="832">
        <f t="shared" si="28"/>
        <v>0.9060816779</v>
      </c>
      <c r="AL17" s="832">
        <f t="shared" si="28"/>
        <v>0.1283922257</v>
      </c>
    </row>
    <row r="18">
      <c r="A18" s="673" t="str">
        <f>'Halo Reach Stats'!A18</f>
        <v>InfiniteRainge</v>
      </c>
      <c r="B18" s="674">
        <f>IFERROR(VLOOKUP(A18,'PG Stats'!A:R,10,0),)</f>
        <v>0.01252827562</v>
      </c>
      <c r="C18" s="674">
        <f>IFERROR(VLOOKUP(A18,'PG Stats'!A:R,11,0),)</f>
        <v>0.3842004524</v>
      </c>
      <c r="D18" s="675">
        <f>IFERROR(VLOOKUP(A18,'PG Stats'!A:R,12,0),)</f>
        <v>0.1127544806</v>
      </c>
      <c r="E18" s="675">
        <f>IFERROR(VLOOKUP(A18,'PG Stats'!A:R,13,0),)</f>
        <v>0.07099356186</v>
      </c>
      <c r="F18" s="675">
        <f>IFERROR(VLOOKUP(A18,'PG Stats'!A:R,14,0),)</f>
        <v>0.5888289542</v>
      </c>
      <c r="G18" s="676">
        <f>IFERROR(VLOOKUP(A18,'PG Stats'!A:R,15,0),)</f>
        <v>0.1085783887</v>
      </c>
      <c r="H18" s="676">
        <f>IFERROR(VLOOKUP(A18,'PG Stats'!A:R,16,0),)</f>
        <v>0.06055333217</v>
      </c>
      <c r="I18" s="676">
        <f>IFERROR(VLOOKUP(A18,'PG Stats'!A:R,17,0),)</f>
        <v>0.7036714808</v>
      </c>
      <c r="J18" s="677">
        <f>IFERROR(VLOOKUP(A18,'PG Stats'!A:R,18,0),)</f>
        <v>1.586590105</v>
      </c>
      <c r="K18" s="677">
        <f>IFERROR(VLOOKUP(A18,'PG Stats'!A:S,19,0),)</f>
        <v>0.2547416043</v>
      </c>
      <c r="L18" s="17"/>
      <c r="M18" s="673" t="str">
        <f>'Halo Reach Stats'!A18</f>
        <v>InfiniteRainge</v>
      </c>
      <c r="N18" s="779" t="str">
        <f t="shared" si="2"/>
        <v>F</v>
      </c>
      <c r="O18" s="779" t="str">
        <f t="shared" si="3"/>
        <v>A</v>
      </c>
      <c r="P18" s="779" t="str">
        <f t="shared" si="4"/>
        <v>C</v>
      </c>
      <c r="Q18" s="779" t="str">
        <f t="shared" si="5"/>
        <v>A</v>
      </c>
      <c r="R18" s="779" t="str">
        <f t="shared" si="6"/>
        <v>S</v>
      </c>
      <c r="S18" s="779" t="str">
        <f t="shared" si="7"/>
        <v>S</v>
      </c>
      <c r="T18" s="779" t="str">
        <f t="shared" si="8"/>
        <v>A</v>
      </c>
      <c r="U18" s="779" t="str">
        <f t="shared" si="9"/>
        <v>S</v>
      </c>
      <c r="V18" s="779" t="str">
        <f t="shared" si="10"/>
        <v>S</v>
      </c>
      <c r="W18" s="779" t="str">
        <f t="shared" si="11"/>
        <v>S</v>
      </c>
      <c r="X18" s="785" t="str">
        <f t="shared" si="12"/>
        <v>A</v>
      </c>
      <c r="Y18" s="366">
        <f t="shared" si="13"/>
        <v>19.3</v>
      </c>
      <c r="Z18" s="812" t="s">
        <v>447</v>
      </c>
      <c r="AA18" s="833">
        <f>(AA26*4)+(AA27*4)+(AA28*4)+(AA29*4)+(AA30*4)+(AA31*4)+(AA32*4)+(AA33*4)+(AA34*4)+(AA35*4)</f>
        <v>13.6</v>
      </c>
      <c r="AB18" s="834" t="s">
        <v>458</v>
      </c>
      <c r="AC18" s="835">
        <f t="shared" ref="AC18:AL18" si="29">PERCENTILE(B2:B80,0.1)</f>
        <v>0.01532879584</v>
      </c>
      <c r="AD18" s="835">
        <f t="shared" si="29"/>
        <v>-0.9777533679</v>
      </c>
      <c r="AE18" s="835">
        <f t="shared" si="29"/>
        <v>0.05235042172</v>
      </c>
      <c r="AF18" s="835">
        <f t="shared" si="29"/>
        <v>0.008333117524</v>
      </c>
      <c r="AG18" s="835">
        <f t="shared" si="29"/>
        <v>0.2731935447</v>
      </c>
      <c r="AH18" s="835">
        <f t="shared" si="29"/>
        <v>0.03297421988</v>
      </c>
      <c r="AI18" s="835">
        <f t="shared" si="29"/>
        <v>0.002089075874</v>
      </c>
      <c r="AJ18" s="835">
        <f t="shared" si="29"/>
        <v>0.3911222527</v>
      </c>
      <c r="AK18" s="835">
        <f t="shared" si="29"/>
        <v>0.8135680908</v>
      </c>
      <c r="AL18" s="835">
        <f t="shared" si="29"/>
        <v>0.1032941796</v>
      </c>
    </row>
    <row r="19">
      <c r="A19" s="673" t="str">
        <f>'Halo Reach Stats'!A19</f>
        <v>Itzreelz</v>
      </c>
      <c r="B19" s="674">
        <f>IFERROR(VLOOKUP(A19,'PG Stats'!A:R,10,0),)</f>
        <v>0.08583236198</v>
      </c>
      <c r="C19" s="674">
        <f>IFERROR(VLOOKUP(A19,'PG Stats'!A:R,11,0),)</f>
        <v>0.7025537777</v>
      </c>
      <c r="D19" s="675">
        <f>IFERROR(VLOOKUP(A19,'PG Stats'!A:R,12,0),)</f>
        <v>0.1732542121</v>
      </c>
      <c r="E19" s="675">
        <f>IFERROR(VLOOKUP(A19,'PG Stats'!A:R,13,0),)</f>
        <v>0.103316732</v>
      </c>
      <c r="F19" s="675">
        <f>IFERROR(VLOOKUP(A19,'PG Stats'!A:R,14,0),)</f>
        <v>0.6183109039</v>
      </c>
      <c r="G19" s="676">
        <f>IFERROR(VLOOKUP(A19,'PG Stats'!A:R,15,0),)</f>
        <v>0.146232913</v>
      </c>
      <c r="H19" s="676">
        <f>IFERROR(VLOOKUP(A19,'PG Stats'!A:R,16,0),)</f>
        <v>0.08742185016</v>
      </c>
      <c r="I19" s="676">
        <f>IFERROR(VLOOKUP(A19,'PG Stats'!A:R,17,0),)</f>
        <v>0.653279644</v>
      </c>
      <c r="J19" s="677">
        <f>IFERROR(VLOOKUP(A19,'PG Stats'!A:R,18,0),)</f>
        <v>1.300745614</v>
      </c>
      <c r="K19" s="677">
        <f>IFERROR(VLOOKUP(A19,'PG Stats'!A:S,19,0),)</f>
        <v>0.2304757868</v>
      </c>
      <c r="L19" s="17"/>
      <c r="M19" s="673" t="str">
        <f>'Halo Reach Stats'!A19</f>
        <v>Itzreelz</v>
      </c>
      <c r="N19" s="779" t="str">
        <f t="shared" si="2"/>
        <v>B</v>
      </c>
      <c r="O19" s="779" t="str">
        <f t="shared" si="3"/>
        <v>S</v>
      </c>
      <c r="P19" s="779" t="str">
        <f t="shared" si="4"/>
        <v>S</v>
      </c>
      <c r="Q19" s="779" t="str">
        <f t="shared" si="5"/>
        <v>S</v>
      </c>
      <c r="R19" s="779" t="str">
        <f t="shared" si="6"/>
        <v>S</v>
      </c>
      <c r="S19" s="779" t="str">
        <f t="shared" si="7"/>
        <v>S</v>
      </c>
      <c r="T19" s="779" t="str">
        <f t="shared" si="8"/>
        <v>S</v>
      </c>
      <c r="U19" s="779" t="str">
        <f t="shared" si="9"/>
        <v>S</v>
      </c>
      <c r="V19" s="779" t="str">
        <f t="shared" si="10"/>
        <v>B</v>
      </c>
      <c r="W19" s="779" t="str">
        <f t="shared" si="11"/>
        <v>A</v>
      </c>
      <c r="X19" s="785" t="str">
        <f t="shared" si="12"/>
        <v>S</v>
      </c>
      <c r="Y19" s="366">
        <f t="shared" si="13"/>
        <v>22.6</v>
      </c>
      <c r="Z19" s="814" t="s">
        <v>482</v>
      </c>
      <c r="AA19" s="836">
        <f>MEDIAN(AA18,AA20)</f>
        <v>11.9</v>
      </c>
      <c r="AB19" s="105"/>
      <c r="AC19" s="837"/>
      <c r="AD19" s="420" t="s">
        <v>483</v>
      </c>
      <c r="AE19" s="17"/>
      <c r="AF19" s="17"/>
      <c r="AG19" s="17"/>
      <c r="AH19" s="17"/>
      <c r="AI19" s="17"/>
      <c r="AJ19" s="17"/>
      <c r="AK19" s="17"/>
      <c r="AL19" s="17"/>
    </row>
    <row r="20">
      <c r="A20" s="673" t="str">
        <f>'Halo Reach Stats'!A20</f>
        <v>ixGingy</v>
      </c>
      <c r="B20" s="674">
        <f>IFERROR(VLOOKUP(A20,'PG Stats'!A:R,10,0),)</f>
        <v>0.2785522972</v>
      </c>
      <c r="C20" s="674">
        <f>IFERROR(VLOOKUP(A20,'PG Stats'!A:R,11,0),)</f>
        <v>0.2958588009</v>
      </c>
      <c r="D20" s="675">
        <f>IFERROR(VLOOKUP(A20,'PG Stats'!A:R,12,0),)</f>
        <v>0.15905501</v>
      </c>
      <c r="E20" s="675">
        <f>IFERROR(VLOOKUP(A20,'PG Stats'!A:R,13,0),)</f>
        <v>0.0692260147</v>
      </c>
      <c r="F20" s="675">
        <f>IFERROR(VLOOKUP(A20,'PG Stats'!A:R,14,0),)</f>
        <v>0.5010644873</v>
      </c>
      <c r="G20" s="676">
        <f>IFERROR(VLOOKUP(A20,'PG Stats'!A:R,15,0),)</f>
        <v>0.09147723371</v>
      </c>
      <c r="H20" s="676">
        <f>IFERROR(VLOOKUP(A20,'PG Stats'!A:R,16,0),)</f>
        <v>0.03790948424</v>
      </c>
      <c r="I20" s="676">
        <f>IFERROR(VLOOKUP(A20,'PG Stats'!A:R,17,0),)</f>
        <v>0.6279788476</v>
      </c>
      <c r="J20" s="677">
        <f>IFERROR(VLOOKUP(A20,'PG Stats'!A:R,18,0),)</f>
        <v>1.503816834</v>
      </c>
      <c r="K20" s="677">
        <f>IFERROR(VLOOKUP(A20,'PG Stats'!A:S,19,0),)</f>
        <v>0.2249845478</v>
      </c>
      <c r="L20" s="17"/>
      <c r="M20" s="673" t="str">
        <f>'Halo Reach Stats'!A20</f>
        <v>ixGingy</v>
      </c>
      <c r="N20" s="779" t="str">
        <f t="shared" si="2"/>
        <v>A</v>
      </c>
      <c r="O20" s="779" t="str">
        <f t="shared" si="3"/>
        <v>A</v>
      </c>
      <c r="P20" s="779" t="str">
        <f t="shared" si="4"/>
        <v>A</v>
      </c>
      <c r="Q20" s="779" t="str">
        <f t="shared" si="5"/>
        <v>A</v>
      </c>
      <c r="R20" s="779" t="str">
        <f t="shared" si="6"/>
        <v>A</v>
      </c>
      <c r="S20" s="779" t="str">
        <f t="shared" si="7"/>
        <v>A</v>
      </c>
      <c r="T20" s="779" t="str">
        <f t="shared" si="8"/>
        <v>A</v>
      </c>
      <c r="U20" s="779" t="str">
        <f t="shared" si="9"/>
        <v>A</v>
      </c>
      <c r="V20" s="779" t="str">
        <f t="shared" si="10"/>
        <v>A</v>
      </c>
      <c r="W20" s="779" t="str">
        <f t="shared" si="11"/>
        <v>B</v>
      </c>
      <c r="X20" s="785" t="str">
        <f t="shared" si="12"/>
        <v>A</v>
      </c>
      <c r="Y20" s="366">
        <f t="shared" si="13"/>
        <v>20.4</v>
      </c>
      <c r="Z20" s="820" t="s">
        <v>451</v>
      </c>
      <c r="AA20" s="838">
        <f>(AA26*3)+(AA27*3)+(AA28*3)+(AA29*3)+(AA30*3)+(AA31*3)+(AA32*3)+(AA33*3)+(AA34*3)+(AA35*3)</f>
        <v>10.2</v>
      </c>
      <c r="AB20" s="105"/>
      <c r="AC20" s="837"/>
      <c r="AD20" s="17"/>
      <c r="AE20" s="17"/>
      <c r="AF20" s="17"/>
      <c r="AG20" s="17"/>
      <c r="AH20" s="17"/>
      <c r="AI20" s="17"/>
      <c r="AJ20" s="17"/>
      <c r="AK20" s="17"/>
      <c r="AL20" s="17"/>
    </row>
    <row r="21">
      <c r="A21" s="673" t="str">
        <f>'Halo Reach Stats'!A21</f>
        <v>Judasey</v>
      </c>
      <c r="B21" s="674" t="str">
        <f>IFERROR(VLOOKUP(A21,'PG Stats'!A:R,10,0),)</f>
        <v/>
      </c>
      <c r="C21" s="674" t="str">
        <f>IFERROR(VLOOKUP(A21,'PG Stats'!A:R,11,0),)</f>
        <v/>
      </c>
      <c r="D21" s="675" t="str">
        <f>IFERROR(VLOOKUP(A21,'PG Stats'!A:R,12,0),)</f>
        <v/>
      </c>
      <c r="E21" s="675" t="str">
        <f>IFERROR(VLOOKUP(A21,'PG Stats'!A:R,13,0),)</f>
        <v/>
      </c>
      <c r="F21" s="675" t="str">
        <f>IFERROR(VLOOKUP(A21,'PG Stats'!A:R,14,0),)</f>
        <v/>
      </c>
      <c r="G21" s="676" t="str">
        <f>IFERROR(VLOOKUP(A21,'PG Stats'!A:R,15,0),)</f>
        <v/>
      </c>
      <c r="H21" s="676" t="str">
        <f>IFERROR(VLOOKUP(A21,'PG Stats'!A:R,16,0),)</f>
        <v/>
      </c>
      <c r="I21" s="676" t="str">
        <f>IFERROR(VLOOKUP(A21,'PG Stats'!A:R,17,0),)</f>
        <v/>
      </c>
      <c r="J21" s="677" t="str">
        <f>IFERROR(VLOOKUP(A21,'PG Stats'!A:R,18,0),)</f>
        <v/>
      </c>
      <c r="K21" s="677" t="str">
        <f>IFERROR(VLOOKUP(A21,'PG Stats'!A:S,19,0),)</f>
        <v/>
      </c>
      <c r="L21" s="17"/>
      <c r="M21" s="673" t="str">
        <f>'Halo Reach Stats'!A21</f>
        <v>Judasey</v>
      </c>
      <c r="N21" s="779" t="str">
        <f t="shared" si="2"/>
        <v>F</v>
      </c>
      <c r="O21" s="779" t="str">
        <f t="shared" si="3"/>
        <v>B</v>
      </c>
      <c r="P21" s="779" t="str">
        <f t="shared" si="4"/>
        <v>F</v>
      </c>
      <c r="Q21" s="779" t="str">
        <f t="shared" si="5"/>
        <v>F</v>
      </c>
      <c r="R21" s="779" t="str">
        <f t="shared" si="6"/>
        <v>F</v>
      </c>
      <c r="S21" s="779" t="str">
        <f t="shared" si="7"/>
        <v>F</v>
      </c>
      <c r="T21" s="779" t="str">
        <f t="shared" si="8"/>
        <v>F</v>
      </c>
      <c r="U21" s="779" t="str">
        <f t="shared" si="9"/>
        <v>F</v>
      </c>
      <c r="V21" s="779" t="str">
        <f t="shared" si="10"/>
        <v>F</v>
      </c>
      <c r="W21" s="779" t="str">
        <f t="shared" si="11"/>
        <v>F</v>
      </c>
      <c r="X21" s="785" t="str">
        <f t="shared" si="12"/>
        <v>E</v>
      </c>
      <c r="Y21" s="366">
        <f t="shared" si="13"/>
        <v>5.4</v>
      </c>
      <c r="Z21" s="823" t="s">
        <v>484</v>
      </c>
      <c r="AA21" s="839">
        <f>MEDIAN(AA20,AA22)</f>
        <v>8.5</v>
      </c>
      <c r="AB21" s="105"/>
      <c r="AC21" s="837"/>
      <c r="AD21" s="17"/>
      <c r="AE21" s="17"/>
      <c r="AF21" s="17"/>
      <c r="AG21" s="17"/>
      <c r="AH21" s="17"/>
      <c r="AI21" s="17"/>
      <c r="AJ21" s="17"/>
      <c r="AK21" s="17"/>
      <c r="AL21" s="17"/>
    </row>
    <row r="22">
      <c r="A22" s="673" t="str">
        <f>'Halo Reach Stats'!A22</f>
        <v>L0RNA SHORE</v>
      </c>
      <c r="B22" s="674">
        <f>IFERROR(VLOOKUP(A22,'PG Stats'!A:R,10,0),)</f>
        <v>0.3961556493</v>
      </c>
      <c r="C22" s="674">
        <f>IFERROR(VLOOKUP(A22,'PG Stats'!A:R,11,0),)</f>
        <v>0.2180028129</v>
      </c>
      <c r="D22" s="675">
        <f>IFERROR(VLOOKUP(A22,'PG Stats'!A:R,12,0),)</f>
        <v>0.09610876699</v>
      </c>
      <c r="E22" s="675">
        <f>IFERROR(VLOOKUP(A22,'PG Stats'!A:R,13,0),)</f>
        <v>0.0445382091</v>
      </c>
      <c r="F22" s="675">
        <f>IFERROR(VLOOKUP(A22,'PG Stats'!A:R,14,0),)</f>
        <v>0.3328645101</v>
      </c>
      <c r="G22" s="676">
        <f>IFERROR(VLOOKUP(A22,'PG Stats'!A:R,15,0),)</f>
        <v>0.04688232536</v>
      </c>
      <c r="H22" s="676">
        <f>IFERROR(VLOOKUP(A22,'PG Stats'!A:R,16,0),)</f>
        <v>0.01875293015</v>
      </c>
      <c r="I22" s="676">
        <f>IFERROR(VLOOKUP(A22,'PG Stats'!A:R,17,0),)</f>
        <v>0.5883731833</v>
      </c>
      <c r="J22" s="677">
        <f>IFERROR(VLOOKUP(A22,'PG Stats'!A:R,18,0),)</f>
        <v>1.881249828</v>
      </c>
      <c r="K22" s="677">
        <f>IFERROR(VLOOKUP(A22,'PG Stats'!A:S,19,0),)</f>
        <v>0.1781528364</v>
      </c>
      <c r="L22" s="17"/>
      <c r="M22" s="673" t="str">
        <f>'Halo Reach Stats'!A22</f>
        <v>L0RNA SHORE</v>
      </c>
      <c r="N22" s="779" t="str">
        <f t="shared" si="2"/>
        <v>S</v>
      </c>
      <c r="O22" s="779" t="str">
        <f t="shared" si="3"/>
        <v>A</v>
      </c>
      <c r="P22" s="779" t="str">
        <f t="shared" si="4"/>
        <v>C</v>
      </c>
      <c r="Q22" s="779" t="str">
        <f t="shared" si="5"/>
        <v>B</v>
      </c>
      <c r="R22" s="779" t="str">
        <f t="shared" si="6"/>
        <v>D</v>
      </c>
      <c r="S22" s="779" t="str">
        <f t="shared" si="7"/>
        <v>D</v>
      </c>
      <c r="T22" s="779" t="str">
        <f t="shared" si="8"/>
        <v>C</v>
      </c>
      <c r="U22" s="779" t="str">
        <f t="shared" si="9"/>
        <v>A</v>
      </c>
      <c r="V22" s="779" t="str">
        <f t="shared" si="10"/>
        <v>S</v>
      </c>
      <c r="W22" s="779" t="str">
        <f t="shared" si="11"/>
        <v>D</v>
      </c>
      <c r="X22" s="785" t="str">
        <f t="shared" si="12"/>
        <v>B</v>
      </c>
      <c r="Y22" s="366">
        <f t="shared" si="13"/>
        <v>16.6</v>
      </c>
      <c r="Z22" s="828" t="s">
        <v>455</v>
      </c>
      <c r="AA22" s="840">
        <f>(AA26*2)+(AA27*2)+(AA28*2)+(AA29*2)+(AA30*2)+(AA31*2)+(AA32*2)+(AA33*2)+(AA34*2)+(AA35*2)</f>
        <v>6.8</v>
      </c>
      <c r="AB22" s="105"/>
      <c r="AC22" s="837"/>
      <c r="AD22" s="841" t="s">
        <v>90</v>
      </c>
      <c r="AE22" s="842"/>
      <c r="AF22" s="842"/>
      <c r="AG22" s="842"/>
      <c r="AH22" s="842"/>
      <c r="AI22" s="842"/>
      <c r="AJ22" s="843"/>
      <c r="AK22" s="17"/>
      <c r="AL22" s="17"/>
    </row>
    <row r="23">
      <c r="A23" s="673" t="str">
        <f>'Halo Reach Stats'!A23</f>
        <v>L1ght5aber</v>
      </c>
      <c r="B23" s="674">
        <f>IFERROR(VLOOKUP(A23,'PG Stats'!A:R,10,0),)</f>
        <v>0.01730478045</v>
      </c>
      <c r="C23" s="674">
        <f>IFERROR(VLOOKUP(A23,'PG Stats'!A:R,11,0),)</f>
        <v>-0.3223015358</v>
      </c>
      <c r="D23" s="675">
        <f>IFERROR(VLOOKUP(A23,'PG Stats'!A:R,12,0),)</f>
        <v>0.07138221934</v>
      </c>
      <c r="E23" s="675">
        <f>IFERROR(VLOOKUP(A23,'PG Stats'!A:R,13,0),)</f>
        <v>0.04109885356</v>
      </c>
      <c r="F23" s="675">
        <f>IFERROR(VLOOKUP(A23,'PG Stats'!A:R,14,0),)</f>
        <v>0.350421804</v>
      </c>
      <c r="G23" s="676">
        <f>IFERROR(VLOOKUP(A23,'PG Stats'!A:R,15,0),)</f>
        <v>0.06056673156</v>
      </c>
      <c r="H23" s="676">
        <f>IFERROR(VLOOKUP(A23,'PG Stats'!A:R,16,0),)</f>
        <v>0.03460956089</v>
      </c>
      <c r="I23" s="676">
        <f>IFERROR(VLOOKUP(A23,'PG Stats'!A:R,17,0),)</f>
        <v>0.5321219987</v>
      </c>
      <c r="J23" s="677">
        <f>IFERROR(VLOOKUP(A23,'PG Stats'!A:R,18,0),)</f>
        <v>1.064661166</v>
      </c>
      <c r="K23" s="677">
        <f>IFERROR(VLOOKUP(A23,'PG Stats'!A:S,19,0),)</f>
        <v>0.2119835605</v>
      </c>
      <c r="L23" s="17"/>
      <c r="M23" s="673" t="str">
        <f>'Halo Reach Stats'!A23</f>
        <v>L1ght5aber</v>
      </c>
      <c r="N23" s="779" t="str">
        <f t="shared" si="2"/>
        <v>F</v>
      </c>
      <c r="O23" s="779" t="str">
        <f t="shared" si="3"/>
        <v>C</v>
      </c>
      <c r="P23" s="779" t="str">
        <f t="shared" si="4"/>
        <v>E</v>
      </c>
      <c r="Q23" s="779" t="str">
        <f t="shared" si="5"/>
        <v>B</v>
      </c>
      <c r="R23" s="779" t="str">
        <f t="shared" si="6"/>
        <v>D</v>
      </c>
      <c r="S23" s="779" t="str">
        <f t="shared" si="7"/>
        <v>C</v>
      </c>
      <c r="T23" s="779" t="str">
        <f t="shared" si="8"/>
        <v>A</v>
      </c>
      <c r="U23" s="779" t="str">
        <f t="shared" si="9"/>
        <v>B</v>
      </c>
      <c r="V23" s="779" t="str">
        <f t="shared" si="10"/>
        <v>D</v>
      </c>
      <c r="W23" s="779" t="str">
        <f t="shared" si="11"/>
        <v>C</v>
      </c>
      <c r="X23" s="785" t="str">
        <f t="shared" si="12"/>
        <v>C</v>
      </c>
      <c r="Y23" s="366">
        <f t="shared" si="13"/>
        <v>12.1</v>
      </c>
      <c r="Z23" s="831" t="s">
        <v>485</v>
      </c>
      <c r="AA23" s="844">
        <f>MEDIAN(AA22,AA24)</f>
        <v>5.1</v>
      </c>
      <c r="AB23" s="105"/>
      <c r="AC23" s="837"/>
      <c r="AD23" s="845" t="s">
        <v>422</v>
      </c>
      <c r="AE23" s="1" t="s">
        <v>486</v>
      </c>
      <c r="AJ23" s="846"/>
      <c r="AK23" s="17"/>
      <c r="AL23" s="17"/>
    </row>
    <row r="24">
      <c r="A24" s="673" t="str">
        <f>'Halo Reach Stats'!A24</f>
        <v>Lane Uppy</v>
      </c>
      <c r="B24" s="674">
        <f>IFERROR(VLOOKUP(A24,'PG Stats'!A:R,10,0),)</f>
        <v>0.02385513428</v>
      </c>
      <c r="C24" s="674">
        <f>IFERROR(VLOOKUP(A24,'PG Stats'!A:R,11,0),)</f>
        <v>-0.3578270141</v>
      </c>
      <c r="D24" s="675">
        <f>IFERROR(VLOOKUP(A24,'PG Stats'!A:R,12,0),)</f>
        <v>0.1387935085</v>
      </c>
      <c r="E24" s="675">
        <f>IFERROR(VLOOKUP(A24,'PG Stats'!A:R,13,0),)</f>
        <v>0.03469837713</v>
      </c>
      <c r="F24" s="675">
        <f>IFERROR(VLOOKUP(A24,'PG Stats'!A:R,14,0),)</f>
        <v>0.3968626884</v>
      </c>
      <c r="G24" s="676">
        <f>IFERROR(VLOOKUP(A24,'PG Stats'!A:R,15,0),)</f>
        <v>0.06072215997</v>
      </c>
      <c r="H24" s="676">
        <f>IFERROR(VLOOKUP(A24,'PG Stats'!A:R,16,0),)</f>
        <v>0.03036107999</v>
      </c>
      <c r="I24" s="676">
        <f>IFERROR(VLOOKUP(A24,'PG Stats'!A:R,17,0),)</f>
        <v>0.5031264684</v>
      </c>
      <c r="J24" s="677">
        <f>IFERROR(VLOOKUP(A24,'PG Stats'!A:R,18,0),)</f>
        <v>1.137713436</v>
      </c>
      <c r="K24" s="677">
        <f>IFERROR(VLOOKUP(A24,'PG Stats'!A:S,19,0),)</f>
        <v>0.2580691799</v>
      </c>
      <c r="L24" s="17"/>
      <c r="M24" s="673" t="str">
        <f>'Halo Reach Stats'!A24</f>
        <v>Lane Uppy</v>
      </c>
      <c r="N24" s="779" t="str">
        <f t="shared" si="2"/>
        <v>D</v>
      </c>
      <c r="O24" s="779" t="str">
        <f t="shared" si="3"/>
        <v>C</v>
      </c>
      <c r="P24" s="779" t="str">
        <f t="shared" si="4"/>
        <v>A</v>
      </c>
      <c r="Q24" s="779" t="str">
        <f t="shared" si="5"/>
        <v>C</v>
      </c>
      <c r="R24" s="779" t="str">
        <f t="shared" si="6"/>
        <v>C</v>
      </c>
      <c r="S24" s="779" t="str">
        <f t="shared" si="7"/>
        <v>C</v>
      </c>
      <c r="T24" s="779" t="str">
        <f t="shared" si="8"/>
        <v>B</v>
      </c>
      <c r="U24" s="779" t="str">
        <f t="shared" si="9"/>
        <v>D</v>
      </c>
      <c r="V24" s="779" t="str">
        <f t="shared" si="10"/>
        <v>D</v>
      </c>
      <c r="W24" s="779" t="str">
        <f t="shared" si="11"/>
        <v>S</v>
      </c>
      <c r="X24" s="785" t="str">
        <f t="shared" si="12"/>
        <v>C</v>
      </c>
      <c r="Y24" s="366">
        <f t="shared" si="13"/>
        <v>13.5</v>
      </c>
      <c r="Z24" s="834" t="s">
        <v>458</v>
      </c>
      <c r="AA24" s="847">
        <f>(AA26*1)+(AA27*1)+(AA28*1)+(AA29*1)+(AA30*1)+(AA31*1)+(AA32*1)+(AA33*1)+(AA34*1)+(AA35*1)</f>
        <v>3.4</v>
      </c>
      <c r="AB24" s="105"/>
      <c r="AC24" s="837"/>
      <c r="AD24" s="848" t="s">
        <v>423</v>
      </c>
      <c r="AE24" s="1" t="s">
        <v>487</v>
      </c>
      <c r="AJ24" s="846"/>
      <c r="AK24" s="17"/>
      <c r="AL24" s="17"/>
    </row>
    <row r="25">
      <c r="A25" s="673" t="str">
        <f>'Halo Reach Stats'!A26</f>
        <v>Luner Panda</v>
      </c>
      <c r="B25" s="674">
        <f>IFERROR(VLOOKUP(A25,'PG Stats'!A:R,10,0),)</f>
        <v>0.2043976463</v>
      </c>
      <c r="C25" s="674">
        <f>IFERROR(VLOOKUP(A25,'PG Stats'!A:R,11,0),)</f>
        <v>-0.9259832766</v>
      </c>
      <c r="D25" s="675">
        <f>IFERROR(VLOOKUP(A25,'PG Stats'!A:R,12,0),)</f>
        <v>0.07742335088</v>
      </c>
      <c r="E25" s="675">
        <f>IFERROR(VLOOKUP(A25,'PG Stats'!A:R,13,0),)</f>
        <v>0.02167853825</v>
      </c>
      <c r="F25" s="675">
        <f>IFERROR(VLOOKUP(A25,'PG Stats'!A:R,14,0),)</f>
        <v>0.2818209972</v>
      </c>
      <c r="G25" s="676">
        <f>IFERROR(VLOOKUP(A25,'PG Stats'!A:R,15,0),)</f>
        <v>0.03406627439</v>
      </c>
      <c r="H25" s="676">
        <f>IFERROR(VLOOKUP(A25,'PG Stats'!A:R,16,0),)</f>
        <v>0.01548467018</v>
      </c>
      <c r="I25" s="676">
        <f>IFERROR(VLOOKUP(A25,'PG Stats'!A:R,17,0),)</f>
        <v>0.3995044906</v>
      </c>
      <c r="J25" s="677">
        <f>IFERROR(VLOOKUP(A25,'PG Stats'!A:R,18,0),)</f>
        <v>0.7444587002</v>
      </c>
      <c r="K25" s="677">
        <f>IFERROR(VLOOKUP(A25,'PG Stats'!A:S,19,0),)</f>
        <v>0.1114896253</v>
      </c>
      <c r="L25" s="17"/>
      <c r="M25" s="673" t="str">
        <f>'Halo Reach Stats'!A26</f>
        <v>Luner Panda</v>
      </c>
      <c r="N25" s="779" t="str">
        <f t="shared" si="2"/>
        <v>A</v>
      </c>
      <c r="O25" s="779" t="str">
        <f t="shared" si="3"/>
        <v>E</v>
      </c>
      <c r="P25" s="779" t="str">
        <f t="shared" si="4"/>
        <v>D</v>
      </c>
      <c r="Q25" s="779" t="str">
        <f t="shared" si="5"/>
        <v>D</v>
      </c>
      <c r="R25" s="779" t="str">
        <f t="shared" si="6"/>
        <v>F</v>
      </c>
      <c r="S25" s="779" t="str">
        <f t="shared" si="7"/>
        <v>F</v>
      </c>
      <c r="T25" s="779" t="str">
        <f t="shared" si="8"/>
        <v>D</v>
      </c>
      <c r="U25" s="779" t="str">
        <f t="shared" si="9"/>
        <v>F</v>
      </c>
      <c r="V25" s="779" t="str">
        <f t="shared" si="10"/>
        <v>F</v>
      </c>
      <c r="W25" s="779" t="str">
        <f t="shared" si="11"/>
        <v>F</v>
      </c>
      <c r="X25" s="785" t="str">
        <f t="shared" si="12"/>
        <v>E</v>
      </c>
      <c r="Y25" s="366">
        <f t="shared" si="13"/>
        <v>7.5</v>
      </c>
      <c r="Z25" s="17"/>
      <c r="AA25" s="17"/>
      <c r="AB25" s="105"/>
      <c r="AC25" s="837"/>
      <c r="AD25" s="849" t="s">
        <v>461</v>
      </c>
      <c r="AE25" s="1" t="s">
        <v>488</v>
      </c>
      <c r="AJ25" s="846"/>
      <c r="AK25" s="17"/>
      <c r="AL25" s="17"/>
    </row>
    <row r="26">
      <c r="A26" s="673" t="str">
        <f>'Halo Reach Stats'!A25</f>
        <v>Laser Wins</v>
      </c>
      <c r="B26" s="674">
        <f>IFERROR(VLOOKUP(A26,'PG Stats'!A:R,10,0),)</f>
        <v>0.2249031874</v>
      </c>
      <c r="C26" s="674">
        <f>IFERROR(VLOOKUP(A26,'PG Stats'!A:R,11,0),)</f>
        <v>-0.7670539172</v>
      </c>
      <c r="D26" s="675">
        <f>IFERROR(VLOOKUP(A26,'PG Stats'!A:R,12,0),)</f>
        <v>0.05659815311</v>
      </c>
      <c r="E26" s="675">
        <f>IFERROR(VLOOKUP(A26,'PG Stats'!A:R,13,0),)</f>
        <v>0.01340482574</v>
      </c>
      <c r="F26" s="675">
        <f>IFERROR(VLOOKUP(A26,'PG Stats'!A:R,14,0),)</f>
        <v>0.1340482574</v>
      </c>
      <c r="G26" s="676">
        <f>IFERROR(VLOOKUP(A26,'PG Stats'!A:R,15,0),)</f>
        <v>0.01340482574</v>
      </c>
      <c r="H26" s="676">
        <f>IFERROR(VLOOKUP(A26,'PG Stats'!A:R,16,0),)</f>
        <v>0</v>
      </c>
      <c r="I26" s="676">
        <f>IFERROR(VLOOKUP(A26,'PG Stats'!A:R,17,0),)</f>
        <v>0.2889484659</v>
      </c>
      <c r="J26" s="677">
        <f>IFERROR(VLOOKUP(A26,'PG Stats'!A:R,18,0),)</f>
        <v>0.8231414103</v>
      </c>
      <c r="K26" s="677">
        <f>IFERROR(VLOOKUP(A26,'PG Stats'!A:S,19,0),)</f>
        <v>0.08638665475</v>
      </c>
      <c r="L26" s="17"/>
      <c r="M26" s="673" t="str">
        <f>'Halo Reach Stats'!A25</f>
        <v>Laser Wins</v>
      </c>
      <c r="N26" s="779" t="str">
        <f t="shared" si="2"/>
        <v>A</v>
      </c>
      <c r="O26" s="779" t="str">
        <f t="shared" si="3"/>
        <v>D</v>
      </c>
      <c r="P26" s="779" t="str">
        <f t="shared" si="4"/>
        <v>F</v>
      </c>
      <c r="Q26" s="779" t="str">
        <f t="shared" si="5"/>
        <v>E</v>
      </c>
      <c r="R26" s="779" t="str">
        <f t="shared" si="6"/>
        <v>F</v>
      </c>
      <c r="S26" s="779" t="str">
        <f t="shared" si="7"/>
        <v>F</v>
      </c>
      <c r="T26" s="779" t="str">
        <f t="shared" si="8"/>
        <v>F</v>
      </c>
      <c r="U26" s="779" t="str">
        <f t="shared" si="9"/>
        <v>F</v>
      </c>
      <c r="V26" s="779" t="str">
        <f t="shared" si="10"/>
        <v>F</v>
      </c>
      <c r="W26" s="779" t="str">
        <f t="shared" si="11"/>
        <v>F</v>
      </c>
      <c r="X26" s="785" t="str">
        <f t="shared" si="12"/>
        <v>E</v>
      </c>
      <c r="Y26" s="366">
        <f t="shared" si="13"/>
        <v>6.6</v>
      </c>
      <c r="Z26" s="763" t="s">
        <v>422</v>
      </c>
      <c r="AA26" s="764">
        <v>0.4</v>
      </c>
      <c r="AB26" s="105"/>
      <c r="AC26" s="837"/>
      <c r="AD26" s="849" t="s">
        <v>489</v>
      </c>
      <c r="AE26" s="1" t="s">
        <v>490</v>
      </c>
      <c r="AJ26" s="846"/>
      <c r="AK26" s="17"/>
      <c r="AL26" s="17"/>
    </row>
    <row r="27">
      <c r="A27" s="673" t="str">
        <f>'Halo Reach Stats'!A27</f>
        <v>Mavbrid</v>
      </c>
      <c r="B27" s="674">
        <f>IFERROR(VLOOKUP(A27,'PG Stats'!A:R,10,0),)</f>
        <v>0.4614126626</v>
      </c>
      <c r="C27" s="674">
        <f>IFERROR(VLOOKUP(A27,'PG Stats'!A:R,11,0),)</f>
        <v>0.07826493264</v>
      </c>
      <c r="D27" s="675">
        <f>IFERROR(VLOOKUP(A27,'PG Stats'!A:R,12,0),)</f>
        <v>0.06307919944</v>
      </c>
      <c r="E27" s="675">
        <f>IFERROR(VLOOKUP(A27,'PG Stats'!A:R,13,0),)</f>
        <v>0.05022973289</v>
      </c>
      <c r="F27" s="675">
        <f>IFERROR(VLOOKUP(A27,'PG Stats'!A:R,14,0),)</f>
        <v>0.2908651974</v>
      </c>
      <c r="G27" s="676">
        <f>IFERROR(VLOOKUP(A27,'PG Stats'!A:R,15,0),)</f>
        <v>0.03971653298</v>
      </c>
      <c r="H27" s="676">
        <f>IFERROR(VLOOKUP(A27,'PG Stats'!A:R,16,0),)</f>
        <v>0.01985826649</v>
      </c>
      <c r="I27" s="676">
        <f>IFERROR(VLOOKUP(A27,'PG Stats'!A:R,17,0),)</f>
        <v>0.5291643953</v>
      </c>
      <c r="J27" s="677">
        <f>IFERROR(VLOOKUP(A27,'PG Stats'!A:R,18,0),)</f>
        <v>0.9986399591</v>
      </c>
      <c r="K27" s="677">
        <f>IFERROR(VLOOKUP(A27,'PG Stats'!A:S,19,0),)</f>
        <v>0.1576979986</v>
      </c>
      <c r="L27" s="17"/>
      <c r="M27" s="673" t="str">
        <f>'Halo Reach Stats'!A27</f>
        <v>Mavbrid</v>
      </c>
      <c r="N27" s="779" t="str">
        <f t="shared" si="2"/>
        <v>S</v>
      </c>
      <c r="O27" s="779" t="str">
        <f t="shared" si="3"/>
        <v>B</v>
      </c>
      <c r="P27" s="779" t="str">
        <f t="shared" si="4"/>
        <v>E</v>
      </c>
      <c r="Q27" s="779" t="str">
        <f t="shared" si="5"/>
        <v>B</v>
      </c>
      <c r="R27" s="779" t="str">
        <f t="shared" si="6"/>
        <v>F</v>
      </c>
      <c r="S27" s="779" t="str">
        <f t="shared" si="7"/>
        <v>E</v>
      </c>
      <c r="T27" s="779" t="str">
        <f t="shared" si="8"/>
        <v>C</v>
      </c>
      <c r="U27" s="779" t="str">
        <f t="shared" si="9"/>
        <v>C</v>
      </c>
      <c r="V27" s="779" t="str">
        <f t="shared" si="10"/>
        <v>D</v>
      </c>
      <c r="W27" s="779" t="str">
        <f t="shared" si="11"/>
        <v>D</v>
      </c>
      <c r="X27" s="785" t="str">
        <f t="shared" si="12"/>
        <v>C</v>
      </c>
      <c r="Y27" s="366">
        <f t="shared" si="13"/>
        <v>12.1</v>
      </c>
      <c r="Z27" s="765" t="s">
        <v>460</v>
      </c>
      <c r="AA27" s="766">
        <v>0.5</v>
      </c>
      <c r="AB27" s="105"/>
      <c r="AC27" s="837"/>
      <c r="AD27" s="849" t="s">
        <v>463</v>
      </c>
      <c r="AE27" s="1" t="s">
        <v>491</v>
      </c>
      <c r="AJ27" s="846"/>
      <c r="AK27" s="17"/>
      <c r="AL27" s="17"/>
    </row>
    <row r="28">
      <c r="A28" s="673" t="str">
        <f>'Halo Reach Stats'!A28</f>
        <v>MealyKitten0</v>
      </c>
      <c r="B28" s="674">
        <f>IFERROR(VLOOKUP(A28,'PG Stats'!A:R,10,0),)</f>
        <v>0.03406627439</v>
      </c>
      <c r="C28" s="674">
        <f>IFERROR(VLOOKUP(A28,'PG Stats'!A:R,11,0),)</f>
        <v>-0.4026014246</v>
      </c>
      <c r="D28" s="675">
        <f>IFERROR(VLOOKUP(A28,'PG Stats'!A:R,12,0),)</f>
        <v>0.08981108702</v>
      </c>
      <c r="E28" s="675">
        <f>IFERROR(VLOOKUP(A28,'PG Stats'!A:R,13,0),)</f>
        <v>0.01238773614</v>
      </c>
      <c r="F28" s="675">
        <f>IFERROR(VLOOKUP(A28,'PG Stats'!A:R,14,0),)</f>
        <v>0.4707339734</v>
      </c>
      <c r="G28" s="676">
        <f>IFERROR(VLOOKUP(A28,'PG Stats'!A:R,15,0),)</f>
        <v>0.08052028492</v>
      </c>
      <c r="H28" s="676">
        <f>IFERROR(VLOOKUP(A28,'PG Stats'!A:R,16,0),)</f>
        <v>0.009290802106</v>
      </c>
      <c r="I28" s="676">
        <f>IFERROR(VLOOKUP(A28,'PG Stats'!A:R,17,0),)</f>
        <v>0.5512542583</v>
      </c>
      <c r="J28" s="677">
        <f>IFERROR(VLOOKUP(A28,'PG Stats'!A:R,18,0),)</f>
        <v>1.691213556</v>
      </c>
      <c r="K28" s="677">
        <f>IFERROR(VLOOKUP(A28,'PG Stats'!A:S,19,0),)</f>
        <v>0.2384639207</v>
      </c>
      <c r="L28" s="17"/>
      <c r="M28" s="673" t="str">
        <f>'Halo Reach Stats'!A28</f>
        <v>MealyKitten0</v>
      </c>
      <c r="N28" s="779" t="str">
        <f t="shared" si="2"/>
        <v>C</v>
      </c>
      <c r="O28" s="779" t="str">
        <f t="shared" si="3"/>
        <v>C</v>
      </c>
      <c r="P28" s="779" t="str">
        <f t="shared" si="4"/>
        <v>D</v>
      </c>
      <c r="Q28" s="779" t="str">
        <f t="shared" si="5"/>
        <v>E</v>
      </c>
      <c r="R28" s="779" t="str">
        <f t="shared" si="6"/>
        <v>A</v>
      </c>
      <c r="S28" s="779" t="str">
        <f t="shared" si="7"/>
        <v>B</v>
      </c>
      <c r="T28" s="779" t="str">
        <f t="shared" si="8"/>
        <v>E</v>
      </c>
      <c r="U28" s="779" t="str">
        <f t="shared" si="9"/>
        <v>B</v>
      </c>
      <c r="V28" s="779" t="str">
        <f t="shared" si="10"/>
        <v>S</v>
      </c>
      <c r="W28" s="779" t="str">
        <f t="shared" si="11"/>
        <v>A</v>
      </c>
      <c r="X28" s="785" t="str">
        <f t="shared" si="12"/>
        <v>C</v>
      </c>
      <c r="Y28" s="366">
        <f t="shared" si="13"/>
        <v>14.9</v>
      </c>
      <c r="Z28" s="765" t="s">
        <v>461</v>
      </c>
      <c r="AA28" s="766">
        <v>0.4</v>
      </c>
      <c r="AB28" s="105"/>
      <c r="AC28" s="837"/>
      <c r="AD28" s="651" t="s">
        <v>464</v>
      </c>
      <c r="AE28" s="1" t="s">
        <v>492</v>
      </c>
      <c r="AJ28" s="846"/>
      <c r="AK28" s="17"/>
      <c r="AL28" s="17"/>
    </row>
    <row r="29">
      <c r="A29" s="673" t="str">
        <f>'Halo Reach Stats'!A29</f>
        <v>Mhurcy</v>
      </c>
      <c r="B29" s="674">
        <f>IFERROR(VLOOKUP(A29,'PG Stats'!A:R,10,0),)</f>
        <v>0.0527024653</v>
      </c>
      <c r="C29" s="674">
        <f>IFERROR(VLOOKUP(A29,'PG Stats'!A:R,11,0),)</f>
        <v>-0.4145927271</v>
      </c>
      <c r="D29" s="675">
        <f>IFERROR(VLOOKUP(A29,'PG Stats'!A:R,12,0),)</f>
        <v>0.179188382</v>
      </c>
      <c r="E29" s="675">
        <f>IFERROR(VLOOKUP(A29,'PG Stats'!A:R,13,0),)</f>
        <v>0.02459448381</v>
      </c>
      <c r="F29" s="675">
        <f>IFERROR(VLOOKUP(A29,'PG Stats'!A:R,14,0),)</f>
        <v>0.4356737132</v>
      </c>
      <c r="G29" s="676">
        <f>IFERROR(VLOOKUP(A29,'PG Stats'!A:R,15,0),)</f>
        <v>0.07026995374</v>
      </c>
      <c r="H29" s="676">
        <f>IFERROR(VLOOKUP(A29,'PG Stats'!A:R,16,0),)</f>
        <v>0.02108098612</v>
      </c>
      <c r="I29" s="676">
        <f>IFERROR(VLOOKUP(A29,'PG Stats'!A:R,17,0),)</f>
        <v>0.4954031739</v>
      </c>
      <c r="J29" s="677">
        <f>IFERROR(VLOOKUP(A29,'PG Stats'!A:R,18,0),)</f>
        <v>0.7992081117</v>
      </c>
      <c r="K29" s="677">
        <f>IFERROR(VLOOKUP(A29,'PG Stats'!A:S,19,0),)</f>
        <v>0.2143233589</v>
      </c>
      <c r="L29" s="17"/>
      <c r="M29" s="673" t="str">
        <f>'Halo Reach Stats'!A29</f>
        <v>Mhurcy</v>
      </c>
      <c r="N29" s="779" t="str">
        <f t="shared" si="2"/>
        <v>B</v>
      </c>
      <c r="O29" s="779" t="str">
        <f t="shared" si="3"/>
        <v>D</v>
      </c>
      <c r="P29" s="779" t="str">
        <f t="shared" si="4"/>
        <v>S</v>
      </c>
      <c r="Q29" s="779" t="str">
        <f t="shared" si="5"/>
        <v>D</v>
      </c>
      <c r="R29" s="779" t="str">
        <f t="shared" si="6"/>
        <v>B</v>
      </c>
      <c r="S29" s="779" t="str">
        <f t="shared" si="7"/>
        <v>C</v>
      </c>
      <c r="T29" s="779" t="str">
        <f t="shared" si="8"/>
        <v>B</v>
      </c>
      <c r="U29" s="779" t="str">
        <f t="shared" si="9"/>
        <v>D</v>
      </c>
      <c r="V29" s="779" t="str">
        <f t="shared" si="10"/>
        <v>F</v>
      </c>
      <c r="W29" s="779" t="str">
        <f t="shared" si="11"/>
        <v>B</v>
      </c>
      <c r="X29" s="785" t="str">
        <f t="shared" si="12"/>
        <v>C</v>
      </c>
      <c r="Y29" s="366">
        <f t="shared" si="13"/>
        <v>14</v>
      </c>
      <c r="Z29" s="765" t="s">
        <v>462</v>
      </c>
      <c r="AA29" s="766">
        <v>0.2</v>
      </c>
      <c r="AB29" s="105"/>
      <c r="AC29" s="837"/>
      <c r="AD29" s="651" t="s">
        <v>465</v>
      </c>
      <c r="AE29" s="1" t="s">
        <v>493</v>
      </c>
      <c r="AJ29" s="846"/>
      <c r="AK29" s="17"/>
      <c r="AL29" s="17"/>
    </row>
    <row r="30">
      <c r="A30" s="673" t="str">
        <f>'Halo Reach Stats'!A30</f>
        <v>MoldyVolts</v>
      </c>
      <c r="B30" s="674">
        <f>IFERROR(VLOOKUP(A30,'PG Stats'!A:R,10,0),)</f>
        <v>0.01166520852</v>
      </c>
      <c r="C30" s="674">
        <f>IFERROR(VLOOKUP(A30,'PG Stats'!A:R,11,0),)</f>
        <v>-0.8702245553</v>
      </c>
      <c r="D30" s="675">
        <f>IFERROR(VLOOKUP(A30,'PG Stats'!A:R,12,0),)</f>
        <v>0.1341498979</v>
      </c>
      <c r="E30" s="675">
        <f>IFERROR(VLOOKUP(A30,'PG Stats'!A:R,13,0),)</f>
        <v>0.01983085448</v>
      </c>
      <c r="F30" s="675">
        <f>IFERROR(VLOOKUP(A30,'PG Stats'!A:R,14,0),)</f>
        <v>0.3079615048</v>
      </c>
      <c r="G30" s="676">
        <f>IFERROR(VLOOKUP(A30,'PG Stats'!A:R,15,0),)</f>
        <v>0.04316127151</v>
      </c>
      <c r="H30" s="676">
        <f>IFERROR(VLOOKUP(A30,'PG Stats'!A:R,16,0),)</f>
        <v>0.01749781277</v>
      </c>
      <c r="I30" s="676">
        <f>IFERROR(VLOOKUP(A30,'PG Stats'!A:R,17,0),)</f>
        <v>0.5156022164</v>
      </c>
      <c r="J30" s="677">
        <f>IFERROR(VLOOKUP(A30,'PG Stats'!A:R,18,0),)</f>
        <v>1.32824022</v>
      </c>
      <c r="K30" s="677">
        <f>IFERROR(VLOOKUP(A30,'PG Stats'!A:S,19,0),)</f>
        <v>0.2403032954</v>
      </c>
      <c r="L30" s="17"/>
      <c r="M30" s="673" t="str">
        <f>'Halo Reach Stats'!A30</f>
        <v>MoldyVolts</v>
      </c>
      <c r="N30" s="779" t="str">
        <f t="shared" si="2"/>
        <v>F</v>
      </c>
      <c r="O30" s="779" t="str">
        <f t="shared" si="3"/>
        <v>E</v>
      </c>
      <c r="P30" s="779" t="str">
        <f t="shared" si="4"/>
        <v>A</v>
      </c>
      <c r="Q30" s="779" t="str">
        <f t="shared" si="5"/>
        <v>D</v>
      </c>
      <c r="R30" s="779" t="str">
        <f t="shared" si="6"/>
        <v>E</v>
      </c>
      <c r="S30" s="779" t="str">
        <f t="shared" si="7"/>
        <v>D</v>
      </c>
      <c r="T30" s="779" t="str">
        <f t="shared" si="8"/>
        <v>D</v>
      </c>
      <c r="U30" s="779" t="str">
        <f t="shared" si="9"/>
        <v>C</v>
      </c>
      <c r="V30" s="779" t="str">
        <f t="shared" si="10"/>
        <v>B</v>
      </c>
      <c r="W30" s="779" t="str">
        <f t="shared" si="11"/>
        <v>A</v>
      </c>
      <c r="X30" s="785" t="str">
        <f t="shared" si="12"/>
        <v>D</v>
      </c>
      <c r="Y30" s="366">
        <f t="shared" si="13"/>
        <v>10.6</v>
      </c>
      <c r="Z30" s="765" t="s">
        <v>463</v>
      </c>
      <c r="AA30" s="766">
        <v>0.4</v>
      </c>
      <c r="AB30" s="105"/>
      <c r="AC30" s="837"/>
      <c r="AD30" s="651" t="s">
        <v>466</v>
      </c>
      <c r="AE30" s="1" t="s">
        <v>494</v>
      </c>
      <c r="AJ30" s="846"/>
      <c r="AK30" s="17"/>
      <c r="AL30" s="17"/>
    </row>
    <row r="31">
      <c r="A31" s="673" t="str">
        <f>'Halo Reach Stats'!A31</f>
        <v>MuNgO PuNgO</v>
      </c>
      <c r="B31" s="674">
        <f>IFERROR(VLOOKUP(A31,'PG Stats'!A:R,10,0),)</f>
        <v>0.02365930599</v>
      </c>
      <c r="C31" s="674">
        <f>IFERROR(VLOOKUP(A31,'PG Stats'!A:R,11,0),)</f>
        <v>-2.105678233</v>
      </c>
      <c r="D31" s="675">
        <f>IFERROR(VLOOKUP(A31,'PG Stats'!A:R,12,0),)</f>
        <v>0.11829653</v>
      </c>
      <c r="E31" s="675">
        <f>IFERROR(VLOOKUP(A31,'PG Stats'!A:R,13,0),)</f>
        <v>0</v>
      </c>
      <c r="F31" s="675">
        <f>IFERROR(VLOOKUP(A31,'PG Stats'!A:R,14,0),)</f>
        <v>0.2602523659</v>
      </c>
      <c r="G31" s="676">
        <f>IFERROR(VLOOKUP(A31,'PG Stats'!A:R,15,0),)</f>
        <v>0.07097791798</v>
      </c>
      <c r="H31" s="676">
        <f>IFERROR(VLOOKUP(A31,'PG Stats'!A:R,16,0),)</f>
        <v>0</v>
      </c>
      <c r="I31" s="676">
        <f>IFERROR(VLOOKUP(A31,'PG Stats'!A:R,17,0),)</f>
        <v>0.3785488959</v>
      </c>
      <c r="J31" s="677">
        <f>IFERROR(VLOOKUP(A31,'PG Stats'!A:R,18,0),)</f>
        <v>0.9022082019</v>
      </c>
      <c r="K31" s="677">
        <f>IFERROR(VLOOKUP(A31,'PG Stats'!A:S,19,0),)</f>
        <v>0.141955836</v>
      </c>
      <c r="L31" s="17"/>
      <c r="M31" s="673" t="str">
        <f>'Halo Reach Stats'!A31</f>
        <v>MuNgO PuNgO</v>
      </c>
      <c r="N31" s="779" t="str">
        <f t="shared" si="2"/>
        <v>E</v>
      </c>
      <c r="O31" s="779" t="str">
        <f t="shared" si="3"/>
        <v>F</v>
      </c>
      <c r="P31" s="779" t="str">
        <f t="shared" si="4"/>
        <v>B</v>
      </c>
      <c r="Q31" s="779" t="str">
        <f t="shared" si="5"/>
        <v>F</v>
      </c>
      <c r="R31" s="779" t="str">
        <f t="shared" si="6"/>
        <v>F</v>
      </c>
      <c r="S31" s="779" t="str">
        <f t="shared" si="7"/>
        <v>B</v>
      </c>
      <c r="T31" s="779" t="str">
        <f t="shared" si="8"/>
        <v>F</v>
      </c>
      <c r="U31" s="779" t="str">
        <f t="shared" si="9"/>
        <v>F</v>
      </c>
      <c r="V31" s="779" t="str">
        <f t="shared" si="10"/>
        <v>F</v>
      </c>
      <c r="W31" s="779" t="str">
        <f t="shared" si="11"/>
        <v>E</v>
      </c>
      <c r="X31" s="785" t="str">
        <f t="shared" si="12"/>
        <v>E</v>
      </c>
      <c r="Y31" s="366">
        <f t="shared" si="13"/>
        <v>7.8</v>
      </c>
      <c r="Z31" s="765" t="s">
        <v>464</v>
      </c>
      <c r="AA31" s="766">
        <v>0.6</v>
      </c>
      <c r="AB31" s="105"/>
      <c r="AC31" s="837"/>
      <c r="AD31" s="651" t="s">
        <v>430</v>
      </c>
      <c r="AE31" s="1" t="s">
        <v>495</v>
      </c>
      <c r="AJ31" s="846"/>
      <c r="AK31" s="17"/>
      <c r="AL31" s="17"/>
    </row>
    <row r="32">
      <c r="A32" s="673" t="str">
        <f>'Halo Reach Stats'!A32</f>
        <v>MysticalNovice</v>
      </c>
      <c r="B32" s="674">
        <f>IFERROR(VLOOKUP(A32,'PG Stats'!A:R,10,0),)</f>
        <v>0.01936030331</v>
      </c>
      <c r="C32" s="674">
        <f>IFERROR(VLOOKUP(A32,'PG Stats'!A:R,11,0),)</f>
        <v>-0.33638527</v>
      </c>
      <c r="D32" s="675">
        <f>IFERROR(VLOOKUP(A32,'PG Stats'!A:R,12,0),)</f>
        <v>0.1197918767</v>
      </c>
      <c r="E32" s="675">
        <f>IFERROR(VLOOKUP(A32,'PG Stats'!A:R,13,0),)</f>
        <v>0.02783043601</v>
      </c>
      <c r="F32" s="675">
        <f>IFERROR(VLOOKUP(A32,'PG Stats'!A:R,14,0),)</f>
        <v>0.7054410519</v>
      </c>
      <c r="G32" s="676">
        <f>IFERROR(VLOOKUP(A32,'PG Stats'!A:R,15,0),)</f>
        <v>0.1427822369</v>
      </c>
      <c r="H32" s="676">
        <f>IFERROR(VLOOKUP(A32,'PG Stats'!A:R,16,0),)</f>
        <v>0.02299036018</v>
      </c>
      <c r="I32" s="676">
        <f>IFERROR(VLOOKUP(A32,'PG Stats'!A:R,17,0),)</f>
        <v>0.5820191183</v>
      </c>
      <c r="J32" s="677">
        <f>IFERROR(VLOOKUP(A32,'PG Stats'!A:R,18,0),)</f>
        <v>1.213595235</v>
      </c>
      <c r="K32" s="677">
        <f>IFERROR(VLOOKUP(A32,'PG Stats'!A:S,19,0),)</f>
        <v>0.1899729762</v>
      </c>
      <c r="L32" s="17"/>
      <c r="M32" s="673" t="str">
        <f>'Halo Reach Stats'!A32</f>
        <v>MysticalNovice</v>
      </c>
      <c r="N32" s="779" t="str">
        <f t="shared" si="2"/>
        <v>E</v>
      </c>
      <c r="O32" s="779" t="str">
        <f t="shared" si="3"/>
        <v>C</v>
      </c>
      <c r="P32" s="779" t="str">
        <f t="shared" si="4"/>
        <v>B</v>
      </c>
      <c r="Q32" s="779" t="str">
        <f t="shared" si="5"/>
        <v>C</v>
      </c>
      <c r="R32" s="779" t="str">
        <f t="shared" si="6"/>
        <v>S</v>
      </c>
      <c r="S32" s="779" t="str">
        <f t="shared" si="7"/>
        <v>S</v>
      </c>
      <c r="T32" s="779" t="str">
        <f t="shared" si="8"/>
        <v>B</v>
      </c>
      <c r="U32" s="779" t="str">
        <f t="shared" si="9"/>
        <v>B</v>
      </c>
      <c r="V32" s="779" t="str">
        <f t="shared" si="10"/>
        <v>C</v>
      </c>
      <c r="W32" s="779" t="str">
        <f t="shared" si="11"/>
        <v>C</v>
      </c>
      <c r="X32" s="785" t="str">
        <f t="shared" si="12"/>
        <v>B</v>
      </c>
      <c r="Y32" s="366">
        <f t="shared" si="13"/>
        <v>16.9</v>
      </c>
      <c r="Z32" s="767" t="s">
        <v>465</v>
      </c>
      <c r="AA32" s="768">
        <v>0.2</v>
      </c>
      <c r="AB32" s="105"/>
      <c r="AC32" s="837"/>
      <c r="AD32" s="655"/>
      <c r="AE32" s="657"/>
      <c r="AF32" s="850"/>
      <c r="AG32" s="850"/>
      <c r="AH32" s="850"/>
      <c r="AI32" s="850"/>
      <c r="AJ32" s="851"/>
      <c r="AK32" s="17"/>
      <c r="AL32" s="17"/>
    </row>
    <row r="33">
      <c r="A33" s="673" t="str">
        <f>'Halo Reach Stats'!A33</f>
        <v>oDhmon</v>
      </c>
      <c r="B33" s="674">
        <f>IFERROR(VLOOKUP(A33,'PG Stats'!A:R,10,0),)</f>
        <v>0.05154522641</v>
      </c>
      <c r="C33" s="674">
        <f>IFERROR(VLOOKUP(A33,'PG Stats'!A:R,11,0),)</f>
        <v>0.9386657021</v>
      </c>
      <c r="D33" s="675">
        <f>IFERROR(VLOOKUP(A33,'PG Stats'!A:R,12,0),)</f>
        <v>0.2997761852</v>
      </c>
      <c r="E33" s="675">
        <f>IFERROR(VLOOKUP(A33,'PG Stats'!A:R,13,0),)</f>
        <v>0.09223882622</v>
      </c>
      <c r="F33" s="675">
        <f>IFERROR(VLOOKUP(A33,'PG Stats'!A:R,14,0),)</f>
        <v>0.6402459702</v>
      </c>
      <c r="G33" s="676">
        <f>IFERROR(VLOOKUP(A33,'PG Stats'!A:R,15,0),)</f>
        <v>0.09902109285</v>
      </c>
      <c r="H33" s="676">
        <f>IFERROR(VLOOKUP(A33,'PG Stats'!A:R,16,0),)</f>
        <v>0.08274365293</v>
      </c>
      <c r="I33" s="676">
        <f>IFERROR(VLOOKUP(A33,'PG Stats'!A:R,17,0),)</f>
        <v>0.6307507969</v>
      </c>
      <c r="J33" s="677">
        <f>IFERROR(VLOOKUP(A33,'PG Stats'!A:R,18,0),)</f>
        <v>1.194584257</v>
      </c>
      <c r="K33" s="677">
        <f>IFERROR(VLOOKUP(A33,'PG Stats'!A:S,19,0),)</f>
        <v>0.199398639</v>
      </c>
      <c r="L33" s="17"/>
      <c r="M33" s="673" t="str">
        <f>'Halo Reach Stats'!A33</f>
        <v>oDhmon</v>
      </c>
      <c r="N33" s="779" t="str">
        <f t="shared" si="2"/>
        <v>B</v>
      </c>
      <c r="O33" s="779" t="str">
        <f t="shared" si="3"/>
        <v>S</v>
      </c>
      <c r="P33" s="779" t="str">
        <f t="shared" si="4"/>
        <v>S</v>
      </c>
      <c r="Q33" s="779" t="str">
        <f t="shared" si="5"/>
        <v>S</v>
      </c>
      <c r="R33" s="779" t="str">
        <f t="shared" si="6"/>
        <v>S</v>
      </c>
      <c r="S33" s="779" t="str">
        <f t="shared" si="7"/>
        <v>A</v>
      </c>
      <c r="T33" s="779" t="str">
        <f t="shared" si="8"/>
        <v>S</v>
      </c>
      <c r="U33" s="779" t="str">
        <f t="shared" si="9"/>
        <v>A</v>
      </c>
      <c r="V33" s="779" t="str">
        <f t="shared" si="10"/>
        <v>C</v>
      </c>
      <c r="W33" s="779" t="str">
        <f t="shared" si="11"/>
        <v>C</v>
      </c>
      <c r="X33" s="785" t="str">
        <f t="shared" si="12"/>
        <v>A</v>
      </c>
      <c r="Y33" s="366">
        <f t="shared" si="13"/>
        <v>21.3</v>
      </c>
      <c r="Z33" s="767" t="s">
        <v>466</v>
      </c>
      <c r="AA33" s="768">
        <v>0.5</v>
      </c>
      <c r="AB33" s="105"/>
      <c r="AC33" s="837"/>
      <c r="AD33" s="841" t="s">
        <v>496</v>
      </c>
      <c r="AE33" s="842"/>
      <c r="AF33" s="842"/>
      <c r="AG33" s="842"/>
      <c r="AH33" s="842"/>
      <c r="AI33" s="842"/>
      <c r="AJ33" s="843"/>
      <c r="AK33" s="17"/>
      <c r="AL33" s="17"/>
    </row>
    <row r="34">
      <c r="A34" s="673" t="str">
        <f>'Halo Reach Stats'!A34</f>
        <v>oh zilly</v>
      </c>
      <c r="B34" s="674">
        <f>IFERROR(VLOOKUP(A34,'PG Stats'!A:R,10,0),)</f>
        <v>0.02895752896</v>
      </c>
      <c r="C34" s="674">
        <f>IFERROR(VLOOKUP(A34,'PG Stats'!A:R,11,0),)</f>
        <v>-0.6402831403</v>
      </c>
      <c r="D34" s="675">
        <f>IFERROR(VLOOKUP(A34,'PG Stats'!A:R,12,0),)</f>
        <v>0.1624839125</v>
      </c>
      <c r="E34" s="675">
        <f>IFERROR(VLOOKUP(A34,'PG Stats'!A:R,13,0),)</f>
        <v>0.02895752896</v>
      </c>
      <c r="F34" s="675">
        <f>IFERROR(VLOOKUP(A34,'PG Stats'!A:R,14,0),)</f>
        <v>0.5501930502</v>
      </c>
      <c r="G34" s="676">
        <f>IFERROR(VLOOKUP(A34,'PG Stats'!A:R,15,0),)</f>
        <v>0.1013513514</v>
      </c>
      <c r="H34" s="676">
        <f>IFERROR(VLOOKUP(A34,'PG Stats'!A:R,16,0),)</f>
        <v>0.02734877735</v>
      </c>
      <c r="I34" s="676">
        <f>IFERROR(VLOOKUP(A34,'PG Stats'!A:R,17,0),)</f>
        <v>0.5212355212</v>
      </c>
      <c r="J34" s="677">
        <f>IFERROR(VLOOKUP(A34,'PG Stats'!A:R,18,0),)</f>
        <v>1.351622299</v>
      </c>
      <c r="K34" s="677">
        <f>IFERROR(VLOOKUP(A34,'PG Stats'!A:S,19,0),)</f>
        <v>0.2574002574</v>
      </c>
      <c r="L34" s="17"/>
      <c r="M34" s="673" t="str">
        <f>'Halo Reach Stats'!A34</f>
        <v>oh zilly</v>
      </c>
      <c r="N34" s="779" t="str">
        <f t="shared" si="2"/>
        <v>D</v>
      </c>
      <c r="O34" s="779" t="str">
        <f t="shared" si="3"/>
        <v>D</v>
      </c>
      <c r="P34" s="779" t="str">
        <f t="shared" si="4"/>
        <v>S</v>
      </c>
      <c r="Q34" s="779" t="str">
        <f t="shared" si="5"/>
        <v>C</v>
      </c>
      <c r="R34" s="779" t="str">
        <f t="shared" si="6"/>
        <v>A</v>
      </c>
      <c r="S34" s="779" t="str">
        <f t="shared" si="7"/>
        <v>A</v>
      </c>
      <c r="T34" s="779" t="str">
        <f t="shared" si="8"/>
        <v>B</v>
      </c>
      <c r="U34" s="779" t="str">
        <f t="shared" si="9"/>
        <v>C</v>
      </c>
      <c r="V34" s="779" t="str">
        <f t="shared" si="10"/>
        <v>B</v>
      </c>
      <c r="W34" s="779" t="str">
        <f t="shared" si="11"/>
        <v>S</v>
      </c>
      <c r="X34" s="785" t="str">
        <f t="shared" si="12"/>
        <v>B</v>
      </c>
      <c r="Y34" s="366">
        <f t="shared" si="13"/>
        <v>16.3</v>
      </c>
      <c r="Z34" s="767" t="s">
        <v>430</v>
      </c>
      <c r="AA34" s="768">
        <v>0.2</v>
      </c>
      <c r="AB34" s="105"/>
      <c r="AC34" s="837"/>
      <c r="AD34" s="845" t="s">
        <v>422</v>
      </c>
      <c r="AE34" s="1" t="s">
        <v>497</v>
      </c>
      <c r="AJ34" s="846"/>
      <c r="AK34" s="17"/>
      <c r="AL34" s="17"/>
    </row>
    <row r="35">
      <c r="A35" s="673" t="str">
        <f>'Halo Reach Stats'!A35</f>
        <v>Scullen cx</v>
      </c>
      <c r="B35" s="674">
        <f>IFERROR(VLOOKUP(A35,'PG Stats'!A:R,10,0),)</f>
        <v>0.05349807343</v>
      </c>
      <c r="C35" s="674">
        <f>IFERROR(VLOOKUP(A35,'PG Stats'!A:R,11,0),)</f>
        <v>-0.9763398401</v>
      </c>
      <c r="D35" s="675">
        <f>IFERROR(VLOOKUP(A35,'PG Stats'!A:R,12,0),)</f>
        <v>0.06305130083</v>
      </c>
      <c r="E35" s="675">
        <f>IFERROR(VLOOKUP(A35,'PG Stats'!A:R,13,0),)</f>
        <v>0.02101710028</v>
      </c>
      <c r="F35" s="675">
        <f>IFERROR(VLOOKUP(A35,'PG Stats'!A:R,14,0),)</f>
        <v>0.4394484603</v>
      </c>
      <c r="G35" s="676">
        <f>IFERROR(VLOOKUP(A35,'PG Stats'!A:R,15,0),)</f>
        <v>0.07069388275</v>
      </c>
      <c r="H35" s="676">
        <f>IFERROR(VLOOKUP(A35,'PG Stats'!A:R,16,0),)</f>
        <v>0.0191064548</v>
      </c>
      <c r="I35" s="676">
        <f>IFERROR(VLOOKUP(A35,'PG Stats'!A:R,17,0),)</f>
        <v>0.5712829984</v>
      </c>
      <c r="J35" s="677">
        <f>IFERROR(VLOOKUP(A35,'PG Stats'!A:R,18,0),)</f>
        <v>1.48021845</v>
      </c>
      <c r="K35" s="677">
        <f>IFERROR(VLOOKUP(A35,'PG Stats'!A:S,19,0),)</f>
        <v>0.2235455211</v>
      </c>
      <c r="L35" s="17"/>
      <c r="M35" s="673" t="str">
        <f>'Halo Reach Stats'!A35</f>
        <v>Scullen cx</v>
      </c>
      <c r="N35" s="779" t="str">
        <f t="shared" si="2"/>
        <v>B</v>
      </c>
      <c r="O35" s="779" t="str">
        <f t="shared" si="3"/>
        <v>F</v>
      </c>
      <c r="P35" s="779" t="str">
        <f t="shared" si="4"/>
        <v>E</v>
      </c>
      <c r="Q35" s="779" t="str">
        <f t="shared" si="5"/>
        <v>D</v>
      </c>
      <c r="R35" s="779" t="str">
        <f t="shared" si="6"/>
        <v>B</v>
      </c>
      <c r="S35" s="779" t="str">
        <f t="shared" si="7"/>
        <v>B</v>
      </c>
      <c r="T35" s="779" t="str">
        <f t="shared" si="8"/>
        <v>C</v>
      </c>
      <c r="U35" s="779" t="str">
        <f t="shared" si="9"/>
        <v>B</v>
      </c>
      <c r="V35" s="779" t="str">
        <f t="shared" si="10"/>
        <v>A</v>
      </c>
      <c r="W35" s="779" t="str">
        <f t="shared" si="11"/>
        <v>B</v>
      </c>
      <c r="X35" s="785" t="str">
        <f t="shared" si="12"/>
        <v>C</v>
      </c>
      <c r="Y35" s="366">
        <f t="shared" si="13"/>
        <v>13.4</v>
      </c>
      <c r="Z35" s="852" t="s">
        <v>468</v>
      </c>
      <c r="AA35" s="853">
        <v>0.0</v>
      </c>
      <c r="AB35" s="105"/>
      <c r="AC35" s="837"/>
      <c r="AD35" s="848" t="s">
        <v>423</v>
      </c>
      <c r="AE35" s="1" t="s">
        <v>498</v>
      </c>
      <c r="AJ35" s="846"/>
      <c r="AK35" s="17"/>
      <c r="AL35" s="17"/>
    </row>
    <row r="36">
      <c r="A36" s="673" t="str">
        <f>'Halo Reach Stats'!A36</f>
        <v>Solace VIII</v>
      </c>
      <c r="B36" s="674">
        <f>IFERROR(VLOOKUP(A36,'PG Stats'!A:R,10,0),)</f>
        <v>0.03648866746</v>
      </c>
      <c r="C36" s="674">
        <f>IFERROR(VLOOKUP(A36,'PG Stats'!A:R,11,0),)</f>
        <v>0.4111992141</v>
      </c>
      <c r="D36" s="675">
        <f>IFERROR(VLOOKUP(A36,'PG Stats'!A:R,12,0),)</f>
        <v>0.141744439</v>
      </c>
      <c r="E36" s="675">
        <f>IFERROR(VLOOKUP(A36,'PG Stats'!A:R,13,0),)</f>
        <v>0.07859097607</v>
      </c>
      <c r="F36" s="675">
        <f>IFERROR(VLOOKUP(A36,'PG Stats'!A:R,14,0),)</f>
        <v>0.6020630131</v>
      </c>
      <c r="G36" s="676">
        <f>IFERROR(VLOOKUP(A36,'PG Stats'!A:R,15,0),)</f>
        <v>0.102448951</v>
      </c>
      <c r="H36" s="676">
        <f>IFERROR(VLOOKUP(A36,'PG Stats'!A:R,16,0),)</f>
        <v>0.06876710406</v>
      </c>
      <c r="I36" s="676">
        <f>IFERROR(VLOOKUP(A36,'PG Stats'!A:R,17,0),)</f>
        <v>0.655392604</v>
      </c>
      <c r="J36" s="677">
        <f>IFERROR(VLOOKUP(A36,'PG Stats'!A:R,18,0),)</f>
        <v>1.534505515</v>
      </c>
      <c r="K36" s="677">
        <f>IFERROR(VLOOKUP(A36,'PG Stats'!A:S,19,0),)</f>
        <v>0.2652445442</v>
      </c>
      <c r="L36" s="17"/>
      <c r="M36" s="673" t="str">
        <f>'Halo Reach Stats'!A36</f>
        <v>Solace VIII</v>
      </c>
      <c r="N36" s="779" t="str">
        <f t="shared" si="2"/>
        <v>C</v>
      </c>
      <c r="O36" s="779" t="str">
        <f t="shared" si="3"/>
        <v>A</v>
      </c>
      <c r="P36" s="779" t="str">
        <f t="shared" si="4"/>
        <v>A</v>
      </c>
      <c r="Q36" s="779" t="str">
        <f t="shared" si="5"/>
        <v>S</v>
      </c>
      <c r="R36" s="779" t="str">
        <f t="shared" si="6"/>
        <v>S</v>
      </c>
      <c r="S36" s="779" t="str">
        <f t="shared" si="7"/>
        <v>S</v>
      </c>
      <c r="T36" s="779" t="str">
        <f t="shared" si="8"/>
        <v>S</v>
      </c>
      <c r="U36" s="779" t="str">
        <f t="shared" si="9"/>
        <v>S</v>
      </c>
      <c r="V36" s="779" t="str">
        <f t="shared" si="10"/>
        <v>S</v>
      </c>
      <c r="W36" s="779" t="str">
        <f t="shared" si="11"/>
        <v>S</v>
      </c>
      <c r="X36" s="785" t="str">
        <f t="shared" si="12"/>
        <v>A</v>
      </c>
      <c r="Y36" s="366">
        <f t="shared" si="13"/>
        <v>21.7</v>
      </c>
      <c r="Z36" s="17"/>
      <c r="AA36" s="17"/>
      <c r="AB36" s="105"/>
      <c r="AC36" s="837"/>
      <c r="AD36" s="849" t="s">
        <v>461</v>
      </c>
      <c r="AE36" s="1" t="s">
        <v>499</v>
      </c>
      <c r="AJ36" s="846"/>
      <c r="AK36" s="17"/>
      <c r="AL36" s="17"/>
    </row>
    <row r="37">
      <c r="A37" s="673" t="str">
        <f>'Halo Reach Stats'!A37</f>
        <v>SPANKTR0N</v>
      </c>
      <c r="B37" s="674">
        <f>IFERROR(VLOOKUP(A37,'PG Stats'!A:R,10,0),)</f>
        <v>0.02500757805</v>
      </c>
      <c r="C37" s="674">
        <f>IFERROR(VLOOKUP(A37,'PG Stats'!A:R,11,0),)</f>
        <v>-0.1409518036</v>
      </c>
      <c r="D37" s="675">
        <f>IFERROR(VLOOKUP(A37,'PG Stats'!A:R,12,0),)</f>
        <v>0.109123977</v>
      </c>
      <c r="E37" s="675">
        <f>IFERROR(VLOOKUP(A37,'PG Stats'!A:R,13,0),)</f>
        <v>0.06138223704</v>
      </c>
      <c r="F37" s="675">
        <f>IFERROR(VLOOKUP(A37,'PG Stats'!A:R,14,0),)</f>
        <v>0.4364959079</v>
      </c>
      <c r="G37" s="676">
        <f>IFERROR(VLOOKUP(A37,'PG Stats'!A:R,15,0),)</f>
        <v>0.09775689603</v>
      </c>
      <c r="H37" s="676">
        <f>IFERROR(VLOOKUP(A37,'PG Stats'!A:R,16,0),)</f>
        <v>0.06138223704</v>
      </c>
      <c r="I37" s="676">
        <f>IFERROR(VLOOKUP(A37,'PG Stats'!A:R,17,0),)</f>
        <v>0.5137920582</v>
      </c>
      <c r="J37" s="677">
        <f>IFERROR(VLOOKUP(A37,'PG Stats'!A:R,18,0),)</f>
        <v>1.039879509</v>
      </c>
      <c r="K37" s="677">
        <f>IFERROR(VLOOKUP(A37,'PG Stats'!A:S,19,0),)</f>
        <v>0.2273416187</v>
      </c>
      <c r="L37" s="17"/>
      <c r="M37" s="673" t="str">
        <f>'Halo Reach Stats'!A37</f>
        <v>SPANKTR0N</v>
      </c>
      <c r="N37" s="779" t="str">
        <f t="shared" si="2"/>
        <v>D</v>
      </c>
      <c r="O37" s="779" t="str">
        <f t="shared" si="3"/>
        <v>B</v>
      </c>
      <c r="P37" s="779" t="str">
        <f t="shared" si="4"/>
        <v>C</v>
      </c>
      <c r="Q37" s="779" t="str">
        <f t="shared" si="5"/>
        <v>A</v>
      </c>
      <c r="R37" s="779" t="str">
        <f t="shared" si="6"/>
        <v>B</v>
      </c>
      <c r="S37" s="779" t="str">
        <f t="shared" si="7"/>
        <v>A</v>
      </c>
      <c r="T37" s="779" t="str">
        <f t="shared" si="8"/>
        <v>S</v>
      </c>
      <c r="U37" s="779" t="str">
        <f t="shared" si="9"/>
        <v>D</v>
      </c>
      <c r="V37" s="779" t="str">
        <f t="shared" si="10"/>
        <v>D</v>
      </c>
      <c r="W37" s="779" t="str">
        <f t="shared" si="11"/>
        <v>B</v>
      </c>
      <c r="X37" s="785" t="str">
        <f t="shared" si="12"/>
        <v>B</v>
      </c>
      <c r="Y37" s="366">
        <f t="shared" si="13"/>
        <v>15.6</v>
      </c>
      <c r="Z37" s="17"/>
      <c r="AA37" s="17"/>
      <c r="AB37" s="105"/>
      <c r="AC37" s="837"/>
      <c r="AD37" s="849" t="s">
        <v>489</v>
      </c>
      <c r="AE37" s="1" t="s">
        <v>500</v>
      </c>
      <c r="AJ37" s="846"/>
      <c r="AK37" s="17"/>
      <c r="AL37" s="17"/>
    </row>
    <row r="38">
      <c r="A38" s="673" t="str">
        <f>'Halo Reach Stats'!A38</f>
        <v>TommyWstSide</v>
      </c>
      <c r="B38" s="674">
        <f>IFERROR(VLOOKUP(A38,'PG Stats'!A:R,10,0),)</f>
        <v>0.02959524155</v>
      </c>
      <c r="C38" s="674">
        <f>IFERROR(VLOOKUP(A38,'PG Stats'!A:R,11,0),)</f>
        <v>-0.9400841433</v>
      </c>
      <c r="D38" s="675">
        <f>IFERROR(VLOOKUP(A38,'PG Stats'!A:R,12,0),)</f>
        <v>0.08704482809</v>
      </c>
      <c r="E38" s="675">
        <f>IFERROR(VLOOKUP(A38,'PG Stats'!A:R,13,0),)</f>
        <v>0.005222689685</v>
      </c>
      <c r="F38" s="675">
        <f>IFERROR(VLOOKUP(A38,'PG Stats'!A:R,14,0),)</f>
        <v>0.3272885536</v>
      </c>
      <c r="G38" s="676">
        <f>IFERROR(VLOOKUP(A38,'PG Stats'!A:R,15,0),)</f>
        <v>0.03133613811</v>
      </c>
      <c r="H38" s="676">
        <f>IFERROR(VLOOKUP(A38,'PG Stats'!A:R,16,0),)</f>
        <v>0.003481793123</v>
      </c>
      <c r="I38" s="676">
        <f>IFERROR(VLOOKUP(A38,'PG Stats'!A:R,17,0),)</f>
        <v>0.4508922095</v>
      </c>
      <c r="J38" s="677">
        <f>IFERROR(VLOOKUP(A38,'PG Stats'!A:R,18,0),)</f>
        <v>1.040959427</v>
      </c>
      <c r="K38" s="677">
        <f>IFERROR(VLOOKUP(A38,'PG Stats'!A:S,19,0),)</f>
        <v>0.1323081387</v>
      </c>
      <c r="L38" s="17"/>
      <c r="M38" s="673" t="str">
        <f>'Halo Reach Stats'!A38</f>
        <v>TommyWstSide</v>
      </c>
      <c r="N38" s="779" t="str">
        <f t="shared" si="2"/>
        <v>D</v>
      </c>
      <c r="O38" s="779" t="str">
        <f t="shared" si="3"/>
        <v>F</v>
      </c>
      <c r="P38" s="779" t="str">
        <f t="shared" si="4"/>
        <v>D</v>
      </c>
      <c r="Q38" s="779" t="str">
        <f t="shared" si="5"/>
        <v>F</v>
      </c>
      <c r="R38" s="779" t="str">
        <f t="shared" si="6"/>
        <v>D</v>
      </c>
      <c r="S38" s="779" t="str">
        <f t="shared" si="7"/>
        <v>F</v>
      </c>
      <c r="T38" s="779" t="str">
        <f t="shared" si="8"/>
        <v>F</v>
      </c>
      <c r="U38" s="779" t="str">
        <f t="shared" si="9"/>
        <v>E</v>
      </c>
      <c r="V38" s="779" t="str">
        <f t="shared" si="10"/>
        <v>D</v>
      </c>
      <c r="W38" s="779" t="str">
        <f t="shared" si="11"/>
        <v>E</v>
      </c>
      <c r="X38" s="785" t="str">
        <f t="shared" si="12"/>
        <v>E</v>
      </c>
      <c r="Y38" s="366">
        <f t="shared" si="13"/>
        <v>6.7</v>
      </c>
      <c r="Z38" s="17"/>
      <c r="AA38" s="17"/>
      <c r="AB38" s="105"/>
      <c r="AC38" s="837"/>
      <c r="AD38" s="849" t="s">
        <v>463</v>
      </c>
      <c r="AE38" s="1" t="s">
        <v>501</v>
      </c>
      <c r="AJ38" s="846"/>
      <c r="AK38" s="17"/>
      <c r="AL38" s="17"/>
    </row>
    <row r="39">
      <c r="A39" s="673" t="str">
        <f>'Halo Reach Stats'!A39</f>
        <v>yLuxe</v>
      </c>
      <c r="B39" s="674">
        <f>IFERROR(VLOOKUP(A39,'PG Stats'!A:R,10,0),)</f>
        <v>0.8429567346</v>
      </c>
      <c r="C39" s="674">
        <f>IFERROR(VLOOKUP(A39,'PG Stats'!A:R,11,0),)</f>
        <v>0.676919802</v>
      </c>
      <c r="D39" s="675">
        <f>IFERROR(VLOOKUP(A39,'PG Stats'!A:R,12,0),)</f>
        <v>0.04629876004</v>
      </c>
      <c r="E39" s="675">
        <f>IFERROR(VLOOKUP(A39,'PG Stats'!A:R,13,0),)</f>
        <v>0.09579053802</v>
      </c>
      <c r="F39" s="675">
        <f>IFERROR(VLOOKUP(A39,'PG Stats'!A:R,14,0),)</f>
        <v>0.3544249907</v>
      </c>
      <c r="G39" s="676">
        <f>IFERROR(VLOOKUP(A39,'PG Stats'!A:R,15,0),)</f>
        <v>0.08780799319</v>
      </c>
      <c r="H39" s="676">
        <f>IFERROR(VLOOKUP(A39,'PG Stats'!A:R,16,0),)</f>
        <v>0.01756159864</v>
      </c>
      <c r="I39" s="676">
        <f>IFERROR(VLOOKUP(A39,'PG Stats'!A:R,17,0),)</f>
        <v>0.5667606833</v>
      </c>
      <c r="J39" s="677">
        <f>IFERROR(VLOOKUP(A39,'PG Stats'!A:R,18,0),)</f>
        <v>1.76342398</v>
      </c>
      <c r="K39" s="677">
        <f>IFERROR(VLOOKUP(A39,'PG Stats'!A:S,19,0),)</f>
        <v>0.09100101112</v>
      </c>
      <c r="L39" s="17"/>
      <c r="M39" s="673" t="str">
        <f>'Halo Reach Stats'!A39</f>
        <v>yLuxe</v>
      </c>
      <c r="N39" s="779" t="str">
        <f t="shared" si="2"/>
        <v>S</v>
      </c>
      <c r="O39" s="779" t="str">
        <f t="shared" si="3"/>
        <v>S</v>
      </c>
      <c r="P39" s="779" t="str">
        <f t="shared" si="4"/>
        <v>F</v>
      </c>
      <c r="Q39" s="779" t="str">
        <f t="shared" si="5"/>
        <v>S</v>
      </c>
      <c r="R39" s="779" t="str">
        <f t="shared" si="6"/>
        <v>D</v>
      </c>
      <c r="S39" s="779" t="str">
        <f t="shared" si="7"/>
        <v>A</v>
      </c>
      <c r="T39" s="779" t="str">
        <f t="shared" si="8"/>
        <v>C</v>
      </c>
      <c r="U39" s="779" t="str">
        <f t="shared" si="9"/>
        <v>B</v>
      </c>
      <c r="V39" s="779" t="str">
        <f t="shared" si="10"/>
        <v>S</v>
      </c>
      <c r="W39" s="779" t="str">
        <f t="shared" si="11"/>
        <v>F</v>
      </c>
      <c r="X39" s="785" t="str">
        <f t="shared" si="12"/>
        <v>B</v>
      </c>
      <c r="Y39" s="366">
        <f t="shared" si="13"/>
        <v>17.6</v>
      </c>
      <c r="Z39" s="17"/>
      <c r="AA39" s="17"/>
      <c r="AB39" s="105"/>
      <c r="AC39" s="837"/>
      <c r="AD39" s="651" t="s">
        <v>464</v>
      </c>
      <c r="AE39" s="1" t="s">
        <v>501</v>
      </c>
      <c r="AJ39" s="846"/>
      <c r="AK39" s="17"/>
      <c r="AL39" s="17"/>
    </row>
    <row r="40">
      <c r="A40" s="673" t="str">
        <f>'Halo Reach Stats'!A40</f>
        <v/>
      </c>
      <c r="B40" s="674" t="str">
        <f>IFERROR(VLOOKUP(A40,'PG Stats'!A:R,10,0),)</f>
        <v/>
      </c>
      <c r="C40" s="674" t="str">
        <f>IFERROR(VLOOKUP(A40,'PG Stats'!A:R,11,0),)</f>
        <v/>
      </c>
      <c r="D40" s="675" t="str">
        <f>IFERROR(VLOOKUP(A40,'PG Stats'!A:R,12,0),)</f>
        <v/>
      </c>
      <c r="E40" s="675" t="str">
        <f>IFERROR(VLOOKUP(A40,'PG Stats'!A:R,13,0),)</f>
        <v/>
      </c>
      <c r="F40" s="675" t="str">
        <f>IFERROR(VLOOKUP(A40,'PG Stats'!A:R,14,0),)</f>
        <v/>
      </c>
      <c r="G40" s="676" t="str">
        <f>IFERROR(VLOOKUP(A40,'PG Stats'!A:R,15,0),)</f>
        <v/>
      </c>
      <c r="H40" s="676" t="str">
        <f>IFERROR(VLOOKUP(A40,'PG Stats'!A:R,16,0),)</f>
        <v/>
      </c>
      <c r="I40" s="676" t="str">
        <f>IFERROR(VLOOKUP(A40,'PG Stats'!A:R,17,0),)</f>
        <v/>
      </c>
      <c r="J40" s="677" t="str">
        <f>IFERROR(VLOOKUP(A40,'PG Stats'!A:R,18,0),)</f>
        <v/>
      </c>
      <c r="K40" s="677" t="str">
        <f>IFERROR(VLOOKUP(A40,'PG Stats'!A:S,19,0),)</f>
        <v/>
      </c>
      <c r="L40" s="17"/>
      <c r="M40" s="673" t="str">
        <f>'Halo Reach Stats'!A40</f>
        <v/>
      </c>
      <c r="N40" s="779"/>
      <c r="O40" s="779"/>
      <c r="P40" s="779"/>
      <c r="Q40" s="779"/>
      <c r="R40" s="779"/>
      <c r="S40" s="779"/>
      <c r="T40" s="779"/>
      <c r="U40" s="779"/>
      <c r="V40" s="779"/>
      <c r="W40" s="779"/>
      <c r="X40" s="785"/>
      <c r="Y40" s="366"/>
      <c r="Z40" s="17"/>
      <c r="AA40" s="17"/>
      <c r="AB40" s="105"/>
      <c r="AC40" s="837"/>
      <c r="AD40" s="651" t="s">
        <v>465</v>
      </c>
      <c r="AE40" s="1" t="s">
        <v>500</v>
      </c>
      <c r="AJ40" s="846"/>
      <c r="AK40" s="17"/>
      <c r="AL40" s="17"/>
    </row>
    <row r="41">
      <c r="A41" s="673" t="str">
        <f>'Halo Reach Stats'!A41</f>
        <v/>
      </c>
      <c r="B41" s="674" t="str">
        <f>IFERROR(VLOOKUP(A41,'PG Stats'!A:R,10,0),)</f>
        <v/>
      </c>
      <c r="C41" s="674" t="str">
        <f>IFERROR(VLOOKUP(A41,'PG Stats'!A:R,11,0),)</f>
        <v/>
      </c>
      <c r="D41" s="675" t="str">
        <f>IFERROR(VLOOKUP(A41,'PG Stats'!A:R,12,0),)</f>
        <v/>
      </c>
      <c r="E41" s="675" t="str">
        <f>IFERROR(VLOOKUP(A41,'PG Stats'!A:R,13,0),)</f>
        <v/>
      </c>
      <c r="F41" s="675" t="str">
        <f>IFERROR(VLOOKUP(A41,'PG Stats'!A:R,14,0),)</f>
        <v/>
      </c>
      <c r="G41" s="676" t="str">
        <f>IFERROR(VLOOKUP(A41,'PG Stats'!A:R,15,0),)</f>
        <v/>
      </c>
      <c r="H41" s="676" t="str">
        <f>IFERROR(VLOOKUP(A41,'PG Stats'!A:R,16,0),)</f>
        <v/>
      </c>
      <c r="I41" s="676" t="str">
        <f>IFERROR(VLOOKUP(A41,'PG Stats'!A:R,17,0),)</f>
        <v/>
      </c>
      <c r="J41" s="677" t="str">
        <f>IFERROR(VLOOKUP(A41,'PG Stats'!A:R,18,0),)</f>
        <v/>
      </c>
      <c r="K41" s="677" t="str">
        <f>IFERROR(VLOOKUP(A41,'PG Stats'!A:S,19,0),)</f>
        <v/>
      </c>
      <c r="L41" s="17"/>
      <c r="M41" s="673" t="str">
        <f>'Halo Reach Stats'!A41</f>
        <v/>
      </c>
      <c r="N41" s="779"/>
      <c r="O41" s="779"/>
      <c r="P41" s="779"/>
      <c r="Q41" s="779"/>
      <c r="R41" s="779"/>
      <c r="S41" s="779"/>
      <c r="T41" s="779"/>
      <c r="U41" s="779"/>
      <c r="V41" s="779"/>
      <c r="W41" s="779"/>
      <c r="X41" s="785"/>
      <c r="Y41" s="366"/>
      <c r="Z41" s="17"/>
      <c r="AA41" s="17"/>
      <c r="AB41" s="105"/>
      <c r="AC41" s="837"/>
      <c r="AD41" s="651" t="s">
        <v>429</v>
      </c>
      <c r="AE41" s="1" t="s">
        <v>502</v>
      </c>
      <c r="AJ41" s="846"/>
      <c r="AK41" s="17"/>
      <c r="AL41" s="17"/>
    </row>
    <row r="42">
      <c r="A42" s="673" t="str">
        <f>'Halo Reach Stats'!A42</f>
        <v/>
      </c>
      <c r="B42" s="674" t="str">
        <f>IFERROR(VLOOKUP(A42,'PG Stats'!A:R,10,0),)</f>
        <v/>
      </c>
      <c r="C42" s="674" t="str">
        <f>IFERROR(VLOOKUP(A42,'PG Stats'!A:R,11,0),)</f>
        <v/>
      </c>
      <c r="D42" s="675" t="str">
        <f>IFERROR(VLOOKUP(A42,'PG Stats'!A:R,12,0),)</f>
        <v/>
      </c>
      <c r="E42" s="675" t="str">
        <f>IFERROR(VLOOKUP(A42,'PG Stats'!A:R,13,0),)</f>
        <v/>
      </c>
      <c r="F42" s="675" t="str">
        <f>IFERROR(VLOOKUP(A42,'PG Stats'!A:R,14,0),)</f>
        <v/>
      </c>
      <c r="G42" s="676" t="str">
        <f>IFERROR(VLOOKUP(A42,'PG Stats'!A:R,15,0),)</f>
        <v/>
      </c>
      <c r="H42" s="676" t="str">
        <f>IFERROR(VLOOKUP(A42,'PG Stats'!A:R,16,0),)</f>
        <v/>
      </c>
      <c r="I42" s="676" t="str">
        <f>IFERROR(VLOOKUP(A42,'PG Stats'!A:R,17,0),)</f>
        <v/>
      </c>
      <c r="J42" s="677" t="str">
        <f>IFERROR(VLOOKUP(A42,'PG Stats'!A:R,18,0),)</f>
        <v/>
      </c>
      <c r="K42" s="677" t="str">
        <f>IFERROR(VLOOKUP(A42,'PG Stats'!A:S,19,0),)</f>
        <v/>
      </c>
      <c r="L42" s="17"/>
      <c r="M42" s="673" t="str">
        <f>'Halo Reach Stats'!A42</f>
        <v/>
      </c>
      <c r="N42" s="779"/>
      <c r="O42" s="779"/>
      <c r="P42" s="779"/>
      <c r="Q42" s="779"/>
      <c r="R42" s="779"/>
      <c r="S42" s="779"/>
      <c r="T42" s="779"/>
      <c r="U42" s="779"/>
      <c r="V42" s="779"/>
      <c r="W42" s="779"/>
      <c r="X42" s="785"/>
      <c r="Y42" s="366"/>
      <c r="Z42" s="17"/>
      <c r="AA42" s="17"/>
      <c r="AB42" s="105"/>
      <c r="AC42" s="837"/>
      <c r="AD42" s="651" t="s">
        <v>430</v>
      </c>
      <c r="AE42" s="1" t="s">
        <v>503</v>
      </c>
      <c r="AJ42" s="846"/>
      <c r="AK42" s="17"/>
      <c r="AL42" s="17"/>
    </row>
    <row r="43" hidden="1">
      <c r="A43" s="673" t="str">
        <f>'Halo Reach Stats'!A43</f>
        <v/>
      </c>
      <c r="B43" s="674" t="str">
        <f>IFERROR(VLOOKUP(A43,'PG Stats'!A:R,10,0),)</f>
        <v/>
      </c>
      <c r="C43" s="674" t="str">
        <f>IFERROR(VLOOKUP(A43,'PG Stats'!A:R,11,0),)</f>
        <v/>
      </c>
      <c r="D43" s="675" t="str">
        <f>IFERROR(VLOOKUP(A43,'PG Stats'!A:R,12,0),)</f>
        <v/>
      </c>
      <c r="E43" s="675" t="str">
        <f>IFERROR(VLOOKUP(A43,'PG Stats'!A:R,13,0),)</f>
        <v/>
      </c>
      <c r="F43" s="675" t="str">
        <f>IFERROR(VLOOKUP(A43,'PG Stats'!A:R,14,0),)</f>
        <v/>
      </c>
      <c r="G43" s="676" t="str">
        <f>IFERROR(VLOOKUP(A43,'PG Stats'!A:R,15,0),)</f>
        <v/>
      </c>
      <c r="H43" s="676" t="str">
        <f>IFERROR(VLOOKUP(A43,'PG Stats'!A:R,16,0),)</f>
        <v/>
      </c>
      <c r="I43" s="676" t="str">
        <f>IFERROR(VLOOKUP(A43,'PG Stats'!A:R,17,0),)</f>
        <v/>
      </c>
      <c r="J43" s="677" t="str">
        <f>IFERROR(VLOOKUP(A43,'PG Stats'!A:R,18,0),)</f>
        <v/>
      </c>
      <c r="K43" s="677" t="str">
        <f>IFERROR(VLOOKUP(A43,'PG Stats'!A:S,19,0),)</f>
        <v/>
      </c>
      <c r="L43" s="17"/>
      <c r="M43" s="673" t="str">
        <f>'Halo Reach Stats'!A43</f>
        <v/>
      </c>
      <c r="N43" s="779"/>
      <c r="O43" s="779"/>
      <c r="P43" s="779"/>
      <c r="Q43" s="779"/>
      <c r="R43" s="779"/>
      <c r="S43" s="779"/>
      <c r="T43" s="779"/>
      <c r="U43" s="779"/>
      <c r="V43" s="779"/>
      <c r="W43" s="779"/>
      <c r="X43" s="785"/>
      <c r="Y43" s="366"/>
      <c r="Z43" s="17"/>
      <c r="AA43" s="17"/>
      <c r="AB43" s="105"/>
      <c r="AC43" s="837"/>
      <c r="AD43" s="655"/>
      <c r="AE43" s="657"/>
      <c r="AF43" s="850"/>
      <c r="AG43" s="850"/>
      <c r="AH43" s="850"/>
      <c r="AI43" s="850"/>
      <c r="AJ43" s="851"/>
      <c r="AK43" s="17"/>
      <c r="AL43" s="17"/>
    </row>
    <row r="44" hidden="1">
      <c r="A44" s="673" t="str">
        <f>'Halo Reach Stats'!A44</f>
        <v/>
      </c>
      <c r="B44" s="674" t="str">
        <f>IFERROR(VLOOKUP(A44,'PG Stats'!A:R,10,0),)</f>
        <v/>
      </c>
      <c r="C44" s="674" t="str">
        <f>IFERROR(VLOOKUP(A44,'PG Stats'!A:R,11,0),)</f>
        <v/>
      </c>
      <c r="D44" s="675" t="str">
        <f>IFERROR(VLOOKUP(A44,'PG Stats'!A:R,12,0),)</f>
        <v/>
      </c>
      <c r="E44" s="675" t="str">
        <f>IFERROR(VLOOKUP(A44,'PG Stats'!A:R,13,0),)</f>
        <v/>
      </c>
      <c r="F44" s="675" t="str">
        <f>IFERROR(VLOOKUP(A44,'PG Stats'!A:R,14,0),)</f>
        <v/>
      </c>
      <c r="G44" s="676" t="str">
        <f>IFERROR(VLOOKUP(A44,'PG Stats'!A:R,15,0),)</f>
        <v/>
      </c>
      <c r="H44" s="676" t="str">
        <f>IFERROR(VLOOKUP(A44,'PG Stats'!A:R,16,0),)</f>
        <v/>
      </c>
      <c r="I44" s="676" t="str">
        <f>IFERROR(VLOOKUP(A44,'PG Stats'!A:R,17,0),)</f>
        <v/>
      </c>
      <c r="J44" s="677" t="str">
        <f>IFERROR(VLOOKUP(A44,'PG Stats'!A:R,18,0),)</f>
        <v/>
      </c>
      <c r="K44" s="677" t="str">
        <f>IFERROR(VLOOKUP(A44,'PG Stats'!A:S,19,0),)</f>
        <v/>
      </c>
      <c r="L44" s="17"/>
      <c r="M44" s="673" t="str">
        <f>'Halo Reach Stats'!A44</f>
        <v/>
      </c>
      <c r="N44" s="779"/>
      <c r="O44" s="779"/>
      <c r="P44" s="779"/>
      <c r="Q44" s="779"/>
      <c r="R44" s="779"/>
      <c r="S44" s="779"/>
      <c r="T44" s="779"/>
      <c r="U44" s="779"/>
      <c r="V44" s="779"/>
      <c r="W44" s="779"/>
      <c r="X44" s="785"/>
      <c r="Y44" s="366"/>
      <c r="Z44" s="17"/>
      <c r="AA44" s="17"/>
      <c r="AB44" s="105"/>
      <c r="AC44" s="837"/>
      <c r="AD44" s="17"/>
      <c r="AE44" s="17"/>
      <c r="AF44" s="17"/>
      <c r="AG44" s="17"/>
      <c r="AH44" s="17"/>
      <c r="AI44" s="17"/>
      <c r="AJ44" s="17"/>
      <c r="AK44" s="17"/>
      <c r="AL44" s="17"/>
    </row>
    <row r="45" hidden="1">
      <c r="A45" s="673" t="str">
        <f>'Halo Reach Stats'!A45</f>
        <v/>
      </c>
      <c r="B45" s="674" t="str">
        <f>IFERROR(VLOOKUP(A45,'PG Stats'!A:R,10,0),)</f>
        <v/>
      </c>
      <c r="C45" s="674" t="str">
        <f>IFERROR(VLOOKUP(A45,'PG Stats'!A:R,11,0),)</f>
        <v/>
      </c>
      <c r="D45" s="675" t="str">
        <f>IFERROR(VLOOKUP(A45,'PG Stats'!A:R,12,0),)</f>
        <v/>
      </c>
      <c r="E45" s="675" t="str">
        <f>IFERROR(VLOOKUP(A45,'PG Stats'!A:R,13,0),)</f>
        <v/>
      </c>
      <c r="F45" s="675" t="str">
        <f>IFERROR(VLOOKUP(A45,'PG Stats'!A:R,14,0),)</f>
        <v/>
      </c>
      <c r="G45" s="676" t="str">
        <f>IFERROR(VLOOKUP(A45,'PG Stats'!A:R,15,0),)</f>
        <v/>
      </c>
      <c r="H45" s="676" t="str">
        <f>IFERROR(VLOOKUP(A45,'PG Stats'!A:R,16,0),)</f>
        <v/>
      </c>
      <c r="I45" s="676" t="str">
        <f>IFERROR(VLOOKUP(A45,'PG Stats'!A:R,17,0),)</f>
        <v/>
      </c>
      <c r="J45" s="677" t="str">
        <f>IFERROR(VLOOKUP(A45,'PG Stats'!A:R,18,0),)</f>
        <v/>
      </c>
      <c r="K45" s="677" t="str">
        <f>IFERROR(VLOOKUP(A45,'PG Stats'!A:S,19,0),)</f>
        <v/>
      </c>
      <c r="L45" s="17"/>
      <c r="M45" s="673" t="str">
        <f>'Halo Reach Stats'!A45</f>
        <v/>
      </c>
      <c r="N45" s="779"/>
      <c r="O45" s="779"/>
      <c r="P45" s="779"/>
      <c r="Q45" s="779"/>
      <c r="R45" s="779"/>
      <c r="S45" s="779"/>
      <c r="T45" s="779"/>
      <c r="U45" s="779"/>
      <c r="V45" s="779"/>
      <c r="W45" s="779"/>
      <c r="X45" s="785"/>
      <c r="Y45" s="366"/>
      <c r="Z45" s="17"/>
      <c r="AA45" s="17"/>
      <c r="AB45" s="105"/>
      <c r="AC45" s="837"/>
      <c r="AD45" s="17"/>
      <c r="AE45" s="17"/>
      <c r="AF45" s="17"/>
      <c r="AG45" s="17"/>
      <c r="AH45" s="17"/>
      <c r="AI45" s="17"/>
      <c r="AJ45" s="17"/>
      <c r="AK45" s="17"/>
      <c r="AL45" s="17"/>
    </row>
    <row r="46" hidden="1">
      <c r="A46" s="673" t="str">
        <f>'Halo Reach Stats'!A46</f>
        <v/>
      </c>
      <c r="B46" s="674" t="str">
        <f>IFERROR(VLOOKUP(A46,'PG Stats'!A:R,10,0),)</f>
        <v/>
      </c>
      <c r="C46" s="674" t="str">
        <f>IFERROR(VLOOKUP(A46,'PG Stats'!A:R,11,0),)</f>
        <v/>
      </c>
      <c r="D46" s="675" t="str">
        <f>IFERROR(VLOOKUP(A46,'PG Stats'!A:R,12,0),)</f>
        <v/>
      </c>
      <c r="E46" s="675" t="str">
        <f>IFERROR(VLOOKUP(A46,'PG Stats'!A:R,13,0),)</f>
        <v/>
      </c>
      <c r="F46" s="675" t="str">
        <f>IFERROR(VLOOKUP(A46,'PG Stats'!A:R,14,0),)</f>
        <v/>
      </c>
      <c r="G46" s="676" t="str">
        <f>IFERROR(VLOOKUP(A46,'PG Stats'!A:R,15,0),)</f>
        <v/>
      </c>
      <c r="H46" s="676" t="str">
        <f>IFERROR(VLOOKUP(A46,'PG Stats'!A:R,16,0),)</f>
        <v/>
      </c>
      <c r="I46" s="676" t="str">
        <f>IFERROR(VLOOKUP(A46,'PG Stats'!A:R,17,0),)</f>
        <v/>
      </c>
      <c r="J46" s="677" t="str">
        <f>IFERROR(VLOOKUP(A46,'PG Stats'!A:R,18,0),)</f>
        <v/>
      </c>
      <c r="K46" s="677" t="str">
        <f>IFERROR(VLOOKUP(A46,'PG Stats'!A:S,19,0),)</f>
        <v/>
      </c>
      <c r="L46" s="17"/>
      <c r="M46" s="673" t="str">
        <f>'Halo Reach Stats'!A46</f>
        <v/>
      </c>
      <c r="N46" s="779"/>
      <c r="O46" s="779"/>
      <c r="P46" s="779"/>
      <c r="Q46" s="779"/>
      <c r="R46" s="779"/>
      <c r="S46" s="779"/>
      <c r="T46" s="779"/>
      <c r="U46" s="779"/>
      <c r="V46" s="779"/>
      <c r="W46" s="779"/>
      <c r="X46" s="785"/>
      <c r="Y46" s="366"/>
      <c r="Z46" s="17"/>
      <c r="AA46" s="17"/>
      <c r="AB46" s="105"/>
      <c r="AC46" s="837"/>
      <c r="AD46" s="17"/>
      <c r="AE46" s="17"/>
      <c r="AF46" s="17"/>
      <c r="AG46" s="17"/>
      <c r="AH46" s="17"/>
      <c r="AI46" s="17"/>
      <c r="AJ46" s="17"/>
      <c r="AK46" s="17"/>
      <c r="AL46" s="17"/>
    </row>
    <row r="47" hidden="1">
      <c r="A47" s="673" t="str">
        <f>'Halo Reach Stats'!A47</f>
        <v/>
      </c>
      <c r="B47" s="674" t="str">
        <f>IFERROR(VLOOKUP(A47,'PG Stats'!A:R,10,0),)</f>
        <v/>
      </c>
      <c r="C47" s="674" t="str">
        <f>IFERROR(VLOOKUP(A47,'PG Stats'!A:R,11,0),)</f>
        <v/>
      </c>
      <c r="D47" s="675" t="str">
        <f>IFERROR(VLOOKUP(A47,'PG Stats'!A:R,12,0),)</f>
        <v/>
      </c>
      <c r="E47" s="675" t="str">
        <f>IFERROR(VLOOKUP(A47,'PG Stats'!A:R,13,0),)</f>
        <v/>
      </c>
      <c r="F47" s="675" t="str">
        <f>IFERROR(VLOOKUP(A47,'PG Stats'!A:R,14,0),)</f>
        <v/>
      </c>
      <c r="G47" s="676" t="str">
        <f>IFERROR(VLOOKUP(A47,'PG Stats'!A:R,15,0),)</f>
        <v/>
      </c>
      <c r="H47" s="676" t="str">
        <f>IFERROR(VLOOKUP(A47,'PG Stats'!A:R,16,0),)</f>
        <v/>
      </c>
      <c r="I47" s="676" t="str">
        <f>IFERROR(VLOOKUP(A47,'PG Stats'!A:R,17,0),)</f>
        <v/>
      </c>
      <c r="J47" s="677" t="str">
        <f>IFERROR(VLOOKUP(A47,'PG Stats'!A:R,18,0),)</f>
        <v/>
      </c>
      <c r="K47" s="677" t="str">
        <f>IFERROR(VLOOKUP(A47,'PG Stats'!A:S,19,0),)</f>
        <v/>
      </c>
      <c r="L47" s="17"/>
      <c r="M47" s="673"/>
      <c r="N47" s="779"/>
      <c r="O47" s="779"/>
      <c r="P47" s="779"/>
      <c r="Q47" s="779"/>
      <c r="R47" s="779"/>
      <c r="S47" s="779"/>
      <c r="T47" s="779"/>
      <c r="U47" s="779"/>
      <c r="V47" s="779"/>
      <c r="W47" s="779"/>
      <c r="X47" s="854"/>
      <c r="Y47" s="366"/>
      <c r="Z47" s="17"/>
      <c r="AA47" s="17"/>
      <c r="AB47" s="105"/>
      <c r="AC47" s="837"/>
      <c r="AD47" s="17"/>
      <c r="AE47" s="17"/>
      <c r="AF47" s="17"/>
      <c r="AG47" s="17"/>
      <c r="AH47" s="17"/>
      <c r="AI47" s="17"/>
      <c r="AJ47" s="17"/>
      <c r="AK47" s="17"/>
      <c r="AL47" s="17"/>
    </row>
    <row r="48" hidden="1">
      <c r="A48" s="673" t="str">
        <f>'Halo Reach Stats'!A48</f>
        <v/>
      </c>
      <c r="B48" s="674" t="str">
        <f>IFERROR(VLOOKUP(A48,'PG Stats'!A:Q,11,0),)</f>
        <v/>
      </c>
      <c r="C48" s="674" t="str">
        <f>IFERROR(VLOOKUP(A48,'PG Stats'!A:Q,12,0),)</f>
        <v/>
      </c>
      <c r="D48" s="675" t="str">
        <f>IFERROR(VLOOKUP(A48,'PG Stats'!A:Q,13,0),)</f>
        <v/>
      </c>
      <c r="E48" s="675" t="str">
        <f>IFERROR(VLOOKUP(A48,'PG Stats'!A:Q,14,0),)</f>
        <v/>
      </c>
      <c r="F48" s="675" t="str">
        <f>IFERROR(VLOOKUP(A48,'PG Stats'!A:Q,15,0),)</f>
        <v/>
      </c>
      <c r="G48" s="676" t="str">
        <f>IFERROR(VLOOKUP(A48,'PG Stats'!A:Q,16,0),)</f>
        <v/>
      </c>
      <c r="H48" s="676" t="str">
        <f>IFERROR(VLOOKUP(A48,'PG Stats'!A:Q,17,0),)</f>
        <v/>
      </c>
      <c r="I48" s="676"/>
      <c r="J48" s="676"/>
      <c r="K48" s="676"/>
      <c r="L48" s="17"/>
      <c r="M48" s="673"/>
      <c r="N48" s="779"/>
      <c r="O48" s="779"/>
      <c r="P48" s="779"/>
      <c r="Q48" s="779"/>
      <c r="R48" s="779"/>
      <c r="S48" s="779"/>
      <c r="T48" s="779"/>
      <c r="U48" s="779"/>
      <c r="V48" s="779"/>
      <c r="W48" s="779"/>
      <c r="X48" s="854"/>
      <c r="Y48" s="366"/>
      <c r="Z48" s="17"/>
      <c r="AA48" s="17"/>
      <c r="AB48" s="105"/>
      <c r="AC48" s="837"/>
      <c r="AD48" s="17"/>
      <c r="AE48" s="17"/>
      <c r="AF48" s="17"/>
      <c r="AG48" s="17"/>
      <c r="AH48" s="17"/>
      <c r="AI48" s="17"/>
      <c r="AJ48" s="17"/>
      <c r="AK48" s="17"/>
      <c r="AL48" s="17"/>
    </row>
    <row r="49" hidden="1">
      <c r="A49" s="673" t="str">
        <f>'Halo Reach Stats'!A49</f>
        <v/>
      </c>
      <c r="B49" s="674" t="str">
        <f>IFERROR(VLOOKUP(A49,'PG Stats'!A:Q,11,0),)</f>
        <v/>
      </c>
      <c r="C49" s="674" t="str">
        <f>IFERROR(VLOOKUP(A49,'PG Stats'!A:Q,12,0),)</f>
        <v/>
      </c>
      <c r="D49" s="675" t="str">
        <f>IFERROR(VLOOKUP(A49,'PG Stats'!A:Q,13,0),)</f>
        <v/>
      </c>
      <c r="E49" s="675" t="str">
        <f>IFERROR(VLOOKUP(A49,'PG Stats'!A:Q,14,0),)</f>
        <v/>
      </c>
      <c r="F49" s="675" t="str">
        <f>IFERROR(VLOOKUP(A49,'PG Stats'!A:Q,15,0),)</f>
        <v/>
      </c>
      <c r="G49" s="676" t="str">
        <f>IFERROR(VLOOKUP(A49,'PG Stats'!A:Q,16,0),)</f>
        <v/>
      </c>
      <c r="H49" s="676" t="str">
        <f>IFERROR(VLOOKUP(A49,'PG Stats'!A:Q,17,0),)</f>
        <v/>
      </c>
      <c r="I49" s="676"/>
      <c r="J49" s="676"/>
      <c r="K49" s="676"/>
      <c r="L49" s="17"/>
      <c r="M49" s="673"/>
      <c r="N49" s="779"/>
      <c r="O49" s="779"/>
      <c r="P49" s="779"/>
      <c r="Q49" s="779"/>
      <c r="R49" s="779"/>
      <c r="S49" s="779"/>
      <c r="T49" s="779"/>
      <c r="U49" s="779"/>
      <c r="V49" s="779"/>
      <c r="W49" s="779"/>
      <c r="X49" s="854"/>
      <c r="Y49" s="366"/>
      <c r="Z49" s="17"/>
      <c r="AA49" s="17"/>
      <c r="AB49" s="105"/>
      <c r="AC49" s="837"/>
      <c r="AD49" s="17"/>
      <c r="AE49" s="17"/>
      <c r="AF49" s="17"/>
      <c r="AG49" s="17"/>
      <c r="AH49" s="17"/>
      <c r="AI49" s="17"/>
      <c r="AJ49" s="17"/>
      <c r="AK49" s="17"/>
      <c r="AL49" s="17"/>
    </row>
    <row r="50" hidden="1">
      <c r="A50" s="673" t="str">
        <f>'Halo Reach Stats'!A50</f>
        <v/>
      </c>
      <c r="B50" s="674" t="str">
        <f>IFERROR(VLOOKUP(A50,'PG Stats'!A:Q,11,0),)</f>
        <v/>
      </c>
      <c r="C50" s="674" t="str">
        <f>IFERROR(VLOOKUP(A50,'PG Stats'!A:Q,12,0),)</f>
        <v/>
      </c>
      <c r="D50" s="675" t="str">
        <f>IFERROR(VLOOKUP(A50,'PG Stats'!A:Q,13,0),)</f>
        <v/>
      </c>
      <c r="E50" s="675" t="str">
        <f>IFERROR(VLOOKUP(A50,'PG Stats'!A:Q,14,0),)</f>
        <v/>
      </c>
      <c r="F50" s="675" t="str">
        <f>IFERROR(VLOOKUP(A50,'PG Stats'!A:Q,15,0),)</f>
        <v/>
      </c>
      <c r="G50" s="676" t="str">
        <f>IFERROR(VLOOKUP(A50,'PG Stats'!A:Q,16,0),)</f>
        <v/>
      </c>
      <c r="H50" s="676" t="str">
        <f>IFERROR(VLOOKUP(A50,'PG Stats'!A:Q,17,0),)</f>
        <v/>
      </c>
      <c r="I50" s="676"/>
      <c r="J50" s="676"/>
      <c r="K50" s="676"/>
      <c r="L50" s="17"/>
      <c r="M50" s="673"/>
      <c r="N50" s="779"/>
      <c r="O50" s="779"/>
      <c r="P50" s="779"/>
      <c r="Q50" s="779"/>
      <c r="R50" s="779"/>
      <c r="S50" s="779"/>
      <c r="T50" s="779"/>
      <c r="U50" s="779"/>
      <c r="V50" s="779"/>
      <c r="W50" s="779"/>
      <c r="X50" s="854"/>
      <c r="Y50" s="366"/>
      <c r="Z50" s="17"/>
      <c r="AA50" s="17"/>
      <c r="AB50" s="105"/>
      <c r="AC50" s="837"/>
      <c r="AD50" s="17"/>
      <c r="AE50" s="17"/>
      <c r="AF50" s="17"/>
      <c r="AG50" s="17"/>
      <c r="AH50" s="17"/>
      <c r="AI50" s="17"/>
      <c r="AJ50" s="17"/>
      <c r="AK50" s="17"/>
      <c r="AL50" s="17"/>
    </row>
    <row r="51" hidden="1">
      <c r="A51" s="673" t="str">
        <f>'Halo Reach Stats'!A51</f>
        <v/>
      </c>
      <c r="B51" s="674" t="str">
        <f>IFERROR(VLOOKUP(A51,'PG Stats'!A:Q,11,0),)</f>
        <v/>
      </c>
      <c r="C51" s="674" t="str">
        <f>IFERROR(VLOOKUP(A51,'PG Stats'!A:Q,12,0),)</f>
        <v/>
      </c>
      <c r="D51" s="675" t="str">
        <f>IFERROR(VLOOKUP(A51,'PG Stats'!A:Q,13,0),)</f>
        <v/>
      </c>
      <c r="E51" s="675" t="str">
        <f>IFERROR(VLOOKUP(A51,'PG Stats'!A:Q,14,0),)</f>
        <v/>
      </c>
      <c r="F51" s="675" t="str">
        <f>IFERROR(VLOOKUP(A51,'PG Stats'!A:Q,15,0),)</f>
        <v/>
      </c>
      <c r="G51" s="676" t="str">
        <f>IFERROR(VLOOKUP(A51,'PG Stats'!A:Q,16,0),)</f>
        <v/>
      </c>
      <c r="H51" s="676" t="str">
        <f>IFERROR(VLOOKUP(A51,'PG Stats'!A:Q,17,0),)</f>
        <v/>
      </c>
      <c r="I51" s="676"/>
      <c r="J51" s="676"/>
      <c r="K51" s="676"/>
      <c r="L51" s="17"/>
      <c r="M51" s="673"/>
      <c r="N51" s="779"/>
      <c r="O51" s="779"/>
      <c r="P51" s="779"/>
      <c r="Q51" s="779"/>
      <c r="R51" s="779"/>
      <c r="S51" s="779"/>
      <c r="T51" s="779"/>
      <c r="U51" s="779"/>
      <c r="V51" s="779"/>
      <c r="W51" s="779"/>
      <c r="X51" s="854"/>
      <c r="Y51" s="366"/>
      <c r="Z51" s="17"/>
      <c r="AA51" s="17"/>
      <c r="AB51" s="105"/>
      <c r="AC51" s="837"/>
      <c r="AD51" s="17"/>
      <c r="AE51" s="17"/>
      <c r="AF51" s="17"/>
      <c r="AG51" s="17"/>
      <c r="AH51" s="17"/>
      <c r="AI51" s="17"/>
      <c r="AJ51" s="17"/>
      <c r="AK51" s="17"/>
      <c r="AL51" s="17"/>
    </row>
    <row r="52" hidden="1">
      <c r="A52" s="673" t="str">
        <f>'Halo Reach Stats'!A52</f>
        <v/>
      </c>
      <c r="B52" s="674" t="str">
        <f>IFERROR(VLOOKUP(A52,'PG Stats'!A:Q,11,0),)</f>
        <v/>
      </c>
      <c r="C52" s="674" t="str">
        <f>IFERROR(VLOOKUP(A52,'PG Stats'!A:Q,12,0),)</f>
        <v/>
      </c>
      <c r="D52" s="675" t="str">
        <f>IFERROR(VLOOKUP(A52,'PG Stats'!A:Q,13,0),)</f>
        <v/>
      </c>
      <c r="E52" s="675" t="str">
        <f>IFERROR(VLOOKUP(A52,'PG Stats'!A:Q,14,0),)</f>
        <v/>
      </c>
      <c r="F52" s="675" t="str">
        <f>IFERROR(VLOOKUP(A52,'PG Stats'!A:Q,15,0),)</f>
        <v/>
      </c>
      <c r="G52" s="676" t="str">
        <f>IFERROR(VLOOKUP(A52,'PG Stats'!A:Q,16,0),)</f>
        <v/>
      </c>
      <c r="H52" s="676" t="str">
        <f>IFERROR(VLOOKUP(A52,'PG Stats'!A:Q,17,0),)</f>
        <v/>
      </c>
      <c r="I52" s="676"/>
      <c r="J52" s="676"/>
      <c r="K52" s="676"/>
      <c r="L52" s="17"/>
      <c r="M52" s="673"/>
      <c r="N52" s="779"/>
      <c r="O52" s="779"/>
      <c r="P52" s="779"/>
      <c r="Q52" s="779"/>
      <c r="R52" s="779"/>
      <c r="S52" s="779"/>
      <c r="T52" s="779"/>
      <c r="U52" s="779"/>
      <c r="V52" s="779"/>
      <c r="W52" s="779"/>
      <c r="X52" s="854"/>
      <c r="Y52" s="366"/>
      <c r="Z52" s="17"/>
      <c r="AA52" s="17"/>
      <c r="AB52" s="105"/>
      <c r="AC52" s="837"/>
      <c r="AD52" s="17"/>
      <c r="AE52" s="17"/>
      <c r="AF52" s="17"/>
      <c r="AG52" s="17"/>
      <c r="AH52" s="17"/>
      <c r="AI52" s="17"/>
      <c r="AJ52" s="17"/>
      <c r="AK52" s="17"/>
      <c r="AL52" s="17"/>
    </row>
    <row r="53" hidden="1">
      <c r="A53" s="673" t="str">
        <f>'Halo Reach Stats'!A53</f>
        <v/>
      </c>
      <c r="B53" s="674" t="str">
        <f>IFERROR(VLOOKUP(A53,'PG Stats'!A:Q,11,0),)</f>
        <v/>
      </c>
      <c r="C53" s="674" t="str">
        <f>IFERROR(VLOOKUP(A53,'PG Stats'!A:Q,12,0),)</f>
        <v/>
      </c>
      <c r="D53" s="675" t="str">
        <f>IFERROR(VLOOKUP(A53,'PG Stats'!A:Q,13,0),)</f>
        <v/>
      </c>
      <c r="E53" s="675" t="str">
        <f>IFERROR(VLOOKUP(A53,'PG Stats'!A:Q,14,0),)</f>
        <v/>
      </c>
      <c r="F53" s="675" t="str">
        <f>IFERROR(VLOOKUP(A53,'PG Stats'!A:Q,15,0),)</f>
        <v/>
      </c>
      <c r="G53" s="676" t="str">
        <f>IFERROR(VLOOKUP(A53,'PG Stats'!A:Q,16,0),)</f>
        <v/>
      </c>
      <c r="H53" s="676" t="str">
        <f>IFERROR(VLOOKUP(A53,'PG Stats'!A:Q,17,0),)</f>
        <v/>
      </c>
      <c r="I53" s="676"/>
      <c r="J53" s="676"/>
      <c r="K53" s="676"/>
      <c r="L53" s="17"/>
      <c r="M53" s="673"/>
      <c r="N53" s="779"/>
      <c r="O53" s="779"/>
      <c r="P53" s="779"/>
      <c r="Q53" s="779"/>
      <c r="R53" s="779"/>
      <c r="S53" s="779"/>
      <c r="T53" s="779"/>
      <c r="U53" s="779"/>
      <c r="V53" s="779"/>
      <c r="W53" s="779"/>
      <c r="X53" s="854"/>
      <c r="Y53" s="366"/>
      <c r="Z53" s="17"/>
      <c r="AA53" s="17"/>
      <c r="AB53" s="105"/>
      <c r="AC53" s="837"/>
      <c r="AD53" s="17"/>
      <c r="AE53" s="17"/>
      <c r="AF53" s="17"/>
      <c r="AG53" s="17"/>
      <c r="AH53" s="17"/>
      <c r="AI53" s="17"/>
      <c r="AJ53" s="17"/>
      <c r="AK53" s="17"/>
      <c r="AL53" s="17"/>
    </row>
    <row r="54" hidden="1">
      <c r="A54" s="673" t="str">
        <f>'Halo Reach Stats'!A54</f>
        <v/>
      </c>
      <c r="B54" s="674" t="str">
        <f>IFERROR(VLOOKUP(A54,'PG Stats'!A:Q,11,0),)</f>
        <v/>
      </c>
      <c r="C54" s="674" t="str">
        <f>IFERROR(VLOOKUP(A54,'PG Stats'!A:Q,12,0),)</f>
        <v/>
      </c>
      <c r="D54" s="675" t="str">
        <f>IFERROR(VLOOKUP(A54,'PG Stats'!A:Q,13,0),)</f>
        <v/>
      </c>
      <c r="E54" s="675" t="str">
        <f>IFERROR(VLOOKUP(A54,'PG Stats'!A:Q,14,0),)</f>
        <v/>
      </c>
      <c r="F54" s="675" t="str">
        <f>IFERROR(VLOOKUP(A54,'PG Stats'!A:Q,15,0),)</f>
        <v/>
      </c>
      <c r="G54" s="676" t="str">
        <f>IFERROR(VLOOKUP(A54,'PG Stats'!A:Q,16,0),)</f>
        <v/>
      </c>
      <c r="H54" s="676" t="str">
        <f>IFERROR(VLOOKUP(A54,'PG Stats'!A:Q,17,0),)</f>
        <v/>
      </c>
      <c r="I54" s="676"/>
      <c r="J54" s="676"/>
      <c r="K54" s="676"/>
      <c r="L54" s="17"/>
      <c r="M54" s="673"/>
      <c r="N54" s="779"/>
      <c r="O54" s="779"/>
      <c r="P54" s="779"/>
      <c r="Q54" s="779"/>
      <c r="R54" s="779"/>
      <c r="S54" s="779"/>
      <c r="T54" s="779"/>
      <c r="U54" s="779"/>
      <c r="V54" s="779"/>
      <c r="W54" s="779"/>
      <c r="X54" s="854"/>
      <c r="Y54" s="366"/>
      <c r="Z54" s="17"/>
      <c r="AA54" s="17"/>
      <c r="AB54" s="105"/>
      <c r="AC54" s="837"/>
      <c r="AD54" s="17"/>
      <c r="AE54" s="17"/>
      <c r="AF54" s="17"/>
      <c r="AG54" s="17"/>
      <c r="AH54" s="17"/>
      <c r="AI54" s="17"/>
      <c r="AJ54" s="17"/>
      <c r="AK54" s="17"/>
      <c r="AL54" s="17"/>
    </row>
    <row r="55" hidden="1">
      <c r="A55" s="673" t="str">
        <f>'Halo Reach Stats'!A55</f>
        <v/>
      </c>
      <c r="B55" s="674" t="str">
        <f>IFERROR(VLOOKUP(A55,'PG Stats'!A:Q,11,0),)</f>
        <v/>
      </c>
      <c r="C55" s="674" t="str">
        <f>IFERROR(VLOOKUP(A55,'PG Stats'!A:Q,12,0),)</f>
        <v/>
      </c>
      <c r="D55" s="675" t="str">
        <f>IFERROR(VLOOKUP(A55,'PG Stats'!A:Q,13,0),)</f>
        <v/>
      </c>
      <c r="E55" s="675" t="str">
        <f>IFERROR(VLOOKUP(A55,'PG Stats'!A:Q,14,0),)</f>
        <v/>
      </c>
      <c r="F55" s="675" t="str">
        <f>IFERROR(VLOOKUP(A55,'PG Stats'!A:Q,15,0),)</f>
        <v/>
      </c>
      <c r="G55" s="676" t="str">
        <f>IFERROR(VLOOKUP(A55,'PG Stats'!A:Q,16,0),)</f>
        <v/>
      </c>
      <c r="H55" s="676" t="str">
        <f>IFERROR(VLOOKUP(A55,'PG Stats'!A:Q,17,0),)</f>
        <v/>
      </c>
      <c r="I55" s="676"/>
      <c r="J55" s="676"/>
      <c r="K55" s="676"/>
      <c r="L55" s="17"/>
      <c r="M55" s="673"/>
      <c r="N55" s="779"/>
      <c r="O55" s="779"/>
      <c r="P55" s="779"/>
      <c r="Q55" s="779"/>
      <c r="R55" s="779"/>
      <c r="S55" s="779"/>
      <c r="T55" s="779"/>
      <c r="U55" s="779"/>
      <c r="V55" s="779"/>
      <c r="W55" s="779"/>
      <c r="X55" s="854"/>
      <c r="Y55" s="366"/>
      <c r="Z55" s="17"/>
      <c r="AA55" s="17"/>
      <c r="AB55" s="105"/>
      <c r="AC55" s="837"/>
      <c r="AD55" s="17"/>
      <c r="AE55" s="17"/>
      <c r="AF55" s="17"/>
      <c r="AG55" s="17"/>
      <c r="AH55" s="17"/>
      <c r="AI55" s="17"/>
      <c r="AJ55" s="17"/>
      <c r="AK55" s="17"/>
      <c r="AL55" s="17"/>
    </row>
    <row r="56" hidden="1">
      <c r="A56" s="673" t="str">
        <f>'Halo Reach Stats'!A56</f>
        <v/>
      </c>
      <c r="B56" s="674" t="str">
        <f>IFERROR(VLOOKUP(A56,'PG Stats'!A:Q,11,0),)</f>
        <v/>
      </c>
      <c r="C56" s="674" t="str">
        <f>IFERROR(VLOOKUP(A56,'PG Stats'!A:Q,12,0),)</f>
        <v/>
      </c>
      <c r="D56" s="675" t="str">
        <f>IFERROR(VLOOKUP(A56,'PG Stats'!A:Q,13,0),)</f>
        <v/>
      </c>
      <c r="E56" s="675" t="str">
        <f>IFERROR(VLOOKUP(A56,'PG Stats'!A:Q,14,0),)</f>
        <v/>
      </c>
      <c r="F56" s="675" t="str">
        <f>IFERROR(VLOOKUP(A56,'PG Stats'!A:Q,15,0),)</f>
        <v/>
      </c>
      <c r="G56" s="676" t="str">
        <f>IFERROR(VLOOKUP(A56,'PG Stats'!A:Q,16,0),)</f>
        <v/>
      </c>
      <c r="H56" s="676" t="str">
        <f>IFERROR(VLOOKUP(A56,'PG Stats'!A:Q,17,0),)</f>
        <v/>
      </c>
      <c r="I56" s="676"/>
      <c r="J56" s="676"/>
      <c r="K56" s="676"/>
      <c r="L56" s="17"/>
      <c r="M56" s="673"/>
      <c r="N56" s="779"/>
      <c r="O56" s="779"/>
      <c r="P56" s="779"/>
      <c r="Q56" s="779"/>
      <c r="R56" s="779"/>
      <c r="S56" s="779"/>
      <c r="T56" s="779"/>
      <c r="U56" s="779"/>
      <c r="V56" s="779"/>
      <c r="W56" s="779"/>
      <c r="X56" s="854"/>
      <c r="Y56" s="366"/>
      <c r="Z56" s="17"/>
      <c r="AA56" s="17"/>
      <c r="AB56" s="105"/>
      <c r="AC56" s="837"/>
      <c r="AD56" s="17"/>
      <c r="AE56" s="17"/>
      <c r="AF56" s="17"/>
      <c r="AG56" s="17"/>
      <c r="AH56" s="17"/>
      <c r="AI56" s="17"/>
      <c r="AJ56" s="17"/>
      <c r="AK56" s="17"/>
      <c r="AL56" s="17"/>
    </row>
    <row r="57" hidden="1">
      <c r="A57" s="673" t="str">
        <f>'Halo Reach Stats'!A57</f>
        <v/>
      </c>
      <c r="B57" s="674" t="str">
        <f>IFERROR(VLOOKUP(A57,'PG Stats'!A:Q,11,0),)</f>
        <v/>
      </c>
      <c r="C57" s="674" t="str">
        <f>IFERROR(VLOOKUP(A57,'PG Stats'!A:Q,12,0),)</f>
        <v/>
      </c>
      <c r="D57" s="675" t="str">
        <f>IFERROR(VLOOKUP(A57,'PG Stats'!A:Q,13,0),)</f>
        <v/>
      </c>
      <c r="E57" s="675" t="str">
        <f>IFERROR(VLOOKUP(A57,'PG Stats'!A:Q,14,0),)</f>
        <v/>
      </c>
      <c r="F57" s="675" t="str">
        <f>IFERROR(VLOOKUP(A57,'PG Stats'!A:Q,15,0),)</f>
        <v/>
      </c>
      <c r="G57" s="676" t="str">
        <f>IFERROR(VLOOKUP(A57,'PG Stats'!A:Q,16,0),)</f>
        <v/>
      </c>
      <c r="H57" s="676" t="str">
        <f>IFERROR(VLOOKUP(A57,'PG Stats'!A:Q,17,0),)</f>
        <v/>
      </c>
      <c r="I57" s="676"/>
      <c r="J57" s="676"/>
      <c r="K57" s="676"/>
      <c r="L57" s="17"/>
      <c r="M57" s="673"/>
      <c r="N57" s="779"/>
      <c r="O57" s="779"/>
      <c r="P57" s="779"/>
      <c r="Q57" s="779"/>
      <c r="R57" s="779"/>
      <c r="S57" s="779"/>
      <c r="T57" s="779"/>
      <c r="U57" s="779"/>
      <c r="V57" s="779"/>
      <c r="W57" s="779"/>
      <c r="X57" s="854"/>
      <c r="Y57" s="366"/>
      <c r="Z57" s="17"/>
      <c r="AA57" s="17"/>
      <c r="AB57" s="105"/>
      <c r="AC57" s="837"/>
      <c r="AD57" s="17"/>
      <c r="AE57" s="17"/>
      <c r="AF57" s="17"/>
      <c r="AG57" s="17"/>
      <c r="AH57" s="17"/>
      <c r="AI57" s="17"/>
      <c r="AJ57" s="17"/>
      <c r="AK57" s="17"/>
      <c r="AL57" s="17"/>
    </row>
    <row r="58" hidden="1">
      <c r="A58" s="673" t="str">
        <f>'Halo Reach Stats'!A58</f>
        <v/>
      </c>
      <c r="B58" s="674" t="str">
        <f>IFERROR(VLOOKUP(A58,'PG Stats'!A:Q,11,0),)</f>
        <v/>
      </c>
      <c r="C58" s="674" t="str">
        <f>IFERROR(VLOOKUP(A58,'PG Stats'!A:Q,12,0),)</f>
        <v/>
      </c>
      <c r="D58" s="675" t="str">
        <f>IFERROR(VLOOKUP(A58,'PG Stats'!A:Q,13,0),)</f>
        <v/>
      </c>
      <c r="E58" s="675" t="str">
        <f>IFERROR(VLOOKUP(A58,'PG Stats'!A:Q,14,0),)</f>
        <v/>
      </c>
      <c r="F58" s="675" t="str">
        <f>IFERROR(VLOOKUP(A58,'PG Stats'!A:Q,15,0),)</f>
        <v/>
      </c>
      <c r="G58" s="676" t="str">
        <f>IFERROR(VLOOKUP(A58,'PG Stats'!A:Q,16,0),)</f>
        <v/>
      </c>
      <c r="H58" s="676" t="str">
        <f>IFERROR(VLOOKUP(A58,'PG Stats'!A:Q,17,0),)</f>
        <v/>
      </c>
      <c r="I58" s="676"/>
      <c r="J58" s="676"/>
      <c r="K58" s="676"/>
      <c r="L58" s="17"/>
      <c r="M58" s="673"/>
      <c r="N58" s="779"/>
      <c r="O58" s="779"/>
      <c r="P58" s="779"/>
      <c r="Q58" s="779"/>
      <c r="R58" s="779"/>
      <c r="S58" s="779"/>
      <c r="T58" s="779"/>
      <c r="U58" s="779"/>
      <c r="V58" s="779"/>
      <c r="W58" s="779"/>
      <c r="X58" s="854"/>
      <c r="Y58" s="366"/>
      <c r="Z58" s="17"/>
      <c r="AA58" s="17"/>
      <c r="AB58" s="105"/>
      <c r="AC58" s="837"/>
      <c r="AD58" s="17"/>
      <c r="AE58" s="17"/>
      <c r="AF58" s="17"/>
      <c r="AG58" s="17"/>
      <c r="AH58" s="17"/>
      <c r="AI58" s="17"/>
      <c r="AJ58" s="17"/>
      <c r="AK58" s="17"/>
      <c r="AL58" s="17"/>
    </row>
    <row r="59" hidden="1">
      <c r="A59" s="673" t="str">
        <f>'Halo Reach Stats'!A59</f>
        <v/>
      </c>
      <c r="B59" s="674" t="str">
        <f>IFERROR(VLOOKUP(A59,'PG Stats'!A:Q,11,0),)</f>
        <v/>
      </c>
      <c r="C59" s="674" t="str">
        <f>IFERROR(VLOOKUP(A59,'PG Stats'!A:Q,12,0),)</f>
        <v/>
      </c>
      <c r="D59" s="675" t="str">
        <f>IFERROR(VLOOKUP(A59,'PG Stats'!A:Q,13,0),)</f>
        <v/>
      </c>
      <c r="E59" s="675" t="str">
        <f>IFERROR(VLOOKUP(A59,'PG Stats'!A:Q,14,0),)</f>
        <v/>
      </c>
      <c r="F59" s="675" t="str">
        <f>IFERROR(VLOOKUP(A59,'PG Stats'!A:Q,15,0),)</f>
        <v/>
      </c>
      <c r="G59" s="676" t="str">
        <f>IFERROR(VLOOKUP(A59,'PG Stats'!A:Q,16,0),)</f>
        <v/>
      </c>
      <c r="H59" s="676" t="str">
        <f>IFERROR(VLOOKUP(A59,'PG Stats'!A:Q,17,0),)</f>
        <v/>
      </c>
      <c r="I59" s="676"/>
      <c r="J59" s="676"/>
      <c r="K59" s="676"/>
      <c r="L59" s="17"/>
      <c r="M59" s="673"/>
      <c r="N59" s="779"/>
      <c r="O59" s="779"/>
      <c r="P59" s="779"/>
      <c r="Q59" s="779"/>
      <c r="R59" s="779"/>
      <c r="S59" s="779"/>
      <c r="T59" s="779"/>
      <c r="U59" s="779"/>
      <c r="V59" s="779"/>
      <c r="W59" s="779"/>
      <c r="X59" s="854"/>
      <c r="Y59" s="366"/>
      <c r="Z59" s="17"/>
      <c r="AA59" s="17"/>
      <c r="AB59" s="105"/>
      <c r="AC59" s="837"/>
      <c r="AD59" s="17"/>
      <c r="AE59" s="17"/>
      <c r="AF59" s="17"/>
      <c r="AG59" s="17"/>
      <c r="AH59" s="17"/>
      <c r="AI59" s="17"/>
      <c r="AJ59" s="17"/>
      <c r="AK59" s="17"/>
      <c r="AL59" s="17"/>
    </row>
    <row r="60" hidden="1">
      <c r="A60" s="673" t="str">
        <f>'Halo Reach Stats'!A60</f>
        <v/>
      </c>
      <c r="B60" s="674" t="str">
        <f>IFERROR(VLOOKUP(A60,'PG Stats'!A:Q,11,0),)</f>
        <v/>
      </c>
      <c r="C60" s="674" t="str">
        <f>IFERROR(VLOOKUP(A60,'PG Stats'!A:Q,12,0),)</f>
        <v/>
      </c>
      <c r="D60" s="675" t="str">
        <f>IFERROR(VLOOKUP(A60,'PG Stats'!A:Q,13,0),)</f>
        <v/>
      </c>
      <c r="E60" s="675" t="str">
        <f>IFERROR(VLOOKUP(A60,'PG Stats'!A:Q,14,0),)</f>
        <v/>
      </c>
      <c r="F60" s="675" t="str">
        <f>IFERROR(VLOOKUP(A60,'PG Stats'!A:Q,15,0),)</f>
        <v/>
      </c>
      <c r="G60" s="676" t="str">
        <f>IFERROR(VLOOKUP(A60,'PG Stats'!A:Q,16,0),)</f>
        <v/>
      </c>
      <c r="H60" s="676" t="str">
        <f>IFERROR(VLOOKUP(A60,'PG Stats'!A:Q,17,0),)</f>
        <v/>
      </c>
      <c r="I60" s="676"/>
      <c r="J60" s="676"/>
      <c r="K60" s="676"/>
      <c r="L60" s="17"/>
      <c r="M60" s="673"/>
      <c r="N60" s="779"/>
      <c r="O60" s="779"/>
      <c r="P60" s="779"/>
      <c r="Q60" s="779"/>
      <c r="R60" s="779"/>
      <c r="S60" s="779"/>
      <c r="T60" s="779"/>
      <c r="U60" s="779"/>
      <c r="V60" s="779"/>
      <c r="W60" s="779"/>
      <c r="X60" s="854"/>
      <c r="Y60" s="366"/>
      <c r="Z60" s="17"/>
      <c r="AA60" s="17"/>
      <c r="AB60" s="105"/>
      <c r="AC60" s="837"/>
      <c r="AD60" s="17"/>
      <c r="AE60" s="17"/>
      <c r="AF60" s="17"/>
      <c r="AG60" s="17"/>
      <c r="AH60" s="17"/>
      <c r="AI60" s="17"/>
      <c r="AJ60" s="17"/>
      <c r="AK60" s="17"/>
      <c r="AL60" s="17"/>
    </row>
    <row r="61" hidden="1">
      <c r="A61" s="673" t="str">
        <f>'Halo Reach Stats'!A61</f>
        <v/>
      </c>
      <c r="B61" s="674" t="str">
        <f>IFERROR(VLOOKUP(A61,'PG Stats'!A:Q,11,0),)</f>
        <v/>
      </c>
      <c r="C61" s="674" t="str">
        <f>IFERROR(VLOOKUP(A61,'PG Stats'!A:Q,12,0),)</f>
        <v/>
      </c>
      <c r="D61" s="675" t="str">
        <f>IFERROR(VLOOKUP(A61,'PG Stats'!A:Q,13,0),)</f>
        <v/>
      </c>
      <c r="E61" s="675" t="str">
        <f>IFERROR(VLOOKUP(A61,'PG Stats'!A:Q,14,0),)</f>
        <v/>
      </c>
      <c r="F61" s="675" t="str">
        <f>IFERROR(VLOOKUP(A61,'PG Stats'!A:Q,15,0),)</f>
        <v/>
      </c>
      <c r="G61" s="676" t="str">
        <f>IFERROR(VLOOKUP(A61,'PG Stats'!A:Q,16,0),)</f>
        <v/>
      </c>
      <c r="H61" s="676" t="str">
        <f>IFERROR(VLOOKUP(A61,'PG Stats'!A:Q,17,0),)</f>
        <v/>
      </c>
      <c r="I61" s="676"/>
      <c r="J61" s="676"/>
      <c r="K61" s="676"/>
      <c r="L61" s="17"/>
      <c r="M61" s="673"/>
      <c r="N61" s="779"/>
      <c r="O61" s="779"/>
      <c r="P61" s="779"/>
      <c r="Q61" s="779"/>
      <c r="R61" s="779"/>
      <c r="S61" s="779"/>
      <c r="T61" s="779"/>
      <c r="U61" s="779"/>
      <c r="V61" s="779"/>
      <c r="W61" s="779"/>
      <c r="X61" s="854"/>
      <c r="Y61" s="366"/>
      <c r="Z61" s="17"/>
      <c r="AA61" s="17"/>
      <c r="AB61" s="105"/>
      <c r="AC61" s="837"/>
      <c r="AD61" s="17"/>
      <c r="AE61" s="17"/>
      <c r="AF61" s="17"/>
      <c r="AG61" s="17"/>
      <c r="AH61" s="17"/>
      <c r="AI61" s="17"/>
      <c r="AJ61" s="17"/>
      <c r="AK61" s="17"/>
      <c r="AL61" s="17"/>
    </row>
    <row r="62" hidden="1">
      <c r="A62" s="673" t="str">
        <f>'Halo Reach Stats'!A62</f>
        <v/>
      </c>
      <c r="B62" s="674" t="str">
        <f>IFERROR(VLOOKUP(A62,HRS8_PG_Stats!A:Q,11,0),)</f>
        <v/>
      </c>
      <c r="C62" s="674" t="str">
        <f>IFERROR(VLOOKUP(A62,HRS8_PG_Stats!A:Q,12,0),)</f>
        <v/>
      </c>
      <c r="D62" s="675" t="str">
        <f>IFERROR(VLOOKUP(A62,HRS8_PG_Stats!A:Q,13,0),)</f>
        <v/>
      </c>
      <c r="E62" s="675" t="str">
        <f>IFERROR(VLOOKUP(A62,HRS8_PG_Stats!A:Q,14,0),)</f>
        <v/>
      </c>
      <c r="F62" s="675" t="str">
        <f>IFERROR(VLOOKUP(A62,HRS8_PG_Stats!A:Q,15,0),)</f>
        <v/>
      </c>
      <c r="G62" s="676" t="str">
        <f>IFERROR(VLOOKUP(A62,HRS8_PG_Stats!A:Q,16,0),)</f>
        <v/>
      </c>
      <c r="H62" s="676" t="str">
        <f>IFERROR(VLOOKUP(A62,HRS8_PG_Stats!A:Q,17,0),)</f>
        <v/>
      </c>
      <c r="I62" s="676"/>
      <c r="J62" s="676"/>
      <c r="K62" s="676"/>
      <c r="L62" s="17"/>
      <c r="M62" s="673"/>
      <c r="P62" s="390"/>
      <c r="Z62" s="17"/>
      <c r="AA62" s="17"/>
      <c r="AB62" s="105"/>
      <c r="AC62" s="837"/>
      <c r="AD62" s="17"/>
      <c r="AE62" s="17"/>
      <c r="AF62" s="17"/>
      <c r="AG62" s="17"/>
      <c r="AH62" s="17"/>
      <c r="AI62" s="17"/>
      <c r="AJ62" s="17"/>
      <c r="AK62" s="17"/>
      <c r="AL62" s="17"/>
    </row>
    <row r="63" hidden="1">
      <c r="A63" s="673" t="str">
        <f>'Halo Reach Stats'!A63</f>
        <v/>
      </c>
      <c r="B63" s="663"/>
      <c r="C63" s="674" t="str">
        <f t="shared" ref="C63:C66" si="30">IFERROR(VLOOKUP(A63,HRS7_PG_Stats!A:Q,12,0),)</f>
        <v/>
      </c>
      <c r="D63" s="663"/>
      <c r="E63" s="663"/>
      <c r="F63" s="675" t="str">
        <f t="shared" ref="F63:F68" si="31">IFERROR(VLOOKUP(A63,HRS7_PG_Stats!A:Q,15,0),)</f>
        <v/>
      </c>
      <c r="G63" s="676" t="str">
        <f t="shared" ref="G63:G74" si="32">IFERROR(VLOOKUP(A63,HRS7_PG_Stats!A:Q,16,0),)</f>
        <v/>
      </c>
      <c r="H63" s="663"/>
      <c r="I63" s="663"/>
      <c r="J63" s="663"/>
      <c r="K63" s="663"/>
      <c r="L63" s="17"/>
      <c r="M63" s="673" t="str">
        <f>'Halo Reach Stats'!A63</f>
        <v/>
      </c>
      <c r="P63" s="390"/>
      <c r="Z63" s="17"/>
      <c r="AA63" s="17"/>
      <c r="AB63" s="105"/>
      <c r="AC63" s="837"/>
      <c r="AD63" s="17"/>
      <c r="AE63" s="17"/>
      <c r="AF63" s="17"/>
      <c r="AG63" s="17"/>
      <c r="AH63" s="17"/>
      <c r="AI63" s="17"/>
      <c r="AJ63" s="17"/>
      <c r="AK63" s="17"/>
      <c r="AL63" s="17"/>
    </row>
    <row r="64" hidden="1">
      <c r="A64" s="673" t="str">
        <f>'Halo Reach Stats'!A64</f>
        <v/>
      </c>
      <c r="B64" s="663"/>
      <c r="C64" s="674" t="str">
        <f t="shared" si="30"/>
        <v/>
      </c>
      <c r="D64" s="663"/>
      <c r="E64" s="663"/>
      <c r="F64" s="675" t="str">
        <f t="shared" si="31"/>
        <v/>
      </c>
      <c r="G64" s="676" t="str">
        <f t="shared" si="32"/>
        <v/>
      </c>
      <c r="H64" s="663"/>
      <c r="I64" s="663"/>
      <c r="J64" s="663"/>
      <c r="K64" s="663"/>
      <c r="L64" s="17"/>
      <c r="M64" s="673" t="str">
        <f>'Halo Reach Stats'!A64</f>
        <v/>
      </c>
      <c r="P64" s="390"/>
      <c r="Z64" s="17"/>
      <c r="AA64" s="17"/>
      <c r="AB64" s="105"/>
      <c r="AC64" s="837"/>
      <c r="AD64" s="17"/>
      <c r="AE64" s="17"/>
      <c r="AF64" s="17"/>
      <c r="AG64" s="17"/>
      <c r="AH64" s="17"/>
      <c r="AI64" s="17"/>
      <c r="AJ64" s="17"/>
      <c r="AK64" s="17"/>
      <c r="AL64" s="17"/>
    </row>
    <row r="65" hidden="1">
      <c r="A65" s="673" t="str">
        <f>'Halo Reach Stats'!A65</f>
        <v/>
      </c>
      <c r="B65" s="663"/>
      <c r="C65" s="674" t="str">
        <f t="shared" si="30"/>
        <v/>
      </c>
      <c r="D65" s="663"/>
      <c r="E65" s="663"/>
      <c r="F65" s="675" t="str">
        <f t="shared" si="31"/>
        <v/>
      </c>
      <c r="G65" s="676" t="str">
        <f t="shared" si="32"/>
        <v/>
      </c>
      <c r="H65" s="663"/>
      <c r="I65" s="663"/>
      <c r="J65" s="663"/>
      <c r="K65" s="663"/>
      <c r="L65" s="17"/>
      <c r="M65" s="673" t="str">
        <f>'Halo Reach Stats'!A65</f>
        <v/>
      </c>
      <c r="P65" s="390"/>
      <c r="Z65" s="17"/>
      <c r="AA65" s="17"/>
      <c r="AB65" s="105"/>
      <c r="AC65" s="837"/>
      <c r="AD65" s="17"/>
      <c r="AE65" s="17"/>
      <c r="AF65" s="17"/>
      <c r="AG65" s="17"/>
      <c r="AH65" s="17"/>
      <c r="AI65" s="17"/>
      <c r="AJ65" s="17"/>
      <c r="AK65" s="17"/>
      <c r="AL65" s="17"/>
    </row>
    <row r="66" hidden="1">
      <c r="A66" s="673" t="str">
        <f>'Halo Reach Stats'!A66</f>
        <v/>
      </c>
      <c r="B66" s="663"/>
      <c r="C66" s="674" t="str">
        <f t="shared" si="30"/>
        <v/>
      </c>
      <c r="D66" s="663"/>
      <c r="E66" s="663"/>
      <c r="F66" s="675" t="str">
        <f t="shared" si="31"/>
        <v/>
      </c>
      <c r="G66" s="676" t="str">
        <f t="shared" si="32"/>
        <v/>
      </c>
      <c r="H66" s="663"/>
      <c r="I66" s="663"/>
      <c r="J66" s="663"/>
      <c r="K66" s="663"/>
      <c r="L66" s="17"/>
      <c r="M66" s="673" t="str">
        <f>'Halo Reach Stats'!A66</f>
        <v/>
      </c>
      <c r="P66" s="390"/>
      <c r="Z66" s="17"/>
      <c r="AA66" s="17"/>
      <c r="AB66" s="105"/>
      <c r="AC66" s="837"/>
      <c r="AD66" s="17"/>
      <c r="AE66" s="17"/>
      <c r="AF66" s="17"/>
      <c r="AG66" s="17"/>
      <c r="AH66" s="17"/>
      <c r="AI66" s="17"/>
      <c r="AJ66" s="17"/>
      <c r="AK66" s="17"/>
      <c r="AL66" s="17"/>
    </row>
    <row r="67" hidden="1">
      <c r="A67" s="673" t="str">
        <f>'Halo Reach Stats'!A67</f>
        <v/>
      </c>
      <c r="B67" s="663"/>
      <c r="C67" s="663"/>
      <c r="D67" s="663"/>
      <c r="E67" s="663"/>
      <c r="F67" s="675" t="str">
        <f t="shared" si="31"/>
        <v/>
      </c>
      <c r="G67" s="676" t="str">
        <f t="shared" si="32"/>
        <v/>
      </c>
      <c r="H67" s="663"/>
      <c r="I67" s="663"/>
      <c r="J67" s="663"/>
      <c r="K67" s="663"/>
      <c r="L67" s="17"/>
      <c r="M67" s="673" t="str">
        <f>'Halo Reach Stats'!A67</f>
        <v/>
      </c>
      <c r="P67" s="390"/>
      <c r="Z67" s="17"/>
      <c r="AA67" s="17"/>
      <c r="AB67" s="105"/>
      <c r="AC67" s="837"/>
      <c r="AD67" s="17"/>
      <c r="AE67" s="17"/>
      <c r="AF67" s="17"/>
      <c r="AG67" s="17"/>
      <c r="AH67" s="17"/>
      <c r="AI67" s="17"/>
      <c r="AJ67" s="17"/>
      <c r="AK67" s="17"/>
      <c r="AL67" s="17"/>
    </row>
    <row r="68" hidden="1">
      <c r="A68" s="673" t="str">
        <f>'Halo Reach Stats'!A68</f>
        <v/>
      </c>
      <c r="B68" s="663"/>
      <c r="C68" s="663"/>
      <c r="D68" s="663"/>
      <c r="E68" s="663"/>
      <c r="F68" s="675" t="str">
        <f t="shared" si="31"/>
        <v/>
      </c>
      <c r="G68" s="676" t="str">
        <f t="shared" si="32"/>
        <v/>
      </c>
      <c r="H68" s="663"/>
      <c r="I68" s="663"/>
      <c r="J68" s="663"/>
      <c r="K68" s="663"/>
      <c r="L68" s="17"/>
      <c r="M68" s="673" t="str">
        <f>'Halo Reach Stats'!A68</f>
        <v/>
      </c>
      <c r="P68" s="390"/>
      <c r="Z68" s="17"/>
      <c r="AA68" s="17"/>
      <c r="AB68" s="105"/>
      <c r="AC68" s="837"/>
      <c r="AD68" s="17"/>
      <c r="AE68" s="17"/>
      <c r="AF68" s="17"/>
      <c r="AG68" s="17"/>
      <c r="AH68" s="17"/>
      <c r="AI68" s="17"/>
      <c r="AJ68" s="17"/>
      <c r="AK68" s="17"/>
      <c r="AL68" s="17"/>
    </row>
    <row r="69" hidden="1">
      <c r="A69" s="673" t="str">
        <f>'Halo Reach Stats'!A69</f>
        <v/>
      </c>
      <c r="B69" s="663"/>
      <c r="C69" s="663"/>
      <c r="D69" s="663"/>
      <c r="E69" s="663"/>
      <c r="F69" s="663"/>
      <c r="G69" s="676" t="str">
        <f t="shared" si="32"/>
        <v/>
      </c>
      <c r="H69" s="663"/>
      <c r="I69" s="663"/>
      <c r="J69" s="663"/>
      <c r="K69" s="663"/>
      <c r="L69" s="17"/>
      <c r="M69" s="673" t="str">
        <f>'Halo Reach Stats'!A69</f>
        <v/>
      </c>
      <c r="P69" s="390"/>
      <c r="Z69" s="17"/>
      <c r="AA69" s="17"/>
      <c r="AB69" s="105"/>
      <c r="AC69" s="837"/>
      <c r="AD69" s="17"/>
      <c r="AE69" s="17"/>
      <c r="AF69" s="17"/>
      <c r="AG69" s="17"/>
      <c r="AH69" s="17"/>
      <c r="AI69" s="17"/>
      <c r="AJ69" s="17"/>
      <c r="AK69" s="17"/>
      <c r="AL69" s="17"/>
    </row>
    <row r="70" hidden="1">
      <c r="A70" s="673" t="str">
        <f>'Halo Reach Stats'!A70</f>
        <v/>
      </c>
      <c r="B70" s="663"/>
      <c r="C70" s="663"/>
      <c r="D70" s="663"/>
      <c r="E70" s="663"/>
      <c r="F70" s="663"/>
      <c r="G70" s="676" t="str">
        <f t="shared" si="32"/>
        <v/>
      </c>
      <c r="H70" s="663"/>
      <c r="I70" s="663"/>
      <c r="J70" s="663"/>
      <c r="K70" s="663"/>
      <c r="L70" s="17"/>
      <c r="M70" s="673" t="str">
        <f>'Halo Reach Stats'!A70</f>
        <v/>
      </c>
      <c r="P70" s="390"/>
      <c r="Z70" s="17"/>
      <c r="AA70" s="17"/>
      <c r="AB70" s="105"/>
      <c r="AC70" s="837"/>
      <c r="AD70" s="17"/>
      <c r="AE70" s="17"/>
      <c r="AF70" s="17"/>
      <c r="AG70" s="17"/>
      <c r="AH70" s="17"/>
      <c r="AI70" s="17"/>
      <c r="AJ70" s="17"/>
      <c r="AK70" s="17"/>
      <c r="AL70" s="17"/>
    </row>
    <row r="71" hidden="1">
      <c r="A71" s="673" t="str">
        <f>'Halo Reach Stats'!A71</f>
        <v/>
      </c>
      <c r="B71" s="663"/>
      <c r="C71" s="663"/>
      <c r="D71" s="663"/>
      <c r="E71" s="663"/>
      <c r="F71" s="663"/>
      <c r="G71" s="676" t="str">
        <f t="shared" si="32"/>
        <v/>
      </c>
      <c r="H71" s="663"/>
      <c r="I71" s="663"/>
      <c r="J71" s="663"/>
      <c r="K71" s="663"/>
      <c r="L71" s="17"/>
      <c r="M71" s="673" t="str">
        <f>'Halo Reach Stats'!A71</f>
        <v/>
      </c>
      <c r="P71" s="390"/>
      <c r="Z71" s="17"/>
      <c r="AA71" s="17"/>
      <c r="AB71" s="105"/>
      <c r="AC71" s="837"/>
      <c r="AD71" s="17"/>
      <c r="AE71" s="17"/>
      <c r="AF71" s="17"/>
      <c r="AG71" s="17"/>
      <c r="AH71" s="17"/>
      <c r="AI71" s="17"/>
      <c r="AJ71" s="17"/>
      <c r="AK71" s="17"/>
      <c r="AL71" s="17"/>
    </row>
    <row r="72" hidden="1">
      <c r="A72" s="673" t="str">
        <f>'Halo Reach Stats'!A72</f>
        <v/>
      </c>
      <c r="B72" s="663"/>
      <c r="C72" s="663"/>
      <c r="D72" s="663"/>
      <c r="E72" s="663"/>
      <c r="F72" s="663"/>
      <c r="G72" s="676" t="str">
        <f t="shared" si="32"/>
        <v/>
      </c>
      <c r="H72" s="663"/>
      <c r="I72" s="663"/>
      <c r="J72" s="663"/>
      <c r="K72" s="663"/>
      <c r="L72" s="17"/>
      <c r="M72" s="673" t="str">
        <f>'Halo Reach Stats'!A72</f>
        <v/>
      </c>
      <c r="P72" s="390"/>
      <c r="Z72" s="17"/>
      <c r="AA72" s="17"/>
      <c r="AB72" s="105"/>
      <c r="AC72" s="837"/>
      <c r="AD72" s="17"/>
      <c r="AE72" s="17"/>
      <c r="AF72" s="17"/>
      <c r="AG72" s="17"/>
      <c r="AH72" s="17"/>
      <c r="AI72" s="17"/>
      <c r="AJ72" s="17"/>
      <c r="AK72" s="17"/>
      <c r="AL72" s="17"/>
    </row>
    <row r="73" hidden="1">
      <c r="A73" s="673" t="str">
        <f>'Halo Reach Stats'!A73</f>
        <v/>
      </c>
      <c r="B73" s="663"/>
      <c r="C73" s="663"/>
      <c r="D73" s="663"/>
      <c r="E73" s="663"/>
      <c r="F73" s="663"/>
      <c r="G73" s="676" t="str">
        <f t="shared" si="32"/>
        <v/>
      </c>
      <c r="H73" s="663"/>
      <c r="I73" s="663"/>
      <c r="J73" s="663"/>
      <c r="K73" s="663"/>
      <c r="L73" s="17"/>
      <c r="M73" s="673" t="str">
        <f>'Halo Reach Stats'!A73</f>
        <v/>
      </c>
      <c r="P73" s="390"/>
      <c r="Z73" s="17"/>
      <c r="AA73" s="17"/>
      <c r="AB73" s="105"/>
      <c r="AC73" s="837"/>
      <c r="AD73" s="17"/>
      <c r="AE73" s="17"/>
      <c r="AF73" s="17"/>
      <c r="AG73" s="17"/>
      <c r="AH73" s="17"/>
      <c r="AI73" s="17"/>
      <c r="AJ73" s="17"/>
      <c r="AK73" s="17"/>
      <c r="AL73" s="17"/>
    </row>
    <row r="74" hidden="1">
      <c r="A74" s="673" t="str">
        <f>'Halo Reach Stats'!A74</f>
        <v/>
      </c>
      <c r="B74" s="663"/>
      <c r="C74" s="663"/>
      <c r="D74" s="663"/>
      <c r="E74" s="663"/>
      <c r="F74" s="663"/>
      <c r="G74" s="676" t="str">
        <f t="shared" si="32"/>
        <v/>
      </c>
      <c r="H74" s="663"/>
      <c r="I74" s="663"/>
      <c r="J74" s="663"/>
      <c r="K74" s="663"/>
      <c r="L74" s="17"/>
      <c r="M74" s="673" t="str">
        <f>'Halo Reach Stats'!A74</f>
        <v/>
      </c>
      <c r="P74" s="390"/>
      <c r="AB74" s="776"/>
      <c r="AC74" s="855"/>
    </row>
    <row r="75" hidden="1">
      <c r="A75" s="673" t="str">
        <f>'Halo Reach Stats'!A75</f>
        <v/>
      </c>
      <c r="B75" s="663"/>
      <c r="C75" s="663"/>
      <c r="D75" s="663"/>
      <c r="E75" s="663"/>
      <c r="F75" s="663"/>
      <c r="G75" s="663"/>
      <c r="H75" s="663"/>
      <c r="I75" s="663"/>
      <c r="J75" s="663"/>
      <c r="K75" s="663"/>
      <c r="L75" s="17"/>
      <c r="M75" s="673" t="str">
        <f>'Halo Reach Stats'!A75</f>
        <v/>
      </c>
      <c r="P75" s="390"/>
      <c r="AB75" s="776"/>
      <c r="AC75" s="855"/>
    </row>
    <row r="76" hidden="1">
      <c r="A76" s="673" t="str">
        <f>'Halo Reach Stats'!A76</f>
        <v/>
      </c>
      <c r="B76" s="663"/>
      <c r="C76" s="663"/>
      <c r="D76" s="663"/>
      <c r="E76" s="663"/>
      <c r="F76" s="663"/>
      <c r="G76" s="663"/>
      <c r="H76" s="663"/>
      <c r="I76" s="663"/>
      <c r="J76" s="663"/>
      <c r="K76" s="663"/>
      <c r="L76" s="17"/>
      <c r="M76" s="673" t="str">
        <f>'Halo Reach Stats'!A76</f>
        <v/>
      </c>
      <c r="P76" s="390"/>
      <c r="AB76" s="776"/>
      <c r="AC76" s="855"/>
    </row>
    <row r="77" hidden="1">
      <c r="A77" s="673" t="str">
        <f>'Halo Reach Stats'!A77</f>
        <v/>
      </c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17"/>
      <c r="M77" s="673" t="str">
        <f>'Halo Reach Stats'!A77</f>
        <v/>
      </c>
      <c r="P77" s="390"/>
      <c r="AB77" s="776"/>
      <c r="AC77" s="855"/>
    </row>
    <row r="78" hidden="1">
      <c r="A78" s="673" t="str">
        <f>'Halo Reach Stats'!A78</f>
        <v/>
      </c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17"/>
      <c r="M78" s="673" t="str">
        <f>'Halo Reach Stats'!A78</f>
        <v/>
      </c>
      <c r="P78" s="390"/>
      <c r="AB78" s="776"/>
      <c r="AC78" s="855"/>
    </row>
    <row r="79" hidden="1">
      <c r="A79" s="673" t="str">
        <f>'Halo Reach Stats'!A79</f>
        <v/>
      </c>
      <c r="B79" s="663"/>
      <c r="C79" s="663"/>
      <c r="D79" s="663"/>
      <c r="E79" s="663"/>
      <c r="F79" s="663"/>
      <c r="G79" s="663"/>
      <c r="H79" s="663"/>
      <c r="I79" s="663"/>
      <c r="J79" s="663"/>
      <c r="K79" s="663"/>
      <c r="L79" s="17"/>
      <c r="M79" s="673" t="str">
        <f>'Halo Reach Stats'!A79</f>
        <v/>
      </c>
      <c r="P79" s="390"/>
      <c r="AB79" s="776"/>
      <c r="AC79" s="855"/>
    </row>
    <row r="80" hidden="1">
      <c r="A80" s="673" t="str">
        <f>'Halo Reach Stats'!A80</f>
        <v/>
      </c>
      <c r="B80" s="663"/>
      <c r="C80" s="663"/>
      <c r="D80" s="663"/>
      <c r="E80" s="663"/>
      <c r="F80" s="663"/>
      <c r="G80" s="663"/>
      <c r="H80" s="663"/>
      <c r="I80" s="663"/>
      <c r="J80" s="663"/>
      <c r="K80" s="663"/>
      <c r="L80" s="17"/>
      <c r="M80" s="673" t="str">
        <f>'Halo Reach Stats'!A80</f>
        <v/>
      </c>
      <c r="P80" s="390"/>
      <c r="AB80" s="776"/>
      <c r="AC80" s="855"/>
    </row>
  </sheetData>
  <mergeCells count="22">
    <mergeCell ref="AD22:AJ22"/>
    <mergeCell ref="AE23:AJ23"/>
    <mergeCell ref="AE24:AJ24"/>
    <mergeCell ref="AE25:AJ25"/>
    <mergeCell ref="AE26:AJ26"/>
    <mergeCell ref="AE27:AJ27"/>
    <mergeCell ref="AE28:AJ28"/>
    <mergeCell ref="AE36:AJ36"/>
    <mergeCell ref="AE37:AJ37"/>
    <mergeCell ref="AE38:AJ38"/>
    <mergeCell ref="AE39:AJ39"/>
    <mergeCell ref="AE40:AJ40"/>
    <mergeCell ref="AE41:AJ41"/>
    <mergeCell ref="AE42:AJ42"/>
    <mergeCell ref="AE43:AJ43"/>
    <mergeCell ref="AE29:AJ29"/>
    <mergeCell ref="AE30:AJ30"/>
    <mergeCell ref="AE31:AJ31"/>
    <mergeCell ref="AE32:AJ32"/>
    <mergeCell ref="AD33:AJ33"/>
    <mergeCell ref="AE34:AJ34"/>
    <mergeCell ref="AE35:AJ35"/>
  </mergeCells>
  <conditionalFormatting sqref="N2:Y61">
    <cfRule type="cellIs" dxfId="17" priority="1" operator="equal">
      <formula>"S"</formula>
    </cfRule>
  </conditionalFormatting>
  <conditionalFormatting sqref="N2:Y61">
    <cfRule type="cellIs" dxfId="14" priority="2" operator="equal">
      <formula>"A"</formula>
    </cfRule>
  </conditionalFormatting>
  <conditionalFormatting sqref="N2:Y61">
    <cfRule type="cellIs" dxfId="9" priority="3" operator="equal">
      <formula>"B"</formula>
    </cfRule>
  </conditionalFormatting>
  <conditionalFormatting sqref="N2:Y61">
    <cfRule type="cellIs" dxfId="2" priority="4" operator="equal">
      <formula>"C"</formula>
    </cfRule>
  </conditionalFormatting>
  <conditionalFormatting sqref="N2:Y61">
    <cfRule type="cellIs" dxfId="10" priority="5" operator="equal">
      <formula>"D"</formula>
    </cfRule>
  </conditionalFormatting>
  <conditionalFormatting sqref="N2:Y61">
    <cfRule type="cellIs" dxfId="11" priority="6" operator="equal">
      <formula>"E"</formula>
    </cfRule>
  </conditionalFormatting>
  <conditionalFormatting sqref="N2:Y61">
    <cfRule type="cellIs" dxfId="12" priority="7" operator="equal">
      <formula>"F"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25"/>
    <col customWidth="1" min="2" max="2" width="15.63"/>
    <col customWidth="1" min="3" max="3" width="5.38"/>
    <col customWidth="1" min="4" max="4" width="12.38"/>
    <col customWidth="1" min="5" max="5" width="13.5"/>
    <col customWidth="1" min="6" max="6" width="17.25"/>
    <col customWidth="1" min="7" max="7" width="15.88"/>
    <col customWidth="1" min="8" max="8" width="14.63"/>
    <col customWidth="1" min="9" max="9" width="19.13"/>
    <col customWidth="1" min="10" max="10" width="5.13"/>
    <col customWidth="1" min="11" max="11" width="5.88"/>
    <col customWidth="1" min="12" max="12" width="5.75"/>
    <col customWidth="1" min="13" max="15" width="5.13"/>
    <col customWidth="1" min="16" max="16" width="5.88"/>
    <col customWidth="1" min="17" max="17" width="5.13"/>
    <col customWidth="1" min="18" max="18" width="7.63"/>
    <col customWidth="1" min="19" max="19" width="6.13"/>
    <col customWidth="1" min="20" max="20" width="15.88"/>
    <col customWidth="1" min="21" max="21" width="14.75"/>
    <col customWidth="1" min="22" max="22" width="15.13"/>
    <col customWidth="1" min="23" max="23" width="15.88"/>
    <col customWidth="1" min="24" max="24" width="18.38"/>
    <col customWidth="1" min="25" max="25" width="18.63"/>
    <col customWidth="1" min="26" max="26" width="13.13"/>
    <col customWidth="1" min="27" max="28" width="6.5"/>
  </cols>
  <sheetData>
    <row r="1">
      <c r="AA1" s="858"/>
      <c r="AB1" s="858"/>
    </row>
    <row r="2">
      <c r="AA2" s="860"/>
      <c r="AB2" s="860"/>
    </row>
    <row r="3">
      <c r="AA3" s="860"/>
      <c r="AB3" s="860"/>
    </row>
    <row r="4">
      <c r="AA4" s="860"/>
      <c r="AB4" s="860"/>
    </row>
    <row r="5">
      <c r="AA5" s="860"/>
      <c r="AB5" s="860"/>
    </row>
    <row r="6">
      <c r="AA6" s="860"/>
      <c r="AB6" s="860"/>
    </row>
    <row r="7">
      <c r="AA7" s="860"/>
      <c r="AB7" s="860"/>
    </row>
    <row r="8">
      <c r="AA8" s="860"/>
      <c r="AB8" s="860"/>
    </row>
    <row r="9">
      <c r="AA9" s="860"/>
      <c r="AB9" s="860"/>
    </row>
    <row r="10">
      <c r="AA10" s="860"/>
      <c r="AB10" s="860"/>
    </row>
    <row r="11">
      <c r="AA11" s="860"/>
      <c r="AB11" s="860"/>
    </row>
    <row r="12">
      <c r="AA12" s="860"/>
      <c r="AB12" s="860"/>
    </row>
    <row r="13">
      <c r="AA13" s="860"/>
      <c r="AB13" s="860"/>
    </row>
    <row r="14">
      <c r="AA14" s="860"/>
      <c r="AB14" s="860"/>
    </row>
    <row r="15">
      <c r="AA15" s="860"/>
      <c r="AB15" s="860"/>
    </row>
    <row r="16">
      <c r="AA16" s="860"/>
      <c r="AB16" s="860"/>
    </row>
    <row r="17">
      <c r="AA17" s="860"/>
      <c r="AB17" s="860"/>
    </row>
    <row r="18">
      <c r="AA18" s="860"/>
      <c r="AB18" s="860"/>
    </row>
    <row r="19">
      <c r="AA19" s="860"/>
      <c r="AB19" s="860"/>
    </row>
    <row r="20">
      <c r="AA20" s="860"/>
      <c r="AB20" s="860"/>
    </row>
    <row r="21">
      <c r="AA21" s="860"/>
      <c r="AB21" s="860"/>
    </row>
    <row r="22">
      <c r="AA22" s="860"/>
      <c r="AB22" s="860"/>
    </row>
    <row r="23">
      <c r="AA23" s="860"/>
      <c r="AB23" s="860"/>
    </row>
    <row r="24">
      <c r="AA24" s="860"/>
      <c r="AB24" s="860"/>
    </row>
    <row r="25">
      <c r="AA25" s="860"/>
      <c r="AB25" s="860"/>
    </row>
    <row r="26">
      <c r="AA26" s="860"/>
      <c r="AB26" s="860"/>
    </row>
    <row r="27">
      <c r="AA27" s="860"/>
      <c r="AB27" s="860"/>
    </row>
    <row r="28">
      <c r="AA28" s="860"/>
      <c r="AB28" s="860"/>
    </row>
    <row r="29">
      <c r="AA29" s="860"/>
      <c r="AB29" s="860"/>
    </row>
    <row r="30">
      <c r="AA30" s="860"/>
      <c r="AB30" s="860"/>
    </row>
    <row r="31">
      <c r="AA31" s="860"/>
      <c r="AB31" s="860"/>
    </row>
    <row r="32">
      <c r="AA32" s="860"/>
      <c r="AB32" s="860"/>
    </row>
    <row r="33">
      <c r="AA33" s="860"/>
      <c r="AB33" s="860"/>
    </row>
    <row r="34">
      <c r="AA34" s="860"/>
      <c r="AB34" s="860"/>
    </row>
    <row r="35">
      <c r="AA35" s="860"/>
      <c r="AB35" s="860"/>
    </row>
    <row r="36">
      <c r="AA36" s="860"/>
      <c r="AB36" s="860"/>
    </row>
    <row r="37">
      <c r="AA37" s="860"/>
      <c r="AB37" s="860"/>
    </row>
    <row r="38">
      <c r="AA38" s="860"/>
      <c r="AB38" s="860"/>
    </row>
    <row r="39">
      <c r="I39" s="856"/>
      <c r="J39" s="859"/>
      <c r="K39" s="859"/>
      <c r="L39" s="859"/>
      <c r="M39" s="859"/>
      <c r="N39" s="859"/>
      <c r="O39" s="859"/>
      <c r="P39" s="860"/>
      <c r="Q39" s="860"/>
      <c r="R39" s="860"/>
      <c r="S39" s="860"/>
      <c r="T39" s="860"/>
      <c r="U39" s="860"/>
      <c r="V39" s="860"/>
      <c r="W39" s="860"/>
      <c r="X39" s="860"/>
      <c r="Y39" s="860"/>
      <c r="Z39" s="860"/>
      <c r="AA39" s="860"/>
      <c r="AB39" s="860"/>
    </row>
    <row r="40">
      <c r="I40" s="856"/>
      <c r="J40" s="859"/>
      <c r="K40" s="859"/>
      <c r="L40" s="859"/>
      <c r="M40" s="859"/>
      <c r="N40" s="859"/>
      <c r="O40" s="859"/>
      <c r="P40" s="860"/>
      <c r="Q40" s="860"/>
      <c r="R40" s="860"/>
      <c r="S40" s="860"/>
      <c r="T40" s="860"/>
      <c r="U40" s="860"/>
      <c r="V40" s="860"/>
      <c r="W40" s="860"/>
      <c r="X40" s="860"/>
      <c r="Y40" s="860"/>
      <c r="Z40" s="860"/>
      <c r="AA40" s="860"/>
      <c r="AB40" s="860"/>
    </row>
    <row r="41">
      <c r="I41" s="856"/>
      <c r="J41" s="859"/>
      <c r="K41" s="859"/>
      <c r="L41" s="859"/>
      <c r="M41" s="859"/>
      <c r="N41" s="859"/>
      <c r="O41" s="859"/>
      <c r="P41" s="860"/>
      <c r="Q41" s="860"/>
      <c r="R41" s="860"/>
      <c r="S41" s="860"/>
      <c r="T41" s="860"/>
      <c r="U41" s="860"/>
      <c r="V41" s="860"/>
      <c r="W41" s="860"/>
      <c r="X41" s="860"/>
      <c r="Y41" s="860"/>
      <c r="Z41" s="860"/>
      <c r="AA41" s="860"/>
      <c r="AB41" s="860"/>
    </row>
    <row r="42">
      <c r="I42" s="856"/>
      <c r="J42" s="859"/>
      <c r="K42" s="859"/>
      <c r="L42" s="859"/>
      <c r="M42" s="859"/>
      <c r="N42" s="859"/>
      <c r="O42" s="859"/>
      <c r="P42" s="860"/>
      <c r="Q42" s="860"/>
      <c r="R42" s="860"/>
      <c r="S42" s="860"/>
      <c r="T42" s="860"/>
      <c r="U42" s="860"/>
      <c r="V42" s="860"/>
      <c r="W42" s="860"/>
      <c r="X42" s="860"/>
      <c r="Y42" s="860"/>
      <c r="Z42" s="860"/>
      <c r="AA42" s="860"/>
      <c r="AB42" s="860"/>
    </row>
    <row r="43">
      <c r="I43" s="856"/>
      <c r="J43" s="859"/>
      <c r="K43" s="859"/>
      <c r="L43" s="859"/>
      <c r="M43" s="859"/>
      <c r="N43" s="859"/>
      <c r="O43" s="859"/>
      <c r="P43" s="860"/>
      <c r="Q43" s="860"/>
      <c r="R43" s="860"/>
      <c r="S43" s="860"/>
      <c r="T43" s="860"/>
      <c r="U43" s="860"/>
      <c r="V43" s="860"/>
      <c r="W43" s="860"/>
      <c r="X43" s="860"/>
      <c r="Y43" s="860"/>
      <c r="Z43" s="860"/>
      <c r="AA43" s="860"/>
      <c r="AB43" s="860"/>
    </row>
    <row r="44">
      <c r="I44" s="856"/>
      <c r="J44" s="859"/>
      <c r="K44" s="859"/>
      <c r="L44" s="859"/>
      <c r="M44" s="859"/>
      <c r="N44" s="859"/>
      <c r="O44" s="859"/>
      <c r="P44" s="860"/>
      <c r="Q44" s="860"/>
      <c r="R44" s="860"/>
      <c r="S44" s="860"/>
      <c r="T44" s="860"/>
      <c r="U44" s="860"/>
      <c r="V44" s="860"/>
      <c r="W44" s="860"/>
      <c r="X44" s="860"/>
      <c r="Y44" s="860"/>
      <c r="Z44" s="860"/>
      <c r="AA44" s="860"/>
      <c r="AB44" s="860"/>
    </row>
    <row r="45">
      <c r="I45" s="856"/>
      <c r="J45" s="859"/>
      <c r="K45" s="859"/>
      <c r="L45" s="859"/>
      <c r="M45" s="859"/>
      <c r="N45" s="859"/>
      <c r="O45" s="859"/>
      <c r="P45" s="860"/>
      <c r="Q45" s="860"/>
      <c r="R45" s="860"/>
      <c r="S45" s="860"/>
      <c r="T45" s="860"/>
      <c r="U45" s="860"/>
      <c r="V45" s="860"/>
      <c r="W45" s="860"/>
      <c r="X45" s="860"/>
      <c r="Y45" s="860"/>
      <c r="Z45" s="860"/>
      <c r="AA45" s="860"/>
      <c r="AB45" s="860"/>
    </row>
    <row r="46">
      <c r="I46" s="856"/>
      <c r="J46" s="859"/>
      <c r="K46" s="859"/>
      <c r="L46" s="859"/>
      <c r="M46" s="859"/>
      <c r="N46" s="859"/>
      <c r="O46" s="859"/>
      <c r="P46" s="860"/>
      <c r="Q46" s="860"/>
      <c r="R46" s="860"/>
      <c r="S46" s="860"/>
      <c r="T46" s="860"/>
      <c r="U46" s="860"/>
      <c r="V46" s="860"/>
      <c r="W46" s="860"/>
      <c r="X46" s="860"/>
      <c r="Y46" s="860"/>
      <c r="Z46" s="860"/>
      <c r="AA46" s="860"/>
      <c r="AB46" s="860"/>
    </row>
    <row r="47">
      <c r="I47" s="856"/>
      <c r="J47" s="859"/>
      <c r="K47" s="859"/>
      <c r="L47" s="859"/>
      <c r="M47" s="859"/>
      <c r="N47" s="859"/>
      <c r="O47" s="859"/>
      <c r="P47" s="860"/>
      <c r="Q47" s="860"/>
      <c r="R47" s="860"/>
      <c r="S47" s="860"/>
      <c r="T47" s="860"/>
      <c r="U47" s="860"/>
      <c r="V47" s="860"/>
      <c r="W47" s="860"/>
      <c r="X47" s="860"/>
      <c r="Y47" s="860"/>
      <c r="Z47" s="860"/>
      <c r="AA47" s="860"/>
      <c r="AB47" s="860"/>
    </row>
    <row r="48">
      <c r="I48" s="856"/>
      <c r="J48" s="859"/>
      <c r="K48" s="859"/>
      <c r="L48" s="859"/>
      <c r="M48" s="859"/>
      <c r="N48" s="859"/>
      <c r="O48" s="859"/>
      <c r="P48" s="860"/>
      <c r="Q48" s="860"/>
      <c r="R48" s="860"/>
      <c r="S48" s="860"/>
      <c r="T48" s="860"/>
      <c r="U48" s="860"/>
      <c r="V48" s="860"/>
      <c r="W48" s="860"/>
      <c r="X48" s="860"/>
      <c r="Y48" s="860"/>
      <c r="Z48" s="860"/>
      <c r="AA48" s="860"/>
      <c r="AB48" s="860"/>
    </row>
    <row r="49">
      <c r="I49" s="856"/>
      <c r="J49" s="859"/>
      <c r="K49" s="859"/>
      <c r="L49" s="859"/>
      <c r="M49" s="859"/>
      <c r="N49" s="859"/>
      <c r="O49" s="859"/>
      <c r="P49" s="860"/>
      <c r="Q49" s="860"/>
      <c r="R49" s="860"/>
      <c r="S49" s="860"/>
      <c r="T49" s="860"/>
      <c r="U49" s="860"/>
      <c r="V49" s="860"/>
      <c r="W49" s="860"/>
      <c r="X49" s="860"/>
      <c r="Y49" s="860"/>
      <c r="Z49" s="860"/>
      <c r="AA49" s="860"/>
      <c r="AB49" s="860"/>
    </row>
    <row r="50">
      <c r="I50" s="856"/>
      <c r="J50" s="859"/>
      <c r="K50" s="859"/>
      <c r="L50" s="859"/>
      <c r="M50" s="859"/>
      <c r="N50" s="859"/>
      <c r="O50" s="859"/>
      <c r="P50" s="860"/>
      <c r="Q50" s="860"/>
      <c r="R50" s="860"/>
      <c r="S50" s="860"/>
      <c r="T50" s="860"/>
      <c r="U50" s="860"/>
      <c r="V50" s="860"/>
      <c r="W50" s="860"/>
      <c r="X50" s="860"/>
      <c r="Y50" s="860"/>
      <c r="Z50" s="860"/>
      <c r="AA50" s="860"/>
      <c r="AB50" s="860"/>
    </row>
    <row r="51">
      <c r="I51" s="856"/>
      <c r="J51" s="859"/>
      <c r="K51" s="859"/>
      <c r="L51" s="859"/>
      <c r="M51" s="859"/>
      <c r="N51" s="859"/>
      <c r="O51" s="859"/>
      <c r="P51" s="860"/>
      <c r="Q51" s="860"/>
      <c r="R51" s="860"/>
      <c r="S51" s="860"/>
      <c r="T51" s="860"/>
      <c r="U51" s="860"/>
      <c r="V51" s="860"/>
      <c r="W51" s="860"/>
      <c r="X51" s="860"/>
      <c r="Y51" s="860"/>
      <c r="Z51" s="860"/>
      <c r="AA51" s="860"/>
      <c r="AB51" s="860"/>
    </row>
    <row r="52">
      <c r="I52" s="856"/>
      <c r="J52" s="859"/>
      <c r="K52" s="859"/>
      <c r="L52" s="859"/>
      <c r="M52" s="859"/>
      <c r="N52" s="859"/>
      <c r="O52" s="859"/>
      <c r="P52" s="860"/>
      <c r="Q52" s="860"/>
      <c r="R52" s="860"/>
      <c r="S52" s="860"/>
      <c r="T52" s="860"/>
      <c r="U52" s="860"/>
      <c r="V52" s="860"/>
      <c r="W52" s="860"/>
      <c r="X52" s="860"/>
      <c r="Y52" s="860"/>
      <c r="Z52" s="860"/>
      <c r="AA52" s="860"/>
      <c r="AB52" s="860"/>
    </row>
    <row r="53">
      <c r="I53" s="856"/>
      <c r="J53" s="859"/>
      <c r="K53" s="859"/>
      <c r="L53" s="859"/>
      <c r="M53" s="859"/>
      <c r="N53" s="859"/>
      <c r="O53" s="859"/>
      <c r="P53" s="860"/>
      <c r="Q53" s="860"/>
      <c r="R53" s="860"/>
      <c r="S53" s="860"/>
      <c r="T53" s="860"/>
      <c r="U53" s="860"/>
      <c r="V53" s="860"/>
      <c r="W53" s="860"/>
      <c r="X53" s="860"/>
      <c r="Y53" s="860"/>
      <c r="Z53" s="860"/>
      <c r="AA53" s="860"/>
      <c r="AB53" s="860"/>
    </row>
    <row r="54">
      <c r="I54" s="856"/>
      <c r="J54" s="859"/>
      <c r="K54" s="859"/>
      <c r="L54" s="859"/>
      <c r="M54" s="859"/>
      <c r="N54" s="859"/>
      <c r="O54" s="859"/>
      <c r="P54" s="860"/>
      <c r="Q54" s="860"/>
      <c r="R54" s="860"/>
      <c r="S54" s="860"/>
      <c r="T54" s="860"/>
      <c r="U54" s="860"/>
      <c r="V54" s="860"/>
      <c r="W54" s="860"/>
      <c r="X54" s="860"/>
      <c r="Y54" s="860"/>
      <c r="Z54" s="860"/>
      <c r="AA54" s="860"/>
      <c r="AB54" s="860"/>
    </row>
    <row r="55">
      <c r="I55" s="856"/>
      <c r="J55" s="859"/>
      <c r="K55" s="859"/>
      <c r="L55" s="859"/>
      <c r="M55" s="859"/>
      <c r="N55" s="859"/>
      <c r="O55" s="859"/>
      <c r="P55" s="860"/>
      <c r="Q55" s="860"/>
      <c r="R55" s="860"/>
      <c r="S55" s="860"/>
      <c r="T55" s="860"/>
      <c r="U55" s="860"/>
      <c r="V55" s="860"/>
      <c r="W55" s="860"/>
      <c r="X55" s="860"/>
      <c r="Y55" s="860"/>
      <c r="Z55" s="860"/>
      <c r="AA55" s="860"/>
      <c r="AB55" s="860"/>
    </row>
    <row r="56">
      <c r="I56" s="856"/>
      <c r="J56" s="859"/>
      <c r="K56" s="859"/>
      <c r="L56" s="859"/>
      <c r="M56" s="859"/>
      <c r="N56" s="859"/>
      <c r="O56" s="859"/>
      <c r="P56" s="860"/>
      <c r="Q56" s="860"/>
      <c r="R56" s="860"/>
      <c r="S56" s="860"/>
      <c r="T56" s="860"/>
      <c r="U56" s="860"/>
      <c r="V56" s="860"/>
      <c r="W56" s="860"/>
      <c r="X56" s="860"/>
      <c r="Y56" s="860"/>
      <c r="Z56" s="860"/>
      <c r="AA56" s="860"/>
      <c r="AB56" s="860"/>
    </row>
    <row r="57">
      <c r="I57" s="856"/>
      <c r="J57" s="859"/>
      <c r="K57" s="859"/>
      <c r="L57" s="859"/>
      <c r="M57" s="859"/>
      <c r="N57" s="859"/>
      <c r="O57" s="859"/>
      <c r="P57" s="860"/>
      <c r="Q57" s="860"/>
      <c r="R57" s="860"/>
      <c r="S57" s="860"/>
      <c r="T57" s="860"/>
      <c r="U57" s="860"/>
      <c r="V57" s="860"/>
      <c r="W57" s="860"/>
      <c r="X57" s="860"/>
      <c r="Y57" s="860"/>
      <c r="Z57" s="860"/>
      <c r="AA57" s="860"/>
      <c r="AB57" s="860"/>
    </row>
    <row r="58">
      <c r="I58" s="856"/>
      <c r="J58" s="859"/>
      <c r="K58" s="859"/>
      <c r="L58" s="859"/>
      <c r="M58" s="859"/>
      <c r="N58" s="859"/>
      <c r="O58" s="859"/>
      <c r="P58" s="860"/>
      <c r="Q58" s="860"/>
      <c r="R58" s="860"/>
      <c r="S58" s="860"/>
      <c r="T58" s="860"/>
      <c r="U58" s="860"/>
      <c r="V58" s="860"/>
      <c r="W58" s="860"/>
      <c r="X58" s="860"/>
      <c r="Y58" s="860"/>
      <c r="Z58" s="860"/>
      <c r="AA58" s="860"/>
      <c r="AB58" s="860"/>
    </row>
    <row r="59">
      <c r="I59" s="856"/>
      <c r="J59" s="859"/>
      <c r="K59" s="859"/>
      <c r="L59" s="859"/>
      <c r="M59" s="859"/>
      <c r="N59" s="859"/>
      <c r="O59" s="859"/>
      <c r="P59" s="860"/>
      <c r="Q59" s="860"/>
      <c r="R59" s="860"/>
      <c r="S59" s="860"/>
      <c r="T59" s="860"/>
      <c r="U59" s="860"/>
      <c r="V59" s="860"/>
      <c r="W59" s="860"/>
      <c r="X59" s="860"/>
      <c r="Y59" s="860"/>
      <c r="Z59" s="860"/>
      <c r="AA59" s="860"/>
      <c r="AB59" s="860"/>
    </row>
    <row r="60">
      <c r="I60" s="856"/>
      <c r="J60" s="859"/>
      <c r="K60" s="859"/>
      <c r="L60" s="859"/>
      <c r="M60" s="859"/>
      <c r="N60" s="859"/>
      <c r="O60" s="859"/>
      <c r="P60" s="860"/>
      <c r="Q60" s="860"/>
      <c r="R60" s="860"/>
      <c r="S60" s="860"/>
      <c r="T60" s="860"/>
      <c r="U60" s="860"/>
      <c r="V60" s="860"/>
      <c r="W60" s="860"/>
      <c r="X60" s="860"/>
      <c r="Y60" s="860"/>
      <c r="Z60" s="860"/>
      <c r="AA60" s="860"/>
      <c r="AB60" s="860"/>
    </row>
    <row r="61">
      <c r="I61" s="856"/>
      <c r="J61" s="859"/>
      <c r="K61" s="859"/>
      <c r="L61" s="859"/>
      <c r="M61" s="859"/>
      <c r="N61" s="859"/>
      <c r="O61" s="859"/>
      <c r="P61" s="860"/>
      <c r="Q61" s="860"/>
      <c r="R61" s="860"/>
      <c r="S61" s="860"/>
      <c r="T61" s="860"/>
      <c r="U61" s="860"/>
      <c r="V61" s="860"/>
      <c r="W61" s="860"/>
      <c r="X61" s="860"/>
      <c r="Y61" s="860"/>
      <c r="Z61" s="860"/>
      <c r="AA61" s="860"/>
      <c r="AB61" s="860"/>
    </row>
    <row r="62">
      <c r="I62" s="856"/>
      <c r="J62" s="859"/>
      <c r="K62" s="859"/>
      <c r="L62" s="859"/>
      <c r="M62" s="859"/>
      <c r="N62" s="859"/>
      <c r="O62" s="859"/>
      <c r="P62" s="860"/>
      <c r="Q62" s="860"/>
      <c r="R62" s="860"/>
      <c r="S62" s="860"/>
      <c r="T62" s="860"/>
      <c r="U62" s="860"/>
      <c r="V62" s="860"/>
      <c r="W62" s="860"/>
      <c r="X62" s="860"/>
      <c r="Y62" s="860"/>
      <c r="Z62" s="860"/>
      <c r="AA62" s="860"/>
      <c r="AB62" s="860"/>
    </row>
    <row r="63">
      <c r="I63" s="856"/>
      <c r="J63" s="859"/>
      <c r="K63" s="859"/>
      <c r="L63" s="859"/>
      <c r="M63" s="859"/>
      <c r="N63" s="859"/>
      <c r="O63" s="859"/>
      <c r="P63" s="860"/>
      <c r="Q63" s="860"/>
      <c r="R63" s="860"/>
      <c r="S63" s="860"/>
      <c r="T63" s="860"/>
      <c r="U63" s="860"/>
      <c r="V63" s="860"/>
      <c r="W63" s="860"/>
      <c r="X63" s="860"/>
      <c r="Y63" s="860"/>
      <c r="Z63" s="860"/>
      <c r="AA63" s="860"/>
      <c r="AB63" s="860"/>
    </row>
    <row r="64">
      <c r="I64" s="856"/>
      <c r="J64" s="859"/>
      <c r="K64" s="859"/>
      <c r="L64" s="859"/>
      <c r="M64" s="859"/>
      <c r="N64" s="859"/>
      <c r="O64" s="859"/>
      <c r="P64" s="860"/>
      <c r="Q64" s="860"/>
      <c r="R64" s="860"/>
      <c r="S64" s="860"/>
      <c r="T64" s="860"/>
      <c r="U64" s="860"/>
      <c r="V64" s="860"/>
      <c r="W64" s="860"/>
      <c r="X64" s="860"/>
      <c r="Y64" s="860"/>
      <c r="Z64" s="860"/>
      <c r="AA64" s="860"/>
      <c r="AB64" s="860"/>
    </row>
    <row r="65">
      <c r="I65" s="856"/>
      <c r="J65" s="859"/>
      <c r="K65" s="859"/>
      <c r="L65" s="859"/>
      <c r="M65" s="859"/>
      <c r="N65" s="859"/>
      <c r="O65" s="859"/>
      <c r="P65" s="860"/>
      <c r="Q65" s="860"/>
      <c r="R65" s="860"/>
      <c r="S65" s="860"/>
      <c r="T65" s="860"/>
      <c r="U65" s="860"/>
      <c r="V65" s="860"/>
      <c r="W65" s="860"/>
      <c r="X65" s="860"/>
      <c r="Y65" s="860"/>
      <c r="Z65" s="860"/>
      <c r="AA65" s="860"/>
      <c r="AB65" s="860"/>
    </row>
    <row r="66">
      <c r="I66" s="856"/>
      <c r="J66" s="859"/>
      <c r="K66" s="859"/>
      <c r="L66" s="859"/>
      <c r="M66" s="859"/>
      <c r="N66" s="859"/>
      <c r="O66" s="859"/>
      <c r="P66" s="860"/>
      <c r="Q66" s="860"/>
      <c r="R66" s="860"/>
      <c r="S66" s="860"/>
      <c r="T66" s="860"/>
      <c r="U66" s="860"/>
      <c r="V66" s="860"/>
      <c r="W66" s="860"/>
      <c r="X66" s="860"/>
      <c r="Y66" s="860"/>
      <c r="Z66" s="860"/>
      <c r="AA66" s="860"/>
      <c r="AB66" s="860"/>
    </row>
    <row r="67">
      <c r="I67" s="856"/>
      <c r="J67" s="859"/>
      <c r="K67" s="859"/>
      <c r="L67" s="859"/>
      <c r="M67" s="859"/>
      <c r="N67" s="859"/>
      <c r="O67" s="859"/>
      <c r="P67" s="860"/>
      <c r="Q67" s="860"/>
      <c r="R67" s="860"/>
      <c r="S67" s="860"/>
      <c r="T67" s="860"/>
      <c r="U67" s="860"/>
      <c r="V67" s="860"/>
      <c r="W67" s="860"/>
      <c r="X67" s="860"/>
      <c r="Y67" s="860"/>
      <c r="Z67" s="860"/>
      <c r="AA67" s="860"/>
      <c r="AB67" s="860"/>
    </row>
    <row r="68">
      <c r="I68" s="856"/>
      <c r="J68" s="859"/>
      <c r="K68" s="859"/>
      <c r="L68" s="859"/>
      <c r="M68" s="859"/>
      <c r="N68" s="859"/>
      <c r="O68" s="859"/>
      <c r="P68" s="860"/>
      <c r="Q68" s="860"/>
      <c r="R68" s="860"/>
      <c r="S68" s="860"/>
      <c r="T68" s="860"/>
      <c r="U68" s="860"/>
      <c r="V68" s="860"/>
      <c r="W68" s="860"/>
      <c r="X68" s="860"/>
      <c r="Y68" s="860"/>
      <c r="Z68" s="860"/>
      <c r="AA68" s="860"/>
      <c r="AB68" s="860"/>
    </row>
    <row r="69">
      <c r="I69" s="856"/>
      <c r="J69" s="859"/>
      <c r="K69" s="859"/>
      <c r="L69" s="859"/>
      <c r="M69" s="859"/>
      <c r="N69" s="859"/>
      <c r="O69" s="859"/>
      <c r="P69" s="860"/>
      <c r="Q69" s="860"/>
      <c r="R69" s="860"/>
      <c r="S69" s="860"/>
      <c r="T69" s="860"/>
      <c r="U69" s="860"/>
      <c r="V69" s="860"/>
      <c r="W69" s="860"/>
      <c r="X69" s="860"/>
      <c r="Y69" s="860"/>
      <c r="Z69" s="860"/>
      <c r="AA69" s="860"/>
      <c r="AB69" s="860"/>
    </row>
    <row r="70">
      <c r="I70" s="856"/>
      <c r="J70" s="859"/>
      <c r="K70" s="859"/>
      <c r="L70" s="859"/>
      <c r="M70" s="859"/>
      <c r="N70" s="859"/>
      <c r="O70" s="859"/>
      <c r="P70" s="860"/>
      <c r="Q70" s="860"/>
      <c r="R70" s="860"/>
      <c r="S70" s="860"/>
      <c r="T70" s="860"/>
      <c r="U70" s="860"/>
      <c r="V70" s="860"/>
      <c r="W70" s="860"/>
      <c r="X70" s="860"/>
      <c r="Y70" s="860"/>
      <c r="Z70" s="860"/>
      <c r="AA70" s="860"/>
      <c r="AB70" s="860"/>
    </row>
    <row r="71">
      <c r="I71" s="856"/>
      <c r="J71" s="859"/>
      <c r="K71" s="859"/>
      <c r="L71" s="859"/>
      <c r="M71" s="859"/>
      <c r="N71" s="859"/>
      <c r="O71" s="859"/>
      <c r="P71" s="860"/>
      <c r="Q71" s="860"/>
      <c r="R71" s="860"/>
      <c r="S71" s="860"/>
      <c r="T71" s="860"/>
      <c r="U71" s="860"/>
      <c r="V71" s="860"/>
      <c r="W71" s="860"/>
      <c r="X71" s="860"/>
      <c r="Y71" s="860"/>
      <c r="Z71" s="860"/>
      <c r="AA71" s="860"/>
      <c r="AB71" s="860"/>
    </row>
    <row r="72">
      <c r="I72" s="856"/>
      <c r="J72" s="859"/>
      <c r="K72" s="859"/>
      <c r="L72" s="859"/>
      <c r="M72" s="859"/>
      <c r="N72" s="859"/>
      <c r="O72" s="859"/>
      <c r="P72" s="860"/>
      <c r="Q72" s="860"/>
      <c r="R72" s="860"/>
      <c r="S72" s="860"/>
      <c r="T72" s="860"/>
      <c r="U72" s="860"/>
      <c r="V72" s="860"/>
      <c r="W72" s="860"/>
      <c r="X72" s="860"/>
      <c r="Y72" s="860"/>
      <c r="Z72" s="860"/>
      <c r="AA72" s="860"/>
      <c r="AB72" s="860"/>
    </row>
    <row r="73">
      <c r="I73" s="856"/>
      <c r="J73" s="859"/>
      <c r="K73" s="859"/>
      <c r="L73" s="859"/>
      <c r="M73" s="859"/>
      <c r="N73" s="859"/>
      <c r="O73" s="859"/>
      <c r="P73" s="860"/>
      <c r="Q73" s="860"/>
      <c r="R73" s="860"/>
      <c r="S73" s="860"/>
      <c r="T73" s="860"/>
      <c r="U73" s="860"/>
      <c r="V73" s="860"/>
      <c r="W73" s="860"/>
      <c r="X73" s="860"/>
      <c r="Y73" s="860"/>
      <c r="Z73" s="860"/>
      <c r="AA73" s="860"/>
      <c r="AB73" s="860"/>
    </row>
    <row r="74">
      <c r="I74" s="856"/>
      <c r="J74" s="859"/>
      <c r="K74" s="859"/>
      <c r="L74" s="859"/>
      <c r="M74" s="859"/>
      <c r="N74" s="859"/>
      <c r="O74" s="859"/>
      <c r="P74" s="860"/>
      <c r="Q74" s="860"/>
      <c r="R74" s="860"/>
      <c r="S74" s="860"/>
      <c r="T74" s="860"/>
      <c r="U74" s="860"/>
      <c r="V74" s="860"/>
      <c r="W74" s="860"/>
      <c r="X74" s="860"/>
      <c r="Y74" s="860"/>
      <c r="Z74" s="860"/>
      <c r="AA74" s="860"/>
      <c r="AB74" s="860"/>
    </row>
    <row r="75">
      <c r="I75" s="856"/>
      <c r="J75" s="859"/>
      <c r="K75" s="859"/>
      <c r="L75" s="859"/>
      <c r="M75" s="859"/>
      <c r="N75" s="859"/>
      <c r="O75" s="859"/>
      <c r="P75" s="860"/>
      <c r="Q75" s="860"/>
      <c r="R75" s="860"/>
      <c r="S75" s="860"/>
      <c r="T75" s="860"/>
      <c r="U75" s="860"/>
      <c r="V75" s="860"/>
      <c r="W75" s="860"/>
      <c r="X75" s="860"/>
      <c r="Y75" s="860"/>
      <c r="Z75" s="860"/>
      <c r="AA75" s="860"/>
      <c r="AB75" s="860"/>
    </row>
    <row r="76">
      <c r="I76" s="856"/>
      <c r="J76" s="859"/>
      <c r="K76" s="859"/>
      <c r="L76" s="859"/>
      <c r="M76" s="859"/>
      <c r="N76" s="859"/>
      <c r="O76" s="859"/>
      <c r="P76" s="860"/>
      <c r="Q76" s="860"/>
      <c r="R76" s="860"/>
      <c r="S76" s="860"/>
      <c r="T76" s="860"/>
      <c r="U76" s="860"/>
      <c r="V76" s="860"/>
      <c r="W76" s="860"/>
      <c r="X76" s="860"/>
      <c r="Y76" s="860"/>
      <c r="Z76" s="860"/>
      <c r="AA76" s="860"/>
      <c r="AB76" s="860"/>
    </row>
    <row r="77">
      <c r="I77" s="856"/>
      <c r="J77" s="859"/>
      <c r="K77" s="859"/>
      <c r="L77" s="859"/>
      <c r="M77" s="859"/>
      <c r="N77" s="859"/>
      <c r="O77" s="859"/>
      <c r="P77" s="860"/>
      <c r="Q77" s="860"/>
      <c r="R77" s="860"/>
      <c r="S77" s="860"/>
      <c r="T77" s="860"/>
      <c r="U77" s="860"/>
      <c r="V77" s="860"/>
      <c r="W77" s="860"/>
      <c r="X77" s="860"/>
      <c r="Y77" s="860"/>
      <c r="Z77" s="860"/>
      <c r="AA77" s="860"/>
      <c r="AB77" s="860"/>
    </row>
    <row r="78">
      <c r="I78" s="856"/>
      <c r="J78" s="859"/>
      <c r="K78" s="859"/>
      <c r="L78" s="859"/>
      <c r="M78" s="859"/>
      <c r="N78" s="859"/>
      <c r="O78" s="859"/>
      <c r="P78" s="860"/>
      <c r="Q78" s="860"/>
      <c r="R78" s="860"/>
      <c r="S78" s="860"/>
      <c r="T78" s="860"/>
      <c r="U78" s="860"/>
      <c r="V78" s="860"/>
      <c r="W78" s="860"/>
      <c r="X78" s="860"/>
      <c r="Y78" s="860"/>
      <c r="Z78" s="860"/>
      <c r="AA78" s="860"/>
      <c r="AB78" s="860"/>
    </row>
    <row r="79">
      <c r="I79" s="856"/>
      <c r="J79" s="859"/>
      <c r="K79" s="859"/>
      <c r="L79" s="859"/>
      <c r="M79" s="859"/>
      <c r="N79" s="859"/>
      <c r="O79" s="859"/>
      <c r="P79" s="860"/>
      <c r="Q79" s="860"/>
      <c r="R79" s="860"/>
      <c r="S79" s="860"/>
      <c r="T79" s="860"/>
      <c r="U79" s="860"/>
      <c r="V79" s="860"/>
      <c r="W79" s="860"/>
      <c r="X79" s="860"/>
      <c r="Y79" s="860"/>
      <c r="Z79" s="860"/>
      <c r="AA79" s="860"/>
      <c r="AB79" s="860"/>
    </row>
    <row r="80">
      <c r="I80" s="856"/>
      <c r="J80" s="859"/>
      <c r="K80" s="859"/>
      <c r="L80" s="859"/>
      <c r="M80" s="859"/>
      <c r="N80" s="859"/>
      <c r="O80" s="859"/>
      <c r="P80" s="860"/>
      <c r="Q80" s="860"/>
      <c r="R80" s="860"/>
      <c r="S80" s="860"/>
      <c r="T80" s="860"/>
      <c r="U80" s="860"/>
      <c r="V80" s="860"/>
      <c r="W80" s="860"/>
      <c r="X80" s="860"/>
      <c r="Y80" s="860"/>
      <c r="Z80" s="860"/>
      <c r="AA80" s="860"/>
      <c r="AB80" s="860"/>
    </row>
    <row r="81">
      <c r="I81" s="856"/>
      <c r="J81" s="859"/>
      <c r="K81" s="859"/>
      <c r="L81" s="859"/>
      <c r="M81" s="859"/>
      <c r="N81" s="859"/>
      <c r="O81" s="859"/>
      <c r="P81" s="860"/>
      <c r="Q81" s="860"/>
      <c r="R81" s="860"/>
      <c r="S81" s="860"/>
      <c r="T81" s="860"/>
      <c r="U81" s="860"/>
      <c r="V81" s="860"/>
      <c r="W81" s="860"/>
      <c r="X81" s="860"/>
      <c r="Y81" s="860"/>
      <c r="Z81" s="860"/>
      <c r="AA81" s="860"/>
      <c r="AB81" s="860"/>
    </row>
    <row r="82">
      <c r="I82" s="856"/>
      <c r="J82" s="859"/>
      <c r="K82" s="859"/>
      <c r="L82" s="859"/>
      <c r="M82" s="859"/>
      <c r="N82" s="859"/>
      <c r="O82" s="859"/>
      <c r="P82" s="860"/>
      <c r="Q82" s="860"/>
      <c r="R82" s="860"/>
      <c r="S82" s="860"/>
      <c r="T82" s="860"/>
      <c r="U82" s="860"/>
      <c r="V82" s="860"/>
      <c r="W82" s="860"/>
      <c r="X82" s="860"/>
      <c r="Y82" s="860"/>
      <c r="Z82" s="860"/>
      <c r="AA82" s="860"/>
      <c r="AB82" s="860"/>
    </row>
    <row r="83">
      <c r="I83" s="856"/>
      <c r="J83" s="859"/>
      <c r="K83" s="859"/>
      <c r="L83" s="859"/>
      <c r="M83" s="859"/>
      <c r="N83" s="859"/>
      <c r="O83" s="859"/>
      <c r="P83" s="860"/>
      <c r="Q83" s="860"/>
      <c r="R83" s="860"/>
      <c r="S83" s="860"/>
      <c r="T83" s="860"/>
      <c r="U83" s="860"/>
      <c r="V83" s="860"/>
      <c r="W83" s="860"/>
      <c r="X83" s="860"/>
      <c r="Y83" s="860"/>
      <c r="Z83" s="860"/>
      <c r="AA83" s="860"/>
      <c r="AB83" s="860"/>
    </row>
    <row r="84">
      <c r="I84" s="856"/>
      <c r="J84" s="859"/>
      <c r="K84" s="859"/>
      <c r="L84" s="859"/>
      <c r="M84" s="859"/>
      <c r="N84" s="859"/>
      <c r="O84" s="859"/>
      <c r="P84" s="860"/>
      <c r="Q84" s="860"/>
      <c r="R84" s="860"/>
      <c r="S84" s="860"/>
      <c r="T84" s="860"/>
      <c r="U84" s="860"/>
      <c r="V84" s="860"/>
      <c r="W84" s="860"/>
      <c r="X84" s="860"/>
      <c r="Y84" s="860"/>
      <c r="Z84" s="860"/>
      <c r="AA84" s="860"/>
      <c r="AB84" s="860"/>
    </row>
    <row r="85">
      <c r="I85" s="856"/>
      <c r="J85" s="859"/>
      <c r="K85" s="859"/>
      <c r="L85" s="859"/>
      <c r="M85" s="859"/>
      <c r="N85" s="859"/>
      <c r="O85" s="859"/>
      <c r="P85" s="860"/>
      <c r="Q85" s="860"/>
      <c r="R85" s="860"/>
      <c r="S85" s="860"/>
      <c r="T85" s="860"/>
      <c r="U85" s="860"/>
      <c r="V85" s="860"/>
      <c r="W85" s="860"/>
      <c r="X85" s="860"/>
      <c r="Y85" s="860"/>
      <c r="Z85" s="860"/>
      <c r="AA85" s="860"/>
      <c r="AB85" s="860"/>
    </row>
    <row r="86">
      <c r="I86" s="856"/>
      <c r="J86" s="859"/>
      <c r="K86" s="859"/>
      <c r="L86" s="859"/>
      <c r="M86" s="859"/>
      <c r="N86" s="859"/>
      <c r="O86" s="859"/>
      <c r="P86" s="860"/>
      <c r="Q86" s="860"/>
      <c r="R86" s="860"/>
      <c r="S86" s="860"/>
      <c r="T86" s="860"/>
      <c r="U86" s="860"/>
      <c r="V86" s="860"/>
      <c r="W86" s="860"/>
      <c r="X86" s="860"/>
      <c r="Y86" s="860"/>
      <c r="Z86" s="860"/>
      <c r="AA86" s="860"/>
      <c r="AB86" s="860"/>
    </row>
    <row r="87">
      <c r="I87" s="856"/>
      <c r="J87" s="859"/>
      <c r="K87" s="859"/>
      <c r="L87" s="859"/>
      <c r="M87" s="859"/>
      <c r="N87" s="859"/>
      <c r="O87" s="859"/>
      <c r="P87" s="860"/>
      <c r="Q87" s="860"/>
      <c r="R87" s="860"/>
      <c r="S87" s="860"/>
      <c r="T87" s="860"/>
      <c r="U87" s="860"/>
      <c r="V87" s="860"/>
      <c r="W87" s="860"/>
      <c r="X87" s="860"/>
      <c r="Y87" s="860"/>
      <c r="Z87" s="860"/>
      <c r="AA87" s="860"/>
      <c r="AB87" s="860"/>
    </row>
    <row r="88">
      <c r="I88" s="856"/>
      <c r="J88" s="859"/>
      <c r="K88" s="859"/>
      <c r="L88" s="859"/>
      <c r="M88" s="859"/>
      <c r="N88" s="859"/>
      <c r="O88" s="859"/>
      <c r="P88" s="860"/>
      <c r="Q88" s="860"/>
      <c r="R88" s="860"/>
      <c r="S88" s="860"/>
      <c r="T88" s="860"/>
      <c r="U88" s="860"/>
      <c r="V88" s="860"/>
      <c r="W88" s="860"/>
      <c r="X88" s="860"/>
      <c r="Y88" s="860"/>
      <c r="Z88" s="860"/>
      <c r="AA88" s="860"/>
      <c r="AB88" s="860"/>
    </row>
    <row r="89">
      <c r="I89" s="856"/>
      <c r="J89" s="859"/>
      <c r="K89" s="859"/>
      <c r="L89" s="859"/>
      <c r="M89" s="859"/>
      <c r="N89" s="859"/>
      <c r="O89" s="859"/>
      <c r="P89" s="860"/>
      <c r="Q89" s="860"/>
      <c r="R89" s="860"/>
      <c r="S89" s="860"/>
      <c r="T89" s="860"/>
      <c r="U89" s="860"/>
      <c r="V89" s="860"/>
      <c r="W89" s="860"/>
      <c r="X89" s="860"/>
      <c r="Y89" s="860"/>
      <c r="Z89" s="860"/>
      <c r="AA89" s="860"/>
      <c r="AB89" s="860"/>
    </row>
    <row r="90">
      <c r="I90" s="856"/>
      <c r="J90" s="859"/>
      <c r="K90" s="859"/>
      <c r="L90" s="859"/>
      <c r="M90" s="859"/>
      <c r="N90" s="859"/>
      <c r="O90" s="859"/>
      <c r="P90" s="860"/>
      <c r="Q90" s="860"/>
      <c r="R90" s="860"/>
      <c r="S90" s="860"/>
      <c r="T90" s="860"/>
      <c r="U90" s="860"/>
      <c r="V90" s="860"/>
      <c r="W90" s="860"/>
      <c r="X90" s="860"/>
      <c r="Y90" s="860"/>
      <c r="Z90" s="860"/>
      <c r="AA90" s="860"/>
      <c r="AB90" s="860"/>
    </row>
    <row r="91">
      <c r="I91" s="856"/>
      <c r="J91" s="859"/>
      <c r="K91" s="859"/>
      <c r="L91" s="859"/>
      <c r="M91" s="859"/>
      <c r="N91" s="859"/>
      <c r="O91" s="859"/>
      <c r="P91" s="860"/>
      <c r="Q91" s="860"/>
      <c r="R91" s="860"/>
      <c r="S91" s="860"/>
      <c r="T91" s="860"/>
      <c r="U91" s="860"/>
      <c r="V91" s="860"/>
      <c r="W91" s="860"/>
      <c r="X91" s="860"/>
      <c r="Y91" s="860"/>
      <c r="Z91" s="860"/>
      <c r="AA91" s="860"/>
      <c r="AB91" s="860"/>
    </row>
    <row r="92">
      <c r="I92" s="856"/>
      <c r="J92" s="859"/>
      <c r="K92" s="859"/>
      <c r="L92" s="859"/>
      <c r="M92" s="859"/>
      <c r="N92" s="859"/>
      <c r="O92" s="859"/>
      <c r="P92" s="860"/>
      <c r="Q92" s="860"/>
      <c r="R92" s="860"/>
      <c r="S92" s="860"/>
      <c r="T92" s="860"/>
      <c r="U92" s="860"/>
      <c r="V92" s="860"/>
      <c r="W92" s="860"/>
      <c r="X92" s="860"/>
      <c r="Y92" s="860"/>
      <c r="Z92" s="860"/>
      <c r="AA92" s="860"/>
      <c r="AB92" s="860"/>
    </row>
    <row r="93">
      <c r="I93" s="856"/>
      <c r="J93" s="859"/>
      <c r="K93" s="859"/>
      <c r="L93" s="859"/>
      <c r="M93" s="859"/>
      <c r="N93" s="859"/>
      <c r="O93" s="859"/>
      <c r="P93" s="860"/>
      <c r="Q93" s="860"/>
      <c r="R93" s="860"/>
      <c r="S93" s="860"/>
      <c r="T93" s="860"/>
      <c r="U93" s="860"/>
      <c r="V93" s="860"/>
      <c r="W93" s="860"/>
      <c r="X93" s="860"/>
      <c r="Y93" s="860"/>
      <c r="Z93" s="860"/>
      <c r="AA93" s="860"/>
      <c r="AB93" s="860"/>
    </row>
    <row r="94">
      <c r="I94" s="856"/>
      <c r="J94" s="859"/>
      <c r="K94" s="859"/>
      <c r="L94" s="859"/>
      <c r="M94" s="859"/>
      <c r="N94" s="859"/>
      <c r="O94" s="859"/>
      <c r="P94" s="860"/>
      <c r="Q94" s="860"/>
      <c r="R94" s="860"/>
      <c r="S94" s="860"/>
      <c r="T94" s="860"/>
      <c r="U94" s="860"/>
      <c r="V94" s="860"/>
      <c r="W94" s="860"/>
      <c r="X94" s="860"/>
      <c r="Y94" s="860"/>
      <c r="Z94" s="860"/>
      <c r="AA94" s="860"/>
      <c r="AB94" s="860"/>
    </row>
    <row r="95">
      <c r="I95" s="856"/>
      <c r="J95" s="859"/>
      <c r="K95" s="859"/>
      <c r="L95" s="859"/>
      <c r="M95" s="859"/>
      <c r="N95" s="859"/>
      <c r="O95" s="859"/>
      <c r="P95" s="860"/>
      <c r="Q95" s="860"/>
      <c r="R95" s="860"/>
      <c r="S95" s="860"/>
      <c r="T95" s="860"/>
      <c r="U95" s="860"/>
      <c r="V95" s="860"/>
      <c r="W95" s="860"/>
      <c r="X95" s="860"/>
      <c r="Y95" s="860"/>
      <c r="Z95" s="860"/>
      <c r="AA95" s="860"/>
      <c r="AB95" s="860"/>
    </row>
    <row r="96">
      <c r="I96" s="856"/>
      <c r="J96" s="859"/>
      <c r="K96" s="859"/>
      <c r="L96" s="859"/>
      <c r="M96" s="859"/>
      <c r="N96" s="859"/>
      <c r="O96" s="859"/>
      <c r="P96" s="860"/>
      <c r="Q96" s="860"/>
      <c r="R96" s="860"/>
      <c r="S96" s="860"/>
      <c r="T96" s="860"/>
      <c r="U96" s="860"/>
      <c r="V96" s="860"/>
      <c r="W96" s="860"/>
      <c r="X96" s="860"/>
      <c r="Y96" s="860"/>
      <c r="Z96" s="860"/>
      <c r="AA96" s="860"/>
      <c r="AB96" s="860"/>
    </row>
    <row r="97">
      <c r="I97" s="856"/>
      <c r="J97" s="859"/>
      <c r="K97" s="859"/>
      <c r="L97" s="859"/>
      <c r="M97" s="859"/>
      <c r="N97" s="859"/>
      <c r="O97" s="859"/>
      <c r="P97" s="860"/>
      <c r="Q97" s="860"/>
      <c r="R97" s="860"/>
      <c r="S97" s="860"/>
      <c r="T97" s="860"/>
      <c r="U97" s="860"/>
      <c r="V97" s="860"/>
      <c r="W97" s="860"/>
      <c r="X97" s="860"/>
      <c r="Y97" s="860"/>
      <c r="Z97" s="860"/>
      <c r="AA97" s="860"/>
      <c r="AB97" s="860"/>
    </row>
    <row r="98">
      <c r="I98" s="856"/>
      <c r="J98" s="859"/>
      <c r="K98" s="859"/>
      <c r="L98" s="859"/>
      <c r="M98" s="859"/>
      <c r="N98" s="859"/>
      <c r="O98" s="859"/>
      <c r="P98" s="860"/>
      <c r="Q98" s="860"/>
      <c r="R98" s="860"/>
      <c r="S98" s="860"/>
      <c r="T98" s="860"/>
      <c r="U98" s="860"/>
      <c r="V98" s="860"/>
      <c r="W98" s="860"/>
      <c r="X98" s="860"/>
      <c r="Y98" s="860"/>
      <c r="Z98" s="860"/>
      <c r="AA98" s="860"/>
      <c r="AB98" s="860"/>
    </row>
    <row r="99">
      <c r="I99" s="856"/>
      <c r="J99" s="859"/>
      <c r="K99" s="859"/>
      <c r="L99" s="859"/>
      <c r="M99" s="859"/>
      <c r="N99" s="859"/>
      <c r="O99" s="859"/>
      <c r="P99" s="860"/>
      <c r="Q99" s="860"/>
      <c r="R99" s="860"/>
      <c r="S99" s="860"/>
      <c r="T99" s="860"/>
      <c r="U99" s="860"/>
      <c r="V99" s="860"/>
      <c r="W99" s="860"/>
      <c r="X99" s="860"/>
      <c r="Y99" s="860"/>
      <c r="Z99" s="860"/>
      <c r="AA99" s="860"/>
      <c r="AB99" s="860"/>
    </row>
    <row r="100">
      <c r="I100" s="856"/>
      <c r="J100" s="859"/>
      <c r="K100" s="859"/>
      <c r="L100" s="859"/>
      <c r="M100" s="859"/>
      <c r="N100" s="859"/>
      <c r="O100" s="859"/>
      <c r="P100" s="860"/>
      <c r="Q100" s="860"/>
      <c r="R100" s="860"/>
      <c r="S100" s="860"/>
      <c r="T100" s="860"/>
      <c r="U100" s="860"/>
      <c r="V100" s="860"/>
      <c r="W100" s="860"/>
      <c r="X100" s="860"/>
      <c r="Y100" s="860"/>
      <c r="Z100" s="860"/>
      <c r="AA100" s="860"/>
      <c r="AB100" s="860"/>
    </row>
    <row r="101">
      <c r="I101" s="856"/>
      <c r="J101" s="859"/>
      <c r="K101" s="859"/>
      <c r="L101" s="859"/>
      <c r="M101" s="859"/>
      <c r="N101" s="859"/>
      <c r="O101" s="859"/>
      <c r="P101" s="860"/>
      <c r="Q101" s="860"/>
      <c r="R101" s="860"/>
      <c r="S101" s="860"/>
      <c r="T101" s="860"/>
      <c r="U101" s="860"/>
      <c r="V101" s="860"/>
      <c r="W101" s="860"/>
      <c r="X101" s="860"/>
      <c r="Y101" s="860"/>
      <c r="Z101" s="860"/>
      <c r="AA101" s="860"/>
      <c r="AB101" s="860"/>
    </row>
    <row r="102">
      <c r="I102" s="856"/>
      <c r="J102" s="859"/>
      <c r="K102" s="859"/>
      <c r="L102" s="859"/>
      <c r="M102" s="859"/>
      <c r="N102" s="859"/>
      <c r="O102" s="859"/>
      <c r="P102" s="860"/>
      <c r="Q102" s="860"/>
      <c r="R102" s="860"/>
      <c r="S102" s="860"/>
      <c r="T102" s="860"/>
      <c r="U102" s="860"/>
      <c r="V102" s="860"/>
      <c r="W102" s="860"/>
      <c r="X102" s="860"/>
      <c r="Y102" s="860"/>
      <c r="Z102" s="860"/>
      <c r="AA102" s="860"/>
      <c r="AB102" s="860"/>
    </row>
    <row r="103">
      <c r="I103" s="856"/>
      <c r="J103" s="859"/>
      <c r="K103" s="859"/>
      <c r="L103" s="859"/>
      <c r="M103" s="859"/>
      <c r="N103" s="859"/>
      <c r="O103" s="859"/>
      <c r="P103" s="860"/>
      <c r="Q103" s="860"/>
      <c r="R103" s="860"/>
      <c r="S103" s="860"/>
      <c r="T103" s="860"/>
      <c r="U103" s="860"/>
      <c r="V103" s="860"/>
      <c r="W103" s="860"/>
      <c r="X103" s="860"/>
      <c r="Y103" s="860"/>
      <c r="Z103" s="860"/>
      <c r="AA103" s="860"/>
      <c r="AB103" s="860"/>
    </row>
    <row r="104">
      <c r="I104" s="856"/>
      <c r="J104" s="859"/>
      <c r="K104" s="859"/>
      <c r="L104" s="859"/>
      <c r="M104" s="859"/>
      <c r="N104" s="859"/>
      <c r="O104" s="859"/>
      <c r="P104" s="860"/>
      <c r="Q104" s="860"/>
      <c r="R104" s="860"/>
      <c r="S104" s="860"/>
      <c r="T104" s="860"/>
      <c r="U104" s="860"/>
      <c r="V104" s="860"/>
      <c r="W104" s="860"/>
      <c r="X104" s="860"/>
      <c r="Y104" s="860"/>
      <c r="Z104" s="860"/>
      <c r="AA104" s="860"/>
      <c r="AB104" s="860"/>
    </row>
    <row r="105">
      <c r="I105" s="856"/>
      <c r="J105" s="859"/>
      <c r="K105" s="859"/>
      <c r="L105" s="859"/>
      <c r="M105" s="859"/>
      <c r="N105" s="859"/>
      <c r="O105" s="859"/>
      <c r="P105" s="860"/>
      <c r="Q105" s="860"/>
      <c r="R105" s="860"/>
      <c r="S105" s="860"/>
      <c r="T105" s="860"/>
      <c r="U105" s="860"/>
      <c r="V105" s="860"/>
      <c r="W105" s="860"/>
      <c r="X105" s="860"/>
      <c r="Y105" s="860"/>
      <c r="Z105" s="860"/>
      <c r="AA105" s="860"/>
      <c r="AB105" s="860"/>
    </row>
    <row r="106">
      <c r="I106" s="856"/>
      <c r="J106" s="859"/>
      <c r="K106" s="859"/>
      <c r="L106" s="859"/>
      <c r="M106" s="859"/>
      <c r="N106" s="859"/>
      <c r="O106" s="859"/>
      <c r="P106" s="860"/>
      <c r="Q106" s="860"/>
      <c r="R106" s="860"/>
      <c r="S106" s="860"/>
      <c r="T106" s="860"/>
      <c r="U106" s="860"/>
      <c r="V106" s="860"/>
      <c r="W106" s="860"/>
      <c r="X106" s="860"/>
      <c r="Y106" s="860"/>
      <c r="Z106" s="860"/>
      <c r="AA106" s="860"/>
      <c r="AB106" s="860"/>
    </row>
    <row r="107">
      <c r="I107" s="856"/>
      <c r="J107" s="859"/>
      <c r="K107" s="859"/>
      <c r="L107" s="859"/>
      <c r="M107" s="859"/>
      <c r="N107" s="859"/>
      <c r="O107" s="859"/>
      <c r="P107" s="860"/>
      <c r="Q107" s="860"/>
      <c r="R107" s="860"/>
      <c r="S107" s="860"/>
      <c r="T107" s="860"/>
      <c r="U107" s="860"/>
      <c r="V107" s="860"/>
      <c r="W107" s="860"/>
      <c r="X107" s="860"/>
      <c r="Y107" s="860"/>
      <c r="Z107" s="860"/>
      <c r="AA107" s="860"/>
      <c r="AB107" s="860"/>
    </row>
    <row r="108">
      <c r="I108" s="856"/>
      <c r="J108" s="859"/>
      <c r="K108" s="859"/>
      <c r="L108" s="859"/>
      <c r="M108" s="859"/>
      <c r="N108" s="859"/>
      <c r="O108" s="859"/>
      <c r="P108" s="860"/>
      <c r="Q108" s="860"/>
      <c r="R108" s="860"/>
      <c r="S108" s="860"/>
      <c r="T108" s="860"/>
      <c r="U108" s="860"/>
      <c r="V108" s="860"/>
      <c r="W108" s="860"/>
      <c r="X108" s="860"/>
      <c r="Y108" s="860"/>
      <c r="Z108" s="860"/>
      <c r="AA108" s="860"/>
      <c r="AB108" s="860"/>
    </row>
    <row r="109">
      <c r="I109" s="856"/>
      <c r="J109" s="859"/>
      <c r="K109" s="859"/>
      <c r="L109" s="859"/>
      <c r="M109" s="859"/>
      <c r="N109" s="859"/>
      <c r="O109" s="859"/>
      <c r="P109" s="860"/>
      <c r="Q109" s="860"/>
      <c r="R109" s="860"/>
      <c r="S109" s="860"/>
      <c r="T109" s="860"/>
      <c r="U109" s="860"/>
      <c r="V109" s="860"/>
      <c r="W109" s="860"/>
      <c r="X109" s="860"/>
      <c r="Y109" s="860"/>
      <c r="Z109" s="860"/>
      <c r="AA109" s="860"/>
      <c r="AB109" s="860"/>
    </row>
    <row r="110">
      <c r="I110" s="856"/>
      <c r="J110" s="859"/>
      <c r="K110" s="859"/>
      <c r="L110" s="859"/>
      <c r="M110" s="859"/>
      <c r="N110" s="859"/>
      <c r="O110" s="859"/>
      <c r="P110" s="860"/>
      <c r="Q110" s="860"/>
      <c r="R110" s="860"/>
      <c r="S110" s="860"/>
      <c r="T110" s="860"/>
      <c r="U110" s="860"/>
      <c r="V110" s="860"/>
      <c r="W110" s="860"/>
      <c r="X110" s="860"/>
      <c r="Y110" s="860"/>
      <c r="Z110" s="860"/>
      <c r="AA110" s="860"/>
      <c r="AB110" s="860"/>
    </row>
    <row r="111">
      <c r="I111" s="856"/>
      <c r="J111" s="859"/>
      <c r="K111" s="859"/>
      <c r="L111" s="859"/>
      <c r="M111" s="859"/>
      <c r="N111" s="859"/>
      <c r="O111" s="859"/>
      <c r="P111" s="860"/>
      <c r="Q111" s="860"/>
      <c r="R111" s="860"/>
      <c r="S111" s="860"/>
      <c r="T111" s="860"/>
      <c r="U111" s="860"/>
      <c r="V111" s="860"/>
      <c r="W111" s="860"/>
      <c r="X111" s="860"/>
      <c r="Y111" s="860"/>
      <c r="Z111" s="860"/>
      <c r="AA111" s="860"/>
      <c r="AB111" s="860"/>
    </row>
    <row r="112">
      <c r="I112" s="856"/>
      <c r="J112" s="859"/>
      <c r="K112" s="859"/>
      <c r="L112" s="859"/>
      <c r="M112" s="859"/>
      <c r="N112" s="859"/>
      <c r="O112" s="859"/>
      <c r="P112" s="860"/>
      <c r="Q112" s="860"/>
      <c r="R112" s="860"/>
      <c r="S112" s="860"/>
      <c r="T112" s="860"/>
      <c r="U112" s="860"/>
      <c r="V112" s="860"/>
      <c r="W112" s="860"/>
      <c r="X112" s="860"/>
      <c r="Y112" s="860"/>
      <c r="Z112" s="860"/>
      <c r="AA112" s="860"/>
      <c r="AB112" s="860"/>
    </row>
    <row r="113">
      <c r="I113" s="856"/>
      <c r="J113" s="859"/>
      <c r="K113" s="859"/>
      <c r="L113" s="859"/>
      <c r="M113" s="859"/>
      <c r="N113" s="859"/>
      <c r="O113" s="859"/>
      <c r="P113" s="860"/>
      <c r="Q113" s="860"/>
      <c r="R113" s="860"/>
      <c r="S113" s="860"/>
      <c r="T113" s="860"/>
      <c r="U113" s="860"/>
      <c r="V113" s="860"/>
      <c r="W113" s="860"/>
      <c r="X113" s="860"/>
      <c r="Y113" s="860"/>
      <c r="Z113" s="860"/>
      <c r="AA113" s="860"/>
      <c r="AB113" s="860"/>
    </row>
    <row r="114">
      <c r="I114" s="856"/>
      <c r="J114" s="859"/>
      <c r="K114" s="859"/>
      <c r="L114" s="859"/>
      <c r="M114" s="859"/>
      <c r="N114" s="859"/>
      <c r="O114" s="859"/>
      <c r="P114" s="860"/>
      <c r="Q114" s="860"/>
      <c r="R114" s="860"/>
      <c r="S114" s="860"/>
      <c r="T114" s="860"/>
      <c r="U114" s="860"/>
      <c r="V114" s="860"/>
      <c r="W114" s="860"/>
      <c r="X114" s="860"/>
      <c r="Y114" s="860"/>
      <c r="Z114" s="860"/>
      <c r="AA114" s="860"/>
      <c r="AB114" s="860"/>
    </row>
    <row r="115">
      <c r="I115" s="856"/>
      <c r="J115" s="859"/>
      <c r="K115" s="859"/>
      <c r="L115" s="859"/>
      <c r="M115" s="859"/>
      <c r="N115" s="859"/>
      <c r="O115" s="859"/>
      <c r="P115" s="860"/>
      <c r="Q115" s="860"/>
      <c r="R115" s="860"/>
      <c r="S115" s="860"/>
      <c r="T115" s="860"/>
      <c r="U115" s="860"/>
      <c r="V115" s="860"/>
      <c r="W115" s="860"/>
      <c r="X115" s="860"/>
      <c r="Y115" s="860"/>
      <c r="Z115" s="860"/>
      <c r="AA115" s="860"/>
      <c r="AB115" s="860"/>
    </row>
    <row r="116">
      <c r="I116" s="856"/>
      <c r="J116" s="859"/>
      <c r="K116" s="859"/>
      <c r="L116" s="859"/>
      <c r="M116" s="859"/>
      <c r="N116" s="859"/>
      <c r="O116" s="859"/>
      <c r="P116" s="860"/>
      <c r="Q116" s="860"/>
      <c r="R116" s="860"/>
      <c r="S116" s="860"/>
      <c r="T116" s="860"/>
      <c r="U116" s="860"/>
      <c r="V116" s="860"/>
      <c r="W116" s="860"/>
      <c r="X116" s="860"/>
      <c r="Y116" s="860"/>
      <c r="Z116" s="860"/>
      <c r="AA116" s="860"/>
      <c r="AB116" s="860"/>
    </row>
    <row r="117">
      <c r="I117" s="856"/>
      <c r="J117" s="859"/>
      <c r="K117" s="859"/>
      <c r="L117" s="859"/>
      <c r="M117" s="859"/>
      <c r="N117" s="859"/>
      <c r="O117" s="859"/>
      <c r="P117" s="860"/>
      <c r="Q117" s="860"/>
      <c r="R117" s="860"/>
      <c r="S117" s="860"/>
      <c r="T117" s="860"/>
      <c r="U117" s="860"/>
      <c r="V117" s="860"/>
      <c r="W117" s="860"/>
      <c r="X117" s="860"/>
      <c r="Y117" s="860"/>
      <c r="Z117" s="860"/>
      <c r="AA117" s="860"/>
      <c r="AB117" s="860"/>
    </row>
    <row r="118">
      <c r="I118" s="856"/>
      <c r="J118" s="859"/>
      <c r="K118" s="859"/>
      <c r="L118" s="859"/>
      <c r="M118" s="859"/>
      <c r="N118" s="859"/>
      <c r="O118" s="859"/>
      <c r="P118" s="860"/>
      <c r="Q118" s="860"/>
      <c r="R118" s="860"/>
      <c r="S118" s="860"/>
      <c r="T118" s="860"/>
      <c r="U118" s="860"/>
      <c r="V118" s="860"/>
      <c r="W118" s="860"/>
      <c r="X118" s="860"/>
      <c r="Y118" s="860"/>
      <c r="Z118" s="860"/>
      <c r="AA118" s="860"/>
      <c r="AB118" s="860"/>
    </row>
    <row r="119">
      <c r="I119" s="856"/>
      <c r="J119" s="859"/>
      <c r="K119" s="859"/>
      <c r="L119" s="859"/>
      <c r="M119" s="859"/>
      <c r="N119" s="859"/>
      <c r="O119" s="859"/>
      <c r="P119" s="860"/>
      <c r="Q119" s="860"/>
      <c r="R119" s="860"/>
      <c r="S119" s="860"/>
      <c r="T119" s="860"/>
      <c r="U119" s="860"/>
      <c r="V119" s="860"/>
      <c r="W119" s="860"/>
      <c r="X119" s="860"/>
      <c r="Y119" s="860"/>
      <c r="Z119" s="860"/>
      <c r="AA119" s="860"/>
      <c r="AB119" s="860"/>
    </row>
    <row r="120">
      <c r="I120" s="856"/>
      <c r="J120" s="859"/>
      <c r="K120" s="859"/>
      <c r="L120" s="859"/>
      <c r="M120" s="859"/>
      <c r="N120" s="859"/>
      <c r="O120" s="859"/>
      <c r="P120" s="860"/>
      <c r="Q120" s="860"/>
      <c r="R120" s="860"/>
      <c r="S120" s="860"/>
      <c r="T120" s="860"/>
      <c r="U120" s="860"/>
      <c r="V120" s="860"/>
      <c r="W120" s="860"/>
      <c r="X120" s="860"/>
      <c r="Y120" s="860"/>
      <c r="Z120" s="860"/>
      <c r="AA120" s="860"/>
      <c r="AB120" s="860"/>
    </row>
    <row r="121">
      <c r="I121" s="856"/>
      <c r="J121" s="859"/>
      <c r="K121" s="859"/>
      <c r="L121" s="859"/>
      <c r="M121" s="859"/>
      <c r="N121" s="859"/>
      <c r="O121" s="859"/>
      <c r="P121" s="860"/>
      <c r="Q121" s="860"/>
      <c r="R121" s="860"/>
      <c r="S121" s="860"/>
      <c r="T121" s="860"/>
      <c r="U121" s="860"/>
      <c r="V121" s="860"/>
      <c r="W121" s="860"/>
      <c r="X121" s="860"/>
      <c r="Y121" s="860"/>
      <c r="Z121" s="860"/>
      <c r="AA121" s="860"/>
      <c r="AB121" s="860"/>
    </row>
    <row r="122">
      <c r="I122" s="856"/>
      <c r="J122" s="859"/>
      <c r="K122" s="859"/>
      <c r="L122" s="859"/>
      <c r="M122" s="859"/>
      <c r="N122" s="859"/>
      <c r="O122" s="859"/>
      <c r="P122" s="860"/>
      <c r="Q122" s="860"/>
      <c r="R122" s="860"/>
      <c r="S122" s="860"/>
      <c r="T122" s="860"/>
      <c r="U122" s="860"/>
      <c r="V122" s="860"/>
      <c r="W122" s="860"/>
      <c r="X122" s="860"/>
      <c r="Y122" s="860"/>
      <c r="Z122" s="860"/>
      <c r="AA122" s="860"/>
      <c r="AB122" s="860"/>
    </row>
    <row r="123">
      <c r="I123" s="856"/>
      <c r="J123" s="859"/>
      <c r="K123" s="859"/>
      <c r="L123" s="859"/>
      <c r="M123" s="859"/>
      <c r="N123" s="859"/>
      <c r="O123" s="859"/>
      <c r="P123" s="860"/>
      <c r="Q123" s="860"/>
      <c r="R123" s="860"/>
      <c r="S123" s="860"/>
      <c r="T123" s="860"/>
      <c r="U123" s="860"/>
      <c r="V123" s="860"/>
      <c r="W123" s="860"/>
      <c r="X123" s="860"/>
      <c r="Y123" s="860"/>
      <c r="Z123" s="860"/>
      <c r="AA123" s="860"/>
      <c r="AB123" s="860"/>
    </row>
    <row r="124">
      <c r="I124" s="856"/>
      <c r="J124" s="859"/>
      <c r="K124" s="859"/>
      <c r="L124" s="859"/>
      <c r="M124" s="859"/>
      <c r="N124" s="859"/>
      <c r="O124" s="859"/>
      <c r="P124" s="860"/>
      <c r="Q124" s="860"/>
      <c r="R124" s="860"/>
      <c r="S124" s="860"/>
      <c r="T124" s="860"/>
      <c r="U124" s="860"/>
      <c r="V124" s="860"/>
      <c r="W124" s="860"/>
      <c r="X124" s="860"/>
      <c r="Y124" s="860"/>
      <c r="Z124" s="860"/>
      <c r="AA124" s="860"/>
      <c r="AB124" s="860"/>
    </row>
    <row r="125">
      <c r="I125" s="856"/>
      <c r="J125" s="859"/>
      <c r="K125" s="859"/>
      <c r="L125" s="859"/>
      <c r="M125" s="859"/>
      <c r="N125" s="859"/>
      <c r="O125" s="859"/>
      <c r="P125" s="860"/>
      <c r="Q125" s="860"/>
      <c r="R125" s="860"/>
      <c r="S125" s="860"/>
      <c r="T125" s="860"/>
      <c r="U125" s="860"/>
      <c r="V125" s="860"/>
      <c r="W125" s="860"/>
      <c r="X125" s="860"/>
      <c r="Y125" s="860"/>
      <c r="Z125" s="860"/>
      <c r="AA125" s="860"/>
      <c r="AB125" s="860"/>
    </row>
    <row r="126">
      <c r="I126" s="856"/>
      <c r="J126" s="859"/>
      <c r="K126" s="859"/>
      <c r="L126" s="859"/>
      <c r="M126" s="859"/>
      <c r="N126" s="859"/>
      <c r="O126" s="859"/>
      <c r="P126" s="860"/>
      <c r="Q126" s="860"/>
      <c r="R126" s="860"/>
      <c r="S126" s="860"/>
      <c r="T126" s="860"/>
      <c r="U126" s="860"/>
      <c r="V126" s="860"/>
      <c r="W126" s="860"/>
      <c r="X126" s="860"/>
      <c r="Y126" s="860"/>
      <c r="Z126" s="860"/>
      <c r="AA126" s="860"/>
      <c r="AB126" s="860"/>
    </row>
    <row r="127">
      <c r="I127" s="856"/>
      <c r="J127" s="859"/>
      <c r="K127" s="859"/>
      <c r="L127" s="859"/>
      <c r="M127" s="859"/>
      <c r="N127" s="859"/>
      <c r="O127" s="859"/>
      <c r="P127" s="860"/>
      <c r="Q127" s="860"/>
      <c r="R127" s="860"/>
      <c r="S127" s="860"/>
      <c r="T127" s="860"/>
      <c r="U127" s="860"/>
      <c r="V127" s="860"/>
      <c r="W127" s="860"/>
      <c r="X127" s="860"/>
      <c r="Y127" s="860"/>
      <c r="Z127" s="860"/>
      <c r="AA127" s="860"/>
      <c r="AB127" s="860"/>
    </row>
    <row r="128">
      <c r="I128" s="856"/>
      <c r="J128" s="859"/>
      <c r="K128" s="859"/>
      <c r="L128" s="859"/>
      <c r="M128" s="859"/>
      <c r="N128" s="859"/>
      <c r="O128" s="859"/>
      <c r="P128" s="860"/>
      <c r="Q128" s="860"/>
      <c r="R128" s="860"/>
      <c r="S128" s="860"/>
      <c r="T128" s="860"/>
      <c r="U128" s="860"/>
      <c r="V128" s="860"/>
      <c r="W128" s="860"/>
      <c r="X128" s="860"/>
      <c r="Y128" s="860"/>
      <c r="Z128" s="860"/>
      <c r="AA128" s="860"/>
      <c r="AB128" s="860"/>
    </row>
    <row r="129">
      <c r="I129" s="856"/>
      <c r="J129" s="859"/>
      <c r="K129" s="859"/>
      <c r="L129" s="859"/>
      <c r="M129" s="859"/>
      <c r="N129" s="859"/>
      <c r="O129" s="859"/>
      <c r="P129" s="860"/>
      <c r="Q129" s="860"/>
      <c r="R129" s="860"/>
      <c r="S129" s="860"/>
      <c r="T129" s="860"/>
      <c r="U129" s="860"/>
      <c r="V129" s="860"/>
      <c r="W129" s="860"/>
      <c r="X129" s="860"/>
      <c r="Y129" s="860"/>
      <c r="Z129" s="860"/>
      <c r="AA129" s="860"/>
      <c r="AB129" s="860"/>
    </row>
    <row r="130">
      <c r="I130" s="856"/>
      <c r="J130" s="859"/>
      <c r="K130" s="859"/>
      <c r="L130" s="859"/>
      <c r="M130" s="859"/>
      <c r="N130" s="859"/>
      <c r="O130" s="859"/>
      <c r="P130" s="860"/>
      <c r="Q130" s="860"/>
      <c r="R130" s="860"/>
      <c r="S130" s="860"/>
      <c r="T130" s="860"/>
      <c r="U130" s="860"/>
      <c r="V130" s="860"/>
      <c r="W130" s="860"/>
      <c r="X130" s="860"/>
      <c r="Y130" s="860"/>
      <c r="Z130" s="860"/>
      <c r="AA130" s="860"/>
      <c r="AB130" s="860"/>
    </row>
    <row r="131">
      <c r="I131" s="856"/>
      <c r="J131" s="859"/>
      <c r="K131" s="859"/>
      <c r="L131" s="859"/>
      <c r="M131" s="859"/>
      <c r="N131" s="859"/>
      <c r="O131" s="859"/>
      <c r="P131" s="860"/>
      <c r="Q131" s="860"/>
      <c r="R131" s="860"/>
      <c r="S131" s="860"/>
      <c r="T131" s="860"/>
      <c r="U131" s="860"/>
      <c r="V131" s="860"/>
      <c r="W131" s="860"/>
      <c r="X131" s="860"/>
      <c r="Y131" s="860"/>
      <c r="Z131" s="860"/>
      <c r="AA131" s="860"/>
      <c r="AB131" s="860"/>
    </row>
    <row r="132">
      <c r="I132" s="856"/>
      <c r="J132" s="859"/>
      <c r="K132" s="859"/>
      <c r="L132" s="859"/>
      <c r="M132" s="859"/>
      <c r="N132" s="859"/>
      <c r="O132" s="859"/>
      <c r="P132" s="860"/>
      <c r="Q132" s="860"/>
      <c r="R132" s="860"/>
      <c r="S132" s="860"/>
      <c r="T132" s="860"/>
      <c r="U132" s="860"/>
      <c r="V132" s="860"/>
      <c r="W132" s="860"/>
      <c r="X132" s="860"/>
      <c r="Y132" s="860"/>
      <c r="Z132" s="860"/>
      <c r="AA132" s="860"/>
      <c r="AB132" s="860"/>
    </row>
    <row r="133">
      <c r="I133" s="856"/>
      <c r="J133" s="859"/>
      <c r="K133" s="859"/>
      <c r="L133" s="859"/>
      <c r="M133" s="859"/>
      <c r="N133" s="859"/>
      <c r="O133" s="859"/>
      <c r="P133" s="860"/>
      <c r="Q133" s="860"/>
      <c r="R133" s="860"/>
      <c r="S133" s="860"/>
      <c r="T133" s="860"/>
      <c r="U133" s="860"/>
      <c r="V133" s="860"/>
      <c r="W133" s="860"/>
      <c r="X133" s="860"/>
      <c r="Y133" s="860"/>
      <c r="Z133" s="860"/>
      <c r="AA133" s="860"/>
      <c r="AB133" s="860"/>
    </row>
    <row r="134">
      <c r="I134" s="856"/>
      <c r="J134" s="859"/>
      <c r="K134" s="859"/>
      <c r="L134" s="859"/>
      <c r="M134" s="859"/>
      <c r="N134" s="859"/>
      <c r="O134" s="859"/>
      <c r="P134" s="860"/>
      <c r="Q134" s="860"/>
      <c r="R134" s="860"/>
      <c r="S134" s="860"/>
      <c r="T134" s="860"/>
      <c r="U134" s="860"/>
      <c r="V134" s="860"/>
      <c r="W134" s="860"/>
      <c r="X134" s="860"/>
      <c r="Y134" s="860"/>
      <c r="Z134" s="860"/>
      <c r="AA134" s="860"/>
      <c r="AB134" s="860"/>
    </row>
    <row r="135">
      <c r="I135" s="856"/>
      <c r="J135" s="859"/>
      <c r="K135" s="859"/>
      <c r="L135" s="859"/>
      <c r="M135" s="859"/>
      <c r="N135" s="859"/>
      <c r="O135" s="859"/>
      <c r="P135" s="860"/>
      <c r="Q135" s="860"/>
      <c r="R135" s="860"/>
      <c r="S135" s="860"/>
      <c r="T135" s="860"/>
      <c r="U135" s="860"/>
      <c r="V135" s="860"/>
      <c r="W135" s="860"/>
      <c r="X135" s="860"/>
      <c r="Y135" s="860"/>
      <c r="Z135" s="860"/>
      <c r="AA135" s="860"/>
      <c r="AB135" s="860"/>
    </row>
    <row r="136">
      <c r="I136" s="856"/>
      <c r="J136" s="859"/>
      <c r="K136" s="859"/>
      <c r="L136" s="859"/>
      <c r="M136" s="859"/>
      <c r="N136" s="859"/>
      <c r="O136" s="859"/>
      <c r="P136" s="860"/>
      <c r="Q136" s="860"/>
      <c r="R136" s="860"/>
      <c r="S136" s="860"/>
      <c r="T136" s="860"/>
      <c r="U136" s="860"/>
      <c r="V136" s="860"/>
      <c r="W136" s="860"/>
      <c r="X136" s="860"/>
      <c r="Y136" s="860"/>
      <c r="Z136" s="860"/>
      <c r="AA136" s="860"/>
      <c r="AB136" s="860"/>
    </row>
    <row r="137">
      <c r="I137" s="856"/>
      <c r="J137" s="859"/>
      <c r="K137" s="859"/>
      <c r="L137" s="859"/>
      <c r="M137" s="859"/>
      <c r="N137" s="859"/>
      <c r="O137" s="859"/>
      <c r="P137" s="860"/>
      <c r="Q137" s="860"/>
      <c r="R137" s="860"/>
      <c r="S137" s="860"/>
      <c r="T137" s="860"/>
      <c r="U137" s="860"/>
      <c r="V137" s="860"/>
      <c r="W137" s="860"/>
      <c r="X137" s="860"/>
      <c r="Y137" s="860"/>
      <c r="Z137" s="860"/>
      <c r="AA137" s="860"/>
      <c r="AB137" s="860"/>
    </row>
    <row r="138">
      <c r="I138" s="856"/>
      <c r="J138" s="859"/>
      <c r="K138" s="859"/>
      <c r="L138" s="859"/>
      <c r="M138" s="859"/>
      <c r="N138" s="859"/>
      <c r="O138" s="859"/>
      <c r="P138" s="860"/>
      <c r="Q138" s="860"/>
      <c r="R138" s="860"/>
      <c r="S138" s="860"/>
      <c r="T138" s="860"/>
      <c r="U138" s="860"/>
      <c r="V138" s="860"/>
      <c r="W138" s="860"/>
      <c r="X138" s="860"/>
      <c r="Y138" s="860"/>
      <c r="Z138" s="860"/>
      <c r="AA138" s="860"/>
      <c r="AB138" s="860"/>
    </row>
    <row r="139">
      <c r="I139" s="856"/>
      <c r="J139" s="859"/>
      <c r="K139" s="859"/>
      <c r="L139" s="859"/>
      <c r="M139" s="859"/>
      <c r="N139" s="859"/>
      <c r="O139" s="859"/>
      <c r="P139" s="860"/>
      <c r="Q139" s="860"/>
      <c r="R139" s="860"/>
      <c r="S139" s="860"/>
      <c r="T139" s="860"/>
      <c r="U139" s="860"/>
      <c r="V139" s="860"/>
      <c r="W139" s="860"/>
      <c r="X139" s="860"/>
      <c r="Y139" s="860"/>
      <c r="Z139" s="860"/>
      <c r="AA139" s="860"/>
      <c r="AB139" s="860"/>
    </row>
    <row r="140">
      <c r="I140" s="856"/>
      <c r="J140" s="859"/>
      <c r="K140" s="859"/>
      <c r="L140" s="859"/>
      <c r="M140" s="859"/>
      <c r="N140" s="859"/>
      <c r="O140" s="859"/>
      <c r="P140" s="860"/>
      <c r="Q140" s="860"/>
      <c r="R140" s="860"/>
      <c r="S140" s="860"/>
      <c r="T140" s="860"/>
      <c r="U140" s="860"/>
      <c r="V140" s="860"/>
      <c r="W140" s="860"/>
      <c r="X140" s="860"/>
      <c r="Y140" s="860"/>
      <c r="Z140" s="860"/>
      <c r="AA140" s="860"/>
      <c r="AB140" s="860"/>
    </row>
    <row r="141">
      <c r="I141" s="856"/>
      <c r="J141" s="859"/>
      <c r="K141" s="859"/>
      <c r="L141" s="859"/>
      <c r="M141" s="859"/>
      <c r="N141" s="859"/>
      <c r="O141" s="859"/>
      <c r="P141" s="860"/>
      <c r="Q141" s="860"/>
      <c r="R141" s="860"/>
      <c r="S141" s="860"/>
      <c r="T141" s="860"/>
      <c r="U141" s="860"/>
      <c r="V141" s="860"/>
      <c r="W141" s="860"/>
      <c r="X141" s="860"/>
      <c r="Y141" s="860"/>
      <c r="Z141" s="860"/>
      <c r="AA141" s="860"/>
      <c r="AB141" s="860"/>
    </row>
    <row r="142">
      <c r="I142" s="856"/>
      <c r="J142" s="859"/>
      <c r="K142" s="859"/>
      <c r="L142" s="859"/>
      <c r="M142" s="859"/>
      <c r="N142" s="859"/>
      <c r="O142" s="859"/>
      <c r="P142" s="860"/>
      <c r="Q142" s="860"/>
      <c r="R142" s="860"/>
      <c r="S142" s="860"/>
      <c r="T142" s="860"/>
      <c r="U142" s="860"/>
      <c r="V142" s="860"/>
      <c r="W142" s="860"/>
      <c r="X142" s="860"/>
      <c r="Y142" s="860"/>
      <c r="Z142" s="860"/>
      <c r="AA142" s="860"/>
      <c r="AB142" s="860"/>
    </row>
    <row r="143">
      <c r="I143" s="856"/>
      <c r="J143" s="859"/>
      <c r="K143" s="859"/>
      <c r="L143" s="859"/>
      <c r="M143" s="859"/>
      <c r="N143" s="859"/>
      <c r="O143" s="859"/>
      <c r="P143" s="860"/>
      <c r="Q143" s="860"/>
      <c r="R143" s="860"/>
      <c r="S143" s="860"/>
      <c r="T143" s="860"/>
      <c r="U143" s="860"/>
      <c r="V143" s="860"/>
      <c r="W143" s="860"/>
      <c r="X143" s="860"/>
      <c r="Y143" s="860"/>
      <c r="Z143" s="860"/>
      <c r="AA143" s="860"/>
      <c r="AB143" s="860"/>
    </row>
    <row r="144">
      <c r="I144" s="856"/>
      <c r="J144" s="859"/>
      <c r="K144" s="859"/>
      <c r="L144" s="859"/>
      <c r="M144" s="859"/>
      <c r="N144" s="859"/>
      <c r="O144" s="859"/>
      <c r="P144" s="860"/>
      <c r="Q144" s="860"/>
      <c r="R144" s="860"/>
      <c r="S144" s="860"/>
      <c r="T144" s="860"/>
      <c r="U144" s="860"/>
      <c r="V144" s="860"/>
      <c r="W144" s="860"/>
      <c r="X144" s="860"/>
      <c r="Y144" s="860"/>
      <c r="Z144" s="860"/>
      <c r="AA144" s="860"/>
      <c r="AB144" s="860"/>
    </row>
    <row r="145">
      <c r="I145" s="856"/>
      <c r="J145" s="859"/>
      <c r="K145" s="859"/>
      <c r="L145" s="859"/>
      <c r="M145" s="859"/>
      <c r="N145" s="859"/>
      <c r="O145" s="859"/>
      <c r="P145" s="860"/>
      <c r="Q145" s="860"/>
      <c r="R145" s="860"/>
      <c r="S145" s="860"/>
      <c r="T145" s="860"/>
      <c r="U145" s="860"/>
      <c r="V145" s="860"/>
      <c r="W145" s="860"/>
      <c r="X145" s="860"/>
      <c r="Y145" s="860"/>
      <c r="Z145" s="860"/>
      <c r="AA145" s="860"/>
      <c r="AB145" s="860"/>
    </row>
    <row r="146">
      <c r="I146" s="856"/>
      <c r="J146" s="859"/>
      <c r="K146" s="859"/>
      <c r="L146" s="859"/>
      <c r="M146" s="859"/>
      <c r="N146" s="859"/>
      <c r="O146" s="859"/>
      <c r="P146" s="860"/>
      <c r="Q146" s="860"/>
      <c r="R146" s="860"/>
      <c r="S146" s="860"/>
      <c r="T146" s="860"/>
      <c r="U146" s="860"/>
      <c r="V146" s="860"/>
      <c r="W146" s="860"/>
      <c r="X146" s="860"/>
      <c r="Y146" s="860"/>
      <c r="Z146" s="860"/>
      <c r="AA146" s="860"/>
      <c r="AB146" s="860"/>
    </row>
    <row r="147">
      <c r="I147" s="856"/>
      <c r="J147" s="859"/>
      <c r="K147" s="859"/>
      <c r="L147" s="859"/>
      <c r="M147" s="859"/>
      <c r="N147" s="859"/>
      <c r="O147" s="859"/>
      <c r="P147" s="860"/>
      <c r="Q147" s="860"/>
      <c r="R147" s="860"/>
      <c r="S147" s="860"/>
      <c r="T147" s="860"/>
      <c r="U147" s="860"/>
      <c r="V147" s="860"/>
      <c r="W147" s="860"/>
      <c r="X147" s="860"/>
      <c r="Y147" s="860"/>
      <c r="Z147" s="860"/>
      <c r="AA147" s="860"/>
      <c r="AB147" s="860"/>
    </row>
    <row r="148">
      <c r="I148" s="856"/>
      <c r="J148" s="859"/>
      <c r="K148" s="859"/>
      <c r="L148" s="859"/>
      <c r="M148" s="859"/>
      <c r="N148" s="859"/>
      <c r="O148" s="859"/>
      <c r="P148" s="860"/>
      <c r="Q148" s="860"/>
      <c r="R148" s="860"/>
      <c r="S148" s="860"/>
      <c r="T148" s="860"/>
      <c r="U148" s="860"/>
      <c r="V148" s="860"/>
      <c r="W148" s="860"/>
      <c r="X148" s="860"/>
      <c r="Y148" s="860"/>
      <c r="Z148" s="860"/>
      <c r="AA148" s="860"/>
      <c r="AB148" s="860"/>
    </row>
    <row r="149">
      <c r="I149" s="856"/>
      <c r="J149" s="859"/>
      <c r="K149" s="859"/>
      <c r="L149" s="859"/>
      <c r="M149" s="859"/>
      <c r="N149" s="859"/>
      <c r="O149" s="859"/>
      <c r="P149" s="860"/>
      <c r="Q149" s="860"/>
      <c r="R149" s="860"/>
      <c r="S149" s="860"/>
      <c r="T149" s="860"/>
      <c r="U149" s="860"/>
      <c r="V149" s="860"/>
      <c r="W149" s="860"/>
      <c r="X149" s="860"/>
      <c r="Y149" s="860"/>
      <c r="Z149" s="860"/>
      <c r="AA149" s="860"/>
      <c r="AB149" s="860"/>
    </row>
    <row r="150">
      <c r="I150" s="856"/>
      <c r="J150" s="859"/>
      <c r="K150" s="859"/>
      <c r="L150" s="859"/>
      <c r="M150" s="859"/>
      <c r="N150" s="859"/>
      <c r="O150" s="859"/>
      <c r="P150" s="860"/>
      <c r="Q150" s="860"/>
      <c r="R150" s="860"/>
      <c r="S150" s="860"/>
      <c r="T150" s="860"/>
      <c r="U150" s="860"/>
      <c r="V150" s="860"/>
      <c r="W150" s="860"/>
      <c r="X150" s="860"/>
      <c r="Y150" s="860"/>
      <c r="Z150" s="860"/>
      <c r="AA150" s="860"/>
      <c r="AB150" s="860"/>
    </row>
    <row r="151">
      <c r="I151" s="856"/>
      <c r="J151" s="859"/>
      <c r="K151" s="859"/>
      <c r="L151" s="859"/>
      <c r="M151" s="859"/>
      <c r="N151" s="859"/>
      <c r="O151" s="859"/>
      <c r="P151" s="860"/>
      <c r="Q151" s="860"/>
      <c r="R151" s="860"/>
      <c r="S151" s="860"/>
      <c r="T151" s="860"/>
      <c r="U151" s="860"/>
      <c r="V151" s="860"/>
      <c r="W151" s="860"/>
      <c r="X151" s="860"/>
      <c r="Y151" s="860"/>
      <c r="Z151" s="860"/>
      <c r="AA151" s="860"/>
      <c r="AB151" s="860"/>
    </row>
    <row r="152">
      <c r="I152" s="856"/>
      <c r="J152" s="859"/>
      <c r="K152" s="859"/>
      <c r="L152" s="859"/>
      <c r="M152" s="859"/>
      <c r="N152" s="859"/>
      <c r="O152" s="859"/>
      <c r="P152" s="860"/>
      <c r="Q152" s="860"/>
      <c r="R152" s="860"/>
      <c r="S152" s="860"/>
      <c r="T152" s="860"/>
      <c r="U152" s="860"/>
      <c r="V152" s="860"/>
      <c r="W152" s="860"/>
      <c r="X152" s="860"/>
      <c r="Y152" s="860"/>
      <c r="Z152" s="860"/>
      <c r="AA152" s="860"/>
      <c r="AB152" s="860"/>
    </row>
    <row r="153">
      <c r="I153" s="856"/>
      <c r="J153" s="859"/>
      <c r="K153" s="859"/>
      <c r="L153" s="859"/>
      <c r="M153" s="859"/>
      <c r="N153" s="859"/>
      <c r="O153" s="859"/>
      <c r="P153" s="860"/>
      <c r="Q153" s="860"/>
      <c r="R153" s="860"/>
      <c r="S153" s="860"/>
      <c r="T153" s="860"/>
      <c r="U153" s="860"/>
      <c r="V153" s="860"/>
      <c r="W153" s="860"/>
      <c r="X153" s="860"/>
      <c r="Y153" s="860"/>
      <c r="Z153" s="860"/>
      <c r="AA153" s="860"/>
      <c r="AB153" s="860"/>
    </row>
    <row r="154">
      <c r="I154" s="856"/>
      <c r="J154" s="859"/>
      <c r="K154" s="859"/>
      <c r="L154" s="859"/>
      <c r="M154" s="859"/>
      <c r="N154" s="859"/>
      <c r="O154" s="859"/>
      <c r="P154" s="860"/>
      <c r="Q154" s="860"/>
      <c r="R154" s="860"/>
      <c r="S154" s="860"/>
      <c r="T154" s="860"/>
      <c r="U154" s="860"/>
      <c r="V154" s="860"/>
      <c r="W154" s="860"/>
      <c r="X154" s="860"/>
      <c r="Y154" s="860"/>
      <c r="Z154" s="860"/>
      <c r="AA154" s="860"/>
      <c r="AB154" s="860"/>
    </row>
    <row r="155">
      <c r="I155" s="856"/>
      <c r="J155" s="859"/>
      <c r="K155" s="859"/>
      <c r="L155" s="859"/>
      <c r="M155" s="859"/>
      <c r="N155" s="859"/>
      <c r="O155" s="859"/>
      <c r="P155" s="860"/>
      <c r="Q155" s="860"/>
      <c r="R155" s="860"/>
      <c r="S155" s="860"/>
      <c r="T155" s="860"/>
      <c r="U155" s="860"/>
      <c r="V155" s="860"/>
      <c r="W155" s="860"/>
      <c r="X155" s="860"/>
      <c r="Y155" s="860"/>
      <c r="Z155" s="860"/>
      <c r="AA155" s="860"/>
      <c r="AB155" s="860"/>
    </row>
    <row r="156">
      <c r="I156" s="856"/>
      <c r="J156" s="859"/>
      <c r="K156" s="859"/>
      <c r="L156" s="859"/>
      <c r="M156" s="859"/>
      <c r="N156" s="859"/>
      <c r="O156" s="859"/>
      <c r="P156" s="860"/>
      <c r="Q156" s="860"/>
      <c r="R156" s="860"/>
      <c r="S156" s="860"/>
      <c r="T156" s="860"/>
      <c r="U156" s="860"/>
      <c r="V156" s="860"/>
      <c r="W156" s="860"/>
      <c r="X156" s="860"/>
      <c r="Y156" s="860"/>
      <c r="Z156" s="860"/>
      <c r="AA156" s="860"/>
      <c r="AB156" s="860"/>
    </row>
    <row r="157">
      <c r="I157" s="856"/>
      <c r="J157" s="859"/>
      <c r="K157" s="859"/>
      <c r="L157" s="859"/>
      <c r="M157" s="859"/>
      <c r="N157" s="859"/>
      <c r="O157" s="859"/>
      <c r="P157" s="860"/>
      <c r="Q157" s="860"/>
      <c r="R157" s="860"/>
      <c r="S157" s="860"/>
      <c r="T157" s="860"/>
      <c r="U157" s="860"/>
      <c r="V157" s="860"/>
      <c r="W157" s="860"/>
      <c r="X157" s="860"/>
      <c r="Y157" s="860"/>
      <c r="Z157" s="860"/>
      <c r="AA157" s="860"/>
      <c r="AB157" s="860"/>
    </row>
    <row r="158">
      <c r="I158" s="856"/>
      <c r="J158" s="859"/>
      <c r="K158" s="859"/>
      <c r="L158" s="859"/>
      <c r="M158" s="859"/>
      <c r="N158" s="859"/>
      <c r="O158" s="859"/>
      <c r="P158" s="860"/>
      <c r="Q158" s="860"/>
      <c r="R158" s="860"/>
      <c r="S158" s="860"/>
      <c r="T158" s="860"/>
      <c r="U158" s="860"/>
      <c r="V158" s="860"/>
      <c r="W158" s="860"/>
      <c r="X158" s="860"/>
      <c r="Y158" s="860"/>
      <c r="Z158" s="860"/>
      <c r="AA158" s="860"/>
      <c r="AB158" s="860"/>
    </row>
    <row r="159">
      <c r="I159" s="856"/>
      <c r="J159" s="859"/>
      <c r="K159" s="859"/>
      <c r="L159" s="859"/>
      <c r="M159" s="859"/>
      <c r="N159" s="859"/>
      <c r="O159" s="859"/>
      <c r="P159" s="860"/>
      <c r="Q159" s="860"/>
      <c r="R159" s="860"/>
      <c r="S159" s="860"/>
      <c r="T159" s="860"/>
      <c r="U159" s="860"/>
      <c r="V159" s="860"/>
      <c r="W159" s="860"/>
      <c r="X159" s="860"/>
      <c r="Y159" s="860"/>
      <c r="Z159" s="860"/>
      <c r="AA159" s="860"/>
      <c r="AB159" s="860"/>
    </row>
    <row r="160">
      <c r="I160" s="856"/>
      <c r="J160" s="859"/>
      <c r="K160" s="859"/>
      <c r="L160" s="859"/>
      <c r="M160" s="859"/>
      <c r="N160" s="859"/>
      <c r="O160" s="859"/>
      <c r="P160" s="860"/>
      <c r="Q160" s="860"/>
      <c r="R160" s="860"/>
      <c r="S160" s="860"/>
      <c r="T160" s="860"/>
      <c r="U160" s="860"/>
      <c r="V160" s="860"/>
      <c r="W160" s="860"/>
      <c r="X160" s="860"/>
      <c r="Y160" s="860"/>
      <c r="Z160" s="860"/>
      <c r="AA160" s="860"/>
      <c r="AB160" s="860"/>
    </row>
    <row r="161">
      <c r="I161" s="856"/>
      <c r="J161" s="859"/>
      <c r="K161" s="859"/>
      <c r="L161" s="859"/>
      <c r="M161" s="859"/>
      <c r="N161" s="859"/>
      <c r="O161" s="859"/>
      <c r="P161" s="860"/>
      <c r="Q161" s="860"/>
      <c r="R161" s="860"/>
      <c r="S161" s="860"/>
      <c r="T161" s="860"/>
      <c r="U161" s="860"/>
      <c r="V161" s="860"/>
      <c r="W161" s="860"/>
      <c r="X161" s="860"/>
      <c r="Y161" s="860"/>
      <c r="Z161" s="860"/>
      <c r="AA161" s="860"/>
      <c r="AB161" s="860"/>
    </row>
    <row r="162">
      <c r="I162" s="856"/>
      <c r="J162" s="859"/>
      <c r="K162" s="859"/>
      <c r="L162" s="859"/>
      <c r="M162" s="859"/>
      <c r="N162" s="859"/>
      <c r="O162" s="859"/>
      <c r="P162" s="860"/>
      <c r="Q162" s="860"/>
      <c r="R162" s="860"/>
      <c r="S162" s="860"/>
      <c r="T162" s="860"/>
      <c r="U162" s="860"/>
      <c r="V162" s="860"/>
      <c r="W162" s="860"/>
      <c r="X162" s="860"/>
      <c r="Y162" s="860"/>
      <c r="Z162" s="860"/>
      <c r="AA162" s="860"/>
      <c r="AB162" s="860"/>
    </row>
    <row r="163">
      <c r="I163" s="856"/>
      <c r="J163" s="859"/>
      <c r="K163" s="859"/>
      <c r="L163" s="859"/>
      <c r="M163" s="859"/>
      <c r="N163" s="859"/>
      <c r="O163" s="859"/>
      <c r="P163" s="860"/>
      <c r="Q163" s="860"/>
      <c r="R163" s="860"/>
      <c r="S163" s="860"/>
      <c r="T163" s="860"/>
      <c r="U163" s="860"/>
      <c r="V163" s="860"/>
      <c r="W163" s="860"/>
      <c r="X163" s="860"/>
      <c r="Y163" s="860"/>
      <c r="Z163" s="860"/>
      <c r="AA163" s="860"/>
      <c r="AB163" s="860"/>
    </row>
    <row r="164">
      <c r="I164" s="856"/>
      <c r="J164" s="859"/>
      <c r="K164" s="859"/>
      <c r="L164" s="859"/>
      <c r="M164" s="859"/>
      <c r="N164" s="859"/>
      <c r="O164" s="859"/>
      <c r="P164" s="860"/>
      <c r="Q164" s="860"/>
      <c r="R164" s="860"/>
      <c r="S164" s="860"/>
      <c r="T164" s="860"/>
      <c r="U164" s="860"/>
      <c r="V164" s="860"/>
      <c r="W164" s="860"/>
      <c r="X164" s="860"/>
      <c r="Y164" s="860"/>
      <c r="Z164" s="860"/>
      <c r="AA164" s="860"/>
      <c r="AB164" s="860"/>
    </row>
    <row r="165">
      <c r="I165" s="856"/>
      <c r="J165" s="859"/>
      <c r="K165" s="859"/>
      <c r="L165" s="859"/>
      <c r="M165" s="859"/>
      <c r="N165" s="859"/>
      <c r="O165" s="859"/>
      <c r="P165" s="860"/>
      <c r="Q165" s="860"/>
      <c r="R165" s="860"/>
      <c r="S165" s="860"/>
      <c r="T165" s="860"/>
      <c r="U165" s="860"/>
      <c r="V165" s="860"/>
      <c r="W165" s="860"/>
      <c r="X165" s="860"/>
      <c r="Y165" s="860"/>
      <c r="Z165" s="860"/>
      <c r="AA165" s="860"/>
      <c r="AB165" s="860"/>
    </row>
    <row r="166">
      <c r="I166" s="856"/>
      <c r="J166" s="859"/>
      <c r="K166" s="859"/>
      <c r="L166" s="859"/>
      <c r="M166" s="859"/>
      <c r="N166" s="859"/>
      <c r="O166" s="859"/>
      <c r="P166" s="860"/>
      <c r="Q166" s="860"/>
      <c r="R166" s="860"/>
      <c r="S166" s="860"/>
      <c r="T166" s="860"/>
      <c r="U166" s="860"/>
      <c r="V166" s="860"/>
      <c r="W166" s="860"/>
      <c r="X166" s="860"/>
      <c r="Y166" s="860"/>
      <c r="Z166" s="860"/>
      <c r="AA166" s="860"/>
      <c r="AB166" s="860"/>
    </row>
    <row r="167">
      <c r="I167" s="856"/>
      <c r="J167" s="859"/>
      <c r="K167" s="859"/>
      <c r="L167" s="859"/>
      <c r="M167" s="859"/>
      <c r="N167" s="859"/>
      <c r="O167" s="859"/>
      <c r="P167" s="860"/>
      <c r="Q167" s="860"/>
      <c r="R167" s="860"/>
      <c r="S167" s="860"/>
      <c r="T167" s="860"/>
      <c r="U167" s="860"/>
      <c r="V167" s="860"/>
      <c r="W167" s="860"/>
      <c r="X167" s="860"/>
      <c r="Y167" s="860"/>
      <c r="Z167" s="860"/>
      <c r="AA167" s="860"/>
      <c r="AB167" s="860"/>
    </row>
    <row r="168">
      <c r="I168" s="856"/>
      <c r="J168" s="859"/>
      <c r="K168" s="859"/>
      <c r="L168" s="859"/>
      <c r="M168" s="859"/>
      <c r="N168" s="859"/>
      <c r="O168" s="859"/>
      <c r="P168" s="860"/>
      <c r="Q168" s="860"/>
      <c r="R168" s="860"/>
      <c r="S168" s="860"/>
      <c r="T168" s="860"/>
      <c r="U168" s="860"/>
      <c r="V168" s="860"/>
      <c r="W168" s="860"/>
      <c r="X168" s="860"/>
      <c r="Y168" s="860"/>
      <c r="Z168" s="860"/>
      <c r="AA168" s="860"/>
      <c r="AB168" s="860"/>
    </row>
    <row r="169">
      <c r="I169" s="856"/>
      <c r="J169" s="859"/>
      <c r="K169" s="859"/>
      <c r="L169" s="859"/>
      <c r="M169" s="859"/>
      <c r="N169" s="859"/>
      <c r="O169" s="859"/>
      <c r="P169" s="860"/>
      <c r="Q169" s="860"/>
      <c r="R169" s="860"/>
      <c r="S169" s="860"/>
      <c r="T169" s="860"/>
      <c r="U169" s="860"/>
      <c r="V169" s="860"/>
      <c r="W169" s="860"/>
      <c r="X169" s="860"/>
      <c r="Y169" s="860"/>
      <c r="Z169" s="860"/>
      <c r="AA169" s="860"/>
      <c r="AB169" s="860"/>
    </row>
    <row r="170">
      <c r="I170" s="856"/>
      <c r="J170" s="859"/>
      <c r="K170" s="859"/>
      <c r="L170" s="859"/>
      <c r="M170" s="859"/>
      <c r="N170" s="859"/>
      <c r="O170" s="859"/>
      <c r="P170" s="860"/>
      <c r="Q170" s="860"/>
      <c r="R170" s="860"/>
      <c r="S170" s="860"/>
      <c r="T170" s="860"/>
      <c r="U170" s="860"/>
      <c r="V170" s="860"/>
      <c r="W170" s="860"/>
      <c r="X170" s="860"/>
      <c r="Y170" s="860"/>
      <c r="Z170" s="860"/>
      <c r="AA170" s="860"/>
      <c r="AB170" s="860"/>
    </row>
    <row r="171">
      <c r="I171" s="856"/>
      <c r="J171" s="859"/>
      <c r="K171" s="859"/>
      <c r="L171" s="859"/>
      <c r="M171" s="859"/>
      <c r="N171" s="859"/>
      <c r="O171" s="859"/>
      <c r="P171" s="860"/>
      <c r="Q171" s="860"/>
      <c r="R171" s="860"/>
      <c r="S171" s="860"/>
      <c r="T171" s="860"/>
      <c r="U171" s="860"/>
      <c r="V171" s="860"/>
      <c r="W171" s="860"/>
      <c r="X171" s="860"/>
      <c r="Y171" s="860"/>
      <c r="Z171" s="860"/>
      <c r="AA171" s="860"/>
      <c r="AB171" s="860"/>
    </row>
    <row r="172">
      <c r="I172" s="856"/>
      <c r="J172" s="859"/>
      <c r="K172" s="859"/>
      <c r="L172" s="859"/>
      <c r="M172" s="859"/>
      <c r="N172" s="859"/>
      <c r="O172" s="859"/>
      <c r="P172" s="860"/>
      <c r="Q172" s="860"/>
      <c r="R172" s="860"/>
      <c r="S172" s="860"/>
      <c r="T172" s="860"/>
      <c r="U172" s="860"/>
      <c r="V172" s="860"/>
      <c r="W172" s="860"/>
      <c r="X172" s="860"/>
      <c r="Y172" s="860"/>
      <c r="Z172" s="860"/>
      <c r="AA172" s="860"/>
      <c r="AB172" s="860"/>
    </row>
    <row r="173">
      <c r="I173" s="856"/>
      <c r="J173" s="859"/>
      <c r="K173" s="859"/>
      <c r="L173" s="859"/>
      <c r="M173" s="859"/>
      <c r="N173" s="859"/>
      <c r="O173" s="859"/>
      <c r="P173" s="860"/>
      <c r="Q173" s="860"/>
      <c r="R173" s="860"/>
      <c r="S173" s="860"/>
      <c r="T173" s="860"/>
      <c r="U173" s="860"/>
      <c r="V173" s="860"/>
      <c r="W173" s="860"/>
      <c r="X173" s="860"/>
      <c r="Y173" s="860"/>
      <c r="Z173" s="860"/>
      <c r="AA173" s="860"/>
      <c r="AB173" s="860"/>
    </row>
    <row r="174">
      <c r="I174" s="856"/>
      <c r="J174" s="859"/>
      <c r="K174" s="859"/>
      <c r="L174" s="859"/>
      <c r="M174" s="859"/>
      <c r="N174" s="859"/>
      <c r="O174" s="859"/>
      <c r="P174" s="860"/>
      <c r="Q174" s="860"/>
      <c r="R174" s="860"/>
      <c r="S174" s="860"/>
      <c r="T174" s="860"/>
      <c r="U174" s="860"/>
      <c r="V174" s="860"/>
      <c r="W174" s="860"/>
      <c r="X174" s="860"/>
      <c r="Y174" s="860"/>
      <c r="Z174" s="860"/>
      <c r="AA174" s="860"/>
      <c r="AB174" s="860"/>
    </row>
    <row r="175">
      <c r="I175" s="856"/>
      <c r="J175" s="859"/>
      <c r="K175" s="859"/>
      <c r="L175" s="859"/>
      <c r="M175" s="859"/>
      <c r="N175" s="859"/>
      <c r="O175" s="859"/>
      <c r="P175" s="860"/>
      <c r="Q175" s="860"/>
      <c r="R175" s="860"/>
      <c r="S175" s="860"/>
      <c r="T175" s="860"/>
      <c r="U175" s="860"/>
      <c r="V175" s="860"/>
      <c r="W175" s="860"/>
      <c r="X175" s="860"/>
      <c r="Y175" s="860"/>
      <c r="Z175" s="860"/>
      <c r="AA175" s="860"/>
      <c r="AB175" s="860"/>
    </row>
    <row r="176">
      <c r="I176" s="856"/>
      <c r="J176" s="859"/>
      <c r="K176" s="859"/>
      <c r="L176" s="859"/>
      <c r="M176" s="859"/>
      <c r="N176" s="859"/>
      <c r="O176" s="859"/>
      <c r="P176" s="860"/>
      <c r="Q176" s="860"/>
      <c r="R176" s="860"/>
      <c r="S176" s="860"/>
      <c r="T176" s="860"/>
      <c r="U176" s="860"/>
      <c r="V176" s="860"/>
      <c r="W176" s="860"/>
      <c r="X176" s="860"/>
      <c r="Y176" s="860"/>
      <c r="Z176" s="860"/>
      <c r="AA176" s="860"/>
      <c r="AB176" s="860"/>
    </row>
    <row r="177">
      <c r="I177" s="856"/>
      <c r="J177" s="859"/>
      <c r="K177" s="859"/>
      <c r="L177" s="859"/>
      <c r="M177" s="859"/>
      <c r="N177" s="859"/>
      <c r="O177" s="859"/>
      <c r="P177" s="860"/>
      <c r="Q177" s="860"/>
      <c r="R177" s="860"/>
      <c r="S177" s="860"/>
      <c r="T177" s="860"/>
      <c r="U177" s="860"/>
      <c r="V177" s="860"/>
      <c r="W177" s="860"/>
      <c r="X177" s="860"/>
      <c r="Y177" s="860"/>
      <c r="Z177" s="860"/>
      <c r="AA177" s="860"/>
      <c r="AB177" s="860"/>
    </row>
    <row r="178">
      <c r="I178" s="856"/>
      <c r="J178" s="859"/>
      <c r="K178" s="859"/>
      <c r="L178" s="859"/>
      <c r="M178" s="859"/>
      <c r="N178" s="859"/>
      <c r="O178" s="859"/>
      <c r="P178" s="860"/>
      <c r="Q178" s="860"/>
      <c r="R178" s="860"/>
      <c r="S178" s="860"/>
      <c r="T178" s="860"/>
      <c r="U178" s="860"/>
      <c r="V178" s="860"/>
      <c r="W178" s="860"/>
      <c r="X178" s="860"/>
      <c r="Y178" s="860"/>
      <c r="Z178" s="860"/>
      <c r="AA178" s="860"/>
      <c r="AB178" s="860"/>
    </row>
    <row r="179">
      <c r="I179" s="856"/>
      <c r="J179" s="859"/>
      <c r="K179" s="859"/>
      <c r="L179" s="859"/>
      <c r="M179" s="859"/>
      <c r="N179" s="859"/>
      <c r="O179" s="859"/>
      <c r="P179" s="860"/>
      <c r="Q179" s="860"/>
      <c r="R179" s="860"/>
      <c r="S179" s="860"/>
      <c r="T179" s="860"/>
      <c r="U179" s="860"/>
      <c r="V179" s="860"/>
      <c r="W179" s="860"/>
      <c r="X179" s="860"/>
      <c r="Y179" s="860"/>
      <c r="Z179" s="860"/>
      <c r="AA179" s="860"/>
      <c r="AB179" s="860"/>
    </row>
    <row r="180">
      <c r="I180" s="856"/>
      <c r="J180" s="859"/>
      <c r="K180" s="859"/>
      <c r="L180" s="859"/>
      <c r="M180" s="859"/>
      <c r="N180" s="859"/>
      <c r="O180" s="859"/>
      <c r="P180" s="860"/>
      <c r="Q180" s="860"/>
      <c r="R180" s="860"/>
      <c r="S180" s="860"/>
      <c r="T180" s="860"/>
      <c r="U180" s="860"/>
      <c r="V180" s="860"/>
      <c r="W180" s="860"/>
      <c r="X180" s="860"/>
      <c r="Y180" s="860"/>
      <c r="Z180" s="860"/>
      <c r="AA180" s="860"/>
      <c r="AB180" s="860"/>
    </row>
    <row r="181">
      <c r="I181" s="856"/>
      <c r="J181" s="859"/>
      <c r="K181" s="859"/>
      <c r="L181" s="859"/>
      <c r="M181" s="859"/>
      <c r="N181" s="859"/>
      <c r="O181" s="859"/>
      <c r="P181" s="860"/>
      <c r="Q181" s="860"/>
      <c r="R181" s="860"/>
      <c r="S181" s="860"/>
      <c r="T181" s="860"/>
      <c r="U181" s="860"/>
      <c r="V181" s="860"/>
      <c r="W181" s="860"/>
      <c r="X181" s="860"/>
      <c r="Y181" s="860"/>
      <c r="Z181" s="860"/>
      <c r="AA181" s="860"/>
      <c r="AB181" s="860"/>
    </row>
    <row r="182">
      <c r="I182" s="856"/>
      <c r="J182" s="859"/>
      <c r="K182" s="859"/>
      <c r="L182" s="859"/>
      <c r="M182" s="859"/>
      <c r="N182" s="859"/>
      <c r="O182" s="859"/>
      <c r="P182" s="860"/>
      <c r="Q182" s="860"/>
      <c r="R182" s="860"/>
      <c r="S182" s="860"/>
      <c r="T182" s="860"/>
      <c r="U182" s="860"/>
      <c r="V182" s="860"/>
      <c r="W182" s="860"/>
      <c r="X182" s="860"/>
      <c r="Y182" s="860"/>
      <c r="Z182" s="860"/>
      <c r="AA182" s="860"/>
      <c r="AB182" s="860"/>
    </row>
    <row r="183">
      <c r="I183" s="856"/>
      <c r="J183" s="859"/>
      <c r="K183" s="859"/>
      <c r="L183" s="859"/>
      <c r="M183" s="859"/>
      <c r="N183" s="859"/>
      <c r="O183" s="859"/>
      <c r="P183" s="860"/>
      <c r="Q183" s="860"/>
      <c r="R183" s="860"/>
      <c r="S183" s="860"/>
      <c r="T183" s="860"/>
      <c r="U183" s="860"/>
      <c r="V183" s="860"/>
      <c r="W183" s="860"/>
      <c r="X183" s="860"/>
      <c r="Y183" s="860"/>
      <c r="Z183" s="860"/>
      <c r="AA183" s="860"/>
      <c r="AB183" s="860"/>
    </row>
    <row r="184">
      <c r="I184" s="856"/>
      <c r="J184" s="859"/>
      <c r="K184" s="859"/>
      <c r="L184" s="859"/>
      <c r="M184" s="859"/>
      <c r="N184" s="859"/>
      <c r="O184" s="859"/>
      <c r="P184" s="860"/>
      <c r="Q184" s="860"/>
      <c r="R184" s="860"/>
      <c r="S184" s="860"/>
      <c r="T184" s="860"/>
      <c r="U184" s="860"/>
      <c r="V184" s="860"/>
      <c r="W184" s="860"/>
      <c r="X184" s="860"/>
      <c r="Y184" s="860"/>
      <c r="Z184" s="860"/>
      <c r="AA184" s="860"/>
      <c r="AB184" s="860"/>
    </row>
    <row r="185">
      <c r="I185" s="856"/>
      <c r="J185" s="859"/>
      <c r="K185" s="859"/>
      <c r="L185" s="859"/>
      <c r="M185" s="859"/>
      <c r="N185" s="859"/>
      <c r="O185" s="859"/>
      <c r="P185" s="860"/>
      <c r="Q185" s="860"/>
      <c r="R185" s="860"/>
      <c r="S185" s="860"/>
      <c r="T185" s="860"/>
      <c r="U185" s="860"/>
      <c r="V185" s="860"/>
      <c r="W185" s="860"/>
      <c r="X185" s="860"/>
      <c r="Y185" s="860"/>
      <c r="Z185" s="860"/>
      <c r="AA185" s="860"/>
      <c r="AB185" s="860"/>
    </row>
    <row r="186">
      <c r="I186" s="856"/>
      <c r="J186" s="859"/>
      <c r="K186" s="859"/>
      <c r="L186" s="859"/>
      <c r="M186" s="859"/>
      <c r="N186" s="859"/>
      <c r="O186" s="859"/>
      <c r="P186" s="860"/>
      <c r="Q186" s="860"/>
      <c r="R186" s="860"/>
      <c r="S186" s="860"/>
      <c r="T186" s="860"/>
      <c r="U186" s="860"/>
      <c r="V186" s="860"/>
      <c r="W186" s="860"/>
      <c r="X186" s="860"/>
      <c r="Y186" s="860"/>
      <c r="Z186" s="860"/>
      <c r="AA186" s="860"/>
      <c r="AB186" s="860"/>
    </row>
    <row r="187">
      <c r="I187" s="856"/>
      <c r="J187" s="859"/>
      <c r="K187" s="859"/>
      <c r="L187" s="859"/>
      <c r="M187" s="859"/>
      <c r="N187" s="859"/>
      <c r="O187" s="859"/>
      <c r="P187" s="860"/>
      <c r="Q187" s="860"/>
      <c r="R187" s="860"/>
      <c r="S187" s="860"/>
      <c r="T187" s="860"/>
      <c r="U187" s="860"/>
      <c r="V187" s="860"/>
      <c r="W187" s="860"/>
      <c r="X187" s="860"/>
      <c r="Y187" s="860"/>
      <c r="Z187" s="860"/>
      <c r="AA187" s="860"/>
      <c r="AB187" s="860"/>
    </row>
    <row r="188">
      <c r="I188" s="856"/>
      <c r="J188" s="859"/>
      <c r="K188" s="859"/>
      <c r="L188" s="859"/>
      <c r="M188" s="859"/>
      <c r="N188" s="859"/>
      <c r="O188" s="859"/>
      <c r="P188" s="860"/>
      <c r="Q188" s="860"/>
      <c r="R188" s="860"/>
      <c r="S188" s="860"/>
      <c r="T188" s="860"/>
      <c r="U188" s="860"/>
      <c r="V188" s="860"/>
      <c r="W188" s="860"/>
      <c r="X188" s="860"/>
      <c r="Y188" s="860"/>
      <c r="Z188" s="860"/>
      <c r="AA188" s="860"/>
      <c r="AB188" s="860"/>
    </row>
    <row r="189">
      <c r="I189" s="856"/>
      <c r="J189" s="859"/>
      <c r="K189" s="859"/>
      <c r="L189" s="859"/>
      <c r="M189" s="859"/>
      <c r="N189" s="859"/>
      <c r="O189" s="859"/>
      <c r="P189" s="860"/>
      <c r="Q189" s="860"/>
      <c r="R189" s="860"/>
      <c r="S189" s="860"/>
      <c r="T189" s="860"/>
      <c r="U189" s="860"/>
      <c r="V189" s="860"/>
      <c r="W189" s="860"/>
      <c r="X189" s="860"/>
      <c r="Y189" s="860"/>
      <c r="Z189" s="860"/>
      <c r="AA189" s="860"/>
      <c r="AB189" s="860"/>
    </row>
    <row r="190">
      <c r="I190" s="856"/>
      <c r="J190" s="859"/>
      <c r="K190" s="859"/>
      <c r="L190" s="859"/>
      <c r="M190" s="859"/>
      <c r="N190" s="859"/>
      <c r="O190" s="859"/>
      <c r="P190" s="860"/>
      <c r="Q190" s="860"/>
      <c r="R190" s="860"/>
      <c r="S190" s="860"/>
      <c r="T190" s="860"/>
      <c r="U190" s="860"/>
      <c r="V190" s="860"/>
      <c r="W190" s="860"/>
      <c r="X190" s="860"/>
      <c r="Y190" s="860"/>
      <c r="Z190" s="860"/>
      <c r="AA190" s="860"/>
      <c r="AB190" s="860"/>
    </row>
    <row r="191">
      <c r="I191" s="856"/>
      <c r="J191" s="859"/>
      <c r="K191" s="859"/>
      <c r="L191" s="859"/>
      <c r="M191" s="859"/>
      <c r="N191" s="859"/>
      <c r="O191" s="859"/>
      <c r="P191" s="860"/>
      <c r="Q191" s="860"/>
      <c r="R191" s="860"/>
      <c r="S191" s="860"/>
      <c r="T191" s="860"/>
      <c r="U191" s="860"/>
      <c r="V191" s="860"/>
      <c r="W191" s="860"/>
      <c r="X191" s="860"/>
      <c r="Y191" s="860"/>
      <c r="Z191" s="860"/>
      <c r="AA191" s="860"/>
      <c r="AB191" s="860"/>
    </row>
    <row r="192">
      <c r="I192" s="856"/>
      <c r="J192" s="859"/>
      <c r="K192" s="859"/>
      <c r="L192" s="859"/>
      <c r="M192" s="859"/>
      <c r="N192" s="859"/>
      <c r="O192" s="859"/>
      <c r="P192" s="860"/>
      <c r="Q192" s="860"/>
      <c r="R192" s="860"/>
      <c r="S192" s="860"/>
      <c r="T192" s="860"/>
      <c r="U192" s="860"/>
      <c r="V192" s="860"/>
      <c r="W192" s="860"/>
      <c r="X192" s="860"/>
      <c r="Y192" s="860"/>
      <c r="Z192" s="860"/>
      <c r="AA192" s="860"/>
      <c r="AB192" s="860"/>
    </row>
    <row r="193">
      <c r="I193" s="856"/>
      <c r="J193" s="859"/>
      <c r="K193" s="859"/>
      <c r="L193" s="859"/>
      <c r="M193" s="859"/>
      <c r="N193" s="859"/>
      <c r="O193" s="859"/>
      <c r="P193" s="860"/>
      <c r="Q193" s="860"/>
      <c r="R193" s="860"/>
      <c r="S193" s="860"/>
      <c r="T193" s="860"/>
      <c r="U193" s="860"/>
      <c r="V193" s="860"/>
      <c r="W193" s="860"/>
      <c r="X193" s="860"/>
      <c r="Y193" s="860"/>
      <c r="Z193" s="860"/>
      <c r="AA193" s="860"/>
      <c r="AB193" s="860"/>
    </row>
    <row r="194">
      <c r="I194" s="856"/>
      <c r="J194" s="859"/>
      <c r="K194" s="859"/>
      <c r="L194" s="859"/>
      <c r="M194" s="859"/>
      <c r="N194" s="859"/>
      <c r="O194" s="859"/>
      <c r="P194" s="860"/>
      <c r="Q194" s="860"/>
      <c r="R194" s="860"/>
      <c r="S194" s="860"/>
      <c r="T194" s="860"/>
      <c r="U194" s="860"/>
      <c r="V194" s="860"/>
      <c r="W194" s="860"/>
      <c r="X194" s="860"/>
      <c r="Y194" s="860"/>
      <c r="Z194" s="860"/>
      <c r="AA194" s="860"/>
      <c r="AB194" s="860"/>
    </row>
    <row r="195">
      <c r="I195" s="856"/>
      <c r="J195" s="859"/>
      <c r="K195" s="859"/>
      <c r="L195" s="859"/>
      <c r="M195" s="859"/>
      <c r="N195" s="859"/>
      <c r="O195" s="859"/>
      <c r="P195" s="860"/>
      <c r="Q195" s="860"/>
      <c r="R195" s="860"/>
      <c r="S195" s="860"/>
      <c r="T195" s="860"/>
      <c r="U195" s="860"/>
      <c r="V195" s="860"/>
      <c r="W195" s="860"/>
      <c r="X195" s="860"/>
      <c r="Y195" s="860"/>
      <c r="Z195" s="860"/>
      <c r="AA195" s="860"/>
      <c r="AB195" s="860"/>
    </row>
    <row r="196">
      <c r="I196" s="856"/>
      <c r="J196" s="859"/>
      <c r="K196" s="859"/>
      <c r="L196" s="859"/>
      <c r="M196" s="859"/>
      <c r="N196" s="859"/>
      <c r="O196" s="859"/>
      <c r="P196" s="860"/>
      <c r="Q196" s="860"/>
      <c r="R196" s="860"/>
      <c r="S196" s="860"/>
      <c r="T196" s="860"/>
      <c r="U196" s="860"/>
      <c r="V196" s="860"/>
      <c r="W196" s="860"/>
      <c r="X196" s="860"/>
      <c r="Y196" s="860"/>
      <c r="Z196" s="860"/>
      <c r="AA196" s="860"/>
      <c r="AB196" s="860"/>
    </row>
    <row r="197">
      <c r="I197" s="856"/>
      <c r="J197" s="859"/>
      <c r="K197" s="859"/>
      <c r="L197" s="859"/>
      <c r="M197" s="859"/>
      <c r="N197" s="859"/>
      <c r="O197" s="859"/>
      <c r="P197" s="860"/>
      <c r="Q197" s="860"/>
      <c r="R197" s="860"/>
      <c r="S197" s="860"/>
      <c r="T197" s="860"/>
      <c r="U197" s="860"/>
      <c r="V197" s="860"/>
      <c r="W197" s="860"/>
      <c r="X197" s="860"/>
      <c r="Y197" s="860"/>
      <c r="Z197" s="860"/>
      <c r="AA197" s="860"/>
      <c r="AB197" s="860"/>
    </row>
    <row r="198">
      <c r="I198" s="856"/>
      <c r="J198" s="859"/>
      <c r="K198" s="859"/>
      <c r="L198" s="859"/>
      <c r="M198" s="859"/>
      <c r="N198" s="859"/>
      <c r="O198" s="859"/>
      <c r="P198" s="860"/>
      <c r="Q198" s="860"/>
      <c r="R198" s="860"/>
      <c r="S198" s="860"/>
      <c r="T198" s="860"/>
      <c r="U198" s="860"/>
      <c r="V198" s="860"/>
      <c r="W198" s="860"/>
      <c r="X198" s="860"/>
      <c r="Y198" s="860"/>
      <c r="Z198" s="860"/>
      <c r="AA198" s="860"/>
      <c r="AB198" s="860"/>
    </row>
    <row r="199">
      <c r="I199" s="856"/>
      <c r="J199" s="859"/>
      <c r="K199" s="859"/>
      <c r="L199" s="859"/>
      <c r="M199" s="859"/>
      <c r="N199" s="859"/>
      <c r="O199" s="859"/>
      <c r="P199" s="860"/>
      <c r="Q199" s="860"/>
      <c r="R199" s="860"/>
      <c r="S199" s="860"/>
      <c r="T199" s="860"/>
      <c r="U199" s="860"/>
      <c r="V199" s="860"/>
      <c r="W199" s="860"/>
      <c r="X199" s="860"/>
      <c r="Y199" s="860"/>
      <c r="Z199" s="860"/>
      <c r="AA199" s="860"/>
      <c r="AB199" s="860"/>
    </row>
    <row r="200">
      <c r="I200" s="856"/>
      <c r="J200" s="859"/>
      <c r="K200" s="859"/>
      <c r="L200" s="859"/>
      <c r="M200" s="859"/>
      <c r="N200" s="859"/>
      <c r="O200" s="859"/>
      <c r="P200" s="860"/>
      <c r="Q200" s="860"/>
      <c r="R200" s="860"/>
      <c r="S200" s="860"/>
      <c r="T200" s="860"/>
      <c r="U200" s="860"/>
      <c r="V200" s="860"/>
      <c r="W200" s="860"/>
      <c r="X200" s="860"/>
      <c r="Y200" s="860"/>
      <c r="Z200" s="860"/>
      <c r="AA200" s="860"/>
      <c r="AB200" s="860"/>
    </row>
    <row r="201">
      <c r="I201" s="856"/>
      <c r="J201" s="859"/>
      <c r="K201" s="859"/>
      <c r="L201" s="859"/>
      <c r="M201" s="859"/>
      <c r="N201" s="859"/>
      <c r="O201" s="859"/>
      <c r="P201" s="860"/>
      <c r="Q201" s="860"/>
      <c r="R201" s="860"/>
      <c r="S201" s="860"/>
      <c r="T201" s="860"/>
      <c r="U201" s="860"/>
      <c r="V201" s="860"/>
      <c r="W201" s="860"/>
      <c r="X201" s="860"/>
      <c r="Y201" s="860"/>
      <c r="Z201" s="860"/>
      <c r="AA201" s="860"/>
      <c r="AB201" s="860"/>
    </row>
    <row r="202">
      <c r="I202" s="856"/>
      <c r="J202" s="859"/>
      <c r="K202" s="859"/>
      <c r="L202" s="859"/>
      <c r="M202" s="859"/>
      <c r="N202" s="859"/>
      <c r="O202" s="859"/>
      <c r="P202" s="860"/>
      <c r="Q202" s="860"/>
      <c r="R202" s="860"/>
      <c r="S202" s="860"/>
      <c r="T202" s="860"/>
      <c r="U202" s="860"/>
      <c r="V202" s="860"/>
      <c r="W202" s="860"/>
      <c r="X202" s="860"/>
      <c r="Y202" s="860"/>
      <c r="Z202" s="860"/>
      <c r="AA202" s="860"/>
      <c r="AB202" s="860"/>
    </row>
    <row r="203">
      <c r="I203" s="856"/>
      <c r="J203" s="859"/>
      <c r="K203" s="859"/>
      <c r="L203" s="859"/>
      <c r="M203" s="859"/>
      <c r="N203" s="859"/>
      <c r="O203" s="859"/>
      <c r="P203" s="860"/>
      <c r="Q203" s="860"/>
      <c r="R203" s="860"/>
      <c r="S203" s="860"/>
      <c r="T203" s="860"/>
      <c r="U203" s="860"/>
      <c r="V203" s="860"/>
      <c r="W203" s="860"/>
      <c r="X203" s="860"/>
      <c r="Y203" s="860"/>
      <c r="Z203" s="860"/>
      <c r="AA203" s="860"/>
      <c r="AB203" s="860"/>
    </row>
    <row r="204">
      <c r="I204" s="856"/>
      <c r="J204" s="859"/>
      <c r="K204" s="859"/>
      <c r="L204" s="859"/>
      <c r="M204" s="859"/>
      <c r="N204" s="859"/>
      <c r="O204" s="859"/>
      <c r="P204" s="860"/>
      <c r="Q204" s="860"/>
      <c r="R204" s="860"/>
      <c r="S204" s="860"/>
      <c r="T204" s="860"/>
      <c r="U204" s="860"/>
      <c r="V204" s="860"/>
      <c r="W204" s="860"/>
      <c r="X204" s="860"/>
      <c r="Y204" s="860"/>
      <c r="Z204" s="860"/>
      <c r="AA204" s="860"/>
      <c r="AB204" s="860"/>
    </row>
    <row r="205">
      <c r="I205" s="856"/>
      <c r="J205" s="859"/>
      <c r="K205" s="859"/>
      <c r="L205" s="859"/>
      <c r="M205" s="859"/>
      <c r="N205" s="859"/>
      <c r="O205" s="859"/>
      <c r="P205" s="860"/>
      <c r="Q205" s="860"/>
      <c r="R205" s="860"/>
      <c r="S205" s="860"/>
      <c r="T205" s="860"/>
      <c r="U205" s="860"/>
      <c r="V205" s="860"/>
      <c r="W205" s="860"/>
      <c r="X205" s="860"/>
      <c r="Y205" s="860"/>
      <c r="Z205" s="860"/>
      <c r="AA205" s="860"/>
      <c r="AB205" s="860"/>
    </row>
    <row r="206">
      <c r="I206" s="856"/>
      <c r="J206" s="859"/>
      <c r="K206" s="859"/>
      <c r="L206" s="859"/>
      <c r="M206" s="859"/>
      <c r="N206" s="859"/>
      <c r="O206" s="859"/>
      <c r="P206" s="860"/>
      <c r="Q206" s="860"/>
      <c r="R206" s="860"/>
      <c r="S206" s="860"/>
      <c r="T206" s="860"/>
      <c r="U206" s="860"/>
      <c r="V206" s="860"/>
      <c r="W206" s="860"/>
      <c r="X206" s="860"/>
      <c r="Y206" s="860"/>
      <c r="Z206" s="860"/>
      <c r="AA206" s="860"/>
      <c r="AB206" s="860"/>
    </row>
    <row r="207">
      <c r="I207" s="856"/>
      <c r="J207" s="859"/>
      <c r="K207" s="859"/>
      <c r="L207" s="859"/>
      <c r="M207" s="859"/>
      <c r="N207" s="859"/>
      <c r="O207" s="859"/>
      <c r="P207" s="860"/>
      <c r="Q207" s="860"/>
      <c r="R207" s="860"/>
      <c r="S207" s="860"/>
      <c r="T207" s="860"/>
      <c r="U207" s="860"/>
      <c r="V207" s="860"/>
      <c r="W207" s="860"/>
      <c r="X207" s="860"/>
      <c r="Y207" s="860"/>
      <c r="Z207" s="860"/>
      <c r="AA207" s="860"/>
      <c r="AB207" s="860"/>
    </row>
    <row r="208">
      <c r="I208" s="856"/>
      <c r="J208" s="859"/>
      <c r="K208" s="859"/>
      <c r="L208" s="859"/>
      <c r="M208" s="859"/>
      <c r="N208" s="859"/>
      <c r="O208" s="859"/>
      <c r="P208" s="860"/>
      <c r="Q208" s="860"/>
      <c r="R208" s="860"/>
      <c r="S208" s="860"/>
      <c r="T208" s="860"/>
      <c r="U208" s="860"/>
      <c r="V208" s="860"/>
      <c r="W208" s="860"/>
      <c r="X208" s="860"/>
      <c r="Y208" s="860"/>
      <c r="Z208" s="860"/>
      <c r="AA208" s="860"/>
      <c r="AB208" s="860"/>
    </row>
    <row r="209">
      <c r="I209" s="856"/>
      <c r="J209" s="859"/>
      <c r="K209" s="859"/>
      <c r="L209" s="859"/>
      <c r="M209" s="859"/>
      <c r="N209" s="859"/>
      <c r="O209" s="859"/>
      <c r="P209" s="860"/>
      <c r="Q209" s="860"/>
      <c r="R209" s="860"/>
      <c r="S209" s="860"/>
      <c r="T209" s="860"/>
      <c r="U209" s="860"/>
      <c r="V209" s="860"/>
      <c r="W209" s="860"/>
      <c r="X209" s="860"/>
      <c r="Y209" s="860"/>
      <c r="Z209" s="860"/>
      <c r="AA209" s="860"/>
      <c r="AB209" s="860"/>
    </row>
    <row r="210">
      <c r="I210" s="856"/>
      <c r="J210" s="859"/>
      <c r="K210" s="859"/>
      <c r="L210" s="859"/>
      <c r="M210" s="859"/>
      <c r="N210" s="859"/>
      <c r="O210" s="859"/>
      <c r="P210" s="860"/>
      <c r="Q210" s="860"/>
      <c r="R210" s="860"/>
      <c r="S210" s="860"/>
      <c r="T210" s="860"/>
      <c r="U210" s="860"/>
      <c r="V210" s="860"/>
      <c r="W210" s="860"/>
      <c r="X210" s="860"/>
      <c r="Y210" s="860"/>
      <c r="Z210" s="860"/>
      <c r="AA210" s="860"/>
      <c r="AB210" s="860"/>
    </row>
    <row r="211">
      <c r="I211" s="856"/>
      <c r="J211" s="859"/>
      <c r="K211" s="859"/>
      <c r="L211" s="859"/>
      <c r="M211" s="859"/>
      <c r="N211" s="859"/>
      <c r="O211" s="859"/>
      <c r="P211" s="860"/>
      <c r="Q211" s="860"/>
      <c r="R211" s="860"/>
      <c r="S211" s="860"/>
      <c r="T211" s="860"/>
      <c r="U211" s="860"/>
      <c r="V211" s="860"/>
      <c r="W211" s="860"/>
      <c r="X211" s="860"/>
      <c r="Y211" s="860"/>
      <c r="Z211" s="860"/>
      <c r="AA211" s="860"/>
      <c r="AB211" s="860"/>
    </row>
    <row r="212">
      <c r="I212" s="856"/>
      <c r="J212" s="859"/>
      <c r="K212" s="859"/>
      <c r="L212" s="859"/>
      <c r="M212" s="859"/>
      <c r="N212" s="859"/>
      <c r="O212" s="859"/>
      <c r="P212" s="860"/>
      <c r="Q212" s="860"/>
      <c r="R212" s="860"/>
      <c r="S212" s="860"/>
      <c r="T212" s="860"/>
      <c r="U212" s="860"/>
      <c r="V212" s="860"/>
      <c r="W212" s="860"/>
      <c r="X212" s="860"/>
      <c r="Y212" s="860"/>
      <c r="Z212" s="860"/>
      <c r="AA212" s="860"/>
      <c r="AB212" s="860"/>
    </row>
    <row r="213">
      <c r="I213" s="856"/>
      <c r="J213" s="859"/>
      <c r="K213" s="859"/>
      <c r="L213" s="859"/>
      <c r="M213" s="859"/>
      <c r="N213" s="859"/>
      <c r="O213" s="859"/>
      <c r="P213" s="860"/>
      <c r="Q213" s="860"/>
      <c r="R213" s="860"/>
      <c r="S213" s="860"/>
      <c r="T213" s="860"/>
      <c r="U213" s="860"/>
      <c r="V213" s="860"/>
      <c r="W213" s="860"/>
      <c r="X213" s="860"/>
      <c r="Y213" s="860"/>
      <c r="Z213" s="860"/>
      <c r="AA213" s="860"/>
      <c r="AB213" s="860"/>
    </row>
    <row r="214">
      <c r="I214" s="856"/>
      <c r="J214" s="859"/>
      <c r="K214" s="859"/>
      <c r="L214" s="859"/>
      <c r="M214" s="859"/>
      <c r="N214" s="859"/>
      <c r="O214" s="859"/>
      <c r="P214" s="860"/>
      <c r="Q214" s="860"/>
      <c r="R214" s="860"/>
      <c r="S214" s="860"/>
      <c r="T214" s="860"/>
      <c r="U214" s="860"/>
      <c r="V214" s="860"/>
      <c r="W214" s="860"/>
      <c r="X214" s="860"/>
      <c r="Y214" s="860"/>
      <c r="Z214" s="860"/>
      <c r="AA214" s="860"/>
      <c r="AB214" s="860"/>
    </row>
    <row r="215">
      <c r="I215" s="856"/>
      <c r="J215" s="859"/>
      <c r="K215" s="859"/>
      <c r="L215" s="859"/>
      <c r="M215" s="859"/>
      <c r="N215" s="859"/>
      <c r="O215" s="859"/>
      <c r="P215" s="860"/>
      <c r="Q215" s="860"/>
      <c r="R215" s="860"/>
      <c r="S215" s="860"/>
      <c r="T215" s="860"/>
      <c r="U215" s="860"/>
      <c r="V215" s="860"/>
      <c r="W215" s="860"/>
      <c r="X215" s="860"/>
      <c r="Y215" s="860"/>
      <c r="Z215" s="860"/>
      <c r="AA215" s="860"/>
      <c r="AB215" s="860"/>
    </row>
    <row r="216">
      <c r="I216" s="856"/>
      <c r="J216" s="859"/>
      <c r="K216" s="859"/>
      <c r="L216" s="859"/>
      <c r="M216" s="859"/>
      <c r="N216" s="859"/>
      <c r="O216" s="859"/>
      <c r="P216" s="860"/>
      <c r="Q216" s="860"/>
      <c r="R216" s="860"/>
      <c r="S216" s="860"/>
      <c r="T216" s="860"/>
      <c r="U216" s="860"/>
      <c r="V216" s="860"/>
      <c r="W216" s="860"/>
      <c r="X216" s="860"/>
      <c r="Y216" s="860"/>
      <c r="Z216" s="860"/>
      <c r="AA216" s="860"/>
      <c r="AB216" s="860"/>
    </row>
    <row r="217">
      <c r="I217" s="856"/>
      <c r="J217" s="859"/>
      <c r="K217" s="859"/>
      <c r="L217" s="859"/>
      <c r="M217" s="859"/>
      <c r="N217" s="859"/>
      <c r="O217" s="859"/>
      <c r="P217" s="860"/>
      <c r="Q217" s="860"/>
      <c r="R217" s="860"/>
      <c r="S217" s="860"/>
      <c r="T217" s="860"/>
      <c r="U217" s="860"/>
      <c r="V217" s="860"/>
      <c r="W217" s="860"/>
      <c r="X217" s="860"/>
      <c r="Y217" s="860"/>
      <c r="Z217" s="860"/>
      <c r="AA217" s="860"/>
      <c r="AB217" s="860"/>
    </row>
    <row r="218">
      <c r="I218" s="856"/>
      <c r="J218" s="859"/>
      <c r="K218" s="859"/>
      <c r="L218" s="859"/>
      <c r="M218" s="859"/>
      <c r="N218" s="859"/>
      <c r="O218" s="859"/>
      <c r="P218" s="860"/>
      <c r="Q218" s="860"/>
      <c r="R218" s="860"/>
      <c r="S218" s="860"/>
      <c r="T218" s="860"/>
      <c r="U218" s="860"/>
      <c r="V218" s="860"/>
      <c r="W218" s="860"/>
      <c r="X218" s="860"/>
      <c r="Y218" s="860"/>
      <c r="Z218" s="860"/>
      <c r="AA218" s="860"/>
      <c r="AB218" s="860"/>
    </row>
    <row r="219">
      <c r="I219" s="856"/>
      <c r="J219" s="859"/>
      <c r="K219" s="859"/>
      <c r="L219" s="859"/>
      <c r="M219" s="859"/>
      <c r="N219" s="859"/>
      <c r="O219" s="859"/>
      <c r="P219" s="860"/>
      <c r="Q219" s="860"/>
      <c r="R219" s="860"/>
      <c r="S219" s="860"/>
      <c r="T219" s="860"/>
      <c r="U219" s="860"/>
      <c r="V219" s="860"/>
      <c r="W219" s="860"/>
      <c r="X219" s="860"/>
      <c r="Y219" s="860"/>
      <c r="Z219" s="860"/>
      <c r="AA219" s="860"/>
      <c r="AB219" s="860"/>
    </row>
    <row r="220">
      <c r="I220" s="856"/>
      <c r="J220" s="859"/>
      <c r="K220" s="859"/>
      <c r="L220" s="859"/>
      <c r="M220" s="859"/>
      <c r="N220" s="859"/>
      <c r="O220" s="859"/>
      <c r="P220" s="860"/>
      <c r="Q220" s="860"/>
      <c r="R220" s="860"/>
      <c r="S220" s="860"/>
      <c r="T220" s="860"/>
      <c r="U220" s="860"/>
      <c r="V220" s="860"/>
      <c r="W220" s="860"/>
      <c r="X220" s="860"/>
      <c r="Y220" s="860"/>
      <c r="Z220" s="860"/>
      <c r="AA220" s="860"/>
      <c r="AB220" s="860"/>
    </row>
    <row r="221">
      <c r="I221" s="856"/>
      <c r="J221" s="859"/>
      <c r="K221" s="859"/>
      <c r="L221" s="859"/>
      <c r="M221" s="859"/>
      <c r="N221" s="859"/>
      <c r="O221" s="859"/>
      <c r="P221" s="860"/>
      <c r="Q221" s="860"/>
      <c r="R221" s="860"/>
      <c r="S221" s="860"/>
      <c r="T221" s="860"/>
      <c r="U221" s="860"/>
      <c r="V221" s="860"/>
      <c r="W221" s="860"/>
      <c r="X221" s="860"/>
      <c r="Y221" s="860"/>
      <c r="Z221" s="860"/>
      <c r="AA221" s="860"/>
      <c r="AB221" s="860"/>
    </row>
    <row r="222">
      <c r="I222" s="856"/>
      <c r="J222" s="859"/>
      <c r="K222" s="859"/>
      <c r="L222" s="859"/>
      <c r="M222" s="859"/>
      <c r="N222" s="859"/>
      <c r="O222" s="859"/>
      <c r="P222" s="860"/>
      <c r="Q222" s="860"/>
      <c r="R222" s="860"/>
      <c r="S222" s="860"/>
      <c r="T222" s="860"/>
      <c r="U222" s="860"/>
      <c r="V222" s="860"/>
      <c r="W222" s="860"/>
      <c r="X222" s="860"/>
      <c r="Y222" s="860"/>
      <c r="Z222" s="860"/>
      <c r="AA222" s="860"/>
      <c r="AB222" s="860"/>
    </row>
    <row r="223">
      <c r="I223" s="856"/>
      <c r="J223" s="859"/>
      <c r="K223" s="859"/>
      <c r="L223" s="859"/>
      <c r="M223" s="859"/>
      <c r="N223" s="859"/>
      <c r="O223" s="859"/>
      <c r="P223" s="860"/>
      <c r="Q223" s="860"/>
      <c r="R223" s="860"/>
      <c r="S223" s="860"/>
      <c r="T223" s="860"/>
      <c r="U223" s="860"/>
      <c r="V223" s="860"/>
      <c r="W223" s="860"/>
      <c r="X223" s="860"/>
      <c r="Y223" s="860"/>
      <c r="Z223" s="860"/>
      <c r="AA223" s="860"/>
      <c r="AB223" s="860"/>
    </row>
    <row r="224">
      <c r="I224" s="856"/>
      <c r="J224" s="859"/>
      <c r="K224" s="859"/>
      <c r="L224" s="859"/>
      <c r="M224" s="859"/>
      <c r="N224" s="859"/>
      <c r="O224" s="859"/>
      <c r="P224" s="860"/>
      <c r="Q224" s="860"/>
      <c r="R224" s="860"/>
      <c r="S224" s="860"/>
      <c r="T224" s="860"/>
      <c r="U224" s="860"/>
      <c r="V224" s="860"/>
      <c r="W224" s="860"/>
      <c r="X224" s="860"/>
      <c r="Y224" s="860"/>
      <c r="Z224" s="860"/>
      <c r="AA224" s="860"/>
      <c r="AB224" s="860"/>
    </row>
    <row r="225">
      <c r="I225" s="856"/>
      <c r="J225" s="859"/>
      <c r="K225" s="859"/>
      <c r="L225" s="859"/>
      <c r="M225" s="859"/>
      <c r="N225" s="859"/>
      <c r="O225" s="859"/>
      <c r="P225" s="860"/>
      <c r="Q225" s="860"/>
      <c r="R225" s="860"/>
      <c r="S225" s="860"/>
      <c r="T225" s="860"/>
      <c r="U225" s="860"/>
      <c r="V225" s="860"/>
      <c r="W225" s="860"/>
      <c r="X225" s="860"/>
      <c r="Y225" s="860"/>
      <c r="Z225" s="860"/>
      <c r="AA225" s="860"/>
      <c r="AB225" s="860"/>
    </row>
    <row r="226">
      <c r="I226" s="856"/>
      <c r="J226" s="859"/>
      <c r="K226" s="859"/>
      <c r="L226" s="859"/>
      <c r="M226" s="859"/>
      <c r="N226" s="859"/>
      <c r="O226" s="859"/>
      <c r="P226" s="860"/>
      <c r="Q226" s="860"/>
      <c r="R226" s="860"/>
      <c r="S226" s="860"/>
      <c r="T226" s="860"/>
      <c r="U226" s="860"/>
      <c r="V226" s="860"/>
      <c r="W226" s="860"/>
      <c r="X226" s="860"/>
      <c r="Y226" s="860"/>
      <c r="Z226" s="860"/>
      <c r="AA226" s="860"/>
      <c r="AB226" s="860"/>
    </row>
    <row r="227">
      <c r="I227" s="856"/>
      <c r="J227" s="859"/>
      <c r="K227" s="859"/>
      <c r="L227" s="859"/>
      <c r="M227" s="859"/>
      <c r="N227" s="859"/>
      <c r="O227" s="859"/>
      <c r="P227" s="860"/>
      <c r="Q227" s="860"/>
      <c r="R227" s="860"/>
      <c r="S227" s="860"/>
      <c r="T227" s="860"/>
      <c r="U227" s="860"/>
      <c r="V227" s="860"/>
      <c r="W227" s="860"/>
      <c r="X227" s="860"/>
      <c r="Y227" s="860"/>
      <c r="Z227" s="860"/>
      <c r="AA227" s="860"/>
      <c r="AB227" s="860"/>
    </row>
    <row r="228">
      <c r="I228" s="856"/>
      <c r="J228" s="859"/>
      <c r="K228" s="859"/>
      <c r="L228" s="859"/>
      <c r="M228" s="859"/>
      <c r="N228" s="859"/>
      <c r="O228" s="859"/>
      <c r="P228" s="860"/>
      <c r="Q228" s="860"/>
      <c r="R228" s="860"/>
      <c r="S228" s="860"/>
      <c r="T228" s="860"/>
      <c r="U228" s="860"/>
      <c r="V228" s="860"/>
      <c r="W228" s="860"/>
      <c r="X228" s="860"/>
      <c r="Y228" s="860"/>
      <c r="Z228" s="860"/>
      <c r="AA228" s="860"/>
      <c r="AB228" s="860"/>
    </row>
    <row r="229">
      <c r="I229" s="856"/>
      <c r="J229" s="859"/>
      <c r="K229" s="859"/>
      <c r="L229" s="859"/>
      <c r="M229" s="859"/>
      <c r="N229" s="859"/>
      <c r="O229" s="859"/>
      <c r="P229" s="860"/>
      <c r="Q229" s="860"/>
      <c r="R229" s="860"/>
      <c r="S229" s="860"/>
      <c r="T229" s="860"/>
      <c r="U229" s="860"/>
      <c r="V229" s="860"/>
      <c r="W229" s="860"/>
      <c r="X229" s="860"/>
      <c r="Y229" s="860"/>
      <c r="Z229" s="860"/>
      <c r="AA229" s="860"/>
      <c r="AB229" s="860"/>
    </row>
    <row r="230">
      <c r="I230" s="856"/>
      <c r="J230" s="859"/>
      <c r="K230" s="859"/>
      <c r="L230" s="859"/>
      <c r="M230" s="859"/>
      <c r="N230" s="859"/>
      <c r="O230" s="859"/>
      <c r="P230" s="860"/>
      <c r="Q230" s="860"/>
      <c r="R230" s="860"/>
      <c r="S230" s="860"/>
      <c r="T230" s="860"/>
      <c r="U230" s="860"/>
      <c r="V230" s="860"/>
      <c r="W230" s="860"/>
      <c r="X230" s="860"/>
      <c r="Y230" s="860"/>
      <c r="Z230" s="860"/>
      <c r="AA230" s="860"/>
      <c r="AB230" s="860"/>
    </row>
    <row r="231">
      <c r="I231" s="856"/>
      <c r="J231" s="859"/>
      <c r="K231" s="859"/>
      <c r="L231" s="859"/>
      <c r="M231" s="859"/>
      <c r="N231" s="859"/>
      <c r="O231" s="859"/>
      <c r="P231" s="860"/>
      <c r="Q231" s="860"/>
      <c r="R231" s="860"/>
      <c r="S231" s="860"/>
      <c r="T231" s="860"/>
      <c r="U231" s="860"/>
      <c r="V231" s="860"/>
      <c r="W231" s="860"/>
      <c r="X231" s="860"/>
      <c r="Y231" s="860"/>
      <c r="Z231" s="860"/>
      <c r="AA231" s="860"/>
      <c r="AB231" s="860"/>
    </row>
    <row r="232">
      <c r="I232" s="856"/>
      <c r="J232" s="859"/>
      <c r="K232" s="859"/>
      <c r="L232" s="859"/>
      <c r="M232" s="859"/>
      <c r="N232" s="859"/>
      <c r="O232" s="859"/>
      <c r="P232" s="860"/>
      <c r="Q232" s="860"/>
      <c r="R232" s="860"/>
      <c r="S232" s="860"/>
      <c r="T232" s="860"/>
      <c r="U232" s="860"/>
      <c r="V232" s="860"/>
      <c r="W232" s="860"/>
      <c r="X232" s="860"/>
      <c r="Y232" s="860"/>
      <c r="Z232" s="860"/>
      <c r="AA232" s="860"/>
      <c r="AB232" s="860"/>
    </row>
    <row r="233">
      <c r="I233" s="856"/>
      <c r="J233" s="859"/>
      <c r="K233" s="859"/>
      <c r="L233" s="859"/>
      <c r="M233" s="859"/>
      <c r="N233" s="859"/>
      <c r="O233" s="859"/>
      <c r="P233" s="860"/>
      <c r="Q233" s="860"/>
      <c r="R233" s="860"/>
      <c r="S233" s="860"/>
      <c r="T233" s="860"/>
      <c r="U233" s="860"/>
      <c r="V233" s="860"/>
      <c r="W233" s="860"/>
      <c r="X233" s="860"/>
      <c r="Y233" s="860"/>
      <c r="Z233" s="860"/>
      <c r="AA233" s="860"/>
      <c r="AB233" s="860"/>
    </row>
    <row r="234">
      <c r="I234" s="856"/>
      <c r="J234" s="859"/>
      <c r="K234" s="859"/>
      <c r="L234" s="859"/>
      <c r="M234" s="859"/>
      <c r="N234" s="859"/>
      <c r="O234" s="859"/>
      <c r="P234" s="860"/>
      <c r="Q234" s="860"/>
      <c r="R234" s="860"/>
      <c r="S234" s="860"/>
      <c r="T234" s="860"/>
      <c r="U234" s="860"/>
      <c r="V234" s="860"/>
      <c r="W234" s="860"/>
      <c r="X234" s="860"/>
      <c r="Y234" s="860"/>
      <c r="Z234" s="860"/>
      <c r="AA234" s="860"/>
      <c r="AB234" s="860"/>
    </row>
    <row r="235">
      <c r="I235" s="856"/>
      <c r="J235" s="859"/>
      <c r="K235" s="859"/>
      <c r="L235" s="859"/>
      <c r="M235" s="859"/>
      <c r="N235" s="859"/>
      <c r="O235" s="859"/>
      <c r="P235" s="860"/>
      <c r="Q235" s="860"/>
      <c r="R235" s="860"/>
      <c r="S235" s="860"/>
      <c r="T235" s="860"/>
      <c r="U235" s="860"/>
      <c r="V235" s="860"/>
      <c r="W235" s="860"/>
      <c r="X235" s="860"/>
      <c r="Y235" s="860"/>
      <c r="Z235" s="860"/>
      <c r="AA235" s="860"/>
      <c r="AB235" s="860"/>
    </row>
    <row r="236">
      <c r="I236" s="856"/>
      <c r="J236" s="859"/>
      <c r="K236" s="859"/>
      <c r="L236" s="859"/>
      <c r="M236" s="859"/>
      <c r="N236" s="859"/>
      <c r="O236" s="859"/>
      <c r="P236" s="860"/>
      <c r="Q236" s="860"/>
      <c r="R236" s="860"/>
      <c r="S236" s="860"/>
      <c r="T236" s="860"/>
      <c r="U236" s="860"/>
      <c r="V236" s="860"/>
      <c r="W236" s="860"/>
      <c r="X236" s="860"/>
      <c r="Y236" s="860"/>
      <c r="Z236" s="860"/>
      <c r="AA236" s="860"/>
      <c r="AB236" s="860"/>
    </row>
    <row r="237">
      <c r="I237" s="856"/>
      <c r="J237" s="859"/>
      <c r="K237" s="859"/>
      <c r="L237" s="859"/>
      <c r="M237" s="859"/>
      <c r="N237" s="859"/>
      <c r="O237" s="859"/>
      <c r="P237" s="860"/>
      <c r="Q237" s="860"/>
      <c r="R237" s="860"/>
      <c r="S237" s="860"/>
      <c r="T237" s="860"/>
      <c r="U237" s="860"/>
      <c r="V237" s="860"/>
      <c r="W237" s="860"/>
      <c r="X237" s="860"/>
      <c r="Y237" s="860"/>
      <c r="Z237" s="860"/>
      <c r="AA237" s="860"/>
      <c r="AB237" s="860"/>
    </row>
    <row r="238">
      <c r="I238" s="856"/>
      <c r="J238" s="859"/>
      <c r="K238" s="859"/>
      <c r="L238" s="859"/>
      <c r="M238" s="859"/>
      <c r="N238" s="859"/>
      <c r="O238" s="859"/>
      <c r="P238" s="860"/>
      <c r="Q238" s="860"/>
      <c r="R238" s="860"/>
      <c r="S238" s="860"/>
      <c r="T238" s="860"/>
      <c r="U238" s="860"/>
      <c r="V238" s="860"/>
      <c r="W238" s="860"/>
      <c r="X238" s="860"/>
      <c r="Y238" s="860"/>
      <c r="Z238" s="860"/>
      <c r="AA238" s="860"/>
      <c r="AB238" s="860"/>
    </row>
    <row r="239">
      <c r="I239" s="856"/>
      <c r="J239" s="859"/>
      <c r="K239" s="859"/>
      <c r="L239" s="859"/>
      <c r="M239" s="859"/>
      <c r="N239" s="859"/>
      <c r="O239" s="859"/>
      <c r="P239" s="860"/>
      <c r="Q239" s="860"/>
      <c r="R239" s="860"/>
      <c r="S239" s="860"/>
      <c r="T239" s="860"/>
      <c r="U239" s="860"/>
      <c r="V239" s="860"/>
      <c r="W239" s="860"/>
      <c r="X239" s="860"/>
      <c r="Y239" s="860"/>
      <c r="Z239" s="860"/>
      <c r="AA239" s="860"/>
      <c r="AB239" s="860"/>
    </row>
    <row r="240">
      <c r="I240" s="856"/>
      <c r="J240" s="859"/>
      <c r="K240" s="859"/>
      <c r="L240" s="859"/>
      <c r="M240" s="859"/>
      <c r="N240" s="859"/>
      <c r="O240" s="859"/>
      <c r="P240" s="860"/>
      <c r="Q240" s="860"/>
      <c r="R240" s="860"/>
      <c r="S240" s="860"/>
      <c r="T240" s="860"/>
      <c r="U240" s="860"/>
      <c r="V240" s="860"/>
      <c r="W240" s="860"/>
      <c r="X240" s="860"/>
      <c r="Y240" s="860"/>
      <c r="Z240" s="860"/>
      <c r="AA240" s="860"/>
      <c r="AB240" s="860"/>
    </row>
    <row r="241">
      <c r="I241" s="856"/>
      <c r="J241" s="859"/>
      <c r="K241" s="859"/>
      <c r="L241" s="859"/>
      <c r="M241" s="859"/>
      <c r="N241" s="859"/>
      <c r="O241" s="859"/>
      <c r="P241" s="860"/>
      <c r="Q241" s="860"/>
      <c r="R241" s="860"/>
      <c r="S241" s="860"/>
      <c r="T241" s="860"/>
      <c r="U241" s="860"/>
      <c r="V241" s="860"/>
      <c r="W241" s="860"/>
      <c r="X241" s="860"/>
      <c r="Y241" s="860"/>
      <c r="Z241" s="860"/>
      <c r="AA241" s="860"/>
      <c r="AB241" s="860"/>
    </row>
    <row r="242">
      <c r="I242" s="856"/>
      <c r="J242" s="859"/>
      <c r="K242" s="859"/>
      <c r="L242" s="859"/>
      <c r="M242" s="859"/>
      <c r="N242" s="859"/>
      <c r="O242" s="859"/>
      <c r="P242" s="860"/>
      <c r="Q242" s="860"/>
      <c r="R242" s="860"/>
      <c r="S242" s="860"/>
      <c r="T242" s="860"/>
      <c r="U242" s="860"/>
      <c r="V242" s="860"/>
      <c r="W242" s="860"/>
      <c r="X242" s="860"/>
      <c r="Y242" s="860"/>
      <c r="Z242" s="860"/>
      <c r="AA242" s="860"/>
      <c r="AB242" s="860"/>
    </row>
    <row r="243">
      <c r="I243" s="856"/>
      <c r="J243" s="859"/>
      <c r="K243" s="859"/>
      <c r="L243" s="859"/>
      <c r="M243" s="859"/>
      <c r="N243" s="859"/>
      <c r="O243" s="859"/>
      <c r="P243" s="860"/>
      <c r="Q243" s="860"/>
      <c r="R243" s="860"/>
      <c r="S243" s="860"/>
      <c r="T243" s="860"/>
      <c r="U243" s="860"/>
      <c r="V243" s="860"/>
      <c r="W243" s="860"/>
      <c r="X243" s="860"/>
      <c r="Y243" s="860"/>
      <c r="Z243" s="860"/>
      <c r="AA243" s="860"/>
      <c r="AB243" s="860"/>
    </row>
    <row r="244">
      <c r="I244" s="856"/>
      <c r="J244" s="859"/>
      <c r="K244" s="859"/>
      <c r="L244" s="859"/>
      <c r="M244" s="859"/>
      <c r="N244" s="859"/>
      <c r="O244" s="859"/>
      <c r="P244" s="860"/>
      <c r="Q244" s="860"/>
      <c r="R244" s="860"/>
      <c r="S244" s="860"/>
      <c r="T244" s="860"/>
      <c r="U244" s="860"/>
      <c r="V244" s="860"/>
      <c r="W244" s="860"/>
      <c r="X244" s="860"/>
      <c r="Y244" s="860"/>
      <c r="Z244" s="860"/>
      <c r="AA244" s="860"/>
      <c r="AB244" s="860"/>
    </row>
    <row r="245">
      <c r="I245" s="856"/>
      <c r="J245" s="859"/>
      <c r="K245" s="859"/>
      <c r="L245" s="859"/>
      <c r="M245" s="859"/>
      <c r="N245" s="859"/>
      <c r="O245" s="859"/>
      <c r="P245" s="860"/>
      <c r="Q245" s="860"/>
      <c r="R245" s="860"/>
      <c r="S245" s="860"/>
      <c r="T245" s="860"/>
      <c r="U245" s="860"/>
      <c r="V245" s="860"/>
      <c r="W245" s="860"/>
      <c r="X245" s="860"/>
      <c r="Y245" s="860"/>
      <c r="Z245" s="860"/>
      <c r="AA245" s="860"/>
      <c r="AB245" s="860"/>
    </row>
    <row r="246">
      <c r="I246" s="856"/>
      <c r="J246" s="859"/>
      <c r="K246" s="859"/>
      <c r="L246" s="859"/>
      <c r="M246" s="859"/>
      <c r="N246" s="859"/>
      <c r="O246" s="859"/>
      <c r="P246" s="860"/>
      <c r="Q246" s="860"/>
      <c r="R246" s="860"/>
      <c r="S246" s="860"/>
      <c r="T246" s="860"/>
      <c r="U246" s="860"/>
      <c r="V246" s="860"/>
      <c r="W246" s="860"/>
      <c r="X246" s="860"/>
      <c r="Y246" s="860"/>
      <c r="Z246" s="860"/>
      <c r="AA246" s="860"/>
      <c r="AB246" s="860"/>
    </row>
    <row r="247">
      <c r="I247" s="856"/>
      <c r="J247" s="859"/>
      <c r="K247" s="859"/>
      <c r="L247" s="859"/>
      <c r="M247" s="859"/>
      <c r="N247" s="859"/>
      <c r="O247" s="859"/>
      <c r="P247" s="860"/>
      <c r="Q247" s="860"/>
      <c r="R247" s="860"/>
      <c r="S247" s="860"/>
      <c r="T247" s="860"/>
      <c r="U247" s="860"/>
      <c r="V247" s="860"/>
      <c r="W247" s="860"/>
      <c r="X247" s="860"/>
      <c r="Y247" s="860"/>
      <c r="Z247" s="860"/>
      <c r="AA247" s="860"/>
      <c r="AB247" s="860"/>
    </row>
    <row r="248">
      <c r="I248" s="856"/>
      <c r="J248" s="859"/>
      <c r="K248" s="859"/>
      <c r="L248" s="859"/>
      <c r="M248" s="859"/>
      <c r="N248" s="859"/>
      <c r="O248" s="859"/>
      <c r="P248" s="860"/>
      <c r="Q248" s="860"/>
      <c r="R248" s="860"/>
      <c r="S248" s="860"/>
      <c r="T248" s="860"/>
      <c r="U248" s="860"/>
      <c r="V248" s="860"/>
      <c r="W248" s="860"/>
      <c r="X248" s="860"/>
      <c r="Y248" s="860"/>
      <c r="Z248" s="860"/>
      <c r="AA248" s="860"/>
      <c r="AB248" s="860"/>
    </row>
    <row r="249">
      <c r="I249" s="856"/>
      <c r="J249" s="859"/>
      <c r="K249" s="859"/>
      <c r="L249" s="859"/>
      <c r="M249" s="859"/>
      <c r="N249" s="859"/>
      <c r="O249" s="859"/>
      <c r="P249" s="860"/>
      <c r="Q249" s="860"/>
      <c r="R249" s="860"/>
      <c r="S249" s="860"/>
      <c r="T249" s="860"/>
      <c r="U249" s="860"/>
      <c r="V249" s="860"/>
      <c r="W249" s="860"/>
      <c r="X249" s="860"/>
      <c r="Y249" s="860"/>
      <c r="Z249" s="860"/>
      <c r="AA249" s="860"/>
      <c r="AB249" s="860"/>
    </row>
    <row r="250">
      <c r="I250" s="856"/>
      <c r="J250" s="859"/>
      <c r="K250" s="859"/>
      <c r="L250" s="859"/>
      <c r="M250" s="859"/>
      <c r="N250" s="859"/>
      <c r="O250" s="859"/>
      <c r="P250" s="860"/>
      <c r="Q250" s="860"/>
      <c r="R250" s="860"/>
      <c r="S250" s="860"/>
      <c r="T250" s="860"/>
      <c r="U250" s="860"/>
      <c r="V250" s="860"/>
      <c r="W250" s="860"/>
      <c r="X250" s="860"/>
      <c r="Y250" s="860"/>
      <c r="Z250" s="860"/>
      <c r="AA250" s="860"/>
      <c r="AB250" s="860"/>
    </row>
    <row r="251">
      <c r="I251" s="856"/>
      <c r="J251" s="859"/>
      <c r="K251" s="859"/>
      <c r="L251" s="859"/>
      <c r="M251" s="859"/>
      <c r="N251" s="859"/>
      <c r="O251" s="859"/>
      <c r="P251" s="860"/>
      <c r="Q251" s="860"/>
      <c r="R251" s="860"/>
      <c r="S251" s="860"/>
      <c r="T251" s="860"/>
      <c r="U251" s="860"/>
      <c r="V251" s="860"/>
      <c r="W251" s="860"/>
      <c r="X251" s="860"/>
      <c r="Y251" s="860"/>
      <c r="Z251" s="860"/>
      <c r="AA251" s="860"/>
      <c r="AB251" s="860"/>
    </row>
    <row r="252">
      <c r="I252" s="856"/>
      <c r="J252" s="859"/>
      <c r="K252" s="859"/>
      <c r="L252" s="859"/>
      <c r="M252" s="859"/>
      <c r="N252" s="859"/>
      <c r="O252" s="859"/>
      <c r="P252" s="860"/>
      <c r="Q252" s="860"/>
      <c r="R252" s="860"/>
      <c r="S252" s="860"/>
      <c r="T252" s="860"/>
      <c r="U252" s="860"/>
      <c r="V252" s="860"/>
      <c r="W252" s="860"/>
      <c r="X252" s="860"/>
      <c r="Y252" s="860"/>
      <c r="Z252" s="860"/>
      <c r="AA252" s="860"/>
      <c r="AB252" s="860"/>
    </row>
    <row r="253">
      <c r="I253" s="856"/>
      <c r="J253" s="859"/>
      <c r="K253" s="859"/>
      <c r="L253" s="859"/>
      <c r="M253" s="859"/>
      <c r="N253" s="859"/>
      <c r="O253" s="859"/>
      <c r="P253" s="860"/>
      <c r="Q253" s="860"/>
      <c r="R253" s="860"/>
      <c r="S253" s="860"/>
      <c r="T253" s="860"/>
      <c r="U253" s="860"/>
      <c r="V253" s="860"/>
      <c r="W253" s="860"/>
      <c r="X253" s="860"/>
      <c r="Y253" s="860"/>
      <c r="Z253" s="860"/>
      <c r="AA253" s="860"/>
      <c r="AB253" s="860"/>
    </row>
    <row r="254">
      <c r="I254" s="856"/>
      <c r="J254" s="859"/>
      <c r="K254" s="859"/>
      <c r="L254" s="859"/>
      <c r="M254" s="859"/>
      <c r="N254" s="859"/>
      <c r="O254" s="859"/>
      <c r="P254" s="860"/>
      <c r="Q254" s="860"/>
      <c r="R254" s="860"/>
      <c r="S254" s="860"/>
      <c r="T254" s="860"/>
      <c r="U254" s="860"/>
      <c r="V254" s="860"/>
      <c r="W254" s="860"/>
      <c r="X254" s="860"/>
      <c r="Y254" s="860"/>
      <c r="Z254" s="860"/>
      <c r="AA254" s="860"/>
      <c r="AB254" s="860"/>
    </row>
    <row r="255">
      <c r="I255" s="856"/>
      <c r="J255" s="859"/>
      <c r="K255" s="859"/>
      <c r="L255" s="859"/>
      <c r="M255" s="859"/>
      <c r="N255" s="859"/>
      <c r="O255" s="859"/>
      <c r="P255" s="860"/>
      <c r="Q255" s="860"/>
      <c r="R255" s="860"/>
      <c r="S255" s="860"/>
      <c r="T255" s="860"/>
      <c r="U255" s="860"/>
      <c r="V255" s="860"/>
      <c r="W255" s="860"/>
      <c r="X255" s="860"/>
      <c r="Y255" s="860"/>
      <c r="Z255" s="860"/>
      <c r="AA255" s="860"/>
      <c r="AB255" s="860"/>
    </row>
    <row r="256">
      <c r="I256" s="856"/>
      <c r="J256" s="859"/>
      <c r="K256" s="859"/>
      <c r="L256" s="859"/>
      <c r="M256" s="859"/>
      <c r="N256" s="859"/>
      <c r="O256" s="859"/>
      <c r="P256" s="860"/>
      <c r="Q256" s="860"/>
      <c r="R256" s="860"/>
      <c r="S256" s="860"/>
      <c r="T256" s="860"/>
      <c r="U256" s="860"/>
      <c r="V256" s="860"/>
      <c r="W256" s="860"/>
      <c r="X256" s="860"/>
      <c r="Y256" s="860"/>
      <c r="Z256" s="860"/>
      <c r="AA256" s="860"/>
      <c r="AB256" s="860"/>
    </row>
    <row r="257">
      <c r="I257" s="856"/>
      <c r="J257" s="859"/>
      <c r="K257" s="859"/>
      <c r="L257" s="859"/>
      <c r="M257" s="859"/>
      <c r="N257" s="859"/>
      <c r="O257" s="859"/>
      <c r="P257" s="860"/>
      <c r="Q257" s="860"/>
      <c r="R257" s="860"/>
      <c r="S257" s="860"/>
      <c r="T257" s="860"/>
      <c r="U257" s="860"/>
      <c r="V257" s="860"/>
      <c r="W257" s="860"/>
      <c r="X257" s="860"/>
      <c r="Y257" s="860"/>
      <c r="Z257" s="860"/>
      <c r="AA257" s="860"/>
      <c r="AB257" s="860"/>
    </row>
    <row r="258">
      <c r="I258" s="856"/>
      <c r="J258" s="859"/>
      <c r="K258" s="859"/>
      <c r="L258" s="859"/>
      <c r="M258" s="859"/>
      <c r="N258" s="859"/>
      <c r="O258" s="859"/>
      <c r="P258" s="860"/>
      <c r="Q258" s="860"/>
      <c r="R258" s="860"/>
      <c r="S258" s="860"/>
      <c r="T258" s="860"/>
      <c r="U258" s="860"/>
      <c r="V258" s="860"/>
      <c r="W258" s="860"/>
      <c r="X258" s="860"/>
      <c r="Y258" s="860"/>
      <c r="Z258" s="860"/>
      <c r="AA258" s="860"/>
      <c r="AB258" s="860"/>
    </row>
    <row r="259">
      <c r="I259" s="856"/>
      <c r="J259" s="859"/>
      <c r="K259" s="859"/>
      <c r="L259" s="859"/>
      <c r="M259" s="859"/>
      <c r="N259" s="859"/>
      <c r="O259" s="859"/>
      <c r="P259" s="860"/>
      <c r="Q259" s="860"/>
      <c r="R259" s="860"/>
      <c r="S259" s="860"/>
      <c r="T259" s="860"/>
      <c r="U259" s="860"/>
      <c r="V259" s="860"/>
      <c r="W259" s="860"/>
      <c r="X259" s="860"/>
      <c r="Y259" s="860"/>
      <c r="Z259" s="860"/>
      <c r="AA259" s="860"/>
      <c r="AB259" s="860"/>
    </row>
    <row r="260">
      <c r="I260" s="856"/>
      <c r="J260" s="859"/>
      <c r="K260" s="859"/>
      <c r="L260" s="859"/>
      <c r="M260" s="859"/>
      <c r="N260" s="859"/>
      <c r="O260" s="859"/>
      <c r="P260" s="860"/>
      <c r="Q260" s="860"/>
      <c r="R260" s="860"/>
      <c r="S260" s="860"/>
      <c r="T260" s="860"/>
      <c r="U260" s="860"/>
      <c r="V260" s="860"/>
      <c r="W260" s="860"/>
      <c r="X260" s="860"/>
      <c r="Y260" s="860"/>
      <c r="Z260" s="860"/>
      <c r="AA260" s="860"/>
      <c r="AB260" s="860"/>
    </row>
    <row r="261">
      <c r="I261" s="856"/>
      <c r="J261" s="859"/>
      <c r="K261" s="859"/>
      <c r="L261" s="859"/>
      <c r="M261" s="859"/>
      <c r="N261" s="859"/>
      <c r="O261" s="859"/>
      <c r="P261" s="860"/>
      <c r="Q261" s="860"/>
      <c r="R261" s="860"/>
      <c r="S261" s="860"/>
      <c r="T261" s="860"/>
      <c r="U261" s="860"/>
      <c r="V261" s="860"/>
      <c r="W261" s="860"/>
      <c r="X261" s="860"/>
      <c r="Y261" s="860"/>
      <c r="Z261" s="860"/>
      <c r="AA261" s="860"/>
      <c r="AB261" s="860"/>
    </row>
    <row r="262">
      <c r="I262" s="856"/>
      <c r="J262" s="859"/>
      <c r="K262" s="859"/>
      <c r="L262" s="859"/>
      <c r="M262" s="859"/>
      <c r="N262" s="859"/>
      <c r="O262" s="859"/>
      <c r="P262" s="860"/>
      <c r="Q262" s="860"/>
      <c r="R262" s="860"/>
      <c r="S262" s="860"/>
      <c r="T262" s="860"/>
      <c r="U262" s="860"/>
      <c r="V262" s="860"/>
      <c r="W262" s="860"/>
      <c r="X262" s="860"/>
      <c r="Y262" s="860"/>
      <c r="Z262" s="860"/>
      <c r="AA262" s="860"/>
      <c r="AB262" s="860"/>
    </row>
    <row r="263">
      <c r="I263" s="856"/>
      <c r="J263" s="859"/>
      <c r="K263" s="859"/>
      <c r="L263" s="859"/>
      <c r="M263" s="859"/>
      <c r="N263" s="859"/>
      <c r="O263" s="859"/>
      <c r="P263" s="860"/>
      <c r="Q263" s="860"/>
      <c r="R263" s="860"/>
      <c r="S263" s="860"/>
      <c r="T263" s="860"/>
      <c r="U263" s="860"/>
      <c r="V263" s="860"/>
      <c r="W263" s="860"/>
      <c r="X263" s="860"/>
      <c r="Y263" s="860"/>
      <c r="Z263" s="860"/>
      <c r="AA263" s="860"/>
      <c r="AB263" s="860"/>
    </row>
    <row r="264">
      <c r="I264" s="856"/>
      <c r="J264" s="859"/>
      <c r="K264" s="859"/>
      <c r="L264" s="859"/>
      <c r="M264" s="859"/>
      <c r="N264" s="859"/>
      <c r="O264" s="859"/>
      <c r="P264" s="860"/>
      <c r="Q264" s="860"/>
      <c r="R264" s="860"/>
      <c r="S264" s="860"/>
      <c r="T264" s="860"/>
      <c r="U264" s="860"/>
      <c r="V264" s="860"/>
      <c r="W264" s="860"/>
      <c r="X264" s="860"/>
      <c r="Y264" s="860"/>
      <c r="Z264" s="860"/>
      <c r="AA264" s="860"/>
      <c r="AB264" s="860"/>
    </row>
    <row r="265">
      <c r="I265" s="856"/>
      <c r="J265" s="859"/>
      <c r="K265" s="859"/>
      <c r="L265" s="859"/>
      <c r="M265" s="859"/>
      <c r="N265" s="859"/>
      <c r="O265" s="859"/>
      <c r="P265" s="860"/>
      <c r="Q265" s="860"/>
      <c r="R265" s="860"/>
      <c r="S265" s="860"/>
      <c r="T265" s="860"/>
      <c r="U265" s="860"/>
      <c r="V265" s="860"/>
      <c r="W265" s="860"/>
      <c r="X265" s="860"/>
      <c r="Y265" s="860"/>
      <c r="Z265" s="860"/>
      <c r="AA265" s="860"/>
      <c r="AB265" s="860"/>
    </row>
    <row r="266">
      <c r="I266" s="856"/>
      <c r="J266" s="859"/>
      <c r="K266" s="859"/>
      <c r="L266" s="859"/>
      <c r="M266" s="859"/>
      <c r="N266" s="859"/>
      <c r="O266" s="859"/>
      <c r="P266" s="860"/>
      <c r="Q266" s="860"/>
      <c r="R266" s="860"/>
      <c r="S266" s="860"/>
      <c r="T266" s="860"/>
      <c r="U266" s="860"/>
      <c r="V266" s="860"/>
      <c r="W266" s="860"/>
      <c r="X266" s="860"/>
      <c r="Y266" s="860"/>
      <c r="Z266" s="860"/>
      <c r="AA266" s="860"/>
      <c r="AB266" s="860"/>
    </row>
    <row r="267">
      <c r="I267" s="856"/>
      <c r="J267" s="859"/>
      <c r="K267" s="859"/>
      <c r="L267" s="859"/>
      <c r="M267" s="859"/>
      <c r="N267" s="859"/>
      <c r="O267" s="859"/>
      <c r="P267" s="860"/>
      <c r="Q267" s="860"/>
      <c r="R267" s="860"/>
      <c r="S267" s="860"/>
      <c r="T267" s="860"/>
      <c r="U267" s="860"/>
      <c r="V267" s="860"/>
      <c r="W267" s="860"/>
      <c r="X267" s="860"/>
      <c r="Y267" s="860"/>
      <c r="Z267" s="860"/>
      <c r="AA267" s="860"/>
      <c r="AB267" s="860"/>
    </row>
    <row r="268">
      <c r="I268" s="856"/>
      <c r="J268" s="859"/>
      <c r="K268" s="859"/>
      <c r="L268" s="859"/>
      <c r="M268" s="859"/>
      <c r="N268" s="859"/>
      <c r="O268" s="859"/>
      <c r="P268" s="860"/>
      <c r="Q268" s="860"/>
      <c r="R268" s="860"/>
      <c r="S268" s="860"/>
      <c r="T268" s="860"/>
      <c r="U268" s="860"/>
      <c r="V268" s="860"/>
      <c r="W268" s="860"/>
      <c r="X268" s="860"/>
      <c r="Y268" s="860"/>
      <c r="Z268" s="860"/>
      <c r="AA268" s="860"/>
      <c r="AB268" s="860"/>
    </row>
    <row r="269">
      <c r="I269" s="856"/>
      <c r="J269" s="859"/>
      <c r="K269" s="859"/>
      <c r="L269" s="859"/>
      <c r="M269" s="859"/>
      <c r="N269" s="859"/>
      <c r="O269" s="859"/>
      <c r="P269" s="860"/>
      <c r="Q269" s="860"/>
      <c r="R269" s="860"/>
      <c r="S269" s="860"/>
      <c r="T269" s="860"/>
      <c r="U269" s="860"/>
      <c r="V269" s="860"/>
      <c r="W269" s="860"/>
      <c r="X269" s="860"/>
      <c r="Y269" s="860"/>
      <c r="Z269" s="860"/>
      <c r="AA269" s="860"/>
      <c r="AB269" s="860"/>
    </row>
    <row r="270">
      <c r="I270" s="856"/>
      <c r="J270" s="859"/>
      <c r="K270" s="859"/>
      <c r="L270" s="859"/>
      <c r="M270" s="859"/>
      <c r="N270" s="859"/>
      <c r="O270" s="859"/>
      <c r="P270" s="860"/>
      <c r="Q270" s="860"/>
      <c r="R270" s="860"/>
      <c r="S270" s="860"/>
      <c r="T270" s="860"/>
      <c r="U270" s="860"/>
      <c r="V270" s="860"/>
      <c r="W270" s="860"/>
      <c r="X270" s="860"/>
      <c r="Y270" s="860"/>
      <c r="Z270" s="860"/>
      <c r="AA270" s="860"/>
      <c r="AB270" s="860"/>
    </row>
    <row r="271">
      <c r="I271" s="856"/>
      <c r="J271" s="859"/>
      <c r="K271" s="859"/>
      <c r="L271" s="859"/>
      <c r="M271" s="859"/>
      <c r="N271" s="859"/>
      <c r="O271" s="859"/>
      <c r="P271" s="860"/>
      <c r="Q271" s="860"/>
      <c r="R271" s="860"/>
      <c r="S271" s="860"/>
      <c r="T271" s="860"/>
      <c r="U271" s="860"/>
      <c r="V271" s="860"/>
      <c r="W271" s="860"/>
      <c r="X271" s="860"/>
      <c r="Y271" s="860"/>
      <c r="Z271" s="860"/>
      <c r="AA271" s="860"/>
      <c r="AB271" s="860"/>
    </row>
    <row r="272">
      <c r="I272" s="856"/>
      <c r="J272" s="859"/>
      <c r="K272" s="859"/>
      <c r="L272" s="859"/>
      <c r="M272" s="859"/>
      <c r="N272" s="859"/>
      <c r="O272" s="859"/>
      <c r="P272" s="860"/>
      <c r="Q272" s="860"/>
      <c r="R272" s="860"/>
      <c r="S272" s="860"/>
      <c r="T272" s="860"/>
      <c r="U272" s="860"/>
      <c r="V272" s="860"/>
      <c r="W272" s="860"/>
      <c r="X272" s="860"/>
      <c r="Y272" s="860"/>
      <c r="Z272" s="860"/>
      <c r="AA272" s="860"/>
      <c r="AB272" s="860"/>
    </row>
    <row r="273">
      <c r="I273" s="856"/>
      <c r="J273" s="859"/>
      <c r="K273" s="859"/>
      <c r="L273" s="859"/>
      <c r="M273" s="859"/>
      <c r="N273" s="859"/>
      <c r="O273" s="859"/>
      <c r="P273" s="860"/>
      <c r="Q273" s="860"/>
      <c r="R273" s="860"/>
      <c r="S273" s="860"/>
      <c r="T273" s="860"/>
      <c r="U273" s="860"/>
      <c r="V273" s="860"/>
      <c r="W273" s="860"/>
      <c r="X273" s="860"/>
      <c r="Y273" s="860"/>
      <c r="Z273" s="860"/>
      <c r="AA273" s="860"/>
      <c r="AB273" s="860"/>
    </row>
    <row r="274">
      <c r="I274" s="856"/>
      <c r="J274" s="859"/>
      <c r="K274" s="859"/>
      <c r="L274" s="859"/>
      <c r="M274" s="859"/>
      <c r="N274" s="859"/>
      <c r="O274" s="859"/>
      <c r="P274" s="860"/>
      <c r="Q274" s="860"/>
      <c r="R274" s="860"/>
      <c r="S274" s="860"/>
      <c r="T274" s="860"/>
      <c r="U274" s="860"/>
      <c r="V274" s="860"/>
      <c r="W274" s="860"/>
      <c r="X274" s="860"/>
      <c r="Y274" s="860"/>
      <c r="Z274" s="860"/>
      <c r="AA274" s="860"/>
      <c r="AB274" s="860"/>
    </row>
    <row r="275">
      <c r="I275" s="856"/>
      <c r="J275" s="859"/>
      <c r="K275" s="859"/>
      <c r="L275" s="859"/>
      <c r="M275" s="859"/>
      <c r="N275" s="859"/>
      <c r="O275" s="859"/>
      <c r="P275" s="860"/>
      <c r="Q275" s="860"/>
      <c r="R275" s="860"/>
      <c r="S275" s="860"/>
      <c r="T275" s="860"/>
      <c r="U275" s="860"/>
      <c r="V275" s="860"/>
      <c r="W275" s="860"/>
      <c r="X275" s="860"/>
      <c r="Y275" s="860"/>
      <c r="Z275" s="860"/>
      <c r="AA275" s="860"/>
      <c r="AB275" s="860"/>
    </row>
    <row r="276">
      <c r="I276" s="856"/>
      <c r="J276" s="859"/>
      <c r="K276" s="859"/>
      <c r="L276" s="859"/>
      <c r="M276" s="859"/>
      <c r="N276" s="859"/>
      <c r="O276" s="859"/>
      <c r="P276" s="860"/>
      <c r="Q276" s="860"/>
      <c r="R276" s="860"/>
      <c r="S276" s="860"/>
      <c r="T276" s="860"/>
      <c r="U276" s="860"/>
      <c r="V276" s="860"/>
      <c r="W276" s="860"/>
      <c r="X276" s="860"/>
      <c r="Y276" s="860"/>
      <c r="Z276" s="860"/>
      <c r="AA276" s="860"/>
      <c r="AB276" s="860"/>
    </row>
    <row r="277">
      <c r="I277" s="856"/>
      <c r="J277" s="859"/>
      <c r="K277" s="859"/>
      <c r="L277" s="859"/>
      <c r="M277" s="859"/>
      <c r="N277" s="859"/>
      <c r="O277" s="859"/>
      <c r="P277" s="860"/>
      <c r="Q277" s="860"/>
      <c r="R277" s="860"/>
      <c r="S277" s="860"/>
      <c r="T277" s="860"/>
      <c r="U277" s="860"/>
      <c r="V277" s="860"/>
      <c r="W277" s="860"/>
      <c r="X277" s="860"/>
      <c r="Y277" s="860"/>
      <c r="Z277" s="860"/>
      <c r="AA277" s="860"/>
      <c r="AB277" s="860"/>
    </row>
    <row r="278">
      <c r="I278" s="856"/>
      <c r="J278" s="859"/>
      <c r="K278" s="859"/>
      <c r="L278" s="859"/>
      <c r="M278" s="859"/>
      <c r="N278" s="859"/>
      <c r="O278" s="859"/>
      <c r="P278" s="860"/>
      <c r="Q278" s="860"/>
      <c r="R278" s="860"/>
      <c r="S278" s="860"/>
      <c r="T278" s="860"/>
      <c r="U278" s="860"/>
      <c r="V278" s="860"/>
      <c r="W278" s="860"/>
      <c r="X278" s="860"/>
      <c r="Y278" s="860"/>
      <c r="Z278" s="860"/>
      <c r="AA278" s="860"/>
      <c r="AB278" s="860"/>
    </row>
    <row r="279">
      <c r="I279" s="856"/>
      <c r="J279" s="859"/>
      <c r="K279" s="859"/>
      <c r="L279" s="859"/>
      <c r="M279" s="859"/>
      <c r="N279" s="859"/>
      <c r="O279" s="859"/>
      <c r="P279" s="860"/>
      <c r="Q279" s="860"/>
      <c r="R279" s="860"/>
      <c r="S279" s="860"/>
      <c r="T279" s="860"/>
      <c r="U279" s="860"/>
      <c r="V279" s="860"/>
      <c r="W279" s="860"/>
      <c r="X279" s="860"/>
      <c r="Y279" s="860"/>
      <c r="Z279" s="860"/>
      <c r="AA279" s="860"/>
      <c r="AB279" s="860"/>
    </row>
    <row r="280">
      <c r="I280" s="856"/>
      <c r="J280" s="859"/>
      <c r="K280" s="859"/>
      <c r="L280" s="859"/>
      <c r="M280" s="859"/>
      <c r="N280" s="859"/>
      <c r="O280" s="859"/>
      <c r="P280" s="860"/>
      <c r="Q280" s="860"/>
      <c r="R280" s="860"/>
      <c r="S280" s="860"/>
      <c r="T280" s="860"/>
      <c r="U280" s="860"/>
      <c r="V280" s="860"/>
      <c r="W280" s="860"/>
      <c r="X280" s="860"/>
      <c r="Y280" s="860"/>
      <c r="Z280" s="860"/>
      <c r="AA280" s="860"/>
      <c r="AB280" s="860"/>
    </row>
    <row r="281">
      <c r="I281" s="856"/>
      <c r="J281" s="859"/>
      <c r="K281" s="859"/>
      <c r="L281" s="859"/>
      <c r="M281" s="859"/>
      <c r="N281" s="859"/>
      <c r="O281" s="859"/>
      <c r="P281" s="860"/>
      <c r="Q281" s="860"/>
      <c r="R281" s="860"/>
      <c r="S281" s="860"/>
      <c r="T281" s="860"/>
      <c r="U281" s="860"/>
      <c r="V281" s="860"/>
      <c r="W281" s="860"/>
      <c r="X281" s="860"/>
      <c r="Y281" s="860"/>
      <c r="Z281" s="860"/>
      <c r="AA281" s="860"/>
      <c r="AB281" s="860"/>
    </row>
    <row r="282">
      <c r="I282" s="856"/>
      <c r="J282" s="859"/>
      <c r="K282" s="859"/>
      <c r="L282" s="859"/>
      <c r="M282" s="859"/>
      <c r="N282" s="859"/>
      <c r="O282" s="859"/>
      <c r="P282" s="860"/>
      <c r="Q282" s="860"/>
      <c r="R282" s="860"/>
      <c r="S282" s="860"/>
      <c r="T282" s="860"/>
      <c r="U282" s="860"/>
      <c r="V282" s="860"/>
      <c r="W282" s="860"/>
      <c r="X282" s="860"/>
      <c r="Y282" s="860"/>
      <c r="Z282" s="860"/>
      <c r="AA282" s="860"/>
      <c r="AB282" s="860"/>
    </row>
    <row r="283">
      <c r="I283" s="856"/>
      <c r="J283" s="859"/>
      <c r="K283" s="859"/>
      <c r="L283" s="859"/>
      <c r="M283" s="859"/>
      <c r="N283" s="859"/>
      <c r="O283" s="859"/>
      <c r="P283" s="860"/>
      <c r="Q283" s="860"/>
      <c r="R283" s="860"/>
      <c r="S283" s="860"/>
      <c r="T283" s="860"/>
      <c r="U283" s="860"/>
      <c r="V283" s="860"/>
      <c r="W283" s="860"/>
      <c r="X283" s="860"/>
      <c r="Y283" s="860"/>
      <c r="Z283" s="860"/>
      <c r="AA283" s="860"/>
      <c r="AB283" s="860"/>
    </row>
    <row r="284">
      <c r="I284" s="856"/>
      <c r="J284" s="859"/>
      <c r="K284" s="859"/>
      <c r="L284" s="859"/>
      <c r="M284" s="859"/>
      <c r="N284" s="859"/>
      <c r="O284" s="859"/>
      <c r="P284" s="860"/>
      <c r="Q284" s="860"/>
      <c r="R284" s="860"/>
      <c r="S284" s="860"/>
      <c r="T284" s="860"/>
      <c r="U284" s="860"/>
      <c r="V284" s="860"/>
      <c r="W284" s="860"/>
      <c r="X284" s="860"/>
      <c r="Y284" s="860"/>
      <c r="Z284" s="860"/>
      <c r="AA284" s="860"/>
      <c r="AB284" s="860"/>
    </row>
    <row r="285">
      <c r="I285" s="856"/>
      <c r="J285" s="859"/>
      <c r="K285" s="859"/>
      <c r="L285" s="859"/>
      <c r="M285" s="859"/>
      <c r="N285" s="859"/>
      <c r="O285" s="859"/>
      <c r="P285" s="860"/>
      <c r="Q285" s="860"/>
      <c r="R285" s="860"/>
      <c r="S285" s="860"/>
      <c r="T285" s="860"/>
      <c r="U285" s="860"/>
      <c r="V285" s="860"/>
      <c r="W285" s="860"/>
      <c r="X285" s="860"/>
      <c r="Y285" s="860"/>
      <c r="Z285" s="860"/>
      <c r="AA285" s="860"/>
      <c r="AB285" s="860"/>
    </row>
    <row r="286">
      <c r="I286" s="856"/>
      <c r="J286" s="859"/>
      <c r="K286" s="859"/>
      <c r="L286" s="859"/>
      <c r="M286" s="859"/>
      <c r="N286" s="859"/>
      <c r="O286" s="859"/>
      <c r="P286" s="860"/>
      <c r="Q286" s="860"/>
      <c r="R286" s="860"/>
      <c r="S286" s="860"/>
      <c r="T286" s="860"/>
      <c r="U286" s="860"/>
      <c r="V286" s="860"/>
      <c r="W286" s="860"/>
      <c r="X286" s="860"/>
      <c r="Y286" s="860"/>
      <c r="Z286" s="860"/>
      <c r="AA286" s="860"/>
      <c r="AB286" s="860"/>
    </row>
    <row r="287">
      <c r="I287" s="856"/>
      <c r="J287" s="859"/>
      <c r="K287" s="859"/>
      <c r="L287" s="859"/>
      <c r="M287" s="859"/>
      <c r="N287" s="859"/>
      <c r="O287" s="859"/>
      <c r="P287" s="860"/>
      <c r="Q287" s="860"/>
      <c r="R287" s="860"/>
      <c r="S287" s="860"/>
      <c r="T287" s="860"/>
      <c r="U287" s="860"/>
      <c r="V287" s="860"/>
      <c r="W287" s="860"/>
      <c r="X287" s="860"/>
      <c r="Y287" s="860"/>
      <c r="Z287" s="860"/>
      <c r="AA287" s="860"/>
      <c r="AB287" s="860"/>
    </row>
    <row r="288">
      <c r="I288" s="856"/>
      <c r="J288" s="859"/>
      <c r="K288" s="859"/>
      <c r="L288" s="859"/>
      <c r="M288" s="859"/>
      <c r="N288" s="859"/>
      <c r="O288" s="859"/>
      <c r="P288" s="860"/>
      <c r="Q288" s="860"/>
      <c r="R288" s="860"/>
      <c r="S288" s="860"/>
      <c r="T288" s="860"/>
      <c r="U288" s="860"/>
      <c r="V288" s="860"/>
      <c r="W288" s="860"/>
      <c r="X288" s="860"/>
      <c r="Y288" s="860"/>
      <c r="Z288" s="860"/>
      <c r="AA288" s="860"/>
      <c r="AB288" s="860"/>
    </row>
    <row r="289">
      <c r="I289" s="856"/>
      <c r="J289" s="859"/>
      <c r="K289" s="859"/>
      <c r="L289" s="859"/>
      <c r="M289" s="859"/>
      <c r="N289" s="859"/>
      <c r="O289" s="859"/>
      <c r="P289" s="860"/>
      <c r="Q289" s="860"/>
      <c r="R289" s="860"/>
      <c r="S289" s="860"/>
      <c r="T289" s="860"/>
      <c r="U289" s="860"/>
      <c r="V289" s="860"/>
      <c r="W289" s="860"/>
      <c r="X289" s="860"/>
      <c r="Y289" s="860"/>
      <c r="Z289" s="860"/>
      <c r="AA289" s="860"/>
      <c r="AB289" s="860"/>
    </row>
    <row r="290">
      <c r="I290" s="856"/>
      <c r="J290" s="859"/>
      <c r="K290" s="859"/>
      <c r="L290" s="859"/>
      <c r="M290" s="859"/>
      <c r="N290" s="859"/>
      <c r="O290" s="859"/>
      <c r="P290" s="860"/>
      <c r="Q290" s="860"/>
      <c r="R290" s="860"/>
      <c r="S290" s="860"/>
      <c r="T290" s="860"/>
      <c r="U290" s="860"/>
      <c r="V290" s="860"/>
      <c r="W290" s="860"/>
      <c r="X290" s="860"/>
      <c r="Y290" s="860"/>
      <c r="Z290" s="860"/>
      <c r="AA290" s="860"/>
      <c r="AB290" s="860"/>
    </row>
    <row r="291">
      <c r="I291" s="856"/>
      <c r="J291" s="859"/>
      <c r="K291" s="859"/>
      <c r="L291" s="859"/>
      <c r="M291" s="859"/>
      <c r="N291" s="859"/>
      <c r="O291" s="859"/>
      <c r="P291" s="860"/>
      <c r="Q291" s="860"/>
      <c r="R291" s="860"/>
      <c r="S291" s="860"/>
      <c r="T291" s="860"/>
      <c r="U291" s="860"/>
      <c r="V291" s="860"/>
      <c r="W291" s="860"/>
      <c r="X291" s="860"/>
      <c r="Y291" s="860"/>
      <c r="Z291" s="860"/>
      <c r="AA291" s="860"/>
      <c r="AB291" s="860"/>
    </row>
    <row r="292">
      <c r="I292" s="856"/>
      <c r="J292" s="859"/>
      <c r="K292" s="859"/>
      <c r="L292" s="859"/>
      <c r="M292" s="859"/>
      <c r="N292" s="859"/>
      <c r="O292" s="859"/>
      <c r="P292" s="860"/>
      <c r="Q292" s="860"/>
      <c r="R292" s="860"/>
      <c r="S292" s="860"/>
      <c r="T292" s="860"/>
      <c r="U292" s="860"/>
      <c r="V292" s="860"/>
      <c r="W292" s="860"/>
      <c r="X292" s="860"/>
      <c r="Y292" s="860"/>
      <c r="Z292" s="860"/>
      <c r="AA292" s="860"/>
      <c r="AB292" s="860"/>
    </row>
    <row r="293">
      <c r="I293" s="856"/>
      <c r="J293" s="859"/>
      <c r="K293" s="859"/>
      <c r="L293" s="859"/>
      <c r="M293" s="859"/>
      <c r="N293" s="859"/>
      <c r="O293" s="859"/>
      <c r="P293" s="860"/>
      <c r="Q293" s="860"/>
      <c r="R293" s="860"/>
      <c r="S293" s="860"/>
      <c r="T293" s="860"/>
      <c r="U293" s="860"/>
      <c r="V293" s="860"/>
      <c r="W293" s="860"/>
      <c r="X293" s="860"/>
      <c r="Y293" s="860"/>
      <c r="Z293" s="860"/>
      <c r="AA293" s="860"/>
      <c r="AB293" s="860"/>
    </row>
    <row r="294">
      <c r="I294" s="856"/>
      <c r="J294" s="859"/>
      <c r="K294" s="859"/>
      <c r="L294" s="859"/>
      <c r="M294" s="859"/>
      <c r="N294" s="859"/>
      <c r="O294" s="859"/>
      <c r="P294" s="860"/>
      <c r="Q294" s="860"/>
      <c r="R294" s="860"/>
      <c r="S294" s="860"/>
      <c r="T294" s="860"/>
      <c r="U294" s="860"/>
      <c r="V294" s="860"/>
      <c r="W294" s="860"/>
      <c r="X294" s="860"/>
      <c r="Y294" s="860"/>
      <c r="Z294" s="860"/>
      <c r="AA294" s="860"/>
      <c r="AB294" s="860"/>
    </row>
    <row r="295">
      <c r="I295" s="856"/>
      <c r="J295" s="859"/>
      <c r="K295" s="859"/>
      <c r="L295" s="859"/>
      <c r="M295" s="859"/>
      <c r="N295" s="859"/>
      <c r="O295" s="859"/>
      <c r="P295" s="860"/>
      <c r="Q295" s="860"/>
      <c r="R295" s="860"/>
      <c r="S295" s="860"/>
      <c r="T295" s="860"/>
      <c r="U295" s="860"/>
      <c r="V295" s="860"/>
      <c r="W295" s="860"/>
      <c r="X295" s="860"/>
      <c r="Y295" s="860"/>
      <c r="Z295" s="860"/>
      <c r="AA295" s="860"/>
      <c r="AB295" s="860"/>
    </row>
    <row r="296">
      <c r="I296" s="856"/>
      <c r="J296" s="859"/>
      <c r="K296" s="859"/>
      <c r="L296" s="859"/>
      <c r="M296" s="859"/>
      <c r="N296" s="859"/>
      <c r="O296" s="859"/>
      <c r="P296" s="860"/>
      <c r="Q296" s="860"/>
      <c r="R296" s="860"/>
      <c r="S296" s="860"/>
      <c r="T296" s="860"/>
      <c r="U296" s="860"/>
      <c r="V296" s="860"/>
      <c r="W296" s="860"/>
      <c r="X296" s="860"/>
      <c r="Y296" s="860"/>
      <c r="Z296" s="860"/>
      <c r="AA296" s="860"/>
      <c r="AB296" s="860"/>
    </row>
    <row r="297">
      <c r="I297" s="856"/>
      <c r="J297" s="859"/>
      <c r="K297" s="859"/>
      <c r="L297" s="859"/>
      <c r="M297" s="859"/>
      <c r="N297" s="859"/>
      <c r="O297" s="859"/>
      <c r="P297" s="860"/>
      <c r="Q297" s="860"/>
      <c r="R297" s="860"/>
      <c r="S297" s="860"/>
      <c r="T297" s="860"/>
      <c r="U297" s="860"/>
      <c r="V297" s="860"/>
      <c r="W297" s="860"/>
      <c r="X297" s="860"/>
      <c r="Y297" s="860"/>
      <c r="Z297" s="860"/>
      <c r="AA297" s="860"/>
      <c r="AB297" s="860"/>
    </row>
    <row r="298">
      <c r="I298" s="856"/>
      <c r="J298" s="859"/>
      <c r="K298" s="859"/>
      <c r="L298" s="859"/>
      <c r="M298" s="859"/>
      <c r="N298" s="859"/>
      <c r="O298" s="859"/>
      <c r="P298" s="860"/>
      <c r="Q298" s="860"/>
      <c r="R298" s="860"/>
      <c r="S298" s="860"/>
      <c r="T298" s="860"/>
      <c r="U298" s="860"/>
      <c r="V298" s="860"/>
      <c r="W298" s="860"/>
      <c r="X298" s="860"/>
      <c r="Y298" s="860"/>
      <c r="Z298" s="860"/>
      <c r="AA298" s="860"/>
      <c r="AB298" s="860"/>
    </row>
    <row r="299">
      <c r="I299" s="856"/>
      <c r="J299" s="859"/>
      <c r="K299" s="859"/>
      <c r="L299" s="859"/>
      <c r="M299" s="859"/>
      <c r="N299" s="859"/>
      <c r="O299" s="859"/>
      <c r="P299" s="860"/>
      <c r="Q299" s="860"/>
      <c r="R299" s="860"/>
      <c r="S299" s="860"/>
      <c r="T299" s="860"/>
      <c r="U299" s="860"/>
      <c r="V299" s="860"/>
      <c r="W299" s="860"/>
      <c r="X299" s="860"/>
      <c r="Y299" s="860"/>
      <c r="Z299" s="860"/>
      <c r="AA299" s="860"/>
      <c r="AB299" s="860"/>
    </row>
    <row r="300">
      <c r="I300" s="856"/>
      <c r="J300" s="859"/>
      <c r="K300" s="859"/>
      <c r="L300" s="859"/>
      <c r="M300" s="859"/>
      <c r="N300" s="859"/>
      <c r="O300" s="859"/>
      <c r="P300" s="860"/>
      <c r="Q300" s="860"/>
      <c r="R300" s="860"/>
      <c r="S300" s="860"/>
      <c r="T300" s="860"/>
      <c r="U300" s="860"/>
      <c r="V300" s="860"/>
      <c r="W300" s="860"/>
      <c r="X300" s="860"/>
      <c r="Y300" s="860"/>
      <c r="Z300" s="860"/>
      <c r="AA300" s="860"/>
      <c r="AB300" s="860"/>
    </row>
    <row r="301">
      <c r="I301" s="856"/>
      <c r="J301" s="859"/>
      <c r="K301" s="859"/>
      <c r="L301" s="859"/>
      <c r="M301" s="859"/>
      <c r="N301" s="859"/>
      <c r="O301" s="859"/>
      <c r="P301" s="860"/>
      <c r="Q301" s="860"/>
      <c r="R301" s="860"/>
      <c r="S301" s="860"/>
      <c r="T301" s="860"/>
      <c r="U301" s="860"/>
      <c r="V301" s="860"/>
      <c r="W301" s="860"/>
      <c r="X301" s="860"/>
      <c r="Y301" s="860"/>
      <c r="Z301" s="860"/>
      <c r="AA301" s="860"/>
      <c r="AB301" s="860"/>
    </row>
    <row r="302">
      <c r="I302" s="856"/>
      <c r="J302" s="859"/>
      <c r="K302" s="859"/>
      <c r="L302" s="859"/>
      <c r="M302" s="859"/>
      <c r="N302" s="859"/>
      <c r="O302" s="859"/>
      <c r="P302" s="860"/>
      <c r="Q302" s="860"/>
      <c r="R302" s="860"/>
      <c r="S302" s="860"/>
      <c r="T302" s="860"/>
      <c r="U302" s="860"/>
      <c r="V302" s="860"/>
      <c r="W302" s="860"/>
      <c r="X302" s="860"/>
      <c r="Y302" s="860"/>
      <c r="Z302" s="860"/>
      <c r="AA302" s="860"/>
      <c r="AB302" s="860"/>
    </row>
    <row r="303">
      <c r="I303" s="856"/>
      <c r="J303" s="859"/>
      <c r="K303" s="859"/>
      <c r="L303" s="859"/>
      <c r="M303" s="859"/>
      <c r="N303" s="859"/>
      <c r="O303" s="859"/>
      <c r="P303" s="860"/>
      <c r="Q303" s="860"/>
      <c r="R303" s="860"/>
      <c r="S303" s="860"/>
      <c r="T303" s="860"/>
      <c r="U303" s="860"/>
      <c r="V303" s="860"/>
      <c r="W303" s="860"/>
      <c r="X303" s="860"/>
      <c r="Y303" s="860"/>
      <c r="Z303" s="860"/>
      <c r="AA303" s="860"/>
      <c r="AB303" s="860"/>
    </row>
    <row r="304">
      <c r="I304" s="856"/>
      <c r="J304" s="859"/>
      <c r="K304" s="859"/>
      <c r="L304" s="859"/>
      <c r="M304" s="859"/>
      <c r="N304" s="859"/>
      <c r="O304" s="859"/>
      <c r="P304" s="860"/>
      <c r="Q304" s="860"/>
      <c r="R304" s="860"/>
      <c r="S304" s="860"/>
      <c r="T304" s="860"/>
      <c r="U304" s="860"/>
      <c r="V304" s="860"/>
      <c r="W304" s="860"/>
      <c r="X304" s="860"/>
      <c r="Y304" s="860"/>
      <c r="Z304" s="860"/>
      <c r="AA304" s="860"/>
      <c r="AB304" s="860"/>
    </row>
    <row r="305">
      <c r="I305" s="856"/>
      <c r="J305" s="859"/>
      <c r="K305" s="859"/>
      <c r="L305" s="859"/>
      <c r="M305" s="859"/>
      <c r="N305" s="859"/>
      <c r="O305" s="859"/>
      <c r="P305" s="860"/>
      <c r="Q305" s="860"/>
      <c r="R305" s="860"/>
      <c r="S305" s="860"/>
      <c r="T305" s="860"/>
      <c r="U305" s="860"/>
      <c r="V305" s="860"/>
      <c r="W305" s="860"/>
      <c r="X305" s="860"/>
      <c r="Y305" s="860"/>
      <c r="Z305" s="860"/>
      <c r="AA305" s="860"/>
      <c r="AB305" s="860"/>
    </row>
    <row r="306">
      <c r="I306" s="856"/>
      <c r="J306" s="859"/>
      <c r="K306" s="859"/>
      <c r="L306" s="859"/>
      <c r="M306" s="859"/>
      <c r="N306" s="859"/>
      <c r="O306" s="859"/>
      <c r="P306" s="860"/>
      <c r="Q306" s="860"/>
      <c r="R306" s="860"/>
      <c r="S306" s="860"/>
      <c r="T306" s="860"/>
      <c r="U306" s="860"/>
      <c r="V306" s="860"/>
      <c r="W306" s="860"/>
      <c r="X306" s="860"/>
      <c r="Y306" s="860"/>
      <c r="Z306" s="860"/>
      <c r="AA306" s="860"/>
      <c r="AB306" s="860"/>
    </row>
    <row r="307">
      <c r="I307" s="856"/>
      <c r="J307" s="859"/>
      <c r="K307" s="859"/>
      <c r="L307" s="859"/>
      <c r="M307" s="859"/>
      <c r="N307" s="859"/>
      <c r="O307" s="859"/>
      <c r="P307" s="860"/>
      <c r="Q307" s="860"/>
      <c r="R307" s="860"/>
      <c r="S307" s="860"/>
      <c r="T307" s="860"/>
      <c r="U307" s="860"/>
      <c r="V307" s="860"/>
      <c r="W307" s="860"/>
      <c r="X307" s="860"/>
      <c r="Y307" s="860"/>
      <c r="Z307" s="860"/>
      <c r="AA307" s="860"/>
      <c r="AB307" s="860"/>
    </row>
    <row r="308">
      <c r="I308" s="856"/>
      <c r="J308" s="859"/>
      <c r="K308" s="859"/>
      <c r="L308" s="859"/>
      <c r="M308" s="859"/>
      <c r="N308" s="859"/>
      <c r="O308" s="859"/>
      <c r="P308" s="860"/>
      <c r="Q308" s="860"/>
      <c r="R308" s="860"/>
      <c r="S308" s="860"/>
      <c r="T308" s="860"/>
      <c r="U308" s="860"/>
      <c r="V308" s="860"/>
      <c r="W308" s="860"/>
      <c r="X308" s="860"/>
      <c r="Y308" s="860"/>
      <c r="Z308" s="860"/>
      <c r="AA308" s="860"/>
      <c r="AB308" s="860"/>
    </row>
    <row r="309">
      <c r="I309" s="856"/>
      <c r="J309" s="859"/>
      <c r="K309" s="859"/>
      <c r="L309" s="859"/>
      <c r="M309" s="859"/>
      <c r="N309" s="859"/>
      <c r="O309" s="859"/>
      <c r="P309" s="860"/>
      <c r="Q309" s="860"/>
      <c r="R309" s="860"/>
      <c r="S309" s="860"/>
      <c r="T309" s="860"/>
      <c r="U309" s="860"/>
      <c r="V309" s="860"/>
      <c r="W309" s="860"/>
      <c r="X309" s="860"/>
      <c r="Y309" s="860"/>
      <c r="Z309" s="860"/>
      <c r="AA309" s="860"/>
      <c r="AB309" s="860"/>
    </row>
    <row r="310">
      <c r="I310" s="856"/>
      <c r="J310" s="859"/>
      <c r="K310" s="859"/>
      <c r="L310" s="859"/>
      <c r="M310" s="859"/>
      <c r="N310" s="859"/>
      <c r="O310" s="859"/>
      <c r="P310" s="860"/>
      <c r="Q310" s="860"/>
      <c r="R310" s="860"/>
      <c r="S310" s="860"/>
      <c r="T310" s="860"/>
      <c r="U310" s="860"/>
      <c r="V310" s="860"/>
      <c r="W310" s="860"/>
      <c r="X310" s="860"/>
      <c r="Y310" s="860"/>
      <c r="Z310" s="860"/>
      <c r="AA310" s="860"/>
      <c r="AB310" s="860"/>
    </row>
    <row r="311">
      <c r="I311" s="856"/>
      <c r="J311" s="859"/>
      <c r="K311" s="859"/>
      <c r="L311" s="859"/>
      <c r="M311" s="859"/>
      <c r="N311" s="859"/>
      <c r="O311" s="859"/>
      <c r="P311" s="860"/>
      <c r="Q311" s="860"/>
      <c r="R311" s="860"/>
      <c r="S311" s="860"/>
      <c r="T311" s="860"/>
      <c r="U311" s="860"/>
      <c r="V311" s="860"/>
      <c r="W311" s="860"/>
      <c r="X311" s="860"/>
      <c r="Y311" s="860"/>
      <c r="Z311" s="860"/>
      <c r="AA311" s="860"/>
      <c r="AB311" s="860"/>
    </row>
    <row r="312">
      <c r="I312" s="856"/>
      <c r="J312" s="859"/>
      <c r="K312" s="859"/>
      <c r="L312" s="859"/>
      <c r="M312" s="859"/>
      <c r="N312" s="859"/>
      <c r="O312" s="859"/>
      <c r="P312" s="860"/>
      <c r="Q312" s="860"/>
      <c r="R312" s="860"/>
      <c r="S312" s="860"/>
      <c r="T312" s="860"/>
      <c r="U312" s="860"/>
      <c r="V312" s="860"/>
      <c r="W312" s="860"/>
      <c r="X312" s="860"/>
      <c r="Y312" s="860"/>
      <c r="Z312" s="860"/>
      <c r="AA312" s="860"/>
      <c r="AB312" s="860"/>
    </row>
    <row r="313">
      <c r="I313" s="856"/>
      <c r="J313" s="859"/>
      <c r="K313" s="859"/>
      <c r="L313" s="859"/>
      <c r="M313" s="859"/>
      <c r="N313" s="859"/>
      <c r="O313" s="859"/>
      <c r="P313" s="860"/>
      <c r="Q313" s="860"/>
      <c r="R313" s="860"/>
      <c r="S313" s="860"/>
      <c r="T313" s="860"/>
      <c r="U313" s="860"/>
      <c r="V313" s="860"/>
      <c r="W313" s="860"/>
      <c r="X313" s="860"/>
      <c r="Y313" s="860"/>
      <c r="Z313" s="860"/>
      <c r="AA313" s="860"/>
      <c r="AB313" s="860"/>
    </row>
    <row r="314">
      <c r="I314" s="856"/>
      <c r="J314" s="859"/>
      <c r="K314" s="859"/>
      <c r="L314" s="859"/>
      <c r="M314" s="859"/>
      <c r="N314" s="859"/>
      <c r="O314" s="859"/>
      <c r="P314" s="860"/>
      <c r="Q314" s="860"/>
      <c r="R314" s="860"/>
      <c r="S314" s="860"/>
      <c r="T314" s="860"/>
      <c r="U314" s="860"/>
      <c r="V314" s="860"/>
      <c r="W314" s="860"/>
      <c r="X314" s="860"/>
      <c r="Y314" s="860"/>
      <c r="Z314" s="860"/>
      <c r="AA314" s="860"/>
      <c r="AB314" s="860"/>
    </row>
    <row r="315">
      <c r="I315" s="856"/>
      <c r="J315" s="859"/>
      <c r="K315" s="859"/>
      <c r="L315" s="859"/>
      <c r="M315" s="859"/>
      <c r="N315" s="859"/>
      <c r="O315" s="859"/>
      <c r="P315" s="860"/>
      <c r="Q315" s="860"/>
      <c r="R315" s="860"/>
      <c r="S315" s="860"/>
      <c r="T315" s="860"/>
      <c r="U315" s="860"/>
      <c r="V315" s="860"/>
      <c r="W315" s="860"/>
      <c r="X315" s="860"/>
      <c r="Y315" s="860"/>
      <c r="Z315" s="860"/>
      <c r="AA315" s="860"/>
      <c r="AB315" s="860"/>
    </row>
    <row r="316">
      <c r="I316" s="856"/>
      <c r="J316" s="859"/>
      <c r="K316" s="859"/>
      <c r="L316" s="859"/>
      <c r="M316" s="859"/>
      <c r="N316" s="859"/>
      <c r="O316" s="859"/>
      <c r="P316" s="860"/>
      <c r="Q316" s="860"/>
      <c r="R316" s="860"/>
      <c r="S316" s="860"/>
      <c r="T316" s="860"/>
      <c r="U316" s="860"/>
      <c r="V316" s="860"/>
      <c r="W316" s="860"/>
      <c r="X316" s="860"/>
      <c r="Y316" s="860"/>
      <c r="Z316" s="860"/>
      <c r="AA316" s="860"/>
      <c r="AB316" s="860"/>
    </row>
    <row r="317">
      <c r="I317" s="856"/>
      <c r="J317" s="859"/>
      <c r="K317" s="859"/>
      <c r="L317" s="859"/>
      <c r="M317" s="859"/>
      <c r="N317" s="859"/>
      <c r="O317" s="859"/>
      <c r="P317" s="860"/>
      <c r="Q317" s="860"/>
      <c r="R317" s="860"/>
      <c r="S317" s="860"/>
      <c r="T317" s="860"/>
      <c r="U317" s="860"/>
      <c r="V317" s="860"/>
      <c r="W317" s="860"/>
      <c r="X317" s="860"/>
      <c r="Y317" s="860"/>
      <c r="Z317" s="860"/>
      <c r="AA317" s="860"/>
      <c r="AB317" s="860"/>
    </row>
    <row r="318">
      <c r="I318" s="856"/>
      <c r="J318" s="859"/>
      <c r="K318" s="859"/>
      <c r="L318" s="859"/>
      <c r="M318" s="859"/>
      <c r="N318" s="859"/>
      <c r="O318" s="859"/>
      <c r="P318" s="860"/>
      <c r="Q318" s="860"/>
      <c r="R318" s="860"/>
      <c r="S318" s="860"/>
      <c r="T318" s="860"/>
      <c r="U318" s="860"/>
      <c r="V318" s="860"/>
      <c r="W318" s="860"/>
      <c r="X318" s="860"/>
      <c r="Y318" s="860"/>
      <c r="Z318" s="860"/>
      <c r="AA318" s="860"/>
      <c r="AB318" s="860"/>
    </row>
    <row r="319">
      <c r="I319" s="856"/>
      <c r="J319" s="859"/>
      <c r="K319" s="859"/>
      <c r="L319" s="859"/>
      <c r="M319" s="859"/>
      <c r="N319" s="859"/>
      <c r="O319" s="859"/>
      <c r="P319" s="860"/>
      <c r="Q319" s="860"/>
      <c r="R319" s="860"/>
      <c r="S319" s="860"/>
      <c r="T319" s="860"/>
      <c r="U319" s="860"/>
      <c r="V319" s="860"/>
      <c r="W319" s="860"/>
      <c r="X319" s="860"/>
      <c r="Y319" s="860"/>
      <c r="Z319" s="860"/>
      <c r="AA319" s="860"/>
      <c r="AB319" s="860"/>
    </row>
    <row r="320">
      <c r="I320" s="856"/>
      <c r="J320" s="859"/>
      <c r="K320" s="859"/>
      <c r="L320" s="859"/>
      <c r="M320" s="859"/>
      <c r="N320" s="859"/>
      <c r="O320" s="859"/>
      <c r="P320" s="860"/>
      <c r="Q320" s="860"/>
      <c r="R320" s="860"/>
      <c r="S320" s="860"/>
      <c r="T320" s="860"/>
      <c r="U320" s="860"/>
      <c r="V320" s="860"/>
      <c r="W320" s="860"/>
      <c r="X320" s="860"/>
      <c r="Y320" s="860"/>
      <c r="Z320" s="860"/>
      <c r="AA320" s="860"/>
      <c r="AB320" s="860"/>
    </row>
    <row r="321">
      <c r="I321" s="856"/>
      <c r="J321" s="859"/>
      <c r="K321" s="859"/>
      <c r="L321" s="859"/>
      <c r="M321" s="859"/>
      <c r="N321" s="859"/>
      <c r="O321" s="859"/>
      <c r="P321" s="860"/>
      <c r="Q321" s="860"/>
      <c r="R321" s="860"/>
      <c r="S321" s="860"/>
      <c r="T321" s="860"/>
      <c r="U321" s="860"/>
      <c r="V321" s="860"/>
      <c r="W321" s="860"/>
      <c r="X321" s="860"/>
      <c r="Y321" s="860"/>
      <c r="Z321" s="860"/>
      <c r="AA321" s="860"/>
      <c r="AB321" s="860"/>
    </row>
    <row r="322">
      <c r="I322" s="856"/>
      <c r="J322" s="859"/>
      <c r="K322" s="859"/>
      <c r="L322" s="859"/>
      <c r="M322" s="859"/>
      <c r="N322" s="859"/>
      <c r="O322" s="859"/>
      <c r="P322" s="860"/>
      <c r="Q322" s="860"/>
      <c r="R322" s="860"/>
      <c r="S322" s="860"/>
      <c r="T322" s="860"/>
      <c r="U322" s="860"/>
      <c r="V322" s="860"/>
      <c r="W322" s="860"/>
      <c r="X322" s="860"/>
      <c r="Y322" s="860"/>
      <c r="Z322" s="860"/>
      <c r="AA322" s="860"/>
      <c r="AB322" s="860"/>
    </row>
    <row r="323">
      <c r="I323" s="856"/>
      <c r="J323" s="859"/>
      <c r="K323" s="859"/>
      <c r="L323" s="859"/>
      <c r="M323" s="859"/>
      <c r="N323" s="859"/>
      <c r="O323" s="859"/>
      <c r="P323" s="860"/>
      <c r="Q323" s="860"/>
      <c r="R323" s="860"/>
      <c r="S323" s="860"/>
      <c r="T323" s="860"/>
      <c r="U323" s="860"/>
      <c r="V323" s="860"/>
      <c r="W323" s="860"/>
      <c r="X323" s="860"/>
      <c r="Y323" s="860"/>
      <c r="Z323" s="860"/>
      <c r="AA323" s="860"/>
      <c r="AB323" s="860"/>
    </row>
    <row r="324">
      <c r="I324" s="856"/>
      <c r="J324" s="859"/>
      <c r="K324" s="859"/>
      <c r="L324" s="859"/>
      <c r="M324" s="859"/>
      <c r="N324" s="859"/>
      <c r="O324" s="859"/>
      <c r="P324" s="860"/>
      <c r="Q324" s="860"/>
      <c r="R324" s="860"/>
      <c r="S324" s="860"/>
      <c r="T324" s="860"/>
      <c r="U324" s="860"/>
      <c r="V324" s="860"/>
      <c r="W324" s="860"/>
      <c r="X324" s="860"/>
      <c r="Y324" s="860"/>
      <c r="Z324" s="860"/>
      <c r="AA324" s="860"/>
      <c r="AB324" s="860"/>
    </row>
    <row r="325">
      <c r="I325" s="856"/>
      <c r="J325" s="859"/>
      <c r="K325" s="859"/>
      <c r="L325" s="859"/>
      <c r="M325" s="859"/>
      <c r="N325" s="859"/>
      <c r="O325" s="859"/>
      <c r="P325" s="860"/>
      <c r="Q325" s="860"/>
      <c r="R325" s="860"/>
      <c r="S325" s="860"/>
      <c r="T325" s="860"/>
      <c r="U325" s="860"/>
      <c r="V325" s="860"/>
      <c r="W325" s="860"/>
      <c r="X325" s="860"/>
      <c r="Y325" s="860"/>
      <c r="Z325" s="860"/>
      <c r="AA325" s="860"/>
      <c r="AB325" s="860"/>
    </row>
    <row r="326">
      <c r="I326" s="856"/>
      <c r="J326" s="859"/>
      <c r="K326" s="859"/>
      <c r="L326" s="859"/>
      <c r="M326" s="859"/>
      <c r="N326" s="859"/>
      <c r="O326" s="859"/>
      <c r="P326" s="860"/>
      <c r="Q326" s="860"/>
      <c r="R326" s="860"/>
      <c r="S326" s="860"/>
      <c r="T326" s="860"/>
      <c r="U326" s="860"/>
      <c r="V326" s="860"/>
      <c r="W326" s="860"/>
      <c r="X326" s="860"/>
      <c r="Y326" s="860"/>
      <c r="Z326" s="860"/>
      <c r="AA326" s="860"/>
      <c r="AB326" s="860"/>
    </row>
    <row r="327">
      <c r="I327" s="856"/>
      <c r="J327" s="859"/>
      <c r="K327" s="859"/>
      <c r="L327" s="859"/>
      <c r="M327" s="859"/>
      <c r="N327" s="859"/>
      <c r="O327" s="859"/>
      <c r="P327" s="860"/>
      <c r="Q327" s="860"/>
      <c r="R327" s="860"/>
      <c r="S327" s="860"/>
      <c r="T327" s="860"/>
      <c r="U327" s="860"/>
      <c r="V327" s="860"/>
      <c r="W327" s="860"/>
      <c r="X327" s="860"/>
      <c r="Y327" s="860"/>
      <c r="Z327" s="860"/>
      <c r="AA327" s="860"/>
      <c r="AB327" s="860"/>
    </row>
    <row r="328">
      <c r="I328" s="856"/>
      <c r="J328" s="859"/>
      <c r="K328" s="859"/>
      <c r="L328" s="859"/>
      <c r="M328" s="859"/>
      <c r="N328" s="859"/>
      <c r="O328" s="859"/>
      <c r="P328" s="860"/>
      <c r="Q328" s="860"/>
      <c r="R328" s="860"/>
      <c r="S328" s="860"/>
      <c r="T328" s="860"/>
      <c r="U328" s="860"/>
      <c r="V328" s="860"/>
      <c r="W328" s="860"/>
      <c r="X328" s="860"/>
      <c r="Y328" s="860"/>
      <c r="Z328" s="860"/>
      <c r="AA328" s="860"/>
      <c r="AB328" s="860"/>
    </row>
    <row r="329">
      <c r="I329" s="856"/>
      <c r="J329" s="859"/>
      <c r="K329" s="859"/>
      <c r="L329" s="859"/>
      <c r="M329" s="859"/>
      <c r="N329" s="859"/>
      <c r="O329" s="859"/>
      <c r="P329" s="860"/>
      <c r="Q329" s="860"/>
      <c r="R329" s="860"/>
      <c r="S329" s="860"/>
      <c r="T329" s="860"/>
      <c r="U329" s="860"/>
      <c r="V329" s="860"/>
      <c r="W329" s="860"/>
      <c r="X329" s="860"/>
      <c r="Y329" s="860"/>
      <c r="Z329" s="860"/>
      <c r="AA329" s="860"/>
      <c r="AB329" s="860"/>
    </row>
    <row r="330">
      <c r="I330" s="856"/>
      <c r="J330" s="859"/>
      <c r="K330" s="859"/>
      <c r="L330" s="859"/>
      <c r="M330" s="859"/>
      <c r="N330" s="859"/>
      <c r="O330" s="859"/>
      <c r="P330" s="860"/>
      <c r="Q330" s="860"/>
      <c r="R330" s="860"/>
      <c r="S330" s="860"/>
      <c r="T330" s="860"/>
      <c r="U330" s="860"/>
      <c r="V330" s="860"/>
      <c r="W330" s="860"/>
      <c r="X330" s="860"/>
      <c r="Y330" s="860"/>
      <c r="Z330" s="860"/>
      <c r="AA330" s="860"/>
      <c r="AB330" s="860"/>
    </row>
    <row r="331">
      <c r="I331" s="856"/>
      <c r="J331" s="859"/>
      <c r="K331" s="859"/>
      <c r="L331" s="859"/>
      <c r="M331" s="859"/>
      <c r="N331" s="859"/>
      <c r="O331" s="859"/>
      <c r="P331" s="860"/>
      <c r="Q331" s="860"/>
      <c r="R331" s="860"/>
      <c r="S331" s="860"/>
      <c r="T331" s="860"/>
      <c r="U331" s="860"/>
      <c r="V331" s="860"/>
      <c r="W331" s="860"/>
      <c r="X331" s="860"/>
      <c r="Y331" s="860"/>
      <c r="Z331" s="860"/>
      <c r="AA331" s="860"/>
      <c r="AB331" s="860"/>
    </row>
    <row r="332">
      <c r="I332" s="856"/>
      <c r="J332" s="859"/>
      <c r="K332" s="859"/>
      <c r="L332" s="859"/>
      <c r="M332" s="859"/>
      <c r="N332" s="859"/>
      <c r="O332" s="859"/>
      <c r="P332" s="860"/>
      <c r="Q332" s="860"/>
      <c r="R332" s="860"/>
      <c r="S332" s="860"/>
      <c r="T332" s="860"/>
      <c r="U332" s="860"/>
      <c r="V332" s="860"/>
      <c r="W332" s="860"/>
      <c r="X332" s="860"/>
      <c r="Y332" s="860"/>
      <c r="Z332" s="860"/>
      <c r="AA332" s="860"/>
      <c r="AB332" s="860"/>
    </row>
    <row r="333">
      <c r="I333" s="856"/>
      <c r="J333" s="859"/>
      <c r="K333" s="859"/>
      <c r="L333" s="859"/>
      <c r="M333" s="859"/>
      <c r="N333" s="859"/>
      <c r="O333" s="859"/>
      <c r="P333" s="860"/>
      <c r="Q333" s="860"/>
      <c r="R333" s="860"/>
      <c r="S333" s="860"/>
      <c r="T333" s="860"/>
      <c r="U333" s="860"/>
      <c r="V333" s="860"/>
      <c r="W333" s="860"/>
      <c r="X333" s="860"/>
      <c r="Y333" s="860"/>
      <c r="Z333" s="860"/>
      <c r="AA333" s="860"/>
      <c r="AB333" s="860"/>
    </row>
    <row r="334">
      <c r="I334" s="856"/>
      <c r="J334" s="859"/>
      <c r="K334" s="859"/>
      <c r="L334" s="859"/>
      <c r="M334" s="859"/>
      <c r="N334" s="859"/>
      <c r="O334" s="859"/>
      <c r="P334" s="860"/>
      <c r="Q334" s="860"/>
      <c r="R334" s="860"/>
      <c r="S334" s="860"/>
      <c r="T334" s="860"/>
      <c r="U334" s="860"/>
      <c r="V334" s="860"/>
      <c r="W334" s="860"/>
      <c r="X334" s="860"/>
      <c r="Y334" s="860"/>
      <c r="Z334" s="860"/>
      <c r="AA334" s="860"/>
      <c r="AB334" s="860"/>
    </row>
    <row r="335">
      <c r="I335" s="856"/>
      <c r="J335" s="859"/>
      <c r="K335" s="859"/>
      <c r="L335" s="859"/>
      <c r="M335" s="859"/>
      <c r="N335" s="859"/>
      <c r="O335" s="859"/>
      <c r="P335" s="860"/>
      <c r="Q335" s="860"/>
      <c r="R335" s="860"/>
      <c r="S335" s="860"/>
      <c r="T335" s="860"/>
      <c r="U335" s="860"/>
      <c r="V335" s="860"/>
      <c r="W335" s="860"/>
      <c r="X335" s="860"/>
      <c r="Y335" s="860"/>
      <c r="Z335" s="860"/>
      <c r="AA335" s="860"/>
      <c r="AB335" s="860"/>
    </row>
    <row r="336">
      <c r="I336" s="856"/>
      <c r="J336" s="859"/>
      <c r="K336" s="859"/>
      <c r="L336" s="859"/>
      <c r="M336" s="859"/>
      <c r="N336" s="859"/>
      <c r="O336" s="859"/>
      <c r="P336" s="860"/>
      <c r="Q336" s="860"/>
      <c r="R336" s="860"/>
      <c r="S336" s="860"/>
      <c r="T336" s="860"/>
      <c r="U336" s="860"/>
      <c r="V336" s="860"/>
      <c r="W336" s="860"/>
      <c r="X336" s="860"/>
      <c r="Y336" s="860"/>
      <c r="Z336" s="860"/>
      <c r="AA336" s="860"/>
      <c r="AB336" s="860"/>
    </row>
    <row r="337">
      <c r="I337" s="856"/>
      <c r="J337" s="859"/>
      <c r="K337" s="859"/>
      <c r="L337" s="859"/>
      <c r="M337" s="859"/>
      <c r="N337" s="859"/>
      <c r="O337" s="859"/>
      <c r="P337" s="860"/>
      <c r="Q337" s="860"/>
      <c r="R337" s="860"/>
      <c r="S337" s="860"/>
      <c r="T337" s="860"/>
      <c r="U337" s="860"/>
      <c r="V337" s="860"/>
      <c r="W337" s="860"/>
      <c r="X337" s="860"/>
      <c r="Y337" s="860"/>
      <c r="Z337" s="860"/>
      <c r="AA337" s="860"/>
      <c r="AB337" s="860"/>
    </row>
    <row r="338">
      <c r="I338" s="856"/>
      <c r="J338" s="859"/>
      <c r="K338" s="859"/>
      <c r="L338" s="859"/>
      <c r="M338" s="859"/>
      <c r="N338" s="859"/>
      <c r="O338" s="859"/>
      <c r="P338" s="860"/>
      <c r="Q338" s="860"/>
      <c r="R338" s="860"/>
      <c r="S338" s="860"/>
      <c r="T338" s="860"/>
      <c r="U338" s="860"/>
      <c r="V338" s="860"/>
      <c r="W338" s="860"/>
      <c r="X338" s="860"/>
      <c r="Y338" s="860"/>
      <c r="Z338" s="860"/>
      <c r="AA338" s="860"/>
      <c r="AB338" s="860"/>
    </row>
    <row r="339">
      <c r="I339" s="856"/>
      <c r="J339" s="859"/>
      <c r="K339" s="859"/>
      <c r="L339" s="859"/>
      <c r="M339" s="859"/>
      <c r="N339" s="859"/>
      <c r="O339" s="859"/>
      <c r="P339" s="860"/>
      <c r="Q339" s="860"/>
      <c r="R339" s="860"/>
      <c r="S339" s="860"/>
      <c r="T339" s="860"/>
      <c r="U339" s="860"/>
      <c r="V339" s="860"/>
      <c r="W339" s="860"/>
      <c r="X339" s="860"/>
      <c r="Y339" s="860"/>
      <c r="Z339" s="860"/>
      <c r="AA339" s="860"/>
      <c r="AB339" s="860"/>
    </row>
    <row r="340">
      <c r="I340" s="856"/>
      <c r="J340" s="859"/>
      <c r="K340" s="859"/>
      <c r="L340" s="859"/>
      <c r="M340" s="859"/>
      <c r="N340" s="859"/>
      <c r="O340" s="859"/>
      <c r="P340" s="860"/>
      <c r="Q340" s="860"/>
      <c r="R340" s="860"/>
      <c r="S340" s="860"/>
      <c r="T340" s="860"/>
      <c r="U340" s="860"/>
      <c r="V340" s="860"/>
      <c r="W340" s="860"/>
      <c r="X340" s="860"/>
      <c r="Y340" s="860"/>
      <c r="Z340" s="860"/>
      <c r="AA340" s="860"/>
      <c r="AB340" s="860"/>
    </row>
    <row r="341">
      <c r="I341" s="856"/>
      <c r="J341" s="859"/>
      <c r="K341" s="859"/>
      <c r="L341" s="859"/>
      <c r="M341" s="859"/>
      <c r="N341" s="859"/>
      <c r="O341" s="859"/>
      <c r="P341" s="860"/>
      <c r="Q341" s="860"/>
      <c r="R341" s="860"/>
      <c r="S341" s="860"/>
      <c r="T341" s="860"/>
      <c r="U341" s="860"/>
      <c r="V341" s="860"/>
      <c r="W341" s="860"/>
      <c r="X341" s="860"/>
      <c r="Y341" s="860"/>
      <c r="Z341" s="860"/>
      <c r="AA341" s="860"/>
      <c r="AB341" s="860"/>
    </row>
    <row r="342">
      <c r="I342" s="856"/>
      <c r="J342" s="859"/>
      <c r="K342" s="859"/>
      <c r="L342" s="859"/>
      <c r="M342" s="859"/>
      <c r="N342" s="859"/>
      <c r="O342" s="859"/>
      <c r="P342" s="860"/>
      <c r="Q342" s="860"/>
      <c r="R342" s="860"/>
      <c r="S342" s="860"/>
      <c r="T342" s="860"/>
      <c r="U342" s="860"/>
      <c r="V342" s="860"/>
      <c r="W342" s="860"/>
      <c r="X342" s="860"/>
      <c r="Y342" s="860"/>
      <c r="Z342" s="860"/>
      <c r="AA342" s="860"/>
      <c r="AB342" s="860"/>
    </row>
    <row r="343">
      <c r="I343" s="856"/>
      <c r="J343" s="859"/>
      <c r="K343" s="859"/>
      <c r="L343" s="859"/>
      <c r="M343" s="859"/>
      <c r="N343" s="859"/>
      <c r="O343" s="859"/>
      <c r="P343" s="860"/>
      <c r="Q343" s="860"/>
      <c r="R343" s="860"/>
      <c r="S343" s="860"/>
      <c r="T343" s="860"/>
      <c r="U343" s="860"/>
      <c r="V343" s="860"/>
      <c r="W343" s="860"/>
      <c r="X343" s="860"/>
      <c r="Y343" s="860"/>
      <c r="Z343" s="860"/>
      <c r="AA343" s="860"/>
      <c r="AB343" s="860"/>
    </row>
    <row r="344">
      <c r="I344" s="856"/>
      <c r="J344" s="859"/>
      <c r="K344" s="859"/>
      <c r="L344" s="859"/>
      <c r="M344" s="859"/>
      <c r="N344" s="859"/>
      <c r="O344" s="859"/>
      <c r="P344" s="860"/>
      <c r="Q344" s="860"/>
      <c r="R344" s="860"/>
      <c r="S344" s="860"/>
      <c r="T344" s="860"/>
      <c r="U344" s="860"/>
      <c r="V344" s="860"/>
      <c r="W344" s="860"/>
      <c r="X344" s="860"/>
      <c r="Y344" s="860"/>
      <c r="Z344" s="860"/>
      <c r="AA344" s="860"/>
      <c r="AB344" s="860"/>
    </row>
    <row r="345">
      <c r="I345" s="856"/>
      <c r="J345" s="859"/>
      <c r="K345" s="859"/>
      <c r="L345" s="859"/>
      <c r="M345" s="859"/>
      <c r="N345" s="859"/>
      <c r="O345" s="859"/>
      <c r="P345" s="860"/>
      <c r="Q345" s="860"/>
      <c r="R345" s="860"/>
      <c r="S345" s="860"/>
      <c r="T345" s="860"/>
      <c r="U345" s="860"/>
      <c r="V345" s="860"/>
      <c r="W345" s="860"/>
      <c r="X345" s="860"/>
      <c r="Y345" s="860"/>
      <c r="Z345" s="860"/>
      <c r="AA345" s="860"/>
      <c r="AB345" s="860"/>
    </row>
    <row r="346">
      <c r="I346" s="856"/>
      <c r="J346" s="859"/>
      <c r="K346" s="859"/>
      <c r="L346" s="859"/>
      <c r="M346" s="859"/>
      <c r="N346" s="859"/>
      <c r="O346" s="859"/>
      <c r="P346" s="860"/>
      <c r="Q346" s="860"/>
      <c r="R346" s="860"/>
      <c r="S346" s="860"/>
      <c r="T346" s="860"/>
      <c r="U346" s="860"/>
      <c r="V346" s="860"/>
      <c r="W346" s="860"/>
      <c r="X346" s="860"/>
      <c r="Y346" s="860"/>
      <c r="Z346" s="860"/>
      <c r="AA346" s="860"/>
      <c r="AB346" s="860"/>
    </row>
    <row r="347">
      <c r="I347" s="856"/>
      <c r="J347" s="859"/>
      <c r="K347" s="859"/>
      <c r="L347" s="859"/>
      <c r="M347" s="859"/>
      <c r="N347" s="859"/>
      <c r="O347" s="859"/>
      <c r="P347" s="860"/>
      <c r="Q347" s="860"/>
      <c r="R347" s="860"/>
      <c r="S347" s="860"/>
      <c r="T347" s="860"/>
      <c r="U347" s="860"/>
      <c r="V347" s="860"/>
      <c r="W347" s="860"/>
      <c r="X347" s="860"/>
      <c r="Y347" s="860"/>
      <c r="Z347" s="860"/>
      <c r="AA347" s="860"/>
      <c r="AB347" s="860"/>
    </row>
    <row r="348">
      <c r="I348" s="856"/>
      <c r="J348" s="859"/>
      <c r="K348" s="859"/>
      <c r="L348" s="859"/>
      <c r="M348" s="859"/>
      <c r="N348" s="859"/>
      <c r="O348" s="859"/>
      <c r="P348" s="860"/>
      <c r="Q348" s="860"/>
      <c r="R348" s="860"/>
      <c r="S348" s="860"/>
      <c r="T348" s="860"/>
      <c r="U348" s="860"/>
      <c r="V348" s="860"/>
      <c r="W348" s="860"/>
      <c r="X348" s="860"/>
      <c r="Y348" s="860"/>
      <c r="Z348" s="860"/>
      <c r="AA348" s="860"/>
      <c r="AB348" s="860"/>
    </row>
    <row r="349">
      <c r="I349" s="856"/>
      <c r="J349" s="859"/>
      <c r="K349" s="859"/>
      <c r="L349" s="859"/>
      <c r="M349" s="859"/>
      <c r="N349" s="859"/>
      <c r="O349" s="859"/>
      <c r="P349" s="860"/>
      <c r="Q349" s="860"/>
      <c r="R349" s="860"/>
      <c r="S349" s="860"/>
      <c r="T349" s="860"/>
      <c r="U349" s="860"/>
      <c r="V349" s="860"/>
      <c r="W349" s="860"/>
      <c r="X349" s="860"/>
      <c r="Y349" s="860"/>
      <c r="Z349" s="860"/>
      <c r="AA349" s="860"/>
      <c r="AB349" s="860"/>
    </row>
    <row r="350">
      <c r="I350" s="856"/>
      <c r="J350" s="859"/>
      <c r="K350" s="859"/>
      <c r="L350" s="859"/>
      <c r="M350" s="859"/>
      <c r="N350" s="859"/>
      <c r="O350" s="859"/>
      <c r="P350" s="860"/>
      <c r="Q350" s="860"/>
      <c r="R350" s="860"/>
      <c r="S350" s="860"/>
      <c r="T350" s="860"/>
      <c r="U350" s="860"/>
      <c r="V350" s="860"/>
      <c r="W350" s="860"/>
      <c r="X350" s="860"/>
      <c r="Y350" s="860"/>
      <c r="Z350" s="860"/>
      <c r="AA350" s="860"/>
      <c r="AB350" s="860"/>
    </row>
    <row r="351">
      <c r="I351" s="856"/>
      <c r="J351" s="859"/>
      <c r="K351" s="859"/>
      <c r="L351" s="859"/>
      <c r="M351" s="859"/>
      <c r="N351" s="859"/>
      <c r="O351" s="859"/>
      <c r="P351" s="860"/>
      <c r="Q351" s="860"/>
      <c r="R351" s="860"/>
      <c r="S351" s="860"/>
      <c r="T351" s="860"/>
      <c r="U351" s="860"/>
      <c r="V351" s="860"/>
      <c r="W351" s="860"/>
      <c r="X351" s="860"/>
      <c r="Y351" s="860"/>
      <c r="Z351" s="860"/>
      <c r="AA351" s="860"/>
      <c r="AB351" s="860"/>
    </row>
    <row r="352">
      <c r="I352" s="856"/>
      <c r="J352" s="859"/>
      <c r="K352" s="859"/>
      <c r="L352" s="859"/>
      <c r="M352" s="859"/>
      <c r="N352" s="859"/>
      <c r="O352" s="859"/>
      <c r="P352" s="860"/>
      <c r="Q352" s="860"/>
      <c r="R352" s="860"/>
      <c r="S352" s="860"/>
      <c r="T352" s="860"/>
      <c r="U352" s="860"/>
      <c r="V352" s="860"/>
      <c r="W352" s="860"/>
      <c r="X352" s="860"/>
      <c r="Y352" s="860"/>
      <c r="Z352" s="860"/>
      <c r="AA352" s="860"/>
      <c r="AB352" s="860"/>
    </row>
    <row r="353">
      <c r="I353" s="856"/>
      <c r="J353" s="859"/>
      <c r="K353" s="859"/>
      <c r="L353" s="859"/>
      <c r="M353" s="859"/>
      <c r="N353" s="859"/>
      <c r="O353" s="859"/>
      <c r="P353" s="860"/>
      <c r="Q353" s="860"/>
      <c r="R353" s="860"/>
      <c r="S353" s="860"/>
      <c r="T353" s="860"/>
      <c r="U353" s="860"/>
      <c r="V353" s="860"/>
      <c r="W353" s="860"/>
      <c r="X353" s="860"/>
      <c r="Y353" s="860"/>
      <c r="Z353" s="860"/>
      <c r="AA353" s="860"/>
      <c r="AB353" s="860"/>
    </row>
    <row r="354">
      <c r="I354" s="856"/>
      <c r="J354" s="859"/>
      <c r="K354" s="859"/>
      <c r="L354" s="859"/>
      <c r="M354" s="859"/>
      <c r="N354" s="859"/>
      <c r="O354" s="859"/>
      <c r="P354" s="860"/>
      <c r="Q354" s="860"/>
      <c r="R354" s="860"/>
      <c r="S354" s="860"/>
      <c r="T354" s="860"/>
      <c r="U354" s="860"/>
      <c r="V354" s="860"/>
      <c r="W354" s="860"/>
      <c r="X354" s="860"/>
      <c r="Y354" s="860"/>
      <c r="Z354" s="860"/>
      <c r="AA354" s="860"/>
      <c r="AB354" s="860"/>
    </row>
    <row r="355">
      <c r="I355" s="856"/>
      <c r="J355" s="859"/>
      <c r="K355" s="859"/>
      <c r="L355" s="859"/>
      <c r="M355" s="859"/>
      <c r="N355" s="859"/>
      <c r="O355" s="859"/>
      <c r="P355" s="860"/>
      <c r="Q355" s="860"/>
      <c r="R355" s="860"/>
      <c r="S355" s="860"/>
      <c r="T355" s="860"/>
      <c r="U355" s="860"/>
      <c r="V355" s="860"/>
      <c r="W355" s="860"/>
      <c r="X355" s="860"/>
      <c r="Y355" s="860"/>
      <c r="Z355" s="860"/>
      <c r="AA355" s="860"/>
      <c r="AB355" s="860"/>
    </row>
    <row r="356">
      <c r="I356" s="856"/>
      <c r="J356" s="859"/>
      <c r="K356" s="859"/>
      <c r="L356" s="859"/>
      <c r="M356" s="859"/>
      <c r="N356" s="859"/>
      <c r="O356" s="859"/>
      <c r="P356" s="860"/>
      <c r="Q356" s="860"/>
      <c r="R356" s="860"/>
      <c r="S356" s="860"/>
      <c r="T356" s="860"/>
      <c r="U356" s="860"/>
      <c r="V356" s="860"/>
      <c r="W356" s="860"/>
      <c r="X356" s="860"/>
      <c r="Y356" s="860"/>
      <c r="Z356" s="860"/>
      <c r="AA356" s="860"/>
      <c r="AB356" s="860"/>
    </row>
    <row r="357">
      <c r="I357" s="856"/>
      <c r="J357" s="859"/>
      <c r="K357" s="859"/>
      <c r="L357" s="859"/>
      <c r="M357" s="859"/>
      <c r="N357" s="859"/>
      <c r="O357" s="859"/>
      <c r="P357" s="860"/>
      <c r="Q357" s="860"/>
      <c r="R357" s="860"/>
      <c r="S357" s="860"/>
      <c r="T357" s="860"/>
      <c r="U357" s="860"/>
      <c r="V357" s="860"/>
      <c r="W357" s="860"/>
      <c r="X357" s="860"/>
      <c r="Y357" s="860"/>
      <c r="Z357" s="860"/>
      <c r="AA357" s="860"/>
      <c r="AB357" s="860"/>
    </row>
    <row r="358">
      <c r="I358" s="856"/>
      <c r="J358" s="859"/>
      <c r="K358" s="859"/>
      <c r="L358" s="859"/>
      <c r="M358" s="859"/>
      <c r="N358" s="859"/>
      <c r="O358" s="859"/>
      <c r="P358" s="860"/>
      <c r="Q358" s="860"/>
      <c r="R358" s="860"/>
      <c r="S358" s="860"/>
      <c r="T358" s="860"/>
      <c r="U358" s="860"/>
      <c r="V358" s="860"/>
      <c r="W358" s="860"/>
      <c r="X358" s="860"/>
      <c r="Y358" s="860"/>
      <c r="Z358" s="860"/>
      <c r="AA358" s="860"/>
      <c r="AB358" s="860"/>
    </row>
    <row r="359">
      <c r="I359" s="856"/>
      <c r="J359" s="859"/>
      <c r="K359" s="859"/>
      <c r="L359" s="859"/>
      <c r="M359" s="859"/>
      <c r="N359" s="859"/>
      <c r="O359" s="859"/>
      <c r="P359" s="860"/>
      <c r="Q359" s="860"/>
      <c r="R359" s="860"/>
      <c r="S359" s="860"/>
      <c r="T359" s="860"/>
      <c r="U359" s="860"/>
      <c r="V359" s="860"/>
      <c r="W359" s="860"/>
      <c r="X359" s="860"/>
      <c r="Y359" s="860"/>
      <c r="Z359" s="860"/>
      <c r="AA359" s="860"/>
      <c r="AB359" s="860"/>
    </row>
    <row r="360">
      <c r="I360" s="856"/>
      <c r="J360" s="859"/>
      <c r="K360" s="859"/>
      <c r="L360" s="859"/>
      <c r="M360" s="859"/>
      <c r="N360" s="859"/>
      <c r="O360" s="859"/>
      <c r="P360" s="860"/>
      <c r="Q360" s="860"/>
      <c r="R360" s="860"/>
      <c r="S360" s="860"/>
      <c r="T360" s="860"/>
      <c r="U360" s="860"/>
      <c r="V360" s="860"/>
      <c r="W360" s="860"/>
      <c r="X360" s="860"/>
      <c r="Y360" s="860"/>
      <c r="Z360" s="860"/>
      <c r="AA360" s="860"/>
      <c r="AB360" s="860"/>
    </row>
    <row r="361">
      <c r="I361" s="856"/>
      <c r="J361" s="859"/>
      <c r="K361" s="859"/>
      <c r="L361" s="859"/>
      <c r="M361" s="859"/>
      <c r="N361" s="859"/>
      <c r="O361" s="859"/>
      <c r="P361" s="860"/>
      <c r="Q361" s="860"/>
      <c r="R361" s="860"/>
      <c r="S361" s="860"/>
      <c r="T361" s="860"/>
      <c r="U361" s="860"/>
      <c r="V361" s="860"/>
      <c r="W361" s="860"/>
      <c r="X361" s="860"/>
      <c r="Y361" s="860"/>
      <c r="Z361" s="860"/>
      <c r="AA361" s="860"/>
      <c r="AB361" s="860"/>
    </row>
    <row r="362">
      <c r="I362" s="856"/>
      <c r="J362" s="859"/>
      <c r="K362" s="859"/>
      <c r="L362" s="859"/>
      <c r="M362" s="859"/>
      <c r="N362" s="859"/>
      <c r="O362" s="859"/>
      <c r="P362" s="860"/>
      <c r="Q362" s="860"/>
      <c r="R362" s="860"/>
      <c r="S362" s="860"/>
      <c r="T362" s="860"/>
      <c r="U362" s="860"/>
      <c r="V362" s="860"/>
      <c r="W362" s="860"/>
      <c r="X362" s="860"/>
      <c r="Y362" s="860"/>
      <c r="Z362" s="860"/>
      <c r="AA362" s="860"/>
      <c r="AB362" s="860"/>
    </row>
    <row r="363">
      <c r="I363" s="856"/>
      <c r="J363" s="859"/>
      <c r="K363" s="859"/>
      <c r="L363" s="859"/>
      <c r="M363" s="859"/>
      <c r="N363" s="859"/>
      <c r="O363" s="859"/>
      <c r="P363" s="860"/>
      <c r="Q363" s="860"/>
      <c r="R363" s="860"/>
      <c r="S363" s="860"/>
      <c r="T363" s="860"/>
      <c r="U363" s="860"/>
      <c r="V363" s="860"/>
      <c r="W363" s="860"/>
      <c r="X363" s="860"/>
      <c r="Y363" s="860"/>
      <c r="Z363" s="860"/>
      <c r="AA363" s="860"/>
      <c r="AB363" s="860"/>
    </row>
    <row r="364">
      <c r="I364" s="856"/>
      <c r="J364" s="859"/>
      <c r="K364" s="859"/>
      <c r="L364" s="859"/>
      <c r="M364" s="859"/>
      <c r="N364" s="859"/>
      <c r="O364" s="859"/>
      <c r="P364" s="860"/>
      <c r="Q364" s="860"/>
      <c r="R364" s="860"/>
      <c r="S364" s="860"/>
      <c r="T364" s="860"/>
      <c r="U364" s="860"/>
      <c r="V364" s="860"/>
      <c r="W364" s="860"/>
      <c r="X364" s="860"/>
      <c r="Y364" s="860"/>
      <c r="Z364" s="860"/>
      <c r="AA364" s="860"/>
      <c r="AB364" s="860"/>
    </row>
    <row r="365">
      <c r="I365" s="856"/>
      <c r="J365" s="859"/>
      <c r="K365" s="859"/>
      <c r="L365" s="859"/>
      <c r="M365" s="859"/>
      <c r="N365" s="859"/>
      <c r="O365" s="859"/>
      <c r="P365" s="860"/>
      <c r="Q365" s="860"/>
      <c r="R365" s="860"/>
      <c r="S365" s="860"/>
      <c r="T365" s="860"/>
      <c r="U365" s="860"/>
      <c r="V365" s="860"/>
      <c r="W365" s="860"/>
      <c r="X365" s="860"/>
      <c r="Y365" s="860"/>
      <c r="Z365" s="860"/>
      <c r="AA365" s="860"/>
      <c r="AB365" s="860"/>
    </row>
    <row r="366">
      <c r="I366" s="856"/>
      <c r="J366" s="859"/>
      <c r="K366" s="859"/>
      <c r="L366" s="859"/>
      <c r="M366" s="859"/>
      <c r="N366" s="859"/>
      <c r="O366" s="859"/>
      <c r="P366" s="860"/>
      <c r="Q366" s="860"/>
      <c r="R366" s="860"/>
      <c r="S366" s="860"/>
      <c r="T366" s="860"/>
      <c r="U366" s="860"/>
      <c r="V366" s="860"/>
      <c r="W366" s="860"/>
      <c r="X366" s="860"/>
      <c r="Y366" s="860"/>
      <c r="Z366" s="860"/>
      <c r="AA366" s="860"/>
      <c r="AB366" s="860"/>
    </row>
    <row r="367">
      <c r="I367" s="856"/>
      <c r="J367" s="859"/>
      <c r="K367" s="859"/>
      <c r="L367" s="859"/>
      <c r="M367" s="859"/>
      <c r="N367" s="859"/>
      <c r="O367" s="859"/>
      <c r="P367" s="860"/>
      <c r="Q367" s="860"/>
      <c r="R367" s="860"/>
      <c r="S367" s="860"/>
      <c r="T367" s="860"/>
      <c r="U367" s="860"/>
      <c r="V367" s="860"/>
      <c r="W367" s="860"/>
      <c r="X367" s="860"/>
      <c r="Y367" s="860"/>
      <c r="Z367" s="860"/>
      <c r="AA367" s="860"/>
      <c r="AB367" s="860"/>
    </row>
    <row r="368">
      <c r="I368" s="856"/>
      <c r="J368" s="859"/>
      <c r="K368" s="859"/>
      <c r="L368" s="859"/>
      <c r="M368" s="859"/>
      <c r="N368" s="859"/>
      <c r="O368" s="859"/>
      <c r="P368" s="860"/>
      <c r="Q368" s="860"/>
      <c r="R368" s="860"/>
      <c r="S368" s="860"/>
      <c r="T368" s="860"/>
      <c r="U368" s="860"/>
      <c r="V368" s="860"/>
      <c r="W368" s="860"/>
      <c r="X368" s="860"/>
      <c r="Y368" s="860"/>
      <c r="Z368" s="860"/>
      <c r="AA368" s="860"/>
      <c r="AB368" s="860"/>
    </row>
    <row r="369">
      <c r="I369" s="856"/>
      <c r="J369" s="859"/>
      <c r="K369" s="859"/>
      <c r="L369" s="859"/>
      <c r="M369" s="859"/>
      <c r="N369" s="859"/>
      <c r="O369" s="859"/>
      <c r="P369" s="860"/>
      <c r="Q369" s="860"/>
      <c r="R369" s="860"/>
      <c r="S369" s="860"/>
      <c r="T369" s="860"/>
      <c r="U369" s="860"/>
      <c r="V369" s="860"/>
      <c r="W369" s="860"/>
      <c r="X369" s="860"/>
      <c r="Y369" s="860"/>
      <c r="Z369" s="860"/>
      <c r="AA369" s="860"/>
      <c r="AB369" s="860"/>
    </row>
    <row r="370">
      <c r="I370" s="856"/>
      <c r="J370" s="859"/>
      <c r="K370" s="859"/>
      <c r="L370" s="859"/>
      <c r="M370" s="859"/>
      <c r="N370" s="859"/>
      <c r="O370" s="859"/>
      <c r="P370" s="860"/>
      <c r="Q370" s="860"/>
      <c r="R370" s="860"/>
      <c r="S370" s="860"/>
      <c r="T370" s="860"/>
      <c r="U370" s="860"/>
      <c r="V370" s="860"/>
      <c r="W370" s="860"/>
      <c r="X370" s="860"/>
      <c r="Y370" s="860"/>
      <c r="Z370" s="860"/>
      <c r="AA370" s="860"/>
      <c r="AB370" s="860"/>
    </row>
    <row r="371">
      <c r="I371" s="856"/>
      <c r="J371" s="859"/>
      <c r="K371" s="859"/>
      <c r="L371" s="859"/>
      <c r="M371" s="859"/>
      <c r="N371" s="859"/>
      <c r="O371" s="859"/>
      <c r="P371" s="860"/>
      <c r="Q371" s="860"/>
      <c r="R371" s="860"/>
      <c r="S371" s="860"/>
      <c r="T371" s="860"/>
      <c r="U371" s="860"/>
      <c r="V371" s="860"/>
      <c r="W371" s="860"/>
      <c r="X371" s="860"/>
      <c r="Y371" s="860"/>
      <c r="Z371" s="860"/>
      <c r="AA371" s="860"/>
      <c r="AB371" s="860"/>
    </row>
    <row r="372">
      <c r="I372" s="856"/>
      <c r="J372" s="859"/>
      <c r="K372" s="859"/>
      <c r="L372" s="859"/>
      <c r="M372" s="859"/>
      <c r="N372" s="859"/>
      <c r="O372" s="859"/>
      <c r="P372" s="860"/>
      <c r="Q372" s="860"/>
      <c r="R372" s="860"/>
      <c r="S372" s="860"/>
      <c r="T372" s="860"/>
      <c r="U372" s="860"/>
      <c r="V372" s="860"/>
      <c r="W372" s="860"/>
      <c r="X372" s="860"/>
      <c r="Y372" s="860"/>
      <c r="Z372" s="860"/>
      <c r="AA372" s="860"/>
      <c r="AB372" s="860"/>
    </row>
    <row r="373">
      <c r="I373" s="856"/>
      <c r="J373" s="859"/>
      <c r="K373" s="859"/>
      <c r="L373" s="859"/>
      <c r="M373" s="859"/>
      <c r="N373" s="859"/>
      <c r="O373" s="859"/>
      <c r="P373" s="860"/>
      <c r="Q373" s="860"/>
      <c r="R373" s="860"/>
      <c r="S373" s="860"/>
      <c r="T373" s="860"/>
      <c r="U373" s="860"/>
      <c r="V373" s="860"/>
      <c r="W373" s="860"/>
      <c r="X373" s="860"/>
      <c r="Y373" s="860"/>
      <c r="Z373" s="860"/>
      <c r="AA373" s="860"/>
      <c r="AB373" s="860"/>
    </row>
    <row r="374">
      <c r="I374" s="856"/>
      <c r="J374" s="859"/>
      <c r="K374" s="859"/>
      <c r="L374" s="859"/>
      <c r="M374" s="859"/>
      <c r="N374" s="859"/>
      <c r="O374" s="859"/>
      <c r="P374" s="860"/>
      <c r="Q374" s="860"/>
      <c r="R374" s="860"/>
      <c r="S374" s="860"/>
      <c r="T374" s="860"/>
      <c r="U374" s="860"/>
      <c r="V374" s="860"/>
      <c r="W374" s="860"/>
      <c r="X374" s="860"/>
      <c r="Y374" s="860"/>
      <c r="Z374" s="860"/>
      <c r="AA374" s="860"/>
      <c r="AB374" s="860"/>
    </row>
    <row r="375">
      <c r="I375" s="856"/>
      <c r="J375" s="859"/>
      <c r="K375" s="859"/>
      <c r="L375" s="859"/>
      <c r="M375" s="859"/>
      <c r="N375" s="859"/>
      <c r="O375" s="859"/>
      <c r="P375" s="860"/>
      <c r="Q375" s="860"/>
      <c r="R375" s="860"/>
      <c r="S375" s="860"/>
      <c r="T375" s="860"/>
      <c r="U375" s="860"/>
      <c r="V375" s="860"/>
      <c r="W375" s="860"/>
      <c r="X375" s="860"/>
      <c r="Y375" s="860"/>
      <c r="Z375" s="860"/>
      <c r="AA375" s="860"/>
      <c r="AB375" s="860"/>
    </row>
    <row r="376">
      <c r="I376" s="856"/>
      <c r="J376" s="859"/>
      <c r="K376" s="859"/>
      <c r="L376" s="859"/>
      <c r="M376" s="859"/>
      <c r="N376" s="859"/>
      <c r="O376" s="859"/>
      <c r="P376" s="860"/>
      <c r="Q376" s="860"/>
      <c r="R376" s="860"/>
      <c r="S376" s="860"/>
      <c r="T376" s="860"/>
      <c r="U376" s="860"/>
      <c r="V376" s="860"/>
      <c r="W376" s="860"/>
      <c r="X376" s="860"/>
      <c r="Y376" s="860"/>
      <c r="Z376" s="860"/>
      <c r="AA376" s="860"/>
      <c r="AB376" s="860"/>
    </row>
    <row r="377">
      <c r="I377" s="856"/>
      <c r="J377" s="859"/>
      <c r="K377" s="859"/>
      <c r="L377" s="859"/>
      <c r="M377" s="859"/>
      <c r="N377" s="859"/>
      <c r="O377" s="859"/>
      <c r="P377" s="860"/>
      <c r="Q377" s="860"/>
      <c r="R377" s="860"/>
      <c r="S377" s="860"/>
      <c r="T377" s="860"/>
      <c r="U377" s="860"/>
      <c r="V377" s="860"/>
      <c r="W377" s="860"/>
      <c r="X377" s="860"/>
      <c r="Y377" s="860"/>
      <c r="Z377" s="860"/>
      <c r="AA377" s="860"/>
      <c r="AB377" s="860"/>
    </row>
    <row r="378">
      <c r="I378" s="856"/>
      <c r="J378" s="859"/>
      <c r="K378" s="859"/>
      <c r="L378" s="859"/>
      <c r="M378" s="859"/>
      <c r="N378" s="859"/>
      <c r="O378" s="859"/>
      <c r="P378" s="860"/>
      <c r="Q378" s="860"/>
      <c r="R378" s="860"/>
      <c r="S378" s="860"/>
      <c r="T378" s="860"/>
      <c r="U378" s="860"/>
      <c r="V378" s="860"/>
      <c r="W378" s="860"/>
      <c r="X378" s="860"/>
      <c r="Y378" s="860"/>
      <c r="Z378" s="860"/>
      <c r="AA378" s="860"/>
      <c r="AB378" s="860"/>
    </row>
    <row r="379">
      <c r="I379" s="856"/>
      <c r="J379" s="859"/>
      <c r="K379" s="859"/>
      <c r="L379" s="859"/>
      <c r="M379" s="859"/>
      <c r="N379" s="859"/>
      <c r="O379" s="859"/>
      <c r="P379" s="860"/>
      <c r="Q379" s="860"/>
      <c r="R379" s="860"/>
      <c r="S379" s="860"/>
      <c r="T379" s="860"/>
      <c r="U379" s="860"/>
      <c r="V379" s="860"/>
      <c r="W379" s="860"/>
      <c r="X379" s="860"/>
      <c r="Y379" s="860"/>
      <c r="Z379" s="860"/>
      <c r="AA379" s="860"/>
      <c r="AB379" s="860"/>
    </row>
    <row r="380">
      <c r="I380" s="856"/>
      <c r="J380" s="859"/>
      <c r="K380" s="859"/>
      <c r="L380" s="859"/>
      <c r="M380" s="859"/>
      <c r="N380" s="859"/>
      <c r="O380" s="859"/>
      <c r="P380" s="860"/>
      <c r="Q380" s="860"/>
      <c r="R380" s="860"/>
      <c r="S380" s="860"/>
      <c r="T380" s="860"/>
      <c r="U380" s="860"/>
      <c r="V380" s="860"/>
      <c r="W380" s="860"/>
      <c r="X380" s="860"/>
      <c r="Y380" s="860"/>
      <c r="Z380" s="860"/>
      <c r="AA380" s="860"/>
      <c r="AB380" s="860"/>
    </row>
    <row r="381">
      <c r="I381" s="856"/>
      <c r="J381" s="859"/>
      <c r="K381" s="859"/>
      <c r="L381" s="859"/>
      <c r="M381" s="859"/>
      <c r="N381" s="859"/>
      <c r="O381" s="859"/>
      <c r="P381" s="860"/>
      <c r="Q381" s="860"/>
      <c r="R381" s="860"/>
      <c r="S381" s="860"/>
      <c r="T381" s="860"/>
      <c r="U381" s="860"/>
      <c r="V381" s="860"/>
      <c r="W381" s="860"/>
      <c r="X381" s="860"/>
      <c r="Y381" s="860"/>
      <c r="Z381" s="860"/>
      <c r="AA381" s="860"/>
      <c r="AB381" s="860"/>
    </row>
    <row r="382">
      <c r="I382" s="856"/>
      <c r="J382" s="859"/>
      <c r="K382" s="859"/>
      <c r="L382" s="859"/>
      <c r="M382" s="859"/>
      <c r="N382" s="859"/>
      <c r="O382" s="859"/>
      <c r="P382" s="860"/>
      <c r="Q382" s="860"/>
      <c r="R382" s="860"/>
      <c r="S382" s="860"/>
      <c r="T382" s="860"/>
      <c r="U382" s="860"/>
      <c r="V382" s="860"/>
      <c r="W382" s="860"/>
      <c r="X382" s="860"/>
      <c r="Y382" s="860"/>
      <c r="Z382" s="860"/>
      <c r="AA382" s="860"/>
      <c r="AB382" s="860"/>
    </row>
    <row r="383">
      <c r="I383" s="856"/>
      <c r="J383" s="859"/>
      <c r="K383" s="859"/>
      <c r="L383" s="859"/>
      <c r="M383" s="859"/>
      <c r="N383" s="859"/>
      <c r="O383" s="859"/>
      <c r="P383" s="860"/>
      <c r="Q383" s="860"/>
      <c r="R383" s="860"/>
      <c r="S383" s="860"/>
      <c r="T383" s="860"/>
      <c r="U383" s="860"/>
      <c r="V383" s="860"/>
      <c r="W383" s="860"/>
      <c r="X383" s="860"/>
      <c r="Y383" s="860"/>
      <c r="Z383" s="860"/>
      <c r="AA383" s="860"/>
      <c r="AB383" s="860"/>
    </row>
    <row r="384">
      <c r="I384" s="856"/>
      <c r="J384" s="859"/>
      <c r="K384" s="859"/>
      <c r="L384" s="859"/>
      <c r="M384" s="859"/>
      <c r="N384" s="859"/>
      <c r="O384" s="859"/>
      <c r="P384" s="860"/>
      <c r="Q384" s="860"/>
      <c r="R384" s="860"/>
      <c r="S384" s="860"/>
      <c r="T384" s="860"/>
      <c r="U384" s="860"/>
      <c r="V384" s="860"/>
      <c r="W384" s="860"/>
      <c r="X384" s="860"/>
      <c r="Y384" s="860"/>
      <c r="Z384" s="860"/>
      <c r="AA384" s="860"/>
      <c r="AB384" s="860"/>
    </row>
    <row r="385">
      <c r="I385" s="856"/>
      <c r="J385" s="859"/>
      <c r="K385" s="859"/>
      <c r="L385" s="859"/>
      <c r="M385" s="859"/>
      <c r="N385" s="859"/>
      <c r="O385" s="859"/>
      <c r="P385" s="860"/>
      <c r="Q385" s="860"/>
      <c r="R385" s="860"/>
      <c r="S385" s="860"/>
      <c r="T385" s="860"/>
      <c r="U385" s="860"/>
      <c r="V385" s="860"/>
      <c r="W385" s="860"/>
      <c r="X385" s="860"/>
      <c r="Y385" s="860"/>
      <c r="Z385" s="860"/>
      <c r="AA385" s="860"/>
      <c r="AB385" s="860"/>
    </row>
    <row r="386">
      <c r="I386" s="856"/>
      <c r="J386" s="859"/>
      <c r="K386" s="859"/>
      <c r="L386" s="859"/>
      <c r="M386" s="859"/>
      <c r="N386" s="859"/>
      <c r="O386" s="859"/>
      <c r="P386" s="860"/>
      <c r="Q386" s="860"/>
      <c r="R386" s="860"/>
      <c r="S386" s="860"/>
      <c r="T386" s="860"/>
      <c r="U386" s="860"/>
      <c r="V386" s="860"/>
      <c r="W386" s="860"/>
      <c r="X386" s="860"/>
      <c r="Y386" s="860"/>
      <c r="Z386" s="860"/>
      <c r="AA386" s="860"/>
      <c r="AB386" s="860"/>
    </row>
    <row r="387">
      <c r="I387" s="856"/>
      <c r="J387" s="859"/>
      <c r="K387" s="859"/>
      <c r="L387" s="859"/>
      <c r="M387" s="859"/>
      <c r="N387" s="859"/>
      <c r="O387" s="859"/>
      <c r="P387" s="860"/>
      <c r="Q387" s="860"/>
      <c r="R387" s="860"/>
      <c r="S387" s="860"/>
      <c r="T387" s="860"/>
      <c r="U387" s="860"/>
      <c r="V387" s="860"/>
      <c r="W387" s="860"/>
      <c r="X387" s="860"/>
      <c r="Y387" s="860"/>
      <c r="Z387" s="860"/>
      <c r="AA387" s="860"/>
      <c r="AB387" s="860"/>
    </row>
    <row r="388">
      <c r="I388" s="856"/>
      <c r="J388" s="859"/>
      <c r="K388" s="859"/>
      <c r="L388" s="859"/>
      <c r="M388" s="859"/>
      <c r="N388" s="859"/>
      <c r="O388" s="859"/>
      <c r="P388" s="860"/>
      <c r="Q388" s="860"/>
      <c r="R388" s="860"/>
      <c r="S388" s="860"/>
      <c r="T388" s="860"/>
      <c r="U388" s="860"/>
      <c r="V388" s="860"/>
      <c r="W388" s="860"/>
      <c r="X388" s="860"/>
      <c r="Y388" s="860"/>
      <c r="Z388" s="860"/>
      <c r="AA388" s="860"/>
      <c r="AB388" s="860"/>
    </row>
    <row r="389">
      <c r="I389" s="856"/>
      <c r="J389" s="859"/>
      <c r="K389" s="859"/>
      <c r="L389" s="859"/>
      <c r="M389" s="859"/>
      <c r="N389" s="859"/>
      <c r="O389" s="859"/>
      <c r="P389" s="860"/>
      <c r="Q389" s="860"/>
      <c r="R389" s="860"/>
      <c r="S389" s="860"/>
      <c r="T389" s="860"/>
      <c r="U389" s="860"/>
      <c r="V389" s="860"/>
      <c r="W389" s="860"/>
      <c r="X389" s="860"/>
      <c r="Y389" s="860"/>
      <c r="Z389" s="860"/>
      <c r="AA389" s="860"/>
      <c r="AB389" s="860"/>
    </row>
    <row r="390">
      <c r="I390" s="856"/>
      <c r="J390" s="859"/>
      <c r="K390" s="859"/>
      <c r="L390" s="859"/>
      <c r="M390" s="859"/>
      <c r="N390" s="859"/>
      <c r="O390" s="859"/>
      <c r="P390" s="860"/>
      <c r="Q390" s="860"/>
      <c r="R390" s="860"/>
      <c r="S390" s="860"/>
      <c r="T390" s="860"/>
      <c r="U390" s="860"/>
      <c r="V390" s="860"/>
      <c r="W390" s="860"/>
      <c r="X390" s="860"/>
      <c r="Y390" s="860"/>
      <c r="Z390" s="860"/>
      <c r="AA390" s="860"/>
      <c r="AB390" s="860"/>
    </row>
    <row r="391">
      <c r="I391" s="856"/>
      <c r="J391" s="859"/>
      <c r="K391" s="859"/>
      <c r="L391" s="859"/>
      <c r="M391" s="859"/>
      <c r="N391" s="859"/>
      <c r="O391" s="859"/>
      <c r="P391" s="860"/>
      <c r="Q391" s="860"/>
      <c r="R391" s="860"/>
      <c r="S391" s="860"/>
      <c r="T391" s="860"/>
      <c r="U391" s="860"/>
      <c r="V391" s="860"/>
      <c r="W391" s="860"/>
      <c r="X391" s="860"/>
      <c r="Y391" s="860"/>
      <c r="Z391" s="860"/>
      <c r="AA391" s="860"/>
      <c r="AB391" s="860"/>
    </row>
    <row r="392">
      <c r="I392" s="856"/>
      <c r="J392" s="859"/>
      <c r="K392" s="859"/>
      <c r="L392" s="859"/>
      <c r="M392" s="859"/>
      <c r="N392" s="859"/>
      <c r="O392" s="859"/>
      <c r="P392" s="860"/>
      <c r="Q392" s="860"/>
      <c r="R392" s="860"/>
      <c r="S392" s="860"/>
      <c r="T392" s="860"/>
      <c r="U392" s="860"/>
      <c r="V392" s="860"/>
      <c r="W392" s="860"/>
      <c r="X392" s="860"/>
      <c r="Y392" s="860"/>
      <c r="Z392" s="860"/>
      <c r="AA392" s="860"/>
      <c r="AB392" s="860"/>
    </row>
    <row r="393">
      <c r="I393" s="856"/>
      <c r="J393" s="859"/>
      <c r="K393" s="859"/>
      <c r="L393" s="859"/>
      <c r="M393" s="859"/>
      <c r="N393" s="859"/>
      <c r="O393" s="859"/>
      <c r="P393" s="860"/>
      <c r="Q393" s="860"/>
      <c r="R393" s="860"/>
      <c r="S393" s="860"/>
      <c r="T393" s="860"/>
      <c r="U393" s="860"/>
      <c r="V393" s="860"/>
      <c r="W393" s="860"/>
      <c r="X393" s="860"/>
      <c r="Y393" s="860"/>
      <c r="Z393" s="860"/>
      <c r="AA393" s="860"/>
      <c r="AB393" s="860"/>
    </row>
    <row r="394">
      <c r="I394" s="856"/>
      <c r="J394" s="859"/>
      <c r="K394" s="859"/>
      <c r="L394" s="859"/>
      <c r="M394" s="859"/>
      <c r="N394" s="859"/>
      <c r="O394" s="859"/>
      <c r="P394" s="860"/>
      <c r="Q394" s="860"/>
      <c r="R394" s="860"/>
      <c r="S394" s="860"/>
      <c r="T394" s="860"/>
      <c r="U394" s="860"/>
      <c r="V394" s="860"/>
      <c r="W394" s="860"/>
      <c r="X394" s="860"/>
      <c r="Y394" s="860"/>
      <c r="Z394" s="860"/>
      <c r="AA394" s="860"/>
      <c r="AB394" s="860"/>
    </row>
    <row r="395">
      <c r="I395" s="856"/>
      <c r="J395" s="859"/>
      <c r="K395" s="859"/>
      <c r="L395" s="859"/>
      <c r="M395" s="859"/>
      <c r="N395" s="859"/>
      <c r="O395" s="859"/>
      <c r="P395" s="860"/>
      <c r="Q395" s="860"/>
      <c r="R395" s="860"/>
      <c r="S395" s="860"/>
      <c r="T395" s="860"/>
      <c r="U395" s="860"/>
      <c r="V395" s="860"/>
      <c r="W395" s="860"/>
      <c r="X395" s="860"/>
      <c r="Y395" s="860"/>
      <c r="Z395" s="860"/>
      <c r="AA395" s="860"/>
      <c r="AB395" s="860"/>
    </row>
    <row r="396">
      <c r="I396" s="856"/>
      <c r="J396" s="859"/>
      <c r="K396" s="859"/>
      <c r="L396" s="859"/>
      <c r="M396" s="859"/>
      <c r="N396" s="859"/>
      <c r="O396" s="859"/>
      <c r="P396" s="860"/>
      <c r="Q396" s="860"/>
      <c r="R396" s="860"/>
      <c r="S396" s="860"/>
      <c r="T396" s="860"/>
      <c r="U396" s="860"/>
      <c r="V396" s="860"/>
      <c r="W396" s="860"/>
      <c r="X396" s="860"/>
      <c r="Y396" s="860"/>
      <c r="Z396" s="860"/>
      <c r="AA396" s="860"/>
      <c r="AB396" s="860"/>
    </row>
    <row r="397">
      <c r="I397" s="856"/>
      <c r="J397" s="859"/>
      <c r="K397" s="859"/>
      <c r="L397" s="859"/>
      <c r="M397" s="859"/>
      <c r="N397" s="859"/>
      <c r="O397" s="859"/>
      <c r="P397" s="860"/>
      <c r="Q397" s="860"/>
      <c r="R397" s="860"/>
      <c r="S397" s="860"/>
      <c r="T397" s="860"/>
      <c r="U397" s="860"/>
      <c r="V397" s="860"/>
      <c r="W397" s="860"/>
      <c r="X397" s="860"/>
      <c r="Y397" s="860"/>
      <c r="Z397" s="860"/>
      <c r="AA397" s="860"/>
      <c r="AB397" s="860"/>
    </row>
    <row r="398">
      <c r="I398" s="856"/>
      <c r="J398" s="859"/>
      <c r="K398" s="859"/>
      <c r="L398" s="859"/>
      <c r="M398" s="859"/>
      <c r="N398" s="859"/>
      <c r="O398" s="859"/>
      <c r="P398" s="860"/>
      <c r="Q398" s="860"/>
      <c r="R398" s="860"/>
      <c r="S398" s="860"/>
      <c r="T398" s="860"/>
      <c r="U398" s="860"/>
      <c r="V398" s="860"/>
      <c r="W398" s="860"/>
      <c r="X398" s="860"/>
      <c r="Y398" s="860"/>
      <c r="Z398" s="860"/>
      <c r="AA398" s="860"/>
      <c r="AB398" s="860"/>
    </row>
    <row r="399">
      <c r="I399" s="856"/>
      <c r="J399" s="859"/>
      <c r="K399" s="859"/>
      <c r="L399" s="859"/>
      <c r="M399" s="859"/>
      <c r="N399" s="859"/>
      <c r="O399" s="859"/>
      <c r="P399" s="860"/>
      <c r="Q399" s="860"/>
      <c r="R399" s="860"/>
      <c r="S399" s="860"/>
      <c r="T399" s="860"/>
      <c r="U399" s="860"/>
      <c r="V399" s="860"/>
      <c r="W399" s="860"/>
      <c r="X399" s="860"/>
      <c r="Y399" s="860"/>
      <c r="Z399" s="860"/>
      <c r="AA399" s="860"/>
      <c r="AB399" s="860"/>
    </row>
    <row r="400">
      <c r="I400" s="856"/>
      <c r="J400" s="859"/>
      <c r="K400" s="859"/>
      <c r="L400" s="859"/>
      <c r="M400" s="859"/>
      <c r="N400" s="859"/>
      <c r="O400" s="859"/>
      <c r="P400" s="860"/>
      <c r="Q400" s="860"/>
      <c r="R400" s="860"/>
      <c r="S400" s="860"/>
      <c r="T400" s="860"/>
      <c r="U400" s="860"/>
      <c r="V400" s="860"/>
      <c r="W400" s="860"/>
      <c r="X400" s="860"/>
      <c r="Y400" s="860"/>
      <c r="Z400" s="860"/>
      <c r="AA400" s="860"/>
      <c r="AB400" s="860"/>
    </row>
    <row r="401">
      <c r="I401" s="856"/>
      <c r="J401" s="859"/>
      <c r="K401" s="859"/>
      <c r="L401" s="859"/>
      <c r="M401" s="859"/>
      <c r="N401" s="859"/>
      <c r="O401" s="859"/>
      <c r="P401" s="860"/>
      <c r="Q401" s="860"/>
      <c r="R401" s="860"/>
      <c r="S401" s="860"/>
      <c r="T401" s="860"/>
      <c r="U401" s="860"/>
      <c r="V401" s="860"/>
      <c r="W401" s="860"/>
      <c r="X401" s="860"/>
      <c r="Y401" s="860"/>
      <c r="Z401" s="860"/>
      <c r="AA401" s="860"/>
      <c r="AB401" s="860"/>
    </row>
    <row r="402">
      <c r="I402" s="856"/>
      <c r="J402" s="859"/>
      <c r="K402" s="859"/>
      <c r="L402" s="859"/>
      <c r="M402" s="859"/>
      <c r="N402" s="859"/>
      <c r="O402" s="859"/>
      <c r="P402" s="860"/>
      <c r="Q402" s="860"/>
      <c r="R402" s="860"/>
      <c r="S402" s="860"/>
      <c r="T402" s="860"/>
      <c r="U402" s="860"/>
      <c r="V402" s="860"/>
      <c r="W402" s="860"/>
      <c r="X402" s="860"/>
      <c r="Y402" s="860"/>
      <c r="Z402" s="860"/>
      <c r="AA402" s="860"/>
      <c r="AB402" s="860"/>
    </row>
    <row r="403">
      <c r="I403" s="856"/>
      <c r="J403" s="859"/>
      <c r="K403" s="859"/>
      <c r="L403" s="859"/>
      <c r="M403" s="859"/>
      <c r="N403" s="859"/>
      <c r="O403" s="859"/>
      <c r="P403" s="860"/>
      <c r="Q403" s="860"/>
      <c r="R403" s="860"/>
      <c r="S403" s="860"/>
      <c r="T403" s="860"/>
      <c r="U403" s="860"/>
      <c r="V403" s="860"/>
      <c r="W403" s="860"/>
      <c r="X403" s="860"/>
      <c r="Y403" s="860"/>
      <c r="Z403" s="860"/>
      <c r="AA403" s="860"/>
      <c r="AB403" s="860"/>
    </row>
    <row r="404">
      <c r="I404" s="856"/>
      <c r="J404" s="859"/>
      <c r="K404" s="859"/>
      <c r="L404" s="859"/>
      <c r="M404" s="859"/>
      <c r="N404" s="859"/>
      <c r="O404" s="859"/>
      <c r="P404" s="860"/>
      <c r="Q404" s="860"/>
      <c r="R404" s="860"/>
      <c r="S404" s="860"/>
      <c r="T404" s="860"/>
      <c r="U404" s="860"/>
      <c r="V404" s="860"/>
      <c r="W404" s="860"/>
      <c r="X404" s="860"/>
      <c r="Y404" s="860"/>
      <c r="Z404" s="860"/>
      <c r="AA404" s="860"/>
      <c r="AB404" s="860"/>
    </row>
    <row r="405">
      <c r="I405" s="856"/>
      <c r="J405" s="859"/>
      <c r="K405" s="859"/>
      <c r="L405" s="859"/>
      <c r="M405" s="859"/>
      <c r="N405" s="859"/>
      <c r="O405" s="859"/>
      <c r="P405" s="860"/>
      <c r="Q405" s="860"/>
      <c r="R405" s="860"/>
      <c r="S405" s="860"/>
      <c r="T405" s="860"/>
      <c r="U405" s="860"/>
      <c r="V405" s="860"/>
      <c r="W405" s="860"/>
      <c r="X405" s="860"/>
      <c r="Y405" s="860"/>
      <c r="Z405" s="860"/>
      <c r="AA405" s="860"/>
      <c r="AB405" s="860"/>
    </row>
    <row r="406">
      <c r="I406" s="856"/>
      <c r="J406" s="859"/>
      <c r="K406" s="859"/>
      <c r="L406" s="859"/>
      <c r="M406" s="859"/>
      <c r="N406" s="859"/>
      <c r="O406" s="859"/>
      <c r="P406" s="860"/>
      <c r="Q406" s="860"/>
      <c r="R406" s="860"/>
      <c r="S406" s="860"/>
      <c r="T406" s="860"/>
      <c r="U406" s="860"/>
      <c r="V406" s="860"/>
      <c r="W406" s="860"/>
      <c r="X406" s="860"/>
      <c r="Y406" s="860"/>
      <c r="Z406" s="860"/>
      <c r="AA406" s="860"/>
      <c r="AB406" s="860"/>
    </row>
    <row r="407">
      <c r="I407" s="856"/>
      <c r="J407" s="859"/>
      <c r="K407" s="859"/>
      <c r="L407" s="859"/>
      <c r="M407" s="859"/>
      <c r="N407" s="859"/>
      <c r="O407" s="859"/>
      <c r="P407" s="860"/>
      <c r="Q407" s="860"/>
      <c r="R407" s="860"/>
      <c r="S407" s="860"/>
      <c r="T407" s="860"/>
      <c r="U407" s="860"/>
      <c r="V407" s="860"/>
      <c r="W407" s="860"/>
      <c r="X407" s="860"/>
      <c r="Y407" s="860"/>
      <c r="Z407" s="860"/>
      <c r="AA407" s="860"/>
      <c r="AB407" s="860"/>
    </row>
    <row r="408">
      <c r="I408" s="856"/>
      <c r="J408" s="859"/>
      <c r="K408" s="859"/>
      <c r="L408" s="859"/>
      <c r="M408" s="859"/>
      <c r="N408" s="859"/>
      <c r="O408" s="859"/>
      <c r="P408" s="860"/>
      <c r="Q408" s="860"/>
      <c r="R408" s="860"/>
      <c r="S408" s="860"/>
      <c r="T408" s="860"/>
      <c r="U408" s="860"/>
      <c r="V408" s="860"/>
      <c r="W408" s="860"/>
      <c r="X408" s="860"/>
      <c r="Y408" s="860"/>
      <c r="Z408" s="860"/>
      <c r="AA408" s="860"/>
      <c r="AB408" s="860"/>
    </row>
    <row r="409">
      <c r="I409" s="856"/>
      <c r="J409" s="859"/>
      <c r="K409" s="859"/>
      <c r="L409" s="859"/>
      <c r="M409" s="859"/>
      <c r="N409" s="859"/>
      <c r="O409" s="859"/>
      <c r="P409" s="860"/>
      <c r="Q409" s="860"/>
      <c r="R409" s="860"/>
      <c r="S409" s="860"/>
      <c r="T409" s="860"/>
      <c r="U409" s="860"/>
      <c r="V409" s="860"/>
      <c r="W409" s="860"/>
      <c r="X409" s="860"/>
      <c r="Y409" s="860"/>
      <c r="Z409" s="860"/>
      <c r="AA409" s="860"/>
      <c r="AB409" s="860"/>
    </row>
    <row r="410">
      <c r="I410" s="856"/>
      <c r="J410" s="859"/>
      <c r="K410" s="859"/>
      <c r="L410" s="859"/>
      <c r="M410" s="859"/>
      <c r="N410" s="859"/>
      <c r="O410" s="859"/>
      <c r="P410" s="860"/>
      <c r="Q410" s="860"/>
      <c r="R410" s="860"/>
      <c r="S410" s="860"/>
      <c r="T410" s="860"/>
      <c r="U410" s="860"/>
      <c r="V410" s="860"/>
      <c r="W410" s="860"/>
      <c r="X410" s="860"/>
      <c r="Y410" s="860"/>
      <c r="Z410" s="860"/>
      <c r="AA410" s="860"/>
      <c r="AB410" s="860"/>
    </row>
    <row r="411">
      <c r="I411" s="856"/>
      <c r="J411" s="859"/>
      <c r="K411" s="859"/>
      <c r="L411" s="859"/>
      <c r="M411" s="859"/>
      <c r="N411" s="859"/>
      <c r="O411" s="859"/>
      <c r="P411" s="860"/>
      <c r="Q411" s="860"/>
      <c r="R411" s="860"/>
      <c r="S411" s="860"/>
      <c r="T411" s="860"/>
      <c r="U411" s="860"/>
      <c r="V411" s="860"/>
      <c r="W411" s="860"/>
      <c r="X411" s="860"/>
      <c r="Y411" s="860"/>
      <c r="Z411" s="860"/>
      <c r="AA411" s="860"/>
      <c r="AB411" s="860"/>
    </row>
    <row r="412">
      <c r="I412" s="856"/>
      <c r="J412" s="859"/>
      <c r="K412" s="859"/>
      <c r="L412" s="859"/>
      <c r="M412" s="859"/>
      <c r="N412" s="859"/>
      <c r="O412" s="859"/>
      <c r="P412" s="860"/>
      <c r="Q412" s="860"/>
      <c r="R412" s="860"/>
      <c r="S412" s="860"/>
      <c r="T412" s="860"/>
      <c r="U412" s="860"/>
      <c r="V412" s="860"/>
      <c r="W412" s="860"/>
      <c r="X412" s="860"/>
      <c r="Y412" s="860"/>
      <c r="Z412" s="860"/>
      <c r="AA412" s="860"/>
      <c r="AB412" s="860"/>
    </row>
    <row r="413">
      <c r="I413" s="856"/>
      <c r="J413" s="859"/>
      <c r="K413" s="859"/>
      <c r="L413" s="859"/>
      <c r="M413" s="859"/>
      <c r="N413" s="859"/>
      <c r="O413" s="859"/>
      <c r="P413" s="860"/>
      <c r="Q413" s="860"/>
      <c r="R413" s="860"/>
      <c r="S413" s="860"/>
      <c r="T413" s="860"/>
      <c r="U413" s="860"/>
      <c r="V413" s="860"/>
      <c r="W413" s="860"/>
      <c r="X413" s="860"/>
      <c r="Y413" s="860"/>
      <c r="Z413" s="860"/>
      <c r="AA413" s="860"/>
      <c r="AB413" s="860"/>
    </row>
    <row r="414">
      <c r="I414" s="856"/>
      <c r="J414" s="859"/>
      <c r="K414" s="859"/>
      <c r="L414" s="859"/>
      <c r="M414" s="859"/>
      <c r="N414" s="859"/>
      <c r="O414" s="859"/>
      <c r="P414" s="860"/>
      <c r="Q414" s="860"/>
      <c r="R414" s="860"/>
      <c r="S414" s="860"/>
      <c r="T414" s="860"/>
      <c r="U414" s="860"/>
      <c r="V414" s="860"/>
      <c r="W414" s="860"/>
      <c r="X414" s="860"/>
      <c r="Y414" s="860"/>
      <c r="Z414" s="860"/>
      <c r="AA414" s="860"/>
      <c r="AB414" s="860"/>
    </row>
    <row r="415">
      <c r="I415" s="856"/>
      <c r="J415" s="859"/>
      <c r="K415" s="859"/>
      <c r="L415" s="859"/>
      <c r="M415" s="859"/>
      <c r="N415" s="859"/>
      <c r="O415" s="859"/>
      <c r="P415" s="860"/>
      <c r="Q415" s="860"/>
      <c r="R415" s="860"/>
      <c r="S415" s="860"/>
      <c r="T415" s="860"/>
      <c r="U415" s="860"/>
      <c r="V415" s="860"/>
      <c r="W415" s="860"/>
      <c r="X415" s="860"/>
      <c r="Y415" s="860"/>
      <c r="Z415" s="860"/>
      <c r="AA415" s="860"/>
      <c r="AB415" s="860"/>
    </row>
    <row r="416">
      <c r="I416" s="856"/>
      <c r="J416" s="859"/>
      <c r="K416" s="859"/>
      <c r="L416" s="859"/>
      <c r="M416" s="859"/>
      <c r="N416" s="859"/>
      <c r="O416" s="859"/>
      <c r="P416" s="860"/>
      <c r="Q416" s="860"/>
      <c r="R416" s="860"/>
      <c r="S416" s="860"/>
      <c r="T416" s="860"/>
      <c r="U416" s="860"/>
      <c r="V416" s="860"/>
      <c r="W416" s="860"/>
      <c r="X416" s="860"/>
      <c r="Y416" s="860"/>
      <c r="Z416" s="860"/>
      <c r="AA416" s="860"/>
      <c r="AB416" s="860"/>
    </row>
    <row r="417">
      <c r="I417" s="856"/>
      <c r="J417" s="859"/>
      <c r="K417" s="859"/>
      <c r="L417" s="859"/>
      <c r="M417" s="859"/>
      <c r="N417" s="859"/>
      <c r="O417" s="859"/>
      <c r="P417" s="860"/>
      <c r="Q417" s="860"/>
      <c r="R417" s="860"/>
      <c r="S417" s="860"/>
      <c r="T417" s="860"/>
      <c r="U417" s="860"/>
      <c r="V417" s="860"/>
      <c r="W417" s="860"/>
      <c r="X417" s="860"/>
      <c r="Y417" s="860"/>
      <c r="Z417" s="860"/>
      <c r="AA417" s="860"/>
      <c r="AB417" s="860"/>
    </row>
    <row r="418">
      <c r="I418" s="856"/>
      <c r="J418" s="859"/>
      <c r="K418" s="859"/>
      <c r="L418" s="859"/>
      <c r="M418" s="859"/>
      <c r="N418" s="859"/>
      <c r="O418" s="859"/>
      <c r="P418" s="860"/>
      <c r="Q418" s="860"/>
      <c r="R418" s="860"/>
      <c r="S418" s="860"/>
      <c r="T418" s="860"/>
      <c r="U418" s="860"/>
      <c r="V418" s="860"/>
      <c r="W418" s="860"/>
      <c r="X418" s="860"/>
      <c r="Y418" s="860"/>
      <c r="Z418" s="860"/>
      <c r="AA418" s="860"/>
      <c r="AB418" s="860"/>
    </row>
    <row r="419">
      <c r="I419" s="856"/>
      <c r="J419" s="859"/>
      <c r="K419" s="859"/>
      <c r="L419" s="859"/>
      <c r="M419" s="859"/>
      <c r="N419" s="859"/>
      <c r="O419" s="859"/>
      <c r="P419" s="860"/>
      <c r="Q419" s="860"/>
      <c r="R419" s="860"/>
      <c r="S419" s="860"/>
      <c r="T419" s="860"/>
      <c r="U419" s="860"/>
      <c r="V419" s="860"/>
      <c r="W419" s="860"/>
      <c r="X419" s="860"/>
      <c r="Y419" s="860"/>
      <c r="Z419" s="860"/>
      <c r="AA419" s="860"/>
      <c r="AB419" s="860"/>
    </row>
    <row r="420">
      <c r="I420" s="856"/>
      <c r="J420" s="859"/>
      <c r="K420" s="859"/>
      <c r="L420" s="859"/>
      <c r="M420" s="859"/>
      <c r="N420" s="859"/>
      <c r="O420" s="859"/>
      <c r="P420" s="860"/>
      <c r="Q420" s="860"/>
      <c r="R420" s="860"/>
      <c r="S420" s="860"/>
      <c r="T420" s="860"/>
      <c r="U420" s="860"/>
      <c r="V420" s="860"/>
      <c r="W420" s="860"/>
      <c r="X420" s="860"/>
      <c r="Y420" s="860"/>
      <c r="Z420" s="860"/>
      <c r="AA420" s="860"/>
      <c r="AB420" s="860"/>
    </row>
    <row r="421">
      <c r="I421" s="856"/>
      <c r="J421" s="859"/>
      <c r="K421" s="859"/>
      <c r="L421" s="859"/>
      <c r="M421" s="859"/>
      <c r="N421" s="859"/>
      <c r="O421" s="859"/>
      <c r="P421" s="860"/>
      <c r="Q421" s="860"/>
      <c r="R421" s="860"/>
      <c r="S421" s="860"/>
      <c r="T421" s="860"/>
      <c r="U421" s="860"/>
      <c r="V421" s="860"/>
      <c r="W421" s="860"/>
      <c r="X421" s="860"/>
      <c r="Y421" s="860"/>
      <c r="Z421" s="860"/>
      <c r="AA421" s="860"/>
      <c r="AB421" s="860"/>
    </row>
    <row r="422">
      <c r="I422" s="856"/>
      <c r="J422" s="859"/>
      <c r="K422" s="859"/>
      <c r="L422" s="859"/>
      <c r="M422" s="859"/>
      <c r="N422" s="859"/>
      <c r="O422" s="859"/>
      <c r="P422" s="860"/>
      <c r="Q422" s="860"/>
      <c r="R422" s="860"/>
      <c r="S422" s="860"/>
      <c r="T422" s="860"/>
      <c r="U422" s="860"/>
      <c r="V422" s="860"/>
      <c r="W422" s="860"/>
      <c r="X422" s="860"/>
      <c r="Y422" s="860"/>
      <c r="Z422" s="860"/>
      <c r="AA422" s="860"/>
      <c r="AB422" s="860"/>
    </row>
    <row r="423">
      <c r="I423" s="856"/>
      <c r="J423" s="859"/>
      <c r="K423" s="859"/>
      <c r="L423" s="859"/>
      <c r="M423" s="859"/>
      <c r="N423" s="859"/>
      <c r="O423" s="859"/>
      <c r="P423" s="860"/>
      <c r="Q423" s="860"/>
      <c r="R423" s="860"/>
      <c r="S423" s="860"/>
      <c r="T423" s="860"/>
      <c r="U423" s="860"/>
      <c r="V423" s="860"/>
      <c r="W423" s="860"/>
      <c r="X423" s="860"/>
      <c r="Y423" s="860"/>
      <c r="Z423" s="860"/>
      <c r="AA423" s="860"/>
      <c r="AB423" s="860"/>
    </row>
    <row r="424">
      <c r="I424" s="856"/>
      <c r="J424" s="859"/>
      <c r="K424" s="859"/>
      <c r="L424" s="859"/>
      <c r="M424" s="859"/>
      <c r="N424" s="859"/>
      <c r="O424" s="859"/>
      <c r="P424" s="860"/>
      <c r="Q424" s="860"/>
      <c r="R424" s="860"/>
      <c r="S424" s="860"/>
      <c r="T424" s="860"/>
      <c r="U424" s="860"/>
      <c r="V424" s="860"/>
      <c r="W424" s="860"/>
      <c r="X424" s="860"/>
      <c r="Y424" s="860"/>
      <c r="Z424" s="860"/>
      <c r="AA424" s="860"/>
      <c r="AB424" s="860"/>
    </row>
    <row r="425">
      <c r="I425" s="856"/>
      <c r="J425" s="859"/>
      <c r="K425" s="859"/>
      <c r="L425" s="859"/>
      <c r="M425" s="859"/>
      <c r="N425" s="859"/>
      <c r="O425" s="859"/>
      <c r="P425" s="860"/>
      <c r="Q425" s="860"/>
      <c r="R425" s="860"/>
      <c r="S425" s="860"/>
      <c r="T425" s="860"/>
      <c r="U425" s="860"/>
      <c r="V425" s="860"/>
      <c r="W425" s="860"/>
      <c r="X425" s="860"/>
      <c r="Y425" s="860"/>
      <c r="Z425" s="860"/>
      <c r="AA425" s="860"/>
      <c r="AB425" s="860"/>
    </row>
    <row r="426">
      <c r="I426" s="856"/>
      <c r="J426" s="859"/>
      <c r="K426" s="859"/>
      <c r="L426" s="859"/>
      <c r="M426" s="859"/>
      <c r="N426" s="859"/>
      <c r="O426" s="859"/>
      <c r="P426" s="860"/>
      <c r="Q426" s="860"/>
      <c r="R426" s="860"/>
      <c r="S426" s="860"/>
      <c r="T426" s="860"/>
      <c r="U426" s="860"/>
      <c r="V426" s="860"/>
      <c r="W426" s="860"/>
      <c r="X426" s="860"/>
      <c r="Y426" s="860"/>
      <c r="Z426" s="860"/>
      <c r="AA426" s="860"/>
      <c r="AB426" s="860"/>
    </row>
    <row r="427">
      <c r="I427" s="856"/>
      <c r="J427" s="859"/>
      <c r="K427" s="859"/>
      <c r="L427" s="859"/>
      <c r="M427" s="859"/>
      <c r="N427" s="859"/>
      <c r="O427" s="859"/>
      <c r="P427" s="860"/>
      <c r="Q427" s="860"/>
      <c r="R427" s="860"/>
      <c r="S427" s="860"/>
      <c r="T427" s="860"/>
      <c r="U427" s="860"/>
      <c r="V427" s="860"/>
      <c r="W427" s="860"/>
      <c r="X427" s="860"/>
      <c r="Y427" s="860"/>
      <c r="Z427" s="860"/>
      <c r="AA427" s="860"/>
      <c r="AB427" s="860"/>
    </row>
    <row r="428">
      <c r="I428" s="856"/>
      <c r="J428" s="859"/>
      <c r="K428" s="859"/>
      <c r="L428" s="859"/>
      <c r="M428" s="859"/>
      <c r="N428" s="859"/>
      <c r="O428" s="859"/>
      <c r="P428" s="860"/>
      <c r="Q428" s="860"/>
      <c r="R428" s="860"/>
      <c r="S428" s="860"/>
      <c r="T428" s="860"/>
      <c r="U428" s="860"/>
      <c r="V428" s="860"/>
      <c r="W428" s="860"/>
      <c r="X428" s="860"/>
      <c r="Y428" s="860"/>
      <c r="Z428" s="860"/>
      <c r="AA428" s="860"/>
      <c r="AB428" s="860"/>
    </row>
    <row r="429">
      <c r="I429" s="856"/>
      <c r="J429" s="859"/>
      <c r="K429" s="859"/>
      <c r="L429" s="859"/>
      <c r="M429" s="859"/>
      <c r="N429" s="859"/>
      <c r="O429" s="859"/>
      <c r="P429" s="860"/>
      <c r="Q429" s="860"/>
      <c r="R429" s="860"/>
      <c r="S429" s="860"/>
      <c r="T429" s="860"/>
      <c r="U429" s="860"/>
      <c r="V429" s="860"/>
      <c r="W429" s="860"/>
      <c r="X429" s="860"/>
      <c r="Y429" s="860"/>
      <c r="Z429" s="860"/>
      <c r="AA429" s="860"/>
      <c r="AB429" s="860"/>
    </row>
    <row r="430">
      <c r="I430" s="856"/>
      <c r="J430" s="859"/>
      <c r="K430" s="859"/>
      <c r="L430" s="859"/>
      <c r="M430" s="859"/>
      <c r="N430" s="859"/>
      <c r="O430" s="859"/>
      <c r="P430" s="860"/>
      <c r="Q430" s="860"/>
      <c r="R430" s="860"/>
      <c r="S430" s="860"/>
      <c r="T430" s="860"/>
      <c r="U430" s="860"/>
      <c r="V430" s="860"/>
      <c r="W430" s="860"/>
      <c r="X430" s="860"/>
      <c r="Y430" s="860"/>
      <c r="Z430" s="860"/>
      <c r="AA430" s="860"/>
      <c r="AB430" s="860"/>
    </row>
    <row r="431">
      <c r="I431" s="856"/>
      <c r="J431" s="859"/>
      <c r="K431" s="859"/>
      <c r="L431" s="859"/>
      <c r="M431" s="859"/>
      <c r="N431" s="859"/>
      <c r="O431" s="859"/>
      <c r="P431" s="860"/>
      <c r="Q431" s="860"/>
      <c r="R431" s="860"/>
      <c r="S431" s="860"/>
      <c r="T431" s="860"/>
      <c r="U431" s="860"/>
      <c r="V431" s="860"/>
      <c r="W431" s="860"/>
      <c r="X431" s="860"/>
      <c r="Y431" s="860"/>
      <c r="Z431" s="860"/>
      <c r="AA431" s="860"/>
      <c r="AB431" s="860"/>
    </row>
    <row r="432">
      <c r="I432" s="856"/>
      <c r="J432" s="859"/>
      <c r="K432" s="859"/>
      <c r="L432" s="859"/>
      <c r="M432" s="859"/>
      <c r="N432" s="859"/>
      <c r="O432" s="859"/>
      <c r="P432" s="860"/>
      <c r="Q432" s="860"/>
      <c r="R432" s="860"/>
      <c r="S432" s="860"/>
      <c r="T432" s="860"/>
      <c r="U432" s="860"/>
      <c r="V432" s="860"/>
      <c r="W432" s="860"/>
      <c r="X432" s="860"/>
      <c r="Y432" s="860"/>
      <c r="Z432" s="860"/>
      <c r="AA432" s="860"/>
      <c r="AB432" s="860"/>
    </row>
    <row r="433">
      <c r="I433" s="856"/>
      <c r="J433" s="859"/>
      <c r="K433" s="859"/>
      <c r="L433" s="859"/>
      <c r="M433" s="859"/>
      <c r="N433" s="859"/>
      <c r="O433" s="859"/>
      <c r="P433" s="860"/>
      <c r="Q433" s="860"/>
      <c r="R433" s="860"/>
      <c r="S433" s="860"/>
      <c r="T433" s="860"/>
      <c r="U433" s="860"/>
      <c r="V433" s="860"/>
      <c r="W433" s="860"/>
      <c r="X433" s="860"/>
      <c r="Y433" s="860"/>
      <c r="Z433" s="860"/>
      <c r="AA433" s="860"/>
      <c r="AB433" s="860"/>
    </row>
    <row r="434">
      <c r="I434" s="856"/>
      <c r="J434" s="859"/>
      <c r="K434" s="859"/>
      <c r="L434" s="859"/>
      <c r="M434" s="859"/>
      <c r="N434" s="859"/>
      <c r="O434" s="859"/>
      <c r="P434" s="860"/>
      <c r="Q434" s="860"/>
      <c r="R434" s="860"/>
      <c r="S434" s="860"/>
      <c r="T434" s="860"/>
      <c r="U434" s="860"/>
      <c r="V434" s="860"/>
      <c r="W434" s="860"/>
      <c r="X434" s="860"/>
      <c r="Y434" s="860"/>
      <c r="Z434" s="860"/>
      <c r="AA434" s="860"/>
      <c r="AB434" s="860"/>
    </row>
    <row r="435">
      <c r="I435" s="856"/>
      <c r="J435" s="859"/>
      <c r="K435" s="859"/>
      <c r="L435" s="859"/>
      <c r="M435" s="859"/>
      <c r="N435" s="859"/>
      <c r="O435" s="859"/>
      <c r="P435" s="860"/>
      <c r="Q435" s="860"/>
      <c r="R435" s="860"/>
      <c r="S435" s="860"/>
      <c r="T435" s="860"/>
      <c r="U435" s="860"/>
      <c r="V435" s="860"/>
      <c r="W435" s="860"/>
      <c r="X435" s="860"/>
      <c r="Y435" s="860"/>
      <c r="Z435" s="860"/>
      <c r="AA435" s="860"/>
      <c r="AB435" s="860"/>
    </row>
    <row r="436">
      <c r="I436" s="856"/>
      <c r="J436" s="859"/>
      <c r="K436" s="859"/>
      <c r="L436" s="859"/>
      <c r="M436" s="859"/>
      <c r="N436" s="859"/>
      <c r="O436" s="859"/>
      <c r="P436" s="860"/>
      <c r="Q436" s="860"/>
      <c r="R436" s="860"/>
      <c r="S436" s="860"/>
      <c r="T436" s="860"/>
      <c r="U436" s="860"/>
      <c r="V436" s="860"/>
      <c r="W436" s="860"/>
      <c r="X436" s="860"/>
      <c r="Y436" s="860"/>
      <c r="Z436" s="860"/>
      <c r="AA436" s="860"/>
      <c r="AB436" s="860"/>
    </row>
    <row r="437">
      <c r="I437" s="856"/>
      <c r="J437" s="859"/>
      <c r="K437" s="859"/>
      <c r="L437" s="859"/>
      <c r="M437" s="859"/>
      <c r="N437" s="859"/>
      <c r="O437" s="859"/>
      <c r="P437" s="860"/>
      <c r="Q437" s="860"/>
      <c r="R437" s="860"/>
      <c r="S437" s="860"/>
      <c r="T437" s="860"/>
      <c r="U437" s="860"/>
      <c r="V437" s="860"/>
      <c r="W437" s="860"/>
      <c r="X437" s="860"/>
      <c r="Y437" s="860"/>
      <c r="Z437" s="860"/>
      <c r="AA437" s="860"/>
      <c r="AB437" s="860"/>
    </row>
    <row r="438">
      <c r="I438" s="856"/>
      <c r="J438" s="859"/>
      <c r="K438" s="859"/>
      <c r="L438" s="859"/>
      <c r="M438" s="859"/>
      <c r="N438" s="859"/>
      <c r="O438" s="859"/>
      <c r="P438" s="860"/>
      <c r="Q438" s="860"/>
      <c r="R438" s="860"/>
      <c r="S438" s="860"/>
      <c r="T438" s="860"/>
      <c r="U438" s="860"/>
      <c r="V438" s="860"/>
      <c r="W438" s="860"/>
      <c r="X438" s="860"/>
      <c r="Y438" s="860"/>
      <c r="Z438" s="860"/>
      <c r="AA438" s="860"/>
      <c r="AB438" s="860"/>
    </row>
    <row r="439">
      <c r="I439" s="856"/>
      <c r="J439" s="859"/>
      <c r="K439" s="859"/>
      <c r="L439" s="859"/>
      <c r="M439" s="859"/>
      <c r="N439" s="859"/>
      <c r="O439" s="859"/>
      <c r="P439" s="860"/>
      <c r="Q439" s="860"/>
      <c r="R439" s="860"/>
      <c r="S439" s="860"/>
      <c r="T439" s="860"/>
      <c r="U439" s="860"/>
      <c r="V439" s="860"/>
      <c r="W439" s="860"/>
      <c r="X439" s="860"/>
      <c r="Y439" s="860"/>
      <c r="Z439" s="860"/>
      <c r="AA439" s="860"/>
      <c r="AB439" s="860"/>
    </row>
    <row r="440">
      <c r="I440" s="856"/>
      <c r="J440" s="859"/>
      <c r="K440" s="859"/>
      <c r="L440" s="859"/>
      <c r="M440" s="859"/>
      <c r="N440" s="859"/>
      <c r="O440" s="859"/>
      <c r="P440" s="860"/>
      <c r="Q440" s="860"/>
      <c r="R440" s="860"/>
      <c r="S440" s="860"/>
      <c r="T440" s="860"/>
      <c r="U440" s="860"/>
      <c r="V440" s="860"/>
      <c r="W440" s="860"/>
      <c r="X440" s="860"/>
      <c r="Y440" s="860"/>
      <c r="Z440" s="860"/>
      <c r="AA440" s="860"/>
      <c r="AB440" s="860"/>
    </row>
    <row r="441">
      <c r="I441" s="856"/>
      <c r="J441" s="859"/>
      <c r="K441" s="859"/>
      <c r="L441" s="859"/>
      <c r="M441" s="859"/>
      <c r="N441" s="859"/>
      <c r="O441" s="859"/>
      <c r="P441" s="860"/>
      <c r="Q441" s="860"/>
      <c r="R441" s="860"/>
      <c r="S441" s="860"/>
      <c r="T441" s="860"/>
      <c r="U441" s="860"/>
      <c r="V441" s="860"/>
      <c r="W441" s="860"/>
      <c r="X441" s="860"/>
      <c r="Y441" s="860"/>
      <c r="Z441" s="860"/>
      <c r="AA441" s="860"/>
      <c r="AB441" s="860"/>
    </row>
    <row r="442">
      <c r="I442" s="856"/>
      <c r="J442" s="859"/>
      <c r="K442" s="859"/>
      <c r="L442" s="859"/>
      <c r="M442" s="859"/>
      <c r="N442" s="859"/>
      <c r="O442" s="859"/>
      <c r="P442" s="860"/>
      <c r="Q442" s="860"/>
      <c r="R442" s="860"/>
      <c r="S442" s="860"/>
      <c r="T442" s="860"/>
      <c r="U442" s="860"/>
      <c r="V442" s="860"/>
      <c r="W442" s="860"/>
      <c r="X442" s="860"/>
      <c r="Y442" s="860"/>
      <c r="Z442" s="860"/>
      <c r="AA442" s="860"/>
      <c r="AB442" s="860"/>
    </row>
    <row r="443">
      <c r="I443" s="856"/>
      <c r="J443" s="859"/>
      <c r="K443" s="859"/>
      <c r="L443" s="859"/>
      <c r="M443" s="859"/>
      <c r="N443" s="859"/>
      <c r="O443" s="859"/>
      <c r="P443" s="860"/>
      <c r="Q443" s="860"/>
      <c r="R443" s="860"/>
      <c r="S443" s="860"/>
      <c r="T443" s="860"/>
      <c r="U443" s="860"/>
      <c r="V443" s="860"/>
      <c r="W443" s="860"/>
      <c r="X443" s="860"/>
      <c r="Y443" s="860"/>
      <c r="Z443" s="860"/>
      <c r="AA443" s="860"/>
      <c r="AB443" s="860"/>
    </row>
    <row r="444">
      <c r="I444" s="856"/>
      <c r="J444" s="859"/>
      <c r="K444" s="859"/>
      <c r="L444" s="859"/>
      <c r="M444" s="859"/>
      <c r="N444" s="859"/>
      <c r="O444" s="859"/>
      <c r="P444" s="860"/>
      <c r="Q444" s="860"/>
      <c r="R444" s="860"/>
      <c r="S444" s="860"/>
      <c r="T444" s="860"/>
      <c r="U444" s="860"/>
      <c r="V444" s="860"/>
      <c r="W444" s="860"/>
      <c r="X444" s="860"/>
      <c r="Y444" s="860"/>
      <c r="Z444" s="860"/>
      <c r="AA444" s="860"/>
      <c r="AB444" s="860"/>
    </row>
    <row r="445">
      <c r="I445" s="856"/>
      <c r="J445" s="859"/>
      <c r="K445" s="859"/>
      <c r="L445" s="859"/>
      <c r="M445" s="859"/>
      <c r="N445" s="859"/>
      <c r="O445" s="859"/>
      <c r="P445" s="860"/>
      <c r="Q445" s="860"/>
      <c r="R445" s="860"/>
      <c r="S445" s="860"/>
      <c r="T445" s="860"/>
      <c r="U445" s="860"/>
      <c r="V445" s="860"/>
      <c r="W445" s="860"/>
      <c r="X445" s="860"/>
      <c r="Y445" s="860"/>
      <c r="Z445" s="860"/>
      <c r="AA445" s="860"/>
      <c r="AB445" s="860"/>
    </row>
    <row r="446">
      <c r="I446" s="856"/>
      <c r="J446" s="859"/>
      <c r="K446" s="859"/>
      <c r="L446" s="859"/>
      <c r="M446" s="859"/>
      <c r="N446" s="859"/>
      <c r="O446" s="859"/>
      <c r="P446" s="860"/>
      <c r="Q446" s="860"/>
      <c r="R446" s="860"/>
      <c r="S446" s="860"/>
      <c r="T446" s="860"/>
      <c r="U446" s="860"/>
      <c r="V446" s="860"/>
      <c r="W446" s="860"/>
      <c r="X446" s="860"/>
      <c r="Y446" s="860"/>
      <c r="Z446" s="860"/>
      <c r="AA446" s="860"/>
      <c r="AB446" s="860"/>
    </row>
    <row r="447">
      <c r="I447" s="856"/>
      <c r="J447" s="859"/>
      <c r="K447" s="859"/>
      <c r="L447" s="859"/>
      <c r="M447" s="859"/>
      <c r="N447" s="859"/>
      <c r="O447" s="859"/>
      <c r="P447" s="860"/>
      <c r="Q447" s="860"/>
      <c r="R447" s="860"/>
      <c r="S447" s="860"/>
      <c r="T447" s="860"/>
      <c r="U447" s="860"/>
      <c r="V447" s="860"/>
      <c r="W447" s="860"/>
      <c r="X447" s="860"/>
      <c r="Y447" s="860"/>
      <c r="Z447" s="860"/>
      <c r="AA447" s="860"/>
      <c r="AB447" s="860"/>
    </row>
    <row r="448">
      <c r="I448" s="856"/>
      <c r="J448" s="859"/>
      <c r="K448" s="859"/>
      <c r="L448" s="859"/>
      <c r="M448" s="859"/>
      <c r="N448" s="859"/>
      <c r="O448" s="859"/>
      <c r="P448" s="860"/>
      <c r="Q448" s="860"/>
      <c r="R448" s="860"/>
      <c r="S448" s="860"/>
      <c r="T448" s="860"/>
      <c r="U448" s="860"/>
      <c r="V448" s="860"/>
      <c r="W448" s="860"/>
      <c r="X448" s="860"/>
      <c r="Y448" s="860"/>
      <c r="Z448" s="860"/>
      <c r="AA448" s="860"/>
      <c r="AB448" s="860"/>
    </row>
    <row r="449">
      <c r="I449" s="856"/>
      <c r="J449" s="859"/>
      <c r="K449" s="859"/>
      <c r="L449" s="859"/>
      <c r="M449" s="859"/>
      <c r="N449" s="859"/>
      <c r="O449" s="859"/>
      <c r="P449" s="860"/>
      <c r="Q449" s="860"/>
      <c r="R449" s="860"/>
      <c r="S449" s="860"/>
      <c r="T449" s="860"/>
      <c r="U449" s="860"/>
      <c r="V449" s="860"/>
      <c r="W449" s="860"/>
      <c r="X449" s="860"/>
      <c r="Y449" s="860"/>
      <c r="Z449" s="860"/>
      <c r="AA449" s="860"/>
      <c r="AB449" s="860"/>
    </row>
    <row r="450">
      <c r="I450" s="856"/>
      <c r="J450" s="859"/>
      <c r="K450" s="859"/>
      <c r="L450" s="859"/>
      <c r="M450" s="859"/>
      <c r="N450" s="859"/>
      <c r="O450" s="859"/>
      <c r="P450" s="860"/>
      <c r="Q450" s="860"/>
      <c r="R450" s="860"/>
      <c r="S450" s="860"/>
      <c r="T450" s="860"/>
      <c r="U450" s="860"/>
      <c r="V450" s="860"/>
      <c r="W450" s="860"/>
      <c r="X450" s="860"/>
      <c r="Y450" s="860"/>
      <c r="Z450" s="860"/>
      <c r="AA450" s="860"/>
      <c r="AB450" s="860"/>
    </row>
    <row r="451">
      <c r="I451" s="856"/>
      <c r="J451" s="859"/>
      <c r="K451" s="859"/>
      <c r="L451" s="859"/>
      <c r="M451" s="859"/>
      <c r="N451" s="859"/>
      <c r="O451" s="859"/>
      <c r="P451" s="860"/>
      <c r="Q451" s="860"/>
      <c r="R451" s="860"/>
      <c r="S451" s="860"/>
      <c r="T451" s="860"/>
      <c r="U451" s="860"/>
      <c r="V451" s="860"/>
      <c r="W451" s="860"/>
      <c r="X451" s="860"/>
      <c r="Y451" s="860"/>
      <c r="Z451" s="860"/>
      <c r="AA451" s="860"/>
      <c r="AB451" s="860"/>
    </row>
    <row r="452">
      <c r="I452" s="856"/>
      <c r="J452" s="859"/>
      <c r="K452" s="859"/>
      <c r="L452" s="859"/>
      <c r="M452" s="859"/>
      <c r="N452" s="859"/>
      <c r="O452" s="859"/>
      <c r="P452" s="860"/>
      <c r="Q452" s="860"/>
      <c r="R452" s="860"/>
      <c r="S452" s="860"/>
      <c r="T452" s="860"/>
      <c r="U452" s="860"/>
      <c r="V452" s="860"/>
      <c r="W452" s="860"/>
      <c r="X452" s="860"/>
      <c r="Y452" s="860"/>
      <c r="Z452" s="860"/>
      <c r="AA452" s="860"/>
      <c r="AB452" s="860"/>
    </row>
    <row r="453">
      <c r="I453" s="856"/>
      <c r="J453" s="859"/>
      <c r="K453" s="859"/>
      <c r="L453" s="859"/>
      <c r="M453" s="859"/>
      <c r="N453" s="859"/>
      <c r="O453" s="859"/>
      <c r="P453" s="860"/>
      <c r="Q453" s="860"/>
      <c r="R453" s="860"/>
      <c r="S453" s="860"/>
      <c r="T453" s="860"/>
      <c r="U453" s="860"/>
      <c r="V453" s="860"/>
      <c r="W453" s="860"/>
      <c r="X453" s="860"/>
      <c r="Y453" s="860"/>
      <c r="Z453" s="860"/>
      <c r="AA453" s="860"/>
      <c r="AB453" s="860"/>
    </row>
    <row r="454">
      <c r="I454" s="856"/>
      <c r="J454" s="859"/>
      <c r="K454" s="859"/>
      <c r="L454" s="859"/>
      <c r="M454" s="859"/>
      <c r="N454" s="859"/>
      <c r="O454" s="859"/>
      <c r="P454" s="860"/>
      <c r="Q454" s="860"/>
      <c r="R454" s="860"/>
      <c r="S454" s="860"/>
      <c r="T454" s="860"/>
      <c r="U454" s="860"/>
      <c r="V454" s="860"/>
      <c r="W454" s="860"/>
      <c r="X454" s="860"/>
      <c r="Y454" s="860"/>
      <c r="Z454" s="860"/>
      <c r="AA454" s="860"/>
      <c r="AB454" s="860"/>
    </row>
    <row r="455">
      <c r="I455" s="856"/>
      <c r="J455" s="859"/>
      <c r="K455" s="859"/>
      <c r="L455" s="859"/>
      <c r="M455" s="859"/>
      <c r="N455" s="859"/>
      <c r="O455" s="859"/>
      <c r="P455" s="860"/>
      <c r="Q455" s="860"/>
      <c r="R455" s="860"/>
      <c r="S455" s="860"/>
      <c r="T455" s="860"/>
      <c r="U455" s="860"/>
      <c r="V455" s="860"/>
      <c r="W455" s="860"/>
      <c r="X455" s="860"/>
      <c r="Y455" s="860"/>
      <c r="Z455" s="860"/>
      <c r="AA455" s="860"/>
      <c r="AB455" s="860"/>
    </row>
    <row r="456">
      <c r="I456" s="856"/>
      <c r="J456" s="859"/>
      <c r="K456" s="859"/>
      <c r="L456" s="859"/>
      <c r="M456" s="859"/>
      <c r="N456" s="859"/>
      <c r="O456" s="859"/>
      <c r="P456" s="860"/>
      <c r="Q456" s="860"/>
      <c r="R456" s="860"/>
      <c r="S456" s="860"/>
      <c r="T456" s="860"/>
      <c r="U456" s="860"/>
      <c r="V456" s="860"/>
      <c r="W456" s="860"/>
      <c r="X456" s="860"/>
      <c r="Y456" s="860"/>
      <c r="Z456" s="860"/>
      <c r="AA456" s="860"/>
      <c r="AB456" s="860"/>
    </row>
    <row r="457">
      <c r="I457" s="856"/>
      <c r="J457" s="859"/>
      <c r="K457" s="859"/>
      <c r="L457" s="859"/>
      <c r="M457" s="859"/>
      <c r="N457" s="859"/>
      <c r="O457" s="859"/>
      <c r="P457" s="860"/>
      <c r="Q457" s="860"/>
      <c r="R457" s="860"/>
      <c r="S457" s="860"/>
      <c r="T457" s="860"/>
      <c r="U457" s="860"/>
      <c r="V457" s="860"/>
      <c r="W457" s="860"/>
      <c r="X457" s="860"/>
      <c r="Y457" s="860"/>
      <c r="Z457" s="860"/>
      <c r="AA457" s="860"/>
      <c r="AB457" s="860"/>
    </row>
    <row r="458">
      <c r="I458" s="856"/>
      <c r="J458" s="859"/>
      <c r="K458" s="859"/>
      <c r="L458" s="859"/>
      <c r="M458" s="859"/>
      <c r="N458" s="859"/>
      <c r="O458" s="859"/>
      <c r="P458" s="860"/>
      <c r="Q458" s="860"/>
      <c r="R458" s="860"/>
      <c r="S458" s="860"/>
      <c r="T458" s="860"/>
      <c r="U458" s="860"/>
      <c r="V458" s="860"/>
      <c r="W458" s="860"/>
      <c r="X458" s="860"/>
      <c r="Y458" s="860"/>
      <c r="Z458" s="860"/>
      <c r="AA458" s="860"/>
      <c r="AB458" s="860"/>
    </row>
    <row r="459">
      <c r="I459" s="856"/>
      <c r="J459" s="859"/>
      <c r="K459" s="859"/>
      <c r="L459" s="859"/>
      <c r="M459" s="859"/>
      <c r="N459" s="859"/>
      <c r="O459" s="859"/>
      <c r="P459" s="860"/>
      <c r="Q459" s="860"/>
      <c r="R459" s="860"/>
      <c r="S459" s="860"/>
      <c r="T459" s="860"/>
      <c r="U459" s="860"/>
      <c r="V459" s="860"/>
      <c r="W459" s="860"/>
      <c r="X459" s="860"/>
      <c r="Y459" s="860"/>
      <c r="Z459" s="860"/>
      <c r="AA459" s="860"/>
      <c r="AB459" s="860"/>
    </row>
    <row r="460">
      <c r="I460" s="856"/>
      <c r="J460" s="859"/>
      <c r="K460" s="859"/>
      <c r="L460" s="859"/>
      <c r="M460" s="859"/>
      <c r="N460" s="859"/>
      <c r="O460" s="859"/>
      <c r="P460" s="860"/>
      <c r="Q460" s="860"/>
      <c r="R460" s="860"/>
      <c r="S460" s="860"/>
      <c r="T460" s="860"/>
      <c r="U460" s="860"/>
      <c r="V460" s="860"/>
      <c r="W460" s="860"/>
      <c r="X460" s="860"/>
      <c r="Y460" s="860"/>
      <c r="Z460" s="860"/>
      <c r="AA460" s="860"/>
      <c r="AB460" s="860"/>
    </row>
    <row r="461">
      <c r="I461" s="856"/>
      <c r="J461" s="859"/>
      <c r="K461" s="859"/>
      <c r="L461" s="859"/>
      <c r="M461" s="859"/>
      <c r="N461" s="859"/>
      <c r="O461" s="859"/>
      <c r="P461" s="860"/>
      <c r="Q461" s="860"/>
      <c r="R461" s="860"/>
      <c r="S461" s="860"/>
      <c r="T461" s="860"/>
      <c r="U461" s="860"/>
      <c r="V461" s="860"/>
      <c r="W461" s="860"/>
      <c r="X461" s="860"/>
      <c r="Y461" s="860"/>
      <c r="Z461" s="860"/>
      <c r="AA461" s="860"/>
      <c r="AB461" s="860"/>
    </row>
    <row r="462">
      <c r="I462" s="856"/>
      <c r="J462" s="859"/>
      <c r="K462" s="859"/>
      <c r="L462" s="859"/>
      <c r="M462" s="859"/>
      <c r="N462" s="859"/>
      <c r="O462" s="859"/>
      <c r="P462" s="860"/>
      <c r="Q462" s="860"/>
      <c r="R462" s="860"/>
      <c r="S462" s="860"/>
      <c r="T462" s="860"/>
      <c r="U462" s="860"/>
      <c r="V462" s="860"/>
      <c r="W462" s="860"/>
      <c r="X462" s="860"/>
      <c r="Y462" s="860"/>
      <c r="Z462" s="860"/>
      <c r="AA462" s="860"/>
      <c r="AB462" s="860"/>
    </row>
    <row r="463">
      <c r="I463" s="856"/>
      <c r="J463" s="859"/>
      <c r="K463" s="859"/>
      <c r="L463" s="859"/>
      <c r="M463" s="859"/>
      <c r="N463" s="859"/>
      <c r="O463" s="859"/>
      <c r="P463" s="860"/>
      <c r="Q463" s="860"/>
      <c r="R463" s="860"/>
      <c r="S463" s="860"/>
      <c r="T463" s="860"/>
      <c r="U463" s="860"/>
      <c r="V463" s="860"/>
      <c r="W463" s="860"/>
      <c r="X463" s="860"/>
      <c r="Y463" s="860"/>
      <c r="Z463" s="860"/>
      <c r="AA463" s="860"/>
      <c r="AB463" s="860"/>
    </row>
    <row r="464">
      <c r="I464" s="856"/>
      <c r="J464" s="859"/>
      <c r="K464" s="859"/>
      <c r="L464" s="859"/>
      <c r="M464" s="859"/>
      <c r="N464" s="859"/>
      <c r="O464" s="859"/>
      <c r="P464" s="860"/>
      <c r="Q464" s="860"/>
      <c r="R464" s="860"/>
      <c r="S464" s="860"/>
      <c r="T464" s="860"/>
      <c r="U464" s="860"/>
      <c r="V464" s="860"/>
      <c r="W464" s="860"/>
      <c r="X464" s="860"/>
      <c r="Y464" s="860"/>
      <c r="Z464" s="860"/>
      <c r="AA464" s="860"/>
      <c r="AB464" s="860"/>
    </row>
    <row r="465">
      <c r="I465" s="856"/>
      <c r="J465" s="859"/>
      <c r="K465" s="859"/>
      <c r="L465" s="859"/>
      <c r="M465" s="859"/>
      <c r="N465" s="859"/>
      <c r="O465" s="859"/>
      <c r="P465" s="860"/>
      <c r="Q465" s="860"/>
      <c r="R465" s="860"/>
      <c r="S465" s="860"/>
      <c r="T465" s="860"/>
      <c r="U465" s="860"/>
      <c r="V465" s="860"/>
      <c r="W465" s="860"/>
      <c r="X465" s="860"/>
      <c r="Y465" s="860"/>
      <c r="Z465" s="860"/>
      <c r="AA465" s="860"/>
      <c r="AB465" s="860"/>
    </row>
    <row r="466">
      <c r="I466" s="856"/>
      <c r="J466" s="859"/>
      <c r="K466" s="859"/>
      <c r="L466" s="859"/>
      <c r="M466" s="859"/>
      <c r="N466" s="859"/>
      <c r="O466" s="859"/>
      <c r="P466" s="860"/>
      <c r="Q466" s="860"/>
      <c r="R466" s="860"/>
      <c r="S466" s="860"/>
      <c r="T466" s="860"/>
      <c r="U466" s="860"/>
      <c r="V466" s="860"/>
      <c r="W466" s="860"/>
      <c r="X466" s="860"/>
      <c r="Y466" s="860"/>
      <c r="Z466" s="860"/>
      <c r="AA466" s="860"/>
      <c r="AB466" s="860"/>
    </row>
    <row r="467">
      <c r="I467" s="856"/>
      <c r="J467" s="859"/>
      <c r="K467" s="859"/>
      <c r="L467" s="859"/>
      <c r="M467" s="859"/>
      <c r="N467" s="859"/>
      <c r="O467" s="859"/>
      <c r="P467" s="860"/>
      <c r="Q467" s="860"/>
      <c r="R467" s="860"/>
      <c r="S467" s="860"/>
      <c r="T467" s="860"/>
      <c r="U467" s="860"/>
      <c r="V467" s="860"/>
      <c r="W467" s="860"/>
      <c r="X467" s="860"/>
      <c r="Y467" s="860"/>
      <c r="Z467" s="860"/>
      <c r="AA467" s="860"/>
      <c r="AB467" s="860"/>
    </row>
    <row r="468">
      <c r="I468" s="856"/>
      <c r="J468" s="859"/>
      <c r="K468" s="859"/>
      <c r="L468" s="859"/>
      <c r="M468" s="859"/>
      <c r="N468" s="859"/>
      <c r="O468" s="859"/>
      <c r="P468" s="860"/>
      <c r="Q468" s="860"/>
      <c r="R468" s="860"/>
      <c r="S468" s="860"/>
      <c r="T468" s="860"/>
      <c r="U468" s="860"/>
      <c r="V468" s="860"/>
      <c r="W468" s="860"/>
      <c r="X468" s="860"/>
      <c r="Y468" s="860"/>
      <c r="Z468" s="860"/>
      <c r="AA468" s="860"/>
      <c r="AB468" s="860"/>
    </row>
    <row r="469">
      <c r="I469" s="856"/>
      <c r="J469" s="859"/>
      <c r="K469" s="859"/>
      <c r="L469" s="859"/>
      <c r="M469" s="859"/>
      <c r="N469" s="859"/>
      <c r="O469" s="859"/>
      <c r="P469" s="860"/>
      <c r="Q469" s="860"/>
      <c r="R469" s="860"/>
      <c r="S469" s="860"/>
      <c r="T469" s="860"/>
      <c r="U469" s="860"/>
      <c r="V469" s="860"/>
      <c r="W469" s="860"/>
      <c r="X469" s="860"/>
      <c r="Y469" s="860"/>
      <c r="Z469" s="860"/>
      <c r="AA469" s="860"/>
      <c r="AB469" s="860"/>
    </row>
    <row r="470">
      <c r="I470" s="856"/>
      <c r="J470" s="859"/>
      <c r="K470" s="859"/>
      <c r="L470" s="859"/>
      <c r="M470" s="859"/>
      <c r="N470" s="859"/>
      <c r="O470" s="859"/>
      <c r="P470" s="860"/>
      <c r="Q470" s="860"/>
      <c r="R470" s="860"/>
      <c r="S470" s="860"/>
      <c r="T470" s="860"/>
      <c r="U470" s="860"/>
      <c r="V470" s="860"/>
      <c r="W470" s="860"/>
      <c r="X470" s="860"/>
      <c r="Y470" s="860"/>
      <c r="Z470" s="860"/>
      <c r="AA470" s="860"/>
      <c r="AB470" s="860"/>
    </row>
    <row r="471">
      <c r="I471" s="856"/>
      <c r="J471" s="859"/>
      <c r="K471" s="859"/>
      <c r="L471" s="859"/>
      <c r="M471" s="859"/>
      <c r="N471" s="859"/>
      <c r="O471" s="859"/>
      <c r="P471" s="860"/>
      <c r="Q471" s="860"/>
      <c r="R471" s="860"/>
      <c r="S471" s="860"/>
      <c r="T471" s="860"/>
      <c r="U471" s="860"/>
      <c r="V471" s="860"/>
      <c r="W471" s="860"/>
      <c r="X471" s="860"/>
      <c r="Y471" s="860"/>
      <c r="Z471" s="860"/>
      <c r="AA471" s="860"/>
      <c r="AB471" s="860"/>
    </row>
    <row r="472">
      <c r="I472" s="856"/>
      <c r="J472" s="859"/>
      <c r="K472" s="859"/>
      <c r="L472" s="859"/>
      <c r="M472" s="859"/>
      <c r="N472" s="859"/>
      <c r="O472" s="859"/>
      <c r="P472" s="860"/>
      <c r="Q472" s="860"/>
      <c r="R472" s="860"/>
      <c r="S472" s="860"/>
      <c r="T472" s="860"/>
      <c r="U472" s="860"/>
      <c r="V472" s="860"/>
      <c r="W472" s="860"/>
      <c r="X472" s="860"/>
      <c r="Y472" s="860"/>
      <c r="Z472" s="860"/>
      <c r="AA472" s="860"/>
      <c r="AB472" s="860"/>
    </row>
    <row r="473">
      <c r="I473" s="856"/>
      <c r="J473" s="859"/>
      <c r="K473" s="859"/>
      <c r="L473" s="859"/>
      <c r="M473" s="859"/>
      <c r="N473" s="859"/>
      <c r="O473" s="859"/>
      <c r="P473" s="860"/>
      <c r="Q473" s="860"/>
      <c r="R473" s="860"/>
      <c r="S473" s="860"/>
      <c r="T473" s="860"/>
      <c r="U473" s="860"/>
      <c r="V473" s="860"/>
      <c r="W473" s="860"/>
      <c r="X473" s="860"/>
      <c r="Y473" s="860"/>
      <c r="Z473" s="860"/>
      <c r="AA473" s="860"/>
      <c r="AB473" s="860"/>
    </row>
    <row r="474">
      <c r="I474" s="856"/>
      <c r="J474" s="859"/>
      <c r="K474" s="859"/>
      <c r="L474" s="859"/>
      <c r="M474" s="859"/>
      <c r="N474" s="859"/>
      <c r="O474" s="859"/>
      <c r="P474" s="860"/>
      <c r="Q474" s="860"/>
      <c r="R474" s="860"/>
      <c r="S474" s="860"/>
      <c r="T474" s="860"/>
      <c r="U474" s="860"/>
      <c r="V474" s="860"/>
      <c r="W474" s="860"/>
      <c r="X474" s="860"/>
      <c r="Y474" s="860"/>
      <c r="Z474" s="860"/>
      <c r="AA474" s="860"/>
      <c r="AB474" s="860"/>
    </row>
    <row r="475">
      <c r="I475" s="856"/>
      <c r="J475" s="859"/>
      <c r="K475" s="859"/>
      <c r="L475" s="859"/>
      <c r="M475" s="859"/>
      <c r="N475" s="859"/>
      <c r="O475" s="859"/>
      <c r="P475" s="860"/>
      <c r="Q475" s="860"/>
      <c r="R475" s="860"/>
      <c r="S475" s="860"/>
      <c r="T475" s="860"/>
      <c r="U475" s="860"/>
      <c r="V475" s="860"/>
      <c r="W475" s="860"/>
      <c r="X475" s="860"/>
      <c r="Y475" s="860"/>
      <c r="Z475" s="860"/>
      <c r="AA475" s="860"/>
      <c r="AB475" s="860"/>
    </row>
    <row r="476">
      <c r="I476" s="856"/>
      <c r="J476" s="859"/>
      <c r="K476" s="859"/>
      <c r="L476" s="859"/>
      <c r="M476" s="859"/>
      <c r="N476" s="859"/>
      <c r="O476" s="859"/>
      <c r="P476" s="860"/>
      <c r="Q476" s="860"/>
      <c r="R476" s="860"/>
      <c r="S476" s="860"/>
      <c r="T476" s="860"/>
      <c r="U476" s="860"/>
      <c r="V476" s="860"/>
      <c r="W476" s="860"/>
      <c r="X476" s="860"/>
      <c r="Y476" s="860"/>
      <c r="Z476" s="860"/>
      <c r="AA476" s="860"/>
      <c r="AB476" s="860"/>
    </row>
    <row r="477">
      <c r="I477" s="856"/>
      <c r="J477" s="859"/>
      <c r="K477" s="859"/>
      <c r="L477" s="859"/>
      <c r="M477" s="859"/>
      <c r="N477" s="859"/>
      <c r="O477" s="859"/>
      <c r="P477" s="860"/>
      <c r="Q477" s="860"/>
      <c r="R477" s="860"/>
      <c r="S477" s="860"/>
      <c r="T477" s="860"/>
      <c r="U477" s="860"/>
      <c r="V477" s="860"/>
      <c r="W477" s="860"/>
      <c r="X477" s="860"/>
      <c r="Y477" s="860"/>
      <c r="Z477" s="860"/>
      <c r="AA477" s="860"/>
      <c r="AB477" s="860"/>
    </row>
    <row r="478">
      <c r="I478" s="856"/>
      <c r="J478" s="859"/>
      <c r="K478" s="859"/>
      <c r="L478" s="859"/>
      <c r="M478" s="859"/>
      <c r="N478" s="859"/>
      <c r="O478" s="859"/>
      <c r="P478" s="860"/>
      <c r="Q478" s="860"/>
      <c r="R478" s="860"/>
      <c r="S478" s="860"/>
      <c r="T478" s="860"/>
      <c r="U478" s="860"/>
      <c r="V478" s="860"/>
      <c r="W478" s="860"/>
      <c r="X478" s="860"/>
      <c r="Y478" s="860"/>
      <c r="Z478" s="860"/>
      <c r="AA478" s="860"/>
      <c r="AB478" s="860"/>
    </row>
    <row r="479">
      <c r="I479" s="856"/>
      <c r="J479" s="859"/>
      <c r="K479" s="859"/>
      <c r="L479" s="859"/>
      <c r="M479" s="859"/>
      <c r="N479" s="859"/>
      <c r="O479" s="859"/>
      <c r="P479" s="860"/>
      <c r="Q479" s="860"/>
      <c r="R479" s="860"/>
      <c r="S479" s="860"/>
      <c r="T479" s="860"/>
      <c r="U479" s="860"/>
      <c r="V479" s="860"/>
      <c r="W479" s="860"/>
      <c r="X479" s="860"/>
      <c r="Y479" s="860"/>
      <c r="Z479" s="860"/>
      <c r="AA479" s="860"/>
      <c r="AB479" s="860"/>
    </row>
    <row r="480">
      <c r="I480" s="856"/>
      <c r="J480" s="859"/>
      <c r="K480" s="859"/>
      <c r="L480" s="859"/>
      <c r="M480" s="859"/>
      <c r="N480" s="859"/>
      <c r="O480" s="859"/>
      <c r="P480" s="860"/>
      <c r="Q480" s="860"/>
      <c r="R480" s="860"/>
      <c r="S480" s="860"/>
      <c r="T480" s="860"/>
      <c r="U480" s="860"/>
      <c r="V480" s="860"/>
      <c r="W480" s="860"/>
      <c r="X480" s="860"/>
      <c r="Y480" s="860"/>
      <c r="Z480" s="860"/>
      <c r="AA480" s="860"/>
      <c r="AB480" s="860"/>
    </row>
    <row r="481">
      <c r="I481" s="856"/>
      <c r="J481" s="859"/>
      <c r="K481" s="859"/>
      <c r="L481" s="859"/>
      <c r="M481" s="859"/>
      <c r="N481" s="859"/>
      <c r="O481" s="859"/>
      <c r="P481" s="860"/>
      <c r="Q481" s="860"/>
      <c r="R481" s="860"/>
      <c r="S481" s="860"/>
      <c r="T481" s="860"/>
      <c r="U481" s="860"/>
      <c r="V481" s="860"/>
      <c r="W481" s="860"/>
      <c r="X481" s="860"/>
      <c r="Y481" s="860"/>
      <c r="Z481" s="860"/>
      <c r="AA481" s="860"/>
      <c r="AB481" s="860"/>
    </row>
    <row r="482">
      <c r="I482" s="856"/>
      <c r="J482" s="859"/>
      <c r="K482" s="859"/>
      <c r="L482" s="859"/>
      <c r="M482" s="859"/>
      <c r="N482" s="859"/>
      <c r="O482" s="859"/>
      <c r="P482" s="860"/>
      <c r="Q482" s="860"/>
      <c r="R482" s="860"/>
      <c r="S482" s="860"/>
      <c r="T482" s="860"/>
      <c r="U482" s="860"/>
      <c r="V482" s="860"/>
      <c r="W482" s="860"/>
      <c r="X482" s="860"/>
      <c r="Y482" s="860"/>
      <c r="Z482" s="860"/>
      <c r="AA482" s="860"/>
      <c r="AB482" s="860"/>
    </row>
    <row r="483">
      <c r="I483" s="856"/>
      <c r="J483" s="859"/>
      <c r="K483" s="859"/>
      <c r="L483" s="859"/>
      <c r="M483" s="859"/>
      <c r="N483" s="859"/>
      <c r="O483" s="859"/>
      <c r="P483" s="860"/>
      <c r="Q483" s="860"/>
      <c r="R483" s="860"/>
      <c r="S483" s="860"/>
      <c r="T483" s="860"/>
      <c r="U483" s="860"/>
      <c r="V483" s="860"/>
      <c r="W483" s="860"/>
      <c r="X483" s="860"/>
      <c r="Y483" s="860"/>
      <c r="Z483" s="860"/>
      <c r="AA483" s="860"/>
      <c r="AB483" s="860"/>
    </row>
    <row r="484">
      <c r="I484" s="856"/>
      <c r="J484" s="859"/>
      <c r="K484" s="859"/>
      <c r="L484" s="859"/>
      <c r="M484" s="859"/>
      <c r="N484" s="859"/>
      <c r="O484" s="859"/>
      <c r="P484" s="860"/>
      <c r="Q484" s="860"/>
      <c r="R484" s="860"/>
      <c r="S484" s="860"/>
      <c r="T484" s="860"/>
      <c r="U484" s="860"/>
      <c r="V484" s="860"/>
      <c r="W484" s="860"/>
      <c r="X484" s="860"/>
      <c r="Y484" s="860"/>
      <c r="Z484" s="860"/>
      <c r="AA484" s="860"/>
      <c r="AB484" s="860"/>
    </row>
    <row r="485">
      <c r="I485" s="856"/>
      <c r="J485" s="859"/>
      <c r="K485" s="859"/>
      <c r="L485" s="859"/>
      <c r="M485" s="859"/>
      <c r="N485" s="859"/>
      <c r="O485" s="859"/>
      <c r="P485" s="860"/>
      <c r="Q485" s="860"/>
      <c r="R485" s="860"/>
      <c r="S485" s="860"/>
      <c r="T485" s="860"/>
      <c r="U485" s="860"/>
      <c r="V485" s="860"/>
      <c r="W485" s="860"/>
      <c r="X485" s="860"/>
      <c r="Y485" s="860"/>
      <c r="Z485" s="860"/>
      <c r="AA485" s="860"/>
      <c r="AB485" s="860"/>
    </row>
    <row r="486">
      <c r="I486" s="856"/>
      <c r="J486" s="859"/>
      <c r="K486" s="859"/>
      <c r="L486" s="859"/>
      <c r="M486" s="859"/>
      <c r="N486" s="859"/>
      <c r="O486" s="859"/>
      <c r="P486" s="860"/>
      <c r="Q486" s="860"/>
      <c r="R486" s="860"/>
      <c r="S486" s="860"/>
      <c r="T486" s="860"/>
      <c r="U486" s="860"/>
      <c r="V486" s="860"/>
      <c r="W486" s="860"/>
      <c r="X486" s="860"/>
      <c r="Y486" s="860"/>
      <c r="Z486" s="860"/>
      <c r="AA486" s="860"/>
      <c r="AB486" s="860"/>
    </row>
    <row r="487">
      <c r="I487" s="856"/>
      <c r="J487" s="859"/>
      <c r="K487" s="859"/>
      <c r="L487" s="859"/>
      <c r="M487" s="859"/>
      <c r="N487" s="859"/>
      <c r="O487" s="859"/>
      <c r="P487" s="860"/>
      <c r="Q487" s="860"/>
      <c r="R487" s="860"/>
      <c r="S487" s="860"/>
      <c r="T487" s="860"/>
      <c r="U487" s="860"/>
      <c r="V487" s="860"/>
      <c r="W487" s="860"/>
      <c r="X487" s="860"/>
      <c r="Y487" s="860"/>
      <c r="Z487" s="860"/>
      <c r="AA487" s="860"/>
      <c r="AB487" s="860"/>
    </row>
    <row r="488">
      <c r="I488" s="856"/>
      <c r="J488" s="859"/>
      <c r="K488" s="859"/>
      <c r="L488" s="859"/>
      <c r="M488" s="859"/>
      <c r="N488" s="859"/>
      <c r="O488" s="859"/>
      <c r="P488" s="860"/>
      <c r="Q488" s="860"/>
      <c r="R488" s="860"/>
      <c r="S488" s="860"/>
      <c r="T488" s="860"/>
      <c r="U488" s="860"/>
      <c r="V488" s="860"/>
      <c r="W488" s="860"/>
      <c r="X488" s="860"/>
      <c r="Y488" s="860"/>
      <c r="Z488" s="860"/>
      <c r="AA488" s="860"/>
      <c r="AB488" s="860"/>
    </row>
    <row r="489">
      <c r="I489" s="856"/>
      <c r="J489" s="859"/>
      <c r="K489" s="859"/>
      <c r="L489" s="859"/>
      <c r="M489" s="859"/>
      <c r="N489" s="859"/>
      <c r="O489" s="859"/>
      <c r="P489" s="860"/>
      <c r="Q489" s="860"/>
      <c r="R489" s="860"/>
      <c r="S489" s="860"/>
      <c r="T489" s="860"/>
      <c r="U489" s="860"/>
      <c r="V489" s="860"/>
      <c r="W489" s="860"/>
      <c r="X489" s="860"/>
      <c r="Y489" s="860"/>
      <c r="Z489" s="860"/>
      <c r="AA489" s="860"/>
      <c r="AB489" s="860"/>
    </row>
    <row r="490">
      <c r="I490" s="856"/>
      <c r="J490" s="859"/>
      <c r="K490" s="859"/>
      <c r="L490" s="859"/>
      <c r="M490" s="859"/>
      <c r="N490" s="859"/>
      <c r="O490" s="859"/>
      <c r="P490" s="860"/>
      <c r="Q490" s="860"/>
      <c r="R490" s="860"/>
      <c r="S490" s="860"/>
      <c r="T490" s="860"/>
      <c r="U490" s="860"/>
      <c r="V490" s="860"/>
      <c r="W490" s="860"/>
      <c r="X490" s="860"/>
      <c r="Y490" s="860"/>
      <c r="Z490" s="860"/>
      <c r="AA490" s="860"/>
      <c r="AB490" s="860"/>
    </row>
    <row r="491">
      <c r="I491" s="856"/>
      <c r="J491" s="859"/>
      <c r="K491" s="859"/>
      <c r="L491" s="859"/>
      <c r="M491" s="859"/>
      <c r="N491" s="859"/>
      <c r="O491" s="859"/>
      <c r="P491" s="860"/>
      <c r="Q491" s="860"/>
      <c r="R491" s="860"/>
      <c r="S491" s="860"/>
      <c r="T491" s="860"/>
      <c r="U491" s="860"/>
      <c r="V491" s="860"/>
      <c r="W491" s="860"/>
      <c r="X491" s="860"/>
      <c r="Y491" s="860"/>
      <c r="Z491" s="860"/>
      <c r="AA491" s="860"/>
      <c r="AB491" s="860"/>
    </row>
    <row r="492">
      <c r="I492" s="856"/>
      <c r="J492" s="859"/>
      <c r="K492" s="859"/>
      <c r="L492" s="859"/>
      <c r="M492" s="859"/>
      <c r="N492" s="859"/>
      <c r="O492" s="859"/>
      <c r="P492" s="860"/>
      <c r="Q492" s="860"/>
      <c r="R492" s="860"/>
      <c r="S492" s="860"/>
      <c r="T492" s="860"/>
      <c r="U492" s="860"/>
      <c r="V492" s="860"/>
      <c r="W492" s="860"/>
      <c r="X492" s="860"/>
      <c r="Y492" s="860"/>
      <c r="Z492" s="860"/>
      <c r="AA492" s="860"/>
      <c r="AB492" s="860"/>
    </row>
    <row r="493">
      <c r="I493" s="856"/>
      <c r="J493" s="859"/>
      <c r="K493" s="859"/>
      <c r="L493" s="859"/>
      <c r="M493" s="859"/>
      <c r="N493" s="859"/>
      <c r="O493" s="859"/>
      <c r="P493" s="860"/>
      <c r="Q493" s="860"/>
      <c r="R493" s="860"/>
      <c r="S493" s="860"/>
      <c r="T493" s="860"/>
      <c r="U493" s="860"/>
      <c r="V493" s="860"/>
      <c r="W493" s="860"/>
      <c r="X493" s="860"/>
      <c r="Y493" s="860"/>
      <c r="Z493" s="860"/>
      <c r="AA493" s="860"/>
      <c r="AB493" s="860"/>
    </row>
    <row r="494">
      <c r="I494" s="856"/>
      <c r="J494" s="859"/>
      <c r="K494" s="859"/>
      <c r="L494" s="859"/>
      <c r="M494" s="859"/>
      <c r="N494" s="859"/>
      <c r="O494" s="859"/>
      <c r="P494" s="860"/>
      <c r="Q494" s="860"/>
      <c r="R494" s="860"/>
      <c r="S494" s="860"/>
      <c r="T494" s="860"/>
      <c r="U494" s="860"/>
      <c r="V494" s="860"/>
      <c r="W494" s="860"/>
      <c r="X494" s="860"/>
      <c r="Y494" s="860"/>
      <c r="Z494" s="860"/>
      <c r="AA494" s="860"/>
      <c r="AB494" s="860"/>
    </row>
    <row r="495">
      <c r="I495" s="856"/>
      <c r="J495" s="859"/>
      <c r="K495" s="859"/>
      <c r="L495" s="859"/>
      <c r="M495" s="859"/>
      <c r="N495" s="859"/>
      <c r="O495" s="859"/>
      <c r="P495" s="860"/>
      <c r="Q495" s="860"/>
      <c r="R495" s="860"/>
      <c r="S495" s="860"/>
      <c r="T495" s="860"/>
      <c r="U495" s="860"/>
      <c r="V495" s="860"/>
      <c r="W495" s="860"/>
      <c r="X495" s="860"/>
      <c r="Y495" s="860"/>
      <c r="Z495" s="860"/>
      <c r="AA495" s="860"/>
      <c r="AB495" s="860"/>
    </row>
    <row r="496">
      <c r="I496" s="856"/>
      <c r="J496" s="859"/>
      <c r="K496" s="859"/>
      <c r="L496" s="859"/>
      <c r="M496" s="859"/>
      <c r="N496" s="859"/>
      <c r="O496" s="859"/>
      <c r="P496" s="860"/>
      <c r="Q496" s="860"/>
      <c r="R496" s="860"/>
      <c r="S496" s="860"/>
      <c r="T496" s="860"/>
      <c r="U496" s="860"/>
      <c r="V496" s="860"/>
      <c r="W496" s="860"/>
      <c r="X496" s="860"/>
      <c r="Y496" s="860"/>
      <c r="Z496" s="860"/>
      <c r="AA496" s="860"/>
      <c r="AB496" s="860"/>
    </row>
    <row r="497">
      <c r="I497" s="856"/>
      <c r="J497" s="859"/>
      <c r="K497" s="859"/>
      <c r="L497" s="859"/>
      <c r="M497" s="859"/>
      <c r="N497" s="859"/>
      <c r="O497" s="859"/>
      <c r="P497" s="860"/>
      <c r="Q497" s="860"/>
      <c r="R497" s="860"/>
      <c r="S497" s="860"/>
      <c r="T497" s="860"/>
      <c r="U497" s="860"/>
      <c r="V497" s="860"/>
      <c r="W497" s="860"/>
      <c r="X497" s="860"/>
      <c r="Y497" s="860"/>
      <c r="Z497" s="860"/>
      <c r="AA497" s="860"/>
      <c r="AB497" s="860"/>
    </row>
    <row r="498">
      <c r="I498" s="856"/>
      <c r="J498" s="859"/>
      <c r="K498" s="859"/>
      <c r="L498" s="859"/>
      <c r="M498" s="859"/>
      <c r="N498" s="859"/>
      <c r="O498" s="859"/>
      <c r="P498" s="860"/>
      <c r="Q498" s="860"/>
      <c r="R498" s="860"/>
      <c r="S498" s="860"/>
      <c r="T498" s="860"/>
      <c r="U498" s="860"/>
      <c r="V498" s="860"/>
      <c r="W498" s="860"/>
      <c r="X498" s="860"/>
      <c r="Y498" s="860"/>
      <c r="Z498" s="860"/>
      <c r="AA498" s="860"/>
      <c r="AB498" s="860"/>
    </row>
    <row r="499">
      <c r="I499" s="856"/>
      <c r="J499" s="859"/>
      <c r="K499" s="859"/>
      <c r="L499" s="859"/>
      <c r="M499" s="859"/>
      <c r="N499" s="859"/>
      <c r="O499" s="859"/>
      <c r="P499" s="860"/>
      <c r="Q499" s="860"/>
      <c r="R499" s="860"/>
      <c r="S499" s="860"/>
      <c r="T499" s="860"/>
      <c r="U499" s="860"/>
      <c r="V499" s="860"/>
      <c r="W499" s="860"/>
      <c r="X499" s="860"/>
      <c r="Y499" s="860"/>
      <c r="Z499" s="860"/>
      <c r="AA499" s="860"/>
      <c r="AB499" s="860"/>
    </row>
    <row r="500">
      <c r="I500" s="856"/>
      <c r="J500" s="859"/>
      <c r="K500" s="859"/>
      <c r="L500" s="859"/>
      <c r="M500" s="859"/>
      <c r="N500" s="859"/>
      <c r="O500" s="859"/>
      <c r="P500" s="860"/>
      <c r="Q500" s="860"/>
      <c r="R500" s="860"/>
      <c r="S500" s="860"/>
      <c r="T500" s="860"/>
      <c r="U500" s="860"/>
      <c r="V500" s="860"/>
      <c r="W500" s="860"/>
      <c r="X500" s="860"/>
      <c r="Y500" s="860"/>
      <c r="Z500" s="860"/>
      <c r="AA500" s="860"/>
      <c r="AB500" s="860"/>
    </row>
    <row r="501">
      <c r="I501" s="856"/>
      <c r="J501" s="859"/>
      <c r="K501" s="859"/>
      <c r="L501" s="859"/>
      <c r="M501" s="859"/>
      <c r="N501" s="859"/>
      <c r="O501" s="859"/>
      <c r="P501" s="860"/>
      <c r="Q501" s="860"/>
      <c r="R501" s="860"/>
      <c r="S501" s="860"/>
      <c r="T501" s="860"/>
      <c r="U501" s="860"/>
      <c r="V501" s="860"/>
      <c r="W501" s="860"/>
      <c r="X501" s="860"/>
      <c r="Y501" s="860"/>
      <c r="Z501" s="860"/>
      <c r="AA501" s="860"/>
      <c r="AB501" s="860"/>
    </row>
    <row r="502">
      <c r="I502" s="856"/>
      <c r="J502" s="859"/>
      <c r="K502" s="859"/>
      <c r="L502" s="859"/>
      <c r="M502" s="859"/>
      <c r="N502" s="859"/>
      <c r="O502" s="859"/>
      <c r="P502" s="860"/>
      <c r="Q502" s="860"/>
      <c r="R502" s="860"/>
      <c r="S502" s="860"/>
      <c r="T502" s="860"/>
      <c r="U502" s="860"/>
      <c r="V502" s="860"/>
      <c r="W502" s="860"/>
      <c r="X502" s="860"/>
      <c r="Y502" s="860"/>
      <c r="Z502" s="860"/>
      <c r="AA502" s="860"/>
      <c r="AB502" s="860"/>
    </row>
    <row r="503">
      <c r="I503" s="856"/>
      <c r="J503" s="859"/>
      <c r="K503" s="859"/>
      <c r="L503" s="859"/>
      <c r="M503" s="859"/>
      <c r="N503" s="859"/>
      <c r="O503" s="859"/>
      <c r="P503" s="860"/>
      <c r="Q503" s="860"/>
      <c r="R503" s="860"/>
      <c r="S503" s="860"/>
      <c r="T503" s="860"/>
      <c r="U503" s="860"/>
      <c r="V503" s="860"/>
      <c r="W503" s="860"/>
      <c r="X503" s="860"/>
      <c r="Y503" s="860"/>
      <c r="Z503" s="860"/>
      <c r="AA503" s="860"/>
      <c r="AB503" s="860"/>
    </row>
    <row r="504">
      <c r="I504" s="856"/>
      <c r="J504" s="859"/>
      <c r="K504" s="859"/>
      <c r="L504" s="859"/>
      <c r="M504" s="859"/>
      <c r="N504" s="859"/>
      <c r="O504" s="859"/>
      <c r="P504" s="860"/>
      <c r="Q504" s="860"/>
      <c r="R504" s="860"/>
      <c r="S504" s="860"/>
      <c r="T504" s="860"/>
      <c r="U504" s="860"/>
      <c r="V504" s="860"/>
      <c r="W504" s="860"/>
      <c r="X504" s="860"/>
      <c r="Y504" s="860"/>
      <c r="Z504" s="860"/>
      <c r="AA504" s="860"/>
      <c r="AB504" s="860"/>
    </row>
    <row r="505">
      <c r="I505" s="856"/>
      <c r="J505" s="859"/>
      <c r="K505" s="859"/>
      <c r="L505" s="859"/>
      <c r="M505" s="859"/>
      <c r="N505" s="859"/>
      <c r="O505" s="859"/>
      <c r="P505" s="860"/>
      <c r="Q505" s="860"/>
      <c r="R505" s="860"/>
      <c r="S505" s="860"/>
      <c r="T505" s="860"/>
      <c r="U505" s="860"/>
      <c r="V505" s="860"/>
      <c r="W505" s="860"/>
      <c r="X505" s="860"/>
      <c r="Y505" s="860"/>
      <c r="Z505" s="860"/>
      <c r="AA505" s="860"/>
      <c r="AB505" s="860"/>
    </row>
    <row r="506">
      <c r="I506" s="856"/>
      <c r="J506" s="859"/>
      <c r="K506" s="859"/>
      <c r="L506" s="859"/>
      <c r="M506" s="859"/>
      <c r="N506" s="859"/>
      <c r="O506" s="859"/>
      <c r="P506" s="860"/>
      <c r="Q506" s="860"/>
      <c r="R506" s="860"/>
      <c r="S506" s="860"/>
      <c r="T506" s="860"/>
      <c r="U506" s="860"/>
      <c r="V506" s="860"/>
      <c r="W506" s="860"/>
      <c r="X506" s="860"/>
      <c r="Y506" s="860"/>
      <c r="Z506" s="860"/>
      <c r="AA506" s="860"/>
      <c r="AB506" s="860"/>
    </row>
    <row r="507">
      <c r="I507" s="856"/>
      <c r="J507" s="859"/>
      <c r="K507" s="859"/>
      <c r="L507" s="859"/>
      <c r="M507" s="859"/>
      <c r="N507" s="859"/>
      <c r="O507" s="859"/>
      <c r="P507" s="860"/>
      <c r="Q507" s="860"/>
      <c r="R507" s="860"/>
      <c r="S507" s="860"/>
      <c r="T507" s="860"/>
      <c r="U507" s="860"/>
      <c r="V507" s="860"/>
      <c r="W507" s="860"/>
      <c r="X507" s="860"/>
      <c r="Y507" s="860"/>
      <c r="Z507" s="860"/>
      <c r="AA507" s="860"/>
      <c r="AB507" s="860"/>
    </row>
    <row r="508">
      <c r="I508" s="856"/>
      <c r="J508" s="859"/>
      <c r="K508" s="859"/>
      <c r="L508" s="859"/>
      <c r="M508" s="859"/>
      <c r="N508" s="859"/>
      <c r="O508" s="859"/>
      <c r="P508" s="860"/>
      <c r="Q508" s="860"/>
      <c r="R508" s="860"/>
      <c r="S508" s="860"/>
      <c r="T508" s="860"/>
      <c r="U508" s="860"/>
      <c r="V508" s="860"/>
      <c r="W508" s="860"/>
      <c r="X508" s="860"/>
      <c r="Y508" s="860"/>
      <c r="Z508" s="860"/>
      <c r="AA508" s="860"/>
      <c r="AB508" s="860"/>
    </row>
    <row r="509">
      <c r="I509" s="856"/>
      <c r="J509" s="859"/>
      <c r="K509" s="859"/>
      <c r="L509" s="859"/>
      <c r="M509" s="859"/>
      <c r="N509" s="859"/>
      <c r="O509" s="859"/>
      <c r="P509" s="860"/>
      <c r="Q509" s="860"/>
      <c r="R509" s="860"/>
      <c r="S509" s="860"/>
      <c r="T509" s="860"/>
      <c r="U509" s="860"/>
      <c r="V509" s="860"/>
      <c r="W509" s="860"/>
      <c r="X509" s="860"/>
      <c r="Y509" s="860"/>
      <c r="Z509" s="860"/>
      <c r="AA509" s="860"/>
      <c r="AB509" s="860"/>
    </row>
    <row r="510">
      <c r="I510" s="856"/>
      <c r="J510" s="859"/>
      <c r="K510" s="859"/>
      <c r="L510" s="859"/>
      <c r="M510" s="859"/>
      <c r="N510" s="859"/>
      <c r="O510" s="859"/>
      <c r="P510" s="860"/>
      <c r="Q510" s="860"/>
      <c r="R510" s="860"/>
      <c r="S510" s="860"/>
      <c r="T510" s="860"/>
      <c r="U510" s="860"/>
      <c r="V510" s="860"/>
      <c r="W510" s="860"/>
      <c r="X510" s="860"/>
      <c r="Y510" s="860"/>
      <c r="Z510" s="860"/>
      <c r="AA510" s="860"/>
      <c r="AB510" s="860"/>
    </row>
    <row r="511">
      <c r="I511" s="856"/>
      <c r="J511" s="859"/>
      <c r="K511" s="859"/>
      <c r="L511" s="859"/>
      <c r="M511" s="859"/>
      <c r="N511" s="859"/>
      <c r="O511" s="859"/>
      <c r="P511" s="860"/>
      <c r="Q511" s="860"/>
      <c r="R511" s="860"/>
      <c r="S511" s="860"/>
      <c r="T511" s="860"/>
      <c r="U511" s="860"/>
      <c r="V511" s="860"/>
      <c r="W511" s="860"/>
      <c r="X511" s="860"/>
      <c r="Y511" s="860"/>
      <c r="Z511" s="860"/>
      <c r="AA511" s="860"/>
      <c r="AB511" s="860"/>
    </row>
    <row r="512">
      <c r="I512" s="856"/>
      <c r="J512" s="859"/>
      <c r="K512" s="859"/>
      <c r="L512" s="859"/>
      <c r="M512" s="859"/>
      <c r="N512" s="859"/>
      <c r="O512" s="859"/>
      <c r="P512" s="860"/>
      <c r="Q512" s="860"/>
      <c r="R512" s="860"/>
      <c r="S512" s="860"/>
      <c r="T512" s="860"/>
      <c r="U512" s="860"/>
      <c r="V512" s="860"/>
      <c r="W512" s="860"/>
      <c r="X512" s="860"/>
      <c r="Y512" s="860"/>
      <c r="Z512" s="860"/>
      <c r="AA512" s="860"/>
      <c r="AB512" s="860"/>
    </row>
    <row r="513">
      <c r="I513" s="856"/>
      <c r="J513" s="859"/>
      <c r="K513" s="859"/>
      <c r="L513" s="859"/>
      <c r="M513" s="859"/>
      <c r="N513" s="859"/>
      <c r="O513" s="859"/>
      <c r="P513" s="860"/>
      <c r="Q513" s="860"/>
      <c r="R513" s="860"/>
      <c r="S513" s="860"/>
      <c r="T513" s="860"/>
      <c r="U513" s="860"/>
      <c r="V513" s="860"/>
      <c r="W513" s="860"/>
      <c r="X513" s="860"/>
      <c r="Y513" s="860"/>
      <c r="Z513" s="860"/>
      <c r="AA513" s="860"/>
      <c r="AB513" s="860"/>
    </row>
    <row r="514">
      <c r="I514" s="856"/>
      <c r="J514" s="859"/>
      <c r="K514" s="859"/>
      <c r="L514" s="859"/>
      <c r="M514" s="859"/>
      <c r="N514" s="859"/>
      <c r="O514" s="859"/>
      <c r="P514" s="860"/>
      <c r="Q514" s="860"/>
      <c r="R514" s="860"/>
      <c r="S514" s="860"/>
      <c r="T514" s="860"/>
      <c r="U514" s="860"/>
      <c r="V514" s="860"/>
      <c r="W514" s="860"/>
      <c r="X514" s="860"/>
      <c r="Y514" s="860"/>
      <c r="Z514" s="860"/>
      <c r="AA514" s="860"/>
      <c r="AB514" s="860"/>
    </row>
    <row r="515">
      <c r="I515" s="856"/>
      <c r="J515" s="859"/>
      <c r="K515" s="859"/>
      <c r="L515" s="859"/>
      <c r="M515" s="859"/>
      <c r="N515" s="859"/>
      <c r="O515" s="859"/>
      <c r="P515" s="860"/>
      <c r="Q515" s="860"/>
      <c r="R515" s="860"/>
      <c r="S515" s="860"/>
      <c r="T515" s="860"/>
      <c r="U515" s="860"/>
      <c r="V515" s="860"/>
      <c r="W515" s="860"/>
      <c r="X515" s="860"/>
      <c r="Y515" s="860"/>
      <c r="Z515" s="860"/>
      <c r="AA515" s="860"/>
      <c r="AB515" s="860"/>
    </row>
    <row r="516">
      <c r="I516" s="856"/>
      <c r="J516" s="859"/>
      <c r="K516" s="859"/>
      <c r="L516" s="859"/>
      <c r="M516" s="859"/>
      <c r="N516" s="859"/>
      <c r="O516" s="859"/>
      <c r="P516" s="860"/>
      <c r="Q516" s="860"/>
      <c r="R516" s="860"/>
      <c r="S516" s="860"/>
      <c r="T516" s="860"/>
      <c r="U516" s="860"/>
      <c r="V516" s="860"/>
      <c r="W516" s="860"/>
      <c r="X516" s="860"/>
      <c r="Y516" s="860"/>
      <c r="Z516" s="860"/>
      <c r="AA516" s="860"/>
      <c r="AB516" s="860"/>
    </row>
    <row r="517">
      <c r="I517" s="856"/>
      <c r="J517" s="859"/>
      <c r="K517" s="859"/>
      <c r="L517" s="859"/>
      <c r="M517" s="859"/>
      <c r="N517" s="859"/>
      <c r="O517" s="859"/>
      <c r="P517" s="860"/>
      <c r="Q517" s="860"/>
      <c r="R517" s="860"/>
      <c r="S517" s="860"/>
      <c r="T517" s="860"/>
      <c r="U517" s="860"/>
      <c r="V517" s="860"/>
      <c r="W517" s="860"/>
      <c r="X517" s="860"/>
      <c r="Y517" s="860"/>
      <c r="Z517" s="860"/>
      <c r="AA517" s="860"/>
      <c r="AB517" s="860"/>
    </row>
    <row r="518">
      <c r="I518" s="856"/>
      <c r="J518" s="859"/>
      <c r="K518" s="859"/>
      <c r="L518" s="859"/>
      <c r="M518" s="859"/>
      <c r="N518" s="859"/>
      <c r="O518" s="859"/>
      <c r="P518" s="860"/>
      <c r="Q518" s="860"/>
      <c r="R518" s="860"/>
      <c r="S518" s="860"/>
      <c r="T518" s="860"/>
      <c r="U518" s="860"/>
      <c r="V518" s="860"/>
      <c r="W518" s="860"/>
      <c r="X518" s="860"/>
      <c r="Y518" s="860"/>
      <c r="Z518" s="860"/>
      <c r="AA518" s="860"/>
      <c r="AB518" s="860"/>
    </row>
    <row r="519">
      <c r="I519" s="856"/>
      <c r="J519" s="859"/>
      <c r="K519" s="859"/>
      <c r="L519" s="859"/>
      <c r="M519" s="859"/>
      <c r="N519" s="859"/>
      <c r="O519" s="859"/>
      <c r="P519" s="860"/>
      <c r="Q519" s="860"/>
      <c r="R519" s="860"/>
      <c r="S519" s="860"/>
      <c r="T519" s="860"/>
      <c r="U519" s="860"/>
      <c r="V519" s="860"/>
      <c r="W519" s="860"/>
      <c r="X519" s="860"/>
      <c r="Y519" s="860"/>
      <c r="Z519" s="860"/>
      <c r="AA519" s="860"/>
      <c r="AB519" s="860"/>
    </row>
    <row r="520">
      <c r="I520" s="856"/>
      <c r="J520" s="859"/>
      <c r="K520" s="859"/>
      <c r="L520" s="859"/>
      <c r="M520" s="859"/>
      <c r="N520" s="859"/>
      <c r="O520" s="859"/>
      <c r="P520" s="860"/>
      <c r="Q520" s="860"/>
      <c r="R520" s="860"/>
      <c r="S520" s="860"/>
      <c r="T520" s="860"/>
      <c r="U520" s="860"/>
      <c r="V520" s="860"/>
      <c r="W520" s="860"/>
      <c r="X520" s="860"/>
      <c r="Y520" s="860"/>
      <c r="Z520" s="860"/>
      <c r="AA520" s="860"/>
      <c r="AB520" s="860"/>
    </row>
    <row r="521">
      <c r="I521" s="856"/>
      <c r="J521" s="859"/>
      <c r="K521" s="859"/>
      <c r="L521" s="859"/>
      <c r="M521" s="859"/>
      <c r="N521" s="859"/>
      <c r="O521" s="859"/>
      <c r="P521" s="860"/>
      <c r="Q521" s="860"/>
      <c r="R521" s="860"/>
      <c r="S521" s="860"/>
      <c r="T521" s="860"/>
      <c r="U521" s="860"/>
      <c r="V521" s="860"/>
      <c r="W521" s="860"/>
      <c r="X521" s="860"/>
      <c r="Y521" s="860"/>
      <c r="Z521" s="860"/>
      <c r="AA521" s="860"/>
      <c r="AB521" s="860"/>
    </row>
    <row r="522">
      <c r="I522" s="856"/>
      <c r="J522" s="859"/>
      <c r="K522" s="859"/>
      <c r="L522" s="859"/>
      <c r="M522" s="859"/>
      <c r="N522" s="859"/>
      <c r="O522" s="859"/>
      <c r="P522" s="860"/>
      <c r="Q522" s="860"/>
      <c r="R522" s="860"/>
      <c r="S522" s="860"/>
      <c r="T522" s="860"/>
      <c r="U522" s="860"/>
      <c r="V522" s="860"/>
      <c r="W522" s="860"/>
      <c r="X522" s="860"/>
      <c r="Y522" s="860"/>
      <c r="Z522" s="860"/>
      <c r="AA522" s="860"/>
      <c r="AB522" s="860"/>
    </row>
    <row r="523">
      <c r="I523" s="856"/>
      <c r="J523" s="859"/>
      <c r="K523" s="859"/>
      <c r="L523" s="859"/>
      <c r="M523" s="859"/>
      <c r="N523" s="859"/>
      <c r="O523" s="859"/>
      <c r="P523" s="860"/>
      <c r="Q523" s="860"/>
      <c r="R523" s="860"/>
      <c r="S523" s="860"/>
      <c r="T523" s="860"/>
      <c r="U523" s="860"/>
      <c r="V523" s="860"/>
      <c r="W523" s="860"/>
      <c r="X523" s="860"/>
      <c r="Y523" s="860"/>
      <c r="Z523" s="860"/>
      <c r="AA523" s="860"/>
      <c r="AB523" s="860"/>
    </row>
    <row r="524">
      <c r="I524" s="856"/>
      <c r="J524" s="859"/>
      <c r="K524" s="859"/>
      <c r="L524" s="859"/>
      <c r="M524" s="859"/>
      <c r="N524" s="859"/>
      <c r="O524" s="859"/>
      <c r="P524" s="860"/>
      <c r="Q524" s="860"/>
      <c r="R524" s="860"/>
      <c r="S524" s="860"/>
      <c r="T524" s="860"/>
      <c r="U524" s="860"/>
      <c r="V524" s="860"/>
      <c r="W524" s="860"/>
      <c r="X524" s="860"/>
      <c r="Y524" s="860"/>
      <c r="Z524" s="860"/>
      <c r="AA524" s="860"/>
      <c r="AB524" s="860"/>
    </row>
    <row r="525">
      <c r="I525" s="856"/>
      <c r="J525" s="859"/>
      <c r="K525" s="859"/>
      <c r="L525" s="859"/>
      <c r="M525" s="859"/>
      <c r="N525" s="859"/>
      <c r="O525" s="859"/>
      <c r="P525" s="860"/>
      <c r="Q525" s="860"/>
      <c r="R525" s="860"/>
      <c r="S525" s="860"/>
      <c r="T525" s="860"/>
      <c r="U525" s="860"/>
      <c r="V525" s="860"/>
      <c r="W525" s="860"/>
      <c r="X525" s="860"/>
      <c r="Y525" s="860"/>
      <c r="Z525" s="860"/>
      <c r="AA525" s="860"/>
      <c r="AB525" s="860"/>
    </row>
    <row r="526">
      <c r="I526" s="856"/>
      <c r="J526" s="859"/>
      <c r="K526" s="859"/>
      <c r="L526" s="859"/>
      <c r="M526" s="859"/>
      <c r="N526" s="859"/>
      <c r="O526" s="859"/>
      <c r="P526" s="860"/>
      <c r="Q526" s="860"/>
      <c r="R526" s="860"/>
      <c r="S526" s="860"/>
      <c r="T526" s="860"/>
      <c r="U526" s="860"/>
      <c r="V526" s="860"/>
      <c r="W526" s="860"/>
      <c r="X526" s="860"/>
      <c r="Y526" s="860"/>
      <c r="Z526" s="860"/>
      <c r="AA526" s="860"/>
      <c r="AB526" s="860"/>
    </row>
    <row r="527">
      <c r="I527" s="856"/>
      <c r="J527" s="859"/>
      <c r="K527" s="859"/>
      <c r="L527" s="859"/>
      <c r="M527" s="859"/>
      <c r="N527" s="859"/>
      <c r="O527" s="859"/>
      <c r="P527" s="860"/>
      <c r="Q527" s="860"/>
      <c r="R527" s="860"/>
      <c r="S527" s="860"/>
      <c r="T527" s="860"/>
      <c r="U527" s="860"/>
      <c r="V527" s="860"/>
      <c r="W527" s="860"/>
      <c r="X527" s="860"/>
      <c r="Y527" s="860"/>
      <c r="Z527" s="860"/>
      <c r="AA527" s="860"/>
      <c r="AB527" s="860"/>
    </row>
    <row r="528">
      <c r="I528" s="856"/>
      <c r="J528" s="859"/>
      <c r="K528" s="859"/>
      <c r="L528" s="859"/>
      <c r="M528" s="859"/>
      <c r="N528" s="859"/>
      <c r="O528" s="859"/>
      <c r="P528" s="860"/>
      <c r="Q528" s="860"/>
      <c r="R528" s="860"/>
      <c r="S528" s="860"/>
      <c r="T528" s="860"/>
      <c r="U528" s="860"/>
      <c r="V528" s="860"/>
      <c r="W528" s="860"/>
      <c r="X528" s="860"/>
      <c r="Y528" s="860"/>
      <c r="Z528" s="860"/>
      <c r="AA528" s="860"/>
      <c r="AB528" s="860"/>
    </row>
    <row r="529">
      <c r="I529" s="856"/>
      <c r="J529" s="859"/>
      <c r="K529" s="859"/>
      <c r="L529" s="859"/>
      <c r="M529" s="859"/>
      <c r="N529" s="859"/>
      <c r="O529" s="859"/>
      <c r="P529" s="860"/>
      <c r="Q529" s="860"/>
      <c r="R529" s="860"/>
      <c r="S529" s="860"/>
      <c r="T529" s="860"/>
      <c r="U529" s="860"/>
      <c r="V529" s="860"/>
      <c r="W529" s="860"/>
      <c r="X529" s="860"/>
      <c r="Y529" s="860"/>
      <c r="Z529" s="860"/>
      <c r="AA529" s="860"/>
      <c r="AB529" s="860"/>
    </row>
    <row r="530">
      <c r="I530" s="856"/>
      <c r="J530" s="859"/>
      <c r="K530" s="859"/>
      <c r="L530" s="859"/>
      <c r="M530" s="859"/>
      <c r="N530" s="859"/>
      <c r="O530" s="859"/>
      <c r="P530" s="860"/>
      <c r="Q530" s="860"/>
      <c r="R530" s="860"/>
      <c r="S530" s="860"/>
      <c r="T530" s="860"/>
      <c r="U530" s="860"/>
      <c r="V530" s="860"/>
      <c r="W530" s="860"/>
      <c r="X530" s="860"/>
      <c r="Y530" s="860"/>
      <c r="Z530" s="860"/>
      <c r="AA530" s="860"/>
      <c r="AB530" s="860"/>
    </row>
    <row r="531">
      <c r="I531" s="856"/>
      <c r="J531" s="859"/>
      <c r="K531" s="859"/>
      <c r="L531" s="859"/>
      <c r="M531" s="859"/>
      <c r="N531" s="859"/>
      <c r="O531" s="859"/>
      <c r="P531" s="860"/>
      <c r="Q531" s="860"/>
      <c r="R531" s="860"/>
      <c r="S531" s="860"/>
      <c r="T531" s="860"/>
      <c r="U531" s="860"/>
      <c r="V531" s="860"/>
      <c r="W531" s="860"/>
      <c r="X531" s="860"/>
      <c r="Y531" s="860"/>
      <c r="Z531" s="860"/>
      <c r="AA531" s="860"/>
      <c r="AB531" s="860"/>
    </row>
    <row r="532">
      <c r="I532" s="856"/>
      <c r="J532" s="859"/>
      <c r="K532" s="859"/>
      <c r="L532" s="859"/>
      <c r="M532" s="859"/>
      <c r="N532" s="859"/>
      <c r="O532" s="859"/>
      <c r="P532" s="860"/>
      <c r="Q532" s="860"/>
      <c r="R532" s="860"/>
      <c r="S532" s="860"/>
      <c r="T532" s="860"/>
      <c r="U532" s="860"/>
      <c r="V532" s="860"/>
      <c r="W532" s="860"/>
      <c r="X532" s="860"/>
      <c r="Y532" s="860"/>
      <c r="Z532" s="860"/>
      <c r="AA532" s="860"/>
      <c r="AB532" s="860"/>
    </row>
    <row r="533">
      <c r="I533" s="856"/>
      <c r="J533" s="859"/>
      <c r="K533" s="859"/>
      <c r="L533" s="859"/>
      <c r="M533" s="859"/>
      <c r="N533" s="859"/>
      <c r="O533" s="859"/>
      <c r="P533" s="860"/>
      <c r="Q533" s="860"/>
      <c r="R533" s="860"/>
      <c r="S533" s="860"/>
      <c r="T533" s="860"/>
      <c r="U533" s="860"/>
      <c r="V533" s="860"/>
      <c r="W533" s="860"/>
      <c r="X533" s="860"/>
      <c r="Y533" s="860"/>
      <c r="Z533" s="860"/>
      <c r="AA533" s="860"/>
      <c r="AB533" s="860"/>
    </row>
    <row r="534">
      <c r="I534" s="856"/>
      <c r="J534" s="859"/>
      <c r="K534" s="859"/>
      <c r="L534" s="859"/>
      <c r="M534" s="859"/>
      <c r="N534" s="859"/>
      <c r="O534" s="859"/>
      <c r="P534" s="860"/>
      <c r="Q534" s="860"/>
      <c r="R534" s="860"/>
      <c r="S534" s="860"/>
      <c r="T534" s="860"/>
      <c r="U534" s="860"/>
      <c r="V534" s="860"/>
      <c r="W534" s="860"/>
      <c r="X534" s="860"/>
      <c r="Y534" s="860"/>
      <c r="Z534" s="860"/>
      <c r="AA534" s="860"/>
      <c r="AB534" s="860"/>
    </row>
    <row r="535">
      <c r="I535" s="856"/>
      <c r="J535" s="859"/>
      <c r="K535" s="859"/>
      <c r="L535" s="859"/>
      <c r="M535" s="859"/>
      <c r="N535" s="859"/>
      <c r="O535" s="859"/>
      <c r="P535" s="860"/>
      <c r="Q535" s="860"/>
      <c r="R535" s="860"/>
      <c r="S535" s="860"/>
      <c r="T535" s="860"/>
      <c r="U535" s="860"/>
      <c r="V535" s="860"/>
      <c r="W535" s="860"/>
      <c r="X535" s="860"/>
      <c r="Y535" s="860"/>
      <c r="Z535" s="860"/>
      <c r="AA535" s="860"/>
      <c r="AB535" s="860"/>
    </row>
    <row r="536">
      <c r="I536" s="856"/>
      <c r="J536" s="859"/>
      <c r="K536" s="859"/>
      <c r="L536" s="859"/>
      <c r="M536" s="859"/>
      <c r="N536" s="859"/>
      <c r="O536" s="859"/>
      <c r="P536" s="860"/>
      <c r="Q536" s="860"/>
      <c r="R536" s="860"/>
      <c r="S536" s="860"/>
      <c r="T536" s="860"/>
      <c r="U536" s="860"/>
      <c r="V536" s="860"/>
      <c r="W536" s="860"/>
      <c r="X536" s="860"/>
      <c r="Y536" s="860"/>
      <c r="Z536" s="860"/>
      <c r="AA536" s="860"/>
      <c r="AB536" s="860"/>
    </row>
    <row r="537">
      <c r="I537" s="856"/>
      <c r="J537" s="859"/>
      <c r="K537" s="859"/>
      <c r="L537" s="859"/>
      <c r="M537" s="859"/>
      <c r="N537" s="859"/>
      <c r="O537" s="859"/>
      <c r="P537" s="860"/>
      <c r="Q537" s="860"/>
      <c r="R537" s="860"/>
      <c r="S537" s="860"/>
      <c r="T537" s="860"/>
      <c r="U537" s="860"/>
      <c r="V537" s="860"/>
      <c r="W537" s="860"/>
      <c r="X537" s="860"/>
      <c r="Y537" s="860"/>
      <c r="Z537" s="860"/>
      <c r="AA537" s="860"/>
      <c r="AB537" s="860"/>
    </row>
    <row r="538">
      <c r="I538" s="856"/>
      <c r="J538" s="859"/>
      <c r="K538" s="859"/>
      <c r="L538" s="859"/>
      <c r="M538" s="859"/>
      <c r="N538" s="859"/>
      <c r="O538" s="859"/>
      <c r="P538" s="860"/>
      <c r="Q538" s="860"/>
      <c r="R538" s="860"/>
      <c r="S538" s="860"/>
      <c r="T538" s="860"/>
      <c r="U538" s="860"/>
      <c r="V538" s="860"/>
      <c r="W538" s="860"/>
      <c r="X538" s="860"/>
      <c r="Y538" s="860"/>
      <c r="Z538" s="860"/>
      <c r="AA538" s="860"/>
      <c r="AB538" s="860"/>
    </row>
    <row r="539">
      <c r="I539" s="856"/>
      <c r="J539" s="859"/>
      <c r="K539" s="859"/>
      <c r="L539" s="859"/>
      <c r="M539" s="859"/>
      <c r="N539" s="859"/>
      <c r="O539" s="859"/>
      <c r="P539" s="860"/>
      <c r="Q539" s="860"/>
      <c r="R539" s="860"/>
      <c r="S539" s="860"/>
      <c r="T539" s="860"/>
      <c r="U539" s="860"/>
      <c r="V539" s="860"/>
      <c r="W539" s="860"/>
      <c r="X539" s="860"/>
      <c r="Y539" s="860"/>
      <c r="Z539" s="860"/>
      <c r="AA539" s="860"/>
      <c r="AB539" s="860"/>
    </row>
    <row r="540">
      <c r="I540" s="856"/>
      <c r="J540" s="859"/>
      <c r="K540" s="859"/>
      <c r="L540" s="859"/>
      <c r="M540" s="859"/>
      <c r="N540" s="859"/>
      <c r="O540" s="859"/>
      <c r="P540" s="860"/>
      <c r="Q540" s="860"/>
      <c r="R540" s="860"/>
      <c r="S540" s="860"/>
      <c r="T540" s="860"/>
      <c r="U540" s="860"/>
      <c r="V540" s="860"/>
      <c r="W540" s="860"/>
      <c r="X540" s="860"/>
      <c r="Y540" s="860"/>
      <c r="Z540" s="860"/>
      <c r="AA540" s="860"/>
      <c r="AB540" s="860"/>
    </row>
    <row r="541">
      <c r="I541" s="856"/>
      <c r="J541" s="859"/>
      <c r="K541" s="859"/>
      <c r="L541" s="859"/>
      <c r="M541" s="859"/>
      <c r="N541" s="859"/>
      <c r="O541" s="859"/>
      <c r="P541" s="860"/>
      <c r="Q541" s="860"/>
      <c r="R541" s="860"/>
      <c r="S541" s="860"/>
      <c r="T541" s="860"/>
      <c r="U541" s="860"/>
      <c r="V541" s="860"/>
      <c r="W541" s="860"/>
      <c r="X541" s="860"/>
      <c r="Y541" s="860"/>
      <c r="Z541" s="860"/>
      <c r="AA541" s="860"/>
      <c r="AB541" s="860"/>
    </row>
    <row r="542">
      <c r="I542" s="856"/>
      <c r="J542" s="859"/>
      <c r="K542" s="859"/>
      <c r="L542" s="859"/>
      <c r="M542" s="859"/>
      <c r="N542" s="859"/>
      <c r="O542" s="859"/>
      <c r="P542" s="860"/>
      <c r="Q542" s="860"/>
      <c r="R542" s="860"/>
      <c r="S542" s="860"/>
      <c r="T542" s="860"/>
      <c r="U542" s="860"/>
      <c r="V542" s="860"/>
      <c r="W542" s="860"/>
      <c r="X542" s="860"/>
      <c r="Y542" s="860"/>
      <c r="Z542" s="860"/>
      <c r="AA542" s="860"/>
      <c r="AB542" s="860"/>
    </row>
    <row r="543">
      <c r="I543" s="856"/>
      <c r="J543" s="859"/>
      <c r="K543" s="859"/>
      <c r="L543" s="859"/>
      <c r="M543" s="859"/>
      <c r="N543" s="859"/>
      <c r="O543" s="859"/>
      <c r="P543" s="860"/>
      <c r="Q543" s="860"/>
      <c r="R543" s="860"/>
      <c r="S543" s="860"/>
      <c r="T543" s="860"/>
      <c r="U543" s="860"/>
      <c r="V543" s="860"/>
      <c r="W543" s="860"/>
      <c r="X543" s="860"/>
      <c r="Y543" s="860"/>
      <c r="Z543" s="860"/>
      <c r="AA543" s="860"/>
      <c r="AB543" s="860"/>
    </row>
    <row r="544">
      <c r="I544" s="856"/>
      <c r="J544" s="859"/>
      <c r="K544" s="859"/>
      <c r="L544" s="859"/>
      <c r="M544" s="859"/>
      <c r="N544" s="859"/>
      <c r="O544" s="859"/>
      <c r="P544" s="860"/>
      <c r="Q544" s="860"/>
      <c r="R544" s="860"/>
      <c r="S544" s="860"/>
      <c r="T544" s="860"/>
      <c r="U544" s="860"/>
      <c r="V544" s="860"/>
      <c r="W544" s="860"/>
      <c r="X544" s="860"/>
      <c r="Y544" s="860"/>
      <c r="Z544" s="860"/>
      <c r="AA544" s="860"/>
      <c r="AB544" s="860"/>
    </row>
    <row r="545">
      <c r="I545" s="856"/>
      <c r="J545" s="859"/>
      <c r="K545" s="859"/>
      <c r="L545" s="859"/>
      <c r="M545" s="859"/>
      <c r="N545" s="859"/>
      <c r="O545" s="859"/>
      <c r="P545" s="860"/>
      <c r="Q545" s="860"/>
      <c r="R545" s="860"/>
      <c r="S545" s="860"/>
      <c r="T545" s="860"/>
      <c r="U545" s="860"/>
      <c r="V545" s="860"/>
      <c r="W545" s="860"/>
      <c r="X545" s="860"/>
      <c r="Y545" s="860"/>
      <c r="Z545" s="860"/>
      <c r="AA545" s="860"/>
      <c r="AB545" s="860"/>
    </row>
    <row r="546">
      <c r="I546" s="856"/>
      <c r="J546" s="859"/>
      <c r="K546" s="859"/>
      <c r="L546" s="859"/>
      <c r="M546" s="859"/>
      <c r="N546" s="859"/>
      <c r="O546" s="859"/>
      <c r="P546" s="860"/>
      <c r="Q546" s="860"/>
      <c r="R546" s="860"/>
      <c r="S546" s="860"/>
      <c r="T546" s="860"/>
      <c r="U546" s="860"/>
      <c r="V546" s="860"/>
      <c r="W546" s="860"/>
      <c r="X546" s="860"/>
      <c r="Y546" s="860"/>
      <c r="Z546" s="860"/>
      <c r="AA546" s="860"/>
      <c r="AB546" s="860"/>
    </row>
    <row r="547">
      <c r="I547" s="856"/>
      <c r="J547" s="859"/>
      <c r="K547" s="859"/>
      <c r="L547" s="859"/>
      <c r="M547" s="859"/>
      <c r="N547" s="859"/>
      <c r="O547" s="859"/>
      <c r="P547" s="860"/>
      <c r="Q547" s="860"/>
      <c r="R547" s="860"/>
      <c r="S547" s="860"/>
      <c r="T547" s="860"/>
      <c r="U547" s="860"/>
      <c r="V547" s="860"/>
      <c r="W547" s="860"/>
      <c r="X547" s="860"/>
      <c r="Y547" s="860"/>
      <c r="Z547" s="860"/>
      <c r="AA547" s="860"/>
      <c r="AB547" s="860"/>
    </row>
    <row r="548">
      <c r="I548" s="856"/>
      <c r="J548" s="859"/>
      <c r="K548" s="859"/>
      <c r="L548" s="859"/>
      <c r="M548" s="859"/>
      <c r="N548" s="859"/>
      <c r="O548" s="859"/>
      <c r="P548" s="860"/>
      <c r="Q548" s="860"/>
      <c r="R548" s="860"/>
      <c r="S548" s="860"/>
      <c r="T548" s="860"/>
      <c r="U548" s="860"/>
      <c r="V548" s="860"/>
      <c r="W548" s="860"/>
      <c r="X548" s="860"/>
      <c r="Y548" s="860"/>
      <c r="Z548" s="860"/>
      <c r="AA548" s="860"/>
      <c r="AB548" s="860"/>
    </row>
    <row r="549">
      <c r="I549" s="856"/>
      <c r="J549" s="859"/>
      <c r="K549" s="859"/>
      <c r="L549" s="859"/>
      <c r="M549" s="859"/>
      <c r="N549" s="859"/>
      <c r="O549" s="859"/>
      <c r="P549" s="860"/>
      <c r="Q549" s="860"/>
      <c r="R549" s="860"/>
      <c r="S549" s="860"/>
      <c r="T549" s="860"/>
      <c r="U549" s="860"/>
      <c r="V549" s="860"/>
      <c r="W549" s="860"/>
      <c r="X549" s="860"/>
      <c r="Y549" s="860"/>
      <c r="Z549" s="860"/>
      <c r="AA549" s="860"/>
      <c r="AB549" s="860"/>
    </row>
    <row r="550">
      <c r="I550" s="856"/>
      <c r="J550" s="859"/>
      <c r="K550" s="859"/>
      <c r="L550" s="859"/>
      <c r="M550" s="859"/>
      <c r="N550" s="859"/>
      <c r="O550" s="859"/>
      <c r="P550" s="860"/>
      <c r="Q550" s="860"/>
      <c r="R550" s="860"/>
      <c r="S550" s="860"/>
      <c r="T550" s="860"/>
      <c r="U550" s="860"/>
      <c r="V550" s="860"/>
      <c r="W550" s="860"/>
      <c r="X550" s="860"/>
      <c r="Y550" s="860"/>
      <c r="Z550" s="860"/>
      <c r="AA550" s="860"/>
      <c r="AB550" s="860"/>
    </row>
    <row r="551">
      <c r="I551" s="856"/>
      <c r="J551" s="859"/>
      <c r="K551" s="859"/>
      <c r="L551" s="859"/>
      <c r="M551" s="859"/>
      <c r="N551" s="859"/>
      <c r="O551" s="859"/>
      <c r="P551" s="860"/>
      <c r="Q551" s="860"/>
      <c r="R551" s="860"/>
      <c r="S551" s="860"/>
      <c r="T551" s="860"/>
      <c r="U551" s="860"/>
      <c r="V551" s="860"/>
      <c r="W551" s="860"/>
      <c r="X551" s="860"/>
      <c r="Y551" s="860"/>
      <c r="Z551" s="860"/>
      <c r="AA551" s="860"/>
      <c r="AB551" s="860"/>
    </row>
    <row r="552">
      <c r="I552" s="856"/>
      <c r="J552" s="859"/>
      <c r="K552" s="859"/>
      <c r="L552" s="859"/>
      <c r="M552" s="859"/>
      <c r="N552" s="859"/>
      <c r="O552" s="859"/>
      <c r="P552" s="860"/>
      <c r="Q552" s="860"/>
      <c r="R552" s="860"/>
      <c r="S552" s="860"/>
      <c r="T552" s="860"/>
      <c r="U552" s="860"/>
      <c r="V552" s="860"/>
      <c r="W552" s="860"/>
      <c r="X552" s="860"/>
      <c r="Y552" s="860"/>
      <c r="Z552" s="860"/>
      <c r="AA552" s="860"/>
      <c r="AB552" s="860"/>
    </row>
    <row r="553">
      <c r="I553" s="856"/>
      <c r="J553" s="859"/>
      <c r="K553" s="859"/>
      <c r="L553" s="859"/>
      <c r="M553" s="859"/>
      <c r="N553" s="859"/>
      <c r="O553" s="859"/>
      <c r="P553" s="860"/>
      <c r="Q553" s="860"/>
      <c r="R553" s="860"/>
      <c r="S553" s="860"/>
      <c r="T553" s="860"/>
      <c r="U553" s="860"/>
      <c r="V553" s="860"/>
      <c r="W553" s="860"/>
      <c r="X553" s="860"/>
      <c r="Y553" s="860"/>
      <c r="Z553" s="860"/>
      <c r="AA553" s="860"/>
      <c r="AB553" s="860"/>
    </row>
    <row r="554">
      <c r="I554" s="856"/>
      <c r="J554" s="859"/>
      <c r="K554" s="859"/>
      <c r="L554" s="859"/>
      <c r="M554" s="859"/>
      <c r="N554" s="859"/>
      <c r="O554" s="859"/>
      <c r="P554" s="860"/>
      <c r="Q554" s="860"/>
      <c r="R554" s="860"/>
      <c r="S554" s="860"/>
      <c r="T554" s="860"/>
      <c r="U554" s="860"/>
      <c r="V554" s="860"/>
      <c r="W554" s="860"/>
      <c r="X554" s="860"/>
      <c r="Y554" s="860"/>
      <c r="Z554" s="860"/>
      <c r="AA554" s="860"/>
      <c r="AB554" s="860"/>
    </row>
    <row r="555">
      <c r="I555" s="856"/>
      <c r="J555" s="859"/>
      <c r="K555" s="859"/>
      <c r="L555" s="859"/>
      <c r="M555" s="859"/>
      <c r="N555" s="859"/>
      <c r="O555" s="859"/>
      <c r="P555" s="860"/>
      <c r="Q555" s="860"/>
      <c r="R555" s="860"/>
      <c r="S555" s="860"/>
      <c r="T555" s="860"/>
      <c r="U555" s="860"/>
      <c r="V555" s="860"/>
      <c r="W555" s="860"/>
      <c r="X555" s="860"/>
      <c r="Y555" s="860"/>
      <c r="Z555" s="860"/>
      <c r="AA555" s="860"/>
      <c r="AB555" s="860"/>
    </row>
    <row r="556">
      <c r="I556" s="856"/>
      <c r="J556" s="859"/>
      <c r="K556" s="859"/>
      <c r="L556" s="859"/>
      <c r="M556" s="859"/>
      <c r="N556" s="859"/>
      <c r="O556" s="859"/>
      <c r="P556" s="860"/>
      <c r="Q556" s="860"/>
      <c r="R556" s="860"/>
      <c r="S556" s="860"/>
      <c r="T556" s="860"/>
      <c r="U556" s="860"/>
      <c r="V556" s="860"/>
      <c r="W556" s="860"/>
      <c r="X556" s="860"/>
      <c r="Y556" s="860"/>
      <c r="Z556" s="860"/>
      <c r="AA556" s="860"/>
      <c r="AB556" s="860"/>
    </row>
    <row r="557">
      <c r="I557" s="856"/>
      <c r="J557" s="859"/>
      <c r="K557" s="859"/>
      <c r="L557" s="859"/>
      <c r="M557" s="859"/>
      <c r="N557" s="859"/>
      <c r="O557" s="859"/>
      <c r="P557" s="860"/>
      <c r="Q557" s="860"/>
      <c r="R557" s="860"/>
      <c r="S557" s="860"/>
      <c r="T557" s="860"/>
      <c r="U557" s="860"/>
      <c r="V557" s="860"/>
      <c r="W557" s="860"/>
      <c r="X557" s="860"/>
      <c r="Y557" s="860"/>
      <c r="Z557" s="860"/>
      <c r="AA557" s="860"/>
      <c r="AB557" s="860"/>
    </row>
    <row r="558">
      <c r="I558" s="856"/>
      <c r="J558" s="859"/>
      <c r="K558" s="859"/>
      <c r="L558" s="859"/>
      <c r="M558" s="859"/>
      <c r="N558" s="859"/>
      <c r="O558" s="859"/>
      <c r="P558" s="860"/>
      <c r="Q558" s="860"/>
      <c r="R558" s="860"/>
      <c r="S558" s="860"/>
      <c r="T558" s="860"/>
      <c r="U558" s="860"/>
      <c r="V558" s="860"/>
      <c r="W558" s="860"/>
      <c r="X558" s="860"/>
      <c r="Y558" s="860"/>
      <c r="Z558" s="860"/>
      <c r="AA558" s="860"/>
      <c r="AB558" s="860"/>
    </row>
    <row r="559">
      <c r="I559" s="856"/>
      <c r="J559" s="859"/>
      <c r="K559" s="859"/>
      <c r="L559" s="859"/>
      <c r="M559" s="859"/>
      <c r="N559" s="859"/>
      <c r="O559" s="859"/>
      <c r="P559" s="860"/>
      <c r="Q559" s="860"/>
      <c r="R559" s="860"/>
      <c r="S559" s="860"/>
      <c r="T559" s="860"/>
      <c r="U559" s="860"/>
      <c r="V559" s="860"/>
      <c r="W559" s="860"/>
      <c r="X559" s="860"/>
      <c r="Y559" s="860"/>
      <c r="Z559" s="860"/>
      <c r="AA559" s="860"/>
      <c r="AB559" s="860"/>
    </row>
    <row r="560">
      <c r="I560" s="856"/>
      <c r="J560" s="859"/>
      <c r="K560" s="859"/>
      <c r="L560" s="859"/>
      <c r="M560" s="859"/>
      <c r="N560" s="859"/>
      <c r="O560" s="859"/>
      <c r="P560" s="860"/>
      <c r="Q560" s="860"/>
      <c r="R560" s="860"/>
      <c r="S560" s="860"/>
      <c r="T560" s="860"/>
      <c r="U560" s="860"/>
      <c r="V560" s="860"/>
      <c r="W560" s="860"/>
      <c r="X560" s="860"/>
      <c r="Y560" s="860"/>
      <c r="Z560" s="860"/>
      <c r="AA560" s="860"/>
      <c r="AB560" s="860"/>
    </row>
    <row r="561">
      <c r="I561" s="856"/>
      <c r="J561" s="859"/>
      <c r="K561" s="859"/>
      <c r="L561" s="859"/>
      <c r="M561" s="859"/>
      <c r="N561" s="859"/>
      <c r="O561" s="859"/>
      <c r="P561" s="860"/>
      <c r="Q561" s="860"/>
      <c r="R561" s="860"/>
      <c r="S561" s="860"/>
      <c r="T561" s="860"/>
      <c r="U561" s="860"/>
      <c r="V561" s="860"/>
      <c r="W561" s="860"/>
      <c r="X561" s="860"/>
      <c r="Y561" s="860"/>
      <c r="Z561" s="860"/>
      <c r="AA561" s="860"/>
      <c r="AB561" s="860"/>
    </row>
    <row r="562">
      <c r="I562" s="856"/>
      <c r="J562" s="859"/>
      <c r="K562" s="859"/>
      <c r="L562" s="859"/>
      <c r="M562" s="859"/>
      <c r="N562" s="859"/>
      <c r="O562" s="859"/>
      <c r="P562" s="860"/>
      <c r="Q562" s="860"/>
      <c r="R562" s="860"/>
      <c r="S562" s="860"/>
      <c r="T562" s="860"/>
      <c r="U562" s="860"/>
      <c r="V562" s="860"/>
      <c r="W562" s="860"/>
      <c r="X562" s="860"/>
      <c r="Y562" s="860"/>
      <c r="Z562" s="860"/>
      <c r="AA562" s="860"/>
      <c r="AB562" s="860"/>
    </row>
    <row r="563">
      <c r="I563" s="856"/>
      <c r="J563" s="859"/>
      <c r="K563" s="859"/>
      <c r="L563" s="859"/>
      <c r="M563" s="859"/>
      <c r="N563" s="859"/>
      <c r="O563" s="859"/>
      <c r="P563" s="860"/>
      <c r="Q563" s="860"/>
      <c r="R563" s="860"/>
      <c r="S563" s="860"/>
      <c r="T563" s="860"/>
      <c r="U563" s="860"/>
      <c r="V563" s="860"/>
      <c r="W563" s="860"/>
      <c r="X563" s="860"/>
      <c r="Y563" s="860"/>
      <c r="Z563" s="860"/>
      <c r="AA563" s="860"/>
      <c r="AB563" s="860"/>
    </row>
    <row r="564">
      <c r="I564" s="856"/>
      <c r="J564" s="859"/>
      <c r="K564" s="859"/>
      <c r="L564" s="859"/>
      <c r="M564" s="859"/>
      <c r="N564" s="859"/>
      <c r="O564" s="859"/>
      <c r="P564" s="860"/>
      <c r="Q564" s="860"/>
      <c r="R564" s="860"/>
      <c r="S564" s="860"/>
      <c r="T564" s="860"/>
      <c r="U564" s="860"/>
      <c r="V564" s="860"/>
      <c r="W564" s="860"/>
      <c r="X564" s="860"/>
      <c r="Y564" s="860"/>
      <c r="Z564" s="860"/>
      <c r="AA564" s="860"/>
      <c r="AB564" s="860"/>
    </row>
    <row r="565">
      <c r="I565" s="856"/>
      <c r="J565" s="859"/>
      <c r="K565" s="859"/>
      <c r="L565" s="859"/>
      <c r="M565" s="859"/>
      <c r="N565" s="859"/>
      <c r="O565" s="859"/>
      <c r="P565" s="860"/>
      <c r="Q565" s="860"/>
      <c r="R565" s="860"/>
      <c r="S565" s="860"/>
      <c r="T565" s="860"/>
      <c r="U565" s="860"/>
      <c r="V565" s="860"/>
      <c r="W565" s="860"/>
      <c r="X565" s="860"/>
      <c r="Y565" s="860"/>
      <c r="Z565" s="860"/>
      <c r="AA565" s="860"/>
      <c r="AB565" s="860"/>
    </row>
    <row r="566">
      <c r="I566" s="856"/>
      <c r="J566" s="859"/>
      <c r="K566" s="859"/>
      <c r="L566" s="859"/>
      <c r="M566" s="859"/>
      <c r="N566" s="859"/>
      <c r="O566" s="859"/>
      <c r="P566" s="860"/>
      <c r="Q566" s="860"/>
      <c r="R566" s="860"/>
      <c r="S566" s="860"/>
      <c r="T566" s="860"/>
      <c r="U566" s="860"/>
      <c r="V566" s="860"/>
      <c r="W566" s="860"/>
      <c r="X566" s="860"/>
      <c r="Y566" s="860"/>
      <c r="Z566" s="860"/>
      <c r="AA566" s="860"/>
      <c r="AB566" s="860"/>
    </row>
    <row r="567">
      <c r="I567" s="856"/>
      <c r="J567" s="859"/>
      <c r="K567" s="859"/>
      <c r="L567" s="859"/>
      <c r="M567" s="859"/>
      <c r="N567" s="859"/>
      <c r="O567" s="859"/>
      <c r="P567" s="860"/>
      <c r="Q567" s="860"/>
      <c r="R567" s="860"/>
      <c r="S567" s="860"/>
      <c r="T567" s="860"/>
      <c r="U567" s="860"/>
      <c r="V567" s="860"/>
      <c r="W567" s="860"/>
      <c r="X567" s="860"/>
      <c r="Y567" s="860"/>
      <c r="Z567" s="860"/>
      <c r="AA567" s="860"/>
      <c r="AB567" s="860"/>
    </row>
    <row r="568">
      <c r="I568" s="856"/>
      <c r="J568" s="859"/>
      <c r="K568" s="859"/>
      <c r="L568" s="859"/>
      <c r="M568" s="859"/>
      <c r="N568" s="859"/>
      <c r="O568" s="859"/>
      <c r="P568" s="860"/>
      <c r="Q568" s="860"/>
      <c r="R568" s="860"/>
      <c r="S568" s="860"/>
      <c r="T568" s="860"/>
      <c r="U568" s="860"/>
      <c r="V568" s="860"/>
      <c r="W568" s="860"/>
      <c r="X568" s="860"/>
      <c r="Y568" s="860"/>
      <c r="Z568" s="860"/>
      <c r="AA568" s="860"/>
      <c r="AB568" s="860"/>
    </row>
    <row r="569">
      <c r="I569" s="856"/>
      <c r="J569" s="859"/>
      <c r="K569" s="859"/>
      <c r="L569" s="859"/>
      <c r="M569" s="859"/>
      <c r="N569" s="859"/>
      <c r="O569" s="859"/>
      <c r="P569" s="860"/>
      <c r="Q569" s="860"/>
      <c r="R569" s="860"/>
      <c r="S569" s="860"/>
      <c r="T569" s="860"/>
      <c r="U569" s="860"/>
      <c r="V569" s="860"/>
      <c r="W569" s="860"/>
      <c r="X569" s="860"/>
      <c r="Y569" s="860"/>
      <c r="Z569" s="860"/>
      <c r="AA569" s="860"/>
      <c r="AB569" s="860"/>
    </row>
    <row r="570">
      <c r="I570" s="856"/>
      <c r="J570" s="859"/>
      <c r="K570" s="859"/>
      <c r="L570" s="859"/>
      <c r="M570" s="859"/>
      <c r="N570" s="859"/>
      <c r="O570" s="859"/>
      <c r="P570" s="860"/>
      <c r="Q570" s="860"/>
      <c r="R570" s="860"/>
      <c r="S570" s="860"/>
      <c r="T570" s="860"/>
      <c r="U570" s="860"/>
      <c r="V570" s="860"/>
      <c r="W570" s="860"/>
      <c r="X570" s="860"/>
      <c r="Y570" s="860"/>
      <c r="Z570" s="860"/>
      <c r="AA570" s="860"/>
      <c r="AB570" s="860"/>
    </row>
    <row r="571">
      <c r="I571" s="856"/>
      <c r="J571" s="859"/>
      <c r="K571" s="859"/>
      <c r="L571" s="859"/>
      <c r="M571" s="859"/>
      <c r="N571" s="859"/>
      <c r="O571" s="859"/>
      <c r="P571" s="860"/>
      <c r="Q571" s="860"/>
      <c r="R571" s="860"/>
      <c r="S571" s="860"/>
      <c r="T571" s="860"/>
      <c r="U571" s="860"/>
      <c r="V571" s="860"/>
      <c r="W571" s="860"/>
      <c r="X571" s="860"/>
      <c r="Y571" s="860"/>
      <c r="Z571" s="860"/>
      <c r="AA571" s="860"/>
      <c r="AB571" s="860"/>
    </row>
    <row r="572">
      <c r="I572" s="856"/>
      <c r="J572" s="859"/>
      <c r="K572" s="859"/>
      <c r="L572" s="859"/>
      <c r="M572" s="859"/>
      <c r="N572" s="859"/>
      <c r="O572" s="859"/>
      <c r="P572" s="860"/>
      <c r="Q572" s="860"/>
      <c r="R572" s="860"/>
      <c r="S572" s="860"/>
      <c r="T572" s="860"/>
      <c r="U572" s="860"/>
      <c r="V572" s="860"/>
      <c r="W572" s="860"/>
      <c r="X572" s="860"/>
      <c r="Y572" s="860"/>
      <c r="Z572" s="860"/>
      <c r="AA572" s="860"/>
      <c r="AB572" s="860"/>
    </row>
    <row r="573">
      <c r="I573" s="856"/>
      <c r="J573" s="859"/>
      <c r="K573" s="859"/>
      <c r="L573" s="859"/>
      <c r="M573" s="859"/>
      <c r="N573" s="859"/>
      <c r="O573" s="859"/>
      <c r="P573" s="860"/>
      <c r="Q573" s="860"/>
      <c r="R573" s="860"/>
      <c r="S573" s="860"/>
      <c r="T573" s="860"/>
      <c r="U573" s="860"/>
      <c r="V573" s="860"/>
      <c r="W573" s="860"/>
      <c r="X573" s="860"/>
      <c r="Y573" s="860"/>
      <c r="Z573" s="860"/>
      <c r="AA573" s="860"/>
      <c r="AB573" s="860"/>
    </row>
    <row r="574">
      <c r="I574" s="856"/>
      <c r="J574" s="859"/>
      <c r="K574" s="859"/>
      <c r="L574" s="859"/>
      <c r="M574" s="859"/>
      <c r="N574" s="859"/>
      <c r="O574" s="859"/>
      <c r="P574" s="860"/>
      <c r="Q574" s="860"/>
      <c r="R574" s="860"/>
      <c r="S574" s="860"/>
      <c r="T574" s="860"/>
      <c r="U574" s="860"/>
      <c r="V574" s="860"/>
      <c r="W574" s="860"/>
      <c r="X574" s="860"/>
      <c r="Y574" s="860"/>
      <c r="Z574" s="860"/>
      <c r="AA574" s="860"/>
      <c r="AB574" s="860"/>
    </row>
    <row r="575">
      <c r="I575" s="856"/>
      <c r="J575" s="859"/>
      <c r="K575" s="859"/>
      <c r="L575" s="859"/>
      <c r="M575" s="859"/>
      <c r="N575" s="859"/>
      <c r="O575" s="859"/>
      <c r="P575" s="860"/>
      <c r="Q575" s="860"/>
      <c r="R575" s="860"/>
      <c r="S575" s="860"/>
      <c r="T575" s="860"/>
      <c r="U575" s="860"/>
      <c r="V575" s="860"/>
      <c r="W575" s="860"/>
      <c r="X575" s="860"/>
      <c r="Y575" s="860"/>
      <c r="Z575" s="860"/>
      <c r="AA575" s="860"/>
      <c r="AB575" s="860"/>
    </row>
    <row r="576">
      <c r="I576" s="856"/>
      <c r="J576" s="859"/>
      <c r="K576" s="859"/>
      <c r="L576" s="859"/>
      <c r="M576" s="859"/>
      <c r="N576" s="859"/>
      <c r="O576" s="859"/>
      <c r="P576" s="860"/>
      <c r="Q576" s="860"/>
      <c r="R576" s="860"/>
      <c r="S576" s="860"/>
      <c r="T576" s="860"/>
      <c r="U576" s="860"/>
      <c r="V576" s="860"/>
      <c r="W576" s="860"/>
      <c r="X576" s="860"/>
      <c r="Y576" s="860"/>
      <c r="Z576" s="860"/>
      <c r="AA576" s="860"/>
      <c r="AB576" s="860"/>
    </row>
    <row r="577">
      <c r="I577" s="856"/>
      <c r="J577" s="859"/>
      <c r="K577" s="859"/>
      <c r="L577" s="859"/>
      <c r="M577" s="859"/>
      <c r="N577" s="859"/>
      <c r="O577" s="859"/>
      <c r="P577" s="860"/>
      <c r="Q577" s="860"/>
      <c r="R577" s="860"/>
      <c r="S577" s="860"/>
      <c r="T577" s="860"/>
      <c r="U577" s="860"/>
      <c r="V577" s="860"/>
      <c r="W577" s="860"/>
      <c r="X577" s="860"/>
      <c r="Y577" s="860"/>
      <c r="Z577" s="860"/>
      <c r="AA577" s="860"/>
      <c r="AB577" s="860"/>
    </row>
    <row r="578">
      <c r="I578" s="856"/>
      <c r="J578" s="859"/>
      <c r="K578" s="859"/>
      <c r="L578" s="859"/>
      <c r="M578" s="859"/>
      <c r="N578" s="859"/>
      <c r="O578" s="859"/>
      <c r="P578" s="860"/>
      <c r="Q578" s="860"/>
      <c r="R578" s="860"/>
      <c r="S578" s="860"/>
      <c r="T578" s="860"/>
      <c r="U578" s="860"/>
      <c r="V578" s="860"/>
      <c r="W578" s="860"/>
      <c r="X578" s="860"/>
      <c r="Y578" s="860"/>
      <c r="Z578" s="860"/>
      <c r="AA578" s="860"/>
      <c r="AB578" s="860"/>
    </row>
    <row r="579">
      <c r="I579" s="856"/>
      <c r="J579" s="859"/>
      <c r="K579" s="859"/>
      <c r="L579" s="859"/>
      <c r="M579" s="859"/>
      <c r="N579" s="859"/>
      <c r="O579" s="859"/>
      <c r="P579" s="860"/>
      <c r="Q579" s="860"/>
      <c r="R579" s="860"/>
      <c r="S579" s="860"/>
      <c r="T579" s="860"/>
      <c r="U579" s="860"/>
      <c r="V579" s="860"/>
      <c r="W579" s="860"/>
      <c r="X579" s="860"/>
      <c r="Y579" s="860"/>
      <c r="Z579" s="860"/>
      <c r="AA579" s="860"/>
      <c r="AB579" s="860"/>
    </row>
    <row r="580">
      <c r="I580" s="856"/>
      <c r="J580" s="859"/>
      <c r="K580" s="859"/>
      <c r="L580" s="859"/>
      <c r="M580" s="859"/>
      <c r="N580" s="859"/>
      <c r="O580" s="859"/>
      <c r="P580" s="860"/>
      <c r="Q580" s="860"/>
      <c r="R580" s="860"/>
      <c r="S580" s="860"/>
      <c r="T580" s="860"/>
      <c r="U580" s="860"/>
      <c r="V580" s="860"/>
      <c r="W580" s="860"/>
      <c r="X580" s="860"/>
      <c r="Y580" s="860"/>
      <c r="Z580" s="860"/>
      <c r="AA580" s="860"/>
      <c r="AB580" s="860"/>
    </row>
    <row r="581">
      <c r="I581" s="856"/>
      <c r="J581" s="859"/>
      <c r="K581" s="859"/>
      <c r="L581" s="859"/>
      <c r="M581" s="859"/>
      <c r="N581" s="859"/>
      <c r="O581" s="859"/>
      <c r="P581" s="860"/>
      <c r="Q581" s="860"/>
      <c r="R581" s="860"/>
      <c r="S581" s="860"/>
      <c r="T581" s="860"/>
      <c r="U581" s="860"/>
      <c r="V581" s="860"/>
      <c r="W581" s="860"/>
      <c r="X581" s="860"/>
      <c r="Y581" s="860"/>
      <c r="Z581" s="860"/>
      <c r="AA581" s="860"/>
      <c r="AB581" s="860"/>
    </row>
    <row r="582">
      <c r="I582" s="856"/>
      <c r="J582" s="859"/>
      <c r="K582" s="859"/>
      <c r="L582" s="859"/>
      <c r="M582" s="859"/>
      <c r="N582" s="859"/>
      <c r="O582" s="859"/>
      <c r="P582" s="860"/>
      <c r="Q582" s="860"/>
      <c r="R582" s="860"/>
      <c r="S582" s="860"/>
      <c r="T582" s="860"/>
      <c r="U582" s="860"/>
      <c r="V582" s="860"/>
      <c r="W582" s="860"/>
      <c r="X582" s="860"/>
      <c r="Y582" s="860"/>
      <c r="Z582" s="860"/>
      <c r="AA582" s="860"/>
      <c r="AB582" s="860"/>
    </row>
    <row r="583">
      <c r="I583" s="856"/>
      <c r="J583" s="859"/>
      <c r="K583" s="859"/>
      <c r="L583" s="859"/>
      <c r="M583" s="859"/>
      <c r="N583" s="859"/>
      <c r="O583" s="859"/>
      <c r="P583" s="860"/>
      <c r="Q583" s="860"/>
      <c r="R583" s="860"/>
      <c r="S583" s="860"/>
      <c r="T583" s="860"/>
      <c r="U583" s="860"/>
      <c r="V583" s="860"/>
      <c r="W583" s="860"/>
      <c r="X583" s="860"/>
      <c r="Y583" s="860"/>
      <c r="Z583" s="860"/>
      <c r="AA583" s="860"/>
      <c r="AB583" s="860"/>
    </row>
    <row r="584">
      <c r="I584" s="856"/>
      <c r="J584" s="859"/>
      <c r="K584" s="859"/>
      <c r="L584" s="859"/>
      <c r="M584" s="859"/>
      <c r="N584" s="859"/>
      <c r="O584" s="859"/>
      <c r="P584" s="860"/>
      <c r="Q584" s="860"/>
      <c r="R584" s="860"/>
      <c r="S584" s="860"/>
      <c r="T584" s="860"/>
      <c r="U584" s="860"/>
      <c r="V584" s="860"/>
      <c r="W584" s="860"/>
      <c r="X584" s="860"/>
      <c r="Y584" s="860"/>
      <c r="Z584" s="860"/>
      <c r="AA584" s="860"/>
      <c r="AB584" s="860"/>
    </row>
    <row r="585">
      <c r="I585" s="856"/>
      <c r="J585" s="859"/>
      <c r="K585" s="859"/>
      <c r="L585" s="859"/>
      <c r="M585" s="859"/>
      <c r="N585" s="859"/>
      <c r="O585" s="859"/>
      <c r="P585" s="860"/>
      <c r="Q585" s="860"/>
      <c r="R585" s="860"/>
      <c r="S585" s="860"/>
      <c r="T585" s="860"/>
      <c r="U585" s="860"/>
      <c r="V585" s="860"/>
      <c r="W585" s="860"/>
      <c r="X585" s="860"/>
      <c r="Y585" s="860"/>
      <c r="Z585" s="860"/>
      <c r="AA585" s="860"/>
      <c r="AB585" s="860"/>
    </row>
    <row r="586">
      <c r="I586" s="856"/>
      <c r="J586" s="859"/>
      <c r="K586" s="859"/>
      <c r="L586" s="859"/>
      <c r="M586" s="859"/>
      <c r="N586" s="859"/>
      <c r="O586" s="859"/>
      <c r="P586" s="860"/>
      <c r="Q586" s="860"/>
      <c r="R586" s="860"/>
      <c r="S586" s="860"/>
      <c r="T586" s="860"/>
      <c r="U586" s="860"/>
      <c r="V586" s="860"/>
      <c r="W586" s="860"/>
      <c r="X586" s="860"/>
      <c r="Y586" s="860"/>
      <c r="Z586" s="860"/>
      <c r="AA586" s="860"/>
      <c r="AB586" s="860"/>
    </row>
    <row r="587">
      <c r="I587" s="856"/>
      <c r="J587" s="859"/>
      <c r="K587" s="859"/>
      <c r="L587" s="859"/>
      <c r="M587" s="859"/>
      <c r="N587" s="859"/>
      <c r="O587" s="859"/>
      <c r="P587" s="860"/>
      <c r="Q587" s="860"/>
      <c r="R587" s="860"/>
      <c r="S587" s="860"/>
      <c r="T587" s="860"/>
      <c r="U587" s="860"/>
      <c r="V587" s="860"/>
      <c r="W587" s="860"/>
      <c r="X587" s="860"/>
      <c r="Y587" s="860"/>
      <c r="Z587" s="860"/>
      <c r="AA587" s="860"/>
      <c r="AB587" s="860"/>
    </row>
    <row r="588">
      <c r="I588" s="856"/>
      <c r="J588" s="859"/>
      <c r="K588" s="859"/>
      <c r="L588" s="859"/>
      <c r="M588" s="859"/>
      <c r="N588" s="859"/>
      <c r="O588" s="859"/>
      <c r="P588" s="860"/>
      <c r="Q588" s="860"/>
      <c r="R588" s="860"/>
      <c r="S588" s="860"/>
      <c r="T588" s="860"/>
      <c r="U588" s="860"/>
      <c r="V588" s="860"/>
      <c r="W588" s="860"/>
      <c r="X588" s="860"/>
      <c r="Y588" s="860"/>
      <c r="Z588" s="860"/>
      <c r="AA588" s="860"/>
      <c r="AB588" s="860"/>
    </row>
    <row r="589">
      <c r="I589" s="856"/>
      <c r="J589" s="859"/>
      <c r="K589" s="859"/>
      <c r="L589" s="859"/>
      <c r="M589" s="859"/>
      <c r="N589" s="859"/>
      <c r="O589" s="859"/>
      <c r="P589" s="860"/>
      <c r="Q589" s="860"/>
      <c r="R589" s="860"/>
      <c r="S589" s="860"/>
      <c r="T589" s="860"/>
      <c r="U589" s="860"/>
      <c r="V589" s="860"/>
      <c r="W589" s="860"/>
      <c r="X589" s="860"/>
      <c r="Y589" s="860"/>
      <c r="Z589" s="860"/>
      <c r="AA589" s="860"/>
      <c r="AB589" s="860"/>
    </row>
    <row r="590">
      <c r="I590" s="856"/>
      <c r="J590" s="859"/>
      <c r="K590" s="859"/>
      <c r="L590" s="859"/>
      <c r="M590" s="859"/>
      <c r="N590" s="859"/>
      <c r="O590" s="859"/>
      <c r="P590" s="860"/>
      <c r="Q590" s="860"/>
      <c r="R590" s="860"/>
      <c r="S590" s="860"/>
      <c r="T590" s="860"/>
      <c r="U590" s="860"/>
      <c r="V590" s="860"/>
      <c r="W590" s="860"/>
      <c r="X590" s="860"/>
      <c r="Y590" s="860"/>
      <c r="Z590" s="860"/>
      <c r="AA590" s="860"/>
      <c r="AB590" s="860"/>
    </row>
    <row r="591">
      <c r="I591" s="856"/>
      <c r="J591" s="859"/>
      <c r="K591" s="859"/>
      <c r="L591" s="859"/>
      <c r="M591" s="859"/>
      <c r="N591" s="859"/>
      <c r="O591" s="859"/>
      <c r="P591" s="860"/>
      <c r="Q591" s="860"/>
      <c r="R591" s="860"/>
      <c r="S591" s="860"/>
      <c r="T591" s="860"/>
      <c r="U591" s="860"/>
      <c r="V591" s="860"/>
      <c r="W591" s="860"/>
      <c r="X591" s="860"/>
      <c r="Y591" s="860"/>
      <c r="Z591" s="860"/>
      <c r="AA591" s="860"/>
      <c r="AB591" s="860"/>
    </row>
    <row r="592">
      <c r="I592" s="856"/>
      <c r="J592" s="859"/>
      <c r="K592" s="859"/>
      <c r="L592" s="859"/>
      <c r="M592" s="859"/>
      <c r="N592" s="859"/>
      <c r="O592" s="859"/>
      <c r="P592" s="860"/>
      <c r="Q592" s="860"/>
      <c r="R592" s="860"/>
      <c r="S592" s="860"/>
      <c r="T592" s="860"/>
      <c r="U592" s="860"/>
      <c r="V592" s="860"/>
      <c r="W592" s="860"/>
      <c r="X592" s="860"/>
      <c r="Y592" s="860"/>
      <c r="Z592" s="860"/>
      <c r="AA592" s="860"/>
      <c r="AB592" s="860"/>
    </row>
    <row r="593">
      <c r="I593" s="856"/>
      <c r="J593" s="859"/>
      <c r="K593" s="859"/>
      <c r="L593" s="859"/>
      <c r="M593" s="859"/>
      <c r="N593" s="859"/>
      <c r="O593" s="859"/>
      <c r="P593" s="860"/>
      <c r="Q593" s="860"/>
      <c r="R593" s="860"/>
      <c r="S593" s="860"/>
      <c r="T593" s="860"/>
      <c r="U593" s="860"/>
      <c r="V593" s="860"/>
      <c r="W593" s="860"/>
      <c r="X593" s="860"/>
      <c r="Y593" s="860"/>
      <c r="Z593" s="860"/>
      <c r="AA593" s="860"/>
      <c r="AB593" s="860"/>
    </row>
    <row r="594">
      <c r="I594" s="856"/>
      <c r="J594" s="859"/>
      <c r="K594" s="859"/>
      <c r="L594" s="859"/>
      <c r="M594" s="859"/>
      <c r="N594" s="859"/>
      <c r="O594" s="859"/>
      <c r="P594" s="860"/>
      <c r="Q594" s="860"/>
      <c r="R594" s="860"/>
      <c r="S594" s="860"/>
      <c r="T594" s="860"/>
      <c r="U594" s="860"/>
      <c r="V594" s="860"/>
      <c r="W594" s="860"/>
      <c r="X594" s="860"/>
      <c r="Y594" s="860"/>
      <c r="Z594" s="860"/>
      <c r="AA594" s="860"/>
      <c r="AB594" s="860"/>
    </row>
    <row r="595">
      <c r="I595" s="856"/>
      <c r="J595" s="859"/>
      <c r="K595" s="859"/>
      <c r="L595" s="859"/>
      <c r="M595" s="859"/>
      <c r="N595" s="859"/>
      <c r="O595" s="859"/>
      <c r="P595" s="860"/>
      <c r="Q595" s="860"/>
      <c r="R595" s="860"/>
      <c r="S595" s="860"/>
      <c r="T595" s="860"/>
      <c r="U595" s="860"/>
      <c r="V595" s="860"/>
      <c r="W595" s="860"/>
      <c r="X595" s="860"/>
      <c r="Y595" s="860"/>
      <c r="Z595" s="860"/>
      <c r="AA595" s="860"/>
      <c r="AB595" s="860"/>
    </row>
    <row r="596">
      <c r="I596" s="856"/>
      <c r="J596" s="859"/>
      <c r="K596" s="859"/>
      <c r="L596" s="859"/>
      <c r="M596" s="859"/>
      <c r="N596" s="859"/>
      <c r="O596" s="859"/>
      <c r="P596" s="860"/>
      <c r="Q596" s="860"/>
      <c r="R596" s="860"/>
      <c r="S596" s="860"/>
      <c r="T596" s="860"/>
      <c r="U596" s="860"/>
      <c r="V596" s="860"/>
      <c r="W596" s="860"/>
      <c r="X596" s="860"/>
      <c r="Y596" s="860"/>
      <c r="Z596" s="860"/>
      <c r="AA596" s="860"/>
      <c r="AB596" s="860"/>
    </row>
    <row r="597">
      <c r="I597" s="856"/>
      <c r="J597" s="859"/>
      <c r="K597" s="859"/>
      <c r="L597" s="859"/>
      <c r="M597" s="859"/>
      <c r="N597" s="859"/>
      <c r="O597" s="859"/>
      <c r="P597" s="860"/>
      <c r="Q597" s="860"/>
      <c r="R597" s="860"/>
      <c r="S597" s="860"/>
      <c r="T597" s="860"/>
      <c r="U597" s="860"/>
      <c r="V597" s="860"/>
      <c r="W597" s="860"/>
      <c r="X597" s="860"/>
      <c r="Y597" s="860"/>
      <c r="Z597" s="860"/>
      <c r="AA597" s="860"/>
      <c r="AB597" s="860"/>
    </row>
    <row r="598">
      <c r="I598" s="856"/>
      <c r="J598" s="859"/>
      <c r="K598" s="859"/>
      <c r="L598" s="859"/>
      <c r="M598" s="859"/>
      <c r="N598" s="859"/>
      <c r="O598" s="859"/>
      <c r="P598" s="860"/>
      <c r="Q598" s="860"/>
      <c r="R598" s="860"/>
      <c r="S598" s="860"/>
      <c r="T598" s="860"/>
      <c r="U598" s="860"/>
      <c r="V598" s="860"/>
      <c r="W598" s="860"/>
      <c r="X598" s="860"/>
      <c r="Y598" s="860"/>
      <c r="Z598" s="860"/>
      <c r="AA598" s="860"/>
      <c r="AB598" s="860"/>
    </row>
    <row r="599">
      <c r="I599" s="856"/>
      <c r="J599" s="859"/>
      <c r="K599" s="859"/>
      <c r="L599" s="859"/>
      <c r="M599" s="859"/>
      <c r="N599" s="859"/>
      <c r="O599" s="859"/>
      <c r="P599" s="860"/>
      <c r="Q599" s="860"/>
      <c r="R599" s="860"/>
      <c r="S599" s="860"/>
      <c r="T599" s="860"/>
      <c r="U599" s="860"/>
      <c r="V599" s="860"/>
      <c r="W599" s="860"/>
      <c r="X599" s="860"/>
      <c r="Y599" s="860"/>
      <c r="Z599" s="860"/>
      <c r="AA599" s="860"/>
      <c r="AB599" s="860"/>
    </row>
    <row r="600">
      <c r="I600" s="856"/>
      <c r="J600" s="859"/>
      <c r="K600" s="859"/>
      <c r="L600" s="859"/>
      <c r="M600" s="859"/>
      <c r="N600" s="859"/>
      <c r="O600" s="859"/>
      <c r="P600" s="860"/>
      <c r="Q600" s="860"/>
      <c r="R600" s="860"/>
      <c r="S600" s="860"/>
      <c r="T600" s="860"/>
      <c r="U600" s="860"/>
      <c r="V600" s="860"/>
      <c r="W600" s="860"/>
      <c r="X600" s="860"/>
      <c r="Y600" s="860"/>
      <c r="Z600" s="860"/>
      <c r="AA600" s="860"/>
      <c r="AB600" s="860"/>
    </row>
    <row r="601">
      <c r="I601" s="856"/>
      <c r="J601" s="859"/>
      <c r="K601" s="859"/>
      <c r="L601" s="859"/>
      <c r="M601" s="859"/>
      <c r="N601" s="859"/>
      <c r="O601" s="859"/>
      <c r="P601" s="860"/>
      <c r="Q601" s="860"/>
      <c r="R601" s="860"/>
      <c r="S601" s="860"/>
      <c r="T601" s="860"/>
      <c r="U601" s="860"/>
      <c r="V601" s="860"/>
      <c r="W601" s="860"/>
      <c r="X601" s="860"/>
      <c r="Y601" s="860"/>
      <c r="Z601" s="860"/>
      <c r="AA601" s="860"/>
      <c r="AB601" s="860"/>
    </row>
    <row r="602">
      <c r="I602" s="856"/>
      <c r="J602" s="859"/>
      <c r="K602" s="859"/>
      <c r="L602" s="859"/>
      <c r="M602" s="859"/>
      <c r="N602" s="859"/>
      <c r="O602" s="859"/>
      <c r="P602" s="860"/>
      <c r="Q602" s="860"/>
      <c r="R602" s="860"/>
      <c r="S602" s="860"/>
      <c r="T602" s="860"/>
      <c r="U602" s="860"/>
      <c r="V602" s="860"/>
      <c r="W602" s="860"/>
      <c r="X602" s="860"/>
      <c r="Y602" s="860"/>
      <c r="Z602" s="860"/>
      <c r="AA602" s="860"/>
      <c r="AB602" s="860"/>
    </row>
    <row r="603">
      <c r="I603" s="856"/>
      <c r="J603" s="859"/>
      <c r="K603" s="859"/>
      <c r="L603" s="859"/>
      <c r="M603" s="859"/>
      <c r="N603" s="859"/>
      <c r="O603" s="859"/>
      <c r="P603" s="860"/>
      <c r="Q603" s="860"/>
      <c r="R603" s="860"/>
      <c r="S603" s="860"/>
      <c r="T603" s="860"/>
      <c r="U603" s="860"/>
      <c r="V603" s="860"/>
      <c r="W603" s="860"/>
      <c r="X603" s="860"/>
      <c r="Y603" s="860"/>
      <c r="Z603" s="860"/>
      <c r="AA603" s="860"/>
      <c r="AB603" s="860"/>
    </row>
    <row r="604">
      <c r="I604" s="856"/>
      <c r="J604" s="859"/>
      <c r="K604" s="859"/>
      <c r="L604" s="859"/>
      <c r="M604" s="859"/>
      <c r="N604" s="859"/>
      <c r="O604" s="859"/>
      <c r="P604" s="860"/>
      <c r="Q604" s="860"/>
      <c r="R604" s="860"/>
      <c r="S604" s="860"/>
      <c r="T604" s="860"/>
      <c r="U604" s="860"/>
      <c r="V604" s="860"/>
      <c r="W604" s="860"/>
      <c r="X604" s="860"/>
      <c r="Y604" s="860"/>
      <c r="Z604" s="860"/>
      <c r="AA604" s="860"/>
      <c r="AB604" s="860"/>
    </row>
    <row r="605">
      <c r="I605" s="856"/>
      <c r="J605" s="859"/>
      <c r="K605" s="859"/>
      <c r="L605" s="859"/>
      <c r="M605" s="859"/>
      <c r="N605" s="859"/>
      <c r="O605" s="859"/>
      <c r="P605" s="860"/>
      <c r="Q605" s="860"/>
      <c r="R605" s="860"/>
      <c r="S605" s="860"/>
      <c r="T605" s="860"/>
      <c r="U605" s="860"/>
      <c r="V605" s="860"/>
      <c r="W605" s="860"/>
      <c r="X605" s="860"/>
      <c r="Y605" s="860"/>
      <c r="Z605" s="860"/>
      <c r="AA605" s="860"/>
      <c r="AB605" s="860"/>
    </row>
    <row r="606">
      <c r="I606" s="856"/>
      <c r="J606" s="859"/>
      <c r="K606" s="859"/>
      <c r="L606" s="859"/>
      <c r="M606" s="859"/>
      <c r="N606" s="859"/>
      <c r="O606" s="859"/>
      <c r="P606" s="860"/>
      <c r="Q606" s="860"/>
      <c r="R606" s="860"/>
      <c r="S606" s="860"/>
      <c r="T606" s="860"/>
      <c r="U606" s="860"/>
      <c r="V606" s="860"/>
      <c r="W606" s="860"/>
      <c r="X606" s="860"/>
      <c r="Y606" s="860"/>
      <c r="Z606" s="860"/>
      <c r="AA606" s="860"/>
      <c r="AB606" s="860"/>
    </row>
    <row r="607">
      <c r="I607" s="856"/>
      <c r="J607" s="859"/>
      <c r="K607" s="859"/>
      <c r="L607" s="859"/>
      <c r="M607" s="859"/>
      <c r="N607" s="859"/>
      <c r="O607" s="859"/>
      <c r="P607" s="860"/>
      <c r="Q607" s="860"/>
      <c r="R607" s="860"/>
      <c r="S607" s="860"/>
      <c r="T607" s="860"/>
      <c r="U607" s="860"/>
      <c r="V607" s="860"/>
      <c r="W607" s="860"/>
      <c r="X607" s="860"/>
      <c r="Y607" s="860"/>
      <c r="Z607" s="860"/>
      <c r="AA607" s="860"/>
      <c r="AB607" s="860"/>
    </row>
    <row r="608">
      <c r="I608" s="856"/>
      <c r="J608" s="859"/>
      <c r="K608" s="859"/>
      <c r="L608" s="859"/>
      <c r="M608" s="859"/>
      <c r="N608" s="859"/>
      <c r="O608" s="859"/>
      <c r="P608" s="860"/>
      <c r="Q608" s="860"/>
      <c r="R608" s="860"/>
      <c r="S608" s="860"/>
      <c r="T608" s="860"/>
      <c r="U608" s="860"/>
      <c r="V608" s="860"/>
      <c r="W608" s="860"/>
      <c r="X608" s="860"/>
      <c r="Y608" s="860"/>
      <c r="Z608" s="860"/>
      <c r="AA608" s="860"/>
      <c r="AB608" s="860"/>
    </row>
    <row r="609">
      <c r="I609" s="856"/>
      <c r="J609" s="859"/>
      <c r="K609" s="859"/>
      <c r="L609" s="859"/>
      <c r="M609" s="859"/>
      <c r="N609" s="859"/>
      <c r="O609" s="859"/>
      <c r="P609" s="860"/>
      <c r="Q609" s="860"/>
      <c r="R609" s="860"/>
      <c r="S609" s="860"/>
      <c r="T609" s="860"/>
      <c r="U609" s="860"/>
      <c r="V609" s="860"/>
      <c r="W609" s="860"/>
      <c r="X609" s="860"/>
      <c r="Y609" s="860"/>
      <c r="Z609" s="860"/>
      <c r="AA609" s="860"/>
      <c r="AB609" s="860"/>
    </row>
    <row r="610">
      <c r="I610" s="856"/>
      <c r="J610" s="859"/>
      <c r="K610" s="859"/>
      <c r="L610" s="859"/>
      <c r="M610" s="859"/>
      <c r="N610" s="859"/>
      <c r="O610" s="859"/>
      <c r="P610" s="860"/>
      <c r="Q610" s="860"/>
      <c r="R610" s="860"/>
      <c r="S610" s="860"/>
      <c r="T610" s="860"/>
      <c r="U610" s="860"/>
      <c r="V610" s="860"/>
      <c r="W610" s="860"/>
      <c r="X610" s="860"/>
      <c r="Y610" s="860"/>
      <c r="Z610" s="860"/>
      <c r="AA610" s="860"/>
      <c r="AB610" s="860"/>
    </row>
    <row r="611">
      <c r="I611" s="856"/>
      <c r="J611" s="859"/>
      <c r="K611" s="859"/>
      <c r="L611" s="859"/>
      <c r="M611" s="859"/>
      <c r="N611" s="859"/>
      <c r="O611" s="859"/>
      <c r="P611" s="860"/>
      <c r="Q611" s="860"/>
      <c r="R611" s="860"/>
      <c r="S611" s="860"/>
      <c r="T611" s="860"/>
      <c r="U611" s="860"/>
      <c r="V611" s="860"/>
      <c r="W611" s="860"/>
      <c r="X611" s="860"/>
      <c r="Y611" s="860"/>
      <c r="Z611" s="860"/>
      <c r="AA611" s="860"/>
      <c r="AB611" s="860"/>
    </row>
    <row r="612">
      <c r="I612" s="856"/>
      <c r="J612" s="859"/>
      <c r="K612" s="859"/>
      <c r="L612" s="859"/>
      <c r="M612" s="859"/>
      <c r="N612" s="859"/>
      <c r="O612" s="859"/>
      <c r="P612" s="860"/>
      <c r="Q612" s="860"/>
      <c r="R612" s="860"/>
      <c r="S612" s="860"/>
      <c r="T612" s="860"/>
      <c r="U612" s="860"/>
      <c r="V612" s="860"/>
      <c r="W612" s="860"/>
      <c r="X612" s="860"/>
      <c r="Y612" s="860"/>
      <c r="Z612" s="860"/>
      <c r="AA612" s="860"/>
      <c r="AB612" s="860"/>
    </row>
    <row r="613">
      <c r="I613" s="856"/>
      <c r="J613" s="859"/>
      <c r="K613" s="859"/>
      <c r="L613" s="859"/>
      <c r="M613" s="859"/>
      <c r="N613" s="859"/>
      <c r="O613" s="859"/>
      <c r="P613" s="860"/>
      <c r="Q613" s="860"/>
      <c r="R613" s="860"/>
      <c r="S613" s="860"/>
      <c r="T613" s="860"/>
      <c r="U613" s="860"/>
      <c r="V613" s="860"/>
      <c r="W613" s="860"/>
      <c r="X613" s="860"/>
      <c r="Y613" s="860"/>
      <c r="Z613" s="860"/>
      <c r="AA613" s="860"/>
      <c r="AB613" s="860"/>
    </row>
    <row r="614">
      <c r="I614" s="856"/>
      <c r="J614" s="859"/>
      <c r="K614" s="859"/>
      <c r="L614" s="859"/>
      <c r="M614" s="859"/>
      <c r="N614" s="859"/>
      <c r="O614" s="859"/>
      <c r="P614" s="860"/>
      <c r="Q614" s="860"/>
      <c r="R614" s="860"/>
      <c r="S614" s="860"/>
      <c r="T614" s="860"/>
      <c r="U614" s="860"/>
      <c r="V614" s="860"/>
      <c r="W614" s="860"/>
      <c r="X614" s="860"/>
      <c r="Y614" s="860"/>
      <c r="Z614" s="860"/>
      <c r="AA614" s="860"/>
      <c r="AB614" s="860"/>
    </row>
    <row r="615">
      <c r="I615" s="856"/>
      <c r="J615" s="859"/>
      <c r="K615" s="859"/>
      <c r="L615" s="859"/>
      <c r="M615" s="859"/>
      <c r="N615" s="859"/>
      <c r="O615" s="859"/>
      <c r="P615" s="860"/>
      <c r="Q615" s="860"/>
      <c r="R615" s="860"/>
      <c r="S615" s="860"/>
      <c r="T615" s="860"/>
      <c r="U615" s="860"/>
      <c r="V615" s="860"/>
      <c r="W615" s="860"/>
      <c r="X615" s="860"/>
      <c r="Y615" s="860"/>
      <c r="Z615" s="860"/>
      <c r="AA615" s="860"/>
      <c r="AB615" s="860"/>
    </row>
    <row r="616">
      <c r="I616" s="856"/>
      <c r="J616" s="859"/>
      <c r="K616" s="859"/>
      <c r="L616" s="859"/>
      <c r="M616" s="859"/>
      <c r="N616" s="859"/>
      <c r="O616" s="859"/>
      <c r="P616" s="860"/>
      <c r="Q616" s="860"/>
      <c r="R616" s="860"/>
      <c r="S616" s="860"/>
      <c r="T616" s="860"/>
      <c r="U616" s="860"/>
      <c r="V616" s="860"/>
      <c r="W616" s="860"/>
      <c r="X616" s="860"/>
      <c r="Y616" s="860"/>
      <c r="Z616" s="860"/>
      <c r="AA616" s="860"/>
      <c r="AB616" s="860"/>
    </row>
    <row r="617">
      <c r="I617" s="856"/>
      <c r="J617" s="859"/>
      <c r="K617" s="859"/>
      <c r="L617" s="859"/>
      <c r="M617" s="859"/>
      <c r="N617" s="859"/>
      <c r="O617" s="859"/>
      <c r="P617" s="860"/>
      <c r="Q617" s="860"/>
      <c r="R617" s="860"/>
      <c r="S617" s="860"/>
      <c r="T617" s="860"/>
      <c r="U617" s="860"/>
      <c r="V617" s="860"/>
      <c r="W617" s="860"/>
      <c r="X617" s="860"/>
      <c r="Y617" s="860"/>
      <c r="Z617" s="860"/>
      <c r="AA617" s="860"/>
      <c r="AB617" s="860"/>
    </row>
    <row r="618">
      <c r="I618" s="856"/>
      <c r="J618" s="859"/>
      <c r="K618" s="859"/>
      <c r="L618" s="859"/>
      <c r="M618" s="859"/>
      <c r="N618" s="859"/>
      <c r="O618" s="859"/>
      <c r="P618" s="860"/>
      <c r="Q618" s="860"/>
      <c r="R618" s="860"/>
      <c r="S618" s="860"/>
      <c r="T618" s="860"/>
      <c r="U618" s="860"/>
      <c r="V618" s="860"/>
      <c r="W618" s="860"/>
      <c r="X618" s="860"/>
      <c r="Y618" s="860"/>
      <c r="Z618" s="860"/>
      <c r="AA618" s="860"/>
      <c r="AB618" s="860"/>
    </row>
    <row r="619">
      <c r="I619" s="856"/>
      <c r="J619" s="859"/>
      <c r="K619" s="859"/>
      <c r="L619" s="859"/>
      <c r="M619" s="859"/>
      <c r="N619" s="859"/>
      <c r="O619" s="859"/>
      <c r="P619" s="860"/>
      <c r="Q619" s="860"/>
      <c r="R619" s="860"/>
      <c r="S619" s="860"/>
      <c r="T619" s="860"/>
      <c r="U619" s="860"/>
      <c r="V619" s="860"/>
      <c r="W619" s="860"/>
      <c r="X619" s="860"/>
      <c r="Y619" s="860"/>
      <c r="Z619" s="860"/>
      <c r="AA619" s="860"/>
      <c r="AB619" s="860"/>
    </row>
    <row r="620">
      <c r="I620" s="856"/>
      <c r="J620" s="859"/>
      <c r="K620" s="859"/>
      <c r="L620" s="859"/>
      <c r="M620" s="859"/>
      <c r="N620" s="859"/>
      <c r="O620" s="859"/>
      <c r="P620" s="860"/>
      <c r="Q620" s="860"/>
      <c r="R620" s="860"/>
      <c r="S620" s="860"/>
      <c r="T620" s="860"/>
      <c r="U620" s="860"/>
      <c r="V620" s="860"/>
      <c r="W620" s="860"/>
      <c r="X620" s="860"/>
      <c r="Y620" s="860"/>
      <c r="Z620" s="860"/>
      <c r="AA620" s="860"/>
      <c r="AB620" s="860"/>
    </row>
    <row r="621">
      <c r="I621" s="856"/>
      <c r="J621" s="859"/>
      <c r="K621" s="859"/>
      <c r="L621" s="859"/>
      <c r="M621" s="859"/>
      <c r="N621" s="859"/>
      <c r="O621" s="859"/>
      <c r="P621" s="860"/>
      <c r="Q621" s="860"/>
      <c r="R621" s="860"/>
      <c r="S621" s="860"/>
      <c r="T621" s="860"/>
      <c r="U621" s="860"/>
      <c r="V621" s="860"/>
      <c r="W621" s="860"/>
      <c r="X621" s="860"/>
      <c r="Y621" s="860"/>
      <c r="Z621" s="860"/>
      <c r="AA621" s="860"/>
      <c r="AB621" s="860"/>
    </row>
    <row r="622">
      <c r="I622" s="856"/>
      <c r="J622" s="859"/>
      <c r="K622" s="859"/>
      <c r="L622" s="859"/>
      <c r="M622" s="859"/>
      <c r="N622" s="859"/>
      <c r="O622" s="859"/>
      <c r="P622" s="860"/>
      <c r="Q622" s="860"/>
      <c r="R622" s="860"/>
      <c r="S622" s="860"/>
      <c r="T622" s="860"/>
      <c r="U622" s="860"/>
      <c r="V622" s="860"/>
      <c r="W622" s="860"/>
      <c r="X622" s="860"/>
      <c r="Y622" s="860"/>
      <c r="Z622" s="860"/>
      <c r="AA622" s="860"/>
      <c r="AB622" s="860"/>
    </row>
    <row r="623">
      <c r="I623" s="856"/>
      <c r="J623" s="859"/>
      <c r="K623" s="859"/>
      <c r="L623" s="859"/>
      <c r="M623" s="859"/>
      <c r="N623" s="859"/>
      <c r="O623" s="859"/>
      <c r="P623" s="860"/>
      <c r="Q623" s="860"/>
      <c r="R623" s="860"/>
      <c r="S623" s="860"/>
      <c r="T623" s="860"/>
      <c r="U623" s="860"/>
      <c r="V623" s="860"/>
      <c r="W623" s="860"/>
      <c r="X623" s="860"/>
      <c r="Y623" s="860"/>
      <c r="Z623" s="860"/>
      <c r="AA623" s="860"/>
      <c r="AB623" s="860"/>
    </row>
    <row r="624">
      <c r="I624" s="856"/>
      <c r="J624" s="859"/>
      <c r="K624" s="859"/>
      <c r="L624" s="859"/>
      <c r="M624" s="859"/>
      <c r="N624" s="859"/>
      <c r="O624" s="859"/>
      <c r="P624" s="860"/>
      <c r="Q624" s="860"/>
      <c r="R624" s="860"/>
      <c r="S624" s="860"/>
      <c r="T624" s="860"/>
      <c r="U624" s="860"/>
      <c r="V624" s="860"/>
      <c r="W624" s="860"/>
      <c r="X624" s="860"/>
      <c r="Y624" s="860"/>
      <c r="Z624" s="860"/>
      <c r="AA624" s="860"/>
      <c r="AB624" s="860"/>
    </row>
    <row r="625">
      <c r="I625" s="856"/>
      <c r="J625" s="859"/>
      <c r="K625" s="859"/>
      <c r="L625" s="859"/>
      <c r="M625" s="859"/>
      <c r="N625" s="859"/>
      <c r="O625" s="859"/>
      <c r="P625" s="860"/>
      <c r="Q625" s="860"/>
      <c r="R625" s="860"/>
      <c r="S625" s="860"/>
      <c r="T625" s="860"/>
      <c r="U625" s="860"/>
      <c r="V625" s="860"/>
      <c r="W625" s="860"/>
      <c r="X625" s="860"/>
      <c r="Y625" s="860"/>
      <c r="Z625" s="860"/>
      <c r="AA625" s="860"/>
      <c r="AB625" s="860"/>
    </row>
    <row r="626">
      <c r="I626" s="856"/>
      <c r="J626" s="859"/>
      <c r="K626" s="859"/>
      <c r="L626" s="859"/>
      <c r="M626" s="859"/>
      <c r="N626" s="859"/>
      <c r="O626" s="859"/>
      <c r="P626" s="860"/>
      <c r="Q626" s="860"/>
      <c r="R626" s="860"/>
      <c r="S626" s="860"/>
      <c r="T626" s="860"/>
      <c r="U626" s="860"/>
      <c r="V626" s="860"/>
      <c r="W626" s="860"/>
      <c r="X626" s="860"/>
      <c r="Y626" s="860"/>
      <c r="Z626" s="860"/>
      <c r="AA626" s="860"/>
      <c r="AB626" s="860"/>
    </row>
    <row r="627">
      <c r="I627" s="856"/>
      <c r="J627" s="859"/>
      <c r="K627" s="859"/>
      <c r="L627" s="859"/>
      <c r="M627" s="859"/>
      <c r="N627" s="859"/>
      <c r="O627" s="859"/>
      <c r="P627" s="860"/>
      <c r="Q627" s="860"/>
      <c r="R627" s="860"/>
      <c r="S627" s="860"/>
      <c r="T627" s="860"/>
      <c r="U627" s="860"/>
      <c r="V627" s="860"/>
      <c r="W627" s="860"/>
      <c r="X627" s="860"/>
      <c r="Y627" s="860"/>
      <c r="Z627" s="860"/>
      <c r="AA627" s="860"/>
      <c r="AB627" s="860"/>
    </row>
    <row r="628">
      <c r="I628" s="856"/>
      <c r="J628" s="859"/>
      <c r="K628" s="859"/>
      <c r="L628" s="859"/>
      <c r="M628" s="859"/>
      <c r="N628" s="859"/>
      <c r="O628" s="859"/>
      <c r="P628" s="860"/>
      <c r="Q628" s="860"/>
      <c r="R628" s="860"/>
      <c r="S628" s="860"/>
      <c r="T628" s="860"/>
      <c r="U628" s="860"/>
      <c r="V628" s="860"/>
      <c r="W628" s="860"/>
      <c r="X628" s="860"/>
      <c r="Y628" s="860"/>
      <c r="Z628" s="860"/>
      <c r="AA628" s="860"/>
      <c r="AB628" s="860"/>
    </row>
    <row r="629">
      <c r="I629" s="856"/>
      <c r="J629" s="859"/>
      <c r="K629" s="859"/>
      <c r="L629" s="859"/>
      <c r="M629" s="859"/>
      <c r="N629" s="859"/>
      <c r="O629" s="859"/>
      <c r="P629" s="860"/>
      <c r="Q629" s="860"/>
      <c r="R629" s="860"/>
      <c r="S629" s="860"/>
      <c r="T629" s="860"/>
      <c r="U629" s="860"/>
      <c r="V629" s="860"/>
      <c r="W629" s="860"/>
      <c r="X629" s="860"/>
      <c r="Y629" s="860"/>
      <c r="Z629" s="860"/>
      <c r="AA629" s="860"/>
      <c r="AB629" s="860"/>
    </row>
    <row r="630">
      <c r="I630" s="856"/>
      <c r="J630" s="859"/>
      <c r="K630" s="859"/>
      <c r="L630" s="859"/>
      <c r="M630" s="859"/>
      <c r="N630" s="859"/>
      <c r="O630" s="859"/>
      <c r="P630" s="860"/>
      <c r="Q630" s="860"/>
      <c r="R630" s="860"/>
      <c r="S630" s="860"/>
      <c r="T630" s="860"/>
      <c r="U630" s="860"/>
      <c r="V630" s="860"/>
      <c r="W630" s="860"/>
      <c r="X630" s="860"/>
      <c r="Y630" s="860"/>
      <c r="Z630" s="860"/>
      <c r="AA630" s="860"/>
      <c r="AB630" s="860"/>
    </row>
    <row r="631">
      <c r="I631" s="856"/>
      <c r="J631" s="859"/>
      <c r="K631" s="859"/>
      <c r="L631" s="859"/>
      <c r="M631" s="859"/>
      <c r="N631" s="859"/>
      <c r="O631" s="859"/>
      <c r="P631" s="860"/>
      <c r="Q631" s="860"/>
      <c r="R631" s="860"/>
      <c r="S631" s="860"/>
      <c r="T631" s="860"/>
      <c r="U631" s="860"/>
      <c r="V631" s="860"/>
      <c r="W631" s="860"/>
      <c r="X631" s="860"/>
      <c r="Y631" s="860"/>
      <c r="Z631" s="860"/>
      <c r="AA631" s="860"/>
      <c r="AB631" s="860"/>
    </row>
    <row r="632">
      <c r="I632" s="856"/>
      <c r="J632" s="859"/>
      <c r="K632" s="859"/>
      <c r="L632" s="859"/>
      <c r="M632" s="859"/>
      <c r="N632" s="859"/>
      <c r="O632" s="859"/>
      <c r="P632" s="860"/>
      <c r="Q632" s="860"/>
      <c r="R632" s="860"/>
      <c r="S632" s="860"/>
      <c r="T632" s="860"/>
      <c r="U632" s="860"/>
      <c r="V632" s="860"/>
      <c r="W632" s="860"/>
      <c r="X632" s="860"/>
      <c r="Y632" s="860"/>
      <c r="Z632" s="860"/>
      <c r="AA632" s="860"/>
      <c r="AB632" s="860"/>
    </row>
    <row r="633">
      <c r="I633" s="856"/>
      <c r="J633" s="859"/>
      <c r="K633" s="859"/>
      <c r="L633" s="859"/>
      <c r="M633" s="859"/>
      <c r="N633" s="859"/>
      <c r="O633" s="859"/>
      <c r="P633" s="860"/>
      <c r="Q633" s="860"/>
      <c r="R633" s="860"/>
      <c r="S633" s="860"/>
      <c r="T633" s="860"/>
      <c r="U633" s="860"/>
      <c r="V633" s="860"/>
      <c r="W633" s="860"/>
      <c r="X633" s="860"/>
      <c r="Y633" s="860"/>
      <c r="Z633" s="860"/>
      <c r="AA633" s="860"/>
      <c r="AB633" s="860"/>
    </row>
    <row r="634">
      <c r="I634" s="856"/>
      <c r="J634" s="859"/>
      <c r="K634" s="859"/>
      <c r="L634" s="859"/>
      <c r="M634" s="859"/>
      <c r="N634" s="859"/>
      <c r="O634" s="859"/>
      <c r="P634" s="860"/>
      <c r="Q634" s="860"/>
      <c r="R634" s="860"/>
      <c r="S634" s="860"/>
      <c r="T634" s="860"/>
      <c r="U634" s="860"/>
      <c r="V634" s="860"/>
      <c r="W634" s="860"/>
      <c r="X634" s="860"/>
      <c r="Y634" s="860"/>
      <c r="Z634" s="860"/>
      <c r="AA634" s="860"/>
      <c r="AB634" s="860"/>
    </row>
    <row r="635">
      <c r="I635" s="856"/>
      <c r="J635" s="859"/>
      <c r="K635" s="859"/>
      <c r="L635" s="859"/>
      <c r="M635" s="859"/>
      <c r="N635" s="859"/>
      <c r="O635" s="859"/>
      <c r="P635" s="860"/>
      <c r="Q635" s="860"/>
      <c r="R635" s="860"/>
      <c r="S635" s="860"/>
      <c r="T635" s="860"/>
      <c r="U635" s="860"/>
      <c r="V635" s="860"/>
      <c r="W635" s="860"/>
      <c r="X635" s="860"/>
      <c r="Y635" s="860"/>
      <c r="Z635" s="860"/>
      <c r="AA635" s="860"/>
      <c r="AB635" s="860"/>
    </row>
    <row r="636">
      <c r="I636" s="856"/>
      <c r="J636" s="859"/>
      <c r="K636" s="859"/>
      <c r="L636" s="859"/>
      <c r="M636" s="859"/>
      <c r="N636" s="859"/>
      <c r="O636" s="859"/>
      <c r="P636" s="860"/>
      <c r="Q636" s="860"/>
      <c r="R636" s="860"/>
      <c r="S636" s="860"/>
      <c r="T636" s="860"/>
      <c r="U636" s="860"/>
      <c r="V636" s="860"/>
      <c r="W636" s="860"/>
      <c r="X636" s="860"/>
      <c r="Y636" s="860"/>
      <c r="Z636" s="860"/>
      <c r="AA636" s="860"/>
      <c r="AB636" s="860"/>
    </row>
    <row r="637">
      <c r="I637" s="856"/>
      <c r="J637" s="859"/>
      <c r="K637" s="859"/>
      <c r="L637" s="859"/>
      <c r="M637" s="859"/>
      <c r="N637" s="859"/>
      <c r="O637" s="859"/>
      <c r="P637" s="860"/>
      <c r="Q637" s="860"/>
      <c r="R637" s="860"/>
      <c r="S637" s="860"/>
      <c r="T637" s="860"/>
      <c r="U637" s="860"/>
      <c r="V637" s="860"/>
      <c r="W637" s="860"/>
      <c r="X637" s="860"/>
      <c r="Y637" s="860"/>
      <c r="Z637" s="860"/>
      <c r="AA637" s="860"/>
      <c r="AB637" s="860"/>
    </row>
    <row r="638">
      <c r="I638" s="856"/>
      <c r="J638" s="859"/>
      <c r="K638" s="859"/>
      <c r="L638" s="859"/>
      <c r="M638" s="859"/>
      <c r="N638" s="859"/>
      <c r="O638" s="859"/>
      <c r="P638" s="860"/>
      <c r="Q638" s="860"/>
      <c r="R638" s="860"/>
      <c r="S638" s="860"/>
      <c r="T638" s="860"/>
      <c r="U638" s="860"/>
      <c r="V638" s="860"/>
      <c r="W638" s="860"/>
      <c r="X638" s="860"/>
      <c r="Y638" s="860"/>
      <c r="Z638" s="860"/>
      <c r="AA638" s="860"/>
      <c r="AB638" s="860"/>
    </row>
    <row r="639">
      <c r="I639" s="856"/>
      <c r="J639" s="859"/>
      <c r="K639" s="859"/>
      <c r="L639" s="859"/>
      <c r="M639" s="859"/>
      <c r="N639" s="859"/>
      <c r="O639" s="859"/>
      <c r="P639" s="860"/>
      <c r="Q639" s="860"/>
      <c r="R639" s="860"/>
      <c r="S639" s="860"/>
      <c r="T639" s="860"/>
      <c r="U639" s="860"/>
      <c r="V639" s="860"/>
      <c r="W639" s="860"/>
      <c r="X639" s="860"/>
      <c r="Y639" s="860"/>
      <c r="Z639" s="860"/>
      <c r="AA639" s="860"/>
      <c r="AB639" s="860"/>
    </row>
    <row r="640">
      <c r="I640" s="856"/>
      <c r="J640" s="859"/>
      <c r="K640" s="859"/>
      <c r="L640" s="859"/>
      <c r="M640" s="859"/>
      <c r="N640" s="859"/>
      <c r="O640" s="859"/>
      <c r="P640" s="860"/>
      <c r="Q640" s="860"/>
      <c r="R640" s="860"/>
      <c r="S640" s="860"/>
      <c r="T640" s="860"/>
      <c r="U640" s="860"/>
      <c r="V640" s="860"/>
      <c r="W640" s="860"/>
      <c r="X640" s="860"/>
      <c r="Y640" s="860"/>
      <c r="Z640" s="860"/>
      <c r="AA640" s="860"/>
      <c r="AB640" s="860"/>
    </row>
    <row r="641">
      <c r="I641" s="856"/>
      <c r="J641" s="859"/>
      <c r="K641" s="859"/>
      <c r="L641" s="859"/>
      <c r="M641" s="859"/>
      <c r="N641" s="859"/>
      <c r="O641" s="859"/>
      <c r="P641" s="860"/>
      <c r="Q641" s="860"/>
      <c r="R641" s="860"/>
      <c r="S641" s="860"/>
      <c r="T641" s="860"/>
      <c r="U641" s="860"/>
      <c r="V641" s="860"/>
      <c r="W641" s="860"/>
      <c r="X641" s="860"/>
      <c r="Y641" s="860"/>
      <c r="Z641" s="860"/>
      <c r="AA641" s="860"/>
      <c r="AB641" s="860"/>
    </row>
    <row r="642">
      <c r="I642" s="856"/>
      <c r="J642" s="859"/>
      <c r="K642" s="859"/>
      <c r="L642" s="859"/>
      <c r="M642" s="859"/>
      <c r="N642" s="859"/>
      <c r="O642" s="859"/>
      <c r="P642" s="860"/>
      <c r="Q642" s="860"/>
      <c r="R642" s="860"/>
      <c r="S642" s="860"/>
      <c r="T642" s="860"/>
      <c r="U642" s="860"/>
      <c r="V642" s="860"/>
      <c r="W642" s="860"/>
      <c r="X642" s="860"/>
      <c r="Y642" s="860"/>
      <c r="Z642" s="860"/>
      <c r="AA642" s="860"/>
      <c r="AB642" s="860"/>
    </row>
    <row r="643">
      <c r="I643" s="856"/>
      <c r="J643" s="859"/>
      <c r="K643" s="859"/>
      <c r="L643" s="859"/>
      <c r="M643" s="859"/>
      <c r="N643" s="859"/>
      <c r="O643" s="859"/>
      <c r="P643" s="860"/>
      <c r="Q643" s="860"/>
      <c r="R643" s="860"/>
      <c r="S643" s="860"/>
      <c r="T643" s="860"/>
      <c r="U643" s="860"/>
      <c r="V643" s="860"/>
      <c r="W643" s="860"/>
      <c r="X643" s="860"/>
      <c r="Y643" s="860"/>
      <c r="Z643" s="860"/>
      <c r="AA643" s="860"/>
      <c r="AB643" s="860"/>
    </row>
    <row r="644">
      <c r="I644" s="856"/>
      <c r="J644" s="859"/>
      <c r="K644" s="859"/>
      <c r="L644" s="859"/>
      <c r="M644" s="859"/>
      <c r="N644" s="859"/>
      <c r="O644" s="859"/>
      <c r="P644" s="860"/>
      <c r="Q644" s="860"/>
      <c r="R644" s="860"/>
      <c r="S644" s="860"/>
      <c r="T644" s="860"/>
      <c r="U644" s="860"/>
      <c r="V644" s="860"/>
      <c r="W644" s="860"/>
      <c r="X644" s="860"/>
      <c r="Y644" s="860"/>
      <c r="Z644" s="860"/>
      <c r="AA644" s="860"/>
      <c r="AB644" s="860"/>
    </row>
    <row r="645">
      <c r="I645" s="856"/>
      <c r="J645" s="859"/>
      <c r="K645" s="859"/>
      <c r="L645" s="859"/>
      <c r="M645" s="859"/>
      <c r="N645" s="859"/>
      <c r="O645" s="859"/>
      <c r="P645" s="860"/>
      <c r="Q645" s="860"/>
      <c r="R645" s="860"/>
      <c r="S645" s="860"/>
      <c r="T645" s="860"/>
      <c r="U645" s="860"/>
      <c r="V645" s="860"/>
      <c r="W645" s="860"/>
      <c r="X645" s="860"/>
      <c r="Y645" s="860"/>
      <c r="Z645" s="860"/>
      <c r="AA645" s="860"/>
      <c r="AB645" s="860"/>
    </row>
    <row r="646">
      <c r="I646" s="856"/>
      <c r="J646" s="859"/>
      <c r="K646" s="859"/>
      <c r="L646" s="859"/>
      <c r="M646" s="859"/>
      <c r="N646" s="859"/>
      <c r="O646" s="859"/>
      <c r="P646" s="860"/>
      <c r="Q646" s="860"/>
      <c r="R646" s="860"/>
      <c r="S646" s="860"/>
      <c r="T646" s="860"/>
      <c r="U646" s="860"/>
      <c r="V646" s="860"/>
      <c r="W646" s="860"/>
      <c r="X646" s="860"/>
      <c r="Y646" s="860"/>
      <c r="Z646" s="860"/>
      <c r="AA646" s="860"/>
      <c r="AB646" s="860"/>
    </row>
    <row r="647">
      <c r="I647" s="856"/>
      <c r="J647" s="859"/>
      <c r="K647" s="859"/>
      <c r="L647" s="859"/>
      <c r="M647" s="859"/>
      <c r="N647" s="859"/>
      <c r="O647" s="859"/>
      <c r="P647" s="860"/>
      <c r="Q647" s="860"/>
      <c r="R647" s="860"/>
      <c r="S647" s="860"/>
      <c r="T647" s="860"/>
      <c r="U647" s="860"/>
      <c r="V647" s="860"/>
      <c r="W647" s="860"/>
      <c r="X647" s="860"/>
      <c r="Y647" s="860"/>
      <c r="Z647" s="860"/>
      <c r="AA647" s="860"/>
      <c r="AB647" s="860"/>
    </row>
    <row r="648">
      <c r="I648" s="856"/>
      <c r="J648" s="859"/>
      <c r="K648" s="859"/>
      <c r="L648" s="859"/>
      <c r="M648" s="859"/>
      <c r="N648" s="859"/>
      <c r="O648" s="859"/>
      <c r="P648" s="860"/>
      <c r="Q648" s="860"/>
      <c r="R648" s="860"/>
      <c r="S648" s="860"/>
      <c r="T648" s="860"/>
      <c r="U648" s="860"/>
      <c r="V648" s="860"/>
      <c r="W648" s="860"/>
      <c r="X648" s="860"/>
      <c r="Y648" s="860"/>
      <c r="Z648" s="860"/>
      <c r="AA648" s="860"/>
      <c r="AB648" s="860"/>
    </row>
    <row r="649">
      <c r="I649" s="856"/>
      <c r="J649" s="859"/>
      <c r="K649" s="859"/>
      <c r="L649" s="859"/>
      <c r="M649" s="859"/>
      <c r="N649" s="859"/>
      <c r="O649" s="859"/>
      <c r="P649" s="860"/>
      <c r="Q649" s="860"/>
      <c r="R649" s="860"/>
      <c r="S649" s="860"/>
      <c r="T649" s="860"/>
      <c r="U649" s="860"/>
      <c r="V649" s="860"/>
      <c r="W649" s="860"/>
      <c r="X649" s="860"/>
      <c r="Y649" s="860"/>
      <c r="Z649" s="860"/>
      <c r="AA649" s="860"/>
      <c r="AB649" s="860"/>
    </row>
    <row r="650">
      <c r="I650" s="856"/>
      <c r="J650" s="859"/>
      <c r="K650" s="859"/>
      <c r="L650" s="859"/>
      <c r="M650" s="859"/>
      <c r="N650" s="859"/>
      <c r="O650" s="859"/>
      <c r="P650" s="860"/>
      <c r="Q650" s="860"/>
      <c r="R650" s="860"/>
      <c r="S650" s="860"/>
      <c r="T650" s="860"/>
      <c r="U650" s="860"/>
      <c r="V650" s="860"/>
      <c r="W650" s="860"/>
      <c r="X650" s="860"/>
      <c r="Y650" s="860"/>
      <c r="Z650" s="860"/>
      <c r="AA650" s="860"/>
      <c r="AB650" s="860"/>
    </row>
    <row r="651">
      <c r="I651" s="856"/>
      <c r="J651" s="859"/>
      <c r="K651" s="859"/>
      <c r="L651" s="859"/>
      <c r="M651" s="859"/>
      <c r="N651" s="859"/>
      <c r="O651" s="859"/>
      <c r="P651" s="860"/>
      <c r="Q651" s="860"/>
      <c r="R651" s="860"/>
      <c r="S651" s="860"/>
      <c r="T651" s="860"/>
      <c r="U651" s="860"/>
      <c r="V651" s="860"/>
      <c r="W651" s="860"/>
      <c r="X651" s="860"/>
      <c r="Y651" s="860"/>
      <c r="Z651" s="860"/>
      <c r="AA651" s="860"/>
      <c r="AB651" s="860"/>
    </row>
    <row r="652">
      <c r="I652" s="856"/>
      <c r="J652" s="859"/>
      <c r="K652" s="859"/>
      <c r="L652" s="859"/>
      <c r="M652" s="859"/>
      <c r="N652" s="859"/>
      <c r="O652" s="859"/>
      <c r="P652" s="860"/>
      <c r="Q652" s="860"/>
      <c r="R652" s="860"/>
      <c r="S652" s="860"/>
      <c r="T652" s="860"/>
      <c r="U652" s="860"/>
      <c r="V652" s="860"/>
      <c r="W652" s="860"/>
      <c r="X652" s="860"/>
      <c r="Y652" s="860"/>
      <c r="Z652" s="860"/>
      <c r="AA652" s="860"/>
      <c r="AB652" s="860"/>
    </row>
    <row r="653">
      <c r="I653" s="856"/>
      <c r="J653" s="859"/>
      <c r="K653" s="859"/>
      <c r="L653" s="859"/>
      <c r="M653" s="859"/>
      <c r="N653" s="859"/>
      <c r="O653" s="859"/>
      <c r="P653" s="860"/>
      <c r="Q653" s="860"/>
      <c r="R653" s="860"/>
      <c r="S653" s="860"/>
      <c r="T653" s="860"/>
      <c r="U653" s="860"/>
      <c r="V653" s="860"/>
      <c r="W653" s="860"/>
      <c r="X653" s="860"/>
      <c r="Y653" s="860"/>
      <c r="Z653" s="860"/>
      <c r="AA653" s="860"/>
      <c r="AB653" s="860"/>
    </row>
    <row r="654">
      <c r="I654" s="856"/>
      <c r="J654" s="859"/>
      <c r="K654" s="859"/>
      <c r="L654" s="859"/>
      <c r="M654" s="859"/>
      <c r="N654" s="859"/>
      <c r="O654" s="859"/>
      <c r="P654" s="860"/>
      <c r="Q654" s="860"/>
      <c r="R654" s="860"/>
      <c r="S654" s="860"/>
      <c r="T654" s="860"/>
      <c r="U654" s="860"/>
      <c r="V654" s="860"/>
      <c r="W654" s="860"/>
      <c r="X654" s="860"/>
      <c r="Y654" s="860"/>
      <c r="Z654" s="860"/>
      <c r="AA654" s="860"/>
      <c r="AB654" s="860"/>
    </row>
    <row r="655">
      <c r="I655" s="856"/>
      <c r="J655" s="859"/>
      <c r="K655" s="859"/>
      <c r="L655" s="859"/>
      <c r="M655" s="859"/>
      <c r="N655" s="859"/>
      <c r="O655" s="859"/>
      <c r="P655" s="860"/>
      <c r="Q655" s="860"/>
      <c r="R655" s="860"/>
      <c r="S655" s="860"/>
      <c r="T655" s="860"/>
      <c r="U655" s="860"/>
      <c r="V655" s="860"/>
      <c r="W655" s="860"/>
      <c r="X655" s="860"/>
      <c r="Y655" s="860"/>
      <c r="Z655" s="860"/>
      <c r="AA655" s="860"/>
      <c r="AB655" s="860"/>
    </row>
    <row r="656">
      <c r="I656" s="856"/>
      <c r="J656" s="859"/>
      <c r="K656" s="859"/>
      <c r="L656" s="859"/>
      <c r="M656" s="859"/>
      <c r="N656" s="859"/>
      <c r="O656" s="859"/>
      <c r="P656" s="860"/>
      <c r="Q656" s="860"/>
      <c r="R656" s="860"/>
      <c r="S656" s="860"/>
      <c r="T656" s="860"/>
      <c r="U656" s="860"/>
      <c r="V656" s="860"/>
      <c r="W656" s="860"/>
      <c r="X656" s="860"/>
      <c r="Y656" s="860"/>
      <c r="Z656" s="860"/>
      <c r="AA656" s="860"/>
      <c r="AB656" s="860"/>
    </row>
    <row r="657">
      <c r="I657" s="856"/>
      <c r="J657" s="859"/>
      <c r="K657" s="859"/>
      <c r="L657" s="859"/>
      <c r="M657" s="859"/>
      <c r="N657" s="859"/>
      <c r="O657" s="859"/>
      <c r="P657" s="860"/>
      <c r="Q657" s="860"/>
      <c r="R657" s="860"/>
      <c r="S657" s="860"/>
      <c r="T657" s="860"/>
      <c r="U657" s="860"/>
      <c r="V657" s="860"/>
      <c r="W657" s="860"/>
      <c r="X657" s="860"/>
      <c r="Y657" s="860"/>
      <c r="Z657" s="860"/>
      <c r="AA657" s="860"/>
      <c r="AB657" s="860"/>
    </row>
    <row r="658">
      <c r="I658" s="856"/>
      <c r="J658" s="859"/>
      <c r="K658" s="859"/>
      <c r="L658" s="859"/>
      <c r="M658" s="859"/>
      <c r="N658" s="859"/>
      <c r="O658" s="859"/>
      <c r="P658" s="860"/>
      <c r="Q658" s="860"/>
      <c r="R658" s="860"/>
      <c r="S658" s="860"/>
      <c r="T658" s="860"/>
      <c r="U658" s="860"/>
      <c r="V658" s="860"/>
      <c r="W658" s="860"/>
      <c r="X658" s="860"/>
      <c r="Y658" s="860"/>
      <c r="Z658" s="860"/>
      <c r="AA658" s="860"/>
      <c r="AB658" s="860"/>
    </row>
    <row r="659">
      <c r="I659" s="856"/>
      <c r="J659" s="859"/>
      <c r="K659" s="859"/>
      <c r="L659" s="859"/>
      <c r="M659" s="859"/>
      <c r="N659" s="859"/>
      <c r="O659" s="859"/>
      <c r="P659" s="860"/>
      <c r="Q659" s="860"/>
      <c r="R659" s="860"/>
      <c r="S659" s="860"/>
      <c r="T659" s="860"/>
      <c r="U659" s="860"/>
      <c r="V659" s="860"/>
      <c r="W659" s="860"/>
      <c r="X659" s="860"/>
      <c r="Y659" s="860"/>
      <c r="Z659" s="860"/>
      <c r="AA659" s="860"/>
      <c r="AB659" s="860"/>
    </row>
    <row r="660">
      <c r="I660" s="856"/>
      <c r="J660" s="859"/>
      <c r="K660" s="859"/>
      <c r="L660" s="859"/>
      <c r="M660" s="859"/>
      <c r="N660" s="859"/>
      <c r="O660" s="859"/>
      <c r="P660" s="860"/>
      <c r="Q660" s="860"/>
      <c r="R660" s="860"/>
      <c r="S660" s="860"/>
      <c r="T660" s="860"/>
      <c r="U660" s="860"/>
      <c r="V660" s="860"/>
      <c r="W660" s="860"/>
      <c r="X660" s="860"/>
      <c r="Y660" s="860"/>
      <c r="Z660" s="860"/>
      <c r="AA660" s="860"/>
      <c r="AB660" s="860"/>
    </row>
    <row r="661">
      <c r="I661" s="856"/>
      <c r="J661" s="859"/>
      <c r="K661" s="859"/>
      <c r="L661" s="859"/>
      <c r="M661" s="859"/>
      <c r="N661" s="859"/>
      <c r="O661" s="859"/>
      <c r="P661" s="860"/>
      <c r="Q661" s="860"/>
      <c r="R661" s="860"/>
      <c r="S661" s="860"/>
      <c r="T661" s="860"/>
      <c r="U661" s="860"/>
      <c r="V661" s="860"/>
      <c r="W661" s="860"/>
      <c r="X661" s="860"/>
      <c r="Y661" s="860"/>
      <c r="Z661" s="860"/>
      <c r="AA661" s="860"/>
      <c r="AB661" s="860"/>
    </row>
    <row r="662">
      <c r="I662" s="856"/>
      <c r="J662" s="859"/>
      <c r="K662" s="859"/>
      <c r="L662" s="859"/>
      <c r="M662" s="859"/>
      <c r="N662" s="859"/>
      <c r="O662" s="859"/>
      <c r="P662" s="860"/>
      <c r="Q662" s="860"/>
      <c r="R662" s="860"/>
      <c r="S662" s="860"/>
      <c r="T662" s="860"/>
      <c r="U662" s="860"/>
      <c r="V662" s="860"/>
      <c r="W662" s="860"/>
      <c r="X662" s="860"/>
      <c r="Y662" s="860"/>
      <c r="Z662" s="860"/>
      <c r="AA662" s="860"/>
      <c r="AB662" s="860"/>
    </row>
    <row r="663">
      <c r="I663" s="856"/>
      <c r="J663" s="859"/>
      <c r="K663" s="859"/>
      <c r="L663" s="859"/>
      <c r="M663" s="859"/>
      <c r="N663" s="859"/>
      <c r="O663" s="859"/>
      <c r="P663" s="860"/>
      <c r="Q663" s="860"/>
      <c r="R663" s="860"/>
      <c r="S663" s="860"/>
      <c r="T663" s="860"/>
      <c r="U663" s="860"/>
      <c r="V663" s="860"/>
      <c r="W663" s="860"/>
      <c r="X663" s="860"/>
      <c r="Y663" s="860"/>
      <c r="Z663" s="860"/>
      <c r="AA663" s="860"/>
      <c r="AB663" s="860"/>
    </row>
    <row r="664">
      <c r="I664" s="856"/>
      <c r="J664" s="859"/>
      <c r="K664" s="859"/>
      <c r="L664" s="859"/>
      <c r="M664" s="859"/>
      <c r="N664" s="859"/>
      <c r="O664" s="859"/>
      <c r="P664" s="860"/>
      <c r="Q664" s="860"/>
      <c r="R664" s="860"/>
      <c r="S664" s="860"/>
      <c r="T664" s="860"/>
      <c r="U664" s="860"/>
      <c r="V664" s="860"/>
      <c r="W664" s="860"/>
      <c r="X664" s="860"/>
      <c r="Y664" s="860"/>
      <c r="Z664" s="860"/>
      <c r="AA664" s="860"/>
      <c r="AB664" s="860"/>
    </row>
    <row r="665">
      <c r="I665" s="856"/>
      <c r="J665" s="859"/>
      <c r="K665" s="859"/>
      <c r="L665" s="859"/>
      <c r="M665" s="859"/>
      <c r="N665" s="859"/>
      <c r="O665" s="859"/>
      <c r="P665" s="860"/>
      <c r="Q665" s="860"/>
      <c r="R665" s="860"/>
      <c r="S665" s="860"/>
      <c r="T665" s="860"/>
      <c r="U665" s="860"/>
      <c r="V665" s="860"/>
      <c r="W665" s="860"/>
      <c r="X665" s="860"/>
      <c r="Y665" s="860"/>
      <c r="Z665" s="860"/>
      <c r="AA665" s="860"/>
      <c r="AB665" s="860"/>
    </row>
    <row r="666">
      <c r="I666" s="856"/>
      <c r="J666" s="859"/>
      <c r="K666" s="859"/>
      <c r="L666" s="859"/>
      <c r="M666" s="859"/>
      <c r="N666" s="859"/>
      <c r="O666" s="859"/>
      <c r="P666" s="860"/>
      <c r="Q666" s="860"/>
      <c r="R666" s="860"/>
      <c r="S666" s="860"/>
      <c r="T666" s="860"/>
      <c r="U666" s="860"/>
      <c r="V666" s="860"/>
      <c r="W666" s="860"/>
      <c r="X666" s="860"/>
      <c r="Y666" s="860"/>
      <c r="Z666" s="860"/>
      <c r="AA666" s="860"/>
      <c r="AB666" s="860"/>
    </row>
    <row r="667">
      <c r="I667" s="856"/>
      <c r="J667" s="859"/>
      <c r="K667" s="859"/>
      <c r="L667" s="859"/>
      <c r="M667" s="859"/>
      <c r="N667" s="859"/>
      <c r="O667" s="859"/>
      <c r="P667" s="860"/>
      <c r="Q667" s="860"/>
      <c r="R667" s="860"/>
      <c r="S667" s="860"/>
      <c r="T667" s="860"/>
      <c r="U667" s="860"/>
      <c r="V667" s="860"/>
      <c r="W667" s="860"/>
      <c r="X667" s="860"/>
      <c r="Y667" s="860"/>
      <c r="Z667" s="860"/>
      <c r="AA667" s="860"/>
      <c r="AB667" s="860"/>
    </row>
    <row r="668">
      <c r="I668" s="856"/>
      <c r="J668" s="859"/>
      <c r="K668" s="859"/>
      <c r="L668" s="859"/>
      <c r="M668" s="859"/>
      <c r="N668" s="859"/>
      <c r="O668" s="859"/>
      <c r="P668" s="860"/>
      <c r="Q668" s="860"/>
      <c r="R668" s="860"/>
      <c r="S668" s="860"/>
      <c r="T668" s="860"/>
      <c r="U668" s="860"/>
      <c r="V668" s="860"/>
      <c r="W668" s="860"/>
      <c r="X668" s="860"/>
      <c r="Y668" s="860"/>
      <c r="Z668" s="860"/>
      <c r="AA668" s="860"/>
      <c r="AB668" s="860"/>
    </row>
    <row r="669">
      <c r="I669" s="856"/>
      <c r="J669" s="859"/>
      <c r="K669" s="859"/>
      <c r="L669" s="859"/>
      <c r="M669" s="859"/>
      <c r="N669" s="859"/>
      <c r="O669" s="859"/>
      <c r="P669" s="860"/>
      <c r="Q669" s="860"/>
      <c r="R669" s="860"/>
      <c r="S669" s="860"/>
      <c r="T669" s="860"/>
      <c r="U669" s="860"/>
      <c r="V669" s="860"/>
      <c r="W669" s="860"/>
      <c r="X669" s="860"/>
      <c r="Y669" s="860"/>
      <c r="Z669" s="860"/>
      <c r="AA669" s="860"/>
      <c r="AB669" s="860"/>
    </row>
    <row r="670">
      <c r="I670" s="856"/>
      <c r="J670" s="859"/>
      <c r="K670" s="859"/>
      <c r="L670" s="859"/>
      <c r="M670" s="859"/>
      <c r="N670" s="859"/>
      <c r="O670" s="859"/>
      <c r="P670" s="860"/>
      <c r="Q670" s="860"/>
      <c r="R670" s="860"/>
      <c r="S670" s="860"/>
      <c r="T670" s="860"/>
      <c r="U670" s="860"/>
      <c r="V670" s="860"/>
      <c r="W670" s="860"/>
      <c r="X670" s="860"/>
      <c r="Y670" s="860"/>
      <c r="Z670" s="860"/>
      <c r="AA670" s="860"/>
      <c r="AB670" s="860"/>
    </row>
    <row r="671">
      <c r="I671" s="856"/>
      <c r="J671" s="859"/>
      <c r="K671" s="859"/>
      <c r="L671" s="859"/>
      <c r="M671" s="859"/>
      <c r="N671" s="859"/>
      <c r="O671" s="859"/>
      <c r="P671" s="860"/>
      <c r="Q671" s="860"/>
      <c r="R671" s="860"/>
      <c r="S671" s="860"/>
      <c r="T671" s="860"/>
      <c r="U671" s="860"/>
      <c r="V671" s="860"/>
      <c r="W671" s="860"/>
      <c r="X671" s="860"/>
      <c r="Y671" s="860"/>
      <c r="Z671" s="860"/>
      <c r="AA671" s="860"/>
      <c r="AB671" s="860"/>
    </row>
    <row r="672">
      <c r="I672" s="856"/>
      <c r="J672" s="859"/>
      <c r="K672" s="859"/>
      <c r="L672" s="859"/>
      <c r="M672" s="859"/>
      <c r="N672" s="859"/>
      <c r="O672" s="859"/>
      <c r="P672" s="860"/>
      <c r="Q672" s="860"/>
      <c r="R672" s="860"/>
      <c r="S672" s="860"/>
      <c r="T672" s="860"/>
      <c r="U672" s="860"/>
      <c r="V672" s="860"/>
      <c r="W672" s="860"/>
      <c r="X672" s="860"/>
      <c r="Y672" s="860"/>
      <c r="Z672" s="860"/>
      <c r="AA672" s="860"/>
      <c r="AB672" s="860"/>
    </row>
    <row r="673">
      <c r="I673" s="856"/>
      <c r="J673" s="859"/>
      <c r="K673" s="859"/>
      <c r="L673" s="859"/>
      <c r="M673" s="859"/>
      <c r="N673" s="859"/>
      <c r="O673" s="859"/>
      <c r="P673" s="860"/>
      <c r="Q673" s="860"/>
      <c r="R673" s="860"/>
      <c r="S673" s="860"/>
      <c r="T673" s="860"/>
      <c r="U673" s="860"/>
      <c r="V673" s="860"/>
      <c r="W673" s="860"/>
      <c r="X673" s="860"/>
      <c r="Y673" s="860"/>
      <c r="Z673" s="860"/>
      <c r="AA673" s="860"/>
      <c r="AB673" s="860"/>
    </row>
    <row r="674">
      <c r="I674" s="856"/>
      <c r="J674" s="859"/>
      <c r="K674" s="859"/>
      <c r="L674" s="859"/>
      <c r="M674" s="859"/>
      <c r="N674" s="859"/>
      <c r="O674" s="859"/>
      <c r="P674" s="860"/>
      <c r="Q674" s="860"/>
      <c r="R674" s="860"/>
      <c r="S674" s="860"/>
      <c r="T674" s="860"/>
      <c r="U674" s="860"/>
      <c r="V674" s="860"/>
      <c r="W674" s="860"/>
      <c r="X674" s="860"/>
      <c r="Y674" s="860"/>
      <c r="Z674" s="860"/>
      <c r="AA674" s="860"/>
      <c r="AB674" s="860"/>
    </row>
    <row r="675">
      <c r="I675" s="856"/>
      <c r="J675" s="859"/>
      <c r="K675" s="859"/>
      <c r="L675" s="859"/>
      <c r="M675" s="859"/>
      <c r="N675" s="859"/>
      <c r="O675" s="859"/>
      <c r="P675" s="860"/>
      <c r="Q675" s="860"/>
      <c r="R675" s="860"/>
      <c r="S675" s="860"/>
      <c r="T675" s="860"/>
      <c r="U675" s="860"/>
      <c r="V675" s="860"/>
      <c r="W675" s="860"/>
      <c r="X675" s="860"/>
      <c r="Y675" s="860"/>
      <c r="Z675" s="860"/>
      <c r="AA675" s="860"/>
      <c r="AB675" s="860"/>
    </row>
    <row r="676">
      <c r="I676" s="856"/>
      <c r="J676" s="859"/>
      <c r="K676" s="859"/>
      <c r="L676" s="859"/>
      <c r="M676" s="859"/>
      <c r="N676" s="859"/>
      <c r="O676" s="859"/>
      <c r="P676" s="860"/>
      <c r="Q676" s="860"/>
      <c r="R676" s="860"/>
      <c r="S676" s="860"/>
      <c r="T676" s="860"/>
      <c r="U676" s="860"/>
      <c r="V676" s="860"/>
      <c r="W676" s="860"/>
      <c r="X676" s="860"/>
      <c r="Y676" s="860"/>
      <c r="Z676" s="860"/>
      <c r="AA676" s="860"/>
      <c r="AB676" s="860"/>
    </row>
    <row r="677">
      <c r="I677" s="856"/>
      <c r="J677" s="859"/>
      <c r="K677" s="859"/>
      <c r="L677" s="859"/>
      <c r="M677" s="859"/>
      <c r="N677" s="859"/>
      <c r="O677" s="859"/>
      <c r="P677" s="860"/>
      <c r="Q677" s="860"/>
      <c r="R677" s="860"/>
      <c r="S677" s="860"/>
      <c r="T677" s="860"/>
      <c r="U677" s="860"/>
      <c r="V677" s="860"/>
      <c r="W677" s="860"/>
      <c r="X677" s="860"/>
      <c r="Y677" s="860"/>
      <c r="Z677" s="860"/>
      <c r="AA677" s="860"/>
      <c r="AB677" s="860"/>
    </row>
    <row r="678">
      <c r="I678" s="856"/>
      <c r="J678" s="859"/>
      <c r="K678" s="859"/>
      <c r="L678" s="859"/>
      <c r="M678" s="859"/>
      <c r="N678" s="859"/>
      <c r="O678" s="859"/>
      <c r="P678" s="860"/>
      <c r="Q678" s="860"/>
      <c r="R678" s="860"/>
      <c r="S678" s="860"/>
      <c r="T678" s="860"/>
      <c r="U678" s="860"/>
      <c r="V678" s="860"/>
      <c r="W678" s="860"/>
      <c r="X678" s="860"/>
      <c r="Y678" s="860"/>
      <c r="Z678" s="860"/>
      <c r="AA678" s="860"/>
      <c r="AB678" s="860"/>
    </row>
    <row r="679">
      <c r="I679" s="856"/>
      <c r="J679" s="859"/>
      <c r="K679" s="859"/>
      <c r="L679" s="859"/>
      <c r="M679" s="859"/>
      <c r="N679" s="859"/>
      <c r="O679" s="859"/>
      <c r="P679" s="860"/>
      <c r="Q679" s="860"/>
      <c r="R679" s="860"/>
      <c r="S679" s="860"/>
      <c r="T679" s="860"/>
      <c r="U679" s="860"/>
      <c r="V679" s="860"/>
      <c r="W679" s="860"/>
      <c r="X679" s="860"/>
      <c r="Y679" s="860"/>
      <c r="Z679" s="860"/>
      <c r="AA679" s="860"/>
      <c r="AB679" s="860"/>
    </row>
    <row r="680">
      <c r="I680" s="856"/>
      <c r="J680" s="859"/>
      <c r="K680" s="859"/>
      <c r="L680" s="859"/>
      <c r="M680" s="859"/>
      <c r="N680" s="859"/>
      <c r="O680" s="859"/>
      <c r="P680" s="860"/>
      <c r="Q680" s="860"/>
      <c r="R680" s="860"/>
      <c r="S680" s="860"/>
      <c r="T680" s="860"/>
      <c r="U680" s="860"/>
      <c r="V680" s="860"/>
      <c r="W680" s="860"/>
      <c r="X680" s="860"/>
      <c r="Y680" s="860"/>
      <c r="Z680" s="860"/>
      <c r="AA680" s="860"/>
      <c r="AB680" s="860"/>
    </row>
    <row r="681">
      <c r="I681" s="856"/>
      <c r="J681" s="859"/>
      <c r="K681" s="859"/>
      <c r="L681" s="859"/>
      <c r="M681" s="859"/>
      <c r="N681" s="859"/>
      <c r="O681" s="859"/>
      <c r="P681" s="860"/>
      <c r="Q681" s="860"/>
      <c r="R681" s="860"/>
      <c r="S681" s="860"/>
      <c r="T681" s="860"/>
      <c r="U681" s="860"/>
      <c r="V681" s="860"/>
      <c r="W681" s="860"/>
      <c r="X681" s="860"/>
      <c r="Y681" s="860"/>
      <c r="Z681" s="860"/>
      <c r="AA681" s="860"/>
      <c r="AB681" s="860"/>
    </row>
    <row r="682">
      <c r="I682" s="856"/>
      <c r="J682" s="859"/>
      <c r="K682" s="859"/>
      <c r="L682" s="859"/>
      <c r="M682" s="859"/>
      <c r="N682" s="859"/>
      <c r="O682" s="859"/>
      <c r="P682" s="860"/>
      <c r="Q682" s="860"/>
      <c r="R682" s="860"/>
      <c r="S682" s="860"/>
      <c r="T682" s="860"/>
      <c r="U682" s="860"/>
      <c r="V682" s="860"/>
      <c r="W682" s="860"/>
      <c r="X682" s="860"/>
      <c r="Y682" s="860"/>
      <c r="Z682" s="860"/>
      <c r="AA682" s="860"/>
      <c r="AB682" s="860"/>
    </row>
    <row r="683">
      <c r="I683" s="856"/>
      <c r="J683" s="859"/>
      <c r="K683" s="859"/>
      <c r="L683" s="859"/>
      <c r="M683" s="859"/>
      <c r="N683" s="859"/>
      <c r="O683" s="859"/>
      <c r="P683" s="860"/>
      <c r="Q683" s="860"/>
      <c r="R683" s="860"/>
      <c r="S683" s="860"/>
      <c r="T683" s="860"/>
      <c r="U683" s="860"/>
      <c r="V683" s="860"/>
      <c r="W683" s="860"/>
      <c r="X683" s="860"/>
      <c r="Y683" s="860"/>
      <c r="Z683" s="860"/>
      <c r="AA683" s="860"/>
      <c r="AB683" s="860"/>
    </row>
    <row r="684">
      <c r="I684" s="856"/>
      <c r="J684" s="859"/>
      <c r="K684" s="859"/>
      <c r="L684" s="859"/>
      <c r="M684" s="859"/>
      <c r="N684" s="859"/>
      <c r="O684" s="859"/>
      <c r="P684" s="860"/>
      <c r="Q684" s="860"/>
      <c r="R684" s="860"/>
      <c r="S684" s="860"/>
      <c r="T684" s="860"/>
      <c r="U684" s="860"/>
      <c r="V684" s="860"/>
      <c r="W684" s="860"/>
      <c r="X684" s="860"/>
      <c r="Y684" s="860"/>
      <c r="Z684" s="860"/>
      <c r="AA684" s="860"/>
      <c r="AB684" s="860"/>
    </row>
    <row r="685">
      <c r="I685" s="856"/>
      <c r="J685" s="859"/>
      <c r="K685" s="859"/>
      <c r="L685" s="859"/>
      <c r="M685" s="859"/>
      <c r="N685" s="859"/>
      <c r="O685" s="859"/>
      <c r="P685" s="860"/>
      <c r="Q685" s="860"/>
      <c r="R685" s="860"/>
      <c r="S685" s="860"/>
      <c r="T685" s="860"/>
      <c r="U685" s="860"/>
      <c r="V685" s="860"/>
      <c r="W685" s="860"/>
      <c r="X685" s="860"/>
      <c r="Y685" s="860"/>
      <c r="Z685" s="860"/>
      <c r="AA685" s="860"/>
      <c r="AB685" s="860"/>
    </row>
    <row r="686">
      <c r="I686" s="856"/>
      <c r="J686" s="859"/>
      <c r="K686" s="859"/>
      <c r="L686" s="859"/>
      <c r="M686" s="859"/>
      <c r="N686" s="859"/>
      <c r="O686" s="859"/>
      <c r="P686" s="860"/>
      <c r="Q686" s="860"/>
      <c r="R686" s="860"/>
      <c r="S686" s="860"/>
      <c r="T686" s="860"/>
      <c r="U686" s="860"/>
      <c r="V686" s="860"/>
      <c r="W686" s="860"/>
      <c r="X686" s="860"/>
      <c r="Y686" s="860"/>
      <c r="Z686" s="860"/>
      <c r="AA686" s="860"/>
      <c r="AB686" s="860"/>
    </row>
    <row r="687">
      <c r="I687" s="856"/>
      <c r="J687" s="859"/>
      <c r="K687" s="859"/>
      <c r="L687" s="859"/>
      <c r="M687" s="859"/>
      <c r="N687" s="859"/>
      <c r="O687" s="859"/>
      <c r="P687" s="860"/>
      <c r="Q687" s="860"/>
      <c r="R687" s="860"/>
      <c r="S687" s="860"/>
      <c r="T687" s="860"/>
      <c r="U687" s="860"/>
      <c r="V687" s="860"/>
      <c r="W687" s="860"/>
      <c r="X687" s="860"/>
      <c r="Y687" s="860"/>
      <c r="Z687" s="860"/>
      <c r="AA687" s="860"/>
      <c r="AB687" s="860"/>
    </row>
    <row r="688">
      <c r="I688" s="856"/>
      <c r="J688" s="859"/>
      <c r="K688" s="859"/>
      <c r="L688" s="859"/>
      <c r="M688" s="859"/>
      <c r="N688" s="859"/>
      <c r="O688" s="859"/>
      <c r="P688" s="860"/>
      <c r="Q688" s="860"/>
      <c r="R688" s="860"/>
      <c r="S688" s="860"/>
      <c r="T688" s="860"/>
      <c r="U688" s="860"/>
      <c r="V688" s="860"/>
      <c r="W688" s="860"/>
      <c r="X688" s="860"/>
      <c r="Y688" s="860"/>
      <c r="Z688" s="860"/>
      <c r="AA688" s="860"/>
      <c r="AB688" s="860"/>
    </row>
    <row r="689">
      <c r="I689" s="856"/>
      <c r="J689" s="859"/>
      <c r="K689" s="859"/>
      <c r="L689" s="859"/>
      <c r="M689" s="859"/>
      <c r="N689" s="859"/>
      <c r="O689" s="859"/>
      <c r="P689" s="860"/>
      <c r="Q689" s="860"/>
      <c r="R689" s="860"/>
      <c r="S689" s="860"/>
      <c r="T689" s="860"/>
      <c r="U689" s="860"/>
      <c r="V689" s="860"/>
      <c r="W689" s="860"/>
      <c r="X689" s="860"/>
      <c r="Y689" s="860"/>
      <c r="Z689" s="860"/>
      <c r="AA689" s="860"/>
      <c r="AB689" s="860"/>
    </row>
    <row r="690">
      <c r="I690" s="856"/>
      <c r="J690" s="859"/>
      <c r="K690" s="859"/>
      <c r="L690" s="859"/>
      <c r="M690" s="859"/>
      <c r="N690" s="859"/>
      <c r="O690" s="859"/>
      <c r="P690" s="860"/>
      <c r="Q690" s="860"/>
      <c r="R690" s="860"/>
      <c r="S690" s="860"/>
      <c r="T690" s="860"/>
      <c r="U690" s="860"/>
      <c r="V690" s="860"/>
      <c r="W690" s="860"/>
      <c r="X690" s="860"/>
      <c r="Y690" s="860"/>
      <c r="Z690" s="860"/>
      <c r="AA690" s="860"/>
      <c r="AB690" s="860"/>
    </row>
    <row r="691">
      <c r="I691" s="856"/>
      <c r="J691" s="859"/>
      <c r="K691" s="859"/>
      <c r="L691" s="859"/>
      <c r="M691" s="859"/>
      <c r="N691" s="859"/>
      <c r="O691" s="859"/>
      <c r="P691" s="860"/>
      <c r="Q691" s="860"/>
      <c r="R691" s="860"/>
      <c r="S691" s="860"/>
      <c r="T691" s="860"/>
      <c r="U691" s="860"/>
      <c r="V691" s="860"/>
      <c r="W691" s="860"/>
      <c r="X691" s="860"/>
      <c r="Y691" s="860"/>
      <c r="Z691" s="860"/>
      <c r="AA691" s="860"/>
      <c r="AB691" s="860"/>
    </row>
    <row r="692">
      <c r="I692" s="856"/>
      <c r="J692" s="859"/>
      <c r="K692" s="859"/>
      <c r="L692" s="859"/>
      <c r="M692" s="859"/>
      <c r="N692" s="859"/>
      <c r="O692" s="859"/>
      <c r="P692" s="860"/>
      <c r="Q692" s="860"/>
      <c r="R692" s="860"/>
      <c r="S692" s="860"/>
      <c r="T692" s="860"/>
      <c r="U692" s="860"/>
      <c r="V692" s="860"/>
      <c r="W692" s="860"/>
      <c r="X692" s="860"/>
      <c r="Y692" s="860"/>
      <c r="Z692" s="860"/>
      <c r="AA692" s="860"/>
      <c r="AB692" s="860"/>
    </row>
    <row r="693">
      <c r="I693" s="856"/>
      <c r="J693" s="859"/>
      <c r="K693" s="859"/>
      <c r="L693" s="859"/>
      <c r="M693" s="859"/>
      <c r="N693" s="859"/>
      <c r="O693" s="859"/>
      <c r="P693" s="860"/>
      <c r="Q693" s="860"/>
      <c r="R693" s="860"/>
      <c r="S693" s="860"/>
      <c r="T693" s="860"/>
      <c r="U693" s="860"/>
      <c r="V693" s="860"/>
      <c r="W693" s="860"/>
      <c r="X693" s="860"/>
      <c r="Y693" s="860"/>
      <c r="Z693" s="860"/>
      <c r="AA693" s="860"/>
      <c r="AB693" s="860"/>
    </row>
    <row r="694">
      <c r="I694" s="856"/>
      <c r="J694" s="859"/>
      <c r="K694" s="859"/>
      <c r="L694" s="859"/>
      <c r="M694" s="859"/>
      <c r="N694" s="859"/>
      <c r="O694" s="859"/>
      <c r="P694" s="860"/>
      <c r="Q694" s="860"/>
      <c r="R694" s="860"/>
      <c r="S694" s="860"/>
      <c r="T694" s="860"/>
      <c r="U694" s="860"/>
      <c r="V694" s="860"/>
      <c r="W694" s="860"/>
      <c r="X694" s="860"/>
      <c r="Y694" s="860"/>
      <c r="Z694" s="860"/>
      <c r="AA694" s="860"/>
      <c r="AB694" s="860"/>
    </row>
    <row r="695">
      <c r="I695" s="856"/>
      <c r="J695" s="859"/>
      <c r="K695" s="859"/>
      <c r="L695" s="859"/>
      <c r="M695" s="859"/>
      <c r="N695" s="859"/>
      <c r="O695" s="859"/>
      <c r="P695" s="860"/>
      <c r="Q695" s="860"/>
      <c r="R695" s="860"/>
      <c r="S695" s="860"/>
      <c r="T695" s="860"/>
      <c r="U695" s="860"/>
      <c r="V695" s="860"/>
      <c r="W695" s="860"/>
      <c r="X695" s="860"/>
      <c r="Y695" s="860"/>
      <c r="Z695" s="860"/>
      <c r="AA695" s="860"/>
      <c r="AB695" s="860"/>
    </row>
    <row r="696">
      <c r="I696" s="856"/>
      <c r="J696" s="859"/>
      <c r="K696" s="859"/>
      <c r="L696" s="859"/>
      <c r="M696" s="859"/>
      <c r="N696" s="859"/>
      <c r="O696" s="859"/>
      <c r="P696" s="860"/>
      <c r="Q696" s="860"/>
      <c r="R696" s="860"/>
      <c r="S696" s="860"/>
      <c r="T696" s="860"/>
      <c r="U696" s="860"/>
      <c r="V696" s="860"/>
      <c r="W696" s="860"/>
      <c r="X696" s="860"/>
      <c r="Y696" s="860"/>
      <c r="Z696" s="860"/>
      <c r="AA696" s="860"/>
      <c r="AB696" s="860"/>
    </row>
    <row r="697">
      <c r="I697" s="856"/>
      <c r="J697" s="859"/>
      <c r="K697" s="859"/>
      <c r="L697" s="859"/>
      <c r="M697" s="859"/>
      <c r="N697" s="859"/>
      <c r="O697" s="859"/>
      <c r="P697" s="860"/>
      <c r="Q697" s="860"/>
      <c r="R697" s="860"/>
      <c r="S697" s="860"/>
      <c r="T697" s="860"/>
      <c r="U697" s="860"/>
      <c r="V697" s="860"/>
      <c r="W697" s="860"/>
      <c r="X697" s="860"/>
      <c r="Y697" s="860"/>
      <c r="Z697" s="860"/>
      <c r="AA697" s="860"/>
      <c r="AB697" s="860"/>
    </row>
    <row r="698">
      <c r="I698" s="856"/>
      <c r="J698" s="859"/>
      <c r="K698" s="859"/>
      <c r="L698" s="859"/>
      <c r="M698" s="859"/>
      <c r="N698" s="859"/>
      <c r="O698" s="859"/>
      <c r="P698" s="860"/>
      <c r="Q698" s="860"/>
      <c r="R698" s="860"/>
      <c r="S698" s="860"/>
      <c r="T698" s="860"/>
      <c r="U698" s="860"/>
      <c r="V698" s="860"/>
      <c r="W698" s="860"/>
      <c r="X698" s="860"/>
      <c r="Y698" s="860"/>
      <c r="Z698" s="860"/>
      <c r="AA698" s="860"/>
      <c r="AB698" s="860"/>
    </row>
    <row r="699">
      <c r="I699" s="856"/>
      <c r="J699" s="859"/>
      <c r="K699" s="859"/>
      <c r="L699" s="859"/>
      <c r="M699" s="859"/>
      <c r="N699" s="859"/>
      <c r="O699" s="859"/>
      <c r="P699" s="860"/>
      <c r="Q699" s="860"/>
      <c r="R699" s="860"/>
      <c r="S699" s="860"/>
      <c r="T699" s="860"/>
      <c r="U699" s="860"/>
      <c r="V699" s="860"/>
      <c r="W699" s="860"/>
      <c r="X699" s="860"/>
      <c r="Y699" s="860"/>
      <c r="Z699" s="860"/>
      <c r="AA699" s="860"/>
      <c r="AB699" s="860"/>
    </row>
    <row r="700">
      <c r="I700" s="856"/>
      <c r="J700" s="859"/>
      <c r="K700" s="859"/>
      <c r="L700" s="859"/>
      <c r="M700" s="859"/>
      <c r="N700" s="859"/>
      <c r="O700" s="859"/>
      <c r="P700" s="860"/>
      <c r="Q700" s="860"/>
      <c r="R700" s="860"/>
      <c r="S700" s="860"/>
      <c r="T700" s="860"/>
      <c r="U700" s="860"/>
      <c r="V700" s="860"/>
      <c r="W700" s="860"/>
      <c r="X700" s="860"/>
      <c r="Y700" s="860"/>
      <c r="Z700" s="860"/>
      <c r="AA700" s="860"/>
      <c r="AB700" s="860"/>
    </row>
    <row r="701">
      <c r="I701" s="856"/>
      <c r="J701" s="859"/>
      <c r="K701" s="859"/>
      <c r="L701" s="859"/>
      <c r="M701" s="859"/>
      <c r="N701" s="859"/>
      <c r="O701" s="859"/>
      <c r="P701" s="860"/>
      <c r="Q701" s="860"/>
      <c r="R701" s="860"/>
      <c r="S701" s="860"/>
      <c r="T701" s="860"/>
      <c r="U701" s="860"/>
      <c r="V701" s="860"/>
      <c r="W701" s="860"/>
      <c r="X701" s="860"/>
      <c r="Y701" s="860"/>
      <c r="Z701" s="860"/>
      <c r="AA701" s="860"/>
      <c r="AB701" s="860"/>
    </row>
    <row r="702">
      <c r="I702" s="856"/>
      <c r="J702" s="859"/>
      <c r="K702" s="859"/>
      <c r="L702" s="859"/>
      <c r="M702" s="859"/>
      <c r="N702" s="859"/>
      <c r="O702" s="859"/>
      <c r="P702" s="860"/>
      <c r="Q702" s="860"/>
      <c r="R702" s="860"/>
      <c r="S702" s="860"/>
      <c r="T702" s="860"/>
      <c r="U702" s="860"/>
      <c r="V702" s="860"/>
      <c r="W702" s="860"/>
      <c r="X702" s="860"/>
      <c r="Y702" s="860"/>
      <c r="Z702" s="860"/>
      <c r="AA702" s="860"/>
      <c r="AB702" s="860"/>
    </row>
    <row r="703">
      <c r="I703" s="856"/>
      <c r="J703" s="859"/>
      <c r="K703" s="859"/>
      <c r="L703" s="859"/>
      <c r="M703" s="859"/>
      <c r="N703" s="859"/>
      <c r="O703" s="859"/>
      <c r="P703" s="860"/>
      <c r="Q703" s="860"/>
      <c r="R703" s="860"/>
      <c r="S703" s="860"/>
      <c r="T703" s="860"/>
      <c r="U703" s="860"/>
      <c r="V703" s="860"/>
      <c r="W703" s="860"/>
      <c r="X703" s="860"/>
      <c r="Y703" s="860"/>
      <c r="Z703" s="860"/>
      <c r="AA703" s="860"/>
      <c r="AB703" s="860"/>
    </row>
    <row r="704">
      <c r="I704" s="856"/>
      <c r="J704" s="859"/>
      <c r="K704" s="859"/>
      <c r="L704" s="859"/>
      <c r="M704" s="859"/>
      <c r="N704" s="859"/>
      <c r="O704" s="859"/>
      <c r="P704" s="860"/>
      <c r="Q704" s="860"/>
      <c r="R704" s="860"/>
      <c r="S704" s="860"/>
      <c r="T704" s="860"/>
      <c r="U704" s="860"/>
      <c r="V704" s="860"/>
      <c r="W704" s="860"/>
      <c r="X704" s="860"/>
      <c r="Y704" s="860"/>
      <c r="Z704" s="860"/>
      <c r="AA704" s="860"/>
      <c r="AB704" s="860"/>
    </row>
    <row r="705">
      <c r="I705" s="856"/>
      <c r="J705" s="859"/>
      <c r="K705" s="859"/>
      <c r="L705" s="859"/>
      <c r="M705" s="859"/>
      <c r="N705" s="859"/>
      <c r="O705" s="859"/>
      <c r="P705" s="860"/>
      <c r="Q705" s="860"/>
      <c r="R705" s="860"/>
      <c r="S705" s="860"/>
      <c r="T705" s="860"/>
      <c r="U705" s="860"/>
      <c r="V705" s="860"/>
      <c r="W705" s="860"/>
      <c r="X705" s="860"/>
      <c r="Y705" s="860"/>
      <c r="Z705" s="860"/>
      <c r="AA705" s="860"/>
      <c r="AB705" s="860"/>
    </row>
    <row r="706">
      <c r="I706" s="856"/>
      <c r="J706" s="859"/>
      <c r="K706" s="859"/>
      <c r="L706" s="859"/>
      <c r="M706" s="859"/>
      <c r="N706" s="859"/>
      <c r="O706" s="859"/>
      <c r="P706" s="860"/>
      <c r="Q706" s="860"/>
      <c r="R706" s="860"/>
      <c r="S706" s="860"/>
      <c r="T706" s="860"/>
      <c r="U706" s="860"/>
      <c r="V706" s="860"/>
      <c r="W706" s="860"/>
      <c r="X706" s="860"/>
      <c r="Y706" s="860"/>
      <c r="Z706" s="860"/>
      <c r="AA706" s="860"/>
      <c r="AB706" s="860"/>
    </row>
    <row r="707">
      <c r="I707" s="856"/>
      <c r="J707" s="859"/>
      <c r="K707" s="859"/>
      <c r="L707" s="859"/>
      <c r="M707" s="859"/>
      <c r="N707" s="859"/>
      <c r="O707" s="859"/>
      <c r="P707" s="860"/>
      <c r="Q707" s="860"/>
      <c r="R707" s="860"/>
      <c r="S707" s="860"/>
      <c r="T707" s="860"/>
      <c r="U707" s="860"/>
      <c r="V707" s="860"/>
      <c r="W707" s="860"/>
      <c r="X707" s="860"/>
      <c r="Y707" s="860"/>
      <c r="Z707" s="860"/>
      <c r="AA707" s="860"/>
      <c r="AB707" s="860"/>
    </row>
    <row r="708">
      <c r="I708" s="856"/>
      <c r="J708" s="859"/>
      <c r="K708" s="859"/>
      <c r="L708" s="859"/>
      <c r="M708" s="859"/>
      <c r="N708" s="859"/>
      <c r="O708" s="859"/>
      <c r="P708" s="860"/>
      <c r="Q708" s="860"/>
      <c r="R708" s="860"/>
      <c r="S708" s="860"/>
      <c r="T708" s="860"/>
      <c r="U708" s="860"/>
      <c r="V708" s="860"/>
      <c r="W708" s="860"/>
      <c r="X708" s="860"/>
      <c r="Y708" s="860"/>
      <c r="Z708" s="860"/>
      <c r="AA708" s="860"/>
      <c r="AB708" s="860"/>
    </row>
    <row r="709">
      <c r="I709" s="856"/>
      <c r="J709" s="859"/>
      <c r="K709" s="859"/>
      <c r="L709" s="859"/>
      <c r="M709" s="859"/>
      <c r="N709" s="859"/>
      <c r="O709" s="859"/>
      <c r="P709" s="860"/>
      <c r="Q709" s="860"/>
      <c r="R709" s="860"/>
      <c r="S709" s="860"/>
      <c r="T709" s="860"/>
      <c r="U709" s="860"/>
      <c r="V709" s="860"/>
      <c r="W709" s="860"/>
      <c r="X709" s="860"/>
      <c r="Y709" s="860"/>
      <c r="Z709" s="860"/>
      <c r="AA709" s="860"/>
      <c r="AB709" s="860"/>
    </row>
    <row r="710">
      <c r="I710" s="856"/>
      <c r="J710" s="859"/>
      <c r="K710" s="859"/>
      <c r="L710" s="859"/>
      <c r="M710" s="859"/>
      <c r="N710" s="859"/>
      <c r="O710" s="859"/>
      <c r="P710" s="860"/>
      <c r="Q710" s="860"/>
      <c r="R710" s="860"/>
      <c r="S710" s="860"/>
      <c r="T710" s="860"/>
      <c r="U710" s="860"/>
      <c r="V710" s="860"/>
      <c r="W710" s="860"/>
      <c r="X710" s="860"/>
      <c r="Y710" s="860"/>
      <c r="Z710" s="860"/>
      <c r="AA710" s="860"/>
      <c r="AB710" s="860"/>
    </row>
    <row r="711">
      <c r="I711" s="856"/>
      <c r="J711" s="859"/>
      <c r="K711" s="859"/>
      <c r="L711" s="859"/>
      <c r="M711" s="859"/>
      <c r="N711" s="859"/>
      <c r="O711" s="859"/>
      <c r="P711" s="860"/>
      <c r="Q711" s="860"/>
      <c r="R711" s="860"/>
      <c r="S711" s="860"/>
      <c r="T711" s="860"/>
      <c r="U711" s="860"/>
      <c r="V711" s="860"/>
      <c r="W711" s="860"/>
      <c r="X711" s="860"/>
      <c r="Y711" s="860"/>
      <c r="Z711" s="860"/>
      <c r="AA711" s="860"/>
      <c r="AB711" s="860"/>
    </row>
    <row r="712">
      <c r="I712" s="856"/>
      <c r="J712" s="859"/>
      <c r="K712" s="859"/>
      <c r="L712" s="859"/>
      <c r="M712" s="859"/>
      <c r="N712" s="859"/>
      <c r="O712" s="859"/>
      <c r="P712" s="860"/>
      <c r="Q712" s="860"/>
      <c r="R712" s="860"/>
      <c r="S712" s="860"/>
      <c r="T712" s="860"/>
      <c r="U712" s="860"/>
      <c r="V712" s="860"/>
      <c r="W712" s="860"/>
      <c r="X712" s="860"/>
      <c r="Y712" s="860"/>
      <c r="Z712" s="860"/>
      <c r="AA712" s="860"/>
      <c r="AB712" s="860"/>
    </row>
    <row r="713">
      <c r="I713" s="856"/>
      <c r="J713" s="859"/>
      <c r="K713" s="859"/>
      <c r="L713" s="859"/>
      <c r="M713" s="859"/>
      <c r="N713" s="859"/>
      <c r="O713" s="859"/>
      <c r="P713" s="860"/>
      <c r="Q713" s="860"/>
      <c r="R713" s="860"/>
      <c r="S713" s="860"/>
      <c r="T713" s="860"/>
      <c r="U713" s="860"/>
      <c r="V713" s="860"/>
      <c r="W713" s="860"/>
      <c r="X713" s="860"/>
      <c r="Y713" s="860"/>
      <c r="Z713" s="860"/>
      <c r="AA713" s="860"/>
      <c r="AB713" s="860"/>
    </row>
    <row r="714">
      <c r="I714" s="856"/>
      <c r="J714" s="859"/>
      <c r="K714" s="859"/>
      <c r="L714" s="859"/>
      <c r="M714" s="859"/>
      <c r="N714" s="859"/>
      <c r="O714" s="859"/>
      <c r="P714" s="860"/>
      <c r="Q714" s="860"/>
      <c r="R714" s="860"/>
      <c r="S714" s="860"/>
      <c r="T714" s="860"/>
      <c r="U714" s="860"/>
      <c r="V714" s="860"/>
      <c r="W714" s="860"/>
      <c r="X714" s="860"/>
      <c r="Y714" s="860"/>
      <c r="Z714" s="860"/>
      <c r="AA714" s="860"/>
      <c r="AB714" s="860"/>
    </row>
    <row r="715">
      <c r="I715" s="856"/>
      <c r="J715" s="859"/>
      <c r="K715" s="859"/>
      <c r="L715" s="859"/>
      <c r="M715" s="859"/>
      <c r="N715" s="859"/>
      <c r="O715" s="859"/>
      <c r="P715" s="860"/>
      <c r="Q715" s="860"/>
      <c r="R715" s="860"/>
      <c r="S715" s="860"/>
      <c r="T715" s="860"/>
      <c r="U715" s="860"/>
      <c r="V715" s="860"/>
      <c r="W715" s="860"/>
      <c r="X715" s="860"/>
      <c r="Y715" s="860"/>
      <c r="Z715" s="860"/>
      <c r="AA715" s="860"/>
      <c r="AB715" s="860"/>
    </row>
    <row r="716">
      <c r="I716" s="856"/>
      <c r="J716" s="859"/>
      <c r="K716" s="859"/>
      <c r="L716" s="859"/>
      <c r="M716" s="859"/>
      <c r="N716" s="859"/>
      <c r="O716" s="859"/>
      <c r="P716" s="860"/>
      <c r="Q716" s="860"/>
      <c r="R716" s="860"/>
      <c r="S716" s="860"/>
      <c r="T716" s="860"/>
      <c r="U716" s="860"/>
      <c r="V716" s="860"/>
      <c r="W716" s="860"/>
      <c r="X716" s="860"/>
      <c r="Y716" s="860"/>
      <c r="Z716" s="860"/>
      <c r="AA716" s="860"/>
      <c r="AB716" s="860"/>
    </row>
    <row r="717">
      <c r="I717" s="856"/>
      <c r="J717" s="859"/>
      <c r="K717" s="859"/>
      <c r="L717" s="859"/>
      <c r="M717" s="859"/>
      <c r="N717" s="859"/>
      <c r="O717" s="859"/>
      <c r="P717" s="860"/>
      <c r="Q717" s="860"/>
      <c r="R717" s="860"/>
      <c r="S717" s="860"/>
      <c r="T717" s="860"/>
      <c r="U717" s="860"/>
      <c r="V717" s="860"/>
      <c r="W717" s="860"/>
      <c r="X717" s="860"/>
      <c r="Y717" s="860"/>
      <c r="Z717" s="860"/>
      <c r="AA717" s="860"/>
      <c r="AB717" s="860"/>
    </row>
    <row r="718">
      <c r="I718" s="856"/>
      <c r="J718" s="859"/>
      <c r="K718" s="859"/>
      <c r="L718" s="859"/>
      <c r="M718" s="859"/>
      <c r="N718" s="859"/>
      <c r="O718" s="859"/>
      <c r="P718" s="860"/>
      <c r="Q718" s="860"/>
      <c r="R718" s="860"/>
      <c r="S718" s="860"/>
      <c r="T718" s="860"/>
      <c r="U718" s="860"/>
      <c r="V718" s="860"/>
      <c r="W718" s="860"/>
      <c r="X718" s="860"/>
      <c r="Y718" s="860"/>
      <c r="Z718" s="860"/>
      <c r="AA718" s="860"/>
      <c r="AB718" s="860"/>
    </row>
    <row r="719">
      <c r="I719" s="856"/>
      <c r="J719" s="859"/>
      <c r="K719" s="859"/>
      <c r="L719" s="859"/>
      <c r="M719" s="859"/>
      <c r="N719" s="859"/>
      <c r="O719" s="859"/>
      <c r="P719" s="860"/>
      <c r="Q719" s="860"/>
      <c r="R719" s="860"/>
      <c r="S719" s="860"/>
      <c r="T719" s="860"/>
      <c r="U719" s="860"/>
      <c r="V719" s="860"/>
      <c r="W719" s="860"/>
      <c r="X719" s="860"/>
      <c r="Y719" s="860"/>
      <c r="Z719" s="860"/>
      <c r="AA719" s="860"/>
      <c r="AB719" s="860"/>
    </row>
    <row r="720">
      <c r="I720" s="856"/>
      <c r="J720" s="859"/>
      <c r="K720" s="859"/>
      <c r="L720" s="859"/>
      <c r="M720" s="859"/>
      <c r="N720" s="859"/>
      <c r="O720" s="859"/>
      <c r="P720" s="860"/>
      <c r="Q720" s="860"/>
      <c r="R720" s="860"/>
      <c r="S720" s="860"/>
      <c r="T720" s="860"/>
      <c r="U720" s="860"/>
      <c r="V720" s="860"/>
      <c r="W720" s="860"/>
      <c r="X720" s="860"/>
      <c r="Y720" s="860"/>
      <c r="Z720" s="860"/>
      <c r="AA720" s="860"/>
      <c r="AB720" s="860"/>
    </row>
    <row r="721">
      <c r="I721" s="856"/>
      <c r="J721" s="859"/>
      <c r="K721" s="859"/>
      <c r="L721" s="859"/>
      <c r="M721" s="859"/>
      <c r="N721" s="859"/>
      <c r="O721" s="859"/>
      <c r="P721" s="860"/>
      <c r="Q721" s="860"/>
      <c r="R721" s="860"/>
      <c r="S721" s="860"/>
      <c r="T721" s="860"/>
      <c r="U721" s="860"/>
      <c r="V721" s="860"/>
      <c r="W721" s="860"/>
      <c r="X721" s="860"/>
      <c r="Y721" s="860"/>
      <c r="Z721" s="860"/>
      <c r="AA721" s="860"/>
      <c r="AB721" s="860"/>
    </row>
    <row r="722">
      <c r="I722" s="856"/>
      <c r="J722" s="859"/>
      <c r="K722" s="859"/>
      <c r="L722" s="859"/>
      <c r="M722" s="859"/>
      <c r="N722" s="859"/>
      <c r="O722" s="859"/>
      <c r="P722" s="860"/>
      <c r="Q722" s="860"/>
      <c r="R722" s="860"/>
      <c r="S722" s="860"/>
      <c r="T722" s="860"/>
      <c r="U722" s="860"/>
      <c r="V722" s="860"/>
      <c r="W722" s="860"/>
      <c r="X722" s="860"/>
      <c r="Y722" s="860"/>
      <c r="Z722" s="860"/>
      <c r="AA722" s="860"/>
      <c r="AB722" s="860"/>
    </row>
    <row r="723">
      <c r="I723" s="856"/>
      <c r="J723" s="859"/>
      <c r="K723" s="859"/>
      <c r="L723" s="859"/>
      <c r="M723" s="859"/>
      <c r="N723" s="859"/>
      <c r="O723" s="859"/>
      <c r="P723" s="860"/>
      <c r="Q723" s="860"/>
      <c r="R723" s="860"/>
      <c r="S723" s="860"/>
      <c r="T723" s="860"/>
      <c r="U723" s="860"/>
      <c r="V723" s="860"/>
      <c r="W723" s="860"/>
      <c r="X723" s="860"/>
      <c r="Y723" s="860"/>
      <c r="Z723" s="860"/>
      <c r="AA723" s="860"/>
      <c r="AB723" s="860"/>
    </row>
    <row r="724">
      <c r="I724" s="856"/>
      <c r="J724" s="859"/>
      <c r="K724" s="859"/>
      <c r="L724" s="859"/>
      <c r="M724" s="859"/>
      <c r="N724" s="859"/>
      <c r="O724" s="859"/>
      <c r="P724" s="860"/>
      <c r="Q724" s="860"/>
      <c r="R724" s="860"/>
      <c r="S724" s="860"/>
      <c r="T724" s="860"/>
      <c r="U724" s="860"/>
      <c r="V724" s="860"/>
      <c r="W724" s="860"/>
      <c r="X724" s="860"/>
      <c r="Y724" s="860"/>
      <c r="Z724" s="860"/>
      <c r="AA724" s="860"/>
      <c r="AB724" s="860"/>
    </row>
    <row r="725">
      <c r="I725" s="856"/>
      <c r="J725" s="859"/>
      <c r="K725" s="859"/>
      <c r="L725" s="859"/>
      <c r="M725" s="859"/>
      <c r="N725" s="859"/>
      <c r="O725" s="859"/>
      <c r="P725" s="860"/>
      <c r="Q725" s="860"/>
      <c r="R725" s="860"/>
      <c r="S725" s="860"/>
      <c r="T725" s="860"/>
      <c r="U725" s="860"/>
      <c r="V725" s="860"/>
      <c r="W725" s="860"/>
      <c r="X725" s="860"/>
      <c r="Y725" s="860"/>
      <c r="Z725" s="860"/>
      <c r="AA725" s="860"/>
      <c r="AB725" s="860"/>
    </row>
    <row r="726">
      <c r="I726" s="856"/>
      <c r="J726" s="859"/>
      <c r="K726" s="859"/>
      <c r="L726" s="859"/>
      <c r="M726" s="859"/>
      <c r="N726" s="859"/>
      <c r="O726" s="859"/>
      <c r="P726" s="860"/>
      <c r="Q726" s="860"/>
      <c r="R726" s="860"/>
      <c r="S726" s="860"/>
      <c r="T726" s="860"/>
      <c r="U726" s="860"/>
      <c r="V726" s="860"/>
      <c r="W726" s="860"/>
      <c r="X726" s="860"/>
      <c r="Y726" s="860"/>
      <c r="Z726" s="860"/>
      <c r="AA726" s="860"/>
      <c r="AB726" s="860"/>
    </row>
    <row r="727">
      <c r="I727" s="856"/>
      <c r="J727" s="859"/>
      <c r="K727" s="859"/>
      <c r="L727" s="859"/>
      <c r="M727" s="859"/>
      <c r="N727" s="859"/>
      <c r="O727" s="859"/>
      <c r="P727" s="860"/>
      <c r="Q727" s="860"/>
      <c r="R727" s="860"/>
      <c r="S727" s="860"/>
      <c r="T727" s="860"/>
      <c r="U727" s="860"/>
      <c r="V727" s="860"/>
      <c r="W727" s="860"/>
      <c r="X727" s="860"/>
      <c r="Y727" s="860"/>
      <c r="Z727" s="860"/>
      <c r="AA727" s="860"/>
      <c r="AB727" s="860"/>
    </row>
    <row r="728">
      <c r="I728" s="856"/>
      <c r="J728" s="859"/>
      <c r="K728" s="859"/>
      <c r="L728" s="859"/>
      <c r="M728" s="859"/>
      <c r="N728" s="859"/>
      <c r="O728" s="859"/>
      <c r="P728" s="860"/>
      <c r="Q728" s="860"/>
      <c r="R728" s="860"/>
      <c r="S728" s="860"/>
      <c r="T728" s="860"/>
      <c r="U728" s="860"/>
      <c r="V728" s="860"/>
      <c r="W728" s="860"/>
      <c r="X728" s="860"/>
      <c r="Y728" s="860"/>
      <c r="Z728" s="860"/>
      <c r="AA728" s="860"/>
      <c r="AB728" s="860"/>
    </row>
    <row r="729">
      <c r="I729" s="856"/>
      <c r="J729" s="859"/>
      <c r="K729" s="859"/>
      <c r="L729" s="859"/>
      <c r="M729" s="859"/>
      <c r="N729" s="859"/>
      <c r="O729" s="859"/>
      <c r="P729" s="860"/>
      <c r="Q729" s="860"/>
      <c r="R729" s="860"/>
      <c r="S729" s="860"/>
      <c r="T729" s="860"/>
      <c r="U729" s="860"/>
      <c r="V729" s="860"/>
      <c r="W729" s="860"/>
      <c r="X729" s="860"/>
      <c r="Y729" s="860"/>
      <c r="Z729" s="860"/>
      <c r="AA729" s="860"/>
      <c r="AB729" s="860"/>
    </row>
    <row r="730">
      <c r="I730" s="856"/>
      <c r="J730" s="859"/>
      <c r="K730" s="859"/>
      <c r="L730" s="859"/>
      <c r="M730" s="859"/>
      <c r="N730" s="859"/>
      <c r="O730" s="859"/>
      <c r="P730" s="860"/>
      <c r="Q730" s="860"/>
      <c r="R730" s="860"/>
      <c r="S730" s="860"/>
      <c r="T730" s="860"/>
      <c r="U730" s="860"/>
      <c r="V730" s="860"/>
      <c r="W730" s="860"/>
      <c r="X730" s="860"/>
      <c r="Y730" s="860"/>
      <c r="Z730" s="860"/>
      <c r="AA730" s="860"/>
      <c r="AB730" s="860"/>
    </row>
    <row r="731">
      <c r="I731" s="856"/>
      <c r="J731" s="859"/>
      <c r="K731" s="859"/>
      <c r="L731" s="859"/>
      <c r="M731" s="859"/>
      <c r="N731" s="859"/>
      <c r="O731" s="859"/>
      <c r="P731" s="860"/>
      <c r="Q731" s="860"/>
      <c r="R731" s="860"/>
      <c r="S731" s="860"/>
      <c r="T731" s="860"/>
      <c r="U731" s="860"/>
      <c r="V731" s="860"/>
      <c r="W731" s="860"/>
      <c r="X731" s="860"/>
      <c r="Y731" s="860"/>
      <c r="Z731" s="860"/>
      <c r="AA731" s="860"/>
      <c r="AB731" s="860"/>
    </row>
    <row r="732">
      <c r="I732" s="856"/>
      <c r="J732" s="859"/>
      <c r="K732" s="859"/>
      <c r="L732" s="859"/>
      <c r="M732" s="859"/>
      <c r="N732" s="859"/>
      <c r="O732" s="859"/>
      <c r="P732" s="860"/>
      <c r="Q732" s="860"/>
      <c r="R732" s="860"/>
      <c r="S732" s="860"/>
      <c r="T732" s="860"/>
      <c r="U732" s="860"/>
      <c r="V732" s="860"/>
      <c r="W732" s="860"/>
      <c r="X732" s="860"/>
      <c r="Y732" s="860"/>
      <c r="Z732" s="860"/>
      <c r="AA732" s="860"/>
      <c r="AB732" s="860"/>
    </row>
    <row r="733">
      <c r="I733" s="856"/>
      <c r="J733" s="859"/>
      <c r="K733" s="859"/>
      <c r="L733" s="859"/>
      <c r="M733" s="859"/>
      <c r="N733" s="859"/>
      <c r="O733" s="859"/>
      <c r="P733" s="860"/>
      <c r="Q733" s="860"/>
      <c r="R733" s="860"/>
      <c r="S733" s="860"/>
      <c r="T733" s="860"/>
      <c r="U733" s="860"/>
      <c r="V733" s="860"/>
      <c r="W733" s="860"/>
      <c r="X733" s="860"/>
      <c r="Y733" s="860"/>
      <c r="Z733" s="860"/>
      <c r="AA733" s="860"/>
      <c r="AB733" s="860"/>
    </row>
    <row r="734">
      <c r="I734" s="856"/>
      <c r="J734" s="859"/>
      <c r="K734" s="859"/>
      <c r="L734" s="859"/>
      <c r="M734" s="859"/>
      <c r="N734" s="859"/>
      <c r="O734" s="859"/>
      <c r="P734" s="860"/>
      <c r="Q734" s="860"/>
      <c r="R734" s="860"/>
      <c r="S734" s="860"/>
      <c r="T734" s="860"/>
      <c r="U734" s="860"/>
      <c r="V734" s="860"/>
      <c r="W734" s="860"/>
      <c r="X734" s="860"/>
      <c r="Y734" s="860"/>
      <c r="Z734" s="860"/>
      <c r="AA734" s="860"/>
      <c r="AB734" s="860"/>
    </row>
    <row r="735">
      <c r="I735" s="856"/>
      <c r="J735" s="859"/>
      <c r="K735" s="859"/>
      <c r="L735" s="859"/>
      <c r="M735" s="859"/>
      <c r="N735" s="859"/>
      <c r="O735" s="859"/>
      <c r="P735" s="860"/>
      <c r="Q735" s="860"/>
      <c r="R735" s="860"/>
      <c r="S735" s="860"/>
      <c r="T735" s="860"/>
      <c r="U735" s="860"/>
      <c r="V735" s="860"/>
      <c r="W735" s="860"/>
      <c r="X735" s="860"/>
      <c r="Y735" s="860"/>
      <c r="Z735" s="860"/>
      <c r="AA735" s="860"/>
      <c r="AB735" s="860"/>
    </row>
    <row r="736">
      <c r="I736" s="856"/>
      <c r="J736" s="859"/>
      <c r="K736" s="859"/>
      <c r="L736" s="859"/>
      <c r="M736" s="859"/>
      <c r="N736" s="859"/>
      <c r="O736" s="859"/>
      <c r="P736" s="860"/>
      <c r="Q736" s="860"/>
      <c r="R736" s="860"/>
      <c r="S736" s="860"/>
      <c r="T736" s="860"/>
      <c r="U736" s="860"/>
      <c r="V736" s="860"/>
      <c r="W736" s="860"/>
      <c r="X736" s="860"/>
      <c r="Y736" s="860"/>
      <c r="Z736" s="860"/>
      <c r="AA736" s="860"/>
      <c r="AB736" s="860"/>
    </row>
    <row r="737">
      <c r="I737" s="856"/>
      <c r="J737" s="859"/>
      <c r="K737" s="859"/>
      <c r="L737" s="859"/>
      <c r="M737" s="859"/>
      <c r="N737" s="859"/>
      <c r="O737" s="859"/>
      <c r="P737" s="860"/>
      <c r="Q737" s="860"/>
      <c r="R737" s="860"/>
      <c r="S737" s="860"/>
      <c r="T737" s="860"/>
      <c r="U737" s="860"/>
      <c r="V737" s="860"/>
      <c r="W737" s="860"/>
      <c r="X737" s="860"/>
      <c r="Y737" s="860"/>
      <c r="Z737" s="860"/>
      <c r="AA737" s="860"/>
      <c r="AB737" s="860"/>
    </row>
    <row r="738">
      <c r="I738" s="856"/>
      <c r="J738" s="859"/>
      <c r="K738" s="859"/>
      <c r="L738" s="859"/>
      <c r="M738" s="859"/>
      <c r="N738" s="859"/>
      <c r="O738" s="859"/>
      <c r="P738" s="860"/>
      <c r="Q738" s="860"/>
      <c r="R738" s="860"/>
      <c r="S738" s="860"/>
      <c r="T738" s="860"/>
      <c r="U738" s="860"/>
      <c r="V738" s="860"/>
      <c r="W738" s="860"/>
      <c r="X738" s="860"/>
      <c r="Y738" s="860"/>
      <c r="Z738" s="860"/>
      <c r="AA738" s="860"/>
      <c r="AB738" s="860"/>
    </row>
    <row r="739">
      <c r="I739" s="856"/>
      <c r="J739" s="859"/>
      <c r="K739" s="859"/>
      <c r="L739" s="859"/>
      <c r="M739" s="859"/>
      <c r="N739" s="859"/>
      <c r="O739" s="859"/>
      <c r="P739" s="860"/>
      <c r="Q739" s="860"/>
      <c r="R739" s="860"/>
      <c r="S739" s="860"/>
      <c r="T739" s="860"/>
      <c r="U739" s="860"/>
      <c r="V739" s="860"/>
      <c r="W739" s="860"/>
      <c r="X739" s="860"/>
      <c r="Y739" s="860"/>
      <c r="Z739" s="860"/>
      <c r="AA739" s="860"/>
      <c r="AB739" s="860"/>
    </row>
    <row r="740">
      <c r="I740" s="856"/>
      <c r="J740" s="859"/>
      <c r="K740" s="859"/>
      <c r="L740" s="859"/>
      <c r="M740" s="859"/>
      <c r="N740" s="859"/>
      <c r="O740" s="859"/>
      <c r="P740" s="860"/>
      <c r="Q740" s="860"/>
      <c r="R740" s="860"/>
      <c r="S740" s="860"/>
      <c r="T740" s="860"/>
      <c r="U740" s="860"/>
      <c r="V740" s="860"/>
      <c r="W740" s="860"/>
      <c r="X740" s="860"/>
      <c r="Y740" s="860"/>
      <c r="Z740" s="860"/>
      <c r="AA740" s="860"/>
      <c r="AB740" s="860"/>
    </row>
    <row r="741">
      <c r="I741" s="856"/>
      <c r="J741" s="859"/>
      <c r="K741" s="859"/>
      <c r="L741" s="859"/>
      <c r="M741" s="859"/>
      <c r="N741" s="859"/>
      <c r="O741" s="859"/>
      <c r="P741" s="860"/>
      <c r="Q741" s="860"/>
      <c r="R741" s="860"/>
      <c r="S741" s="860"/>
      <c r="T741" s="860"/>
      <c r="U741" s="860"/>
      <c r="V741" s="860"/>
      <c r="W741" s="860"/>
      <c r="X741" s="860"/>
      <c r="Y741" s="860"/>
      <c r="Z741" s="860"/>
      <c r="AA741" s="860"/>
      <c r="AB741" s="860"/>
    </row>
    <row r="742">
      <c r="I742" s="856"/>
      <c r="J742" s="859"/>
      <c r="K742" s="859"/>
      <c r="L742" s="859"/>
      <c r="M742" s="859"/>
      <c r="N742" s="859"/>
      <c r="O742" s="859"/>
      <c r="P742" s="860"/>
      <c r="Q742" s="860"/>
      <c r="R742" s="860"/>
      <c r="S742" s="860"/>
      <c r="T742" s="860"/>
      <c r="U742" s="860"/>
      <c r="V742" s="860"/>
      <c r="W742" s="860"/>
      <c r="X742" s="860"/>
      <c r="Y742" s="860"/>
      <c r="Z742" s="860"/>
      <c r="AA742" s="860"/>
      <c r="AB742" s="860"/>
    </row>
    <row r="743">
      <c r="I743" s="856"/>
      <c r="J743" s="859"/>
      <c r="K743" s="859"/>
      <c r="L743" s="859"/>
      <c r="M743" s="859"/>
      <c r="N743" s="859"/>
      <c r="O743" s="859"/>
      <c r="P743" s="860"/>
      <c r="Q743" s="860"/>
      <c r="R743" s="860"/>
      <c r="S743" s="860"/>
      <c r="T743" s="860"/>
      <c r="U743" s="860"/>
      <c r="V743" s="860"/>
      <c r="W743" s="860"/>
      <c r="X743" s="860"/>
      <c r="Y743" s="860"/>
      <c r="Z743" s="860"/>
      <c r="AA743" s="860"/>
      <c r="AB743" s="860"/>
    </row>
    <row r="744">
      <c r="I744" s="856"/>
      <c r="J744" s="859"/>
      <c r="K744" s="859"/>
      <c r="L744" s="859"/>
      <c r="M744" s="859"/>
      <c r="N744" s="859"/>
      <c r="O744" s="859"/>
      <c r="P744" s="860"/>
      <c r="Q744" s="860"/>
      <c r="R744" s="860"/>
      <c r="S744" s="860"/>
      <c r="T744" s="860"/>
      <c r="U744" s="860"/>
      <c r="V744" s="860"/>
      <c r="W744" s="860"/>
      <c r="X744" s="860"/>
      <c r="Y744" s="860"/>
      <c r="Z744" s="860"/>
      <c r="AA744" s="860"/>
      <c r="AB744" s="860"/>
    </row>
    <row r="745">
      <c r="I745" s="856"/>
      <c r="J745" s="859"/>
      <c r="K745" s="859"/>
      <c r="L745" s="859"/>
      <c r="M745" s="859"/>
      <c r="N745" s="859"/>
      <c r="O745" s="859"/>
      <c r="P745" s="860"/>
      <c r="Q745" s="860"/>
      <c r="R745" s="860"/>
      <c r="S745" s="860"/>
      <c r="T745" s="860"/>
      <c r="U745" s="860"/>
      <c r="V745" s="860"/>
      <c r="W745" s="860"/>
      <c r="X745" s="860"/>
      <c r="Y745" s="860"/>
      <c r="Z745" s="860"/>
      <c r="AA745" s="860"/>
      <c r="AB745" s="860"/>
    </row>
    <row r="746">
      <c r="I746" s="856"/>
      <c r="J746" s="859"/>
      <c r="K746" s="859"/>
      <c r="L746" s="859"/>
      <c r="M746" s="859"/>
      <c r="N746" s="859"/>
      <c r="O746" s="859"/>
      <c r="P746" s="860"/>
      <c r="Q746" s="860"/>
      <c r="R746" s="860"/>
      <c r="S746" s="860"/>
      <c r="T746" s="860"/>
      <c r="U746" s="860"/>
      <c r="V746" s="860"/>
      <c r="W746" s="860"/>
      <c r="X746" s="860"/>
      <c r="Y746" s="860"/>
      <c r="Z746" s="860"/>
      <c r="AA746" s="860"/>
      <c r="AB746" s="860"/>
    </row>
    <row r="747">
      <c r="I747" s="856"/>
      <c r="J747" s="859"/>
      <c r="K747" s="859"/>
      <c r="L747" s="859"/>
      <c r="M747" s="859"/>
      <c r="N747" s="859"/>
      <c r="O747" s="859"/>
      <c r="P747" s="860"/>
      <c r="Q747" s="860"/>
      <c r="R747" s="860"/>
      <c r="S747" s="860"/>
      <c r="T747" s="860"/>
      <c r="U747" s="860"/>
      <c r="V747" s="860"/>
      <c r="W747" s="860"/>
      <c r="X747" s="860"/>
      <c r="Y747" s="860"/>
      <c r="Z747" s="860"/>
      <c r="AA747" s="860"/>
      <c r="AB747" s="860"/>
    </row>
    <row r="748">
      <c r="I748" s="856"/>
      <c r="J748" s="859"/>
      <c r="K748" s="859"/>
      <c r="L748" s="859"/>
      <c r="M748" s="859"/>
      <c r="N748" s="859"/>
      <c r="O748" s="859"/>
      <c r="P748" s="860"/>
      <c r="Q748" s="860"/>
      <c r="R748" s="860"/>
      <c r="S748" s="860"/>
      <c r="T748" s="860"/>
      <c r="U748" s="860"/>
      <c r="V748" s="860"/>
      <c r="W748" s="860"/>
      <c r="X748" s="860"/>
      <c r="Y748" s="860"/>
      <c r="Z748" s="860"/>
      <c r="AA748" s="860"/>
      <c r="AB748" s="860"/>
    </row>
    <row r="749">
      <c r="I749" s="856"/>
      <c r="J749" s="859"/>
      <c r="K749" s="859"/>
      <c r="L749" s="859"/>
      <c r="M749" s="859"/>
      <c r="N749" s="859"/>
      <c r="O749" s="859"/>
      <c r="P749" s="860"/>
      <c r="Q749" s="860"/>
      <c r="R749" s="860"/>
      <c r="S749" s="860"/>
      <c r="T749" s="860"/>
      <c r="U749" s="860"/>
      <c r="V749" s="860"/>
      <c r="W749" s="860"/>
      <c r="X749" s="860"/>
      <c r="Y749" s="860"/>
      <c r="Z749" s="860"/>
      <c r="AA749" s="860"/>
      <c r="AB749" s="860"/>
    </row>
    <row r="750">
      <c r="I750" s="856"/>
      <c r="J750" s="859"/>
      <c r="K750" s="859"/>
      <c r="L750" s="859"/>
      <c r="M750" s="859"/>
      <c r="N750" s="859"/>
      <c r="O750" s="859"/>
      <c r="P750" s="860"/>
      <c r="Q750" s="860"/>
      <c r="R750" s="860"/>
      <c r="S750" s="860"/>
      <c r="T750" s="860"/>
      <c r="U750" s="860"/>
      <c r="V750" s="860"/>
      <c r="W750" s="860"/>
      <c r="X750" s="860"/>
      <c r="Y750" s="860"/>
      <c r="Z750" s="860"/>
      <c r="AA750" s="860"/>
      <c r="AB750" s="860"/>
    </row>
    <row r="751">
      <c r="I751" s="856"/>
      <c r="J751" s="859"/>
      <c r="K751" s="859"/>
      <c r="L751" s="859"/>
      <c r="M751" s="859"/>
      <c r="N751" s="859"/>
      <c r="O751" s="859"/>
      <c r="P751" s="860"/>
      <c r="Q751" s="860"/>
      <c r="R751" s="860"/>
      <c r="S751" s="860"/>
      <c r="T751" s="860"/>
      <c r="U751" s="860"/>
      <c r="V751" s="860"/>
      <c r="W751" s="860"/>
      <c r="X751" s="860"/>
      <c r="Y751" s="860"/>
      <c r="Z751" s="860"/>
      <c r="AA751" s="860"/>
      <c r="AB751" s="860"/>
    </row>
    <row r="752">
      <c r="I752" s="856"/>
      <c r="J752" s="859"/>
      <c r="K752" s="859"/>
      <c r="L752" s="859"/>
      <c r="M752" s="859"/>
      <c r="N752" s="859"/>
      <c r="O752" s="859"/>
      <c r="P752" s="860"/>
      <c r="Q752" s="860"/>
      <c r="R752" s="860"/>
      <c r="S752" s="860"/>
      <c r="T752" s="860"/>
      <c r="U752" s="860"/>
      <c r="V752" s="860"/>
      <c r="W752" s="860"/>
      <c r="X752" s="860"/>
      <c r="Y752" s="860"/>
      <c r="Z752" s="860"/>
      <c r="AA752" s="860"/>
      <c r="AB752" s="860"/>
    </row>
    <row r="753">
      <c r="I753" s="856"/>
      <c r="J753" s="859"/>
      <c r="K753" s="859"/>
      <c r="L753" s="859"/>
      <c r="M753" s="859"/>
      <c r="N753" s="859"/>
      <c r="O753" s="859"/>
      <c r="P753" s="860"/>
      <c r="Q753" s="860"/>
      <c r="R753" s="860"/>
      <c r="S753" s="860"/>
      <c r="T753" s="860"/>
      <c r="U753" s="860"/>
      <c r="V753" s="860"/>
      <c r="W753" s="860"/>
      <c r="X753" s="860"/>
      <c r="Y753" s="860"/>
      <c r="Z753" s="860"/>
      <c r="AA753" s="860"/>
      <c r="AB753" s="860"/>
    </row>
    <row r="754">
      <c r="I754" s="856"/>
      <c r="J754" s="859"/>
      <c r="K754" s="859"/>
      <c r="L754" s="859"/>
      <c r="M754" s="859"/>
      <c r="N754" s="859"/>
      <c r="O754" s="859"/>
      <c r="P754" s="860"/>
      <c r="Q754" s="860"/>
      <c r="R754" s="860"/>
      <c r="S754" s="860"/>
      <c r="T754" s="860"/>
      <c r="U754" s="860"/>
      <c r="V754" s="860"/>
      <c r="W754" s="860"/>
      <c r="X754" s="860"/>
      <c r="Y754" s="860"/>
      <c r="Z754" s="860"/>
      <c r="AA754" s="860"/>
      <c r="AB754" s="860"/>
    </row>
    <row r="755">
      <c r="I755" s="856"/>
      <c r="J755" s="859"/>
      <c r="K755" s="859"/>
      <c r="L755" s="859"/>
      <c r="M755" s="859"/>
      <c r="N755" s="859"/>
      <c r="O755" s="859"/>
      <c r="P755" s="860"/>
      <c r="Q755" s="860"/>
      <c r="R755" s="860"/>
      <c r="S755" s="860"/>
      <c r="T755" s="860"/>
      <c r="U755" s="860"/>
      <c r="V755" s="860"/>
      <c r="W755" s="860"/>
      <c r="X755" s="860"/>
      <c r="Y755" s="860"/>
      <c r="Z755" s="860"/>
      <c r="AA755" s="860"/>
      <c r="AB755" s="860"/>
    </row>
    <row r="756">
      <c r="I756" s="856"/>
      <c r="J756" s="859"/>
      <c r="K756" s="859"/>
      <c r="L756" s="859"/>
      <c r="M756" s="859"/>
      <c r="N756" s="859"/>
      <c r="O756" s="859"/>
      <c r="P756" s="860"/>
      <c r="Q756" s="860"/>
      <c r="R756" s="860"/>
      <c r="S756" s="860"/>
      <c r="T756" s="860"/>
      <c r="U756" s="860"/>
      <c r="V756" s="860"/>
      <c r="W756" s="860"/>
      <c r="X756" s="860"/>
      <c r="Y756" s="860"/>
      <c r="Z756" s="860"/>
      <c r="AA756" s="860"/>
      <c r="AB756" s="860"/>
    </row>
    <row r="757">
      <c r="I757" s="856"/>
      <c r="J757" s="859"/>
      <c r="K757" s="859"/>
      <c r="L757" s="859"/>
      <c r="M757" s="859"/>
      <c r="N757" s="859"/>
      <c r="O757" s="859"/>
      <c r="P757" s="860"/>
      <c r="Q757" s="860"/>
      <c r="R757" s="860"/>
      <c r="S757" s="860"/>
      <c r="T757" s="860"/>
      <c r="U757" s="860"/>
      <c r="V757" s="860"/>
      <c r="W757" s="860"/>
      <c r="X757" s="860"/>
      <c r="Y757" s="860"/>
      <c r="Z757" s="860"/>
      <c r="AA757" s="860"/>
      <c r="AB757" s="860"/>
    </row>
    <row r="758">
      <c r="I758" s="856"/>
      <c r="J758" s="859"/>
      <c r="K758" s="859"/>
      <c r="L758" s="859"/>
      <c r="M758" s="859"/>
      <c r="N758" s="859"/>
      <c r="O758" s="859"/>
      <c r="P758" s="860"/>
      <c r="Q758" s="860"/>
      <c r="R758" s="860"/>
      <c r="S758" s="860"/>
      <c r="T758" s="860"/>
      <c r="U758" s="860"/>
      <c r="V758" s="860"/>
      <c r="W758" s="860"/>
      <c r="X758" s="860"/>
      <c r="Y758" s="860"/>
      <c r="Z758" s="860"/>
      <c r="AA758" s="860"/>
      <c r="AB758" s="860"/>
    </row>
    <row r="759">
      <c r="I759" s="856"/>
      <c r="J759" s="859"/>
      <c r="K759" s="859"/>
      <c r="L759" s="859"/>
      <c r="M759" s="859"/>
      <c r="N759" s="859"/>
      <c r="O759" s="859"/>
      <c r="P759" s="860"/>
      <c r="Q759" s="860"/>
      <c r="R759" s="860"/>
      <c r="S759" s="860"/>
      <c r="T759" s="860"/>
      <c r="U759" s="860"/>
      <c r="V759" s="860"/>
      <c r="W759" s="860"/>
      <c r="X759" s="860"/>
      <c r="Y759" s="860"/>
      <c r="Z759" s="860"/>
      <c r="AA759" s="860"/>
      <c r="AB759" s="860"/>
    </row>
    <row r="760">
      <c r="I760" s="856"/>
      <c r="J760" s="859"/>
      <c r="K760" s="859"/>
      <c r="L760" s="859"/>
      <c r="M760" s="859"/>
      <c r="N760" s="859"/>
      <c r="O760" s="859"/>
      <c r="P760" s="860"/>
      <c r="Q760" s="860"/>
      <c r="R760" s="860"/>
      <c r="S760" s="860"/>
      <c r="T760" s="860"/>
      <c r="U760" s="860"/>
      <c r="V760" s="860"/>
      <c r="W760" s="860"/>
      <c r="X760" s="860"/>
      <c r="Y760" s="860"/>
      <c r="Z760" s="860"/>
      <c r="AA760" s="860"/>
      <c r="AB760" s="860"/>
    </row>
    <row r="761">
      <c r="I761" s="856"/>
      <c r="J761" s="859"/>
      <c r="K761" s="859"/>
      <c r="L761" s="859"/>
      <c r="M761" s="859"/>
      <c r="N761" s="859"/>
      <c r="O761" s="859"/>
      <c r="P761" s="860"/>
      <c r="Q761" s="860"/>
      <c r="R761" s="860"/>
      <c r="S761" s="860"/>
      <c r="T761" s="860"/>
      <c r="U761" s="860"/>
      <c r="V761" s="860"/>
      <c r="W761" s="860"/>
      <c r="X761" s="860"/>
      <c r="Y761" s="860"/>
      <c r="Z761" s="860"/>
      <c r="AA761" s="860"/>
      <c r="AB761" s="860"/>
    </row>
    <row r="762">
      <c r="I762" s="856"/>
      <c r="J762" s="859"/>
      <c r="K762" s="859"/>
      <c r="L762" s="859"/>
      <c r="M762" s="859"/>
      <c r="N762" s="859"/>
      <c r="O762" s="859"/>
      <c r="P762" s="860"/>
      <c r="Q762" s="860"/>
      <c r="R762" s="860"/>
      <c r="S762" s="860"/>
      <c r="T762" s="860"/>
      <c r="U762" s="860"/>
      <c r="V762" s="860"/>
      <c r="W762" s="860"/>
      <c r="X762" s="860"/>
      <c r="Y762" s="860"/>
      <c r="Z762" s="860"/>
      <c r="AA762" s="860"/>
      <c r="AB762" s="860"/>
    </row>
    <row r="763">
      <c r="I763" s="856"/>
      <c r="J763" s="859"/>
      <c r="K763" s="859"/>
      <c r="L763" s="859"/>
      <c r="M763" s="859"/>
      <c r="N763" s="859"/>
      <c r="O763" s="859"/>
      <c r="P763" s="860"/>
      <c r="Q763" s="860"/>
      <c r="R763" s="860"/>
      <c r="S763" s="860"/>
      <c r="T763" s="860"/>
      <c r="U763" s="860"/>
      <c r="V763" s="860"/>
      <c r="W763" s="860"/>
      <c r="X763" s="860"/>
      <c r="Y763" s="860"/>
      <c r="Z763" s="860"/>
      <c r="AA763" s="860"/>
      <c r="AB763" s="860"/>
    </row>
    <row r="764">
      <c r="I764" s="856"/>
      <c r="J764" s="859"/>
      <c r="K764" s="859"/>
      <c r="L764" s="859"/>
      <c r="M764" s="859"/>
      <c r="N764" s="859"/>
      <c r="O764" s="859"/>
      <c r="P764" s="860"/>
      <c r="Q764" s="860"/>
      <c r="R764" s="860"/>
      <c r="S764" s="860"/>
      <c r="T764" s="860"/>
      <c r="U764" s="860"/>
      <c r="V764" s="860"/>
      <c r="W764" s="860"/>
      <c r="X764" s="860"/>
      <c r="Y764" s="860"/>
      <c r="Z764" s="860"/>
      <c r="AA764" s="860"/>
      <c r="AB764" s="860"/>
    </row>
    <row r="765">
      <c r="I765" s="856"/>
      <c r="J765" s="859"/>
      <c r="K765" s="859"/>
      <c r="L765" s="859"/>
      <c r="M765" s="859"/>
      <c r="N765" s="859"/>
      <c r="O765" s="859"/>
      <c r="P765" s="860"/>
      <c r="Q765" s="860"/>
      <c r="R765" s="860"/>
      <c r="S765" s="860"/>
      <c r="T765" s="860"/>
      <c r="U765" s="860"/>
      <c r="V765" s="860"/>
      <c r="W765" s="860"/>
      <c r="X765" s="860"/>
      <c r="Y765" s="860"/>
      <c r="Z765" s="860"/>
      <c r="AA765" s="860"/>
      <c r="AB765" s="860"/>
    </row>
    <row r="766">
      <c r="I766" s="856"/>
      <c r="J766" s="859"/>
      <c r="K766" s="859"/>
      <c r="L766" s="859"/>
      <c r="M766" s="859"/>
      <c r="N766" s="859"/>
      <c r="O766" s="859"/>
      <c r="P766" s="860"/>
      <c r="Q766" s="860"/>
      <c r="R766" s="860"/>
      <c r="S766" s="860"/>
      <c r="T766" s="860"/>
      <c r="U766" s="860"/>
      <c r="V766" s="860"/>
      <c r="W766" s="860"/>
      <c r="X766" s="860"/>
      <c r="Y766" s="860"/>
      <c r="Z766" s="860"/>
      <c r="AA766" s="860"/>
      <c r="AB766" s="860"/>
    </row>
    <row r="767">
      <c r="I767" s="856"/>
      <c r="J767" s="859"/>
      <c r="K767" s="859"/>
      <c r="L767" s="859"/>
      <c r="M767" s="859"/>
      <c r="N767" s="859"/>
      <c r="O767" s="859"/>
      <c r="P767" s="860"/>
      <c r="Q767" s="860"/>
      <c r="R767" s="860"/>
      <c r="S767" s="860"/>
      <c r="T767" s="860"/>
      <c r="U767" s="860"/>
      <c r="V767" s="860"/>
      <c r="W767" s="860"/>
      <c r="X767" s="860"/>
      <c r="Y767" s="860"/>
      <c r="Z767" s="860"/>
      <c r="AA767" s="860"/>
      <c r="AB767" s="860"/>
    </row>
    <row r="768">
      <c r="I768" s="856"/>
      <c r="J768" s="859"/>
      <c r="K768" s="859"/>
      <c r="L768" s="859"/>
      <c r="M768" s="859"/>
      <c r="N768" s="859"/>
      <c r="O768" s="859"/>
      <c r="P768" s="860"/>
      <c r="Q768" s="860"/>
      <c r="R768" s="860"/>
      <c r="S768" s="860"/>
      <c r="T768" s="860"/>
      <c r="U768" s="860"/>
      <c r="V768" s="860"/>
      <c r="W768" s="860"/>
      <c r="X768" s="860"/>
      <c r="Y768" s="860"/>
      <c r="Z768" s="860"/>
      <c r="AA768" s="860"/>
      <c r="AB768" s="860"/>
    </row>
    <row r="769">
      <c r="I769" s="856"/>
      <c r="J769" s="859"/>
      <c r="K769" s="859"/>
      <c r="L769" s="859"/>
      <c r="M769" s="859"/>
      <c r="N769" s="859"/>
      <c r="O769" s="859"/>
      <c r="P769" s="860"/>
      <c r="Q769" s="860"/>
      <c r="R769" s="860"/>
      <c r="S769" s="860"/>
      <c r="T769" s="860"/>
      <c r="U769" s="860"/>
      <c r="V769" s="860"/>
      <c r="W769" s="860"/>
      <c r="X769" s="860"/>
      <c r="Y769" s="860"/>
      <c r="Z769" s="860"/>
      <c r="AA769" s="860"/>
      <c r="AB769" s="860"/>
    </row>
    <row r="770">
      <c r="I770" s="856"/>
      <c r="J770" s="859"/>
      <c r="K770" s="859"/>
      <c r="L770" s="859"/>
      <c r="M770" s="859"/>
      <c r="N770" s="859"/>
      <c r="O770" s="859"/>
      <c r="P770" s="860"/>
      <c r="Q770" s="860"/>
      <c r="R770" s="860"/>
      <c r="S770" s="860"/>
      <c r="T770" s="860"/>
      <c r="U770" s="860"/>
      <c r="V770" s="860"/>
      <c r="W770" s="860"/>
      <c r="X770" s="860"/>
      <c r="Y770" s="860"/>
      <c r="Z770" s="860"/>
      <c r="AA770" s="860"/>
      <c r="AB770" s="860"/>
    </row>
    <row r="771">
      <c r="I771" s="856"/>
      <c r="J771" s="859"/>
      <c r="K771" s="859"/>
      <c r="L771" s="859"/>
      <c r="M771" s="859"/>
      <c r="N771" s="859"/>
      <c r="O771" s="859"/>
      <c r="P771" s="860"/>
      <c r="Q771" s="860"/>
      <c r="R771" s="860"/>
      <c r="S771" s="860"/>
      <c r="T771" s="860"/>
      <c r="U771" s="860"/>
      <c r="V771" s="860"/>
      <c r="W771" s="860"/>
      <c r="X771" s="860"/>
      <c r="Y771" s="860"/>
      <c r="Z771" s="860"/>
      <c r="AA771" s="860"/>
      <c r="AB771" s="860"/>
    </row>
    <row r="772">
      <c r="I772" s="856"/>
      <c r="J772" s="859"/>
      <c r="K772" s="859"/>
      <c r="L772" s="859"/>
      <c r="M772" s="859"/>
      <c r="N772" s="859"/>
      <c r="O772" s="859"/>
      <c r="P772" s="860"/>
      <c r="Q772" s="860"/>
      <c r="R772" s="860"/>
      <c r="S772" s="860"/>
      <c r="T772" s="860"/>
      <c r="U772" s="860"/>
      <c r="V772" s="860"/>
      <c r="W772" s="860"/>
      <c r="X772" s="860"/>
      <c r="Y772" s="860"/>
      <c r="Z772" s="860"/>
      <c r="AA772" s="860"/>
      <c r="AB772" s="860"/>
    </row>
    <row r="773">
      <c r="I773" s="856"/>
      <c r="J773" s="859"/>
      <c r="K773" s="859"/>
      <c r="L773" s="859"/>
      <c r="M773" s="859"/>
      <c r="N773" s="859"/>
      <c r="O773" s="859"/>
      <c r="P773" s="860"/>
      <c r="Q773" s="860"/>
      <c r="R773" s="860"/>
      <c r="S773" s="860"/>
      <c r="T773" s="860"/>
      <c r="U773" s="860"/>
      <c r="V773" s="860"/>
      <c r="W773" s="860"/>
      <c r="X773" s="860"/>
      <c r="Y773" s="860"/>
      <c r="Z773" s="860"/>
      <c r="AA773" s="860"/>
      <c r="AB773" s="860"/>
    </row>
    <row r="774">
      <c r="I774" s="856"/>
      <c r="J774" s="859"/>
      <c r="K774" s="859"/>
      <c r="L774" s="859"/>
      <c r="M774" s="859"/>
      <c r="N774" s="859"/>
      <c r="O774" s="859"/>
      <c r="P774" s="860"/>
      <c r="Q774" s="860"/>
      <c r="R774" s="860"/>
      <c r="S774" s="860"/>
      <c r="T774" s="860"/>
      <c r="U774" s="860"/>
      <c r="V774" s="860"/>
      <c r="W774" s="860"/>
      <c r="X774" s="860"/>
      <c r="Y774" s="860"/>
      <c r="Z774" s="860"/>
      <c r="AA774" s="860"/>
      <c r="AB774" s="860"/>
    </row>
    <row r="775">
      <c r="I775" s="856"/>
      <c r="J775" s="859"/>
      <c r="K775" s="859"/>
      <c r="L775" s="859"/>
      <c r="M775" s="859"/>
      <c r="N775" s="859"/>
      <c r="O775" s="859"/>
      <c r="P775" s="860"/>
      <c r="Q775" s="860"/>
      <c r="R775" s="860"/>
      <c r="S775" s="860"/>
      <c r="T775" s="860"/>
      <c r="U775" s="860"/>
      <c r="V775" s="860"/>
      <c r="W775" s="860"/>
      <c r="X775" s="860"/>
      <c r="Y775" s="860"/>
      <c r="Z775" s="860"/>
      <c r="AA775" s="860"/>
      <c r="AB775" s="860"/>
    </row>
    <row r="776">
      <c r="I776" s="856"/>
      <c r="J776" s="859"/>
      <c r="K776" s="859"/>
      <c r="L776" s="859"/>
      <c r="M776" s="859"/>
      <c r="N776" s="859"/>
      <c r="O776" s="859"/>
      <c r="P776" s="860"/>
      <c r="Q776" s="860"/>
      <c r="R776" s="860"/>
      <c r="S776" s="860"/>
      <c r="T776" s="860"/>
      <c r="U776" s="860"/>
      <c r="V776" s="860"/>
      <c r="W776" s="860"/>
      <c r="X776" s="860"/>
      <c r="Y776" s="860"/>
      <c r="Z776" s="860"/>
      <c r="AA776" s="860"/>
      <c r="AB776" s="860"/>
    </row>
    <row r="777">
      <c r="I777" s="856"/>
      <c r="J777" s="859"/>
      <c r="K777" s="859"/>
      <c r="L777" s="859"/>
      <c r="M777" s="859"/>
      <c r="N777" s="859"/>
      <c r="O777" s="859"/>
      <c r="P777" s="860"/>
      <c r="Q777" s="860"/>
      <c r="R777" s="860"/>
      <c r="S777" s="860"/>
      <c r="T777" s="860"/>
      <c r="U777" s="860"/>
      <c r="V777" s="860"/>
      <c r="W777" s="860"/>
      <c r="X777" s="860"/>
      <c r="Y777" s="860"/>
      <c r="Z777" s="860"/>
      <c r="AA777" s="860"/>
      <c r="AB777" s="860"/>
    </row>
    <row r="778">
      <c r="I778" s="856"/>
      <c r="J778" s="859"/>
      <c r="K778" s="859"/>
      <c r="L778" s="859"/>
      <c r="M778" s="859"/>
      <c r="N778" s="859"/>
      <c r="O778" s="859"/>
      <c r="P778" s="860"/>
      <c r="Q778" s="860"/>
      <c r="R778" s="860"/>
      <c r="S778" s="860"/>
      <c r="T778" s="860"/>
      <c r="U778" s="860"/>
      <c r="V778" s="860"/>
      <c r="W778" s="860"/>
      <c r="X778" s="860"/>
      <c r="Y778" s="860"/>
      <c r="Z778" s="860"/>
      <c r="AA778" s="860"/>
      <c r="AB778" s="860"/>
    </row>
    <row r="779">
      <c r="I779" s="856"/>
      <c r="J779" s="859"/>
      <c r="K779" s="859"/>
      <c r="L779" s="859"/>
      <c r="M779" s="859"/>
      <c r="N779" s="859"/>
      <c r="O779" s="859"/>
      <c r="P779" s="860"/>
      <c r="Q779" s="860"/>
      <c r="R779" s="860"/>
      <c r="S779" s="860"/>
      <c r="T779" s="860"/>
      <c r="U779" s="860"/>
      <c r="V779" s="860"/>
      <c r="W779" s="860"/>
      <c r="X779" s="860"/>
      <c r="Y779" s="860"/>
      <c r="Z779" s="860"/>
      <c r="AA779" s="860"/>
      <c r="AB779" s="860"/>
    </row>
    <row r="780">
      <c r="I780" s="856"/>
      <c r="J780" s="859"/>
      <c r="K780" s="859"/>
      <c r="L780" s="859"/>
      <c r="M780" s="859"/>
      <c r="N780" s="859"/>
      <c r="O780" s="859"/>
      <c r="P780" s="860"/>
      <c r="Q780" s="860"/>
      <c r="R780" s="860"/>
      <c r="S780" s="860"/>
      <c r="T780" s="860"/>
      <c r="U780" s="860"/>
      <c r="V780" s="860"/>
      <c r="W780" s="860"/>
      <c r="X780" s="860"/>
      <c r="Y780" s="860"/>
      <c r="Z780" s="860"/>
      <c r="AA780" s="860"/>
      <c r="AB780" s="860"/>
    </row>
    <row r="781">
      <c r="I781" s="856"/>
      <c r="J781" s="859"/>
      <c r="K781" s="859"/>
      <c r="L781" s="859"/>
      <c r="M781" s="859"/>
      <c r="N781" s="859"/>
      <c r="O781" s="859"/>
      <c r="P781" s="860"/>
      <c r="Q781" s="860"/>
      <c r="R781" s="860"/>
      <c r="S781" s="860"/>
      <c r="T781" s="860"/>
      <c r="U781" s="860"/>
      <c r="V781" s="860"/>
      <c r="W781" s="860"/>
      <c r="X781" s="860"/>
      <c r="Y781" s="860"/>
      <c r="Z781" s="860"/>
      <c r="AA781" s="860"/>
      <c r="AB781" s="860"/>
    </row>
    <row r="782">
      <c r="I782" s="856"/>
      <c r="J782" s="859"/>
      <c r="K782" s="859"/>
      <c r="L782" s="859"/>
      <c r="M782" s="859"/>
      <c r="N782" s="859"/>
      <c r="O782" s="859"/>
      <c r="P782" s="860"/>
      <c r="Q782" s="860"/>
      <c r="R782" s="860"/>
      <c r="S782" s="860"/>
      <c r="T782" s="860"/>
      <c r="U782" s="860"/>
      <c r="V782" s="860"/>
      <c r="W782" s="860"/>
      <c r="X782" s="860"/>
      <c r="Y782" s="860"/>
      <c r="Z782" s="860"/>
      <c r="AA782" s="860"/>
      <c r="AB782" s="860"/>
    </row>
    <row r="783">
      <c r="I783" s="856"/>
      <c r="J783" s="859"/>
      <c r="K783" s="859"/>
      <c r="L783" s="859"/>
      <c r="M783" s="859"/>
      <c r="N783" s="859"/>
      <c r="O783" s="859"/>
      <c r="P783" s="860"/>
      <c r="Q783" s="860"/>
      <c r="R783" s="860"/>
      <c r="S783" s="860"/>
      <c r="T783" s="860"/>
      <c r="U783" s="860"/>
      <c r="V783" s="860"/>
      <c r="W783" s="860"/>
      <c r="X783" s="860"/>
      <c r="Y783" s="860"/>
      <c r="Z783" s="860"/>
      <c r="AA783" s="860"/>
      <c r="AB783" s="860"/>
    </row>
    <row r="784">
      <c r="I784" s="856"/>
      <c r="J784" s="859"/>
      <c r="K784" s="859"/>
      <c r="L784" s="859"/>
      <c r="M784" s="859"/>
      <c r="N784" s="859"/>
      <c r="O784" s="859"/>
      <c r="P784" s="860"/>
      <c r="Q784" s="860"/>
      <c r="R784" s="860"/>
      <c r="S784" s="860"/>
      <c r="T784" s="860"/>
      <c r="U784" s="860"/>
      <c r="V784" s="860"/>
      <c r="W784" s="860"/>
      <c r="X784" s="860"/>
      <c r="Y784" s="860"/>
      <c r="Z784" s="860"/>
      <c r="AA784" s="860"/>
      <c r="AB784" s="860"/>
    </row>
    <row r="785">
      <c r="I785" s="856"/>
      <c r="J785" s="859"/>
      <c r="K785" s="859"/>
      <c r="L785" s="859"/>
      <c r="M785" s="859"/>
      <c r="N785" s="859"/>
      <c r="O785" s="859"/>
      <c r="P785" s="860"/>
      <c r="Q785" s="860"/>
      <c r="R785" s="860"/>
      <c r="S785" s="860"/>
      <c r="T785" s="860"/>
      <c r="U785" s="860"/>
      <c r="V785" s="860"/>
      <c r="W785" s="860"/>
      <c r="X785" s="860"/>
      <c r="Y785" s="860"/>
      <c r="Z785" s="860"/>
      <c r="AA785" s="860"/>
      <c r="AB785" s="860"/>
    </row>
    <row r="786">
      <c r="I786" s="856"/>
      <c r="J786" s="859"/>
      <c r="K786" s="859"/>
      <c r="L786" s="859"/>
      <c r="M786" s="859"/>
      <c r="N786" s="859"/>
      <c r="O786" s="859"/>
      <c r="P786" s="860"/>
      <c r="Q786" s="860"/>
      <c r="R786" s="860"/>
      <c r="S786" s="860"/>
      <c r="T786" s="860"/>
      <c r="U786" s="860"/>
      <c r="V786" s="860"/>
      <c r="W786" s="860"/>
      <c r="X786" s="860"/>
      <c r="Y786" s="860"/>
      <c r="Z786" s="860"/>
      <c r="AA786" s="860"/>
      <c r="AB786" s="860"/>
    </row>
    <row r="787">
      <c r="I787" s="856"/>
      <c r="J787" s="859"/>
      <c r="K787" s="859"/>
      <c r="L787" s="859"/>
      <c r="M787" s="859"/>
      <c r="N787" s="859"/>
      <c r="O787" s="859"/>
      <c r="P787" s="860"/>
      <c r="Q787" s="860"/>
      <c r="R787" s="860"/>
      <c r="S787" s="860"/>
      <c r="T787" s="860"/>
      <c r="U787" s="860"/>
      <c r="V787" s="860"/>
      <c r="W787" s="860"/>
      <c r="X787" s="860"/>
      <c r="Y787" s="860"/>
      <c r="Z787" s="860"/>
      <c r="AA787" s="860"/>
      <c r="AB787" s="860"/>
    </row>
    <row r="788">
      <c r="I788" s="856"/>
      <c r="J788" s="859"/>
      <c r="K788" s="859"/>
      <c r="L788" s="859"/>
      <c r="M788" s="859"/>
      <c r="N788" s="859"/>
      <c r="O788" s="859"/>
      <c r="P788" s="860"/>
      <c r="Q788" s="860"/>
      <c r="R788" s="860"/>
      <c r="S788" s="860"/>
      <c r="T788" s="860"/>
      <c r="U788" s="860"/>
      <c r="V788" s="860"/>
      <c r="W788" s="860"/>
      <c r="X788" s="860"/>
      <c r="Y788" s="860"/>
      <c r="Z788" s="860"/>
      <c r="AA788" s="860"/>
      <c r="AB788" s="860"/>
    </row>
    <row r="789">
      <c r="I789" s="856"/>
      <c r="J789" s="859"/>
      <c r="K789" s="859"/>
      <c r="L789" s="859"/>
      <c r="M789" s="859"/>
      <c r="N789" s="859"/>
      <c r="O789" s="859"/>
      <c r="P789" s="860"/>
      <c r="Q789" s="860"/>
      <c r="R789" s="860"/>
      <c r="S789" s="860"/>
      <c r="T789" s="860"/>
      <c r="U789" s="860"/>
      <c r="V789" s="860"/>
      <c r="W789" s="860"/>
      <c r="X789" s="860"/>
      <c r="Y789" s="860"/>
      <c r="Z789" s="860"/>
      <c r="AA789" s="860"/>
      <c r="AB789" s="860"/>
    </row>
    <row r="790">
      <c r="I790" s="856"/>
      <c r="J790" s="859"/>
      <c r="K790" s="859"/>
      <c r="L790" s="859"/>
      <c r="M790" s="859"/>
      <c r="N790" s="859"/>
      <c r="O790" s="859"/>
      <c r="P790" s="860"/>
      <c r="Q790" s="860"/>
      <c r="R790" s="860"/>
      <c r="S790" s="860"/>
      <c r="T790" s="860"/>
      <c r="U790" s="860"/>
      <c r="V790" s="860"/>
      <c r="W790" s="860"/>
      <c r="X790" s="860"/>
      <c r="Y790" s="860"/>
      <c r="Z790" s="860"/>
      <c r="AA790" s="860"/>
      <c r="AB790" s="860"/>
    </row>
    <row r="791">
      <c r="I791" s="856"/>
      <c r="J791" s="859"/>
      <c r="K791" s="859"/>
      <c r="L791" s="859"/>
      <c r="M791" s="859"/>
      <c r="N791" s="859"/>
      <c r="O791" s="859"/>
      <c r="P791" s="860"/>
      <c r="Q791" s="860"/>
      <c r="R791" s="860"/>
      <c r="S791" s="860"/>
      <c r="T791" s="860"/>
      <c r="U791" s="860"/>
      <c r="V791" s="860"/>
      <c r="W791" s="860"/>
      <c r="X791" s="860"/>
      <c r="Y791" s="860"/>
      <c r="Z791" s="860"/>
      <c r="AA791" s="860"/>
      <c r="AB791" s="860"/>
    </row>
    <row r="792">
      <c r="I792" s="856"/>
      <c r="J792" s="859"/>
      <c r="K792" s="859"/>
      <c r="L792" s="859"/>
      <c r="M792" s="859"/>
      <c r="N792" s="859"/>
      <c r="O792" s="859"/>
      <c r="P792" s="860"/>
      <c r="Q792" s="860"/>
      <c r="R792" s="860"/>
      <c r="S792" s="860"/>
      <c r="T792" s="860"/>
      <c r="U792" s="860"/>
      <c r="V792" s="860"/>
      <c r="W792" s="860"/>
      <c r="X792" s="860"/>
      <c r="Y792" s="860"/>
      <c r="Z792" s="860"/>
      <c r="AA792" s="860"/>
      <c r="AB792" s="860"/>
    </row>
    <row r="793">
      <c r="I793" s="856"/>
      <c r="J793" s="859"/>
      <c r="K793" s="859"/>
      <c r="L793" s="859"/>
      <c r="M793" s="859"/>
      <c r="N793" s="859"/>
      <c r="O793" s="859"/>
      <c r="P793" s="860"/>
      <c r="Q793" s="860"/>
      <c r="R793" s="860"/>
      <c r="S793" s="860"/>
      <c r="T793" s="860"/>
      <c r="U793" s="860"/>
      <c r="V793" s="860"/>
      <c r="W793" s="860"/>
      <c r="X793" s="860"/>
      <c r="Y793" s="860"/>
      <c r="Z793" s="860"/>
      <c r="AA793" s="860"/>
      <c r="AB793" s="860"/>
    </row>
    <row r="794">
      <c r="I794" s="856"/>
      <c r="J794" s="859"/>
      <c r="K794" s="859"/>
      <c r="L794" s="859"/>
      <c r="M794" s="859"/>
      <c r="N794" s="859"/>
      <c r="O794" s="859"/>
      <c r="P794" s="860"/>
      <c r="Q794" s="860"/>
      <c r="R794" s="860"/>
      <c r="S794" s="860"/>
      <c r="T794" s="860"/>
      <c r="U794" s="860"/>
      <c r="V794" s="860"/>
      <c r="W794" s="860"/>
      <c r="X794" s="860"/>
      <c r="Y794" s="860"/>
      <c r="Z794" s="860"/>
      <c r="AA794" s="860"/>
      <c r="AB794" s="860"/>
    </row>
    <row r="795">
      <c r="I795" s="856"/>
      <c r="J795" s="859"/>
      <c r="K795" s="859"/>
      <c r="L795" s="859"/>
      <c r="M795" s="859"/>
      <c r="N795" s="859"/>
      <c r="O795" s="859"/>
      <c r="P795" s="860"/>
      <c r="Q795" s="860"/>
      <c r="R795" s="860"/>
      <c r="S795" s="860"/>
      <c r="T795" s="860"/>
      <c r="U795" s="860"/>
      <c r="V795" s="860"/>
      <c r="W795" s="860"/>
      <c r="X795" s="860"/>
      <c r="Y795" s="860"/>
      <c r="Z795" s="860"/>
      <c r="AA795" s="860"/>
      <c r="AB795" s="860"/>
    </row>
    <row r="796">
      <c r="I796" s="856"/>
      <c r="J796" s="859"/>
      <c r="K796" s="859"/>
      <c r="L796" s="859"/>
      <c r="M796" s="859"/>
      <c r="N796" s="859"/>
      <c r="O796" s="859"/>
      <c r="P796" s="860"/>
      <c r="Q796" s="860"/>
      <c r="R796" s="860"/>
      <c r="S796" s="860"/>
      <c r="T796" s="860"/>
      <c r="U796" s="860"/>
      <c r="V796" s="860"/>
      <c r="W796" s="860"/>
      <c r="X796" s="860"/>
      <c r="Y796" s="860"/>
      <c r="Z796" s="860"/>
      <c r="AA796" s="860"/>
      <c r="AB796" s="860"/>
    </row>
    <row r="797">
      <c r="I797" s="856"/>
      <c r="J797" s="859"/>
      <c r="K797" s="859"/>
      <c r="L797" s="859"/>
      <c r="M797" s="859"/>
      <c r="N797" s="859"/>
      <c r="O797" s="859"/>
      <c r="P797" s="860"/>
      <c r="Q797" s="860"/>
      <c r="R797" s="860"/>
      <c r="S797" s="860"/>
      <c r="T797" s="860"/>
      <c r="U797" s="860"/>
      <c r="V797" s="860"/>
      <c r="W797" s="860"/>
      <c r="X797" s="860"/>
      <c r="Y797" s="860"/>
      <c r="Z797" s="860"/>
      <c r="AA797" s="860"/>
      <c r="AB797" s="860"/>
    </row>
    <row r="798">
      <c r="I798" s="856"/>
      <c r="J798" s="859"/>
      <c r="K798" s="859"/>
      <c r="L798" s="859"/>
      <c r="M798" s="859"/>
      <c r="N798" s="859"/>
      <c r="O798" s="859"/>
      <c r="P798" s="860"/>
      <c r="Q798" s="860"/>
      <c r="R798" s="860"/>
      <c r="S798" s="860"/>
      <c r="T798" s="860"/>
      <c r="U798" s="860"/>
      <c r="V798" s="860"/>
      <c r="W798" s="860"/>
      <c r="X798" s="860"/>
      <c r="Y798" s="860"/>
      <c r="Z798" s="860"/>
      <c r="AA798" s="860"/>
      <c r="AB798" s="860"/>
    </row>
    <row r="799">
      <c r="I799" s="856"/>
      <c r="J799" s="859"/>
      <c r="K799" s="859"/>
      <c r="L799" s="859"/>
      <c r="M799" s="859"/>
      <c r="N799" s="859"/>
      <c r="O799" s="859"/>
      <c r="P799" s="860"/>
      <c r="Q799" s="860"/>
      <c r="R799" s="860"/>
      <c r="S799" s="860"/>
      <c r="T799" s="860"/>
      <c r="U799" s="860"/>
      <c r="V799" s="860"/>
      <c r="W799" s="860"/>
      <c r="X799" s="860"/>
      <c r="Y799" s="860"/>
      <c r="Z799" s="860"/>
      <c r="AA799" s="860"/>
      <c r="AB799" s="860"/>
    </row>
    <row r="800">
      <c r="I800" s="856"/>
      <c r="J800" s="859"/>
      <c r="K800" s="859"/>
      <c r="L800" s="859"/>
      <c r="M800" s="859"/>
      <c r="N800" s="859"/>
      <c r="O800" s="859"/>
      <c r="P800" s="860"/>
      <c r="Q800" s="860"/>
      <c r="R800" s="860"/>
      <c r="S800" s="860"/>
      <c r="T800" s="860"/>
      <c r="U800" s="860"/>
      <c r="V800" s="860"/>
      <c r="W800" s="860"/>
      <c r="X800" s="860"/>
      <c r="Y800" s="860"/>
      <c r="Z800" s="860"/>
      <c r="AA800" s="860"/>
      <c r="AB800" s="860"/>
    </row>
    <row r="801">
      <c r="I801" s="856"/>
      <c r="J801" s="859"/>
      <c r="K801" s="859"/>
      <c r="L801" s="859"/>
      <c r="M801" s="859"/>
      <c r="N801" s="859"/>
      <c r="O801" s="859"/>
      <c r="P801" s="860"/>
      <c r="Q801" s="860"/>
      <c r="R801" s="860"/>
      <c r="S801" s="860"/>
      <c r="T801" s="860"/>
      <c r="U801" s="860"/>
      <c r="V801" s="860"/>
      <c r="W801" s="860"/>
      <c r="X801" s="860"/>
      <c r="Y801" s="860"/>
      <c r="Z801" s="860"/>
      <c r="AA801" s="860"/>
      <c r="AB801" s="860"/>
    </row>
    <row r="802">
      <c r="I802" s="856"/>
      <c r="J802" s="859"/>
      <c r="K802" s="859"/>
      <c r="L802" s="859"/>
      <c r="M802" s="859"/>
      <c r="N802" s="859"/>
      <c r="O802" s="859"/>
      <c r="P802" s="860"/>
      <c r="Q802" s="860"/>
      <c r="R802" s="860"/>
      <c r="S802" s="860"/>
      <c r="T802" s="860"/>
      <c r="U802" s="860"/>
      <c r="V802" s="860"/>
      <c r="W802" s="860"/>
      <c r="X802" s="860"/>
      <c r="Y802" s="860"/>
      <c r="Z802" s="860"/>
      <c r="AA802" s="860"/>
      <c r="AB802" s="860"/>
    </row>
    <row r="803">
      <c r="I803" s="856"/>
      <c r="J803" s="859"/>
      <c r="K803" s="859"/>
      <c r="L803" s="859"/>
      <c r="M803" s="859"/>
      <c r="N803" s="859"/>
      <c r="O803" s="859"/>
      <c r="P803" s="860"/>
      <c r="Q803" s="860"/>
      <c r="R803" s="860"/>
      <c r="S803" s="860"/>
      <c r="T803" s="860"/>
      <c r="U803" s="860"/>
      <c r="V803" s="860"/>
      <c r="W803" s="860"/>
      <c r="X803" s="860"/>
      <c r="Y803" s="860"/>
      <c r="Z803" s="860"/>
      <c r="AA803" s="860"/>
      <c r="AB803" s="860"/>
    </row>
    <row r="804">
      <c r="I804" s="856"/>
      <c r="J804" s="859"/>
      <c r="K804" s="859"/>
      <c r="L804" s="859"/>
      <c r="M804" s="859"/>
      <c r="N804" s="859"/>
      <c r="O804" s="859"/>
      <c r="P804" s="860"/>
      <c r="Q804" s="860"/>
      <c r="R804" s="860"/>
      <c r="S804" s="860"/>
      <c r="T804" s="860"/>
      <c r="U804" s="860"/>
      <c r="V804" s="860"/>
      <c r="W804" s="860"/>
      <c r="X804" s="860"/>
      <c r="Y804" s="860"/>
      <c r="Z804" s="860"/>
      <c r="AA804" s="860"/>
      <c r="AB804" s="860"/>
    </row>
    <row r="805">
      <c r="I805" s="856"/>
      <c r="J805" s="859"/>
      <c r="K805" s="859"/>
      <c r="L805" s="859"/>
      <c r="M805" s="859"/>
      <c r="N805" s="859"/>
      <c r="O805" s="859"/>
      <c r="P805" s="860"/>
      <c r="Q805" s="860"/>
      <c r="R805" s="860"/>
      <c r="S805" s="860"/>
      <c r="T805" s="860"/>
      <c r="U805" s="860"/>
      <c r="V805" s="860"/>
      <c r="W805" s="860"/>
      <c r="X805" s="860"/>
      <c r="Y805" s="860"/>
      <c r="Z805" s="860"/>
      <c r="AA805" s="860"/>
      <c r="AB805" s="860"/>
    </row>
    <row r="806">
      <c r="I806" s="856"/>
      <c r="J806" s="859"/>
      <c r="K806" s="859"/>
      <c r="L806" s="859"/>
      <c r="M806" s="859"/>
      <c r="N806" s="859"/>
      <c r="O806" s="859"/>
      <c r="P806" s="860"/>
      <c r="Q806" s="860"/>
      <c r="R806" s="860"/>
      <c r="S806" s="860"/>
      <c r="T806" s="860"/>
      <c r="U806" s="860"/>
      <c r="V806" s="860"/>
      <c r="W806" s="860"/>
      <c r="X806" s="860"/>
      <c r="Y806" s="860"/>
      <c r="Z806" s="860"/>
      <c r="AA806" s="860"/>
      <c r="AB806" s="860"/>
    </row>
    <row r="807">
      <c r="I807" s="856"/>
      <c r="J807" s="859"/>
      <c r="K807" s="859"/>
      <c r="L807" s="859"/>
      <c r="M807" s="859"/>
      <c r="N807" s="859"/>
      <c r="O807" s="859"/>
      <c r="P807" s="860"/>
      <c r="Q807" s="860"/>
      <c r="R807" s="860"/>
      <c r="S807" s="860"/>
      <c r="T807" s="860"/>
      <c r="U807" s="860"/>
      <c r="V807" s="860"/>
      <c r="W807" s="860"/>
      <c r="X807" s="860"/>
      <c r="Y807" s="860"/>
      <c r="Z807" s="860"/>
      <c r="AA807" s="860"/>
      <c r="AB807" s="860"/>
    </row>
    <row r="808">
      <c r="I808" s="856"/>
      <c r="J808" s="859"/>
      <c r="K808" s="859"/>
      <c r="L808" s="859"/>
      <c r="M808" s="859"/>
      <c r="N808" s="859"/>
      <c r="O808" s="859"/>
      <c r="P808" s="860"/>
      <c r="Q808" s="860"/>
      <c r="R808" s="860"/>
      <c r="S808" s="860"/>
      <c r="T808" s="860"/>
      <c r="U808" s="860"/>
      <c r="V808" s="860"/>
      <c r="W808" s="860"/>
      <c r="X808" s="860"/>
      <c r="Y808" s="860"/>
      <c r="Z808" s="860"/>
      <c r="AA808" s="860"/>
      <c r="AB808" s="860"/>
    </row>
    <row r="809">
      <c r="I809" s="856"/>
      <c r="J809" s="859"/>
      <c r="K809" s="859"/>
      <c r="L809" s="859"/>
      <c r="M809" s="859"/>
      <c r="N809" s="859"/>
      <c r="O809" s="859"/>
      <c r="P809" s="860"/>
      <c r="Q809" s="860"/>
      <c r="R809" s="860"/>
      <c r="S809" s="860"/>
      <c r="T809" s="860"/>
      <c r="U809" s="860"/>
      <c r="V809" s="860"/>
      <c r="W809" s="860"/>
      <c r="X809" s="860"/>
      <c r="Y809" s="860"/>
      <c r="Z809" s="860"/>
      <c r="AA809" s="860"/>
      <c r="AB809" s="860"/>
    </row>
    <row r="810">
      <c r="I810" s="856"/>
      <c r="J810" s="859"/>
      <c r="K810" s="859"/>
      <c r="L810" s="859"/>
      <c r="M810" s="859"/>
      <c r="N810" s="859"/>
      <c r="O810" s="859"/>
      <c r="P810" s="860"/>
      <c r="Q810" s="860"/>
      <c r="R810" s="860"/>
      <c r="S810" s="860"/>
      <c r="T810" s="860"/>
      <c r="U810" s="860"/>
      <c r="V810" s="860"/>
      <c r="W810" s="860"/>
      <c r="X810" s="860"/>
      <c r="Y810" s="860"/>
      <c r="Z810" s="860"/>
      <c r="AA810" s="860"/>
      <c r="AB810" s="860"/>
    </row>
    <row r="811">
      <c r="I811" s="856"/>
      <c r="J811" s="859"/>
      <c r="K811" s="859"/>
      <c r="L811" s="859"/>
      <c r="M811" s="859"/>
      <c r="N811" s="859"/>
      <c r="O811" s="859"/>
      <c r="P811" s="860"/>
      <c r="Q811" s="860"/>
      <c r="R811" s="860"/>
      <c r="S811" s="860"/>
      <c r="T811" s="860"/>
      <c r="U811" s="860"/>
      <c r="V811" s="860"/>
      <c r="W811" s="860"/>
      <c r="X811" s="860"/>
      <c r="Y811" s="860"/>
      <c r="Z811" s="860"/>
      <c r="AA811" s="860"/>
      <c r="AB811" s="860"/>
    </row>
    <row r="812">
      <c r="I812" s="856"/>
      <c r="J812" s="859"/>
      <c r="K812" s="859"/>
      <c r="L812" s="859"/>
      <c r="M812" s="859"/>
      <c r="N812" s="859"/>
      <c r="O812" s="859"/>
      <c r="P812" s="860"/>
      <c r="Q812" s="860"/>
      <c r="R812" s="860"/>
      <c r="S812" s="860"/>
      <c r="T812" s="860"/>
      <c r="U812" s="860"/>
      <c r="V812" s="860"/>
      <c r="W812" s="860"/>
      <c r="X812" s="860"/>
      <c r="Y812" s="860"/>
      <c r="Z812" s="860"/>
      <c r="AA812" s="860"/>
      <c r="AB812" s="860"/>
    </row>
    <row r="813">
      <c r="I813" s="856"/>
      <c r="J813" s="859"/>
      <c r="K813" s="859"/>
      <c r="L813" s="859"/>
      <c r="M813" s="859"/>
      <c r="N813" s="859"/>
      <c r="O813" s="859"/>
      <c r="P813" s="860"/>
      <c r="Q813" s="860"/>
      <c r="R813" s="860"/>
      <c r="S813" s="860"/>
      <c r="T813" s="860"/>
      <c r="U813" s="860"/>
      <c r="V813" s="860"/>
      <c r="W813" s="860"/>
      <c r="X813" s="860"/>
      <c r="Y813" s="860"/>
      <c r="Z813" s="860"/>
      <c r="AA813" s="860"/>
      <c r="AB813" s="860"/>
    </row>
    <row r="814">
      <c r="I814" s="856"/>
      <c r="J814" s="859"/>
      <c r="K814" s="859"/>
      <c r="L814" s="859"/>
      <c r="M814" s="859"/>
      <c r="N814" s="859"/>
      <c r="O814" s="859"/>
      <c r="P814" s="860"/>
      <c r="Q814" s="860"/>
      <c r="R814" s="860"/>
      <c r="S814" s="860"/>
      <c r="T814" s="860"/>
      <c r="U814" s="860"/>
      <c r="V814" s="860"/>
      <c r="W814" s="860"/>
      <c r="X814" s="860"/>
      <c r="Y814" s="860"/>
      <c r="Z814" s="860"/>
      <c r="AA814" s="860"/>
      <c r="AB814" s="860"/>
    </row>
    <row r="815">
      <c r="I815" s="856"/>
      <c r="J815" s="859"/>
      <c r="K815" s="859"/>
      <c r="L815" s="859"/>
      <c r="M815" s="859"/>
      <c r="N815" s="859"/>
      <c r="O815" s="859"/>
      <c r="P815" s="860"/>
      <c r="Q815" s="860"/>
      <c r="R815" s="860"/>
      <c r="S815" s="860"/>
      <c r="T815" s="860"/>
      <c r="U815" s="860"/>
      <c r="V815" s="860"/>
      <c r="W815" s="860"/>
      <c r="X815" s="860"/>
      <c r="Y815" s="860"/>
      <c r="Z815" s="860"/>
      <c r="AA815" s="860"/>
      <c r="AB815" s="860"/>
    </row>
    <row r="816">
      <c r="I816" s="856"/>
      <c r="J816" s="859"/>
      <c r="K816" s="859"/>
      <c r="L816" s="859"/>
      <c r="M816" s="859"/>
      <c r="N816" s="859"/>
      <c r="O816" s="859"/>
      <c r="P816" s="860"/>
      <c r="Q816" s="860"/>
      <c r="R816" s="860"/>
      <c r="S816" s="860"/>
      <c r="T816" s="860"/>
      <c r="U816" s="860"/>
      <c r="V816" s="860"/>
      <c r="W816" s="860"/>
      <c r="X816" s="860"/>
      <c r="Y816" s="860"/>
      <c r="Z816" s="860"/>
      <c r="AA816" s="860"/>
      <c r="AB816" s="860"/>
    </row>
    <row r="817">
      <c r="I817" s="856"/>
      <c r="J817" s="859"/>
      <c r="K817" s="859"/>
      <c r="L817" s="859"/>
      <c r="M817" s="859"/>
      <c r="N817" s="859"/>
      <c r="O817" s="859"/>
      <c r="P817" s="860"/>
      <c r="Q817" s="860"/>
      <c r="R817" s="860"/>
      <c r="S817" s="860"/>
      <c r="T817" s="860"/>
      <c r="U817" s="860"/>
      <c r="V817" s="860"/>
      <c r="W817" s="860"/>
      <c r="X817" s="860"/>
      <c r="Y817" s="860"/>
      <c r="Z817" s="860"/>
      <c r="AA817" s="860"/>
      <c r="AB817" s="860"/>
    </row>
    <row r="818">
      <c r="I818" s="856"/>
      <c r="J818" s="859"/>
      <c r="K818" s="859"/>
      <c r="L818" s="859"/>
      <c r="M818" s="859"/>
      <c r="N818" s="859"/>
      <c r="O818" s="859"/>
      <c r="P818" s="860"/>
      <c r="Q818" s="860"/>
      <c r="R818" s="860"/>
      <c r="S818" s="860"/>
      <c r="T818" s="860"/>
      <c r="U818" s="860"/>
      <c r="V818" s="860"/>
      <c r="W818" s="860"/>
      <c r="X818" s="860"/>
      <c r="Y818" s="860"/>
      <c r="Z818" s="860"/>
      <c r="AA818" s="860"/>
      <c r="AB818" s="860"/>
    </row>
    <row r="819">
      <c r="I819" s="856"/>
      <c r="J819" s="859"/>
      <c r="K819" s="859"/>
      <c r="L819" s="859"/>
      <c r="M819" s="859"/>
      <c r="N819" s="859"/>
      <c r="O819" s="859"/>
      <c r="P819" s="860"/>
      <c r="Q819" s="860"/>
      <c r="R819" s="860"/>
      <c r="S819" s="860"/>
      <c r="T819" s="860"/>
      <c r="U819" s="860"/>
      <c r="V819" s="860"/>
      <c r="W819" s="860"/>
      <c r="X819" s="860"/>
      <c r="Y819" s="860"/>
      <c r="Z819" s="860"/>
      <c r="AA819" s="860"/>
      <c r="AB819" s="860"/>
    </row>
    <row r="820">
      <c r="I820" s="856"/>
      <c r="J820" s="859"/>
      <c r="K820" s="859"/>
      <c r="L820" s="859"/>
      <c r="M820" s="859"/>
      <c r="N820" s="859"/>
      <c r="O820" s="859"/>
      <c r="P820" s="860"/>
      <c r="Q820" s="860"/>
      <c r="R820" s="860"/>
      <c r="S820" s="860"/>
      <c r="T820" s="860"/>
      <c r="U820" s="860"/>
      <c r="V820" s="860"/>
      <c r="W820" s="860"/>
      <c r="X820" s="860"/>
      <c r="Y820" s="860"/>
      <c r="Z820" s="860"/>
      <c r="AA820" s="860"/>
      <c r="AB820" s="860"/>
    </row>
    <row r="821">
      <c r="I821" s="856"/>
      <c r="J821" s="859"/>
      <c r="K821" s="859"/>
      <c r="L821" s="859"/>
      <c r="M821" s="859"/>
      <c r="N821" s="859"/>
      <c r="O821" s="859"/>
      <c r="P821" s="860"/>
      <c r="Q821" s="860"/>
      <c r="R821" s="860"/>
      <c r="S821" s="860"/>
      <c r="T821" s="860"/>
      <c r="U821" s="860"/>
      <c r="V821" s="860"/>
      <c r="W821" s="860"/>
      <c r="X821" s="860"/>
      <c r="Y821" s="860"/>
      <c r="Z821" s="860"/>
      <c r="AA821" s="860"/>
      <c r="AB821" s="860"/>
    </row>
    <row r="822">
      <c r="I822" s="856"/>
      <c r="J822" s="859"/>
      <c r="K822" s="859"/>
      <c r="L822" s="859"/>
      <c r="M822" s="859"/>
      <c r="N822" s="859"/>
      <c r="O822" s="859"/>
      <c r="P822" s="860"/>
      <c r="Q822" s="860"/>
      <c r="R822" s="860"/>
      <c r="S822" s="860"/>
      <c r="T822" s="860"/>
      <c r="U822" s="860"/>
      <c r="V822" s="860"/>
      <c r="W822" s="860"/>
      <c r="X822" s="860"/>
      <c r="Y822" s="860"/>
      <c r="Z822" s="860"/>
      <c r="AA822" s="860"/>
      <c r="AB822" s="860"/>
    </row>
    <row r="823">
      <c r="I823" s="856"/>
      <c r="J823" s="859"/>
      <c r="K823" s="859"/>
      <c r="L823" s="859"/>
      <c r="M823" s="859"/>
      <c r="N823" s="859"/>
      <c r="O823" s="859"/>
      <c r="P823" s="860"/>
      <c r="Q823" s="860"/>
      <c r="R823" s="860"/>
      <c r="S823" s="860"/>
      <c r="T823" s="860"/>
      <c r="U823" s="860"/>
      <c r="V823" s="860"/>
      <c r="W823" s="860"/>
      <c r="X823" s="860"/>
      <c r="Y823" s="860"/>
      <c r="Z823" s="860"/>
      <c r="AA823" s="860"/>
      <c r="AB823" s="860"/>
    </row>
    <row r="824">
      <c r="I824" s="856"/>
      <c r="J824" s="859"/>
      <c r="K824" s="859"/>
      <c r="L824" s="859"/>
      <c r="M824" s="859"/>
      <c r="N824" s="859"/>
      <c r="O824" s="859"/>
      <c r="P824" s="860"/>
      <c r="Q824" s="860"/>
      <c r="R824" s="860"/>
      <c r="S824" s="860"/>
      <c r="T824" s="860"/>
      <c r="U824" s="860"/>
      <c r="V824" s="860"/>
      <c r="W824" s="860"/>
      <c r="X824" s="860"/>
      <c r="Y824" s="860"/>
      <c r="Z824" s="860"/>
      <c r="AA824" s="860"/>
      <c r="AB824" s="860"/>
    </row>
    <row r="825">
      <c r="I825" s="856"/>
      <c r="J825" s="859"/>
      <c r="K825" s="859"/>
      <c r="L825" s="859"/>
      <c r="M825" s="859"/>
      <c r="N825" s="859"/>
      <c r="O825" s="859"/>
      <c r="P825" s="860"/>
      <c r="Q825" s="860"/>
      <c r="R825" s="860"/>
      <c r="S825" s="860"/>
      <c r="T825" s="860"/>
      <c r="U825" s="860"/>
      <c r="V825" s="860"/>
      <c r="W825" s="860"/>
      <c r="X825" s="860"/>
      <c r="Y825" s="860"/>
      <c r="Z825" s="860"/>
      <c r="AA825" s="860"/>
      <c r="AB825" s="860"/>
    </row>
    <row r="826">
      <c r="I826" s="856"/>
      <c r="J826" s="859"/>
      <c r="K826" s="859"/>
      <c r="L826" s="859"/>
      <c r="M826" s="859"/>
      <c r="N826" s="859"/>
      <c r="O826" s="859"/>
      <c r="P826" s="860"/>
      <c r="Q826" s="860"/>
      <c r="R826" s="860"/>
      <c r="S826" s="860"/>
      <c r="T826" s="860"/>
      <c r="U826" s="860"/>
      <c r="V826" s="860"/>
      <c r="W826" s="860"/>
      <c r="X826" s="860"/>
      <c r="Y826" s="860"/>
      <c r="Z826" s="860"/>
      <c r="AA826" s="860"/>
      <c r="AB826" s="860"/>
    </row>
    <row r="827">
      <c r="I827" s="856"/>
      <c r="J827" s="859"/>
      <c r="K827" s="859"/>
      <c r="L827" s="859"/>
      <c r="M827" s="859"/>
      <c r="N827" s="859"/>
      <c r="O827" s="859"/>
      <c r="P827" s="860"/>
      <c r="Q827" s="860"/>
      <c r="R827" s="860"/>
      <c r="S827" s="860"/>
      <c r="T827" s="860"/>
      <c r="U827" s="860"/>
      <c r="V827" s="860"/>
      <c r="W827" s="860"/>
      <c r="X827" s="860"/>
      <c r="Y827" s="860"/>
      <c r="Z827" s="860"/>
      <c r="AA827" s="860"/>
      <c r="AB827" s="860"/>
    </row>
    <row r="828">
      <c r="I828" s="856"/>
      <c r="J828" s="859"/>
      <c r="K828" s="859"/>
      <c r="L828" s="859"/>
      <c r="M828" s="859"/>
      <c r="N828" s="859"/>
      <c r="O828" s="859"/>
      <c r="P828" s="860"/>
      <c r="Q828" s="860"/>
      <c r="R828" s="860"/>
      <c r="S828" s="860"/>
      <c r="T828" s="860"/>
      <c r="U828" s="860"/>
      <c r="V828" s="860"/>
      <c r="W828" s="860"/>
      <c r="X828" s="860"/>
      <c r="Y828" s="860"/>
      <c r="Z828" s="860"/>
      <c r="AA828" s="860"/>
      <c r="AB828" s="860"/>
    </row>
    <row r="829">
      <c r="I829" s="856"/>
      <c r="J829" s="859"/>
      <c r="K829" s="859"/>
      <c r="L829" s="859"/>
      <c r="M829" s="859"/>
      <c r="N829" s="859"/>
      <c r="O829" s="859"/>
      <c r="P829" s="860"/>
      <c r="Q829" s="860"/>
      <c r="R829" s="860"/>
      <c r="S829" s="860"/>
      <c r="T829" s="860"/>
      <c r="U829" s="860"/>
      <c r="V829" s="860"/>
      <c r="W829" s="860"/>
      <c r="X829" s="860"/>
      <c r="Y829" s="860"/>
      <c r="Z829" s="860"/>
      <c r="AA829" s="860"/>
      <c r="AB829" s="860"/>
    </row>
    <row r="830">
      <c r="I830" s="856"/>
      <c r="J830" s="859"/>
      <c r="K830" s="859"/>
      <c r="L830" s="859"/>
      <c r="M830" s="859"/>
      <c r="N830" s="859"/>
      <c r="O830" s="859"/>
      <c r="P830" s="860"/>
      <c r="Q830" s="860"/>
      <c r="R830" s="860"/>
      <c r="S830" s="860"/>
      <c r="T830" s="860"/>
      <c r="U830" s="860"/>
      <c r="V830" s="860"/>
      <c r="W830" s="860"/>
      <c r="X830" s="860"/>
      <c r="Y830" s="860"/>
      <c r="Z830" s="860"/>
      <c r="AA830" s="860"/>
      <c r="AB830" s="860"/>
    </row>
    <row r="831">
      <c r="I831" s="856"/>
      <c r="J831" s="859"/>
      <c r="K831" s="859"/>
      <c r="L831" s="859"/>
      <c r="M831" s="859"/>
      <c r="N831" s="859"/>
      <c r="O831" s="859"/>
      <c r="P831" s="860"/>
      <c r="Q831" s="860"/>
      <c r="R831" s="860"/>
      <c r="S831" s="860"/>
      <c r="T831" s="860"/>
      <c r="U831" s="860"/>
      <c r="V831" s="860"/>
      <c r="W831" s="860"/>
      <c r="X831" s="860"/>
      <c r="Y831" s="860"/>
      <c r="Z831" s="860"/>
      <c r="AA831" s="860"/>
      <c r="AB831" s="860"/>
    </row>
    <row r="832">
      <c r="I832" s="856"/>
      <c r="J832" s="859"/>
      <c r="K832" s="859"/>
      <c r="L832" s="859"/>
      <c r="M832" s="859"/>
      <c r="N832" s="859"/>
      <c r="O832" s="859"/>
      <c r="P832" s="860"/>
      <c r="Q832" s="860"/>
      <c r="R832" s="860"/>
      <c r="S832" s="860"/>
      <c r="T832" s="860"/>
      <c r="U832" s="860"/>
      <c r="V832" s="860"/>
      <c r="W832" s="860"/>
      <c r="X832" s="860"/>
      <c r="Y832" s="860"/>
      <c r="Z832" s="860"/>
      <c r="AA832" s="860"/>
      <c r="AB832" s="860"/>
    </row>
    <row r="833">
      <c r="I833" s="856"/>
      <c r="J833" s="859"/>
      <c r="K833" s="859"/>
      <c r="L833" s="859"/>
      <c r="M833" s="859"/>
      <c r="N833" s="859"/>
      <c r="O833" s="859"/>
      <c r="P833" s="860"/>
      <c r="Q833" s="860"/>
      <c r="R833" s="860"/>
      <c r="S833" s="860"/>
      <c r="T833" s="860"/>
      <c r="U833" s="860"/>
      <c r="V833" s="860"/>
      <c r="W833" s="860"/>
      <c r="X833" s="860"/>
      <c r="Y833" s="860"/>
      <c r="Z833" s="860"/>
      <c r="AA833" s="860"/>
      <c r="AB833" s="860"/>
    </row>
    <row r="834">
      <c r="I834" s="856"/>
      <c r="J834" s="859"/>
      <c r="K834" s="859"/>
      <c r="L834" s="859"/>
      <c r="M834" s="859"/>
      <c r="N834" s="859"/>
      <c r="O834" s="859"/>
      <c r="P834" s="860"/>
      <c r="Q834" s="860"/>
      <c r="R834" s="860"/>
      <c r="S834" s="860"/>
      <c r="T834" s="860"/>
      <c r="U834" s="860"/>
      <c r="V834" s="860"/>
      <c r="W834" s="860"/>
      <c r="X834" s="860"/>
      <c r="Y834" s="860"/>
      <c r="Z834" s="860"/>
      <c r="AA834" s="860"/>
      <c r="AB834" s="860"/>
    </row>
    <row r="835">
      <c r="I835" s="856"/>
      <c r="J835" s="859"/>
      <c r="K835" s="859"/>
      <c r="L835" s="859"/>
      <c r="M835" s="859"/>
      <c r="N835" s="859"/>
      <c r="O835" s="859"/>
      <c r="P835" s="860"/>
      <c r="Q835" s="860"/>
      <c r="R835" s="860"/>
      <c r="S835" s="860"/>
      <c r="T835" s="860"/>
      <c r="U835" s="860"/>
      <c r="V835" s="860"/>
      <c r="W835" s="860"/>
      <c r="X835" s="860"/>
      <c r="Y835" s="860"/>
      <c r="Z835" s="860"/>
      <c r="AA835" s="860"/>
      <c r="AB835" s="860"/>
    </row>
    <row r="836">
      <c r="I836" s="856"/>
      <c r="J836" s="859"/>
      <c r="K836" s="859"/>
      <c r="L836" s="859"/>
      <c r="M836" s="859"/>
      <c r="N836" s="859"/>
      <c r="O836" s="859"/>
      <c r="P836" s="860"/>
      <c r="Q836" s="860"/>
      <c r="R836" s="860"/>
      <c r="S836" s="860"/>
      <c r="T836" s="860"/>
      <c r="U836" s="860"/>
      <c r="V836" s="860"/>
      <c r="W836" s="860"/>
      <c r="X836" s="860"/>
      <c r="Y836" s="860"/>
      <c r="Z836" s="860"/>
      <c r="AA836" s="860"/>
      <c r="AB836" s="860"/>
    </row>
    <row r="837">
      <c r="I837" s="856"/>
      <c r="J837" s="859"/>
      <c r="K837" s="859"/>
      <c r="L837" s="859"/>
      <c r="M837" s="859"/>
      <c r="N837" s="859"/>
      <c r="O837" s="859"/>
      <c r="P837" s="860"/>
      <c r="Q837" s="860"/>
      <c r="R837" s="860"/>
      <c r="S837" s="860"/>
      <c r="T837" s="860"/>
      <c r="U837" s="860"/>
      <c r="V837" s="860"/>
      <c r="W837" s="860"/>
      <c r="X837" s="860"/>
      <c r="Y837" s="860"/>
      <c r="Z837" s="860"/>
      <c r="AA837" s="860"/>
      <c r="AB837" s="860"/>
    </row>
    <row r="838">
      <c r="I838" s="856"/>
      <c r="J838" s="859"/>
      <c r="K838" s="859"/>
      <c r="L838" s="859"/>
      <c r="M838" s="859"/>
      <c r="N838" s="859"/>
      <c r="O838" s="859"/>
      <c r="P838" s="860"/>
      <c r="Q838" s="860"/>
      <c r="R838" s="860"/>
      <c r="S838" s="860"/>
      <c r="T838" s="860"/>
      <c r="U838" s="860"/>
      <c r="V838" s="860"/>
      <c r="W838" s="860"/>
      <c r="X838" s="860"/>
      <c r="Y838" s="860"/>
      <c r="Z838" s="860"/>
      <c r="AA838" s="860"/>
      <c r="AB838" s="860"/>
    </row>
    <row r="839">
      <c r="I839" s="856"/>
      <c r="J839" s="859"/>
      <c r="K839" s="859"/>
      <c r="L839" s="859"/>
      <c r="M839" s="859"/>
      <c r="N839" s="859"/>
      <c r="O839" s="859"/>
      <c r="P839" s="860"/>
      <c r="Q839" s="860"/>
      <c r="R839" s="860"/>
      <c r="S839" s="860"/>
      <c r="T839" s="860"/>
      <c r="U839" s="860"/>
      <c r="V839" s="860"/>
      <c r="W839" s="860"/>
      <c r="X839" s="860"/>
      <c r="Y839" s="860"/>
      <c r="Z839" s="860"/>
      <c r="AA839" s="860"/>
      <c r="AB839" s="860"/>
    </row>
    <row r="840">
      <c r="I840" s="856"/>
      <c r="J840" s="859"/>
      <c r="K840" s="859"/>
      <c r="L840" s="859"/>
      <c r="M840" s="859"/>
      <c r="N840" s="859"/>
      <c r="O840" s="859"/>
      <c r="P840" s="860"/>
      <c r="Q840" s="860"/>
      <c r="R840" s="860"/>
      <c r="S840" s="860"/>
      <c r="T840" s="860"/>
      <c r="U840" s="860"/>
      <c r="V840" s="860"/>
      <c r="W840" s="860"/>
      <c r="X840" s="860"/>
      <c r="Y840" s="860"/>
      <c r="Z840" s="860"/>
      <c r="AA840" s="860"/>
      <c r="AB840" s="860"/>
    </row>
    <row r="841">
      <c r="I841" s="856"/>
      <c r="J841" s="859"/>
      <c r="K841" s="859"/>
      <c r="L841" s="859"/>
      <c r="M841" s="859"/>
      <c r="N841" s="859"/>
      <c r="O841" s="859"/>
      <c r="P841" s="860"/>
      <c r="Q841" s="860"/>
      <c r="R841" s="860"/>
      <c r="S841" s="860"/>
      <c r="T841" s="860"/>
      <c r="U841" s="860"/>
      <c r="V841" s="860"/>
      <c r="W841" s="860"/>
      <c r="X841" s="860"/>
      <c r="Y841" s="860"/>
      <c r="Z841" s="860"/>
      <c r="AA841" s="860"/>
      <c r="AB841" s="860"/>
    </row>
    <row r="842">
      <c r="I842" s="856"/>
      <c r="J842" s="859"/>
      <c r="K842" s="859"/>
      <c r="L842" s="859"/>
      <c r="M842" s="859"/>
      <c r="N842" s="859"/>
      <c r="O842" s="859"/>
      <c r="P842" s="860"/>
      <c r="Q842" s="860"/>
      <c r="R842" s="860"/>
      <c r="S842" s="860"/>
      <c r="T842" s="860"/>
      <c r="U842" s="860"/>
      <c r="V842" s="860"/>
      <c r="W842" s="860"/>
      <c r="X842" s="860"/>
      <c r="Y842" s="860"/>
      <c r="Z842" s="860"/>
      <c r="AA842" s="860"/>
      <c r="AB842" s="860"/>
    </row>
    <row r="843">
      <c r="I843" s="856"/>
      <c r="J843" s="859"/>
      <c r="K843" s="859"/>
      <c r="L843" s="859"/>
      <c r="M843" s="859"/>
      <c r="N843" s="859"/>
      <c r="O843" s="859"/>
      <c r="P843" s="860"/>
      <c r="Q843" s="860"/>
      <c r="R843" s="860"/>
      <c r="S843" s="860"/>
      <c r="T843" s="860"/>
      <c r="U843" s="860"/>
      <c r="V843" s="860"/>
      <c r="W843" s="860"/>
      <c r="X843" s="860"/>
      <c r="Y843" s="860"/>
      <c r="Z843" s="860"/>
      <c r="AA843" s="860"/>
      <c r="AB843" s="860"/>
    </row>
    <row r="844">
      <c r="I844" s="856"/>
      <c r="J844" s="859"/>
      <c r="K844" s="859"/>
      <c r="L844" s="859"/>
      <c r="M844" s="859"/>
      <c r="N844" s="859"/>
      <c r="O844" s="859"/>
      <c r="P844" s="860"/>
      <c r="Q844" s="860"/>
      <c r="R844" s="860"/>
      <c r="S844" s="860"/>
      <c r="T844" s="860"/>
      <c r="U844" s="860"/>
      <c r="V844" s="860"/>
      <c r="W844" s="860"/>
      <c r="X844" s="860"/>
      <c r="Y844" s="860"/>
      <c r="Z844" s="860"/>
      <c r="AA844" s="860"/>
      <c r="AB844" s="860"/>
    </row>
    <row r="845">
      <c r="I845" s="856"/>
      <c r="J845" s="859"/>
      <c r="K845" s="859"/>
      <c r="L845" s="859"/>
      <c r="M845" s="859"/>
      <c r="N845" s="859"/>
      <c r="O845" s="859"/>
      <c r="P845" s="860"/>
      <c r="Q845" s="860"/>
      <c r="R845" s="860"/>
      <c r="S845" s="860"/>
      <c r="T845" s="860"/>
      <c r="U845" s="860"/>
      <c r="V845" s="860"/>
      <c r="W845" s="860"/>
      <c r="X845" s="860"/>
      <c r="Y845" s="860"/>
      <c r="Z845" s="860"/>
      <c r="AA845" s="860"/>
      <c r="AB845" s="860"/>
    </row>
    <row r="846">
      <c r="I846" s="856"/>
      <c r="J846" s="859"/>
      <c r="K846" s="859"/>
      <c r="L846" s="859"/>
      <c r="M846" s="859"/>
      <c r="N846" s="859"/>
      <c r="O846" s="859"/>
      <c r="P846" s="860"/>
      <c r="Q846" s="860"/>
      <c r="R846" s="860"/>
      <c r="S846" s="860"/>
      <c r="T846" s="860"/>
      <c r="U846" s="860"/>
      <c r="V846" s="860"/>
      <c r="W846" s="860"/>
      <c r="X846" s="860"/>
      <c r="Y846" s="860"/>
      <c r="Z846" s="860"/>
      <c r="AA846" s="860"/>
      <c r="AB846" s="860"/>
    </row>
    <row r="847">
      <c r="I847" s="856"/>
      <c r="J847" s="859"/>
      <c r="K847" s="859"/>
      <c r="L847" s="859"/>
      <c r="M847" s="859"/>
      <c r="N847" s="859"/>
      <c r="O847" s="859"/>
      <c r="P847" s="860"/>
      <c r="Q847" s="860"/>
      <c r="R847" s="860"/>
      <c r="S847" s="860"/>
      <c r="T847" s="860"/>
      <c r="U847" s="860"/>
      <c r="V847" s="860"/>
      <c r="W847" s="860"/>
      <c r="X847" s="860"/>
      <c r="Y847" s="860"/>
      <c r="Z847" s="860"/>
      <c r="AA847" s="860"/>
      <c r="AB847" s="860"/>
    </row>
    <row r="848">
      <c r="I848" s="856"/>
      <c r="J848" s="859"/>
      <c r="K848" s="859"/>
      <c r="L848" s="859"/>
      <c r="M848" s="859"/>
      <c r="N848" s="859"/>
      <c r="O848" s="859"/>
      <c r="P848" s="860"/>
      <c r="Q848" s="860"/>
      <c r="R848" s="860"/>
      <c r="S848" s="860"/>
      <c r="T848" s="860"/>
      <c r="U848" s="860"/>
      <c r="V848" s="860"/>
      <c r="W848" s="860"/>
      <c r="X848" s="860"/>
      <c r="Y848" s="860"/>
      <c r="Z848" s="860"/>
      <c r="AA848" s="860"/>
      <c r="AB848" s="860"/>
    </row>
    <row r="849">
      <c r="I849" s="856"/>
      <c r="J849" s="859"/>
      <c r="K849" s="859"/>
      <c r="L849" s="859"/>
      <c r="M849" s="859"/>
      <c r="N849" s="859"/>
      <c r="O849" s="859"/>
      <c r="P849" s="860"/>
      <c r="Q849" s="860"/>
      <c r="R849" s="860"/>
      <c r="S849" s="860"/>
      <c r="T849" s="860"/>
      <c r="U849" s="860"/>
      <c r="V849" s="860"/>
      <c r="W849" s="860"/>
      <c r="X849" s="860"/>
      <c r="Y849" s="860"/>
      <c r="Z849" s="860"/>
      <c r="AA849" s="860"/>
      <c r="AB849" s="860"/>
    </row>
    <row r="850">
      <c r="I850" s="856"/>
      <c r="J850" s="859"/>
      <c r="K850" s="859"/>
      <c r="L850" s="859"/>
      <c r="M850" s="859"/>
      <c r="N850" s="859"/>
      <c r="O850" s="859"/>
      <c r="P850" s="860"/>
      <c r="Q850" s="860"/>
      <c r="R850" s="860"/>
      <c r="S850" s="860"/>
      <c r="T850" s="860"/>
      <c r="U850" s="860"/>
      <c r="V850" s="860"/>
      <c r="W850" s="860"/>
      <c r="X850" s="860"/>
      <c r="Y850" s="860"/>
      <c r="Z850" s="860"/>
      <c r="AA850" s="860"/>
      <c r="AB850" s="860"/>
    </row>
    <row r="851">
      <c r="I851" s="856"/>
      <c r="J851" s="859"/>
      <c r="K851" s="859"/>
      <c r="L851" s="859"/>
      <c r="M851" s="859"/>
      <c r="N851" s="859"/>
      <c r="O851" s="859"/>
      <c r="P851" s="860"/>
      <c r="Q851" s="860"/>
      <c r="R851" s="860"/>
      <c r="S851" s="860"/>
      <c r="T851" s="860"/>
      <c r="U851" s="860"/>
      <c r="V851" s="860"/>
      <c r="W851" s="860"/>
      <c r="X851" s="860"/>
      <c r="Y851" s="860"/>
      <c r="Z851" s="860"/>
      <c r="AA851" s="860"/>
      <c r="AB851" s="860"/>
    </row>
    <row r="852">
      <c r="I852" s="856"/>
      <c r="J852" s="859"/>
      <c r="K852" s="859"/>
      <c r="L852" s="859"/>
      <c r="M852" s="859"/>
      <c r="N852" s="859"/>
      <c r="O852" s="859"/>
      <c r="P852" s="860"/>
      <c r="Q852" s="860"/>
      <c r="R852" s="860"/>
      <c r="S852" s="860"/>
      <c r="T852" s="860"/>
      <c r="U852" s="860"/>
      <c r="V852" s="860"/>
      <c r="W852" s="860"/>
      <c r="X852" s="860"/>
      <c r="Y852" s="860"/>
      <c r="Z852" s="860"/>
      <c r="AA852" s="860"/>
      <c r="AB852" s="860"/>
    </row>
    <row r="853">
      <c r="I853" s="856"/>
      <c r="J853" s="859"/>
      <c r="K853" s="859"/>
      <c r="L853" s="859"/>
      <c r="M853" s="859"/>
      <c r="N853" s="859"/>
      <c r="O853" s="859"/>
      <c r="P853" s="860"/>
      <c r="Q853" s="860"/>
      <c r="R853" s="860"/>
      <c r="S853" s="860"/>
      <c r="T853" s="860"/>
      <c r="U853" s="860"/>
      <c r="V853" s="860"/>
      <c r="W853" s="860"/>
      <c r="X853" s="860"/>
      <c r="Y853" s="860"/>
      <c r="Z853" s="860"/>
      <c r="AA853" s="860"/>
      <c r="AB853" s="860"/>
    </row>
    <row r="854">
      <c r="I854" s="856"/>
      <c r="J854" s="859"/>
      <c r="K854" s="859"/>
      <c r="L854" s="859"/>
      <c r="M854" s="859"/>
      <c r="N854" s="859"/>
      <c r="O854" s="859"/>
      <c r="P854" s="860"/>
      <c r="Q854" s="860"/>
      <c r="R854" s="860"/>
      <c r="S854" s="860"/>
      <c r="T854" s="860"/>
      <c r="U854" s="860"/>
      <c r="V854" s="860"/>
      <c r="W854" s="860"/>
      <c r="X854" s="860"/>
      <c r="Y854" s="860"/>
      <c r="Z854" s="860"/>
      <c r="AA854" s="860"/>
      <c r="AB854" s="860"/>
    </row>
    <row r="855">
      <c r="I855" s="856"/>
      <c r="J855" s="859"/>
      <c r="K855" s="859"/>
      <c r="L855" s="859"/>
      <c r="M855" s="859"/>
      <c r="N855" s="859"/>
      <c r="O855" s="859"/>
      <c r="P855" s="860"/>
      <c r="Q855" s="860"/>
      <c r="R855" s="860"/>
      <c r="S855" s="860"/>
      <c r="T855" s="860"/>
      <c r="U855" s="860"/>
      <c r="V855" s="860"/>
      <c r="W855" s="860"/>
      <c r="X855" s="860"/>
      <c r="Y855" s="860"/>
      <c r="Z855" s="860"/>
      <c r="AA855" s="860"/>
      <c r="AB855" s="860"/>
    </row>
    <row r="856">
      <c r="I856" s="856"/>
      <c r="J856" s="859"/>
      <c r="K856" s="859"/>
      <c r="L856" s="859"/>
      <c r="M856" s="859"/>
      <c r="N856" s="859"/>
      <c r="O856" s="859"/>
      <c r="P856" s="860"/>
      <c r="Q856" s="860"/>
      <c r="R856" s="860"/>
      <c r="S856" s="860"/>
      <c r="T856" s="860"/>
      <c r="U856" s="860"/>
      <c r="V856" s="860"/>
      <c r="W856" s="860"/>
      <c r="X856" s="860"/>
      <c r="Y856" s="860"/>
      <c r="Z856" s="860"/>
      <c r="AA856" s="860"/>
      <c r="AB856" s="860"/>
    </row>
    <row r="857">
      <c r="I857" s="856"/>
      <c r="J857" s="859"/>
      <c r="K857" s="859"/>
      <c r="L857" s="859"/>
      <c r="M857" s="859"/>
      <c r="N857" s="859"/>
      <c r="O857" s="859"/>
      <c r="P857" s="860"/>
      <c r="Q857" s="860"/>
      <c r="R857" s="860"/>
      <c r="S857" s="860"/>
      <c r="T857" s="860"/>
      <c r="U857" s="860"/>
      <c r="V857" s="860"/>
      <c r="W857" s="860"/>
      <c r="X857" s="860"/>
      <c r="Y857" s="860"/>
      <c r="Z857" s="860"/>
      <c r="AA857" s="860"/>
      <c r="AB857" s="860"/>
    </row>
    <row r="858">
      <c r="I858" s="856"/>
      <c r="J858" s="859"/>
      <c r="K858" s="859"/>
      <c r="L858" s="859"/>
      <c r="M858" s="859"/>
      <c r="N858" s="859"/>
      <c r="O858" s="859"/>
      <c r="P858" s="860"/>
      <c r="Q858" s="860"/>
      <c r="R858" s="860"/>
      <c r="S858" s="860"/>
      <c r="T858" s="860"/>
      <c r="U858" s="860"/>
      <c r="V858" s="860"/>
      <c r="W858" s="860"/>
      <c r="X858" s="860"/>
      <c r="Y858" s="860"/>
      <c r="Z858" s="860"/>
      <c r="AA858" s="860"/>
      <c r="AB858" s="860"/>
    </row>
    <row r="859">
      <c r="I859" s="856"/>
      <c r="J859" s="859"/>
      <c r="K859" s="859"/>
      <c r="L859" s="859"/>
      <c r="M859" s="859"/>
      <c r="N859" s="859"/>
      <c r="O859" s="859"/>
      <c r="P859" s="860"/>
      <c r="Q859" s="860"/>
      <c r="R859" s="860"/>
      <c r="S859" s="860"/>
      <c r="T859" s="860"/>
      <c r="U859" s="860"/>
      <c r="V859" s="860"/>
      <c r="W859" s="860"/>
      <c r="X859" s="860"/>
      <c r="Y859" s="860"/>
      <c r="Z859" s="860"/>
      <c r="AA859" s="860"/>
      <c r="AB859" s="860"/>
    </row>
    <row r="860">
      <c r="I860" s="856"/>
      <c r="J860" s="859"/>
      <c r="K860" s="859"/>
      <c r="L860" s="859"/>
      <c r="M860" s="859"/>
      <c r="N860" s="859"/>
      <c r="O860" s="859"/>
      <c r="P860" s="860"/>
      <c r="Q860" s="860"/>
      <c r="R860" s="860"/>
      <c r="S860" s="860"/>
      <c r="T860" s="860"/>
      <c r="U860" s="860"/>
      <c r="V860" s="860"/>
      <c r="W860" s="860"/>
      <c r="X860" s="860"/>
      <c r="Y860" s="860"/>
      <c r="Z860" s="860"/>
      <c r="AA860" s="860"/>
      <c r="AB860" s="860"/>
    </row>
    <row r="861">
      <c r="I861" s="856"/>
      <c r="J861" s="859"/>
      <c r="K861" s="859"/>
      <c r="L861" s="859"/>
      <c r="M861" s="859"/>
      <c r="N861" s="859"/>
      <c r="O861" s="859"/>
      <c r="P861" s="860"/>
      <c r="Q861" s="860"/>
      <c r="R861" s="860"/>
      <c r="S861" s="860"/>
      <c r="T861" s="860"/>
      <c r="U861" s="860"/>
      <c r="V861" s="860"/>
      <c r="W861" s="860"/>
      <c r="X861" s="860"/>
      <c r="Y861" s="860"/>
      <c r="Z861" s="860"/>
      <c r="AA861" s="860"/>
      <c r="AB861" s="860"/>
    </row>
    <row r="862">
      <c r="I862" s="856"/>
      <c r="J862" s="859"/>
      <c r="K862" s="859"/>
      <c r="L862" s="859"/>
      <c r="M862" s="859"/>
      <c r="N862" s="859"/>
      <c r="O862" s="859"/>
      <c r="P862" s="860"/>
      <c r="Q862" s="860"/>
      <c r="R862" s="860"/>
      <c r="S862" s="860"/>
      <c r="T862" s="860"/>
      <c r="U862" s="860"/>
      <c r="V862" s="860"/>
      <c r="W862" s="860"/>
      <c r="X862" s="860"/>
      <c r="Y862" s="860"/>
      <c r="Z862" s="860"/>
      <c r="AA862" s="860"/>
      <c r="AB862" s="860"/>
    </row>
    <row r="863">
      <c r="I863" s="856"/>
      <c r="J863" s="859"/>
      <c r="K863" s="859"/>
      <c r="L863" s="859"/>
      <c r="M863" s="859"/>
      <c r="N863" s="859"/>
      <c r="O863" s="859"/>
      <c r="P863" s="860"/>
      <c r="Q863" s="860"/>
      <c r="R863" s="860"/>
      <c r="S863" s="860"/>
      <c r="T863" s="860"/>
      <c r="U863" s="860"/>
      <c r="V863" s="860"/>
      <c r="W863" s="860"/>
      <c r="X863" s="860"/>
      <c r="Y863" s="860"/>
      <c r="Z863" s="860"/>
      <c r="AA863" s="860"/>
      <c r="AB863" s="860"/>
    </row>
    <row r="864">
      <c r="I864" s="856"/>
      <c r="J864" s="859"/>
      <c r="K864" s="859"/>
      <c r="L864" s="859"/>
      <c r="M864" s="859"/>
      <c r="N864" s="859"/>
      <c r="O864" s="859"/>
      <c r="P864" s="860"/>
      <c r="Q864" s="860"/>
      <c r="R864" s="860"/>
      <c r="S864" s="860"/>
      <c r="T864" s="860"/>
      <c r="U864" s="860"/>
      <c r="V864" s="860"/>
      <c r="W864" s="860"/>
      <c r="X864" s="860"/>
      <c r="Y864" s="860"/>
      <c r="Z864" s="860"/>
      <c r="AA864" s="860"/>
      <c r="AB864" s="860"/>
    </row>
    <row r="865">
      <c r="I865" s="856"/>
      <c r="J865" s="859"/>
      <c r="K865" s="859"/>
      <c r="L865" s="859"/>
      <c r="M865" s="859"/>
      <c r="N865" s="859"/>
      <c r="O865" s="859"/>
      <c r="P865" s="860"/>
      <c r="Q865" s="860"/>
      <c r="R865" s="860"/>
      <c r="S865" s="860"/>
      <c r="T865" s="860"/>
      <c r="U865" s="860"/>
      <c r="V865" s="860"/>
      <c r="W865" s="860"/>
      <c r="X865" s="860"/>
      <c r="Y865" s="860"/>
      <c r="Z865" s="860"/>
      <c r="AA865" s="860"/>
      <c r="AB865" s="860"/>
    </row>
    <row r="866">
      <c r="I866" s="856"/>
      <c r="J866" s="859"/>
      <c r="K866" s="859"/>
      <c r="L866" s="859"/>
      <c r="M866" s="859"/>
      <c r="N866" s="859"/>
      <c r="O866" s="859"/>
      <c r="P866" s="860"/>
      <c r="Q866" s="860"/>
      <c r="R866" s="860"/>
      <c r="S866" s="860"/>
      <c r="T866" s="860"/>
      <c r="U866" s="860"/>
      <c r="V866" s="860"/>
      <c r="W866" s="860"/>
      <c r="X866" s="860"/>
      <c r="Y866" s="860"/>
      <c r="Z866" s="860"/>
      <c r="AA866" s="860"/>
      <c r="AB866" s="860"/>
    </row>
    <row r="867">
      <c r="I867" s="856"/>
      <c r="J867" s="859"/>
      <c r="K867" s="859"/>
      <c r="L867" s="859"/>
      <c r="M867" s="859"/>
      <c r="N867" s="859"/>
      <c r="O867" s="859"/>
      <c r="P867" s="860"/>
      <c r="Q867" s="860"/>
      <c r="R867" s="860"/>
      <c r="S867" s="860"/>
      <c r="T867" s="860"/>
      <c r="U867" s="860"/>
      <c r="V867" s="860"/>
      <c r="W867" s="860"/>
      <c r="X867" s="860"/>
      <c r="Y867" s="860"/>
      <c r="Z867" s="860"/>
      <c r="AA867" s="860"/>
      <c r="AB867" s="860"/>
    </row>
    <row r="868">
      <c r="I868" s="856"/>
      <c r="J868" s="859"/>
      <c r="K868" s="859"/>
      <c r="L868" s="859"/>
      <c r="M868" s="859"/>
      <c r="N868" s="859"/>
      <c r="O868" s="859"/>
      <c r="P868" s="860"/>
      <c r="Q868" s="860"/>
      <c r="R868" s="860"/>
      <c r="S868" s="860"/>
      <c r="T868" s="860"/>
      <c r="U868" s="860"/>
      <c r="V868" s="860"/>
      <c r="W868" s="860"/>
      <c r="X868" s="860"/>
      <c r="Y868" s="860"/>
      <c r="Z868" s="860"/>
      <c r="AA868" s="860"/>
      <c r="AB868" s="860"/>
    </row>
    <row r="869">
      <c r="I869" s="856"/>
      <c r="J869" s="859"/>
      <c r="K869" s="859"/>
      <c r="L869" s="859"/>
      <c r="M869" s="859"/>
      <c r="N869" s="859"/>
      <c r="O869" s="859"/>
      <c r="P869" s="860"/>
      <c r="Q869" s="860"/>
      <c r="R869" s="860"/>
      <c r="S869" s="860"/>
      <c r="T869" s="860"/>
      <c r="U869" s="860"/>
      <c r="V869" s="860"/>
      <c r="W869" s="860"/>
      <c r="X869" s="860"/>
      <c r="Y869" s="860"/>
      <c r="Z869" s="860"/>
      <c r="AA869" s="860"/>
      <c r="AB869" s="860"/>
    </row>
    <row r="870">
      <c r="I870" s="856"/>
      <c r="J870" s="859"/>
      <c r="K870" s="859"/>
      <c r="L870" s="859"/>
      <c r="M870" s="859"/>
      <c r="N870" s="859"/>
      <c r="O870" s="859"/>
      <c r="P870" s="860"/>
      <c r="Q870" s="860"/>
      <c r="R870" s="860"/>
      <c r="S870" s="860"/>
      <c r="T870" s="860"/>
      <c r="U870" s="860"/>
      <c r="V870" s="860"/>
      <c r="W870" s="860"/>
      <c r="X870" s="860"/>
      <c r="Y870" s="860"/>
      <c r="Z870" s="860"/>
      <c r="AA870" s="860"/>
      <c r="AB870" s="860"/>
    </row>
    <row r="871">
      <c r="I871" s="856"/>
      <c r="J871" s="859"/>
      <c r="K871" s="859"/>
      <c r="L871" s="859"/>
      <c r="M871" s="859"/>
      <c r="N871" s="859"/>
      <c r="O871" s="859"/>
      <c r="P871" s="860"/>
      <c r="Q871" s="860"/>
      <c r="R871" s="860"/>
      <c r="S871" s="860"/>
      <c r="T871" s="860"/>
      <c r="U871" s="860"/>
      <c r="V871" s="860"/>
      <c r="W871" s="860"/>
      <c r="X871" s="860"/>
      <c r="Y871" s="860"/>
      <c r="Z871" s="860"/>
      <c r="AA871" s="860"/>
      <c r="AB871" s="860"/>
    </row>
    <row r="872">
      <c r="I872" s="856"/>
      <c r="J872" s="859"/>
      <c r="K872" s="859"/>
      <c r="L872" s="859"/>
      <c r="M872" s="859"/>
      <c r="N872" s="859"/>
      <c r="O872" s="859"/>
      <c r="P872" s="860"/>
      <c r="Q872" s="860"/>
      <c r="R872" s="860"/>
      <c r="S872" s="860"/>
      <c r="T872" s="860"/>
      <c r="U872" s="860"/>
      <c r="V872" s="860"/>
      <c r="W872" s="860"/>
      <c r="X872" s="860"/>
      <c r="Y872" s="860"/>
      <c r="Z872" s="860"/>
      <c r="AA872" s="860"/>
      <c r="AB872" s="860"/>
    </row>
    <row r="873">
      <c r="I873" s="856"/>
      <c r="J873" s="859"/>
      <c r="K873" s="859"/>
      <c r="L873" s="859"/>
      <c r="M873" s="859"/>
      <c r="N873" s="859"/>
      <c r="O873" s="859"/>
      <c r="P873" s="860"/>
      <c r="Q873" s="860"/>
      <c r="R873" s="860"/>
      <c r="S873" s="860"/>
      <c r="T873" s="860"/>
      <c r="U873" s="860"/>
      <c r="V873" s="860"/>
      <c r="W873" s="860"/>
      <c r="X873" s="860"/>
      <c r="Y873" s="860"/>
      <c r="Z873" s="860"/>
      <c r="AA873" s="860"/>
      <c r="AB873" s="860"/>
    </row>
    <row r="874">
      <c r="I874" s="856"/>
      <c r="J874" s="859"/>
      <c r="K874" s="859"/>
      <c r="L874" s="859"/>
      <c r="M874" s="859"/>
      <c r="N874" s="859"/>
      <c r="O874" s="859"/>
      <c r="P874" s="860"/>
      <c r="Q874" s="860"/>
      <c r="R874" s="860"/>
      <c r="S874" s="860"/>
      <c r="T874" s="860"/>
      <c r="U874" s="860"/>
      <c r="V874" s="860"/>
      <c r="W874" s="860"/>
      <c r="X874" s="860"/>
      <c r="Y874" s="860"/>
      <c r="Z874" s="860"/>
      <c r="AA874" s="860"/>
      <c r="AB874" s="860"/>
    </row>
    <row r="875">
      <c r="I875" s="856"/>
      <c r="J875" s="859"/>
      <c r="K875" s="859"/>
      <c r="L875" s="859"/>
      <c r="M875" s="859"/>
      <c r="N875" s="859"/>
      <c r="O875" s="859"/>
      <c r="P875" s="860"/>
      <c r="Q875" s="860"/>
      <c r="R875" s="860"/>
      <c r="S875" s="860"/>
      <c r="T875" s="860"/>
      <c r="U875" s="860"/>
      <c r="V875" s="860"/>
      <c r="W875" s="860"/>
      <c r="X875" s="860"/>
      <c r="Y875" s="860"/>
      <c r="Z875" s="860"/>
      <c r="AA875" s="860"/>
      <c r="AB875" s="860"/>
    </row>
    <row r="876">
      <c r="I876" s="856"/>
      <c r="J876" s="859"/>
      <c r="K876" s="859"/>
      <c r="L876" s="859"/>
      <c r="M876" s="859"/>
      <c r="N876" s="859"/>
      <c r="O876" s="859"/>
      <c r="P876" s="860"/>
      <c r="Q876" s="860"/>
      <c r="R876" s="860"/>
      <c r="S876" s="860"/>
      <c r="T876" s="860"/>
      <c r="U876" s="860"/>
      <c r="V876" s="860"/>
      <c r="W876" s="860"/>
      <c r="X876" s="860"/>
      <c r="Y876" s="860"/>
      <c r="Z876" s="860"/>
      <c r="AA876" s="860"/>
      <c r="AB876" s="860"/>
    </row>
    <row r="877">
      <c r="I877" s="856"/>
      <c r="J877" s="859"/>
      <c r="K877" s="859"/>
      <c r="L877" s="859"/>
      <c r="M877" s="859"/>
      <c r="N877" s="859"/>
      <c r="O877" s="859"/>
      <c r="P877" s="860"/>
      <c r="Q877" s="860"/>
      <c r="R877" s="860"/>
      <c r="S877" s="860"/>
      <c r="T877" s="860"/>
      <c r="U877" s="860"/>
      <c r="V877" s="860"/>
      <c r="W877" s="860"/>
      <c r="X877" s="860"/>
      <c r="Y877" s="860"/>
      <c r="Z877" s="860"/>
      <c r="AA877" s="860"/>
      <c r="AB877" s="860"/>
    </row>
    <row r="878">
      <c r="I878" s="856"/>
      <c r="J878" s="859"/>
      <c r="K878" s="859"/>
      <c r="L878" s="859"/>
      <c r="M878" s="859"/>
      <c r="N878" s="859"/>
      <c r="O878" s="859"/>
      <c r="P878" s="860"/>
      <c r="Q878" s="860"/>
      <c r="R878" s="860"/>
      <c r="S878" s="860"/>
      <c r="T878" s="860"/>
      <c r="U878" s="860"/>
      <c r="V878" s="860"/>
      <c r="W878" s="860"/>
      <c r="X878" s="860"/>
      <c r="Y878" s="860"/>
      <c r="Z878" s="860"/>
      <c r="AA878" s="860"/>
      <c r="AB878" s="860"/>
    </row>
    <row r="879">
      <c r="I879" s="856"/>
      <c r="J879" s="859"/>
      <c r="K879" s="859"/>
      <c r="L879" s="859"/>
      <c r="M879" s="859"/>
      <c r="N879" s="859"/>
      <c r="O879" s="859"/>
      <c r="P879" s="860"/>
      <c r="Q879" s="860"/>
      <c r="R879" s="860"/>
      <c r="S879" s="860"/>
      <c r="T879" s="860"/>
      <c r="U879" s="860"/>
      <c r="V879" s="860"/>
      <c r="W879" s="860"/>
      <c r="X879" s="860"/>
      <c r="Y879" s="860"/>
      <c r="Z879" s="860"/>
      <c r="AA879" s="860"/>
      <c r="AB879" s="860"/>
    </row>
    <row r="880">
      <c r="I880" s="856"/>
      <c r="J880" s="859"/>
      <c r="K880" s="859"/>
      <c r="L880" s="859"/>
      <c r="M880" s="859"/>
      <c r="N880" s="859"/>
      <c r="O880" s="859"/>
      <c r="P880" s="860"/>
      <c r="Q880" s="860"/>
      <c r="R880" s="860"/>
      <c r="S880" s="860"/>
      <c r="T880" s="860"/>
      <c r="U880" s="860"/>
      <c r="V880" s="860"/>
      <c r="W880" s="860"/>
      <c r="X880" s="860"/>
      <c r="Y880" s="860"/>
      <c r="Z880" s="860"/>
      <c r="AA880" s="860"/>
      <c r="AB880" s="860"/>
    </row>
    <row r="881">
      <c r="I881" s="856"/>
      <c r="J881" s="859"/>
      <c r="K881" s="859"/>
      <c r="L881" s="859"/>
      <c r="M881" s="859"/>
      <c r="N881" s="859"/>
      <c r="O881" s="859"/>
      <c r="P881" s="860"/>
      <c r="Q881" s="860"/>
      <c r="R881" s="860"/>
      <c r="S881" s="860"/>
      <c r="T881" s="860"/>
      <c r="U881" s="860"/>
      <c r="V881" s="860"/>
      <c r="W881" s="860"/>
      <c r="X881" s="860"/>
      <c r="Y881" s="860"/>
      <c r="Z881" s="860"/>
      <c r="AA881" s="860"/>
      <c r="AB881" s="860"/>
    </row>
    <row r="882">
      <c r="I882" s="856"/>
      <c r="J882" s="859"/>
      <c r="K882" s="859"/>
      <c r="L882" s="859"/>
      <c r="M882" s="859"/>
      <c r="N882" s="859"/>
      <c r="O882" s="859"/>
      <c r="P882" s="860"/>
      <c r="Q882" s="860"/>
      <c r="R882" s="860"/>
      <c r="S882" s="860"/>
      <c r="T882" s="860"/>
      <c r="U882" s="860"/>
      <c r="V882" s="860"/>
      <c r="W882" s="860"/>
      <c r="X882" s="860"/>
      <c r="Y882" s="860"/>
      <c r="Z882" s="860"/>
      <c r="AA882" s="860"/>
      <c r="AB882" s="860"/>
    </row>
    <row r="883">
      <c r="I883" s="856"/>
      <c r="J883" s="859"/>
      <c r="K883" s="859"/>
      <c r="L883" s="859"/>
      <c r="M883" s="859"/>
      <c r="N883" s="859"/>
      <c r="O883" s="859"/>
      <c r="P883" s="860"/>
      <c r="Q883" s="860"/>
      <c r="R883" s="860"/>
      <c r="S883" s="860"/>
      <c r="T883" s="860"/>
      <c r="U883" s="860"/>
      <c r="V883" s="860"/>
      <c r="W883" s="860"/>
      <c r="X883" s="860"/>
      <c r="Y883" s="860"/>
      <c r="Z883" s="860"/>
      <c r="AA883" s="860"/>
      <c r="AB883" s="860"/>
    </row>
    <row r="884">
      <c r="I884" s="856"/>
      <c r="J884" s="859"/>
      <c r="K884" s="859"/>
      <c r="L884" s="859"/>
      <c r="M884" s="859"/>
      <c r="N884" s="859"/>
      <c r="O884" s="859"/>
      <c r="P884" s="860"/>
      <c r="Q884" s="860"/>
      <c r="R884" s="860"/>
      <c r="S884" s="860"/>
      <c r="T884" s="860"/>
      <c r="U884" s="860"/>
      <c r="V884" s="860"/>
      <c r="W884" s="860"/>
      <c r="X884" s="860"/>
      <c r="Y884" s="860"/>
      <c r="Z884" s="860"/>
      <c r="AA884" s="860"/>
      <c r="AB884" s="860"/>
    </row>
    <row r="885">
      <c r="I885" s="856"/>
      <c r="J885" s="859"/>
      <c r="K885" s="859"/>
      <c r="L885" s="859"/>
      <c r="M885" s="859"/>
      <c r="N885" s="859"/>
      <c r="O885" s="859"/>
      <c r="P885" s="860"/>
      <c r="Q885" s="860"/>
      <c r="R885" s="860"/>
      <c r="S885" s="860"/>
      <c r="T885" s="860"/>
      <c r="U885" s="860"/>
      <c r="V885" s="860"/>
      <c r="W885" s="860"/>
      <c r="X885" s="860"/>
      <c r="Y885" s="860"/>
      <c r="Z885" s="860"/>
      <c r="AA885" s="860"/>
      <c r="AB885" s="860"/>
    </row>
    <row r="886">
      <c r="I886" s="856"/>
      <c r="J886" s="859"/>
      <c r="K886" s="859"/>
      <c r="L886" s="859"/>
      <c r="M886" s="859"/>
      <c r="N886" s="859"/>
      <c r="O886" s="859"/>
      <c r="P886" s="860"/>
      <c r="Q886" s="860"/>
      <c r="R886" s="860"/>
      <c r="S886" s="860"/>
      <c r="T886" s="860"/>
      <c r="U886" s="860"/>
      <c r="V886" s="860"/>
      <c r="W886" s="860"/>
      <c r="X886" s="860"/>
      <c r="Y886" s="860"/>
      <c r="Z886" s="860"/>
      <c r="AA886" s="860"/>
      <c r="AB886" s="860"/>
    </row>
    <row r="887">
      <c r="I887" s="856"/>
      <c r="J887" s="859"/>
      <c r="K887" s="859"/>
      <c r="L887" s="859"/>
      <c r="M887" s="859"/>
      <c r="N887" s="859"/>
      <c r="O887" s="859"/>
      <c r="P887" s="860"/>
      <c r="Q887" s="860"/>
      <c r="R887" s="860"/>
      <c r="S887" s="860"/>
      <c r="T887" s="860"/>
      <c r="U887" s="860"/>
      <c r="V887" s="860"/>
      <c r="W887" s="860"/>
      <c r="X887" s="860"/>
      <c r="Y887" s="860"/>
      <c r="Z887" s="860"/>
      <c r="AA887" s="860"/>
      <c r="AB887" s="860"/>
    </row>
    <row r="888">
      <c r="I888" s="856"/>
      <c r="J888" s="859"/>
      <c r="K888" s="859"/>
      <c r="L888" s="859"/>
      <c r="M888" s="859"/>
      <c r="N888" s="859"/>
      <c r="O888" s="859"/>
      <c r="P888" s="860"/>
      <c r="Q888" s="860"/>
      <c r="R888" s="860"/>
      <c r="S888" s="860"/>
      <c r="T888" s="860"/>
      <c r="U888" s="860"/>
      <c r="V888" s="860"/>
      <c r="W888" s="860"/>
      <c r="X888" s="860"/>
      <c r="Y888" s="860"/>
      <c r="Z888" s="860"/>
      <c r="AA888" s="860"/>
      <c r="AB888" s="860"/>
    </row>
    <row r="889">
      <c r="I889" s="856"/>
      <c r="J889" s="859"/>
      <c r="K889" s="859"/>
      <c r="L889" s="859"/>
      <c r="M889" s="859"/>
      <c r="N889" s="859"/>
      <c r="O889" s="859"/>
      <c r="P889" s="860"/>
      <c r="Q889" s="860"/>
      <c r="R889" s="860"/>
      <c r="S889" s="860"/>
      <c r="T889" s="860"/>
      <c r="U889" s="860"/>
      <c r="V889" s="860"/>
      <c r="W889" s="860"/>
      <c r="X889" s="860"/>
      <c r="Y889" s="860"/>
      <c r="Z889" s="860"/>
      <c r="AA889" s="860"/>
      <c r="AB889" s="860"/>
    </row>
    <row r="890">
      <c r="I890" s="856"/>
      <c r="J890" s="859"/>
      <c r="K890" s="859"/>
      <c r="L890" s="859"/>
      <c r="M890" s="859"/>
      <c r="N890" s="859"/>
      <c r="O890" s="859"/>
      <c r="P890" s="860"/>
      <c r="Q890" s="860"/>
      <c r="R890" s="860"/>
      <c r="S890" s="860"/>
      <c r="T890" s="860"/>
      <c r="U890" s="860"/>
      <c r="V890" s="860"/>
      <c r="W890" s="860"/>
      <c r="X890" s="860"/>
      <c r="Y890" s="860"/>
      <c r="Z890" s="860"/>
      <c r="AA890" s="860"/>
      <c r="AB890" s="860"/>
    </row>
    <row r="891">
      <c r="I891" s="856"/>
      <c r="J891" s="859"/>
      <c r="K891" s="859"/>
      <c r="L891" s="859"/>
      <c r="M891" s="859"/>
      <c r="N891" s="859"/>
      <c r="O891" s="859"/>
      <c r="P891" s="860"/>
      <c r="Q891" s="860"/>
      <c r="R891" s="860"/>
      <c r="S891" s="860"/>
      <c r="T891" s="860"/>
      <c r="U891" s="860"/>
      <c r="V891" s="860"/>
      <c r="W891" s="860"/>
      <c r="X891" s="860"/>
      <c r="Y891" s="860"/>
      <c r="Z891" s="860"/>
      <c r="AA891" s="860"/>
      <c r="AB891" s="860"/>
    </row>
    <row r="892">
      <c r="I892" s="856"/>
      <c r="J892" s="859"/>
      <c r="K892" s="859"/>
      <c r="L892" s="859"/>
      <c r="M892" s="859"/>
      <c r="N892" s="859"/>
      <c r="O892" s="859"/>
      <c r="P892" s="860"/>
      <c r="Q892" s="860"/>
      <c r="R892" s="860"/>
      <c r="S892" s="860"/>
      <c r="T892" s="860"/>
      <c r="U892" s="860"/>
      <c r="V892" s="860"/>
      <c r="W892" s="860"/>
      <c r="X892" s="860"/>
      <c r="Y892" s="860"/>
      <c r="Z892" s="860"/>
      <c r="AA892" s="860"/>
      <c r="AB892" s="860"/>
    </row>
    <row r="893">
      <c r="I893" s="856"/>
      <c r="J893" s="859"/>
      <c r="K893" s="859"/>
      <c r="L893" s="859"/>
      <c r="M893" s="859"/>
      <c r="N893" s="859"/>
      <c r="O893" s="859"/>
      <c r="P893" s="860"/>
      <c r="Q893" s="860"/>
      <c r="R893" s="860"/>
      <c r="S893" s="860"/>
      <c r="T893" s="860"/>
      <c r="U893" s="860"/>
      <c r="V893" s="860"/>
      <c r="W893" s="860"/>
      <c r="X893" s="860"/>
      <c r="Y893" s="860"/>
      <c r="Z893" s="860"/>
      <c r="AA893" s="860"/>
      <c r="AB893" s="860"/>
    </row>
    <row r="894">
      <c r="I894" s="856"/>
      <c r="J894" s="859"/>
      <c r="K894" s="859"/>
      <c r="L894" s="859"/>
      <c r="M894" s="859"/>
      <c r="N894" s="859"/>
      <c r="O894" s="859"/>
      <c r="P894" s="860"/>
      <c r="Q894" s="860"/>
      <c r="R894" s="860"/>
      <c r="S894" s="860"/>
      <c r="T894" s="860"/>
      <c r="U894" s="860"/>
      <c r="V894" s="860"/>
      <c r="W894" s="860"/>
      <c r="X894" s="860"/>
      <c r="Y894" s="860"/>
      <c r="Z894" s="860"/>
      <c r="AA894" s="860"/>
      <c r="AB894" s="860"/>
    </row>
    <row r="895">
      <c r="I895" s="856"/>
      <c r="J895" s="859"/>
      <c r="K895" s="859"/>
      <c r="L895" s="859"/>
      <c r="M895" s="859"/>
      <c r="N895" s="859"/>
      <c r="O895" s="859"/>
      <c r="P895" s="860"/>
      <c r="Q895" s="860"/>
      <c r="R895" s="860"/>
      <c r="S895" s="860"/>
      <c r="T895" s="860"/>
      <c r="U895" s="860"/>
      <c r="V895" s="860"/>
      <c r="W895" s="860"/>
      <c r="X895" s="860"/>
      <c r="Y895" s="860"/>
      <c r="Z895" s="860"/>
      <c r="AA895" s="860"/>
      <c r="AB895" s="860"/>
    </row>
    <row r="896">
      <c r="I896" s="856"/>
      <c r="J896" s="859"/>
      <c r="K896" s="859"/>
      <c r="L896" s="859"/>
      <c r="M896" s="859"/>
      <c r="N896" s="859"/>
      <c r="O896" s="859"/>
      <c r="P896" s="860"/>
      <c r="Q896" s="860"/>
      <c r="R896" s="860"/>
      <c r="S896" s="860"/>
      <c r="T896" s="860"/>
      <c r="U896" s="860"/>
      <c r="V896" s="860"/>
      <c r="W896" s="860"/>
      <c r="X896" s="860"/>
      <c r="Y896" s="860"/>
      <c r="Z896" s="860"/>
      <c r="AA896" s="860"/>
      <c r="AB896" s="860"/>
    </row>
    <row r="897">
      <c r="I897" s="856"/>
      <c r="J897" s="859"/>
      <c r="K897" s="859"/>
      <c r="L897" s="859"/>
      <c r="M897" s="859"/>
      <c r="N897" s="859"/>
      <c r="O897" s="859"/>
      <c r="P897" s="860"/>
      <c r="Q897" s="860"/>
      <c r="R897" s="860"/>
      <c r="S897" s="860"/>
      <c r="T897" s="860"/>
      <c r="U897" s="860"/>
      <c r="V897" s="860"/>
      <c r="W897" s="860"/>
      <c r="X897" s="860"/>
      <c r="Y897" s="860"/>
      <c r="Z897" s="860"/>
      <c r="AA897" s="860"/>
      <c r="AB897" s="860"/>
    </row>
    <row r="898">
      <c r="I898" s="856"/>
      <c r="J898" s="859"/>
      <c r="K898" s="859"/>
      <c r="L898" s="859"/>
      <c r="M898" s="859"/>
      <c r="N898" s="859"/>
      <c r="O898" s="859"/>
      <c r="P898" s="860"/>
      <c r="Q898" s="860"/>
      <c r="R898" s="860"/>
      <c r="S898" s="860"/>
      <c r="T898" s="860"/>
      <c r="U898" s="860"/>
      <c r="V898" s="860"/>
      <c r="W898" s="860"/>
      <c r="X898" s="860"/>
      <c r="Y898" s="860"/>
      <c r="Z898" s="860"/>
      <c r="AA898" s="860"/>
      <c r="AB898" s="860"/>
    </row>
    <row r="899">
      <c r="I899" s="856"/>
      <c r="J899" s="859"/>
      <c r="K899" s="859"/>
      <c r="L899" s="859"/>
      <c r="M899" s="859"/>
      <c r="N899" s="859"/>
      <c r="O899" s="859"/>
      <c r="P899" s="860"/>
      <c r="Q899" s="860"/>
      <c r="R899" s="860"/>
      <c r="S899" s="860"/>
      <c r="T899" s="860"/>
      <c r="U899" s="860"/>
      <c r="V899" s="860"/>
      <c r="W899" s="860"/>
      <c r="X899" s="860"/>
      <c r="Y899" s="860"/>
      <c r="Z899" s="860"/>
      <c r="AA899" s="860"/>
      <c r="AB899" s="860"/>
    </row>
    <row r="900">
      <c r="I900" s="856"/>
      <c r="J900" s="859"/>
      <c r="K900" s="859"/>
      <c r="L900" s="859"/>
      <c r="M900" s="859"/>
      <c r="N900" s="859"/>
      <c r="O900" s="859"/>
      <c r="P900" s="860"/>
      <c r="Q900" s="860"/>
      <c r="R900" s="860"/>
      <c r="S900" s="860"/>
      <c r="T900" s="860"/>
      <c r="U900" s="860"/>
      <c r="V900" s="860"/>
      <c r="W900" s="860"/>
      <c r="X900" s="860"/>
      <c r="Y900" s="860"/>
      <c r="Z900" s="860"/>
      <c r="AA900" s="860"/>
      <c r="AB900" s="860"/>
    </row>
    <row r="901">
      <c r="I901" s="856"/>
      <c r="J901" s="859"/>
      <c r="K901" s="859"/>
      <c r="L901" s="859"/>
      <c r="M901" s="859"/>
      <c r="N901" s="859"/>
      <c r="O901" s="859"/>
      <c r="P901" s="860"/>
      <c r="Q901" s="860"/>
      <c r="R901" s="860"/>
      <c r="S901" s="860"/>
      <c r="T901" s="860"/>
      <c r="U901" s="860"/>
      <c r="V901" s="860"/>
      <c r="W901" s="860"/>
      <c r="X901" s="860"/>
      <c r="Y901" s="860"/>
      <c r="Z901" s="860"/>
      <c r="AA901" s="860"/>
      <c r="AB901" s="860"/>
    </row>
    <row r="902">
      <c r="I902" s="856"/>
      <c r="J902" s="859"/>
      <c r="K902" s="859"/>
      <c r="L902" s="859"/>
      <c r="M902" s="859"/>
      <c r="N902" s="859"/>
      <c r="O902" s="859"/>
      <c r="P902" s="860"/>
      <c r="Q902" s="860"/>
      <c r="R902" s="860"/>
      <c r="S902" s="860"/>
      <c r="T902" s="860"/>
      <c r="U902" s="860"/>
      <c r="V902" s="860"/>
      <c r="W902" s="860"/>
      <c r="X902" s="860"/>
      <c r="Y902" s="860"/>
      <c r="Z902" s="860"/>
      <c r="AA902" s="860"/>
      <c r="AB902" s="860"/>
    </row>
    <row r="903">
      <c r="I903" s="856"/>
      <c r="J903" s="859"/>
      <c r="K903" s="859"/>
      <c r="L903" s="859"/>
      <c r="M903" s="859"/>
      <c r="N903" s="859"/>
      <c r="O903" s="859"/>
      <c r="P903" s="860"/>
      <c r="Q903" s="860"/>
      <c r="R903" s="860"/>
      <c r="S903" s="860"/>
      <c r="T903" s="860"/>
      <c r="U903" s="860"/>
      <c r="V903" s="860"/>
      <c r="W903" s="860"/>
      <c r="X903" s="860"/>
      <c r="Y903" s="860"/>
      <c r="Z903" s="860"/>
      <c r="AA903" s="860"/>
      <c r="AB903" s="860"/>
    </row>
    <row r="904">
      <c r="I904" s="856"/>
      <c r="J904" s="859"/>
      <c r="K904" s="859"/>
      <c r="L904" s="859"/>
      <c r="M904" s="859"/>
      <c r="N904" s="859"/>
      <c r="O904" s="859"/>
      <c r="P904" s="860"/>
      <c r="Q904" s="860"/>
      <c r="R904" s="860"/>
      <c r="S904" s="860"/>
      <c r="T904" s="860"/>
      <c r="U904" s="860"/>
      <c r="V904" s="860"/>
      <c r="W904" s="860"/>
      <c r="X904" s="860"/>
      <c r="Y904" s="860"/>
      <c r="Z904" s="860"/>
      <c r="AA904" s="860"/>
      <c r="AB904" s="860"/>
    </row>
    <row r="905">
      <c r="I905" s="856"/>
      <c r="J905" s="859"/>
      <c r="K905" s="859"/>
      <c r="L905" s="859"/>
      <c r="M905" s="859"/>
      <c r="N905" s="859"/>
      <c r="O905" s="859"/>
      <c r="P905" s="860"/>
      <c r="Q905" s="860"/>
      <c r="R905" s="860"/>
      <c r="S905" s="860"/>
      <c r="T905" s="860"/>
      <c r="U905" s="860"/>
      <c r="V905" s="860"/>
      <c r="W905" s="860"/>
      <c r="X905" s="860"/>
      <c r="Y905" s="860"/>
      <c r="Z905" s="860"/>
      <c r="AA905" s="860"/>
      <c r="AB905" s="860"/>
    </row>
    <row r="906">
      <c r="I906" s="856"/>
      <c r="J906" s="859"/>
      <c r="K906" s="859"/>
      <c r="L906" s="859"/>
      <c r="M906" s="859"/>
      <c r="N906" s="859"/>
      <c r="O906" s="859"/>
      <c r="P906" s="860"/>
      <c r="Q906" s="860"/>
      <c r="R906" s="860"/>
      <c r="S906" s="860"/>
      <c r="T906" s="860"/>
      <c r="U906" s="860"/>
      <c r="V906" s="860"/>
      <c r="W906" s="860"/>
      <c r="X906" s="860"/>
      <c r="Y906" s="860"/>
      <c r="Z906" s="860"/>
      <c r="AA906" s="860"/>
      <c r="AB906" s="860"/>
    </row>
    <row r="907">
      <c r="I907" s="856"/>
      <c r="J907" s="859"/>
      <c r="K907" s="859"/>
      <c r="L907" s="859"/>
      <c r="M907" s="859"/>
      <c r="N907" s="859"/>
      <c r="O907" s="859"/>
      <c r="P907" s="860"/>
      <c r="Q907" s="860"/>
      <c r="R907" s="860"/>
      <c r="S907" s="860"/>
      <c r="T907" s="860"/>
      <c r="U907" s="860"/>
      <c r="V907" s="860"/>
      <c r="W907" s="860"/>
      <c r="X907" s="860"/>
      <c r="Y907" s="860"/>
      <c r="Z907" s="860"/>
      <c r="AA907" s="860"/>
      <c r="AB907" s="860"/>
    </row>
    <row r="908">
      <c r="I908" s="856"/>
      <c r="J908" s="859"/>
      <c r="K908" s="859"/>
      <c r="L908" s="859"/>
      <c r="M908" s="859"/>
      <c r="N908" s="859"/>
      <c r="O908" s="859"/>
      <c r="P908" s="860"/>
      <c r="Q908" s="860"/>
      <c r="R908" s="860"/>
      <c r="S908" s="860"/>
      <c r="T908" s="860"/>
      <c r="U908" s="860"/>
      <c r="V908" s="860"/>
      <c r="W908" s="860"/>
      <c r="X908" s="860"/>
      <c r="Y908" s="860"/>
      <c r="Z908" s="860"/>
      <c r="AA908" s="860"/>
      <c r="AB908" s="860"/>
    </row>
    <row r="909">
      <c r="I909" s="856"/>
      <c r="J909" s="859"/>
      <c r="K909" s="859"/>
      <c r="L909" s="859"/>
      <c r="M909" s="859"/>
      <c r="N909" s="859"/>
      <c r="O909" s="859"/>
      <c r="P909" s="860"/>
      <c r="Q909" s="860"/>
      <c r="R909" s="860"/>
      <c r="S909" s="860"/>
      <c r="T909" s="860"/>
      <c r="U909" s="860"/>
      <c r="V909" s="860"/>
      <c r="W909" s="860"/>
      <c r="X909" s="860"/>
      <c r="Y909" s="860"/>
      <c r="Z909" s="860"/>
      <c r="AA909" s="860"/>
      <c r="AB909" s="860"/>
    </row>
    <row r="910">
      <c r="I910" s="856"/>
      <c r="J910" s="859"/>
      <c r="K910" s="859"/>
      <c r="L910" s="859"/>
      <c r="M910" s="859"/>
      <c r="N910" s="859"/>
      <c r="O910" s="859"/>
      <c r="P910" s="860"/>
      <c r="Q910" s="860"/>
      <c r="R910" s="860"/>
      <c r="S910" s="860"/>
      <c r="T910" s="860"/>
      <c r="U910" s="860"/>
      <c r="V910" s="860"/>
      <c r="W910" s="860"/>
      <c r="X910" s="860"/>
      <c r="Y910" s="860"/>
      <c r="Z910" s="860"/>
      <c r="AA910" s="860"/>
      <c r="AB910" s="860"/>
    </row>
    <row r="911">
      <c r="I911" s="856"/>
      <c r="J911" s="859"/>
      <c r="K911" s="859"/>
      <c r="L911" s="859"/>
      <c r="M911" s="859"/>
      <c r="N911" s="859"/>
      <c r="O911" s="859"/>
      <c r="P911" s="860"/>
      <c r="Q911" s="860"/>
      <c r="R911" s="860"/>
      <c r="S911" s="860"/>
      <c r="T911" s="860"/>
      <c r="U911" s="860"/>
      <c r="V911" s="860"/>
      <c r="W911" s="860"/>
      <c r="X911" s="860"/>
      <c r="Y911" s="860"/>
      <c r="Z911" s="860"/>
      <c r="AA911" s="860"/>
      <c r="AB911" s="860"/>
    </row>
    <row r="912">
      <c r="I912" s="856"/>
      <c r="J912" s="859"/>
      <c r="K912" s="859"/>
      <c r="L912" s="859"/>
      <c r="M912" s="859"/>
      <c r="N912" s="859"/>
      <c r="O912" s="859"/>
      <c r="P912" s="860"/>
      <c r="Q912" s="860"/>
      <c r="R912" s="860"/>
      <c r="S912" s="860"/>
      <c r="T912" s="860"/>
      <c r="U912" s="860"/>
      <c r="V912" s="860"/>
      <c r="W912" s="860"/>
      <c r="X912" s="860"/>
      <c r="Y912" s="860"/>
      <c r="Z912" s="860"/>
      <c r="AA912" s="860"/>
      <c r="AB912" s="860"/>
    </row>
    <row r="913">
      <c r="I913" s="856"/>
      <c r="J913" s="859"/>
      <c r="K913" s="859"/>
      <c r="L913" s="859"/>
      <c r="M913" s="859"/>
      <c r="N913" s="859"/>
      <c r="O913" s="859"/>
      <c r="P913" s="860"/>
      <c r="Q913" s="860"/>
      <c r="R913" s="860"/>
      <c r="S913" s="860"/>
      <c r="T913" s="860"/>
      <c r="U913" s="860"/>
      <c r="V913" s="860"/>
      <c r="W913" s="860"/>
      <c r="X913" s="860"/>
      <c r="Y913" s="860"/>
      <c r="Z913" s="860"/>
      <c r="AA913" s="860"/>
      <c r="AB913" s="860"/>
    </row>
    <row r="914">
      <c r="I914" s="856"/>
      <c r="J914" s="859"/>
      <c r="K914" s="859"/>
      <c r="L914" s="859"/>
      <c r="M914" s="859"/>
      <c r="N914" s="859"/>
      <c r="O914" s="859"/>
      <c r="P914" s="860"/>
      <c r="Q914" s="860"/>
      <c r="R914" s="860"/>
      <c r="S914" s="860"/>
      <c r="T914" s="860"/>
      <c r="U914" s="860"/>
      <c r="V914" s="860"/>
      <c r="W914" s="860"/>
      <c r="X914" s="860"/>
      <c r="Y914" s="860"/>
      <c r="Z914" s="860"/>
      <c r="AA914" s="860"/>
      <c r="AB914" s="860"/>
    </row>
    <row r="915">
      <c r="I915" s="856"/>
      <c r="J915" s="859"/>
      <c r="K915" s="859"/>
      <c r="L915" s="859"/>
      <c r="M915" s="859"/>
      <c r="N915" s="859"/>
      <c r="O915" s="859"/>
      <c r="P915" s="860"/>
      <c r="Q915" s="860"/>
      <c r="R915" s="860"/>
      <c r="S915" s="860"/>
      <c r="T915" s="860"/>
      <c r="U915" s="860"/>
      <c r="V915" s="860"/>
      <c r="W915" s="860"/>
      <c r="X915" s="860"/>
      <c r="Y915" s="860"/>
      <c r="Z915" s="860"/>
      <c r="AA915" s="860"/>
      <c r="AB915" s="860"/>
    </row>
    <row r="916">
      <c r="I916" s="856"/>
      <c r="J916" s="859"/>
      <c r="K916" s="859"/>
      <c r="L916" s="859"/>
      <c r="M916" s="859"/>
      <c r="N916" s="859"/>
      <c r="O916" s="859"/>
      <c r="P916" s="860"/>
      <c r="Q916" s="860"/>
      <c r="R916" s="860"/>
      <c r="S916" s="860"/>
      <c r="T916" s="860"/>
      <c r="U916" s="860"/>
      <c r="V916" s="860"/>
      <c r="W916" s="860"/>
      <c r="X916" s="860"/>
      <c r="Y916" s="860"/>
      <c r="Z916" s="860"/>
      <c r="AA916" s="860"/>
      <c r="AB916" s="860"/>
    </row>
    <row r="917">
      <c r="I917" s="856"/>
      <c r="J917" s="859"/>
      <c r="K917" s="859"/>
      <c r="L917" s="859"/>
      <c r="M917" s="859"/>
      <c r="N917" s="859"/>
      <c r="O917" s="859"/>
      <c r="P917" s="860"/>
      <c r="Q917" s="860"/>
      <c r="R917" s="860"/>
      <c r="S917" s="860"/>
      <c r="T917" s="860"/>
      <c r="U917" s="860"/>
      <c r="V917" s="860"/>
      <c r="W917" s="860"/>
      <c r="X917" s="860"/>
      <c r="Y917" s="860"/>
      <c r="Z917" s="860"/>
      <c r="AA917" s="860"/>
      <c r="AB917" s="860"/>
    </row>
    <row r="918">
      <c r="I918" s="856"/>
      <c r="J918" s="859"/>
      <c r="K918" s="859"/>
      <c r="L918" s="859"/>
      <c r="M918" s="859"/>
      <c r="N918" s="859"/>
      <c r="O918" s="859"/>
      <c r="P918" s="860"/>
      <c r="Q918" s="860"/>
      <c r="R918" s="860"/>
      <c r="S918" s="860"/>
      <c r="T918" s="860"/>
      <c r="U918" s="860"/>
      <c r="V918" s="860"/>
      <c r="W918" s="860"/>
      <c r="X918" s="860"/>
      <c r="Y918" s="860"/>
      <c r="Z918" s="860"/>
      <c r="AA918" s="860"/>
      <c r="AB918" s="860"/>
    </row>
    <row r="919">
      <c r="I919" s="856"/>
      <c r="J919" s="859"/>
      <c r="K919" s="859"/>
      <c r="L919" s="859"/>
      <c r="M919" s="859"/>
      <c r="N919" s="859"/>
      <c r="O919" s="859"/>
      <c r="P919" s="860"/>
      <c r="Q919" s="860"/>
      <c r="R919" s="860"/>
      <c r="S919" s="860"/>
      <c r="T919" s="860"/>
      <c r="U919" s="860"/>
      <c r="V919" s="860"/>
      <c r="W919" s="860"/>
      <c r="X919" s="860"/>
      <c r="Y919" s="860"/>
      <c r="Z919" s="860"/>
      <c r="AA919" s="860"/>
      <c r="AB919" s="860"/>
    </row>
    <row r="920">
      <c r="I920" s="856"/>
      <c r="J920" s="859"/>
      <c r="K920" s="859"/>
      <c r="L920" s="859"/>
      <c r="M920" s="859"/>
      <c r="N920" s="859"/>
      <c r="O920" s="859"/>
      <c r="P920" s="860"/>
      <c r="Q920" s="860"/>
      <c r="R920" s="860"/>
      <c r="S920" s="860"/>
      <c r="T920" s="860"/>
      <c r="U920" s="860"/>
      <c r="V920" s="860"/>
      <c r="W920" s="860"/>
      <c r="X920" s="860"/>
      <c r="Y920" s="860"/>
      <c r="Z920" s="860"/>
      <c r="AA920" s="860"/>
      <c r="AB920" s="860"/>
    </row>
    <row r="921">
      <c r="I921" s="856"/>
      <c r="J921" s="859"/>
      <c r="K921" s="859"/>
      <c r="L921" s="859"/>
      <c r="M921" s="859"/>
      <c r="N921" s="859"/>
      <c r="O921" s="859"/>
      <c r="P921" s="860"/>
      <c r="Q921" s="860"/>
      <c r="R921" s="860"/>
      <c r="S921" s="860"/>
      <c r="T921" s="860"/>
      <c r="U921" s="860"/>
      <c r="V921" s="860"/>
      <c r="W921" s="860"/>
      <c r="X921" s="860"/>
      <c r="Y921" s="860"/>
      <c r="Z921" s="860"/>
      <c r="AA921" s="860"/>
      <c r="AB921" s="860"/>
    </row>
    <row r="922">
      <c r="I922" s="856"/>
      <c r="J922" s="859"/>
      <c r="K922" s="859"/>
      <c r="L922" s="859"/>
      <c r="M922" s="859"/>
      <c r="N922" s="859"/>
      <c r="O922" s="859"/>
      <c r="P922" s="860"/>
      <c r="Q922" s="860"/>
      <c r="R922" s="860"/>
      <c r="S922" s="860"/>
      <c r="T922" s="860"/>
      <c r="U922" s="860"/>
      <c r="V922" s="860"/>
      <c r="W922" s="860"/>
      <c r="X922" s="860"/>
      <c r="Y922" s="860"/>
      <c r="Z922" s="860"/>
      <c r="AA922" s="860"/>
      <c r="AB922" s="860"/>
    </row>
    <row r="923">
      <c r="I923" s="856"/>
      <c r="J923" s="859"/>
      <c r="K923" s="859"/>
      <c r="L923" s="859"/>
      <c r="M923" s="859"/>
      <c r="N923" s="859"/>
      <c r="O923" s="859"/>
      <c r="P923" s="860"/>
      <c r="Q923" s="860"/>
      <c r="R923" s="860"/>
      <c r="S923" s="860"/>
      <c r="T923" s="860"/>
      <c r="U923" s="860"/>
      <c r="V923" s="860"/>
      <c r="W923" s="860"/>
      <c r="X923" s="860"/>
      <c r="Y923" s="860"/>
      <c r="Z923" s="860"/>
      <c r="AA923" s="860"/>
      <c r="AB923" s="860"/>
    </row>
    <row r="924">
      <c r="I924" s="856"/>
      <c r="J924" s="859"/>
      <c r="K924" s="859"/>
      <c r="L924" s="859"/>
      <c r="M924" s="859"/>
      <c r="N924" s="859"/>
      <c r="O924" s="859"/>
      <c r="P924" s="860"/>
      <c r="Q924" s="860"/>
      <c r="R924" s="860"/>
      <c r="S924" s="860"/>
      <c r="T924" s="860"/>
      <c r="U924" s="860"/>
      <c r="V924" s="860"/>
      <c r="W924" s="860"/>
      <c r="X924" s="860"/>
      <c r="Y924" s="860"/>
      <c r="Z924" s="860"/>
      <c r="AA924" s="860"/>
      <c r="AB924" s="860"/>
    </row>
    <row r="925">
      <c r="I925" s="856"/>
      <c r="J925" s="859"/>
      <c r="K925" s="859"/>
      <c r="L925" s="859"/>
      <c r="M925" s="859"/>
      <c r="N925" s="859"/>
      <c r="O925" s="859"/>
      <c r="P925" s="860"/>
      <c r="Q925" s="860"/>
      <c r="R925" s="860"/>
      <c r="S925" s="860"/>
      <c r="T925" s="860"/>
      <c r="U925" s="860"/>
      <c r="V925" s="860"/>
      <c r="W925" s="860"/>
      <c r="X925" s="860"/>
      <c r="Y925" s="860"/>
      <c r="Z925" s="860"/>
      <c r="AA925" s="860"/>
      <c r="AB925" s="860"/>
    </row>
    <row r="926">
      <c r="I926" s="856"/>
      <c r="J926" s="859"/>
      <c r="K926" s="859"/>
      <c r="L926" s="859"/>
      <c r="M926" s="859"/>
      <c r="N926" s="859"/>
      <c r="O926" s="859"/>
      <c r="P926" s="860"/>
      <c r="Q926" s="860"/>
      <c r="R926" s="860"/>
      <c r="S926" s="860"/>
      <c r="T926" s="860"/>
      <c r="U926" s="860"/>
      <c r="V926" s="860"/>
      <c r="W926" s="860"/>
      <c r="X926" s="860"/>
      <c r="Y926" s="860"/>
      <c r="Z926" s="860"/>
      <c r="AA926" s="860"/>
      <c r="AB926" s="860"/>
    </row>
    <row r="927">
      <c r="I927" s="856"/>
      <c r="J927" s="859"/>
      <c r="K927" s="859"/>
      <c r="L927" s="859"/>
      <c r="M927" s="859"/>
      <c r="N927" s="859"/>
      <c r="O927" s="859"/>
      <c r="P927" s="860"/>
      <c r="Q927" s="860"/>
      <c r="R927" s="860"/>
      <c r="S927" s="860"/>
      <c r="T927" s="860"/>
      <c r="U927" s="860"/>
      <c r="V927" s="860"/>
      <c r="W927" s="860"/>
      <c r="X927" s="860"/>
      <c r="Y927" s="860"/>
      <c r="Z927" s="860"/>
      <c r="AA927" s="860"/>
      <c r="AB927" s="860"/>
    </row>
    <row r="928">
      <c r="I928" s="856"/>
      <c r="J928" s="859"/>
      <c r="K928" s="859"/>
      <c r="L928" s="859"/>
      <c r="M928" s="859"/>
      <c r="N928" s="859"/>
      <c r="O928" s="859"/>
      <c r="P928" s="860"/>
      <c r="Q928" s="860"/>
      <c r="R928" s="860"/>
      <c r="S928" s="860"/>
      <c r="T928" s="860"/>
      <c r="U928" s="860"/>
      <c r="V928" s="860"/>
      <c r="W928" s="860"/>
      <c r="X928" s="860"/>
      <c r="Y928" s="860"/>
      <c r="Z928" s="860"/>
      <c r="AA928" s="860"/>
      <c r="AB928" s="860"/>
    </row>
    <row r="929">
      <c r="I929" s="856"/>
      <c r="J929" s="859"/>
      <c r="K929" s="859"/>
      <c r="L929" s="859"/>
      <c r="M929" s="859"/>
      <c r="N929" s="859"/>
      <c r="O929" s="859"/>
      <c r="P929" s="860"/>
      <c r="Q929" s="860"/>
      <c r="R929" s="860"/>
      <c r="S929" s="860"/>
      <c r="T929" s="860"/>
      <c r="U929" s="860"/>
      <c r="V929" s="860"/>
      <c r="W929" s="860"/>
      <c r="X929" s="860"/>
      <c r="Y929" s="860"/>
      <c r="Z929" s="860"/>
      <c r="AA929" s="860"/>
      <c r="AB929" s="860"/>
    </row>
    <row r="930">
      <c r="I930" s="856"/>
      <c r="J930" s="859"/>
      <c r="K930" s="859"/>
      <c r="L930" s="859"/>
      <c r="M930" s="859"/>
      <c r="N930" s="859"/>
      <c r="O930" s="859"/>
      <c r="P930" s="860"/>
      <c r="Q930" s="860"/>
      <c r="R930" s="860"/>
      <c r="S930" s="860"/>
      <c r="T930" s="860"/>
      <c r="U930" s="860"/>
      <c r="V930" s="860"/>
      <c r="W930" s="860"/>
      <c r="X930" s="860"/>
      <c r="Y930" s="860"/>
      <c r="Z930" s="860"/>
      <c r="AA930" s="860"/>
      <c r="AB930" s="860"/>
    </row>
    <row r="931">
      <c r="I931" s="856"/>
      <c r="J931" s="859"/>
      <c r="K931" s="859"/>
      <c r="L931" s="859"/>
      <c r="M931" s="859"/>
      <c r="N931" s="859"/>
      <c r="O931" s="859"/>
      <c r="P931" s="860"/>
      <c r="Q931" s="860"/>
      <c r="R931" s="860"/>
      <c r="S931" s="860"/>
      <c r="T931" s="860"/>
      <c r="U931" s="860"/>
      <c r="V931" s="860"/>
      <c r="W931" s="860"/>
      <c r="X931" s="860"/>
      <c r="Y931" s="860"/>
      <c r="Z931" s="860"/>
      <c r="AA931" s="860"/>
      <c r="AB931" s="860"/>
    </row>
    <row r="932">
      <c r="I932" s="856"/>
      <c r="J932" s="859"/>
      <c r="K932" s="859"/>
      <c r="L932" s="859"/>
      <c r="M932" s="859"/>
      <c r="N932" s="859"/>
      <c r="O932" s="859"/>
      <c r="P932" s="860"/>
      <c r="Q932" s="860"/>
      <c r="R932" s="860"/>
      <c r="S932" s="860"/>
      <c r="T932" s="860"/>
      <c r="U932" s="860"/>
      <c r="V932" s="860"/>
      <c r="W932" s="860"/>
      <c r="X932" s="860"/>
      <c r="Y932" s="860"/>
      <c r="Z932" s="860"/>
      <c r="AA932" s="860"/>
      <c r="AB932" s="860"/>
    </row>
    <row r="933">
      <c r="I933" s="856"/>
      <c r="J933" s="859"/>
      <c r="K933" s="859"/>
      <c r="L933" s="859"/>
      <c r="M933" s="859"/>
      <c r="N933" s="859"/>
      <c r="O933" s="859"/>
      <c r="P933" s="860"/>
      <c r="Q933" s="860"/>
      <c r="R933" s="860"/>
      <c r="S933" s="860"/>
      <c r="T933" s="860"/>
      <c r="U933" s="860"/>
      <c r="V933" s="860"/>
      <c r="W933" s="860"/>
      <c r="X933" s="860"/>
      <c r="Y933" s="860"/>
      <c r="Z933" s="860"/>
      <c r="AA933" s="860"/>
      <c r="AB933" s="860"/>
    </row>
    <row r="934">
      <c r="I934" s="856"/>
      <c r="J934" s="859"/>
      <c r="K934" s="859"/>
      <c r="L934" s="859"/>
      <c r="M934" s="859"/>
      <c r="N934" s="859"/>
      <c r="O934" s="859"/>
      <c r="P934" s="860"/>
      <c r="Q934" s="860"/>
      <c r="R934" s="860"/>
      <c r="S934" s="860"/>
      <c r="T934" s="860"/>
      <c r="U934" s="860"/>
      <c r="V934" s="860"/>
      <c r="W934" s="860"/>
      <c r="X934" s="860"/>
      <c r="Y934" s="860"/>
      <c r="Z934" s="860"/>
      <c r="AA934" s="860"/>
      <c r="AB934" s="860"/>
    </row>
    <row r="935">
      <c r="I935" s="856"/>
      <c r="J935" s="859"/>
      <c r="K935" s="859"/>
      <c r="L935" s="859"/>
      <c r="M935" s="859"/>
      <c r="N935" s="859"/>
      <c r="O935" s="859"/>
      <c r="P935" s="860"/>
      <c r="Q935" s="860"/>
      <c r="R935" s="860"/>
      <c r="S935" s="860"/>
      <c r="T935" s="860"/>
      <c r="U935" s="860"/>
      <c r="V935" s="860"/>
      <c r="W935" s="860"/>
      <c r="X935" s="860"/>
      <c r="Y935" s="860"/>
      <c r="Z935" s="860"/>
      <c r="AA935" s="860"/>
      <c r="AB935" s="860"/>
    </row>
    <row r="936">
      <c r="I936" s="856"/>
      <c r="J936" s="859"/>
      <c r="K936" s="859"/>
      <c r="L936" s="859"/>
      <c r="M936" s="859"/>
      <c r="N936" s="859"/>
      <c r="O936" s="859"/>
      <c r="P936" s="860"/>
      <c r="Q936" s="860"/>
      <c r="R936" s="860"/>
      <c r="S936" s="860"/>
      <c r="T936" s="860"/>
      <c r="U936" s="860"/>
      <c r="V936" s="860"/>
      <c r="W936" s="860"/>
      <c r="X936" s="860"/>
      <c r="Y936" s="860"/>
      <c r="Z936" s="860"/>
      <c r="AA936" s="860"/>
      <c r="AB936" s="860"/>
    </row>
    <row r="937">
      <c r="I937" s="856"/>
      <c r="J937" s="859"/>
      <c r="K937" s="859"/>
      <c r="L937" s="859"/>
      <c r="M937" s="859"/>
      <c r="N937" s="859"/>
      <c r="O937" s="859"/>
      <c r="P937" s="860"/>
      <c r="Q937" s="860"/>
      <c r="R937" s="860"/>
      <c r="S937" s="860"/>
      <c r="T937" s="860"/>
      <c r="U937" s="860"/>
      <c r="V937" s="860"/>
      <c r="W937" s="860"/>
      <c r="X937" s="860"/>
      <c r="Y937" s="860"/>
      <c r="Z937" s="860"/>
      <c r="AA937" s="860"/>
      <c r="AB937" s="860"/>
    </row>
    <row r="938">
      <c r="I938" s="856"/>
      <c r="J938" s="859"/>
      <c r="K938" s="859"/>
      <c r="L938" s="859"/>
      <c r="M938" s="859"/>
      <c r="N938" s="859"/>
      <c r="O938" s="859"/>
      <c r="P938" s="860"/>
      <c r="Q938" s="860"/>
      <c r="R938" s="860"/>
      <c r="S938" s="860"/>
      <c r="T938" s="860"/>
      <c r="U938" s="860"/>
      <c r="V938" s="860"/>
      <c r="W938" s="860"/>
      <c r="X938" s="860"/>
      <c r="Y938" s="860"/>
      <c r="Z938" s="860"/>
      <c r="AA938" s="860"/>
      <c r="AB938" s="860"/>
    </row>
    <row r="939">
      <c r="I939" s="856"/>
      <c r="J939" s="859"/>
      <c r="K939" s="859"/>
      <c r="L939" s="859"/>
      <c r="M939" s="859"/>
      <c r="N939" s="859"/>
      <c r="O939" s="859"/>
      <c r="P939" s="860"/>
      <c r="Q939" s="860"/>
      <c r="R939" s="860"/>
      <c r="S939" s="860"/>
      <c r="T939" s="860"/>
      <c r="U939" s="860"/>
      <c r="V939" s="860"/>
      <c r="W939" s="860"/>
      <c r="X939" s="860"/>
      <c r="Y939" s="860"/>
      <c r="Z939" s="860"/>
      <c r="AA939" s="860"/>
      <c r="AB939" s="860"/>
    </row>
    <row r="940">
      <c r="I940" s="856"/>
      <c r="J940" s="859"/>
      <c r="K940" s="859"/>
      <c r="L940" s="859"/>
      <c r="M940" s="859"/>
      <c r="N940" s="859"/>
      <c r="O940" s="859"/>
      <c r="P940" s="860"/>
      <c r="Q940" s="860"/>
      <c r="R940" s="860"/>
      <c r="S940" s="860"/>
      <c r="T940" s="860"/>
      <c r="U940" s="860"/>
      <c r="V940" s="860"/>
      <c r="W940" s="860"/>
      <c r="X940" s="860"/>
      <c r="Y940" s="860"/>
      <c r="Z940" s="860"/>
      <c r="AA940" s="860"/>
      <c r="AB940" s="860"/>
    </row>
    <row r="941">
      <c r="I941" s="856"/>
      <c r="J941" s="859"/>
      <c r="K941" s="859"/>
      <c r="L941" s="859"/>
      <c r="M941" s="859"/>
      <c r="N941" s="859"/>
      <c r="O941" s="859"/>
      <c r="P941" s="860"/>
      <c r="Q941" s="860"/>
      <c r="R941" s="860"/>
      <c r="S941" s="860"/>
      <c r="T941" s="860"/>
      <c r="U941" s="860"/>
      <c r="V941" s="860"/>
      <c r="W941" s="860"/>
      <c r="X941" s="860"/>
      <c r="Y941" s="860"/>
      <c r="Z941" s="860"/>
      <c r="AA941" s="860"/>
      <c r="AB941" s="860"/>
    </row>
    <row r="942">
      <c r="I942" s="856"/>
      <c r="J942" s="859"/>
      <c r="K942" s="859"/>
      <c r="L942" s="859"/>
      <c r="M942" s="859"/>
      <c r="N942" s="859"/>
      <c r="O942" s="859"/>
      <c r="P942" s="860"/>
      <c r="Q942" s="860"/>
      <c r="R942" s="860"/>
      <c r="S942" s="860"/>
      <c r="T942" s="860"/>
      <c r="U942" s="860"/>
      <c r="V942" s="860"/>
      <c r="W942" s="860"/>
      <c r="X942" s="860"/>
      <c r="Y942" s="860"/>
      <c r="Z942" s="860"/>
      <c r="AA942" s="860"/>
      <c r="AB942" s="860"/>
    </row>
    <row r="943">
      <c r="I943" s="856"/>
      <c r="J943" s="859"/>
      <c r="K943" s="859"/>
      <c r="L943" s="859"/>
      <c r="M943" s="859"/>
      <c r="N943" s="859"/>
      <c r="O943" s="859"/>
      <c r="P943" s="860"/>
      <c r="Q943" s="860"/>
      <c r="R943" s="860"/>
      <c r="S943" s="860"/>
      <c r="T943" s="860"/>
      <c r="U943" s="860"/>
      <c r="V943" s="860"/>
      <c r="W943" s="860"/>
      <c r="X943" s="860"/>
      <c r="Y943" s="860"/>
      <c r="Z943" s="860"/>
      <c r="AA943" s="860"/>
      <c r="AB943" s="860"/>
    </row>
    <row r="944">
      <c r="I944" s="856"/>
      <c r="J944" s="859"/>
      <c r="K944" s="859"/>
      <c r="L944" s="859"/>
      <c r="M944" s="859"/>
      <c r="N944" s="859"/>
      <c r="O944" s="859"/>
      <c r="P944" s="860"/>
      <c r="Q944" s="860"/>
      <c r="R944" s="860"/>
      <c r="S944" s="860"/>
      <c r="T944" s="860"/>
      <c r="U944" s="860"/>
      <c r="V944" s="860"/>
      <c r="W944" s="860"/>
      <c r="X944" s="860"/>
      <c r="Y944" s="860"/>
      <c r="Z944" s="860"/>
      <c r="AA944" s="860"/>
      <c r="AB944" s="860"/>
    </row>
    <row r="945">
      <c r="I945" s="856"/>
      <c r="J945" s="859"/>
      <c r="K945" s="859"/>
      <c r="L945" s="859"/>
      <c r="M945" s="859"/>
      <c r="N945" s="859"/>
      <c r="O945" s="859"/>
      <c r="P945" s="860"/>
      <c r="Q945" s="860"/>
      <c r="R945" s="860"/>
      <c r="S945" s="860"/>
      <c r="T945" s="860"/>
      <c r="U945" s="860"/>
      <c r="V945" s="860"/>
      <c r="W945" s="860"/>
      <c r="X945" s="860"/>
      <c r="Y945" s="860"/>
      <c r="Z945" s="860"/>
      <c r="AA945" s="860"/>
      <c r="AB945" s="860"/>
    </row>
    <row r="946">
      <c r="I946" s="856"/>
      <c r="J946" s="859"/>
      <c r="K946" s="859"/>
      <c r="L946" s="859"/>
      <c r="M946" s="859"/>
      <c r="N946" s="859"/>
      <c r="O946" s="859"/>
      <c r="P946" s="860"/>
      <c r="Q946" s="860"/>
      <c r="R946" s="860"/>
      <c r="S946" s="860"/>
      <c r="T946" s="860"/>
      <c r="U946" s="860"/>
      <c r="V946" s="860"/>
      <c r="W946" s="860"/>
      <c r="X946" s="860"/>
      <c r="Y946" s="860"/>
      <c r="Z946" s="860"/>
      <c r="AA946" s="860"/>
      <c r="AB946" s="860"/>
    </row>
    <row r="947">
      <c r="I947" s="856"/>
      <c r="J947" s="859"/>
      <c r="K947" s="859"/>
      <c r="L947" s="859"/>
      <c r="M947" s="859"/>
      <c r="N947" s="859"/>
      <c r="O947" s="859"/>
      <c r="P947" s="860"/>
      <c r="Q947" s="860"/>
      <c r="R947" s="860"/>
      <c r="S947" s="860"/>
      <c r="T947" s="860"/>
      <c r="U947" s="860"/>
      <c r="V947" s="860"/>
      <c r="W947" s="860"/>
      <c r="X947" s="860"/>
      <c r="Y947" s="860"/>
      <c r="Z947" s="860"/>
      <c r="AA947" s="860"/>
      <c r="AB947" s="860"/>
    </row>
    <row r="948">
      <c r="I948" s="856"/>
      <c r="J948" s="859"/>
      <c r="K948" s="859"/>
      <c r="L948" s="859"/>
      <c r="M948" s="859"/>
      <c r="N948" s="859"/>
      <c r="O948" s="859"/>
      <c r="P948" s="860"/>
      <c r="Q948" s="860"/>
      <c r="R948" s="860"/>
      <c r="S948" s="860"/>
      <c r="T948" s="860"/>
      <c r="U948" s="860"/>
      <c r="V948" s="860"/>
      <c r="W948" s="860"/>
      <c r="X948" s="860"/>
      <c r="Y948" s="860"/>
      <c r="Z948" s="860"/>
      <c r="AA948" s="860"/>
      <c r="AB948" s="860"/>
    </row>
    <row r="949">
      <c r="I949" s="856"/>
      <c r="J949" s="859"/>
      <c r="K949" s="859"/>
      <c r="L949" s="859"/>
      <c r="M949" s="859"/>
      <c r="N949" s="859"/>
      <c r="O949" s="859"/>
      <c r="P949" s="860"/>
      <c r="Q949" s="860"/>
      <c r="R949" s="860"/>
      <c r="S949" s="860"/>
      <c r="T949" s="860"/>
      <c r="U949" s="860"/>
      <c r="V949" s="860"/>
      <c r="W949" s="860"/>
      <c r="X949" s="860"/>
      <c r="Y949" s="860"/>
      <c r="Z949" s="860"/>
      <c r="AA949" s="860"/>
      <c r="AB949" s="860"/>
    </row>
    <row r="950">
      <c r="I950" s="856"/>
      <c r="J950" s="859"/>
      <c r="K950" s="859"/>
      <c r="L950" s="859"/>
      <c r="M950" s="859"/>
      <c r="N950" s="859"/>
      <c r="O950" s="859"/>
      <c r="P950" s="860"/>
      <c r="Q950" s="860"/>
      <c r="R950" s="860"/>
      <c r="S950" s="860"/>
      <c r="T950" s="860"/>
      <c r="U950" s="860"/>
      <c r="V950" s="860"/>
      <c r="W950" s="860"/>
      <c r="X950" s="860"/>
      <c r="Y950" s="860"/>
      <c r="Z950" s="860"/>
      <c r="AA950" s="860"/>
      <c r="AB950" s="860"/>
    </row>
    <row r="951">
      <c r="I951" s="856"/>
      <c r="J951" s="859"/>
      <c r="K951" s="859"/>
      <c r="L951" s="859"/>
      <c r="M951" s="859"/>
      <c r="N951" s="859"/>
      <c r="O951" s="859"/>
      <c r="P951" s="860"/>
      <c r="Q951" s="860"/>
      <c r="R951" s="860"/>
      <c r="S951" s="860"/>
      <c r="T951" s="860"/>
      <c r="U951" s="860"/>
      <c r="V951" s="860"/>
      <c r="W951" s="860"/>
      <c r="X951" s="860"/>
      <c r="Y951" s="860"/>
      <c r="Z951" s="860"/>
      <c r="AA951" s="860"/>
      <c r="AB951" s="860"/>
    </row>
    <row r="952">
      <c r="I952" s="856"/>
      <c r="J952" s="859"/>
      <c r="K952" s="859"/>
      <c r="L952" s="859"/>
      <c r="M952" s="859"/>
      <c r="N952" s="859"/>
      <c r="O952" s="859"/>
      <c r="P952" s="860"/>
      <c r="Q952" s="860"/>
      <c r="R952" s="860"/>
      <c r="S952" s="860"/>
      <c r="T952" s="860"/>
      <c r="U952" s="860"/>
      <c r="V952" s="860"/>
      <c r="W952" s="860"/>
      <c r="X952" s="860"/>
      <c r="Y952" s="860"/>
      <c r="Z952" s="860"/>
      <c r="AA952" s="860"/>
      <c r="AB952" s="860"/>
    </row>
    <row r="953">
      <c r="I953" s="856"/>
      <c r="J953" s="859"/>
      <c r="K953" s="859"/>
      <c r="L953" s="859"/>
      <c r="M953" s="859"/>
      <c r="N953" s="859"/>
      <c r="O953" s="859"/>
      <c r="P953" s="860"/>
      <c r="Q953" s="860"/>
      <c r="R953" s="860"/>
      <c r="S953" s="860"/>
      <c r="T953" s="860"/>
      <c r="U953" s="860"/>
      <c r="V953" s="860"/>
      <c r="W953" s="860"/>
      <c r="X953" s="860"/>
      <c r="Y953" s="860"/>
      <c r="Z953" s="860"/>
      <c r="AA953" s="860"/>
      <c r="AB953" s="860"/>
    </row>
    <row r="954">
      <c r="I954" s="856"/>
      <c r="J954" s="859"/>
      <c r="K954" s="859"/>
      <c r="L954" s="859"/>
      <c r="M954" s="859"/>
      <c r="N954" s="859"/>
      <c r="O954" s="859"/>
      <c r="P954" s="860"/>
      <c r="Q954" s="860"/>
      <c r="R954" s="860"/>
      <c r="S954" s="860"/>
      <c r="T954" s="860"/>
      <c r="U954" s="860"/>
      <c r="V954" s="860"/>
      <c r="W954" s="860"/>
      <c r="X954" s="860"/>
      <c r="Y954" s="860"/>
      <c r="Z954" s="860"/>
      <c r="AA954" s="860"/>
      <c r="AB954" s="860"/>
    </row>
    <row r="955">
      <c r="I955" s="856"/>
      <c r="J955" s="859"/>
      <c r="K955" s="859"/>
      <c r="L955" s="859"/>
      <c r="M955" s="859"/>
      <c r="N955" s="859"/>
      <c r="O955" s="859"/>
      <c r="P955" s="860"/>
      <c r="Q955" s="860"/>
      <c r="R955" s="860"/>
      <c r="S955" s="860"/>
      <c r="T955" s="860"/>
      <c r="U955" s="860"/>
      <c r="V955" s="860"/>
      <c r="W955" s="860"/>
      <c r="X955" s="860"/>
      <c r="Y955" s="860"/>
      <c r="Z955" s="860"/>
      <c r="AA955" s="860"/>
      <c r="AB955" s="860"/>
    </row>
    <row r="956">
      <c r="I956" s="856"/>
      <c r="J956" s="859"/>
      <c r="K956" s="859"/>
      <c r="L956" s="859"/>
      <c r="M956" s="859"/>
      <c r="N956" s="859"/>
      <c r="O956" s="859"/>
      <c r="P956" s="860"/>
      <c r="Q956" s="860"/>
      <c r="R956" s="860"/>
      <c r="S956" s="860"/>
      <c r="T956" s="860"/>
      <c r="U956" s="860"/>
      <c r="V956" s="860"/>
      <c r="W956" s="860"/>
      <c r="X956" s="860"/>
      <c r="Y956" s="860"/>
      <c r="Z956" s="860"/>
      <c r="AA956" s="860"/>
      <c r="AB956" s="860"/>
    </row>
    <row r="957">
      <c r="I957" s="856"/>
      <c r="J957" s="859"/>
      <c r="K957" s="859"/>
      <c r="L957" s="859"/>
      <c r="M957" s="859"/>
      <c r="N957" s="859"/>
      <c r="O957" s="859"/>
      <c r="P957" s="860"/>
      <c r="Q957" s="860"/>
      <c r="R957" s="860"/>
      <c r="S957" s="860"/>
      <c r="T957" s="860"/>
      <c r="U957" s="860"/>
      <c r="V957" s="860"/>
      <c r="W957" s="860"/>
      <c r="X957" s="860"/>
      <c r="Y957" s="860"/>
      <c r="Z957" s="860"/>
      <c r="AA957" s="860"/>
      <c r="AB957" s="860"/>
    </row>
    <row r="958">
      <c r="I958" s="856"/>
      <c r="J958" s="859"/>
      <c r="K958" s="859"/>
      <c r="L958" s="859"/>
      <c r="M958" s="859"/>
      <c r="N958" s="859"/>
      <c r="O958" s="859"/>
      <c r="P958" s="860"/>
      <c r="Q958" s="860"/>
      <c r="R958" s="860"/>
      <c r="S958" s="860"/>
      <c r="T958" s="860"/>
      <c r="U958" s="860"/>
      <c r="V958" s="860"/>
      <c r="W958" s="860"/>
      <c r="X958" s="860"/>
      <c r="Y958" s="860"/>
      <c r="Z958" s="860"/>
      <c r="AA958" s="860"/>
      <c r="AB958" s="860"/>
    </row>
    <row r="959">
      <c r="I959" s="856"/>
      <c r="J959" s="859"/>
      <c r="K959" s="859"/>
      <c r="L959" s="859"/>
      <c r="M959" s="859"/>
      <c r="N959" s="859"/>
      <c r="O959" s="859"/>
      <c r="P959" s="860"/>
      <c r="Q959" s="860"/>
      <c r="R959" s="860"/>
      <c r="S959" s="860"/>
      <c r="T959" s="860"/>
      <c r="U959" s="860"/>
      <c r="V959" s="860"/>
      <c r="W959" s="860"/>
      <c r="X959" s="860"/>
      <c r="Y959" s="860"/>
      <c r="Z959" s="860"/>
      <c r="AA959" s="860"/>
      <c r="AB959" s="860"/>
    </row>
    <row r="960">
      <c r="I960" s="856"/>
      <c r="J960" s="859"/>
      <c r="K960" s="859"/>
      <c r="L960" s="859"/>
      <c r="M960" s="859"/>
      <c r="N960" s="859"/>
      <c r="O960" s="859"/>
      <c r="P960" s="860"/>
      <c r="Q960" s="860"/>
      <c r="R960" s="860"/>
      <c r="S960" s="860"/>
      <c r="T960" s="860"/>
      <c r="U960" s="860"/>
      <c r="V960" s="860"/>
      <c r="W960" s="860"/>
      <c r="X960" s="860"/>
      <c r="Y960" s="860"/>
      <c r="Z960" s="860"/>
      <c r="AA960" s="860"/>
      <c r="AB960" s="860"/>
    </row>
    <row r="961">
      <c r="I961" s="856"/>
      <c r="J961" s="859"/>
      <c r="K961" s="859"/>
      <c r="L961" s="859"/>
      <c r="M961" s="859"/>
      <c r="N961" s="859"/>
      <c r="O961" s="859"/>
      <c r="P961" s="860"/>
      <c r="Q961" s="860"/>
      <c r="R961" s="860"/>
      <c r="S961" s="860"/>
      <c r="T961" s="860"/>
      <c r="U961" s="860"/>
      <c r="V961" s="860"/>
      <c r="W961" s="860"/>
      <c r="X961" s="860"/>
      <c r="Y961" s="860"/>
      <c r="Z961" s="860"/>
      <c r="AA961" s="860"/>
      <c r="AB961" s="860"/>
    </row>
    <row r="962">
      <c r="I962" s="856"/>
      <c r="J962" s="859"/>
      <c r="K962" s="859"/>
      <c r="L962" s="859"/>
      <c r="M962" s="859"/>
      <c r="N962" s="859"/>
      <c r="O962" s="859"/>
      <c r="P962" s="860"/>
      <c r="Q962" s="860"/>
      <c r="R962" s="860"/>
      <c r="S962" s="860"/>
      <c r="T962" s="860"/>
      <c r="U962" s="860"/>
      <c r="V962" s="860"/>
      <c r="W962" s="860"/>
      <c r="X962" s="860"/>
      <c r="Y962" s="860"/>
      <c r="Z962" s="860"/>
      <c r="AA962" s="860"/>
      <c r="AB962" s="860"/>
    </row>
    <row r="963">
      <c r="I963" s="856"/>
      <c r="J963" s="859"/>
      <c r="K963" s="859"/>
      <c r="L963" s="859"/>
      <c r="M963" s="859"/>
      <c r="N963" s="859"/>
      <c r="O963" s="859"/>
      <c r="P963" s="860"/>
      <c r="Q963" s="860"/>
      <c r="R963" s="860"/>
      <c r="S963" s="860"/>
      <c r="T963" s="860"/>
      <c r="U963" s="860"/>
      <c r="V963" s="860"/>
      <c r="W963" s="860"/>
      <c r="X963" s="860"/>
      <c r="Y963" s="860"/>
      <c r="Z963" s="860"/>
      <c r="AA963" s="860"/>
      <c r="AB963" s="860"/>
    </row>
    <row r="964">
      <c r="I964" s="856"/>
      <c r="J964" s="859"/>
      <c r="K964" s="859"/>
      <c r="L964" s="859"/>
      <c r="M964" s="859"/>
      <c r="N964" s="859"/>
      <c r="O964" s="859"/>
      <c r="P964" s="860"/>
      <c r="Q964" s="860"/>
      <c r="R964" s="860"/>
      <c r="S964" s="860"/>
      <c r="T964" s="860"/>
      <c r="U964" s="860"/>
      <c r="V964" s="860"/>
      <c r="W964" s="860"/>
      <c r="X964" s="860"/>
      <c r="Y964" s="860"/>
      <c r="Z964" s="860"/>
      <c r="AA964" s="860"/>
      <c r="AB964" s="860"/>
    </row>
    <row r="965">
      <c r="I965" s="856"/>
      <c r="J965" s="859"/>
      <c r="K965" s="859"/>
      <c r="L965" s="859"/>
      <c r="M965" s="859"/>
      <c r="N965" s="859"/>
      <c r="O965" s="859"/>
      <c r="P965" s="860"/>
      <c r="Q965" s="860"/>
      <c r="R965" s="860"/>
      <c r="S965" s="860"/>
      <c r="T965" s="860"/>
      <c r="U965" s="860"/>
      <c r="V965" s="860"/>
      <c r="W965" s="860"/>
      <c r="X965" s="860"/>
      <c r="Y965" s="860"/>
      <c r="Z965" s="860"/>
      <c r="AA965" s="860"/>
      <c r="AB965" s="860"/>
    </row>
    <row r="966">
      <c r="I966" s="856"/>
      <c r="J966" s="859"/>
      <c r="K966" s="859"/>
      <c r="L966" s="859"/>
      <c r="M966" s="859"/>
      <c r="N966" s="859"/>
      <c r="O966" s="859"/>
      <c r="P966" s="860"/>
      <c r="Q966" s="860"/>
      <c r="R966" s="860"/>
      <c r="S966" s="860"/>
      <c r="T966" s="860"/>
      <c r="U966" s="860"/>
      <c r="V966" s="860"/>
      <c r="W966" s="860"/>
      <c r="X966" s="860"/>
      <c r="Y966" s="860"/>
      <c r="Z966" s="860"/>
      <c r="AA966" s="860"/>
      <c r="AB966" s="860"/>
    </row>
    <row r="967">
      <c r="I967" s="856"/>
      <c r="J967" s="859"/>
      <c r="K967" s="859"/>
      <c r="L967" s="859"/>
      <c r="M967" s="859"/>
      <c r="N967" s="859"/>
      <c r="O967" s="859"/>
      <c r="P967" s="860"/>
      <c r="Q967" s="860"/>
      <c r="R967" s="860"/>
      <c r="S967" s="860"/>
      <c r="T967" s="860"/>
      <c r="U967" s="860"/>
      <c r="V967" s="860"/>
      <c r="W967" s="860"/>
      <c r="X967" s="860"/>
      <c r="Y967" s="860"/>
      <c r="Z967" s="860"/>
      <c r="AA967" s="860"/>
      <c r="AB967" s="860"/>
    </row>
    <row r="968">
      <c r="I968" s="856"/>
      <c r="J968" s="859"/>
      <c r="K968" s="859"/>
      <c r="L968" s="859"/>
      <c r="M968" s="859"/>
      <c r="N968" s="859"/>
      <c r="O968" s="859"/>
      <c r="P968" s="860"/>
      <c r="Q968" s="860"/>
      <c r="R968" s="860"/>
      <c r="S968" s="860"/>
      <c r="T968" s="860"/>
      <c r="U968" s="860"/>
      <c r="V968" s="860"/>
      <c r="W968" s="860"/>
      <c r="X968" s="860"/>
      <c r="Y968" s="860"/>
      <c r="Z968" s="860"/>
      <c r="AA968" s="860"/>
      <c r="AB968" s="860"/>
    </row>
    <row r="969">
      <c r="I969" s="856"/>
      <c r="J969" s="859"/>
      <c r="K969" s="859"/>
      <c r="L969" s="859"/>
      <c r="M969" s="859"/>
      <c r="N969" s="859"/>
      <c r="O969" s="859"/>
      <c r="P969" s="860"/>
      <c r="Q969" s="860"/>
      <c r="R969" s="860"/>
      <c r="S969" s="860"/>
      <c r="T969" s="860"/>
      <c r="U969" s="860"/>
      <c r="V969" s="860"/>
      <c r="W969" s="860"/>
      <c r="X969" s="860"/>
      <c r="Y969" s="860"/>
      <c r="Z969" s="860"/>
      <c r="AA969" s="860"/>
      <c r="AB969" s="860"/>
    </row>
    <row r="970">
      <c r="I970" s="856"/>
      <c r="J970" s="859"/>
      <c r="K970" s="859"/>
      <c r="L970" s="859"/>
      <c r="M970" s="859"/>
      <c r="N970" s="859"/>
      <c r="O970" s="859"/>
      <c r="P970" s="860"/>
      <c r="Q970" s="860"/>
      <c r="R970" s="860"/>
      <c r="S970" s="860"/>
      <c r="T970" s="860"/>
      <c r="U970" s="860"/>
      <c r="V970" s="860"/>
      <c r="W970" s="860"/>
      <c r="X970" s="860"/>
      <c r="Y970" s="860"/>
      <c r="Z970" s="860"/>
      <c r="AA970" s="860"/>
      <c r="AB970" s="860"/>
    </row>
    <row r="971">
      <c r="I971" s="856"/>
      <c r="J971" s="859"/>
      <c r="K971" s="859"/>
      <c r="L971" s="859"/>
      <c r="M971" s="859"/>
      <c r="N971" s="859"/>
      <c r="O971" s="859"/>
      <c r="P971" s="860"/>
      <c r="Q971" s="860"/>
      <c r="R971" s="860"/>
      <c r="S971" s="860"/>
      <c r="T971" s="860"/>
      <c r="U971" s="860"/>
      <c r="V971" s="860"/>
      <c r="W971" s="860"/>
      <c r="X971" s="860"/>
      <c r="Y971" s="860"/>
      <c r="Z971" s="860"/>
      <c r="AA971" s="860"/>
      <c r="AB971" s="860"/>
    </row>
    <row r="972">
      <c r="I972" s="856"/>
      <c r="J972" s="859"/>
      <c r="K972" s="859"/>
      <c r="L972" s="859"/>
      <c r="M972" s="859"/>
      <c r="N972" s="859"/>
      <c r="O972" s="859"/>
      <c r="P972" s="860"/>
      <c r="Q972" s="860"/>
      <c r="R972" s="860"/>
      <c r="S972" s="860"/>
      <c r="T972" s="860"/>
      <c r="U972" s="860"/>
      <c r="V972" s="860"/>
      <c r="W972" s="860"/>
      <c r="X972" s="860"/>
      <c r="Y972" s="860"/>
      <c r="Z972" s="860"/>
      <c r="AA972" s="860"/>
      <c r="AB972" s="860"/>
    </row>
    <row r="973">
      <c r="I973" s="856"/>
      <c r="J973" s="859"/>
      <c r="K973" s="859"/>
      <c r="L973" s="859"/>
      <c r="M973" s="859"/>
      <c r="N973" s="859"/>
      <c r="O973" s="859"/>
      <c r="P973" s="860"/>
      <c r="Q973" s="860"/>
      <c r="R973" s="860"/>
      <c r="S973" s="860"/>
      <c r="T973" s="860"/>
      <c r="U973" s="860"/>
      <c r="V973" s="860"/>
      <c r="W973" s="860"/>
      <c r="X973" s="860"/>
      <c r="Y973" s="860"/>
      <c r="Z973" s="860"/>
      <c r="AA973" s="860"/>
      <c r="AB973" s="860"/>
    </row>
    <row r="974">
      <c r="I974" s="856"/>
      <c r="J974" s="859"/>
      <c r="K974" s="859"/>
      <c r="L974" s="859"/>
      <c r="M974" s="859"/>
      <c r="N974" s="859"/>
      <c r="O974" s="859"/>
      <c r="P974" s="860"/>
      <c r="Q974" s="860"/>
      <c r="R974" s="860"/>
      <c r="S974" s="860"/>
      <c r="T974" s="860"/>
      <c r="U974" s="860"/>
      <c r="V974" s="860"/>
      <c r="W974" s="860"/>
      <c r="X974" s="860"/>
      <c r="Y974" s="860"/>
      <c r="Z974" s="860"/>
      <c r="AA974" s="860"/>
      <c r="AB974" s="860"/>
    </row>
    <row r="975">
      <c r="I975" s="856"/>
      <c r="J975" s="859"/>
      <c r="K975" s="859"/>
      <c r="L975" s="859"/>
      <c r="M975" s="859"/>
      <c r="N975" s="859"/>
      <c r="O975" s="859"/>
      <c r="P975" s="860"/>
      <c r="Q975" s="860"/>
      <c r="R975" s="860"/>
      <c r="S975" s="860"/>
      <c r="T975" s="860"/>
      <c r="U975" s="860"/>
      <c r="V975" s="860"/>
      <c r="W975" s="860"/>
      <c r="X975" s="860"/>
      <c r="Y975" s="860"/>
      <c r="Z975" s="860"/>
      <c r="AA975" s="860"/>
      <c r="AB975" s="860"/>
    </row>
    <row r="976">
      <c r="I976" s="856"/>
      <c r="J976" s="859"/>
      <c r="K976" s="859"/>
      <c r="L976" s="859"/>
      <c r="M976" s="859"/>
      <c r="N976" s="859"/>
      <c r="O976" s="859"/>
      <c r="P976" s="860"/>
      <c r="Q976" s="860"/>
      <c r="R976" s="860"/>
      <c r="S976" s="860"/>
      <c r="T976" s="860"/>
      <c r="U976" s="860"/>
      <c r="V976" s="860"/>
      <c r="W976" s="860"/>
      <c r="X976" s="860"/>
      <c r="Y976" s="860"/>
      <c r="Z976" s="860"/>
      <c r="AA976" s="860"/>
      <c r="AB976" s="860"/>
    </row>
    <row r="977">
      <c r="I977" s="856"/>
      <c r="J977" s="859"/>
      <c r="K977" s="859"/>
      <c r="L977" s="859"/>
      <c r="M977" s="859"/>
      <c r="N977" s="859"/>
      <c r="O977" s="859"/>
      <c r="P977" s="860"/>
      <c r="Q977" s="860"/>
      <c r="R977" s="860"/>
      <c r="S977" s="860"/>
      <c r="T977" s="860"/>
      <c r="U977" s="860"/>
      <c r="V977" s="860"/>
      <c r="W977" s="860"/>
      <c r="X977" s="860"/>
      <c r="Y977" s="860"/>
      <c r="Z977" s="860"/>
      <c r="AA977" s="860"/>
      <c r="AB977" s="860"/>
    </row>
    <row r="978">
      <c r="I978" s="856"/>
      <c r="J978" s="859"/>
      <c r="K978" s="859"/>
      <c r="L978" s="859"/>
      <c r="M978" s="859"/>
      <c r="N978" s="859"/>
      <c r="O978" s="859"/>
      <c r="P978" s="860"/>
      <c r="Q978" s="860"/>
      <c r="R978" s="860"/>
      <c r="S978" s="860"/>
      <c r="T978" s="860"/>
      <c r="U978" s="860"/>
      <c r="V978" s="860"/>
      <c r="W978" s="860"/>
      <c r="X978" s="860"/>
      <c r="Y978" s="860"/>
      <c r="Z978" s="860"/>
      <c r="AA978" s="860"/>
      <c r="AB978" s="860"/>
    </row>
    <row r="979">
      <c r="I979" s="856"/>
      <c r="J979" s="859"/>
      <c r="K979" s="859"/>
      <c r="L979" s="859"/>
      <c r="M979" s="859"/>
      <c r="N979" s="859"/>
      <c r="O979" s="859"/>
      <c r="P979" s="860"/>
      <c r="Q979" s="860"/>
      <c r="R979" s="860"/>
      <c r="S979" s="860"/>
      <c r="T979" s="860"/>
      <c r="U979" s="860"/>
      <c r="V979" s="860"/>
      <c r="W979" s="860"/>
      <c r="X979" s="860"/>
      <c r="Y979" s="860"/>
      <c r="Z979" s="860"/>
      <c r="AA979" s="860"/>
      <c r="AB979" s="860"/>
    </row>
    <row r="980">
      <c r="I980" s="856"/>
      <c r="J980" s="859"/>
      <c r="K980" s="859"/>
      <c r="L980" s="859"/>
      <c r="M980" s="859"/>
      <c r="N980" s="859"/>
      <c r="O980" s="859"/>
      <c r="P980" s="860"/>
      <c r="Q980" s="860"/>
      <c r="R980" s="860"/>
      <c r="S980" s="860"/>
      <c r="T980" s="860"/>
      <c r="U980" s="860"/>
      <c r="V980" s="860"/>
      <c r="W980" s="860"/>
      <c r="X980" s="860"/>
      <c r="Y980" s="860"/>
      <c r="Z980" s="860"/>
      <c r="AA980" s="860"/>
      <c r="AB980" s="860"/>
    </row>
    <row r="981">
      <c r="I981" s="856"/>
      <c r="J981" s="859"/>
      <c r="K981" s="859"/>
      <c r="L981" s="859"/>
      <c r="M981" s="859"/>
      <c r="N981" s="859"/>
      <c r="O981" s="859"/>
      <c r="P981" s="860"/>
      <c r="Q981" s="860"/>
      <c r="R981" s="860"/>
      <c r="S981" s="860"/>
      <c r="T981" s="860"/>
      <c r="U981" s="860"/>
      <c r="V981" s="860"/>
      <c r="W981" s="860"/>
      <c r="X981" s="860"/>
      <c r="Y981" s="860"/>
      <c r="Z981" s="860"/>
      <c r="AA981" s="860"/>
      <c r="AB981" s="860"/>
    </row>
    <row r="982">
      <c r="I982" s="856"/>
      <c r="J982" s="859"/>
      <c r="K982" s="859"/>
      <c r="L982" s="859"/>
      <c r="M982" s="859"/>
      <c r="N982" s="859"/>
      <c r="O982" s="859"/>
      <c r="P982" s="860"/>
      <c r="Q982" s="860"/>
      <c r="R982" s="860"/>
      <c r="S982" s="860"/>
      <c r="T982" s="860"/>
      <c r="U982" s="860"/>
      <c r="V982" s="860"/>
      <c r="W982" s="860"/>
      <c r="X982" s="860"/>
      <c r="Y982" s="860"/>
      <c r="Z982" s="860"/>
      <c r="AA982" s="860"/>
      <c r="AB982" s="860"/>
    </row>
    <row r="983">
      <c r="I983" s="856"/>
      <c r="J983" s="859"/>
      <c r="K983" s="859"/>
      <c r="L983" s="859"/>
      <c r="M983" s="859"/>
      <c r="N983" s="859"/>
      <c r="O983" s="859"/>
      <c r="P983" s="860"/>
      <c r="Q983" s="860"/>
      <c r="R983" s="860"/>
      <c r="S983" s="860"/>
      <c r="T983" s="860"/>
      <c r="U983" s="860"/>
      <c r="V983" s="860"/>
      <c r="W983" s="860"/>
      <c r="X983" s="860"/>
      <c r="Y983" s="860"/>
      <c r="Z983" s="860"/>
      <c r="AA983" s="860"/>
      <c r="AB983" s="860"/>
    </row>
    <row r="984">
      <c r="I984" s="856"/>
      <c r="J984" s="859"/>
      <c r="K984" s="859"/>
      <c r="L984" s="859"/>
      <c r="M984" s="859"/>
      <c r="N984" s="859"/>
      <c r="O984" s="859"/>
      <c r="P984" s="860"/>
      <c r="Q984" s="860"/>
      <c r="R984" s="860"/>
      <c r="S984" s="860"/>
      <c r="T984" s="860"/>
      <c r="U984" s="860"/>
      <c r="V984" s="860"/>
      <c r="W984" s="860"/>
      <c r="X984" s="860"/>
      <c r="Y984" s="860"/>
      <c r="Z984" s="860"/>
      <c r="AA984" s="860"/>
      <c r="AB984" s="860"/>
    </row>
    <row r="985">
      <c r="I985" s="856"/>
      <c r="J985" s="859"/>
      <c r="K985" s="859"/>
      <c r="L985" s="859"/>
      <c r="M985" s="859"/>
      <c r="N985" s="859"/>
      <c r="O985" s="859"/>
      <c r="P985" s="860"/>
      <c r="Q985" s="860"/>
      <c r="R985" s="860"/>
      <c r="S985" s="860"/>
      <c r="T985" s="860"/>
      <c r="U985" s="860"/>
      <c r="V985" s="860"/>
      <c r="W985" s="860"/>
      <c r="X985" s="860"/>
      <c r="Y985" s="860"/>
      <c r="Z985" s="860"/>
      <c r="AA985" s="860"/>
      <c r="AB985" s="860"/>
    </row>
    <row r="986">
      <c r="I986" s="856"/>
      <c r="J986" s="859"/>
      <c r="K986" s="859"/>
      <c r="L986" s="859"/>
      <c r="M986" s="859"/>
      <c r="N986" s="859"/>
      <c r="O986" s="859"/>
      <c r="P986" s="860"/>
      <c r="Q986" s="860"/>
      <c r="R986" s="860"/>
      <c r="S986" s="860"/>
      <c r="T986" s="860"/>
      <c r="U986" s="860"/>
      <c r="V986" s="860"/>
      <c r="W986" s="860"/>
      <c r="X986" s="860"/>
      <c r="Y986" s="860"/>
      <c r="Z986" s="860"/>
      <c r="AA986" s="860"/>
      <c r="AB986" s="860"/>
    </row>
    <row r="987">
      <c r="I987" s="856"/>
      <c r="J987" s="859"/>
      <c r="K987" s="859"/>
      <c r="L987" s="859"/>
      <c r="M987" s="859"/>
      <c r="N987" s="859"/>
      <c r="O987" s="859"/>
      <c r="P987" s="860"/>
      <c r="Q987" s="860"/>
      <c r="R987" s="860"/>
      <c r="S987" s="860"/>
      <c r="T987" s="860"/>
      <c r="U987" s="860"/>
      <c r="V987" s="860"/>
      <c r="W987" s="860"/>
      <c r="X987" s="860"/>
      <c r="Y987" s="860"/>
      <c r="Z987" s="860"/>
      <c r="AA987" s="860"/>
      <c r="AB987" s="860"/>
    </row>
    <row r="988">
      <c r="I988" s="856"/>
      <c r="J988" s="859"/>
      <c r="K988" s="859"/>
      <c r="L988" s="859"/>
      <c r="M988" s="859"/>
      <c r="N988" s="859"/>
      <c r="O988" s="859"/>
      <c r="P988" s="860"/>
      <c r="Q988" s="860"/>
      <c r="R988" s="860"/>
      <c r="S988" s="860"/>
      <c r="T988" s="860"/>
      <c r="U988" s="860"/>
      <c r="V988" s="860"/>
      <c r="W988" s="860"/>
      <c r="X988" s="860"/>
      <c r="Y988" s="860"/>
      <c r="Z988" s="860"/>
      <c r="AA988" s="860"/>
      <c r="AB988" s="860"/>
    </row>
    <row r="989">
      <c r="I989" s="856"/>
      <c r="J989" s="859"/>
      <c r="K989" s="859"/>
      <c r="L989" s="859"/>
      <c r="M989" s="859"/>
      <c r="N989" s="859"/>
      <c r="O989" s="859"/>
      <c r="P989" s="860"/>
      <c r="Q989" s="860"/>
      <c r="R989" s="860"/>
      <c r="S989" s="860"/>
      <c r="T989" s="860"/>
      <c r="U989" s="860"/>
      <c r="V989" s="860"/>
      <c r="W989" s="860"/>
      <c r="X989" s="860"/>
      <c r="Y989" s="860"/>
      <c r="Z989" s="860"/>
      <c r="AA989" s="860"/>
      <c r="AB989" s="860"/>
    </row>
    <row r="990">
      <c r="I990" s="856"/>
      <c r="J990" s="859"/>
      <c r="K990" s="859"/>
      <c r="L990" s="859"/>
      <c r="M990" s="859"/>
      <c r="N990" s="859"/>
      <c r="O990" s="859"/>
      <c r="P990" s="860"/>
      <c r="Q990" s="860"/>
      <c r="R990" s="860"/>
      <c r="S990" s="860"/>
      <c r="T990" s="860"/>
      <c r="U990" s="860"/>
      <c r="V990" s="860"/>
      <c r="W990" s="860"/>
      <c r="X990" s="860"/>
      <c r="Y990" s="860"/>
      <c r="Z990" s="860"/>
      <c r="AA990" s="860"/>
      <c r="AB990" s="860"/>
    </row>
    <row r="991">
      <c r="I991" s="856"/>
      <c r="J991" s="859"/>
      <c r="K991" s="859"/>
      <c r="L991" s="859"/>
      <c r="M991" s="859"/>
      <c r="N991" s="859"/>
      <c r="O991" s="859"/>
      <c r="P991" s="860"/>
      <c r="Q991" s="860"/>
      <c r="R991" s="860"/>
      <c r="S991" s="860"/>
      <c r="T991" s="860"/>
      <c r="U991" s="860"/>
      <c r="V991" s="860"/>
      <c r="W991" s="860"/>
      <c r="X991" s="860"/>
      <c r="Y991" s="860"/>
      <c r="Z991" s="860"/>
      <c r="AA991" s="860"/>
      <c r="AB991" s="860"/>
    </row>
    <row r="992">
      <c r="I992" s="856"/>
      <c r="J992" s="859"/>
      <c r="K992" s="859"/>
      <c r="L992" s="859"/>
      <c r="M992" s="859"/>
      <c r="N992" s="859"/>
      <c r="O992" s="859"/>
      <c r="P992" s="860"/>
      <c r="Q992" s="860"/>
      <c r="R992" s="860"/>
      <c r="S992" s="860"/>
      <c r="T992" s="860"/>
      <c r="U992" s="860"/>
      <c r="V992" s="860"/>
      <c r="W992" s="860"/>
      <c r="X992" s="860"/>
      <c r="Y992" s="860"/>
      <c r="Z992" s="860"/>
      <c r="AA992" s="860"/>
      <c r="AB992" s="860"/>
    </row>
    <row r="993">
      <c r="I993" s="856"/>
      <c r="J993" s="859"/>
      <c r="K993" s="859"/>
      <c r="L993" s="859"/>
      <c r="M993" s="859"/>
      <c r="N993" s="859"/>
      <c r="O993" s="859"/>
      <c r="P993" s="860"/>
      <c r="Q993" s="860"/>
      <c r="R993" s="860"/>
      <c r="S993" s="860"/>
      <c r="T993" s="860"/>
      <c r="U993" s="860"/>
      <c r="V993" s="860"/>
      <c r="W993" s="860"/>
      <c r="X993" s="860"/>
      <c r="Y993" s="860"/>
      <c r="Z993" s="860"/>
      <c r="AA993" s="860"/>
      <c r="AB993" s="860"/>
    </row>
    <row r="994">
      <c r="I994" s="856"/>
      <c r="J994" s="859"/>
      <c r="K994" s="859"/>
      <c r="L994" s="859"/>
      <c r="M994" s="859"/>
      <c r="N994" s="859"/>
      <c r="O994" s="859"/>
      <c r="P994" s="860"/>
      <c r="Q994" s="860"/>
      <c r="R994" s="860"/>
      <c r="S994" s="860"/>
      <c r="T994" s="860"/>
      <c r="U994" s="860"/>
      <c r="V994" s="860"/>
      <c r="W994" s="860"/>
      <c r="X994" s="860"/>
      <c r="Y994" s="860"/>
      <c r="Z994" s="860"/>
      <c r="AA994" s="860"/>
      <c r="AB994" s="860"/>
    </row>
    <row r="995">
      <c r="I995" s="856"/>
      <c r="J995" s="859"/>
      <c r="K995" s="859"/>
      <c r="L995" s="859"/>
      <c r="M995" s="859"/>
      <c r="N995" s="859"/>
      <c r="O995" s="859"/>
      <c r="P995" s="860"/>
      <c r="Q995" s="860"/>
      <c r="R995" s="860"/>
      <c r="S995" s="860"/>
      <c r="T995" s="860"/>
      <c r="U995" s="860"/>
      <c r="V995" s="860"/>
      <c r="W995" s="860"/>
      <c r="X995" s="860"/>
      <c r="Y995" s="860"/>
      <c r="Z995" s="860"/>
      <c r="AA995" s="860"/>
      <c r="AB995" s="860"/>
    </row>
    <row r="996">
      <c r="I996" s="856"/>
      <c r="J996" s="859"/>
      <c r="K996" s="859"/>
      <c r="L996" s="859"/>
      <c r="M996" s="859"/>
      <c r="N996" s="859"/>
      <c r="O996" s="859"/>
      <c r="P996" s="860"/>
      <c r="Q996" s="860"/>
      <c r="R996" s="860"/>
      <c r="S996" s="860"/>
      <c r="T996" s="860"/>
      <c r="U996" s="860"/>
      <c r="V996" s="860"/>
      <c r="W996" s="860"/>
      <c r="X996" s="860"/>
      <c r="Y996" s="860"/>
      <c r="Z996" s="860"/>
      <c r="AA996" s="860"/>
      <c r="AB996" s="860"/>
    </row>
    <row r="997">
      <c r="I997" s="856"/>
      <c r="J997" s="859"/>
      <c r="K997" s="859"/>
      <c r="L997" s="859"/>
      <c r="M997" s="859"/>
      <c r="N997" s="859"/>
      <c r="O997" s="859"/>
      <c r="P997" s="860"/>
      <c r="Q997" s="860"/>
      <c r="R997" s="860"/>
      <c r="S997" s="860"/>
      <c r="T997" s="860"/>
      <c r="U997" s="860"/>
      <c r="V997" s="860"/>
      <c r="W997" s="860"/>
      <c r="X997" s="860"/>
      <c r="Y997" s="860"/>
      <c r="Z997" s="860"/>
      <c r="AA997" s="860"/>
      <c r="AB997" s="860"/>
    </row>
    <row r="998">
      <c r="I998" s="856"/>
      <c r="J998" s="859"/>
      <c r="K998" s="859"/>
      <c r="L998" s="859"/>
      <c r="M998" s="859"/>
      <c r="N998" s="859"/>
      <c r="O998" s="859"/>
      <c r="P998" s="860"/>
      <c r="Q998" s="860"/>
      <c r="R998" s="860"/>
      <c r="S998" s="860"/>
      <c r="T998" s="860"/>
      <c r="U998" s="860"/>
      <c r="V998" s="860"/>
      <c r="W998" s="860"/>
      <c r="X998" s="860"/>
      <c r="Y998" s="860"/>
      <c r="Z998" s="860"/>
      <c r="AA998" s="860"/>
      <c r="AB998" s="860"/>
    </row>
    <row r="999">
      <c r="I999" s="856"/>
      <c r="J999" s="859"/>
      <c r="K999" s="859"/>
      <c r="L999" s="859"/>
      <c r="M999" s="859"/>
      <c r="N999" s="859"/>
      <c r="O999" s="859"/>
      <c r="P999" s="860"/>
      <c r="Q999" s="860"/>
      <c r="R999" s="860"/>
      <c r="S999" s="860"/>
      <c r="T999" s="860"/>
      <c r="U999" s="860"/>
      <c r="V999" s="860"/>
      <c r="W999" s="860"/>
      <c r="X999" s="860"/>
      <c r="Y999" s="860"/>
      <c r="Z999" s="860"/>
      <c r="AA999" s="860"/>
      <c r="AB999" s="860"/>
    </row>
    <row r="1000">
      <c r="I1000" s="856"/>
      <c r="J1000" s="859"/>
      <c r="K1000" s="859"/>
      <c r="L1000" s="859"/>
      <c r="M1000" s="859"/>
      <c r="N1000" s="859"/>
      <c r="O1000" s="859"/>
      <c r="P1000" s="860"/>
      <c r="Q1000" s="860"/>
      <c r="R1000" s="860"/>
      <c r="S1000" s="860"/>
      <c r="T1000" s="860"/>
      <c r="U1000" s="860"/>
      <c r="V1000" s="860"/>
      <c r="W1000" s="860"/>
      <c r="X1000" s="860"/>
      <c r="Y1000" s="860"/>
      <c r="Z1000" s="860"/>
      <c r="AA1000" s="860"/>
      <c r="AB1000" s="860"/>
    </row>
  </sheetData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2.0"/>
    <col customWidth="1" min="3" max="3" width="13.25"/>
    <col customWidth="1" min="4" max="4" width="12.25"/>
    <col customWidth="1" min="5" max="5" width="12.0"/>
    <col customWidth="1" min="6" max="6" width="12.5"/>
    <col customWidth="1" min="7" max="7" width="12.0"/>
    <col customWidth="1" min="8" max="8" width="9.63"/>
    <col customWidth="1" min="9" max="11" width="12.0"/>
    <col customWidth="1" min="12" max="12" width="9.75"/>
    <col customWidth="1" min="15" max="20" width="2.88"/>
    <col customWidth="1" min="21" max="21" width="8.0"/>
    <col customWidth="1" min="23" max="23" width="10.38"/>
    <col customWidth="1" min="24" max="24" width="7.75"/>
  </cols>
  <sheetData>
    <row r="1">
      <c r="A1" s="1" t="s">
        <v>515</v>
      </c>
    </row>
    <row r="3">
      <c r="A3" s="861" t="s">
        <v>421</v>
      </c>
      <c r="B3" s="861" t="s">
        <v>516</v>
      </c>
      <c r="C3" s="861" t="s">
        <v>517</v>
      </c>
      <c r="D3" s="862" t="s">
        <v>518</v>
      </c>
      <c r="E3" s="862" t="s">
        <v>519</v>
      </c>
      <c r="F3" s="862" t="s">
        <v>520</v>
      </c>
      <c r="G3" s="862" t="s">
        <v>521</v>
      </c>
      <c r="H3" s="863"/>
      <c r="I3" s="863"/>
      <c r="J3" s="75"/>
      <c r="K3" s="863"/>
      <c r="L3" s="863"/>
      <c r="M3" s="863"/>
      <c r="N3" s="864"/>
      <c r="O3" s="863"/>
      <c r="P3" s="863"/>
      <c r="Q3" s="863"/>
      <c r="R3" s="863"/>
      <c r="S3" s="863"/>
      <c r="T3" s="863"/>
      <c r="U3" s="863"/>
      <c r="V3" s="863"/>
      <c r="W3" s="863"/>
      <c r="X3" s="863"/>
      <c r="Y3" s="863"/>
      <c r="Z3" s="863"/>
    </row>
    <row r="4">
      <c r="A4" s="1" t="s">
        <v>114</v>
      </c>
      <c r="B4" s="865">
        <f t="array" ref="B4">IFERROR((INDEX('Halo Reach Stats'!$1:$46,MATCH(A4,'Halo Reach Stats'!$A:$A,0),6))/(INDEX('Halo Reach Stats'!$1:$46,MATCH(A4,'Halo Reach Stats'!$A:$A,0),8)),"")</f>
        <v>0.1771047228</v>
      </c>
      <c r="C4" s="865">
        <f t="array" ref="C4">IFERROR((INDEX('Halo Reach Stats'!$1:$46,MATCH(A4,'Halo Reach Stats'!$A:$A,0),6))/((INDEX('Halo Reach Stats'!$1:$46,MATCH(A4,'Halo Reach Stats'!$A:$A,0),16))/60),"")</f>
        <v>1.263890585</v>
      </c>
      <c r="D4" s="865">
        <f t="array" ref="D4">IFERROR((INDEX('Halo Reach Stats'!$1:$46,MATCH(A4,'Halo Reach Stats'!$A:$A,0),5))/((INDEX('Halo Reach Stats'!$1:$46,MATCH(A4,'Halo Reach Stats'!$A:$A,0),16))/60),"")</f>
        <v>0.1831725485</v>
      </c>
      <c r="E4" s="865">
        <f t="array" ref="E4">IFERROR((INDEX('Halo Reach Stats'!$1:$46,MATCH(A4,'Halo Reach Stats'!$A:$A,0),5))/((INDEX('Halo Reach Stats'!$1:$46,MATCH(A4,'Halo Reach Stats'!$A:$A,0),14))/60),"")</f>
        <v>0.05840666615</v>
      </c>
      <c r="F4" s="865">
        <f t="array" ref="F4">IFERROR((INDEX('Halo Reach Stats'!$1:$46,MATCH(A4,'Halo Reach Stats'!$A:$A,0),8))/((INDEX('Halo Reach Stats'!$1:$46,MATCH(A4,'Halo Reach Stats'!$A:$A,0),16))/60),"")</f>
        <v>7.136402491</v>
      </c>
      <c r="G4" s="865">
        <f t="array" ref="G4">IFERROR((INDEX('Halo Reach Stats'!$1:$46,MATCH(A4,'Halo Reach Stats'!$A:$A,0),5))/(INDEX('Halo Reach Stats'!$1:$46,MATCH(A4,'Halo Reach Stats'!$A:$A,0),2)),"")</f>
        <v>1.785714286</v>
      </c>
      <c r="N4" s="866"/>
      <c r="O4" s="867"/>
      <c r="P4" s="867"/>
      <c r="Q4" s="867"/>
      <c r="R4" s="867"/>
      <c r="S4" s="867"/>
      <c r="T4" s="867"/>
      <c r="U4" s="867"/>
      <c r="V4" s="534" t="s">
        <v>421</v>
      </c>
      <c r="W4" s="868" t="s">
        <v>522</v>
      </c>
      <c r="X4" s="869" t="s">
        <v>523</v>
      </c>
    </row>
    <row r="5">
      <c r="A5" s="1" t="s">
        <v>148</v>
      </c>
      <c r="B5" s="865">
        <f t="array" ref="B5">IFERROR((INDEX('Halo Reach Stats'!$1:$46,MATCH(A5,'Halo Reach Stats'!$A:$A,0),6))/(INDEX('Halo Reach Stats'!$1:$46,MATCH(A5,'Halo Reach Stats'!$A:$A,0),8)),"")</f>
        <v>0.1507430998</v>
      </c>
      <c r="C5" s="865">
        <f t="array" ref="C5">IFERROR((INDEX('Halo Reach Stats'!$1:$46,MATCH(A5,'Halo Reach Stats'!$A:$A,0),6))/((INDEX('Halo Reach Stats'!$1:$46,MATCH(A5,'Halo Reach Stats'!$A:$A,0),16))/60),"")</f>
        <v>1.076573161</v>
      </c>
      <c r="D5" s="865">
        <f t="array" ref="D5">IFERROR((INDEX('Halo Reach Stats'!$1:$46,MATCH(A5,'Halo Reach Stats'!$A:$A,0),5))/((INDEX('Halo Reach Stats'!$1:$46,MATCH(A5,'Halo Reach Stats'!$A:$A,0),16))/60),"")</f>
        <v>0.2047005307</v>
      </c>
      <c r="E5" s="865">
        <f t="array" ref="E5">IFERROR((INDEX('Halo Reach Stats'!$1:$46,MATCH(A5,'Halo Reach Stats'!$A:$A,0),5))/((INDEX('Halo Reach Stats'!$1:$46,MATCH(A5,'Halo Reach Stats'!$A:$A,0),14))/60),"")</f>
        <v>0.06329113924</v>
      </c>
      <c r="F5" s="865">
        <f t="array" ref="F5">IFERROR((INDEX('Halo Reach Stats'!$1:$46,MATCH(A5,'Halo Reach Stats'!$A:$A,0),8))/((INDEX('Halo Reach Stats'!$1:$46,MATCH(A5,'Halo Reach Stats'!$A:$A,0),16))/60),"")</f>
        <v>7.141774071</v>
      </c>
      <c r="G5" s="865">
        <f t="array" ref="G5">IFERROR((INDEX('Halo Reach Stats'!$1:$46,MATCH(A5,'Halo Reach Stats'!$A:$A,0),5))/(INDEX('Halo Reach Stats'!$1:$46,MATCH(A5,'Halo Reach Stats'!$A:$A,0),2)),"")</f>
        <v>1.588235294</v>
      </c>
      <c r="N5" s="870" t="s">
        <v>114</v>
      </c>
      <c r="O5" s="1">
        <f t="shared" ref="O5:O15" si="1">MATCH(N5,$A$18:$A$28,0)</f>
        <v>5</v>
      </c>
      <c r="P5" s="1">
        <f t="shared" ref="P5:P15" si="2">MATCH(N5,$C$18:$C$28,0)</f>
        <v>5</v>
      </c>
      <c r="Q5" s="662">
        <f t="shared" ref="Q5:Q15" si="3">MATCH(N5,$E$18:$E$28,0)</f>
        <v>9</v>
      </c>
      <c r="R5" s="1">
        <v>4.0</v>
      </c>
      <c r="S5" s="871">
        <f t="shared" ref="S5:S15" si="4">MATCH(N5,$I$18:$I$28,0)</f>
        <v>5</v>
      </c>
      <c r="U5" s="865">
        <f t="shared" ref="U5:U15" si="5">SUM(O5:T5)/5</f>
        <v>5.6</v>
      </c>
      <c r="V5" s="872" t="str">
        <f>IFERROR(__xludf.DUMMYFUNCTION("Query('Runner Comparison chart'!$N$5:$U$15,""Select N,U where N&lt;&gt;'' Order by U Asc"")"),"yLuxe")</f>
        <v>yLuxe</v>
      </c>
      <c r="W5" s="873">
        <f>IFERROR(__xludf.DUMMYFUNCTION("""COMPUTED_VALUE"""),2.8)</f>
        <v>2.8</v>
      </c>
      <c r="X5" s="874" t="s">
        <v>195</v>
      </c>
    </row>
    <row r="6">
      <c r="A6" s="1" t="s">
        <v>149</v>
      </c>
      <c r="B6" s="865">
        <f t="array" ref="B6">IFERROR((INDEX('Halo Reach Stats'!$1:$46,MATCH(A6,'Halo Reach Stats'!$A:$A,0),6))/(INDEX('Halo Reach Stats'!$1:$46,MATCH(A6,'Halo Reach Stats'!$A:$A,0),8)),"")</f>
        <v>0.3983451537</v>
      </c>
      <c r="C6" s="865">
        <f t="array" ref="C6">IFERROR((INDEX('Halo Reach Stats'!$1:$46,MATCH(A6,'Halo Reach Stats'!$A:$A,0),6))/((INDEX('Halo Reach Stats'!$1:$46,MATCH(A6,'Halo Reach Stats'!$A:$A,0),16))/60),"")</f>
        <v>1.039962969</v>
      </c>
      <c r="D6" s="865">
        <f t="array" ref="D6">IFERROR((INDEX('Halo Reach Stats'!$1:$46,MATCH(A6,'Halo Reach Stats'!$A:$A,0),5))/((INDEX('Halo Reach Stats'!$1:$46,MATCH(A6,'Halo Reach Stats'!$A:$A,0),16))/60),"")</f>
        <v>0.1820706681</v>
      </c>
      <c r="E6" s="865">
        <f t="array" ref="E6">IFERROR((INDEX('Halo Reach Stats'!$1:$46,MATCH(A6,'Halo Reach Stats'!$A:$A,0),5))/((INDEX('Halo Reach Stats'!$1:$46,MATCH(A6,'Halo Reach Stats'!$A:$A,0),14))/60),"")</f>
        <v>0.09819422485</v>
      </c>
      <c r="F6" s="865">
        <f t="array" ref="F6">IFERROR((INDEX('Halo Reach Stats'!$1:$46,MATCH(A6,'Halo Reach Stats'!$A:$A,0),8))/((INDEX('Halo Reach Stats'!$1:$46,MATCH(A6,'Halo Reach Stats'!$A:$A,0),16))/60),"")</f>
        <v>2.610708224</v>
      </c>
      <c r="G6" s="865">
        <f t="array" ref="G6">IFERROR((INDEX('Halo Reach Stats'!$1:$46,MATCH(A6,'Halo Reach Stats'!$A:$A,0),5))/(INDEX('Halo Reach Stats'!$1:$46,MATCH(A6,'Halo Reach Stats'!$A:$A,0),2)),"")</f>
        <v>3.470588235</v>
      </c>
      <c r="N6" s="870" t="s">
        <v>148</v>
      </c>
      <c r="O6" s="1">
        <f t="shared" si="1"/>
        <v>6</v>
      </c>
      <c r="P6" s="1">
        <f t="shared" si="2"/>
        <v>7</v>
      </c>
      <c r="Q6" s="662">
        <f t="shared" si="3"/>
        <v>8</v>
      </c>
      <c r="R6" s="1">
        <v>8.0</v>
      </c>
      <c r="S6" s="871">
        <f t="shared" si="4"/>
        <v>6</v>
      </c>
      <c r="U6" s="865">
        <f t="shared" si="5"/>
        <v>7</v>
      </c>
      <c r="V6" s="872" t="str">
        <f>IFERROR(__xludf.DUMMYFUNCTION("""COMPUTED_VALUE"""),"Hells Angel cx")</f>
        <v>Hells Angel cx</v>
      </c>
      <c r="W6" s="873">
        <f>IFERROR(__xludf.DUMMYFUNCTION("""COMPUTED_VALUE"""),3.2)</f>
        <v>3.2</v>
      </c>
      <c r="X6" s="874" t="s">
        <v>200</v>
      </c>
    </row>
    <row r="7">
      <c r="A7" s="875" t="s">
        <v>150</v>
      </c>
      <c r="B7" s="876">
        <f t="array" ref="B7">IFERROR((INDEX('Halo Reach Stats'!$1:$46,MATCH(A7,'Halo Reach Stats'!$A:$A,0),6))/(INDEX('Halo Reach Stats'!$1:$46,MATCH(A7,'Halo Reach Stats'!$A:$A,0),8)),"")</f>
        <v>0.04794520548</v>
      </c>
      <c r="C7" s="876">
        <f t="array" ref="C7">IFERROR((INDEX('Halo Reach Stats'!$1:$46,MATCH(A7,'Halo Reach Stats'!$A:$A,0),6))/((INDEX('Halo Reach Stats'!$1:$46,MATCH(A7,'Halo Reach Stats'!$A:$A,0),16))/60),"")</f>
        <v>1.450151057</v>
      </c>
      <c r="D7" s="876">
        <f t="array" ref="D7">IFERROR((INDEX('Halo Reach Stats'!$1:$46,MATCH(A7,'Halo Reach Stats'!$A:$A,0),5))/((INDEX('Halo Reach Stats'!$1:$46,MATCH(A7,'Halo Reach Stats'!$A:$A,0),16))/60),"")</f>
        <v>0.258955546</v>
      </c>
      <c r="E7" s="876">
        <f t="array" ref="E7">IFERROR((INDEX('Halo Reach Stats'!$1:$46,MATCH(A7,'Halo Reach Stats'!$A:$A,0),5))/((INDEX('Halo Reach Stats'!$1:$46,MATCH(A7,'Halo Reach Stats'!$A:$A,0),14))/60),"")</f>
        <v>0.03096934035</v>
      </c>
      <c r="F7" s="876">
        <f t="array" ref="F7">IFERROR((INDEX('Halo Reach Stats'!$1:$46,MATCH(A7,'Halo Reach Stats'!$A:$A,0),8))/((INDEX('Halo Reach Stats'!$1:$46,MATCH(A7,'Halo Reach Stats'!$A:$A,0),16))/60),"")</f>
        <v>30.24600777</v>
      </c>
      <c r="G7" s="865">
        <f t="array" ref="G7">IFERROR((INDEX('Halo Reach Stats'!$1:$46,MATCH(A7,'Halo Reach Stats'!$A:$A,0),5))/(INDEX('Halo Reach Stats'!$1:$46,MATCH(A7,'Halo Reach Stats'!$A:$A,0),2)),"")</f>
        <v>0.7142857143</v>
      </c>
      <c r="N7" s="870" t="s">
        <v>149</v>
      </c>
      <c r="O7" s="1">
        <f t="shared" si="1"/>
        <v>1</v>
      </c>
      <c r="P7" s="1">
        <f t="shared" si="2"/>
        <v>8</v>
      </c>
      <c r="Q7" s="662">
        <f t="shared" si="3"/>
        <v>10</v>
      </c>
      <c r="R7" s="1">
        <v>1.0</v>
      </c>
      <c r="S7" s="871">
        <f t="shared" si="4"/>
        <v>1</v>
      </c>
      <c r="U7" s="865">
        <f t="shared" si="5"/>
        <v>4.2</v>
      </c>
      <c r="V7" s="872" t="str">
        <f>IFERROR(__xludf.DUMMYFUNCTION("""COMPUTED_VALUE"""),"EllisGotMyPills")</f>
        <v>EllisGotMyPills</v>
      </c>
      <c r="W7" s="873">
        <f>IFERROR(__xludf.DUMMYFUNCTION("""COMPUTED_VALUE"""),4.2)</f>
        <v>4.2</v>
      </c>
      <c r="X7" s="874" t="s">
        <v>203</v>
      </c>
    </row>
    <row r="8">
      <c r="A8" s="875" t="s">
        <v>117</v>
      </c>
      <c r="B8" s="876">
        <f t="array" ref="B8">IFERROR((INDEX('Halo Reach Stats'!$1:$46,MATCH(A8,'Halo Reach Stats'!$A:$A,0),6))/(INDEX('Halo Reach Stats'!$1:$46,MATCH(A8,'Halo Reach Stats'!$A:$A,0),8)),"")</f>
        <v>0.04142011834</v>
      </c>
      <c r="C8" s="876">
        <f t="array" ref="C8">IFERROR((INDEX('Halo Reach Stats'!$1:$46,MATCH(A8,'Halo Reach Stats'!$A:$A,0),6))/((INDEX('Halo Reach Stats'!$1:$46,MATCH(A8,'Halo Reach Stats'!$A:$A,0),16))/60),"")</f>
        <v>1.253107907</v>
      </c>
      <c r="D8" s="876">
        <f t="array" ref="D8">IFERROR((INDEX('Halo Reach Stats'!$1:$46,MATCH(A8,'Halo Reach Stats'!$A:$A,0),5))/((INDEX('Halo Reach Stats'!$1:$46,MATCH(A8,'Halo Reach Stats'!$A:$A,0),16))/60),"")</f>
        <v>0.2685231228</v>
      </c>
      <c r="E8" s="876">
        <f t="array" ref="E8">IFERROR((INDEX('Halo Reach Stats'!$1:$46,MATCH(A8,'Halo Reach Stats'!$A:$A,0),5))/((INDEX('Halo Reach Stats'!$1:$46,MATCH(A8,'Halo Reach Stats'!$A:$A,0),14))/60),"")</f>
        <v>0.02787240632</v>
      </c>
      <c r="F8" s="876">
        <f t="array" ref="F8">IFERROR((INDEX('Halo Reach Stats'!$1:$46,MATCH(A8,'Halo Reach Stats'!$A:$A,0),8))/((INDEX('Halo Reach Stats'!$1:$46,MATCH(A8,'Halo Reach Stats'!$A:$A,0),16))/60),"")</f>
        <v>30.25360517</v>
      </c>
      <c r="G8" s="865">
        <f t="array" ref="G8">IFERROR((INDEX('Halo Reach Stats'!$1:$46,MATCH(A8,'Halo Reach Stats'!$A:$A,0),5))/(INDEX('Halo Reach Stats'!$1:$46,MATCH(A8,'Halo Reach Stats'!$A:$A,0),2)),"")</f>
        <v>0.6428571429</v>
      </c>
      <c r="N8" s="877" t="s">
        <v>150</v>
      </c>
      <c r="O8" s="1">
        <f t="shared" si="1"/>
        <v>9</v>
      </c>
      <c r="P8" s="1">
        <f t="shared" si="2"/>
        <v>4</v>
      </c>
      <c r="Q8" s="662">
        <f t="shared" si="3"/>
        <v>5</v>
      </c>
      <c r="R8" s="1">
        <v>10.0</v>
      </c>
      <c r="S8" s="871">
        <f t="shared" si="4"/>
        <v>9</v>
      </c>
      <c r="U8" s="865">
        <f t="shared" si="5"/>
        <v>7.4</v>
      </c>
      <c r="V8" s="872" t="str">
        <f>IFERROR(__xludf.DUMMYFUNCTION("""COMPUTED_VALUE"""),"Dhlyn")</f>
        <v>Dhlyn</v>
      </c>
      <c r="W8" s="873">
        <f>IFERROR(__xludf.DUMMYFUNCTION("""COMPUTED_VALUE"""),4.4)</f>
        <v>4.4</v>
      </c>
      <c r="X8" s="878" t="s">
        <v>208</v>
      </c>
    </row>
    <row r="9">
      <c r="A9" s="875" t="s">
        <v>128</v>
      </c>
      <c r="B9" s="876">
        <f t="array" ref="B9">IFERROR((INDEX('Halo Reach Stats'!$1:$46,MATCH(A9,'Halo Reach Stats'!$A:$A,0),6))/(INDEX('Halo Reach Stats'!$1:$46,MATCH(A9,'Halo Reach Stats'!$A:$A,0),8)),"")</f>
        <v>0.02230843841</v>
      </c>
      <c r="C9" s="876">
        <f t="array" ref="C9">IFERROR((INDEX('Halo Reach Stats'!$1:$46,MATCH(A9,'Halo Reach Stats'!$A:$A,0),6))/((INDEX('Halo Reach Stats'!$1:$46,MATCH(A9,'Halo Reach Stats'!$A:$A,0),16))/60),"")</f>
        <v>0.8662900188</v>
      </c>
      <c r="D9" s="876">
        <f t="array" ref="D9">IFERROR((INDEX('Halo Reach Stats'!$1:$46,MATCH(A9,'Halo Reach Stats'!$A:$A,0),5))/((INDEX('Halo Reach Stats'!$1:$46,MATCH(A9,'Halo Reach Stats'!$A:$A,0),16))/60),"")</f>
        <v>0.527306968</v>
      </c>
      <c r="E9" s="876">
        <f t="array" ref="E9">IFERROR((INDEX('Halo Reach Stats'!$1:$46,MATCH(A9,'Halo Reach Stats'!$A:$A,0),5))/((INDEX('Halo Reach Stats'!$1:$46,MATCH(A9,'Halo Reach Stats'!$A:$A,0),14))/60),"")</f>
        <v>0.04698774962</v>
      </c>
      <c r="F9" s="876">
        <f t="array" ref="F9">IFERROR((INDEX('Halo Reach Stats'!$1:$46,MATCH(A9,'Halo Reach Stats'!$A:$A,0),8))/((INDEX('Halo Reach Stats'!$1:$46,MATCH(A9,'Halo Reach Stats'!$A:$A,0),16))/60),"")</f>
        <v>38.83239171</v>
      </c>
      <c r="G9" s="865">
        <f t="array" ref="G9">IFERROR((INDEX('Halo Reach Stats'!$1:$46,MATCH(A9,'Halo Reach Stats'!$A:$A,0),5))/(INDEX('Halo Reach Stats'!$1:$46,MATCH(A9,'Halo Reach Stats'!$A:$A,0),2)),"")</f>
        <v>1.076923077</v>
      </c>
      <c r="N9" s="877" t="s">
        <v>117</v>
      </c>
      <c r="O9" s="1">
        <f t="shared" si="1"/>
        <v>10</v>
      </c>
      <c r="P9" s="1">
        <f t="shared" si="2"/>
        <v>6</v>
      </c>
      <c r="Q9" s="662">
        <f t="shared" si="3"/>
        <v>4</v>
      </c>
      <c r="R9" s="1">
        <v>11.0</v>
      </c>
      <c r="S9" s="871">
        <f t="shared" si="4"/>
        <v>10</v>
      </c>
      <c r="U9" s="865">
        <f t="shared" si="5"/>
        <v>8.2</v>
      </c>
      <c r="V9" s="872" t="str">
        <f>IFERROR(__xludf.DUMMYFUNCTION("""COMPUTED_VALUE"""),"Mavbrid")</f>
        <v>Mavbrid</v>
      </c>
      <c r="W9" s="873">
        <f>IFERROR(__xludf.DUMMYFUNCTION("""COMPUTED_VALUE"""),5.6)</f>
        <v>5.6</v>
      </c>
      <c r="X9" s="878" t="s">
        <v>211</v>
      </c>
    </row>
    <row r="10">
      <c r="A10" s="1" t="s">
        <v>118</v>
      </c>
      <c r="B10" s="865">
        <f t="array" ref="B10">IFERROR((INDEX('Halo Reach Stats'!$1:$46,MATCH(A10,'Halo Reach Stats'!$A:$A,0),6))/(INDEX('Halo Reach Stats'!$1:$46,MATCH(A10,'Halo Reach Stats'!$A:$A,0),8)),"")</f>
        <v>0.247714808</v>
      </c>
      <c r="C10" s="865">
        <f t="array" ref="C10">IFERROR((INDEX('Halo Reach Stats'!$1:$46,MATCH(A10,'Halo Reach Stats'!$A:$A,0),6))/((INDEX('Halo Reach Stats'!$1:$46,MATCH(A10,'Halo Reach Stats'!$A:$A,0),16))/60),"")</f>
        <v>1.543133719</v>
      </c>
      <c r="D10" s="865">
        <f t="array" ref="D10">IFERROR((INDEX('Halo Reach Stats'!$1:$46,MATCH(A10,'Halo Reach Stats'!$A:$A,0),5))/((INDEX('Halo Reach Stats'!$1:$46,MATCH(A10,'Halo Reach Stats'!$A:$A,0),16))/60),"")</f>
        <v>0.2163803739</v>
      </c>
      <c r="E10" s="865">
        <f t="array" ref="E10">IFERROR((INDEX('Halo Reach Stats'!$1:$46,MATCH(A10,'Halo Reach Stats'!$A:$A,0),5))/((INDEX('Halo Reach Stats'!$1:$46,MATCH(A10,'Halo Reach Stats'!$A:$A,0),14))/60),"")</f>
        <v>0.08240864568</v>
      </c>
      <c r="F10" s="865">
        <f t="array" ref="F10">IFERROR((INDEX('Halo Reach Stats'!$1:$46,MATCH(A10,'Halo Reach Stats'!$A:$A,0),8))/((INDEX('Halo Reach Stats'!$1:$46,MATCH(A10,'Halo Reach Stats'!$A:$A,0),16))/60),"")</f>
        <v>6.229477081</v>
      </c>
      <c r="G10" s="865">
        <f t="array" ref="G10">IFERROR((INDEX('Halo Reach Stats'!$1:$46,MATCH(A10,'Halo Reach Stats'!$A:$A,0),5))/(INDEX('Halo Reach Stats'!$1:$46,MATCH(A10,'Halo Reach Stats'!$A:$A,0),2)),"")</f>
        <v>2.235294118</v>
      </c>
      <c r="N10" s="877" t="s">
        <v>128</v>
      </c>
      <c r="O10" s="1">
        <f t="shared" si="1"/>
        <v>11</v>
      </c>
      <c r="P10" s="1">
        <f t="shared" si="2"/>
        <v>9</v>
      </c>
      <c r="Q10" s="662">
        <f t="shared" si="3"/>
        <v>1</v>
      </c>
      <c r="R10" s="1">
        <v>9.0</v>
      </c>
      <c r="S10" s="871">
        <f t="shared" si="4"/>
        <v>11</v>
      </c>
      <c r="U10" s="865">
        <f t="shared" si="5"/>
        <v>8.2</v>
      </c>
      <c r="V10" s="879" t="str">
        <f>IFERROR(__xludf.DUMMYFUNCTION("""COMPUTED_VALUE"""),"Doerstopper")</f>
        <v>Doerstopper</v>
      </c>
      <c r="W10" s="424">
        <f>IFERROR(__xludf.DUMMYFUNCTION("""COMPUTED_VALUE"""),6.8)</f>
        <v>6.8</v>
      </c>
      <c r="X10" s="880" t="s">
        <v>217</v>
      </c>
    </row>
    <row r="11">
      <c r="A11" s="1" t="s">
        <v>119</v>
      </c>
      <c r="B11" s="865">
        <f t="array" ref="B11">IFERROR((INDEX('Halo Reach Stats'!$1:$46,MATCH(A11,'Halo Reach Stats'!$A:$A,0),6))/(INDEX('Halo Reach Stats'!$1:$46,MATCH(A11,'Halo Reach Stats'!$A:$A,0),8)),"")</f>
        <v>0.1998562185</v>
      </c>
      <c r="C11" s="865">
        <f t="array" ref="C11">IFERROR((INDEX('Halo Reach Stats'!$1:$46,MATCH(A11,'Halo Reach Stats'!$A:$A,0),6))/((INDEX('Halo Reach Stats'!$1:$46,MATCH(A11,'Halo Reach Stats'!$A:$A,0),16))/60),"")</f>
        <v>1.827945205</v>
      </c>
      <c r="D11" s="865">
        <f t="array" ref="D11">IFERROR((INDEX('Halo Reach Stats'!$1:$46,MATCH(A11,'Halo Reach Stats'!$A:$A,0),5))/((INDEX('Halo Reach Stats'!$1:$46,MATCH(A11,'Halo Reach Stats'!$A:$A,0),16))/60),"")</f>
        <v>0.3550684932</v>
      </c>
      <c r="E11" s="865">
        <f t="array" ref="E11">IFERROR((INDEX('Halo Reach Stats'!$1:$46,MATCH(A11,'Halo Reach Stats'!$A:$A,0),5))/((INDEX('Halo Reach Stats'!$1:$46,MATCH(A11,'Halo Reach Stats'!$A:$A,0),14))/60),"")</f>
        <v>0.1031748559</v>
      </c>
      <c r="F11" s="865">
        <f t="array" ref="F11">IFERROR((INDEX('Halo Reach Stats'!$1:$46,MATCH(A11,'Halo Reach Stats'!$A:$A,0),8))/((INDEX('Halo Reach Stats'!$1:$46,MATCH(A11,'Halo Reach Stats'!$A:$A,0),16))/60),"")</f>
        <v>9.14630137</v>
      </c>
      <c r="G11" s="865">
        <f t="array" ref="G11">IFERROR((INDEX('Halo Reach Stats'!$1:$46,MATCH(A11,'Halo Reach Stats'!$A:$A,0),5))/(INDEX('Halo Reach Stats'!$1:$46,MATCH(A11,'Halo Reach Stats'!$A:$A,0),2)),"")</f>
        <v>2.7</v>
      </c>
      <c r="N11" s="870" t="s">
        <v>118</v>
      </c>
      <c r="O11" s="1">
        <f t="shared" si="1"/>
        <v>3</v>
      </c>
      <c r="P11" s="1">
        <f t="shared" si="2"/>
        <v>3</v>
      </c>
      <c r="Q11" s="662">
        <f t="shared" si="3"/>
        <v>7</v>
      </c>
      <c r="R11" s="1">
        <v>6.0</v>
      </c>
      <c r="S11" s="871">
        <f t="shared" si="4"/>
        <v>3</v>
      </c>
      <c r="U11" s="865">
        <f t="shared" si="5"/>
        <v>4.4</v>
      </c>
      <c r="V11" s="879" t="str">
        <f>IFERROR(__xludf.DUMMYFUNCTION("""COMPUTED_VALUE"""),"L0rna Shore")</f>
        <v>L0rna Shore</v>
      </c>
      <c r="W11" s="424">
        <f>IFERROR(__xludf.DUMMYFUNCTION("""COMPUTED_VALUE"""),7.0)</f>
        <v>7</v>
      </c>
      <c r="X11" s="880" t="s">
        <v>524</v>
      </c>
    </row>
    <row r="12">
      <c r="A12" s="1" t="s">
        <v>153</v>
      </c>
      <c r="B12" s="865">
        <f t="array" ref="B12">IFERROR((INDEX('Halo Reach Stats'!$1:$46,MATCH(A12,'Halo Reach Stats'!$A:$A,0),6))/(INDEX('Halo Reach Stats'!$1:$46,MATCH(A12,'Halo Reach Stats'!$A:$A,0),8)),"")</f>
        <v>0.08155230596</v>
      </c>
      <c r="C12" s="865">
        <f t="array" ref="C12">IFERROR((INDEX('Halo Reach Stats'!$1:$46,MATCH(A12,'Halo Reach Stats'!$A:$A,0),6))/((INDEX('Halo Reach Stats'!$1:$46,MATCH(A12,'Halo Reach Stats'!$A:$A,0),16))/60),"")</f>
        <v>0.8026570717</v>
      </c>
      <c r="D12" s="865">
        <f t="array" ref="D12">IFERROR((INDEX('Halo Reach Stats'!$1:$46,MATCH(A12,'Halo Reach Stats'!$A:$A,0),5))/((INDEX('Halo Reach Stats'!$1:$46,MATCH(A12,'Halo Reach Stats'!$A:$A,0),16))/60),"")</f>
        <v>0.2491004705</v>
      </c>
      <c r="E12" s="865">
        <f t="array" ref="E12">IFERROR((INDEX('Halo Reach Stats'!$1:$46,MATCH(A12,'Halo Reach Stats'!$A:$A,0),5))/((INDEX('Halo Reach Stats'!$1:$46,MATCH(A12,'Halo Reach Stats'!$A:$A,0),14))/60),"")</f>
        <v>0.0807875288</v>
      </c>
      <c r="F12" s="865">
        <f t="array" ref="F12">IFERROR((INDEX('Halo Reach Stats'!$1:$46,MATCH(A12,'Halo Reach Stats'!$A:$A,0),8))/((INDEX('Halo Reach Stats'!$1:$46,MATCH(A12,'Halo Reach Stats'!$A:$A,0),16))/60),"")</f>
        <v>9.842236369</v>
      </c>
      <c r="G12" s="865">
        <f t="array" ref="G12">IFERROR((INDEX('Halo Reach Stats'!$1:$46,MATCH(A12,'Halo Reach Stats'!$A:$A,0),5))/(INDEX('Halo Reach Stats'!$1:$46,MATCH(A12,'Halo Reach Stats'!$A:$A,0),2)),"")</f>
        <v>2.647058824</v>
      </c>
      <c r="N12" s="870" t="s">
        <v>119</v>
      </c>
      <c r="O12" s="1">
        <f t="shared" si="1"/>
        <v>4</v>
      </c>
      <c r="P12" s="1">
        <f t="shared" si="2"/>
        <v>1</v>
      </c>
      <c r="Q12" s="662">
        <f t="shared" si="3"/>
        <v>2</v>
      </c>
      <c r="R12" s="1">
        <v>2.0</v>
      </c>
      <c r="S12" s="871">
        <f t="shared" si="4"/>
        <v>7</v>
      </c>
      <c r="U12" s="865">
        <f t="shared" si="5"/>
        <v>3.2</v>
      </c>
      <c r="V12" s="879" t="str">
        <f>IFERROR(__xludf.DUMMYFUNCTION("""COMPUTED_VALUE"""),"Luner Panda")</f>
        <v>Luner Panda</v>
      </c>
      <c r="W12" s="424">
        <f>IFERROR(__xludf.DUMMYFUNCTION("""COMPUTED_VALUE"""),7.4)</f>
        <v>7.4</v>
      </c>
      <c r="X12" s="880" t="s">
        <v>525</v>
      </c>
    </row>
    <row r="13">
      <c r="A13" s="1" t="s">
        <v>154</v>
      </c>
      <c r="B13" s="865">
        <f t="array" ref="B13">IFERROR((INDEX('Halo Reach Stats'!$1:$46,MATCH(A13,'Halo Reach Stats'!$A:$A,0),6))/(INDEX('Halo Reach Stats'!$1:$46,MATCH(A13,'Halo Reach Stats'!$A:$A,0),8)),"")</f>
        <v>0.06829268293</v>
      </c>
      <c r="C13" s="865">
        <f t="array" ref="C13">IFERROR((INDEX('Halo Reach Stats'!$1:$46,MATCH(A13,'Halo Reach Stats'!$A:$A,0),6))/((INDEX('Halo Reach Stats'!$1:$46,MATCH(A13,'Halo Reach Stats'!$A:$A,0),16))/60),"")</f>
        <v>0.4520686176</v>
      </c>
      <c r="D13" s="865">
        <f t="array" ref="D13">IFERROR((INDEX('Halo Reach Stats'!$1:$46,MATCH(A13,'Halo Reach Stats'!$A:$A,0),5))/((INDEX('Halo Reach Stats'!$1:$46,MATCH(A13,'Halo Reach Stats'!$A:$A,0),16))/60),"")</f>
        <v>0.1574167508</v>
      </c>
      <c r="E13" s="865">
        <f t="array" ref="E13">IFERROR((INDEX('Halo Reach Stats'!$1:$46,MATCH(A13,'Halo Reach Stats'!$A:$A,0),5))/((INDEX('Halo Reach Stats'!$1:$46,MATCH(A13,'Halo Reach Stats'!$A:$A,0),14))/60),"")</f>
        <v>0.05808757819</v>
      </c>
      <c r="F13" s="865">
        <f t="array" ref="F13">IFERROR((INDEX('Halo Reach Stats'!$1:$46,MATCH(A13,'Halo Reach Stats'!$A:$A,0),8))/((INDEX('Halo Reach Stats'!$1:$46,MATCH(A13,'Halo Reach Stats'!$A:$A,0),16))/60),"")</f>
        <v>6.619576186</v>
      </c>
      <c r="G13" s="865">
        <f t="array" ref="G13">IFERROR((INDEX('Halo Reach Stats'!$1:$46,MATCH(A13,'Halo Reach Stats'!$A:$A,0),5))/(INDEX('Halo Reach Stats'!$1:$46,MATCH(A13,'Halo Reach Stats'!$A:$A,0),2)),"")</f>
        <v>1.857142857</v>
      </c>
      <c r="N13" s="870" t="s">
        <v>153</v>
      </c>
      <c r="O13" s="1">
        <f t="shared" si="1"/>
        <v>7</v>
      </c>
      <c r="P13" s="1">
        <f t="shared" si="2"/>
        <v>10</v>
      </c>
      <c r="Q13" s="662">
        <f t="shared" si="3"/>
        <v>6</v>
      </c>
      <c r="R13" s="1">
        <v>3.0</v>
      </c>
      <c r="S13" s="871">
        <f t="shared" si="4"/>
        <v>8</v>
      </c>
      <c r="U13" s="865">
        <f t="shared" si="5"/>
        <v>6.8</v>
      </c>
      <c r="V13" s="879" t="str">
        <f>IFERROR(__xludf.DUMMYFUNCTION("""COMPUTED_VALUE"""),"Dior Glori")</f>
        <v>Dior Glori</v>
      </c>
      <c r="W13" s="424">
        <f>IFERROR(__xludf.DUMMYFUNCTION("""COMPUTED_VALUE"""),8.2)</f>
        <v>8.2</v>
      </c>
      <c r="X13" s="880" t="s">
        <v>526</v>
      </c>
    </row>
    <row r="14">
      <c r="A14" s="1" t="s">
        <v>123</v>
      </c>
      <c r="B14" s="865">
        <f t="array" ref="B14">IFERROR((INDEX('Halo Reach Stats'!$1:$46,MATCH(A14,'Halo Reach Stats'!$A:$A,0),6))/(INDEX('Halo Reach Stats'!$1:$46,MATCH(A14,'Halo Reach Stats'!$A:$A,0),8)),"")</f>
        <v>0.3418482344</v>
      </c>
      <c r="C14" s="865">
        <f t="array" ref="C14">IFERROR((INDEX('Halo Reach Stats'!$1:$46,MATCH(A14,'Halo Reach Stats'!$A:$A,0),6))/((INDEX('Halo Reach Stats'!$1:$46,MATCH(A14,'Halo Reach Stats'!$A:$A,0),16))/60),"")</f>
        <v>1.816608997</v>
      </c>
      <c r="D14" s="865">
        <f t="array" ref="D14">IFERROR((INDEX('Halo Reach Stats'!$1:$46,MATCH(A14,'Halo Reach Stats'!$A:$A,0),5))/((INDEX('Halo Reach Stats'!$1:$46,MATCH(A14,'Halo Reach Stats'!$A:$A,0),16))/60),"")</f>
        <v>0.2914559489</v>
      </c>
      <c r="E14" s="865">
        <f t="array" ref="E14">IFERROR((INDEX('Halo Reach Stats'!$1:$46,MATCH(A14,'Halo Reach Stats'!$A:$A,0),5))/((INDEX('Halo Reach Stats'!$1:$46,MATCH(A14,'Halo Reach Stats'!$A:$A,0),14))/60),"")</f>
        <v>0.1165451546</v>
      </c>
      <c r="F14" s="865">
        <f t="array" ref="F14">IFERROR((INDEX('Halo Reach Stats'!$1:$46,MATCH(A14,'Halo Reach Stats'!$A:$A,0),8))/((INDEX('Halo Reach Stats'!$1:$46,MATCH(A14,'Halo Reach Stats'!$A:$A,0),16))/60),"")</f>
        <v>5.314080383</v>
      </c>
      <c r="G14" s="865">
        <f t="array" ref="G14">IFERROR((INDEX('Halo Reach Stats'!$1:$46,MATCH(A14,'Halo Reach Stats'!$A:$A,0),5))/(INDEX('Halo Reach Stats'!$1:$46,MATCH(A14,'Halo Reach Stats'!$A:$A,0),2)),"")</f>
        <v>3.041666667</v>
      </c>
      <c r="N14" s="870" t="s">
        <v>154</v>
      </c>
      <c r="O14" s="1">
        <f t="shared" si="1"/>
        <v>8</v>
      </c>
      <c r="P14" s="1">
        <f t="shared" si="2"/>
        <v>11</v>
      </c>
      <c r="Q14" s="662">
        <f t="shared" si="3"/>
        <v>11</v>
      </c>
      <c r="R14" s="1">
        <v>7.0</v>
      </c>
      <c r="S14" s="871">
        <f t="shared" si="4"/>
        <v>4</v>
      </c>
      <c r="U14" s="865">
        <f t="shared" si="5"/>
        <v>8.2</v>
      </c>
      <c r="V14" s="879" t="str">
        <f>IFERROR(__xludf.DUMMYFUNCTION("""COMPUTED_VALUE"""),"Cell x2")</f>
        <v>Cell x2</v>
      </c>
      <c r="W14" s="424">
        <f>IFERROR(__xludf.DUMMYFUNCTION("""COMPUTED_VALUE"""),8.2)</f>
        <v>8.2</v>
      </c>
      <c r="X14" s="880" t="s">
        <v>527</v>
      </c>
    </row>
    <row r="15">
      <c r="N15" s="881" t="s">
        <v>123</v>
      </c>
      <c r="O15" s="882">
        <f t="shared" si="1"/>
        <v>2</v>
      </c>
      <c r="P15" s="882">
        <f t="shared" si="2"/>
        <v>2</v>
      </c>
      <c r="Q15" s="883">
        <f t="shared" si="3"/>
        <v>3</v>
      </c>
      <c r="R15" s="882">
        <v>5.0</v>
      </c>
      <c r="S15" s="884">
        <f t="shared" si="4"/>
        <v>2</v>
      </c>
      <c r="T15" s="883"/>
      <c r="U15" s="885">
        <f t="shared" si="5"/>
        <v>2.8</v>
      </c>
      <c r="V15" s="886" t="str">
        <f>IFERROR(__xludf.DUMMYFUNCTION("""COMPUTED_VALUE"""),"Laser Wins")</f>
        <v>Laser Wins</v>
      </c>
      <c r="W15" s="887">
        <f>IFERROR(__xludf.DUMMYFUNCTION("""COMPUTED_VALUE"""),8.2)</f>
        <v>8.2</v>
      </c>
      <c r="X15" s="888" t="s">
        <v>528</v>
      </c>
    </row>
    <row r="16">
      <c r="B16" s="1" t="b">
        <v>1</v>
      </c>
      <c r="D16" s="1" t="b">
        <v>1</v>
      </c>
      <c r="F16" s="1" t="b">
        <v>1</v>
      </c>
      <c r="H16" s="1" t="b">
        <v>1</v>
      </c>
      <c r="J16" s="1" t="b">
        <v>1</v>
      </c>
      <c r="L16" s="1" t="b">
        <v>0</v>
      </c>
    </row>
    <row r="17">
      <c r="A17" s="889" t="str">
        <f>IFERROR(__xludf.DUMMYFUNCTION("Query('Runner Comparison chart'!$A$3:$G$14,""Select A,B where A&lt;&gt;'' Order by B Desc"")"),"Players")</f>
        <v>Players</v>
      </c>
      <c r="B17" s="889" t="str">
        <f>IFERROR(__xludf.DUMMYFUNCTION("""COMPUTED_VALUE"""),"Ball Kills per Death")</f>
        <v>Ball Kills per Death</v>
      </c>
      <c r="C17" s="889" t="str">
        <f>IFERROR(__xludf.DUMMYFUNCTION("Query('Runner Comparison chart'!$A$3:$G$14,""Select A,C where A&lt;&gt;'' Order by C Desc"")"),"Players")</f>
        <v>Players</v>
      </c>
      <c r="D17" s="889" t="str">
        <f>IFERROR(__xludf.DUMMYFUNCTION("""COMPUTED_VALUE"""),"Ball Kills Per Minute Held")</f>
        <v>Ball Kills Per Minute Held</v>
      </c>
      <c r="E17" s="889" t="str">
        <f>IFERROR(__xludf.DUMMYFUNCTION("Query('Runner Comparison chart'!$A$3:$G$14,""Select A,D where A&lt;&gt;'' Order by D Desc"")"),"Players")</f>
        <v>Players</v>
      </c>
      <c r="F17" s="889" t="str">
        <f>IFERROR(__xludf.DUMMYFUNCTION("""COMPUTED_VALUE"""),"Scores Per minute held")</f>
        <v>Scores Per minute held</v>
      </c>
      <c r="G17" s="889" t="str">
        <f>IFERROR(__xludf.DUMMYFUNCTION("Query('Runner Comparison chart'!$A$3:$G$14,""Select A,E where A&lt;&gt;'' Order by E Desc"")"),"Players")</f>
        <v>Players</v>
      </c>
      <c r="H17" s="889" t="str">
        <f>IFERROR(__xludf.DUMMYFUNCTION("""COMPUTED_VALUE"""),"Scores per minute")</f>
        <v>Scores per minute</v>
      </c>
      <c r="I17" s="889" t="str">
        <f>IFERROR(__xludf.DUMMYFUNCTION("Query('Runner Comparison chart'!$A$3:$G$14,""Select A,F where A&lt;&gt;'' Order by F Asc"")"),"Players")</f>
        <v>Players</v>
      </c>
      <c r="J17" s="889" t="str">
        <f>IFERROR(__xludf.DUMMYFUNCTION("""COMPUTED_VALUE"""),"Deaths per minute Held")</f>
        <v>Deaths per minute Held</v>
      </c>
      <c r="K17" s="889" t="str">
        <f>IFERROR(__xludf.DUMMYFUNCTION("Query('Runner Comparison chart'!$A$3:$G$14,""Select A,G where A&lt;&gt;'' Order by G Desc"")"),"Players")</f>
        <v>Players</v>
      </c>
      <c r="L17" s="889" t="str">
        <f>IFERROR(__xludf.DUMMYFUNCTION("""COMPUTED_VALUE"""),"Scores Per Game")</f>
        <v>Scores Per Game</v>
      </c>
    </row>
    <row r="18">
      <c r="A18" s="890" t="str">
        <f>IFERROR(__xludf.DUMMYFUNCTION("""COMPUTED_VALUE"""),"EllisGotMyPills")</f>
        <v>EllisGotMyPills</v>
      </c>
      <c r="B18" s="891">
        <f>IFERROR(__xludf.DUMMYFUNCTION("""COMPUTED_VALUE"""),0.3983451536643026)</f>
        <v>0.3983451537</v>
      </c>
      <c r="C18" s="892" t="str">
        <f>IFERROR(__xludf.DUMMYFUNCTION("""COMPUTED_VALUE"""),"Hells Angel cx")</f>
        <v>Hells Angel cx</v>
      </c>
      <c r="D18" s="891">
        <f>IFERROR(__xludf.DUMMYFUNCTION("""COMPUTED_VALUE"""),1.827945205479452)</f>
        <v>1.827945205</v>
      </c>
      <c r="E18" s="893" t="str">
        <f>IFERROR(__xludf.DUMMYFUNCTION("""COMPUTED_VALUE"""),"Cell x2")</f>
        <v>Cell x2</v>
      </c>
      <c r="F18" s="894">
        <f>IFERROR(__xludf.DUMMYFUNCTION("""COMPUTED_VALUE"""),0.527306967984934)</f>
        <v>0.527306968</v>
      </c>
      <c r="G18" s="893" t="str">
        <f>IFERROR(__xludf.DUMMYFUNCTION("""COMPUTED_VALUE"""),"yLuxe")</f>
        <v>yLuxe</v>
      </c>
      <c r="H18" s="894">
        <f>IFERROR(__xludf.DUMMYFUNCTION("""COMPUTED_VALUE"""),0.11654515459528497)</f>
        <v>0.1165451546</v>
      </c>
      <c r="I18" s="893" t="str">
        <f>IFERROR(__xludf.DUMMYFUNCTION("""COMPUTED_VALUE"""),"EllisGotMyPills")</f>
        <v>EllisGotMyPills</v>
      </c>
      <c r="J18" s="894">
        <f>IFERROR(__xludf.DUMMYFUNCTION("""COMPUTED_VALUE"""),2.6107082240395)</f>
        <v>2.610708224</v>
      </c>
      <c r="K18" s="893" t="str">
        <f>IFERROR(__xludf.DUMMYFUNCTION("""COMPUTED_VALUE"""),"EllisGotMyPills")</f>
        <v>EllisGotMyPills</v>
      </c>
      <c r="L18" s="894">
        <f>IFERROR(__xludf.DUMMYFUNCTION("""COMPUTED_VALUE"""),3.4705882352941178)</f>
        <v>3.470588235</v>
      </c>
      <c r="M18" s="895">
        <v>1.0</v>
      </c>
      <c r="N18" s="896"/>
      <c r="O18" s="896"/>
      <c r="P18" s="896"/>
      <c r="Q18" s="896"/>
      <c r="R18" s="896"/>
      <c r="S18" s="896"/>
      <c r="T18" s="896"/>
      <c r="U18" s="896"/>
      <c r="V18" s="896"/>
      <c r="W18" s="896"/>
      <c r="X18" s="896"/>
      <c r="Y18" s="896"/>
      <c r="Z18" s="896"/>
    </row>
    <row r="19">
      <c r="A19" s="897" t="str">
        <f>IFERROR(__xludf.DUMMYFUNCTION("""COMPUTED_VALUE"""),"yLuxe")</f>
        <v>yLuxe</v>
      </c>
      <c r="B19" s="898">
        <f>IFERROR(__xludf.DUMMYFUNCTION("""COMPUTED_VALUE"""),0.3418482344102179)</f>
        <v>0.3418482344</v>
      </c>
      <c r="C19" s="899" t="str">
        <f>IFERROR(__xludf.DUMMYFUNCTION("""COMPUTED_VALUE"""),"yLuxe")</f>
        <v>yLuxe</v>
      </c>
      <c r="D19" s="898">
        <f>IFERROR(__xludf.DUMMYFUNCTION("""COMPUTED_VALUE"""),1.8166089965397925)</f>
        <v>1.816608997</v>
      </c>
      <c r="E19" s="390" t="str">
        <f>IFERROR(__xludf.DUMMYFUNCTION("""COMPUTED_VALUE"""),"Hells Angel cx")</f>
        <v>Hells Angel cx</v>
      </c>
      <c r="F19" s="865">
        <f>IFERROR(__xludf.DUMMYFUNCTION("""COMPUTED_VALUE"""),0.3550684931506849)</f>
        <v>0.3550684932</v>
      </c>
      <c r="G19" s="390" t="str">
        <f>IFERROR(__xludf.DUMMYFUNCTION("""COMPUTED_VALUE"""),"Hells Angel cx")</f>
        <v>Hells Angel cx</v>
      </c>
      <c r="H19" s="865">
        <f>IFERROR(__xludf.DUMMYFUNCTION("""COMPUTED_VALUE"""),0.10317485590548674)</f>
        <v>0.1031748559</v>
      </c>
      <c r="I19" s="390" t="str">
        <f>IFERROR(__xludf.DUMMYFUNCTION("""COMPUTED_VALUE"""),"yLuxe")</f>
        <v>yLuxe</v>
      </c>
      <c r="J19" s="865">
        <f>IFERROR(__xludf.DUMMYFUNCTION("""COMPUTED_VALUE"""),5.314080383284535)</f>
        <v>5.314080383</v>
      </c>
      <c r="K19" s="390" t="str">
        <f>IFERROR(__xludf.DUMMYFUNCTION("""COMPUTED_VALUE"""),"yLuxe")</f>
        <v>yLuxe</v>
      </c>
      <c r="L19" s="865">
        <f>IFERROR(__xludf.DUMMYFUNCTION("""COMPUTED_VALUE"""),3.0416666666666665)</f>
        <v>3.041666667</v>
      </c>
      <c r="M19" s="1">
        <v>2.0</v>
      </c>
    </row>
    <row r="20">
      <c r="A20" s="897" t="str">
        <f>IFERROR(__xludf.DUMMYFUNCTION("""COMPUTED_VALUE"""),"Dhlyn")</f>
        <v>Dhlyn</v>
      </c>
      <c r="B20" s="898">
        <f>IFERROR(__xludf.DUMMYFUNCTION("""COMPUTED_VALUE"""),0.2477148080438757)</f>
        <v>0.247714808</v>
      </c>
      <c r="C20" s="899" t="str">
        <f>IFERROR(__xludf.DUMMYFUNCTION("""COMPUTED_VALUE"""),"Dhlyn")</f>
        <v>Dhlyn</v>
      </c>
      <c r="D20" s="898">
        <f>IFERROR(__xludf.DUMMYFUNCTION("""COMPUTED_VALUE"""),1.543133719274936)</f>
        <v>1.543133719</v>
      </c>
      <c r="E20" s="390" t="str">
        <f>IFERROR(__xludf.DUMMYFUNCTION("""COMPUTED_VALUE"""),"yLuxe")</f>
        <v>yLuxe</v>
      </c>
      <c r="F20" s="865">
        <f>IFERROR(__xludf.DUMMYFUNCTION("""COMPUTED_VALUE"""),0.2914559488953953)</f>
        <v>0.2914559489</v>
      </c>
      <c r="G20" s="390" t="str">
        <f>IFERROR(__xludf.DUMMYFUNCTION("""COMPUTED_VALUE"""),"EllisGotMyPills")</f>
        <v>EllisGotMyPills</v>
      </c>
      <c r="H20" s="865">
        <f>IFERROR(__xludf.DUMMYFUNCTION("""COMPUTED_VALUE"""),0.09819422484813181)</f>
        <v>0.09819422485</v>
      </c>
      <c r="I20" s="390" t="str">
        <f>IFERROR(__xludf.DUMMYFUNCTION("""COMPUTED_VALUE"""),"Dhlyn")</f>
        <v>Dhlyn</v>
      </c>
      <c r="J20" s="865">
        <f>IFERROR(__xludf.DUMMYFUNCTION("""COMPUTED_VALUE"""),6.229477080763025)</f>
        <v>6.229477081</v>
      </c>
      <c r="K20" s="390" t="str">
        <f>IFERROR(__xludf.DUMMYFUNCTION("""COMPUTED_VALUE"""),"Hells Angel cx")</f>
        <v>Hells Angel cx</v>
      </c>
      <c r="L20" s="865">
        <f>IFERROR(__xludf.DUMMYFUNCTION("""COMPUTED_VALUE"""),2.7)</f>
        <v>2.7</v>
      </c>
      <c r="M20" s="1">
        <v>3.0</v>
      </c>
    </row>
    <row r="21">
      <c r="A21" s="897" t="str">
        <f>IFERROR(__xludf.DUMMYFUNCTION("""COMPUTED_VALUE"""),"Hells Angel cx")</f>
        <v>Hells Angel cx</v>
      </c>
      <c r="B21" s="898">
        <f>IFERROR(__xludf.DUMMYFUNCTION("""COMPUTED_VALUE"""),0.19985621854780733)</f>
        <v>0.1998562185</v>
      </c>
      <c r="C21" s="899" t="str">
        <f>IFERROR(__xludf.DUMMYFUNCTION("""COMPUTED_VALUE"""),"Luner Panda")</f>
        <v>Luner Panda</v>
      </c>
      <c r="D21" s="898">
        <f>IFERROR(__xludf.DUMMYFUNCTION("""COMPUTED_VALUE"""),1.4501510574018126)</f>
        <v>1.450151057</v>
      </c>
      <c r="E21" s="390" t="str">
        <f>IFERROR(__xludf.DUMMYFUNCTION("""COMPUTED_VALUE"""),"Dior Glori")</f>
        <v>Dior Glori</v>
      </c>
      <c r="F21" s="865">
        <f>IFERROR(__xludf.DUMMYFUNCTION("""COMPUTED_VALUE"""),0.26852312282446544)</f>
        <v>0.2685231228</v>
      </c>
      <c r="G21" s="390" t="str">
        <f>IFERROR(__xludf.DUMMYFUNCTION("""COMPUTED_VALUE"""),"Dhlyn")</f>
        <v>Dhlyn</v>
      </c>
      <c r="H21" s="865">
        <f>IFERROR(__xludf.DUMMYFUNCTION("""COMPUTED_VALUE"""),0.08240864567896772)</f>
        <v>0.08240864568</v>
      </c>
      <c r="I21" s="390" t="str">
        <f>IFERROR(__xludf.DUMMYFUNCTION("""COMPUTED_VALUE"""),"Laser Wins")</f>
        <v>Laser Wins</v>
      </c>
      <c r="J21" s="865">
        <f>IFERROR(__xludf.DUMMYFUNCTION("""COMPUTED_VALUE"""),6.61957618567104)</f>
        <v>6.619576186</v>
      </c>
      <c r="K21" s="390" t="str">
        <f>IFERROR(__xludf.DUMMYFUNCTION("""COMPUTED_VALUE"""),"Doerstopper")</f>
        <v>Doerstopper</v>
      </c>
      <c r="L21" s="865">
        <f>IFERROR(__xludf.DUMMYFUNCTION("""COMPUTED_VALUE"""),2.6470588235294117)</f>
        <v>2.647058824</v>
      </c>
      <c r="M21" s="1">
        <v>4.0</v>
      </c>
    </row>
    <row r="22">
      <c r="A22" s="900" t="str">
        <f>IFERROR(__xludf.DUMMYFUNCTION("""COMPUTED_VALUE"""),"Mavbrid")</f>
        <v>Mavbrid</v>
      </c>
      <c r="B22" s="901">
        <f>IFERROR(__xludf.DUMMYFUNCTION("""COMPUTED_VALUE"""),0.1771047227926078)</f>
        <v>0.1771047228</v>
      </c>
      <c r="C22" s="902" t="str">
        <f>IFERROR(__xludf.DUMMYFUNCTION("""COMPUTED_VALUE"""),"Mavbrid")</f>
        <v>Mavbrid</v>
      </c>
      <c r="D22" s="901">
        <f>IFERROR(__xludf.DUMMYFUNCTION("""COMPUTED_VALUE"""),1.2638905849310051)</f>
        <v>1.263890585</v>
      </c>
      <c r="E22" s="418" t="str">
        <f>IFERROR(__xludf.DUMMYFUNCTION("""COMPUTED_VALUE"""),"Luner Panda")</f>
        <v>Luner Panda</v>
      </c>
      <c r="F22" s="885">
        <f>IFERROR(__xludf.DUMMYFUNCTION("""COMPUTED_VALUE"""),0.2589555459646094)</f>
        <v>0.258955546</v>
      </c>
      <c r="G22" s="418" t="str">
        <f>IFERROR(__xludf.DUMMYFUNCTION("""COMPUTED_VALUE"""),"Doerstopper")</f>
        <v>Doerstopper</v>
      </c>
      <c r="H22" s="885">
        <f>IFERROR(__xludf.DUMMYFUNCTION("""COMPUTED_VALUE"""),0.08078752879925795)</f>
        <v>0.0807875288</v>
      </c>
      <c r="I22" s="418" t="str">
        <f>IFERROR(__xludf.DUMMYFUNCTION("""COMPUTED_VALUE"""),"Mavbrid")</f>
        <v>Mavbrid</v>
      </c>
      <c r="J22" s="885">
        <f>IFERROR(__xludf.DUMMYFUNCTION("""COMPUTED_VALUE"""),7.136402491146661)</f>
        <v>7.136402491</v>
      </c>
      <c r="K22" s="418" t="str">
        <f>IFERROR(__xludf.DUMMYFUNCTION("""COMPUTED_VALUE"""),"Dhlyn")</f>
        <v>Dhlyn</v>
      </c>
      <c r="L22" s="885">
        <f>IFERROR(__xludf.DUMMYFUNCTION("""COMPUTED_VALUE"""),2.235294117647059)</f>
        <v>2.235294118</v>
      </c>
      <c r="M22" s="882">
        <v>5.0</v>
      </c>
      <c r="N22" s="883"/>
      <c r="O22" s="883"/>
      <c r="P22" s="883"/>
      <c r="Q22" s="883"/>
      <c r="R22" s="883"/>
      <c r="S22" s="883"/>
      <c r="T22" s="883"/>
      <c r="U22" s="883"/>
      <c r="V22" s="883"/>
      <c r="W22" s="883"/>
      <c r="X22" s="883"/>
      <c r="Y22" s="883"/>
      <c r="Z22" s="883"/>
    </row>
    <row r="23">
      <c r="A23" s="899" t="str">
        <f>IFERROR(__xludf.DUMMYFUNCTION("""COMPUTED_VALUE"""),"L0rna Shore")</f>
        <v>L0rna Shore</v>
      </c>
      <c r="B23" s="898">
        <f>IFERROR(__xludf.DUMMYFUNCTION("""COMPUTED_VALUE"""),0.15074309978768577)</f>
        <v>0.1507430998</v>
      </c>
      <c r="C23" s="899" t="str">
        <f>IFERROR(__xludf.DUMMYFUNCTION("""COMPUTED_VALUE"""),"Dior Glori")</f>
        <v>Dior Glori</v>
      </c>
      <c r="D23" s="898">
        <f>IFERROR(__xludf.DUMMYFUNCTION("""COMPUTED_VALUE"""),1.2531079065141721)</f>
        <v>1.253107907</v>
      </c>
      <c r="E23" s="390" t="str">
        <f>IFERROR(__xludf.DUMMYFUNCTION("""COMPUTED_VALUE"""),"Doerstopper")</f>
        <v>Doerstopper</v>
      </c>
      <c r="F23" s="865">
        <f>IFERROR(__xludf.DUMMYFUNCTION("""COMPUTED_VALUE"""),0.249100470523111)</f>
        <v>0.2491004705</v>
      </c>
      <c r="G23" s="390" t="str">
        <f>IFERROR(__xludf.DUMMYFUNCTION("""COMPUTED_VALUE"""),"L0rna Shore")</f>
        <v>L0rna Shore</v>
      </c>
      <c r="H23" s="865">
        <f>IFERROR(__xludf.DUMMYFUNCTION("""COMPUTED_VALUE"""),0.06329113924050632)</f>
        <v>0.06329113924</v>
      </c>
      <c r="I23" s="390" t="str">
        <f>IFERROR(__xludf.DUMMYFUNCTION("""COMPUTED_VALUE"""),"L0rna Shore")</f>
        <v>L0rna Shore</v>
      </c>
      <c r="J23" s="865">
        <f>IFERROR(__xludf.DUMMYFUNCTION("""COMPUTED_VALUE"""),7.14177407126611)</f>
        <v>7.141774071</v>
      </c>
      <c r="K23" s="390" t="str">
        <f>IFERROR(__xludf.DUMMYFUNCTION("""COMPUTED_VALUE"""),"Laser Wins")</f>
        <v>Laser Wins</v>
      </c>
      <c r="L23" s="865">
        <f>IFERROR(__xludf.DUMMYFUNCTION("""COMPUTED_VALUE"""),1.8571428571428572)</f>
        <v>1.857142857</v>
      </c>
      <c r="M23" s="1">
        <v>6.0</v>
      </c>
    </row>
    <row r="24">
      <c r="A24" s="899" t="str">
        <f>IFERROR(__xludf.DUMMYFUNCTION("""COMPUTED_VALUE"""),"Doerstopper")</f>
        <v>Doerstopper</v>
      </c>
      <c r="B24" s="898">
        <f>IFERROR(__xludf.DUMMYFUNCTION("""COMPUTED_VALUE"""),0.08155230596175478)</f>
        <v>0.08155230596</v>
      </c>
      <c r="C24" s="899" t="str">
        <f>IFERROR(__xludf.DUMMYFUNCTION("""COMPUTED_VALUE"""),"L0rna Shore")</f>
        <v>L0rna Shore</v>
      </c>
      <c r="D24" s="898">
        <f>IFERROR(__xludf.DUMMYFUNCTION("""COMPUTED_VALUE"""),1.0765731614859742)</f>
        <v>1.076573161</v>
      </c>
      <c r="E24" s="390" t="str">
        <f>IFERROR(__xludf.DUMMYFUNCTION("""COMPUTED_VALUE"""),"Dhlyn")</f>
        <v>Dhlyn</v>
      </c>
      <c r="F24" s="865">
        <f>IFERROR(__xludf.DUMMYFUNCTION("""COMPUTED_VALUE"""),0.21638037392047071)</f>
        <v>0.2163803739</v>
      </c>
      <c r="G24" s="390" t="str">
        <f>IFERROR(__xludf.DUMMYFUNCTION("""COMPUTED_VALUE"""),"Mavbrid")</f>
        <v>Mavbrid</v>
      </c>
      <c r="H24" s="865">
        <f>IFERROR(__xludf.DUMMYFUNCTION("""COMPUTED_VALUE"""),0.058406666147496296)</f>
        <v>0.05840666615</v>
      </c>
      <c r="I24" s="390" t="str">
        <f>IFERROR(__xludf.DUMMYFUNCTION("""COMPUTED_VALUE"""),"Hells Angel cx")</f>
        <v>Hells Angel cx</v>
      </c>
      <c r="J24" s="865">
        <f>IFERROR(__xludf.DUMMYFUNCTION("""COMPUTED_VALUE"""),9.146301369863012)</f>
        <v>9.14630137</v>
      </c>
      <c r="K24" s="390" t="str">
        <f>IFERROR(__xludf.DUMMYFUNCTION("""COMPUTED_VALUE"""),"Mavbrid")</f>
        <v>Mavbrid</v>
      </c>
      <c r="L24" s="865">
        <f>IFERROR(__xludf.DUMMYFUNCTION("""COMPUTED_VALUE"""),1.7857142857142858)</f>
        <v>1.785714286</v>
      </c>
      <c r="M24" s="1">
        <v>7.0</v>
      </c>
    </row>
    <row r="25">
      <c r="A25" s="899" t="str">
        <f>IFERROR(__xludf.DUMMYFUNCTION("""COMPUTED_VALUE"""),"Laser Wins")</f>
        <v>Laser Wins</v>
      </c>
      <c r="B25" s="898">
        <f>IFERROR(__xludf.DUMMYFUNCTION("""COMPUTED_VALUE"""),0.06829268292682927)</f>
        <v>0.06829268293</v>
      </c>
      <c r="C25" s="899" t="str">
        <f>IFERROR(__xludf.DUMMYFUNCTION("""COMPUTED_VALUE"""),"EllisGotMyPills")</f>
        <v>EllisGotMyPills</v>
      </c>
      <c r="D25" s="898">
        <f>IFERROR(__xludf.DUMMYFUNCTION("""COMPUTED_VALUE"""),1.0399629686776732)</f>
        <v>1.039962969</v>
      </c>
      <c r="E25" s="390" t="str">
        <f>IFERROR(__xludf.DUMMYFUNCTION("""COMPUTED_VALUE"""),"L0rna Shore")</f>
        <v>L0rna Shore</v>
      </c>
      <c r="F25" s="865">
        <f>IFERROR(__xludf.DUMMYFUNCTION("""COMPUTED_VALUE"""),0.2047005307050796)</f>
        <v>0.2047005307</v>
      </c>
      <c r="G25" s="390" t="str">
        <f>IFERROR(__xludf.DUMMYFUNCTION("""COMPUTED_VALUE"""),"Laser Wins")</f>
        <v>Laser Wins</v>
      </c>
      <c r="H25" s="865">
        <f>IFERROR(__xludf.DUMMYFUNCTION("""COMPUTED_VALUE"""),0.0580875781948168)</f>
        <v>0.05808757819</v>
      </c>
      <c r="I25" s="390" t="str">
        <f>IFERROR(__xludf.DUMMYFUNCTION("""COMPUTED_VALUE"""),"Doerstopper")</f>
        <v>Doerstopper</v>
      </c>
      <c r="J25" s="865">
        <f>IFERROR(__xludf.DUMMYFUNCTION("""COMPUTED_VALUE"""),9.842236368668695)</f>
        <v>9.842236369</v>
      </c>
      <c r="K25" s="390" t="str">
        <f>IFERROR(__xludf.DUMMYFUNCTION("""COMPUTED_VALUE"""),"L0rna Shore")</f>
        <v>L0rna Shore</v>
      </c>
      <c r="L25" s="865">
        <f>IFERROR(__xludf.DUMMYFUNCTION("""COMPUTED_VALUE"""),1.588235294117647)</f>
        <v>1.588235294</v>
      </c>
      <c r="M25" s="1">
        <v>8.0</v>
      </c>
    </row>
    <row r="26">
      <c r="A26" s="899" t="str">
        <f>IFERROR(__xludf.DUMMYFUNCTION("""COMPUTED_VALUE"""),"Luner Panda")</f>
        <v>Luner Panda</v>
      </c>
      <c r="B26" s="898">
        <f>IFERROR(__xludf.DUMMYFUNCTION("""COMPUTED_VALUE"""),0.04794520547945205)</f>
        <v>0.04794520548</v>
      </c>
      <c r="C26" s="899" t="str">
        <f>IFERROR(__xludf.DUMMYFUNCTION("""COMPUTED_VALUE"""),"Cell x2")</f>
        <v>Cell x2</v>
      </c>
      <c r="D26" s="898">
        <f>IFERROR(__xludf.DUMMYFUNCTION("""COMPUTED_VALUE"""),0.8662900188323917)</f>
        <v>0.8662900188</v>
      </c>
      <c r="E26" s="390" t="str">
        <f>IFERROR(__xludf.DUMMYFUNCTION("""COMPUTED_VALUE"""),"Mavbrid")</f>
        <v>Mavbrid</v>
      </c>
      <c r="F26" s="865">
        <f>IFERROR(__xludf.DUMMYFUNCTION("""COMPUTED_VALUE"""),0.18317254854072537)</f>
        <v>0.1831725485</v>
      </c>
      <c r="G26" s="390" t="str">
        <f>IFERROR(__xludf.DUMMYFUNCTION("""COMPUTED_VALUE"""),"Cell x2")</f>
        <v>Cell x2</v>
      </c>
      <c r="H26" s="865">
        <f>IFERROR(__xludf.DUMMYFUNCTION("""COMPUTED_VALUE"""),0.04698774962241987)</f>
        <v>0.04698774962</v>
      </c>
      <c r="I26" s="390" t="str">
        <f>IFERROR(__xludf.DUMMYFUNCTION("""COMPUTED_VALUE"""),"Luner Panda")</f>
        <v>Luner Panda</v>
      </c>
      <c r="J26" s="865">
        <f>IFERROR(__xludf.DUMMYFUNCTION("""COMPUTED_VALUE"""),30.246007768666377)</f>
        <v>30.24600777</v>
      </c>
      <c r="K26" s="390" t="str">
        <f>IFERROR(__xludf.DUMMYFUNCTION("""COMPUTED_VALUE"""),"Cell x2")</f>
        <v>Cell x2</v>
      </c>
      <c r="L26" s="865">
        <f>IFERROR(__xludf.DUMMYFUNCTION("""COMPUTED_VALUE"""),1.0769230769230769)</f>
        <v>1.076923077</v>
      </c>
      <c r="M26" s="1">
        <v>9.0</v>
      </c>
    </row>
    <row r="27">
      <c r="A27" s="899" t="str">
        <f>IFERROR(__xludf.DUMMYFUNCTION("""COMPUTED_VALUE"""),"Dior Glori")</f>
        <v>Dior Glori</v>
      </c>
      <c r="B27" s="898">
        <f>IFERROR(__xludf.DUMMYFUNCTION("""COMPUTED_VALUE"""),0.04142011834319527)</f>
        <v>0.04142011834</v>
      </c>
      <c r="C27" s="899" t="str">
        <f>IFERROR(__xludf.DUMMYFUNCTION("""COMPUTED_VALUE"""),"Doerstopper")</f>
        <v>Doerstopper</v>
      </c>
      <c r="D27" s="898">
        <f>IFERROR(__xludf.DUMMYFUNCTION("""COMPUTED_VALUE"""),0.8026570716855799)</f>
        <v>0.8026570717</v>
      </c>
      <c r="E27" s="390" t="str">
        <f>IFERROR(__xludf.DUMMYFUNCTION("""COMPUTED_VALUE"""),"EllisGotMyPills")</f>
        <v>EllisGotMyPills</v>
      </c>
      <c r="F27" s="865">
        <f>IFERROR(__xludf.DUMMYFUNCTION("""COMPUTED_VALUE"""),0.18207066810677364)</f>
        <v>0.1820706681</v>
      </c>
      <c r="G27" s="390" t="str">
        <f>IFERROR(__xludf.DUMMYFUNCTION("""COMPUTED_VALUE"""),"Luner Panda")</f>
        <v>Luner Panda</v>
      </c>
      <c r="H27" s="865">
        <f>IFERROR(__xludf.DUMMYFUNCTION("""COMPUTED_VALUE"""),0.030969340353050483)</f>
        <v>0.03096934035</v>
      </c>
      <c r="I27" s="390" t="str">
        <f>IFERROR(__xludf.DUMMYFUNCTION("""COMPUTED_VALUE"""),"Dior Glori")</f>
        <v>Dior Glori</v>
      </c>
      <c r="J27" s="865">
        <f>IFERROR(__xludf.DUMMYFUNCTION("""COMPUTED_VALUE"""),30.25360517155644)</f>
        <v>30.25360517</v>
      </c>
      <c r="K27" s="390" t="str">
        <f>IFERROR(__xludf.DUMMYFUNCTION("""COMPUTED_VALUE"""),"Luner Panda")</f>
        <v>Luner Panda</v>
      </c>
      <c r="L27" s="865">
        <f>IFERROR(__xludf.DUMMYFUNCTION("""COMPUTED_VALUE"""),0.7142857142857143)</f>
        <v>0.7142857143</v>
      </c>
      <c r="M27" s="1">
        <v>10.0</v>
      </c>
    </row>
    <row r="28">
      <c r="A28" s="899" t="str">
        <f>IFERROR(__xludf.DUMMYFUNCTION("""COMPUTED_VALUE"""),"Cell x2")</f>
        <v>Cell x2</v>
      </c>
      <c r="B28" s="898">
        <f>IFERROR(__xludf.DUMMYFUNCTION("""COMPUTED_VALUE"""),0.02230843840931135)</f>
        <v>0.02230843841</v>
      </c>
      <c r="C28" s="899" t="str">
        <f>IFERROR(__xludf.DUMMYFUNCTION("""COMPUTED_VALUE"""),"Laser Wins")</f>
        <v>Laser Wins</v>
      </c>
      <c r="D28" s="898">
        <f>IFERROR(__xludf.DUMMYFUNCTION("""COMPUTED_VALUE"""),0.4520686175580222)</f>
        <v>0.4520686176</v>
      </c>
      <c r="E28" s="390" t="str">
        <f>IFERROR(__xludf.DUMMYFUNCTION("""COMPUTED_VALUE"""),"Laser Wins")</f>
        <v>Laser Wins</v>
      </c>
      <c r="F28" s="865">
        <f>IFERROR(__xludf.DUMMYFUNCTION("""COMPUTED_VALUE"""),0.1574167507568113)</f>
        <v>0.1574167508</v>
      </c>
      <c r="G28" s="390" t="str">
        <f>IFERROR(__xludf.DUMMYFUNCTION("""COMPUTED_VALUE"""),"Dior Glori")</f>
        <v>Dior Glori</v>
      </c>
      <c r="H28" s="865">
        <f>IFERROR(__xludf.DUMMYFUNCTION("""COMPUTED_VALUE"""),0.027872406317745433)</f>
        <v>0.02787240632</v>
      </c>
      <c r="I28" s="390" t="str">
        <f>IFERROR(__xludf.DUMMYFUNCTION("""COMPUTED_VALUE"""),"Cell x2")</f>
        <v>Cell x2</v>
      </c>
      <c r="J28" s="865">
        <f>IFERROR(__xludf.DUMMYFUNCTION("""COMPUTED_VALUE"""),38.83239171374765)</f>
        <v>38.83239171</v>
      </c>
      <c r="K28" s="390" t="str">
        <f>IFERROR(__xludf.DUMMYFUNCTION("""COMPUTED_VALUE"""),"Dior Glori")</f>
        <v>Dior Glori</v>
      </c>
      <c r="L28" s="865">
        <f>IFERROR(__xludf.DUMMYFUNCTION("""COMPUTED_VALUE"""),0.6428571428571429)</f>
        <v>0.6428571429</v>
      </c>
      <c r="M28" s="1">
        <v>11.0</v>
      </c>
    </row>
    <row r="35">
      <c r="A35" s="653" t="str">
        <f>IFERROR(__xludf.DUMMYFUNCTION("Query('PG Stats'!A:X,""Select A,R where A&lt;&gt;'' Order by R DesC"")"),"Player")</f>
        <v>Player</v>
      </c>
      <c r="B35" s="662" t="str">
        <f>IFERROR(__xludf.DUMMYFUNCTION("""COMPUTED_VALUE"""),"X Factor")</f>
        <v>X Factor</v>
      </c>
      <c r="D35" s="662" t="str">
        <f>IFERROR(__xludf.DUMMYFUNCTION("Query('PG Stats'!A:X,""Select A,Q where A&lt;&gt;'' Order by Q DesC"")"),"Player")</f>
        <v>Player</v>
      </c>
      <c r="E35" s="662" t="str">
        <f>IFERROR(__xludf.DUMMYFUNCTION("""COMPUTED_VALUE"""),"APM")</f>
        <v>APM</v>
      </c>
      <c r="I35" s="653" t="str">
        <f>IFERROR(__xludf.DUMMYFUNCTION("Query('Halo Reach Stats'!1:47,""Select A,G,H,I where A&lt;&gt;'' Order by I Desc"")"),"Player")</f>
        <v>Player</v>
      </c>
      <c r="J35" s="662" t="str">
        <f>IFERROR(__xludf.DUMMYFUNCTION("""COMPUTED_VALUE"""),"Kills")</f>
        <v>Kills</v>
      </c>
      <c r="K35" s="662" t="str">
        <f>IFERROR(__xludf.DUMMYFUNCTION("""COMPUTED_VALUE"""),"Deaths")</f>
        <v>Deaths</v>
      </c>
      <c r="L35" s="662" t="str">
        <f>IFERROR(__xludf.DUMMYFUNCTION("""COMPUTED_VALUE"""),"Spread")</f>
        <v>Spread</v>
      </c>
      <c r="M35" s="1" t="s">
        <v>529</v>
      </c>
    </row>
    <row r="36">
      <c r="A36" s="662" t="str">
        <f>IFERROR(__xludf.DUMMYFUNCTION("""COMPUTED_VALUE"""),"L0RNA SHORE")</f>
        <v>L0RNA SHORE</v>
      </c>
      <c r="B36" s="663">
        <f>IFERROR(__xludf.DUMMYFUNCTION("""COMPUTED_VALUE"""),1.8812498276385097)</f>
        <v>1.881249828</v>
      </c>
      <c r="D36" s="662" t="str">
        <f>IFERROR(__xludf.DUMMYFUNCTION("""COMPUTED_VALUE"""),"DlGITAL PAIN")</f>
        <v>DlGITAL PAIN</v>
      </c>
      <c r="E36" s="663">
        <f>IFERROR(__xludf.DUMMYFUNCTION("""COMPUTED_VALUE"""),0.7568890344150137)</f>
        <v>0.7568890344</v>
      </c>
      <c r="I36" s="662" t="str">
        <f>IFERROR(__xludf.DUMMYFUNCTION("""COMPUTED_VALUE"""),"DlGITAL PAIN")</f>
        <v>DlGITAL PAIN</v>
      </c>
      <c r="J36" s="662">
        <f>IFERROR(__xludf.DUMMYFUNCTION("""COMPUTED_VALUE"""),3704.0)</f>
        <v>3704</v>
      </c>
      <c r="K36" s="662">
        <f>IFERROR(__xludf.DUMMYFUNCTION("""COMPUTED_VALUE"""),2930.0)</f>
        <v>2930</v>
      </c>
      <c r="L36" s="662">
        <f>IFERROR(__xludf.DUMMYFUNCTION("""COMPUTED_VALUE"""),774.0)</f>
        <v>774</v>
      </c>
      <c r="M36" s="662">
        <f t="shared" ref="M36:M73" si="6">(J36/K36)</f>
        <v>1.264163823</v>
      </c>
    </row>
    <row r="37">
      <c r="A37" s="662" t="str">
        <f>IFERROR(__xludf.DUMMYFUNCTION("""COMPUTED_VALUE"""),"yLuxe")</f>
        <v>yLuxe</v>
      </c>
      <c r="B37" s="663">
        <f>IFERROR(__xludf.DUMMYFUNCTION("""COMPUTED_VALUE"""),1.7634239795646853)</f>
        <v>1.76342398</v>
      </c>
      <c r="D37" s="662" t="str">
        <f>IFERROR(__xludf.DUMMYFUNCTION("""COMPUTED_VALUE"""),"ASpence501")</f>
        <v>ASpence501</v>
      </c>
      <c r="E37" s="663">
        <f>IFERROR(__xludf.DUMMYFUNCTION("""COMPUTED_VALUE"""),0.748144482929243)</f>
        <v>0.7481444829</v>
      </c>
      <c r="I37" s="662" t="str">
        <f>IFERROR(__xludf.DUMMYFUNCTION("""COMPUTED_VALUE"""),"oDhmon")</f>
        <v>oDhmon</v>
      </c>
      <c r="J37" s="662">
        <f>IFERROR(__xludf.DUMMYFUNCTION("""COMPUTED_VALUE"""),2828.0)</f>
        <v>2828</v>
      </c>
      <c r="K37" s="662">
        <f>IFERROR(__xludf.DUMMYFUNCTION("""COMPUTED_VALUE"""),2136.0)</f>
        <v>2136</v>
      </c>
      <c r="L37" s="662">
        <f>IFERROR(__xludf.DUMMYFUNCTION("""COMPUTED_VALUE"""),692.0)</f>
        <v>692</v>
      </c>
      <c r="M37" s="662">
        <f t="shared" si="6"/>
        <v>1.323970037</v>
      </c>
    </row>
    <row r="38">
      <c r="A38" s="662" t="str">
        <f>IFERROR(__xludf.DUMMYFUNCTION("""COMPUTED_VALUE"""),"MealyKitten0")</f>
        <v>MealyKitten0</v>
      </c>
      <c r="B38" s="663">
        <f>IFERROR(__xludf.DUMMYFUNCTION("""COMPUTED_VALUE"""),1.6912135557226917)</f>
        <v>1.691213556</v>
      </c>
      <c r="D38" s="662" t="str">
        <f>IFERROR(__xludf.DUMMYFUNCTION("""COMPUTED_VALUE"""),"InfiniteRainge")</f>
        <v>InfiniteRainge</v>
      </c>
      <c r="E38" s="663">
        <f>IFERROR(__xludf.DUMMYFUNCTION("""COMPUTED_VALUE"""),0.703671480772577)</f>
        <v>0.7036714808</v>
      </c>
      <c r="I38" s="662" t="str">
        <f>IFERROR(__xludf.DUMMYFUNCTION("""COMPUTED_VALUE"""),"Itzreelz")</f>
        <v>Itzreelz</v>
      </c>
      <c r="J38" s="662">
        <f>IFERROR(__xludf.DUMMYFUNCTION("""COMPUTED_VALUE"""),2386.0)</f>
        <v>2386</v>
      </c>
      <c r="K38" s="662">
        <f>IFERROR(__xludf.DUMMYFUNCTION("""COMPUTED_VALUE"""),1944.0)</f>
        <v>1944</v>
      </c>
      <c r="L38" s="662">
        <f>IFERROR(__xludf.DUMMYFUNCTION("""COMPUTED_VALUE"""),442.0)</f>
        <v>442</v>
      </c>
      <c r="M38" s="662">
        <f t="shared" si="6"/>
        <v>1.227366255</v>
      </c>
    </row>
    <row r="39">
      <c r="A39" s="662" t="str">
        <f>IFERROR(__xludf.DUMMYFUNCTION("""COMPUTED_VALUE"""),"DlGITAL PAIN")</f>
        <v>DlGITAL PAIN</v>
      </c>
      <c r="B39" s="663">
        <f>IFERROR(__xludf.DUMMYFUNCTION("""COMPUTED_VALUE"""),1.593709250291531)</f>
        <v>1.59370925</v>
      </c>
      <c r="D39" s="662" t="str">
        <f>IFERROR(__xludf.DUMMYFUNCTION("""COMPUTED_VALUE"""),"Beautytism")</f>
        <v>Beautytism</v>
      </c>
      <c r="E39" s="663">
        <f>IFERROR(__xludf.DUMMYFUNCTION("""COMPUTED_VALUE"""),0.6859217272235136)</f>
        <v>0.6859217272</v>
      </c>
      <c r="I39" s="662" t="str">
        <f>IFERROR(__xludf.DUMMYFUNCTION("""COMPUTED_VALUE"""),"yLuxe")</f>
        <v>yLuxe</v>
      </c>
      <c r="J39" s="662">
        <f>IFERROR(__xludf.DUMMYFUNCTION("""COMPUTED_VALUE"""),1755.0)</f>
        <v>1755</v>
      </c>
      <c r="K39" s="662">
        <f>IFERROR(__xludf.DUMMYFUNCTION("""COMPUTED_VALUE"""),1331.0)</f>
        <v>1331</v>
      </c>
      <c r="L39" s="662">
        <f>IFERROR(__xludf.DUMMYFUNCTION("""COMPUTED_VALUE"""),424.0)</f>
        <v>424</v>
      </c>
      <c r="M39" s="662">
        <f t="shared" si="6"/>
        <v>1.318557476</v>
      </c>
    </row>
    <row r="40">
      <c r="A40" s="662" t="str">
        <f>IFERROR(__xludf.DUMMYFUNCTION("""COMPUTED_VALUE"""),"InfiniteRainge")</f>
        <v>InfiniteRainge</v>
      </c>
      <c r="B40" s="663">
        <f>IFERROR(__xludf.DUMMYFUNCTION("""COMPUTED_VALUE"""),1.5865901049823097)</f>
        <v>1.586590105</v>
      </c>
      <c r="D40" s="662" t="str">
        <f>IFERROR(__xludf.DUMMYFUNCTION("""COMPUTED_VALUE"""),"Solace VIII")</f>
        <v>Solace VIII</v>
      </c>
      <c r="E40" s="663">
        <f>IFERROR(__xludf.DUMMYFUNCTION("""COMPUTED_VALUE"""),0.6553926040277875)</f>
        <v>0.655392604</v>
      </c>
      <c r="I40" s="662" t="str">
        <f>IFERROR(__xludf.DUMMYFUNCTION("""COMPUTED_VALUE"""),"ixGingy")</f>
        <v>ixGingy</v>
      </c>
      <c r="J40" s="662">
        <f>IFERROR(__xludf.DUMMYFUNCTION("""COMPUTED_VALUE"""),4156.0)</f>
        <v>4156</v>
      </c>
      <c r="K40" s="662">
        <f>IFERROR(__xludf.DUMMYFUNCTION("""COMPUTED_VALUE"""),3797.0)</f>
        <v>3797</v>
      </c>
      <c r="L40" s="662">
        <f>IFERROR(__xludf.DUMMYFUNCTION("""COMPUTED_VALUE"""),359.0)</f>
        <v>359</v>
      </c>
      <c r="M40" s="662">
        <f t="shared" si="6"/>
        <v>1.094548328</v>
      </c>
    </row>
    <row r="41">
      <c r="A41" s="662" t="str">
        <f>IFERROR(__xludf.DUMMYFUNCTION("""COMPUTED_VALUE"""),"Solace VIII")</f>
        <v>Solace VIII</v>
      </c>
      <c r="B41" s="663">
        <f>IFERROR(__xludf.DUMMYFUNCTION("""COMPUTED_VALUE"""),1.5345055150682827)</f>
        <v>1.534505515</v>
      </c>
      <c r="D41" s="662" t="str">
        <f>IFERROR(__xludf.DUMMYFUNCTION("""COMPUTED_VALUE"""),"Itzreelz")</f>
        <v>Itzreelz</v>
      </c>
      <c r="E41" s="663">
        <f>IFERROR(__xludf.DUMMYFUNCTION("""COMPUTED_VALUE"""),0.6532796439546467)</f>
        <v>0.653279644</v>
      </c>
      <c r="I41" s="662" t="str">
        <f>IFERROR(__xludf.DUMMYFUNCTION("""COMPUTED_VALUE"""),"Solace VIII")</f>
        <v>Solace VIII</v>
      </c>
      <c r="J41" s="662">
        <f>IFERROR(__xludf.DUMMYFUNCTION("""COMPUTED_VALUE"""),2781.0)</f>
        <v>2781</v>
      </c>
      <c r="K41" s="662">
        <f>IFERROR(__xludf.DUMMYFUNCTION("""COMPUTED_VALUE"""),2488.0)</f>
        <v>2488</v>
      </c>
      <c r="L41" s="662">
        <f>IFERROR(__xludf.DUMMYFUNCTION("""COMPUTED_VALUE"""),293.0)</f>
        <v>293</v>
      </c>
      <c r="M41" s="662">
        <f t="shared" si="6"/>
        <v>1.117765273</v>
      </c>
    </row>
    <row r="42">
      <c r="A42" s="662" t="str">
        <f>IFERROR(__xludf.DUMMYFUNCTION("""COMPUTED_VALUE"""),"Dhlyn")</f>
        <v>Dhlyn</v>
      </c>
      <c r="B42" s="663">
        <f>IFERROR(__xludf.DUMMYFUNCTION("""COMPUTED_VALUE"""),1.510712486100451)</f>
        <v>1.510712486</v>
      </c>
      <c r="D42" s="662" t="str">
        <f>IFERROR(__xludf.DUMMYFUNCTION("""COMPUTED_VALUE"""),"oDhmon")</f>
        <v>oDhmon</v>
      </c>
      <c r="E42" s="663">
        <f>IFERROR(__xludf.DUMMYFUNCTION("""COMPUTED_VALUE"""),0.6307507969163294)</f>
        <v>0.6307507969</v>
      </c>
      <c r="I42" s="662" t="str">
        <f>IFERROR(__xludf.DUMMYFUNCTION("""COMPUTED_VALUE"""),"EllisGotMyPills")</f>
        <v>EllisGotMyPills</v>
      </c>
      <c r="J42" s="662">
        <f>IFERROR(__xludf.DUMMYFUNCTION("""COMPUTED_VALUE"""),1114.0)</f>
        <v>1114</v>
      </c>
      <c r="K42" s="662">
        <f>IFERROR(__xludf.DUMMYFUNCTION("""COMPUTED_VALUE"""),846.0)</f>
        <v>846</v>
      </c>
      <c r="L42" s="662">
        <f>IFERROR(__xludf.DUMMYFUNCTION("""COMPUTED_VALUE"""),268.0)</f>
        <v>268</v>
      </c>
      <c r="M42" s="662">
        <f t="shared" si="6"/>
        <v>1.31678487</v>
      </c>
    </row>
    <row r="43">
      <c r="A43" s="662" t="str">
        <f>IFERROR(__xludf.DUMMYFUNCTION("""COMPUTED_VALUE"""),"ixGingy")</f>
        <v>ixGingy</v>
      </c>
      <c r="B43" s="663">
        <f>IFERROR(__xludf.DUMMYFUNCTION("""COMPUTED_VALUE"""),1.5038168342199658)</f>
        <v>1.503816834</v>
      </c>
      <c r="D43" s="662" t="str">
        <f>IFERROR(__xludf.DUMMYFUNCTION("""COMPUTED_VALUE"""),"ixGingy")</f>
        <v>ixGingy</v>
      </c>
      <c r="E43" s="663">
        <f>IFERROR(__xludf.DUMMYFUNCTION("""COMPUTED_VALUE"""),0.6279788476066204)</f>
        <v>0.6279788476</v>
      </c>
      <c r="I43" s="662" t="str">
        <f>IFERROR(__xludf.DUMMYFUNCTION("""COMPUTED_VALUE"""),"Beautytism")</f>
        <v>Beautytism</v>
      </c>
      <c r="J43" s="662">
        <f>IFERROR(__xludf.DUMMYFUNCTION("""COMPUTED_VALUE"""),1598.0)</f>
        <v>1598</v>
      </c>
      <c r="K43" s="662">
        <f>IFERROR(__xludf.DUMMYFUNCTION("""COMPUTED_VALUE"""),1361.0)</f>
        <v>1361</v>
      </c>
      <c r="L43" s="662">
        <f>IFERROR(__xludf.DUMMYFUNCTION("""COMPUTED_VALUE"""),237.0)</f>
        <v>237</v>
      </c>
      <c r="M43" s="662">
        <f t="shared" si="6"/>
        <v>1.174136664</v>
      </c>
    </row>
    <row r="44">
      <c r="A44" s="662" t="str">
        <f>IFERROR(__xludf.DUMMYFUNCTION("""COMPUTED_VALUE"""),"Scullen cx")</f>
        <v>Scullen cx</v>
      </c>
      <c r="B44" s="663">
        <f>IFERROR(__xludf.DUMMYFUNCTION("""COMPUTED_VALUE"""),1.480218450466516)</f>
        <v>1.48021845</v>
      </c>
      <c r="D44" s="662" t="str">
        <f>IFERROR(__xludf.DUMMYFUNCTION("""COMPUTED_VALUE"""),"Cell x2")</f>
        <v>Cell x2</v>
      </c>
      <c r="E44" s="663">
        <f>IFERROR(__xludf.DUMMYFUNCTION("""COMPUTED_VALUE"""),0.6108407450914584)</f>
        <v>0.6108407451</v>
      </c>
      <c r="I44" s="662" t="str">
        <f>IFERROR(__xludf.DUMMYFUNCTION("""COMPUTED_VALUE"""),"InfiniteRainge")</f>
        <v>InfiniteRainge</v>
      </c>
      <c r="J44" s="662">
        <f>IFERROR(__xludf.DUMMYFUNCTION("""COMPUTED_VALUE"""),1758.0)</f>
        <v>1758</v>
      </c>
      <c r="K44" s="662">
        <f>IFERROR(__xludf.DUMMYFUNCTION("""COMPUTED_VALUE"""),1574.0)</f>
        <v>1574</v>
      </c>
      <c r="L44" s="662">
        <f>IFERROR(__xludf.DUMMYFUNCTION("""COMPUTED_VALUE"""),184.0)</f>
        <v>184</v>
      </c>
      <c r="M44" s="662">
        <f t="shared" si="6"/>
        <v>1.116899619</v>
      </c>
    </row>
    <row r="45">
      <c r="A45" s="662" t="str">
        <f>IFERROR(__xludf.DUMMYFUNCTION("""COMPUTED_VALUE"""),"ASpence501")</f>
        <v>ASpence501</v>
      </c>
      <c r="B45" s="663">
        <f>IFERROR(__xludf.DUMMYFUNCTION("""COMPUTED_VALUE"""),1.4570046767010902)</f>
        <v>1.457004677</v>
      </c>
      <c r="D45" s="662" t="str">
        <f>IFERROR(__xludf.DUMMYFUNCTION("""COMPUTED_VALUE"""),"Hells Angel cx")</f>
        <v>Hells Angel cx</v>
      </c>
      <c r="E45" s="663">
        <f>IFERROR(__xludf.DUMMYFUNCTION("""COMPUTED_VALUE"""),0.5923000987166831)</f>
        <v>0.5923000987</v>
      </c>
      <c r="I45" s="662" t="str">
        <f>IFERROR(__xludf.DUMMYFUNCTION("""COMPUTED_VALUE"""),"Dhlyn")</f>
        <v>Dhlyn</v>
      </c>
      <c r="J45" s="662">
        <f>IFERROR(__xludf.DUMMYFUNCTION("""COMPUTED_VALUE"""),1232.0)</f>
        <v>1232</v>
      </c>
      <c r="K45" s="662">
        <f>IFERROR(__xludf.DUMMYFUNCTION("""COMPUTED_VALUE"""),1094.0)</f>
        <v>1094</v>
      </c>
      <c r="L45" s="662">
        <f>IFERROR(__xludf.DUMMYFUNCTION("""COMPUTED_VALUE"""),138.0)</f>
        <v>138</v>
      </c>
      <c r="M45" s="662">
        <f t="shared" si="6"/>
        <v>1.126142596</v>
      </c>
    </row>
    <row r="46">
      <c r="A46" s="662" t="str">
        <f>IFERROR(__xludf.DUMMYFUNCTION("""COMPUTED_VALUE"""),"ADhillyy")</f>
        <v>ADhillyy</v>
      </c>
      <c r="B46" s="663">
        <f>IFERROR(__xludf.DUMMYFUNCTION("""COMPUTED_VALUE"""),1.4462142062423142)</f>
        <v>1.446214206</v>
      </c>
      <c r="D46" s="662" t="str">
        <f>IFERROR(__xludf.DUMMYFUNCTION("""COMPUTED_VALUE"""),"L0RNA SHORE")</f>
        <v>L0RNA SHORE</v>
      </c>
      <c r="E46" s="663">
        <f>IFERROR(__xludf.DUMMYFUNCTION("""COMPUTED_VALUE"""),0.5883731833098922)</f>
        <v>0.5883731833</v>
      </c>
      <c r="I46" s="662" t="str">
        <f>IFERROR(__xludf.DUMMYFUNCTION("""COMPUTED_VALUE"""),"L0RNA SHORE")</f>
        <v>L0RNA SHORE</v>
      </c>
      <c r="J46" s="662">
        <f>IFERROR(__xludf.DUMMYFUNCTION("""COMPUTED_VALUE"""),1035.0)</f>
        <v>1035</v>
      </c>
      <c r="K46" s="662">
        <f>IFERROR(__xludf.DUMMYFUNCTION("""COMPUTED_VALUE"""),942.0)</f>
        <v>942</v>
      </c>
      <c r="L46" s="662">
        <f>IFERROR(__xludf.DUMMYFUNCTION("""COMPUTED_VALUE"""),93.0)</f>
        <v>93</v>
      </c>
      <c r="M46" s="662">
        <f t="shared" si="6"/>
        <v>1.098726115</v>
      </c>
    </row>
    <row r="47">
      <c r="A47" s="662" t="str">
        <f>IFERROR(__xludf.DUMMYFUNCTION("""COMPUTED_VALUE"""),"Beautytism")</f>
        <v>Beautytism</v>
      </c>
      <c r="B47" s="663">
        <f>IFERROR(__xludf.DUMMYFUNCTION("""COMPUTED_VALUE"""),1.4130226411489348)</f>
        <v>1.413022641</v>
      </c>
      <c r="D47" s="662" t="str">
        <f>IFERROR(__xludf.DUMMYFUNCTION("""COMPUTED_VALUE"""),"MysticalNovice")</f>
        <v>MysticalNovice</v>
      </c>
      <c r="E47" s="663">
        <f>IFERROR(__xludf.DUMMYFUNCTION("""COMPUTED_VALUE"""),0.58201911829952)</f>
        <v>0.5820191183</v>
      </c>
      <c r="I47" s="662" t="str">
        <f>IFERROR(__xludf.DUMMYFUNCTION("""COMPUTED_VALUE"""),"Judasey")</f>
        <v>Judasey</v>
      </c>
      <c r="J47" s="662">
        <f>IFERROR(__xludf.DUMMYFUNCTION("""COMPUTED_VALUE"""),481.0)</f>
        <v>481</v>
      </c>
      <c r="K47" s="662">
        <f>IFERROR(__xludf.DUMMYFUNCTION("""COMPUTED_VALUE"""),404.0)</f>
        <v>404</v>
      </c>
      <c r="L47" s="662">
        <f>IFERROR(__xludf.DUMMYFUNCTION("""COMPUTED_VALUE"""),77.0)</f>
        <v>77</v>
      </c>
      <c r="M47" s="662">
        <f t="shared" si="6"/>
        <v>1.190594059</v>
      </c>
    </row>
    <row r="48">
      <c r="A48" s="662" t="str">
        <f>IFERROR(__xludf.DUMMYFUNCTION("""COMPUTED_VALUE"""),"Cell x2")</f>
        <v>Cell x2</v>
      </c>
      <c r="B48" s="663">
        <f>IFERROR(__xludf.DUMMYFUNCTION("""COMPUTED_VALUE"""),1.3624769256586675)</f>
        <v>1.362476926</v>
      </c>
      <c r="D48" s="662" t="str">
        <f>IFERROR(__xludf.DUMMYFUNCTION("""COMPUTED_VALUE"""),"Scullen cx")</f>
        <v>Scullen cx</v>
      </c>
      <c r="E48" s="663">
        <f>IFERROR(__xludf.DUMMYFUNCTION("""COMPUTED_VALUE"""),0.5712829984396395)</f>
        <v>0.5712829984</v>
      </c>
      <c r="I48" s="662" t="str">
        <f>IFERROR(__xludf.DUMMYFUNCTION("""COMPUTED_VALUE"""),"Mavbrid")</f>
        <v>Mavbrid</v>
      </c>
      <c r="J48" s="662">
        <f>IFERROR(__xludf.DUMMYFUNCTION("""COMPUTED_VALUE"""),2015.0)</f>
        <v>2015</v>
      </c>
      <c r="K48" s="662">
        <f>IFERROR(__xludf.DUMMYFUNCTION("""COMPUTED_VALUE"""),1948.0)</f>
        <v>1948</v>
      </c>
      <c r="L48" s="662">
        <f>IFERROR(__xludf.DUMMYFUNCTION("""COMPUTED_VALUE"""),67.0)</f>
        <v>67</v>
      </c>
      <c r="M48" s="662">
        <f t="shared" si="6"/>
        <v>1.034394251</v>
      </c>
    </row>
    <row r="49">
      <c r="A49" s="662" t="str">
        <f>IFERROR(__xludf.DUMMYFUNCTION("""COMPUTED_VALUE"""),"oh zilly")</f>
        <v>oh zilly</v>
      </c>
      <c r="B49" s="663">
        <f>IFERROR(__xludf.DUMMYFUNCTION("""COMPUTED_VALUE"""),1.35162229899072)</f>
        <v>1.351622299</v>
      </c>
      <c r="D49" s="662" t="str">
        <f>IFERROR(__xludf.DUMMYFUNCTION("""COMPUTED_VALUE"""),"yLuxe")</f>
        <v>yLuxe</v>
      </c>
      <c r="E49" s="663">
        <f>IFERROR(__xludf.DUMMYFUNCTION("""COMPUTED_VALUE"""),0.5667606833058378)</f>
        <v>0.5667606833</v>
      </c>
      <c r="I49" s="662" t="str">
        <f>IFERROR(__xludf.DUMMYFUNCTION("""COMPUTED_VALUE"""),"Hells Angel cx")</f>
        <v>Hells Angel cx</v>
      </c>
      <c r="J49" s="662">
        <f>IFERROR(__xludf.DUMMYFUNCTION("""COMPUTED_VALUE"""),1387.0)</f>
        <v>1387</v>
      </c>
      <c r="K49" s="662">
        <f>IFERROR(__xludf.DUMMYFUNCTION("""COMPUTED_VALUE"""),1391.0)</f>
        <v>1391</v>
      </c>
      <c r="L49" s="662">
        <f>IFERROR(__xludf.DUMMYFUNCTION("""COMPUTED_VALUE"""),-4.0)</f>
        <v>-4</v>
      </c>
      <c r="M49" s="662">
        <f t="shared" si="6"/>
        <v>0.997124371</v>
      </c>
    </row>
    <row r="50">
      <c r="A50" s="662" t="str">
        <f>IFERROR(__xludf.DUMMYFUNCTION("""COMPUTED_VALUE"""),"MoldyVolts")</f>
        <v>MoldyVolts</v>
      </c>
      <c r="B50" s="663">
        <f>IFERROR(__xludf.DUMMYFUNCTION("""COMPUTED_VALUE"""),1.3282402199725034)</f>
        <v>1.32824022</v>
      </c>
      <c r="D50" s="662" t="str">
        <f>IFERROR(__xludf.DUMMYFUNCTION("""COMPUTED_VALUE"""),"MealyKitten0")</f>
        <v>MealyKitten0</v>
      </c>
      <c r="E50" s="663">
        <f>IFERROR(__xludf.DUMMYFUNCTION("""COMPUTED_VALUE"""),0.5512542582842986)</f>
        <v>0.5512542583</v>
      </c>
      <c r="I50" s="662" t="str">
        <f>IFERROR(__xludf.DUMMYFUNCTION("""COMPUTED_VALUE"""),"ASpence501")</f>
        <v>ASpence501</v>
      </c>
      <c r="J50" s="662">
        <f>IFERROR(__xludf.DUMMYFUNCTION("""COMPUTED_VALUE"""),3111.0)</f>
        <v>3111</v>
      </c>
      <c r="K50" s="662">
        <f>IFERROR(__xludf.DUMMYFUNCTION("""COMPUTED_VALUE"""),3132.0)</f>
        <v>3132</v>
      </c>
      <c r="L50" s="662">
        <f>IFERROR(__xludf.DUMMYFUNCTION("""COMPUTED_VALUE"""),-21.0)</f>
        <v>-21</v>
      </c>
      <c r="M50" s="662">
        <f t="shared" si="6"/>
        <v>0.9932950192</v>
      </c>
    </row>
    <row r="51">
      <c r="A51" s="662" t="str">
        <f>IFERROR(__xludf.DUMMYFUNCTION("""COMPUTED_VALUE"""),"Hells Angel cx")</f>
        <v>Hells Angel cx</v>
      </c>
      <c r="B51" s="663">
        <f>IFERROR(__xludf.DUMMYFUNCTION("""COMPUTED_VALUE"""),1.314933286628666)</f>
        <v>1.314933287</v>
      </c>
      <c r="D51" s="662" t="str">
        <f>IFERROR(__xludf.DUMMYFUNCTION("""COMPUTED_VALUE"""),"Dior Glori")</f>
        <v>Dior Glori</v>
      </c>
      <c r="E51" s="663">
        <f>IFERROR(__xludf.DUMMYFUNCTION("""COMPUTED_VALUE"""),0.5357695881077733)</f>
        <v>0.5357695881</v>
      </c>
      <c r="I51" s="662" t="str">
        <f>IFERROR(__xludf.DUMMYFUNCTION("""COMPUTED_VALUE"""),"GodSnipezX")</f>
        <v>GodSnipezX</v>
      </c>
      <c r="J51" s="662">
        <f>IFERROR(__xludf.DUMMYFUNCTION("""COMPUTED_VALUE"""),1955.0)</f>
        <v>1955</v>
      </c>
      <c r="K51" s="662">
        <f>IFERROR(__xludf.DUMMYFUNCTION("""COMPUTED_VALUE"""),2003.0)</f>
        <v>2003</v>
      </c>
      <c r="L51" s="662">
        <f>IFERROR(__xludf.DUMMYFUNCTION("""COMPUTED_VALUE"""),-48.0)</f>
        <v>-48</v>
      </c>
      <c r="M51" s="662">
        <f t="shared" si="6"/>
        <v>0.9760359461</v>
      </c>
    </row>
    <row r="52">
      <c r="A52" s="662" t="str">
        <f>IFERROR(__xludf.DUMMYFUNCTION("""COMPUTED_VALUE"""),"Itzreelz")</f>
        <v>Itzreelz</v>
      </c>
      <c r="B52" s="663">
        <f>IFERROR(__xludf.DUMMYFUNCTION("""COMPUTED_VALUE"""),1.3007456144575993)</f>
        <v>1.300745614</v>
      </c>
      <c r="D52" s="662" t="str">
        <f>IFERROR(__xludf.DUMMYFUNCTION("""COMPUTED_VALUE"""),"L1ght5aber")</f>
        <v>L1ght5aber</v>
      </c>
      <c r="E52" s="663">
        <f>IFERROR(__xludf.DUMMYFUNCTION("""COMPUTED_VALUE"""),0.5321219987021415)</f>
        <v>0.5321219987</v>
      </c>
      <c r="I52" s="662" t="str">
        <f>IFERROR(__xludf.DUMMYFUNCTION("""COMPUTED_VALUE"""),"Finesse God24")</f>
        <v>Finesse God24</v>
      </c>
      <c r="J52" s="662">
        <f>IFERROR(__xludf.DUMMYFUNCTION("""COMPUTED_VALUE"""),289.0)</f>
        <v>289</v>
      </c>
      <c r="K52" s="662">
        <f>IFERROR(__xludf.DUMMYFUNCTION("""COMPUTED_VALUE"""),344.0)</f>
        <v>344</v>
      </c>
      <c r="L52" s="662">
        <f>IFERROR(__xludf.DUMMYFUNCTION("""COMPUTED_VALUE"""),-55.0)</f>
        <v>-55</v>
      </c>
      <c r="M52" s="662">
        <f t="shared" si="6"/>
        <v>0.8401162791</v>
      </c>
    </row>
    <row r="53">
      <c r="A53" s="662" t="str">
        <f>IFERROR(__xludf.DUMMYFUNCTION("""COMPUTED_VALUE"""),"GodSnipezX")</f>
        <v>GodSnipezX</v>
      </c>
      <c r="B53" s="663">
        <f>IFERROR(__xludf.DUMMYFUNCTION("""COMPUTED_VALUE"""),1.2459485122318124)</f>
        <v>1.245948512</v>
      </c>
      <c r="D53" s="662" t="str">
        <f>IFERROR(__xludf.DUMMYFUNCTION("""COMPUTED_VALUE"""),"Mavbrid")</f>
        <v>Mavbrid</v>
      </c>
      <c r="E53" s="663">
        <f>IFERROR(__xludf.DUMMYFUNCTION("""COMPUTED_VALUE"""),0.5291643952963164)</f>
        <v>0.5291643953</v>
      </c>
      <c r="I53" s="662" t="str">
        <f>IFERROR(__xludf.DUMMYFUNCTION("""COMPUTED_VALUE"""),"SPANKTR0N")</f>
        <v>SPANKTR0N</v>
      </c>
      <c r="J53" s="662">
        <f>IFERROR(__xludf.DUMMYFUNCTION("""COMPUTED_VALUE"""),1351.0)</f>
        <v>1351</v>
      </c>
      <c r="K53" s="662">
        <f>IFERROR(__xludf.DUMMYFUNCTION("""COMPUTED_VALUE"""),1413.0)</f>
        <v>1413</v>
      </c>
      <c r="L53" s="662">
        <f>IFERROR(__xludf.DUMMYFUNCTION("""COMPUTED_VALUE"""),-62.0)</f>
        <v>-62</v>
      </c>
      <c r="M53" s="662">
        <f t="shared" si="6"/>
        <v>0.9561217268</v>
      </c>
    </row>
    <row r="54">
      <c r="A54" s="662" t="str">
        <f>IFERROR(__xludf.DUMMYFUNCTION("""COMPUTED_VALUE"""),"MysticalNovice")</f>
        <v>MysticalNovice</v>
      </c>
      <c r="B54" s="663">
        <f>IFERROR(__xludf.DUMMYFUNCTION("""COMPUTED_VALUE"""),1.2135952352142407)</f>
        <v>1.213595235</v>
      </c>
      <c r="D54" s="662" t="str">
        <f>IFERROR(__xludf.DUMMYFUNCTION("""COMPUTED_VALUE"""),"CaptainSev004")</f>
        <v>CaptainSev004</v>
      </c>
      <c r="E54" s="663">
        <f>IFERROR(__xludf.DUMMYFUNCTION("""COMPUTED_VALUE"""),0.5221621621621622)</f>
        <v>0.5221621622</v>
      </c>
      <c r="I54" s="662" t="str">
        <f>IFERROR(__xludf.DUMMYFUNCTION("""COMPUTED_VALUE"""),"Cell x2")</f>
        <v>Cell x2</v>
      </c>
      <c r="J54" s="662">
        <f>IFERROR(__xludf.DUMMYFUNCTION("""COMPUTED_VALUE"""),962.0)</f>
        <v>962</v>
      </c>
      <c r="K54" s="662">
        <f>IFERROR(__xludf.DUMMYFUNCTION("""COMPUTED_VALUE"""),1031.0)</f>
        <v>1031</v>
      </c>
      <c r="L54" s="662">
        <f>IFERROR(__xludf.DUMMYFUNCTION("""COMPUTED_VALUE"""),-69.0)</f>
        <v>-69</v>
      </c>
      <c r="M54" s="662">
        <f t="shared" si="6"/>
        <v>0.9330746848</v>
      </c>
    </row>
    <row r="55">
      <c r="A55" s="662" t="str">
        <f>IFERROR(__xludf.DUMMYFUNCTION("""COMPUTED_VALUE"""),"EllisGotMyPills")</f>
        <v>EllisGotMyPills</v>
      </c>
      <c r="B55" s="663">
        <f>IFERROR(__xludf.DUMMYFUNCTION("""COMPUTED_VALUE"""),1.1947241408005325)</f>
        <v>1.194724141</v>
      </c>
      <c r="D55" s="662" t="str">
        <f>IFERROR(__xludf.DUMMYFUNCTION("""COMPUTED_VALUE"""),"oh zilly")</f>
        <v>oh zilly</v>
      </c>
      <c r="E55" s="663">
        <f>IFERROR(__xludf.DUMMYFUNCTION("""COMPUTED_VALUE"""),0.5212355212355212)</f>
        <v>0.5212355212</v>
      </c>
      <c r="I55" s="662" t="str">
        <f>IFERROR(__xludf.DUMMYFUNCTION("""COMPUTED_VALUE"""),"MuNgO PuNgO")</f>
        <v>MuNgO PuNgO</v>
      </c>
      <c r="J55" s="662">
        <f>IFERROR(__xludf.DUMMYFUNCTION("""COMPUTED_VALUE"""),109.0)</f>
        <v>109</v>
      </c>
      <c r="K55" s="662">
        <f>IFERROR(__xludf.DUMMYFUNCTION("""COMPUTED_VALUE"""),198.0)</f>
        <v>198</v>
      </c>
      <c r="L55" s="662">
        <f>IFERROR(__xludf.DUMMYFUNCTION("""COMPUTED_VALUE"""),-89.0)</f>
        <v>-89</v>
      </c>
      <c r="M55" s="662">
        <f t="shared" si="6"/>
        <v>0.5505050505</v>
      </c>
    </row>
    <row r="56">
      <c r="A56" s="662" t="str">
        <f>IFERROR(__xludf.DUMMYFUNCTION("""COMPUTED_VALUE"""),"oDhmon")</f>
        <v>oDhmon</v>
      </c>
      <c r="B56" s="663">
        <f>IFERROR(__xludf.DUMMYFUNCTION("""COMPUTED_VALUE"""),1.1945842573315275)</f>
        <v>1.194584257</v>
      </c>
      <c r="D56" s="662" t="str">
        <f>IFERROR(__xludf.DUMMYFUNCTION("""COMPUTED_VALUE"""),"Dhlyn")</f>
        <v>Dhlyn</v>
      </c>
      <c r="E56" s="663">
        <f>IFERROR(__xludf.DUMMYFUNCTION("""COMPUTED_VALUE"""),0.5204756569197961)</f>
        <v>0.5204756569</v>
      </c>
      <c r="I56" s="662" t="str">
        <f>IFERROR(__xludf.DUMMYFUNCTION("""COMPUTED_VALUE"""),"Mhurcy")</f>
        <v>Mhurcy</v>
      </c>
      <c r="J56" s="662">
        <f>IFERROR(__xludf.DUMMYFUNCTION("""COMPUTED_VALUE"""),861.0)</f>
        <v>861</v>
      </c>
      <c r="K56" s="662">
        <f>IFERROR(__xludf.DUMMYFUNCTION("""COMPUTED_VALUE"""),979.0)</f>
        <v>979</v>
      </c>
      <c r="L56" s="662">
        <f>IFERROR(__xludf.DUMMYFUNCTION("""COMPUTED_VALUE"""),-118.0)</f>
        <v>-118</v>
      </c>
      <c r="M56" s="662">
        <f t="shared" si="6"/>
        <v>0.8794688458</v>
      </c>
    </row>
    <row r="57">
      <c r="A57" s="662" t="str">
        <f>IFERROR(__xludf.DUMMYFUNCTION("""COMPUTED_VALUE"""),"ActiveHate")</f>
        <v>ActiveHate</v>
      </c>
      <c r="B57" s="663">
        <f>IFERROR(__xludf.DUMMYFUNCTION("""COMPUTED_VALUE"""),1.1778200459279535)</f>
        <v>1.177820046</v>
      </c>
      <c r="D57" s="662" t="str">
        <f>IFERROR(__xludf.DUMMYFUNCTION("""COMPUTED_VALUE"""),"MoldyVolts")</f>
        <v>MoldyVolts</v>
      </c>
      <c r="E57" s="663">
        <f>IFERROR(__xludf.DUMMYFUNCTION("""COMPUTED_VALUE"""),0.515602216389618)</f>
        <v>0.5156022164</v>
      </c>
      <c r="I57" s="662" t="str">
        <f>IFERROR(__xludf.DUMMYFUNCTION("""COMPUTED_VALUE"""),"Dior Glori")</f>
        <v>Dior Glori</v>
      </c>
      <c r="J57" s="662">
        <f>IFERROR(__xludf.DUMMYFUNCTION("""COMPUTED_VALUE"""),886.0)</f>
        <v>886</v>
      </c>
      <c r="K57" s="662">
        <f>IFERROR(__xludf.DUMMYFUNCTION("""COMPUTED_VALUE"""),1014.0)</f>
        <v>1014</v>
      </c>
      <c r="L57" s="662">
        <f>IFERROR(__xludf.DUMMYFUNCTION("""COMPUTED_VALUE"""),-128.0)</f>
        <v>-128</v>
      </c>
      <c r="M57" s="662">
        <f t="shared" si="6"/>
        <v>0.8737672584</v>
      </c>
    </row>
    <row r="58">
      <c r="A58" s="662" t="str">
        <f>IFERROR(__xludf.DUMMYFUNCTION("""COMPUTED_VALUE"""),"Lane Uppy")</f>
        <v>Lane Uppy</v>
      </c>
      <c r="B58" s="663">
        <f>IFERROR(__xludf.DUMMYFUNCTION("""COMPUTED_VALUE"""),1.137713436478795)</f>
        <v>1.137713436</v>
      </c>
      <c r="D58" s="662" t="str">
        <f>IFERROR(__xludf.DUMMYFUNCTION("""COMPUTED_VALUE"""),"SPANKTR0N")</f>
        <v>SPANKTR0N</v>
      </c>
      <c r="E58" s="663">
        <f>IFERROR(__xludf.DUMMYFUNCTION("""COMPUTED_VALUE"""),0.5137920581994544)</f>
        <v>0.5137920582</v>
      </c>
      <c r="I58" s="662" t="str">
        <f>IFERROR(__xludf.DUMMYFUNCTION("""COMPUTED_VALUE"""),"MealyKitten0")</f>
        <v>MealyKitten0</v>
      </c>
      <c r="J58" s="662">
        <f>IFERROR(__xludf.DUMMYFUNCTION("""COMPUTED_VALUE"""),1132.0)</f>
        <v>1132</v>
      </c>
      <c r="K58" s="662">
        <f>IFERROR(__xludf.DUMMYFUNCTION("""COMPUTED_VALUE"""),1262.0)</f>
        <v>1262</v>
      </c>
      <c r="L58" s="662">
        <f>IFERROR(__xludf.DUMMYFUNCTION("""COMPUTED_VALUE"""),-130.0)</f>
        <v>-130</v>
      </c>
      <c r="M58" s="662">
        <f t="shared" si="6"/>
        <v>0.8969889065</v>
      </c>
    </row>
    <row r="59">
      <c r="A59" s="662" t="str">
        <f>IFERROR(__xludf.DUMMYFUNCTION("""COMPUTED_VALUE"""),"L1ght5aber")</f>
        <v>L1ght5aber</v>
      </c>
      <c r="B59" s="663">
        <f>IFERROR(__xludf.DUMMYFUNCTION("""COMPUTED_VALUE"""),1.0646611662185965)</f>
        <v>1.064661166</v>
      </c>
      <c r="D59" s="662" t="str">
        <f>IFERROR(__xludf.DUMMYFUNCTION("""COMPUTED_VALUE"""),"Almighty Tycoon")</f>
        <v>Almighty Tycoon</v>
      </c>
      <c r="E59" s="663">
        <f>IFERROR(__xludf.DUMMYFUNCTION("""COMPUTED_VALUE"""),0.5082129428062537)</f>
        <v>0.5082129428</v>
      </c>
      <c r="I59" s="662" t="str">
        <f>IFERROR(__xludf.DUMMYFUNCTION("""COMPUTED_VALUE"""),"L1ght5aber")</f>
        <v>L1ght5aber</v>
      </c>
      <c r="J59" s="662">
        <f>IFERROR(__xludf.DUMMYFUNCTION("""COMPUTED_VALUE"""),1396.0)</f>
        <v>1396</v>
      </c>
      <c r="K59" s="662">
        <f>IFERROR(__xludf.DUMMYFUNCTION("""COMPUTED_VALUE"""),1545.0)</f>
        <v>1545</v>
      </c>
      <c r="L59" s="662">
        <f>IFERROR(__xludf.DUMMYFUNCTION("""COMPUTED_VALUE"""),-149.0)</f>
        <v>-149</v>
      </c>
      <c r="M59" s="662">
        <f t="shared" si="6"/>
        <v>0.9035598706</v>
      </c>
    </row>
    <row r="60">
      <c r="A60" s="662" t="str">
        <f>IFERROR(__xludf.DUMMYFUNCTION("""COMPUTED_VALUE"""),"TommyWstSide")</f>
        <v>TommyWstSide</v>
      </c>
      <c r="B60" s="663">
        <f>IFERROR(__xludf.DUMMYFUNCTION("""COMPUTED_VALUE"""),1.0409594274384641)</f>
        <v>1.040959427</v>
      </c>
      <c r="D60" s="662" t="str">
        <f>IFERROR(__xludf.DUMMYFUNCTION("""COMPUTED_VALUE"""),"Lane Uppy")</f>
        <v>Lane Uppy</v>
      </c>
      <c r="E60" s="663">
        <f>IFERROR(__xludf.DUMMYFUNCTION("""COMPUTED_VALUE"""),0.5031264683558029)</f>
        <v>0.5031264684</v>
      </c>
      <c r="I60" s="662" t="str">
        <f>IFERROR(__xludf.DUMMYFUNCTION("""COMPUTED_VALUE"""),"Lane Uppy")</f>
        <v>Lane Uppy</v>
      </c>
      <c r="J60" s="662">
        <f>IFERROR(__xludf.DUMMYFUNCTION("""COMPUTED_VALUE"""),1294.0)</f>
        <v>1294</v>
      </c>
      <c r="K60" s="662">
        <f>IFERROR(__xludf.DUMMYFUNCTION("""COMPUTED_VALUE"""),1459.0)</f>
        <v>1459</v>
      </c>
      <c r="L60" s="662">
        <f>IFERROR(__xludf.DUMMYFUNCTION("""COMPUTED_VALUE"""),-165.0)</f>
        <v>-165</v>
      </c>
      <c r="M60" s="662">
        <f t="shared" si="6"/>
        <v>0.8869088417</v>
      </c>
    </row>
    <row r="61">
      <c r="A61" s="662" t="str">
        <f>IFERROR(__xludf.DUMMYFUNCTION("""COMPUTED_VALUE"""),"SPANKTR0N")</f>
        <v>SPANKTR0N</v>
      </c>
      <c r="B61" s="663">
        <f>IFERROR(__xludf.DUMMYFUNCTION("""COMPUTED_VALUE"""),1.0398795089421036)</f>
        <v>1.039879509</v>
      </c>
      <c r="D61" s="662" t="str">
        <f>IFERROR(__xludf.DUMMYFUNCTION("""COMPUTED_VALUE"""),"Mhurcy")</f>
        <v>Mhurcy</v>
      </c>
      <c r="E61" s="663">
        <f>IFERROR(__xludf.DUMMYFUNCTION("""COMPUTED_VALUE"""),0.4954031738595772)</f>
        <v>0.4954031739</v>
      </c>
      <c r="I61" s="662" t="str">
        <f>IFERROR(__xludf.DUMMYFUNCTION("""COMPUTED_VALUE"""),"AwareMosquito")</f>
        <v>AwareMosquito</v>
      </c>
      <c r="J61" s="662">
        <f>IFERROR(__xludf.DUMMYFUNCTION("""COMPUTED_VALUE"""),680.0)</f>
        <v>680</v>
      </c>
      <c r="K61" s="662">
        <f>IFERROR(__xludf.DUMMYFUNCTION("""COMPUTED_VALUE"""),860.0)</f>
        <v>860</v>
      </c>
      <c r="L61" s="662">
        <f>IFERROR(__xludf.DUMMYFUNCTION("""COMPUTED_VALUE"""),-180.0)</f>
        <v>-180</v>
      </c>
      <c r="M61" s="662">
        <f t="shared" si="6"/>
        <v>0.7906976744</v>
      </c>
    </row>
    <row r="62">
      <c r="A62" s="662" t="str">
        <f>IFERROR(__xludf.DUMMYFUNCTION("""COMPUTED_VALUE"""),"Doerstopper")</f>
        <v>Doerstopper</v>
      </c>
      <c r="B62" s="663">
        <f>IFERROR(__xludf.DUMMYFUNCTION("""COMPUTED_VALUE"""),1.0339976450171342)</f>
        <v>1.033997645</v>
      </c>
      <c r="D62" s="662" t="str">
        <f>IFERROR(__xludf.DUMMYFUNCTION("""COMPUTED_VALUE"""),"ADhillyy")</f>
        <v>ADhillyy</v>
      </c>
      <c r="E62" s="663">
        <f>IFERROR(__xludf.DUMMYFUNCTION("""COMPUTED_VALUE"""),0.4743221877378931)</f>
        <v>0.4743221877</v>
      </c>
      <c r="I62" s="662" t="str">
        <f>IFERROR(__xludf.DUMMYFUNCTION("""COMPUTED_VALUE"""),"CaptainSev004")</f>
        <v>CaptainSev004</v>
      </c>
      <c r="J62" s="662">
        <f>IFERROR(__xludf.DUMMYFUNCTION("""COMPUTED_VALUE"""),860.0)</f>
        <v>860</v>
      </c>
      <c r="K62" s="662">
        <f>IFERROR(__xludf.DUMMYFUNCTION("""COMPUTED_VALUE"""),1053.0)</f>
        <v>1053</v>
      </c>
      <c r="L62" s="662">
        <f>IFERROR(__xludf.DUMMYFUNCTION("""COMPUTED_VALUE"""),-193.0)</f>
        <v>-193</v>
      </c>
      <c r="M62" s="662">
        <f t="shared" si="6"/>
        <v>0.81671415</v>
      </c>
    </row>
    <row r="63">
      <c r="A63" s="662" t="str">
        <f>IFERROR(__xludf.DUMMYFUNCTION("""COMPUTED_VALUE"""),"Mavbrid")</f>
        <v>Mavbrid</v>
      </c>
      <c r="B63" s="663">
        <f>IFERROR(__xludf.DUMMYFUNCTION("""COMPUTED_VALUE"""),0.9986399590597084)</f>
        <v>0.9986399591</v>
      </c>
      <c r="D63" s="662" t="str">
        <f>IFERROR(__xludf.DUMMYFUNCTION("""COMPUTED_VALUE"""),"GodSnipezX")</f>
        <v>GodSnipezX</v>
      </c>
      <c r="E63" s="663">
        <f>IFERROR(__xludf.DUMMYFUNCTION("""COMPUTED_VALUE"""),0.4700152564253022)</f>
        <v>0.4700152564</v>
      </c>
      <c r="I63" s="662" t="str">
        <f>IFERROR(__xludf.DUMMYFUNCTION("""COMPUTED_VALUE"""),"Almighty Tycoon")</f>
        <v>Almighty Tycoon</v>
      </c>
      <c r="J63" s="662">
        <f>IFERROR(__xludf.DUMMYFUNCTION("""COMPUTED_VALUE"""),1214.0)</f>
        <v>1214</v>
      </c>
      <c r="K63" s="662">
        <f>IFERROR(__xludf.DUMMYFUNCTION("""COMPUTED_VALUE"""),1481.0)</f>
        <v>1481</v>
      </c>
      <c r="L63" s="662">
        <f>IFERROR(__xludf.DUMMYFUNCTION("""COMPUTED_VALUE"""),-267.0)</f>
        <v>-267</v>
      </c>
      <c r="M63" s="662">
        <f t="shared" si="6"/>
        <v>0.8197164078</v>
      </c>
    </row>
    <row r="64">
      <c r="A64" s="662" t="str">
        <f>IFERROR(__xludf.DUMMYFUNCTION("""COMPUTED_VALUE"""),"Dior Glori")</f>
        <v>Dior Glori</v>
      </c>
      <c r="B64" s="663">
        <f>IFERROR(__xludf.DUMMYFUNCTION("""COMPUTED_VALUE"""),0.9678361279476175)</f>
        <v>0.9678361279</v>
      </c>
      <c r="D64" s="662" t="str">
        <f>IFERROR(__xludf.DUMMYFUNCTION("""COMPUTED_VALUE"""),"EllisGotMyPills")</f>
        <v>EllisGotMyPills</v>
      </c>
      <c r="E64" s="663">
        <f>IFERROR(__xludf.DUMMYFUNCTION("""COMPUTED_VALUE"""),0.4693351085961554)</f>
        <v>0.4693351086</v>
      </c>
      <c r="I64" s="662" t="str">
        <f>IFERROR(__xludf.DUMMYFUNCTION("""COMPUTED_VALUE"""),"MysticalNovice")</f>
        <v>MysticalNovice</v>
      </c>
      <c r="J64" s="662">
        <f>IFERROR(__xludf.DUMMYFUNCTION("""COMPUTED_VALUE"""),3306.0)</f>
        <v>3306</v>
      </c>
      <c r="K64" s="662">
        <f>IFERROR(__xludf.DUMMYFUNCTION("""COMPUTED_VALUE"""),3584.0)</f>
        <v>3584</v>
      </c>
      <c r="L64" s="662">
        <f>IFERROR(__xludf.DUMMYFUNCTION("""COMPUTED_VALUE"""),-278.0)</f>
        <v>-278</v>
      </c>
      <c r="M64" s="662">
        <f t="shared" si="6"/>
        <v>0.9224330357</v>
      </c>
    </row>
    <row r="65">
      <c r="A65" s="662" t="str">
        <f>IFERROR(__xludf.DUMMYFUNCTION("""COMPUTED_VALUE"""),"Finesse God24")</f>
        <v>Finesse God24</v>
      </c>
      <c r="B65" s="663">
        <f>IFERROR(__xludf.DUMMYFUNCTION("""COMPUTED_VALUE"""),0.9635028456030843)</f>
        <v>0.9635028456</v>
      </c>
      <c r="D65" s="662" t="str">
        <f>IFERROR(__xludf.DUMMYFUNCTION("""COMPUTED_VALUE"""),"ActiveHate")</f>
        <v>ActiveHate</v>
      </c>
      <c r="E65" s="663">
        <f>IFERROR(__xludf.DUMMYFUNCTION("""COMPUTED_VALUE"""),0.46422800058763036)</f>
        <v>0.4642280006</v>
      </c>
      <c r="I65" s="662" t="str">
        <f>IFERROR(__xludf.DUMMYFUNCTION("""COMPUTED_VALUE"""),"Luner Panda")</f>
        <v>Luner Panda</v>
      </c>
      <c r="J65" s="662">
        <f>IFERROR(__xludf.DUMMYFUNCTION("""COMPUTED_VALUE"""),869.0)</f>
        <v>869</v>
      </c>
      <c r="K65" s="662">
        <f>IFERROR(__xludf.DUMMYFUNCTION("""COMPUTED_VALUE"""),1168.0)</f>
        <v>1168</v>
      </c>
      <c r="L65" s="662">
        <f>IFERROR(__xludf.DUMMYFUNCTION("""COMPUTED_VALUE"""),-299.0)</f>
        <v>-299</v>
      </c>
      <c r="M65" s="662">
        <f t="shared" si="6"/>
        <v>0.7440068493</v>
      </c>
    </row>
    <row r="66">
      <c r="A66" s="662" t="str">
        <f>IFERROR(__xludf.DUMMYFUNCTION("""COMPUTED_VALUE"""),"CaptainSev004")</f>
        <v>CaptainSev004</v>
      </c>
      <c r="B66" s="663">
        <f>IFERROR(__xludf.DUMMYFUNCTION("""COMPUTED_VALUE"""),0.9118918918918919)</f>
        <v>0.9118918919</v>
      </c>
      <c r="D66" s="662" t="str">
        <f>IFERROR(__xludf.DUMMYFUNCTION("""COMPUTED_VALUE"""),"TommyWstSide")</f>
        <v>TommyWstSide</v>
      </c>
      <c r="E66" s="663">
        <f>IFERROR(__xludf.DUMMYFUNCTION("""COMPUTED_VALUE"""),0.4508922094878863)</f>
        <v>0.4508922095</v>
      </c>
      <c r="I66" s="662" t="str">
        <f>IFERROR(__xludf.DUMMYFUNCTION("""COMPUTED_VALUE"""),"ADhillyy")</f>
        <v>ADhillyy</v>
      </c>
      <c r="J66" s="662">
        <f>IFERROR(__xludf.DUMMYFUNCTION("""COMPUTED_VALUE"""),813.0)</f>
        <v>813</v>
      </c>
      <c r="K66" s="662">
        <f>IFERROR(__xludf.DUMMYFUNCTION("""COMPUTED_VALUE"""),1157.0)</f>
        <v>1157</v>
      </c>
      <c r="L66" s="662">
        <f>IFERROR(__xludf.DUMMYFUNCTION("""COMPUTED_VALUE"""),-344.0)</f>
        <v>-344</v>
      </c>
      <c r="M66" s="662">
        <f t="shared" si="6"/>
        <v>0.7026793431</v>
      </c>
    </row>
    <row r="67">
      <c r="A67" s="662" t="str">
        <f>IFERROR(__xludf.DUMMYFUNCTION("""COMPUTED_VALUE"""),"MuNgO PuNgO")</f>
        <v>MuNgO PuNgO</v>
      </c>
      <c r="B67" s="663">
        <f>IFERROR(__xludf.DUMMYFUNCTION("""COMPUTED_VALUE"""),0.9022082018927444)</f>
        <v>0.9022082019</v>
      </c>
      <c r="D67" s="662" t="str">
        <f>IFERROR(__xludf.DUMMYFUNCTION("""COMPUTED_VALUE"""),"Finesse God24")</f>
        <v>Finesse God24</v>
      </c>
      <c r="E67" s="663">
        <f>IFERROR(__xludf.DUMMYFUNCTION("""COMPUTED_VALUE"""),0.41857903433082433)</f>
        <v>0.4185790343</v>
      </c>
      <c r="I67" s="662" t="str">
        <f>IFERROR(__xludf.DUMMYFUNCTION("""COMPUTED_VALUE"""),"oh zilly")</f>
        <v>oh zilly</v>
      </c>
      <c r="J67" s="662">
        <f>IFERROR(__xludf.DUMMYFUNCTION("""COMPUTED_VALUE"""),2234.0)</f>
        <v>2234</v>
      </c>
      <c r="K67" s="662">
        <f>IFERROR(__xludf.DUMMYFUNCTION("""COMPUTED_VALUE"""),2632.0)</f>
        <v>2632</v>
      </c>
      <c r="L67" s="662">
        <f>IFERROR(__xludf.DUMMYFUNCTION("""COMPUTED_VALUE"""),-398.0)</f>
        <v>-398</v>
      </c>
      <c r="M67" s="662">
        <f t="shared" si="6"/>
        <v>0.8487841945</v>
      </c>
    </row>
    <row r="68">
      <c r="A68" s="662" t="str">
        <f>IFERROR(__xludf.DUMMYFUNCTION("""COMPUTED_VALUE"""),"Laser Wins")</f>
        <v>Laser Wins</v>
      </c>
      <c r="B68" s="663">
        <f>IFERROR(__xludf.DUMMYFUNCTION("""COMPUTED_VALUE"""),0.8231414102727775)</f>
        <v>0.8231414103</v>
      </c>
      <c r="D68" s="662" t="str">
        <f>IFERROR(__xludf.DUMMYFUNCTION("""COMPUTED_VALUE"""),"Luner Panda")</f>
        <v>Luner Panda</v>
      </c>
      <c r="E68" s="663">
        <f>IFERROR(__xludf.DUMMYFUNCTION("""COMPUTED_VALUE"""),0.3995044905543512)</f>
        <v>0.3995044906</v>
      </c>
      <c r="I68" s="662" t="str">
        <f>IFERROR(__xludf.DUMMYFUNCTION("""COMPUTED_VALUE"""),"Scullen cx")</f>
        <v>Scullen cx</v>
      </c>
      <c r="J68" s="662">
        <f>IFERROR(__xludf.DUMMYFUNCTION("""COMPUTED_VALUE"""),1529.0)</f>
        <v>1529</v>
      </c>
      <c r="K68" s="662">
        <f>IFERROR(__xludf.DUMMYFUNCTION("""COMPUTED_VALUE"""),2040.0)</f>
        <v>2040</v>
      </c>
      <c r="L68" s="662">
        <f>IFERROR(__xludf.DUMMYFUNCTION("""COMPUTED_VALUE"""),-511.0)</f>
        <v>-511</v>
      </c>
      <c r="M68" s="662">
        <f t="shared" si="6"/>
        <v>0.7495098039</v>
      </c>
    </row>
    <row r="69">
      <c r="A69" s="662" t="str">
        <f>IFERROR(__xludf.DUMMYFUNCTION("""COMPUTED_VALUE"""),"Mhurcy")</f>
        <v>Mhurcy</v>
      </c>
      <c r="B69" s="663">
        <f>IFERROR(__xludf.DUMMYFUNCTION("""COMPUTED_VALUE"""),0.7992081116751726)</f>
        <v>0.7992081117</v>
      </c>
      <c r="D69" s="662" t="str">
        <f>IFERROR(__xludf.DUMMYFUNCTION("""COMPUTED_VALUE"""),"MuNgO PuNgO")</f>
        <v>MuNgO PuNgO</v>
      </c>
      <c r="E69" s="663">
        <f>IFERROR(__xludf.DUMMYFUNCTION("""COMPUTED_VALUE"""),0.37854889589905366)</f>
        <v>0.3785488959</v>
      </c>
      <c r="I69" s="662" t="str">
        <f>IFERROR(__xludf.DUMMYFUNCTION("""COMPUTED_VALUE"""),"Laser Wins")</f>
        <v>Laser Wins</v>
      </c>
      <c r="J69" s="662">
        <f>IFERROR(__xludf.DUMMYFUNCTION("""COMPUTED_VALUE"""),1125.0)</f>
        <v>1125</v>
      </c>
      <c r="K69" s="662">
        <f>IFERROR(__xludf.DUMMYFUNCTION("""COMPUTED_VALUE"""),1640.0)</f>
        <v>1640</v>
      </c>
      <c r="L69" s="662">
        <f>IFERROR(__xludf.DUMMYFUNCTION("""COMPUTED_VALUE"""),-515.0)</f>
        <v>-515</v>
      </c>
      <c r="M69" s="662">
        <f t="shared" si="6"/>
        <v>0.6859756098</v>
      </c>
    </row>
    <row r="70">
      <c r="A70" s="662" t="str">
        <f>IFERROR(__xludf.DUMMYFUNCTION("""COMPUTED_VALUE"""),"Luner Panda")</f>
        <v>Luner Panda</v>
      </c>
      <c r="B70" s="663">
        <f>IFERROR(__xludf.DUMMYFUNCTION("""COMPUTED_VALUE"""),0.7444587001725435)</f>
        <v>0.7444587002</v>
      </c>
      <c r="D70" s="662" t="str">
        <f>IFERROR(__xludf.DUMMYFUNCTION("""COMPUTED_VALUE"""),"Doerstopper")</f>
        <v>Doerstopper</v>
      </c>
      <c r="E70" s="663">
        <f>IFERROR(__xludf.DUMMYFUNCTION("""COMPUTED_VALUE"""),0.31776427994374795)</f>
        <v>0.3177642799</v>
      </c>
      <c r="I70" s="662" t="str">
        <f>IFERROR(__xludf.DUMMYFUNCTION("""COMPUTED_VALUE"""),"TommyWstSide")</f>
        <v>TommyWstSide</v>
      </c>
      <c r="J70" s="662">
        <f>IFERROR(__xludf.DUMMYFUNCTION("""COMPUTED_VALUE"""),1637.0)</f>
        <v>1637</v>
      </c>
      <c r="K70" s="662">
        <f>IFERROR(__xludf.DUMMYFUNCTION("""COMPUTED_VALUE"""),2177.0)</f>
        <v>2177</v>
      </c>
      <c r="L70" s="662">
        <f>IFERROR(__xludf.DUMMYFUNCTION("""COMPUTED_VALUE"""),-540.0)</f>
        <v>-540</v>
      </c>
      <c r="M70" s="662">
        <f t="shared" si="6"/>
        <v>0.7519522278</v>
      </c>
    </row>
    <row r="71">
      <c r="A71" s="662" t="str">
        <f>IFERROR(__xludf.DUMMYFUNCTION("""COMPUTED_VALUE"""),"Almighty Tycoon")</f>
        <v>Almighty Tycoon</v>
      </c>
      <c r="B71" s="663">
        <f>IFERROR(__xludf.DUMMYFUNCTION("""COMPUTED_VALUE"""),0.5133056270202521)</f>
        <v>0.513305627</v>
      </c>
      <c r="D71" s="662" t="str">
        <f>IFERROR(__xludf.DUMMYFUNCTION("""COMPUTED_VALUE"""),"AwareMosquito")</f>
        <v>AwareMosquito</v>
      </c>
      <c r="E71" s="663">
        <f>IFERROR(__xludf.DUMMYFUNCTION("""COMPUTED_VALUE"""),0.3175333640128854)</f>
        <v>0.317533364</v>
      </c>
      <c r="I71" s="662" t="str">
        <f>IFERROR(__xludf.DUMMYFUNCTION("""COMPUTED_VALUE"""),"Doerstopper")</f>
        <v>Doerstopper</v>
      </c>
      <c r="J71" s="662">
        <f>IFERROR(__xludf.DUMMYFUNCTION("""COMPUTED_VALUE"""),1169.0)</f>
        <v>1169</v>
      </c>
      <c r="K71" s="662">
        <f>IFERROR(__xludf.DUMMYFUNCTION("""COMPUTED_VALUE"""),1778.0)</f>
        <v>1778</v>
      </c>
      <c r="L71" s="662">
        <f>IFERROR(__xludf.DUMMYFUNCTION("""COMPUTED_VALUE"""),-609.0)</f>
        <v>-609</v>
      </c>
      <c r="M71" s="662">
        <f t="shared" si="6"/>
        <v>0.657480315</v>
      </c>
    </row>
    <row r="72">
      <c r="A72" s="662" t="str">
        <f>IFERROR(__xludf.DUMMYFUNCTION("""COMPUTED_VALUE"""),"AwareMosquito")</f>
        <v>AwareMosquito</v>
      </c>
      <c r="B72" s="663">
        <f>IFERROR(__xludf.DUMMYFUNCTION("""COMPUTED_VALUE"""),0.46019328117809477)</f>
        <v>0.4601932812</v>
      </c>
      <c r="D72" s="662" t="str">
        <f>IFERROR(__xludf.DUMMYFUNCTION("""COMPUTED_VALUE"""),"Laser Wins")</f>
        <v>Laser Wins</v>
      </c>
      <c r="E72" s="663">
        <f>IFERROR(__xludf.DUMMYFUNCTION("""COMPUTED_VALUE"""),0.2889484658921656)</f>
        <v>0.2889484659</v>
      </c>
      <c r="I72" s="662" t="str">
        <f>IFERROR(__xludf.DUMMYFUNCTION("""COMPUTED_VALUE"""),"ActiveHate")</f>
        <v>ActiveHate</v>
      </c>
      <c r="J72" s="662">
        <f>IFERROR(__xludf.DUMMYFUNCTION("""COMPUTED_VALUE"""),2097.0)</f>
        <v>2097</v>
      </c>
      <c r="K72" s="662">
        <f>IFERROR(__xludf.DUMMYFUNCTION("""COMPUTED_VALUE"""),2764.0)</f>
        <v>2764</v>
      </c>
      <c r="L72" s="662">
        <f>IFERROR(__xludf.DUMMYFUNCTION("""COMPUTED_VALUE"""),-667.0)</f>
        <v>-667</v>
      </c>
      <c r="M72" s="662">
        <f t="shared" si="6"/>
        <v>0.758683068</v>
      </c>
    </row>
    <row r="73">
      <c r="I73" s="662" t="str">
        <f>IFERROR(__xludf.DUMMYFUNCTION("""COMPUTED_VALUE"""),"MoldyVolts")</f>
        <v>MoldyVolts</v>
      </c>
      <c r="J73" s="662">
        <f>IFERROR(__xludf.DUMMYFUNCTION("""COMPUTED_VALUE"""),2269.0)</f>
        <v>2269</v>
      </c>
      <c r="K73" s="662">
        <f>IFERROR(__xludf.DUMMYFUNCTION("""COMPUTED_VALUE"""),3015.0)</f>
        <v>3015</v>
      </c>
      <c r="L73" s="662">
        <f>IFERROR(__xludf.DUMMYFUNCTION("""COMPUTED_VALUE"""),-746.0)</f>
        <v>-746</v>
      </c>
      <c r="M73" s="662">
        <f t="shared" si="6"/>
        <v>0.7525704809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25"/>
    <col customWidth="1" min="2" max="2" width="12.38"/>
    <col customWidth="1" min="3" max="3" width="5.0"/>
    <col customWidth="1" min="4" max="4" width="6.75"/>
    <col customWidth="1" min="5" max="5" width="5.63"/>
    <col customWidth="1" min="6" max="6" width="9.75"/>
    <col customWidth="1" min="7" max="7" width="4.5"/>
    <col customWidth="1" min="8" max="8" width="6.5"/>
    <col customWidth="1" min="9" max="9" width="6.63"/>
    <col customWidth="1" min="10" max="10" width="6.88"/>
    <col customWidth="1" min="11" max="11" width="6.13"/>
    <col customWidth="1" min="12" max="12" width="8.5"/>
    <col customWidth="1" min="13" max="13" width="9.25"/>
    <col customWidth="1" min="14" max="14" width="10.0"/>
    <col customWidth="1" min="15" max="15" width="11.0"/>
    <col customWidth="1" min="16" max="16" width="9.63"/>
    <col customWidth="1" min="17" max="17" width="10.75"/>
    <col customWidth="1" min="18" max="18" width="12.13"/>
    <col customWidth="1" min="19" max="19" width="13.38"/>
    <col customWidth="1" min="20" max="20" width="12.38"/>
    <col customWidth="1" min="21" max="21" width="9.38"/>
    <col customWidth="1" min="22" max="22" width="13.75"/>
    <col customWidth="1" min="23" max="23" width="12.13"/>
    <col customWidth="1" min="24" max="24" width="10.63"/>
    <col customWidth="1" min="25" max="25" width="9.38"/>
    <col customWidth="1" min="26" max="26" width="8.0"/>
    <col customWidth="1" min="27" max="27" width="10.0"/>
    <col customWidth="1" min="28" max="28" width="10.13"/>
    <col customWidth="1" min="29" max="29" width="11.88"/>
    <col customWidth="1" min="30" max="30" width="11.13"/>
    <col customWidth="1" min="31" max="31" width="12.63"/>
    <col customWidth="1" min="32" max="32" width="9.0"/>
    <col customWidth="1" min="33" max="33" width="7.63"/>
    <col customWidth="1" min="34" max="34" width="8.25"/>
    <col customWidth="1" min="35" max="35" width="13.25"/>
    <col customWidth="1" min="36" max="36" width="8.5"/>
    <col customWidth="1" min="37" max="37" width="8.88"/>
    <col customWidth="1" min="38" max="38" width="9.75"/>
    <col customWidth="1" hidden="1" min="39" max="39" width="7.38"/>
  </cols>
  <sheetData>
    <row r="1">
      <c r="A1" s="903" t="s">
        <v>394</v>
      </c>
      <c r="B1" s="904" t="s">
        <v>530</v>
      </c>
      <c r="C1" s="903" t="s">
        <v>189</v>
      </c>
      <c r="D1" s="903" t="s">
        <v>190</v>
      </c>
      <c r="E1" s="903" t="s">
        <v>20</v>
      </c>
      <c r="F1" s="903" t="s">
        <v>531</v>
      </c>
      <c r="G1" s="903" t="s">
        <v>21</v>
      </c>
      <c r="H1" s="903" t="s">
        <v>23</v>
      </c>
      <c r="I1" s="903" t="s">
        <v>24</v>
      </c>
      <c r="J1" s="903" t="s">
        <v>22</v>
      </c>
      <c r="K1" s="903" t="s">
        <v>25</v>
      </c>
      <c r="L1" s="903" t="s">
        <v>26</v>
      </c>
      <c r="M1" s="903" t="s">
        <v>532</v>
      </c>
      <c r="N1" s="903" t="s">
        <v>533</v>
      </c>
      <c r="O1" s="903" t="s">
        <v>98</v>
      </c>
      <c r="P1" s="903" t="s">
        <v>332</v>
      </c>
      <c r="Q1" s="903" t="s">
        <v>534</v>
      </c>
      <c r="R1" s="903" t="s">
        <v>535</v>
      </c>
      <c r="S1" s="903" t="s">
        <v>536</v>
      </c>
      <c r="T1" s="903" t="s">
        <v>537</v>
      </c>
      <c r="U1" s="903" t="s">
        <v>337</v>
      </c>
      <c r="V1" s="903" t="s">
        <v>538</v>
      </c>
      <c r="W1" s="903" t="s">
        <v>539</v>
      </c>
      <c r="X1" s="903" t="s">
        <v>540</v>
      </c>
      <c r="Y1" s="903" t="s">
        <v>541</v>
      </c>
      <c r="Z1" s="903" t="s">
        <v>35</v>
      </c>
      <c r="AA1" s="903" t="s">
        <v>36</v>
      </c>
      <c r="AB1" s="903" t="s">
        <v>37</v>
      </c>
      <c r="AC1" s="903" t="s">
        <v>38</v>
      </c>
      <c r="AD1" s="903" t="s">
        <v>39</v>
      </c>
      <c r="AE1" s="903" t="s">
        <v>542</v>
      </c>
      <c r="AF1" s="903" t="s">
        <v>543</v>
      </c>
      <c r="AG1" s="903" t="s">
        <v>349</v>
      </c>
      <c r="AH1" s="903" t="s">
        <v>40</v>
      </c>
      <c r="AI1" s="903" t="s">
        <v>350</v>
      </c>
      <c r="AJ1" s="903" t="s">
        <v>41</v>
      </c>
      <c r="AK1" s="903" t="s">
        <v>351</v>
      </c>
      <c r="AL1" s="903" t="s">
        <v>352</v>
      </c>
      <c r="AM1" s="903" t="s">
        <v>544</v>
      </c>
    </row>
    <row r="2">
      <c r="A2" s="905" t="s">
        <v>392</v>
      </c>
      <c r="B2" s="906">
        <v>19.0</v>
      </c>
      <c r="C2" s="906">
        <v>14.0</v>
      </c>
      <c r="D2" s="906">
        <v>5.0</v>
      </c>
      <c r="E2" s="906">
        <v>0.0</v>
      </c>
      <c r="F2" s="906">
        <v>1.0</v>
      </c>
      <c r="G2" s="906">
        <v>2097.0</v>
      </c>
      <c r="H2" s="906">
        <v>2764.0</v>
      </c>
      <c r="I2" s="906">
        <v>-667.0</v>
      </c>
      <c r="J2" s="906">
        <v>156.0</v>
      </c>
      <c r="K2" s="906">
        <v>6.0</v>
      </c>
      <c r="L2" s="906">
        <v>22.0</v>
      </c>
      <c r="M2" s="906">
        <v>30763.0</v>
      </c>
      <c r="N2" s="906">
        <v>40842.0</v>
      </c>
      <c r="O2" s="906">
        <v>11.0</v>
      </c>
      <c r="P2" s="906">
        <v>53.0</v>
      </c>
      <c r="Q2" s="906">
        <v>0.0</v>
      </c>
      <c r="R2" s="906">
        <v>19.0</v>
      </c>
      <c r="S2" s="906">
        <v>0.0</v>
      </c>
      <c r="T2" s="906">
        <v>0.0</v>
      </c>
      <c r="U2" s="906">
        <v>0.0</v>
      </c>
      <c r="V2" s="906">
        <v>17.0</v>
      </c>
      <c r="W2" s="906">
        <v>0.0</v>
      </c>
      <c r="X2" s="906">
        <v>286.0</v>
      </c>
      <c r="Y2" s="906">
        <v>57.0</v>
      </c>
      <c r="Z2" s="906">
        <v>10.0</v>
      </c>
      <c r="AA2" s="906">
        <v>0.0</v>
      </c>
      <c r="AB2" s="906">
        <v>0.0</v>
      </c>
      <c r="AC2" s="906">
        <v>0.0</v>
      </c>
      <c r="AD2" s="906">
        <v>0.0</v>
      </c>
      <c r="AE2" s="906">
        <v>0.0</v>
      </c>
      <c r="AF2" s="906">
        <v>0.0</v>
      </c>
      <c r="AG2" s="906">
        <v>0.0</v>
      </c>
      <c r="AH2" s="906">
        <v>51.0</v>
      </c>
      <c r="AI2" s="906">
        <v>0.0</v>
      </c>
      <c r="AJ2" s="906">
        <v>160.0</v>
      </c>
      <c r="AK2" s="906">
        <v>336.0</v>
      </c>
      <c r="AL2" s="906">
        <v>13.0</v>
      </c>
      <c r="AM2" s="906">
        <v>1.0</v>
      </c>
    </row>
    <row r="3">
      <c r="A3" s="907" t="s">
        <v>115</v>
      </c>
      <c r="B3" s="908">
        <v>13.0</v>
      </c>
      <c r="C3" s="908">
        <v>1.0</v>
      </c>
      <c r="D3" s="908">
        <v>12.0</v>
      </c>
      <c r="E3" s="908">
        <v>1.0</v>
      </c>
      <c r="F3" s="908">
        <v>1.0</v>
      </c>
      <c r="G3" s="908">
        <v>813.0</v>
      </c>
      <c r="H3" s="908">
        <v>1157.0</v>
      </c>
      <c r="I3" s="908">
        <v>-344.0</v>
      </c>
      <c r="J3" s="908">
        <v>64.0</v>
      </c>
      <c r="K3" s="908">
        <v>6.0</v>
      </c>
      <c r="L3" s="908">
        <v>16.0</v>
      </c>
      <c r="M3" s="908">
        <v>12414.0</v>
      </c>
      <c r="N3" s="908">
        <v>17077.0</v>
      </c>
      <c r="O3" s="908">
        <v>10.0</v>
      </c>
      <c r="P3" s="908">
        <v>70.0</v>
      </c>
      <c r="Q3" s="908">
        <v>0.0</v>
      </c>
      <c r="R3" s="908">
        <v>2.0</v>
      </c>
      <c r="S3" s="908">
        <v>0.0</v>
      </c>
      <c r="T3" s="908">
        <v>0.0</v>
      </c>
      <c r="U3" s="908">
        <v>0.0</v>
      </c>
      <c r="V3" s="908">
        <v>2.0</v>
      </c>
      <c r="W3" s="908">
        <v>0.0</v>
      </c>
      <c r="X3" s="908">
        <v>103.0</v>
      </c>
      <c r="Y3" s="908">
        <v>20.0</v>
      </c>
      <c r="Z3" s="908">
        <v>2.0</v>
      </c>
      <c r="AA3" s="908">
        <v>0.0</v>
      </c>
      <c r="AB3" s="908">
        <v>0.0</v>
      </c>
      <c r="AC3" s="908">
        <v>0.0</v>
      </c>
      <c r="AD3" s="908">
        <v>0.0</v>
      </c>
      <c r="AE3" s="908">
        <v>0.0</v>
      </c>
      <c r="AF3" s="908">
        <v>0.0</v>
      </c>
      <c r="AG3" s="908">
        <v>0.0</v>
      </c>
      <c r="AH3" s="908">
        <v>26.0</v>
      </c>
      <c r="AI3" s="908">
        <v>0.0</v>
      </c>
      <c r="AJ3" s="908">
        <v>71.0</v>
      </c>
      <c r="AK3" s="908">
        <v>127.0</v>
      </c>
      <c r="AL3" s="908">
        <v>13.0</v>
      </c>
      <c r="AM3" s="908">
        <v>1.0</v>
      </c>
    </row>
    <row r="4">
      <c r="A4" s="905" t="s">
        <v>156</v>
      </c>
      <c r="B4" s="906">
        <v>15.0</v>
      </c>
      <c r="C4" s="906">
        <v>12.0</v>
      </c>
      <c r="D4" s="906">
        <v>2.0</v>
      </c>
      <c r="E4" s="906">
        <v>4.0</v>
      </c>
      <c r="F4" s="906">
        <v>7.0</v>
      </c>
      <c r="G4" s="906">
        <v>1214.0</v>
      </c>
      <c r="H4" s="906">
        <v>1481.0</v>
      </c>
      <c r="I4" s="906">
        <v>-267.0</v>
      </c>
      <c r="J4" s="906">
        <v>76.0</v>
      </c>
      <c r="K4" s="906">
        <v>8.0</v>
      </c>
      <c r="L4" s="906">
        <v>22.0</v>
      </c>
      <c r="M4" s="906">
        <v>19621.0</v>
      </c>
      <c r="N4" s="906">
        <v>25265.0</v>
      </c>
      <c r="O4" s="906">
        <v>13.0</v>
      </c>
      <c r="P4" s="906">
        <v>199.0</v>
      </c>
      <c r="Q4" s="906">
        <v>0.0</v>
      </c>
      <c r="R4" s="906">
        <v>8.0</v>
      </c>
      <c r="S4" s="906">
        <v>0.0</v>
      </c>
      <c r="T4" s="906">
        <v>0.0</v>
      </c>
      <c r="U4" s="906">
        <v>0.0</v>
      </c>
      <c r="V4" s="906">
        <v>7.0</v>
      </c>
      <c r="W4" s="906">
        <v>0.0</v>
      </c>
      <c r="X4" s="906">
        <v>130.0</v>
      </c>
      <c r="Y4" s="906">
        <v>22.0</v>
      </c>
      <c r="Z4" s="906">
        <v>6.0</v>
      </c>
      <c r="AA4" s="906">
        <v>1.0</v>
      </c>
      <c r="AB4" s="906">
        <v>1.0</v>
      </c>
      <c r="AC4" s="906">
        <v>0.0</v>
      </c>
      <c r="AD4" s="906">
        <v>0.0</v>
      </c>
      <c r="AE4" s="906">
        <v>0.0</v>
      </c>
      <c r="AF4" s="906">
        <v>0.0</v>
      </c>
      <c r="AG4" s="906">
        <v>0.0</v>
      </c>
      <c r="AH4" s="906">
        <v>33.0</v>
      </c>
      <c r="AI4" s="906">
        <v>0.0</v>
      </c>
      <c r="AJ4" s="906">
        <v>138.0</v>
      </c>
      <c r="AK4" s="906">
        <v>160.0</v>
      </c>
      <c r="AL4" s="906">
        <v>2.0</v>
      </c>
      <c r="AM4" s="906">
        <v>1.0</v>
      </c>
    </row>
    <row r="5">
      <c r="A5" s="907" t="s">
        <v>145</v>
      </c>
      <c r="B5" s="908">
        <v>31.0</v>
      </c>
      <c r="C5" s="908">
        <v>22.0</v>
      </c>
      <c r="D5" s="908">
        <v>8.0</v>
      </c>
      <c r="E5" s="908">
        <v>8.0</v>
      </c>
      <c r="F5" s="908">
        <v>18.0</v>
      </c>
      <c r="G5" s="908">
        <v>3111.0</v>
      </c>
      <c r="H5" s="908">
        <v>3132.0</v>
      </c>
      <c r="I5" s="908">
        <v>-21.0</v>
      </c>
      <c r="J5" s="908">
        <v>253.0</v>
      </c>
      <c r="K5" s="908">
        <v>8.0</v>
      </c>
      <c r="L5" s="908">
        <v>36.0</v>
      </c>
      <c r="M5" s="908">
        <v>38513.0</v>
      </c>
      <c r="N5" s="908">
        <v>50525.0</v>
      </c>
      <c r="O5" s="908">
        <v>12.0</v>
      </c>
      <c r="P5" s="908">
        <v>452.0</v>
      </c>
      <c r="Q5" s="908">
        <v>0.0</v>
      </c>
      <c r="R5" s="908">
        <v>43.0</v>
      </c>
      <c r="S5" s="908">
        <v>0.0</v>
      </c>
      <c r="T5" s="908">
        <v>0.0</v>
      </c>
      <c r="U5" s="908">
        <v>0.0</v>
      </c>
      <c r="V5" s="908">
        <v>35.0</v>
      </c>
      <c r="W5" s="908">
        <v>0.0</v>
      </c>
      <c r="X5" s="908">
        <v>490.0</v>
      </c>
      <c r="Y5" s="908">
        <v>87.0</v>
      </c>
      <c r="Z5" s="908">
        <v>14.0</v>
      </c>
      <c r="AA5" s="908">
        <v>6.0</v>
      </c>
      <c r="AB5" s="908">
        <v>1.0</v>
      </c>
      <c r="AC5" s="908">
        <v>1.0</v>
      </c>
      <c r="AD5" s="908">
        <v>0.0</v>
      </c>
      <c r="AE5" s="908">
        <v>0.0</v>
      </c>
      <c r="AF5" s="908">
        <v>0.0</v>
      </c>
      <c r="AG5" s="908">
        <v>0.0</v>
      </c>
      <c r="AH5" s="908">
        <v>137.0</v>
      </c>
      <c r="AI5" s="908">
        <v>0.0</v>
      </c>
      <c r="AJ5" s="908">
        <v>377.0</v>
      </c>
      <c r="AK5" s="908">
        <v>412.0</v>
      </c>
      <c r="AL5" s="908">
        <v>30.0</v>
      </c>
      <c r="AM5" s="908">
        <v>1.0</v>
      </c>
    </row>
    <row r="6">
      <c r="A6" s="905" t="s">
        <v>159</v>
      </c>
      <c r="B6" s="906">
        <v>8.0</v>
      </c>
      <c r="C6" s="906">
        <v>5.0</v>
      </c>
      <c r="D6" s="906">
        <v>3.0</v>
      </c>
      <c r="E6" s="906">
        <v>3.0</v>
      </c>
      <c r="F6" s="906">
        <v>7.0</v>
      </c>
      <c r="G6" s="906">
        <v>680.0</v>
      </c>
      <c r="H6" s="906">
        <v>860.0</v>
      </c>
      <c r="I6" s="906">
        <v>-180.0</v>
      </c>
      <c r="J6" s="906">
        <v>31.0</v>
      </c>
      <c r="K6" s="906">
        <v>5.0</v>
      </c>
      <c r="L6" s="906">
        <v>2.0</v>
      </c>
      <c r="M6" s="906">
        <v>9692.0</v>
      </c>
      <c r="N6" s="906">
        <v>13038.0</v>
      </c>
      <c r="O6" s="906">
        <v>11.0</v>
      </c>
      <c r="P6" s="906">
        <v>832.0</v>
      </c>
      <c r="Q6" s="906">
        <v>0.0</v>
      </c>
      <c r="R6" s="906">
        <v>2.0</v>
      </c>
      <c r="S6" s="906">
        <v>0.0</v>
      </c>
      <c r="T6" s="906">
        <v>0.0</v>
      </c>
      <c r="U6" s="906">
        <v>0.0</v>
      </c>
      <c r="V6" s="906">
        <v>2.0</v>
      </c>
      <c r="W6" s="906">
        <v>0.0</v>
      </c>
      <c r="X6" s="906">
        <v>69.0</v>
      </c>
      <c r="Y6" s="906">
        <v>9.0</v>
      </c>
      <c r="Z6" s="906">
        <v>1.0</v>
      </c>
      <c r="AA6" s="906">
        <v>0.0</v>
      </c>
      <c r="AB6" s="906">
        <v>0.0</v>
      </c>
      <c r="AC6" s="906">
        <v>0.0</v>
      </c>
      <c r="AD6" s="906">
        <v>0.0</v>
      </c>
      <c r="AE6" s="906">
        <v>0.0</v>
      </c>
      <c r="AF6" s="906">
        <v>0.0</v>
      </c>
      <c r="AG6" s="906">
        <v>0.0</v>
      </c>
      <c r="AH6" s="906">
        <v>20.0</v>
      </c>
      <c r="AI6" s="906">
        <v>0.0</v>
      </c>
      <c r="AJ6" s="906">
        <v>38.0</v>
      </c>
      <c r="AK6" s="906">
        <v>100.0</v>
      </c>
      <c r="AL6" s="906">
        <v>0.0</v>
      </c>
      <c r="AM6" s="906">
        <v>0.0</v>
      </c>
    </row>
    <row r="7">
      <c r="A7" s="907" t="s">
        <v>130</v>
      </c>
      <c r="B7" s="908">
        <v>20.0</v>
      </c>
      <c r="C7" s="908">
        <v>9.0</v>
      </c>
      <c r="D7" s="908">
        <v>11.0</v>
      </c>
      <c r="E7" s="908">
        <v>4.0</v>
      </c>
      <c r="F7" s="908">
        <v>5.0</v>
      </c>
      <c r="G7" s="908">
        <v>1598.0</v>
      </c>
      <c r="H7" s="908">
        <v>1361.0</v>
      </c>
      <c r="I7" s="908">
        <v>237.0</v>
      </c>
      <c r="J7" s="908">
        <v>146.0</v>
      </c>
      <c r="K7" s="908">
        <v>9.0</v>
      </c>
      <c r="L7" s="908">
        <v>82.0</v>
      </c>
      <c r="M7" s="908">
        <v>25358.0</v>
      </c>
      <c r="N7" s="908">
        <v>31403.0</v>
      </c>
      <c r="O7" s="908">
        <v>18.0</v>
      </c>
      <c r="P7" s="908">
        <v>219.0</v>
      </c>
      <c r="Q7" s="908">
        <v>0.0</v>
      </c>
      <c r="R7" s="908">
        <v>37.0</v>
      </c>
      <c r="S7" s="908">
        <v>0.0</v>
      </c>
      <c r="T7" s="908">
        <v>0.0</v>
      </c>
      <c r="U7" s="908">
        <v>0.0</v>
      </c>
      <c r="V7" s="908">
        <v>34.0</v>
      </c>
      <c r="W7" s="908">
        <v>0.0</v>
      </c>
      <c r="X7" s="908">
        <v>191.0</v>
      </c>
      <c r="Y7" s="908">
        <v>25.0</v>
      </c>
      <c r="Z7" s="908">
        <v>5.0</v>
      </c>
      <c r="AA7" s="908">
        <v>2.0</v>
      </c>
      <c r="AB7" s="908">
        <v>2.0</v>
      </c>
      <c r="AC7" s="908">
        <v>0.0</v>
      </c>
      <c r="AD7" s="908">
        <v>0.0</v>
      </c>
      <c r="AE7" s="908">
        <v>0.0</v>
      </c>
      <c r="AF7" s="908">
        <v>0.0</v>
      </c>
      <c r="AG7" s="908">
        <v>0.0</v>
      </c>
      <c r="AH7" s="908">
        <v>74.0</v>
      </c>
      <c r="AI7" s="908">
        <v>0.0</v>
      </c>
      <c r="AJ7" s="908">
        <v>213.0</v>
      </c>
      <c r="AK7" s="908">
        <v>190.0</v>
      </c>
      <c r="AL7" s="908">
        <v>21.0</v>
      </c>
      <c r="AM7" s="908">
        <v>0.0</v>
      </c>
    </row>
    <row r="8">
      <c r="A8" s="905" t="s">
        <v>142</v>
      </c>
      <c r="B8" s="906">
        <v>10.0</v>
      </c>
      <c r="C8" s="906">
        <v>3.0</v>
      </c>
      <c r="D8" s="906">
        <v>7.0</v>
      </c>
      <c r="E8" s="906">
        <v>2.0</v>
      </c>
      <c r="F8" s="906">
        <v>4.0</v>
      </c>
      <c r="G8" s="906">
        <v>860.0</v>
      </c>
      <c r="H8" s="906">
        <v>1053.0</v>
      </c>
      <c r="I8" s="906">
        <v>-193.0</v>
      </c>
      <c r="J8" s="906">
        <v>53.0</v>
      </c>
      <c r="K8" s="906">
        <v>6.0</v>
      </c>
      <c r="L8" s="906">
        <v>15.0</v>
      </c>
      <c r="M8" s="906">
        <v>14456.0</v>
      </c>
      <c r="N8" s="906">
        <v>18500.0</v>
      </c>
      <c r="O8" s="906">
        <v>13.0</v>
      </c>
      <c r="P8" s="906">
        <v>148.0</v>
      </c>
      <c r="Q8" s="906">
        <v>0.0</v>
      </c>
      <c r="R8" s="906">
        <v>7.0</v>
      </c>
      <c r="S8" s="906">
        <v>0.0</v>
      </c>
      <c r="T8" s="906">
        <v>0.0</v>
      </c>
      <c r="U8" s="906">
        <v>0.0</v>
      </c>
      <c r="V8" s="906">
        <v>6.0</v>
      </c>
      <c r="W8" s="906">
        <v>0.0</v>
      </c>
      <c r="X8" s="906">
        <v>101.0</v>
      </c>
      <c r="Y8" s="906">
        <v>11.0</v>
      </c>
      <c r="Z8" s="906">
        <v>0.0</v>
      </c>
      <c r="AA8" s="906">
        <v>0.0</v>
      </c>
      <c r="AB8" s="906">
        <v>0.0</v>
      </c>
      <c r="AC8" s="906">
        <v>0.0</v>
      </c>
      <c r="AD8" s="906">
        <v>0.0</v>
      </c>
      <c r="AE8" s="906">
        <v>0.0</v>
      </c>
      <c r="AF8" s="906">
        <v>0.0</v>
      </c>
      <c r="AG8" s="906">
        <v>0.0</v>
      </c>
      <c r="AH8" s="906">
        <v>30.0</v>
      </c>
      <c r="AI8" s="906">
        <v>0.0</v>
      </c>
      <c r="AJ8" s="906">
        <v>108.0</v>
      </c>
      <c r="AK8" s="906">
        <v>127.0</v>
      </c>
      <c r="AL8" s="906">
        <v>5.0</v>
      </c>
      <c r="AM8" s="906">
        <v>0.0</v>
      </c>
    </row>
    <row r="9">
      <c r="A9" s="907" t="s">
        <v>128</v>
      </c>
      <c r="B9" s="908">
        <v>13.0</v>
      </c>
      <c r="C9" s="908">
        <v>5.0</v>
      </c>
      <c r="D9" s="908">
        <v>7.0</v>
      </c>
      <c r="E9" s="908">
        <v>14.0</v>
      </c>
      <c r="F9" s="908">
        <v>23.0</v>
      </c>
      <c r="G9" s="908">
        <v>962.0</v>
      </c>
      <c r="H9" s="908">
        <v>1031.0</v>
      </c>
      <c r="I9" s="908">
        <v>-69.0</v>
      </c>
      <c r="J9" s="908">
        <v>62.0</v>
      </c>
      <c r="K9" s="908">
        <v>7.0</v>
      </c>
      <c r="L9" s="908">
        <v>16.0</v>
      </c>
      <c r="M9" s="908">
        <v>13666.0</v>
      </c>
      <c r="N9" s="908">
        <v>17877.0</v>
      </c>
      <c r="O9" s="908">
        <v>13.0</v>
      </c>
      <c r="P9" s="908">
        <v>1593.0</v>
      </c>
      <c r="Q9" s="908">
        <v>0.0</v>
      </c>
      <c r="R9" s="908">
        <v>9.0</v>
      </c>
      <c r="S9" s="908">
        <v>0.0</v>
      </c>
      <c r="T9" s="908">
        <v>0.0</v>
      </c>
      <c r="U9" s="908">
        <v>0.0</v>
      </c>
      <c r="V9" s="908">
        <v>6.0</v>
      </c>
      <c r="W9" s="908">
        <v>0.0</v>
      </c>
      <c r="X9" s="908">
        <v>132.0</v>
      </c>
      <c r="Y9" s="908">
        <v>26.0</v>
      </c>
      <c r="Z9" s="908">
        <v>5.0</v>
      </c>
      <c r="AA9" s="908">
        <v>0.0</v>
      </c>
      <c r="AB9" s="908">
        <v>0.0</v>
      </c>
      <c r="AC9" s="908">
        <v>0.0</v>
      </c>
      <c r="AD9" s="908">
        <v>0.0</v>
      </c>
      <c r="AE9" s="908">
        <v>0.0</v>
      </c>
      <c r="AF9" s="908">
        <v>0.0</v>
      </c>
      <c r="AG9" s="908">
        <v>0.0</v>
      </c>
      <c r="AH9" s="908">
        <v>37.0</v>
      </c>
      <c r="AI9" s="908">
        <v>0.0</v>
      </c>
      <c r="AJ9" s="908">
        <v>120.0</v>
      </c>
      <c r="AK9" s="908">
        <v>108.0</v>
      </c>
      <c r="AL9" s="908">
        <v>13.0</v>
      </c>
      <c r="AM9" s="908">
        <v>1.0</v>
      </c>
    </row>
    <row r="10">
      <c r="A10" s="905" t="s">
        <v>118</v>
      </c>
      <c r="B10" s="906">
        <v>17.0</v>
      </c>
      <c r="C10" s="906">
        <v>8.0</v>
      </c>
      <c r="D10" s="906">
        <v>9.0</v>
      </c>
      <c r="E10" s="906">
        <v>38.0</v>
      </c>
      <c r="F10" s="906">
        <v>271.0</v>
      </c>
      <c r="G10" s="906">
        <v>1232.0</v>
      </c>
      <c r="H10" s="906">
        <v>1094.0</v>
      </c>
      <c r="I10" s="906">
        <v>138.0</v>
      </c>
      <c r="J10" s="906">
        <v>58.0</v>
      </c>
      <c r="K10" s="906">
        <v>15.0</v>
      </c>
      <c r="L10" s="906">
        <v>18.0</v>
      </c>
      <c r="M10" s="906">
        <v>22743.0</v>
      </c>
      <c r="N10" s="906">
        <v>27667.0</v>
      </c>
      <c r="O10" s="906">
        <v>20.0</v>
      </c>
      <c r="P10" s="906">
        <v>10537.0</v>
      </c>
      <c r="Q10" s="906">
        <v>0.0</v>
      </c>
      <c r="R10" s="906">
        <v>37.0</v>
      </c>
      <c r="S10" s="906">
        <v>5.0</v>
      </c>
      <c r="T10" s="906">
        <v>1.0</v>
      </c>
      <c r="U10" s="906">
        <v>0.0</v>
      </c>
      <c r="V10" s="906">
        <v>8.0</v>
      </c>
      <c r="W10" s="906">
        <v>0.0</v>
      </c>
      <c r="X10" s="906">
        <v>175.0</v>
      </c>
      <c r="Y10" s="906">
        <v>31.0</v>
      </c>
      <c r="Z10" s="906">
        <v>8.0</v>
      </c>
      <c r="AA10" s="906">
        <v>3.0</v>
      </c>
      <c r="AB10" s="906">
        <v>0.0</v>
      </c>
      <c r="AC10" s="906">
        <v>0.0</v>
      </c>
      <c r="AD10" s="906">
        <v>0.0</v>
      </c>
      <c r="AE10" s="906">
        <v>0.0</v>
      </c>
      <c r="AF10" s="906">
        <v>0.0</v>
      </c>
      <c r="AG10" s="906">
        <v>0.0</v>
      </c>
      <c r="AH10" s="906">
        <v>26.0</v>
      </c>
      <c r="AI10" s="906">
        <v>1.0</v>
      </c>
      <c r="AJ10" s="906">
        <v>182.0</v>
      </c>
      <c r="AK10" s="906">
        <v>127.0</v>
      </c>
      <c r="AL10" s="906">
        <v>21.0</v>
      </c>
      <c r="AM10" s="906">
        <v>0.0</v>
      </c>
    </row>
    <row r="11">
      <c r="A11" s="907" t="s">
        <v>117</v>
      </c>
      <c r="B11" s="908">
        <v>14.0</v>
      </c>
      <c r="C11" s="908">
        <v>5.0</v>
      </c>
      <c r="D11" s="908">
        <v>8.0</v>
      </c>
      <c r="E11" s="908">
        <v>9.0</v>
      </c>
      <c r="F11" s="908">
        <v>42.0</v>
      </c>
      <c r="G11" s="908">
        <v>886.0</v>
      </c>
      <c r="H11" s="908">
        <v>1014.0</v>
      </c>
      <c r="I11" s="908">
        <v>-128.0</v>
      </c>
      <c r="J11" s="908">
        <v>68.0</v>
      </c>
      <c r="K11" s="908">
        <v>8.0</v>
      </c>
      <c r="L11" s="908">
        <v>32.0</v>
      </c>
      <c r="M11" s="908">
        <v>15115.0</v>
      </c>
      <c r="N11" s="908">
        <v>19374.0</v>
      </c>
      <c r="O11" s="908">
        <v>14.0</v>
      </c>
      <c r="P11" s="908">
        <v>2011.0</v>
      </c>
      <c r="Q11" s="908">
        <v>0.0</v>
      </c>
      <c r="R11" s="908">
        <v>8.0</v>
      </c>
      <c r="S11" s="908">
        <v>0.0</v>
      </c>
      <c r="T11" s="908">
        <v>0.0</v>
      </c>
      <c r="U11" s="908">
        <v>0.0</v>
      </c>
      <c r="V11" s="908">
        <v>5.0</v>
      </c>
      <c r="W11" s="908">
        <v>0.0</v>
      </c>
      <c r="X11" s="908">
        <v>107.0</v>
      </c>
      <c r="Y11" s="908">
        <v>13.0</v>
      </c>
      <c r="Z11" s="908">
        <v>1.0</v>
      </c>
      <c r="AA11" s="908">
        <v>0.0</v>
      </c>
      <c r="AB11" s="908">
        <v>0.0</v>
      </c>
      <c r="AC11" s="908">
        <v>0.0</v>
      </c>
      <c r="AD11" s="908">
        <v>0.0</v>
      </c>
      <c r="AE11" s="908">
        <v>0.0</v>
      </c>
      <c r="AF11" s="908">
        <v>0.0</v>
      </c>
      <c r="AG11" s="908">
        <v>0.0</v>
      </c>
      <c r="AH11" s="908">
        <v>43.0</v>
      </c>
      <c r="AI11" s="908">
        <v>2.0</v>
      </c>
      <c r="AJ11" s="908">
        <v>105.0</v>
      </c>
      <c r="AK11" s="908">
        <v>128.0</v>
      </c>
      <c r="AL11" s="908">
        <v>8.0</v>
      </c>
      <c r="AM11" s="908">
        <v>1.0</v>
      </c>
    </row>
    <row r="12">
      <c r="A12" s="905" t="s">
        <v>418</v>
      </c>
      <c r="B12" s="906">
        <v>30.0</v>
      </c>
      <c r="C12" s="906">
        <v>18.0</v>
      </c>
      <c r="D12" s="906">
        <v>12.0</v>
      </c>
      <c r="E12" s="906">
        <v>7.0</v>
      </c>
      <c r="F12" s="906">
        <v>23.0</v>
      </c>
      <c r="G12" s="906">
        <v>3704.0</v>
      </c>
      <c r="H12" s="906">
        <v>2930.0</v>
      </c>
      <c r="I12" s="906">
        <v>774.0</v>
      </c>
      <c r="J12" s="906">
        <v>222.0</v>
      </c>
      <c r="K12" s="906">
        <v>11.0</v>
      </c>
      <c r="L12" s="906">
        <v>52.0</v>
      </c>
      <c r="M12" s="906">
        <v>46434.0</v>
      </c>
      <c r="N12" s="906">
        <v>58027.0</v>
      </c>
      <c r="O12" s="906">
        <v>15.0</v>
      </c>
      <c r="P12" s="906">
        <v>795.0</v>
      </c>
      <c r="Q12" s="906">
        <v>0.0</v>
      </c>
      <c r="R12" s="906">
        <v>92.0</v>
      </c>
      <c r="S12" s="906">
        <v>2.0</v>
      </c>
      <c r="T12" s="906">
        <v>0.0</v>
      </c>
      <c r="U12" s="906">
        <v>0.0</v>
      </c>
      <c r="V12" s="906">
        <v>83.0</v>
      </c>
      <c r="W12" s="906">
        <v>0.0</v>
      </c>
      <c r="X12" s="906">
        <v>634.0</v>
      </c>
      <c r="Y12" s="906">
        <v>114.0</v>
      </c>
      <c r="Z12" s="906">
        <v>23.0</v>
      </c>
      <c r="AA12" s="906">
        <v>10.0</v>
      </c>
      <c r="AB12" s="906">
        <v>6.0</v>
      </c>
      <c r="AC12" s="906">
        <v>3.0</v>
      </c>
      <c r="AD12" s="906">
        <v>0.0</v>
      </c>
      <c r="AE12" s="906">
        <v>0.0</v>
      </c>
      <c r="AF12" s="906">
        <v>0.0</v>
      </c>
      <c r="AG12" s="906">
        <v>2.0</v>
      </c>
      <c r="AH12" s="906">
        <v>127.0</v>
      </c>
      <c r="AI12" s="906">
        <v>1.0</v>
      </c>
      <c r="AJ12" s="906">
        <v>510.0</v>
      </c>
      <c r="AK12" s="906">
        <v>413.0</v>
      </c>
      <c r="AL12" s="906">
        <v>35.0</v>
      </c>
      <c r="AM12" s="906">
        <v>1.0</v>
      </c>
    </row>
    <row r="13">
      <c r="A13" s="907" t="s">
        <v>153</v>
      </c>
      <c r="B13" s="908">
        <v>17.0</v>
      </c>
      <c r="C13" s="908">
        <v>8.0</v>
      </c>
      <c r="D13" s="908">
        <v>9.0</v>
      </c>
      <c r="E13" s="908">
        <v>45.0</v>
      </c>
      <c r="F13" s="908">
        <v>145.0</v>
      </c>
      <c r="G13" s="908">
        <v>1169.0</v>
      </c>
      <c r="H13" s="908">
        <v>1778.0</v>
      </c>
      <c r="I13" s="908">
        <v>-609.0</v>
      </c>
      <c r="J13" s="908">
        <v>26.0</v>
      </c>
      <c r="K13" s="908">
        <v>7.0</v>
      </c>
      <c r="L13" s="908">
        <v>11.0</v>
      </c>
      <c r="M13" s="908">
        <v>26620.0</v>
      </c>
      <c r="N13" s="908">
        <v>33421.0</v>
      </c>
      <c r="O13" s="908">
        <v>14.0</v>
      </c>
      <c r="P13" s="908">
        <v>10839.0</v>
      </c>
      <c r="Q13" s="908">
        <v>0.0</v>
      </c>
      <c r="R13" s="908">
        <v>6.0</v>
      </c>
      <c r="S13" s="908">
        <v>0.0</v>
      </c>
      <c r="T13" s="908">
        <v>0.0</v>
      </c>
      <c r="U13" s="908">
        <v>0.0</v>
      </c>
      <c r="V13" s="908">
        <v>0.0</v>
      </c>
      <c r="W13" s="908">
        <v>1.0</v>
      </c>
      <c r="X13" s="908">
        <v>97.0</v>
      </c>
      <c r="Y13" s="908">
        <v>6.0</v>
      </c>
      <c r="Z13" s="908">
        <v>1.0</v>
      </c>
      <c r="AA13" s="908">
        <v>1.0</v>
      </c>
      <c r="AB13" s="908">
        <v>0.0</v>
      </c>
      <c r="AC13" s="908">
        <v>0.0</v>
      </c>
      <c r="AD13" s="908">
        <v>0.0</v>
      </c>
      <c r="AE13" s="908">
        <v>0.0</v>
      </c>
      <c r="AF13" s="908">
        <v>0.0</v>
      </c>
      <c r="AG13" s="908">
        <v>0.0</v>
      </c>
      <c r="AH13" s="908">
        <v>14.0</v>
      </c>
      <c r="AI13" s="908">
        <v>1.0</v>
      </c>
      <c r="AJ13" s="908">
        <v>151.0</v>
      </c>
      <c r="AK13" s="908">
        <v>150.0</v>
      </c>
      <c r="AL13" s="908">
        <v>12.0</v>
      </c>
      <c r="AM13" s="908">
        <v>0.0</v>
      </c>
    </row>
    <row r="14">
      <c r="A14" s="905" t="s">
        <v>149</v>
      </c>
      <c r="B14" s="906">
        <v>17.0</v>
      </c>
      <c r="C14" s="906">
        <v>12.0</v>
      </c>
      <c r="D14" s="906">
        <v>5.0</v>
      </c>
      <c r="E14" s="906">
        <v>59.0</v>
      </c>
      <c r="F14" s="906">
        <v>337.0</v>
      </c>
      <c r="G14" s="906">
        <v>1114.0</v>
      </c>
      <c r="H14" s="906">
        <v>846.0</v>
      </c>
      <c r="I14" s="906">
        <v>268.0</v>
      </c>
      <c r="J14" s="906">
        <v>47.0</v>
      </c>
      <c r="K14" s="906">
        <v>10.0</v>
      </c>
      <c r="L14" s="906">
        <v>13.0</v>
      </c>
      <c r="M14" s="906">
        <v>31839.0</v>
      </c>
      <c r="N14" s="906">
        <v>36051.0</v>
      </c>
      <c r="O14" s="906">
        <v>37.0</v>
      </c>
      <c r="P14" s="906">
        <v>19443.0</v>
      </c>
      <c r="Q14" s="906">
        <v>0.0</v>
      </c>
      <c r="R14" s="906">
        <v>36.0</v>
      </c>
      <c r="S14" s="906">
        <v>3.0</v>
      </c>
      <c r="T14" s="906">
        <v>0.0</v>
      </c>
      <c r="U14" s="906">
        <v>0.0</v>
      </c>
      <c r="V14" s="906">
        <v>6.0</v>
      </c>
      <c r="W14" s="906">
        <v>0.0</v>
      </c>
      <c r="X14" s="906">
        <v>115.0</v>
      </c>
      <c r="Y14" s="906">
        <v>15.0</v>
      </c>
      <c r="Z14" s="906">
        <v>3.0</v>
      </c>
      <c r="AA14" s="906">
        <v>0.0</v>
      </c>
      <c r="AB14" s="906">
        <v>0.0</v>
      </c>
      <c r="AC14" s="906">
        <v>0.0</v>
      </c>
      <c r="AD14" s="906">
        <v>0.0</v>
      </c>
      <c r="AE14" s="906">
        <v>0.0</v>
      </c>
      <c r="AF14" s="906">
        <v>0.0</v>
      </c>
      <c r="AG14" s="906">
        <v>0.0</v>
      </c>
      <c r="AH14" s="906">
        <v>17.0</v>
      </c>
      <c r="AI14" s="906">
        <v>0.0</v>
      </c>
      <c r="AJ14" s="906">
        <v>235.0</v>
      </c>
      <c r="AK14" s="906">
        <v>117.0</v>
      </c>
      <c r="AL14" s="906">
        <v>17.0</v>
      </c>
      <c r="AM14" s="906">
        <v>1.0</v>
      </c>
    </row>
    <row r="15">
      <c r="A15" s="907" t="s">
        <v>126</v>
      </c>
      <c r="B15" s="908">
        <v>5.0</v>
      </c>
      <c r="C15" s="908">
        <v>1.0</v>
      </c>
      <c r="D15" s="908">
        <v>4.0</v>
      </c>
      <c r="E15" s="908">
        <v>0.0</v>
      </c>
      <c r="F15" s="908">
        <v>3.0</v>
      </c>
      <c r="G15" s="908">
        <v>289.0</v>
      </c>
      <c r="H15" s="908">
        <v>344.0</v>
      </c>
      <c r="I15" s="908">
        <v>-55.0</v>
      </c>
      <c r="J15" s="908">
        <v>15.0</v>
      </c>
      <c r="K15" s="908">
        <v>4.0</v>
      </c>
      <c r="L15" s="908">
        <v>6.0</v>
      </c>
      <c r="M15" s="908">
        <v>3991.0</v>
      </c>
      <c r="N15" s="908">
        <v>5447.0</v>
      </c>
      <c r="O15" s="908">
        <v>11.0</v>
      </c>
      <c r="P15" s="908">
        <v>21.0</v>
      </c>
      <c r="Q15" s="908">
        <v>0.0</v>
      </c>
      <c r="R15" s="908">
        <v>0.0</v>
      </c>
      <c r="S15" s="908">
        <v>0.0</v>
      </c>
      <c r="T15" s="908">
        <v>0.0</v>
      </c>
      <c r="U15" s="908">
        <v>0.0</v>
      </c>
      <c r="V15" s="908">
        <v>0.0</v>
      </c>
      <c r="W15" s="908">
        <v>0.0</v>
      </c>
      <c r="X15" s="908">
        <v>37.0</v>
      </c>
      <c r="Y15" s="908">
        <v>4.0</v>
      </c>
      <c r="Z15" s="908">
        <v>0.0</v>
      </c>
      <c r="AA15" s="908">
        <v>0.0</v>
      </c>
      <c r="AB15" s="908">
        <v>0.0</v>
      </c>
      <c r="AC15" s="908">
        <v>0.0</v>
      </c>
      <c r="AD15" s="908">
        <v>0.0</v>
      </c>
      <c r="AE15" s="908">
        <v>0.0</v>
      </c>
      <c r="AF15" s="908">
        <v>0.0</v>
      </c>
      <c r="AG15" s="908">
        <v>0.0</v>
      </c>
      <c r="AH15" s="908">
        <v>11.0</v>
      </c>
      <c r="AI15" s="908">
        <v>0.0</v>
      </c>
      <c r="AJ15" s="908">
        <v>23.0</v>
      </c>
      <c r="AK15" s="908">
        <v>33.0</v>
      </c>
      <c r="AL15" s="908">
        <v>3.0</v>
      </c>
      <c r="AM15" s="908">
        <v>1.0</v>
      </c>
    </row>
    <row r="16">
      <c r="A16" s="905" t="s">
        <v>419</v>
      </c>
      <c r="B16" s="906">
        <v>22.0</v>
      </c>
      <c r="C16" s="906">
        <v>15.0</v>
      </c>
      <c r="D16" s="906">
        <v>6.0</v>
      </c>
      <c r="E16" s="906">
        <v>16.0</v>
      </c>
      <c r="F16" s="906">
        <v>4.0</v>
      </c>
      <c r="G16" s="906">
        <v>1955.0</v>
      </c>
      <c r="H16" s="906">
        <v>2003.0</v>
      </c>
      <c r="I16" s="906">
        <v>-48.0</v>
      </c>
      <c r="J16" s="906">
        <v>121.0</v>
      </c>
      <c r="K16" s="906">
        <v>8.0</v>
      </c>
      <c r="L16" s="906">
        <v>18.0</v>
      </c>
      <c r="M16" s="906">
        <v>26123.0</v>
      </c>
      <c r="N16" s="906">
        <v>34084.0</v>
      </c>
      <c r="O16" s="906">
        <v>13.0</v>
      </c>
      <c r="P16" s="906">
        <v>353.0</v>
      </c>
      <c r="Q16" s="906">
        <v>0.0</v>
      </c>
      <c r="R16" s="906">
        <v>24.0</v>
      </c>
      <c r="S16" s="906">
        <v>0.0</v>
      </c>
      <c r="T16" s="906">
        <v>0.0</v>
      </c>
      <c r="U16" s="906">
        <v>0.0</v>
      </c>
      <c r="V16" s="906">
        <v>22.0</v>
      </c>
      <c r="W16" s="906">
        <v>0.0</v>
      </c>
      <c r="X16" s="906">
        <v>279.0</v>
      </c>
      <c r="Y16" s="906">
        <v>44.0</v>
      </c>
      <c r="Z16" s="906">
        <v>10.0</v>
      </c>
      <c r="AA16" s="906">
        <v>2.0</v>
      </c>
      <c r="AB16" s="906">
        <v>0.0</v>
      </c>
      <c r="AC16" s="906">
        <v>0.0</v>
      </c>
      <c r="AD16" s="906">
        <v>0.0</v>
      </c>
      <c r="AE16" s="906">
        <v>0.0</v>
      </c>
      <c r="AF16" s="906">
        <v>0.0</v>
      </c>
      <c r="AG16" s="906">
        <v>1.0</v>
      </c>
      <c r="AH16" s="906">
        <v>112.0</v>
      </c>
      <c r="AI16" s="906">
        <v>0.0</v>
      </c>
      <c r="AJ16" s="906">
        <v>146.0</v>
      </c>
      <c r="AK16" s="906">
        <v>243.0</v>
      </c>
      <c r="AL16" s="906">
        <v>18.0</v>
      </c>
      <c r="AM16" s="906">
        <v>1.0</v>
      </c>
    </row>
    <row r="17">
      <c r="A17" s="907" t="s">
        <v>119</v>
      </c>
      <c r="B17" s="908">
        <v>20.0</v>
      </c>
      <c r="C17" s="908">
        <v>9.0</v>
      </c>
      <c r="D17" s="908">
        <v>11.0</v>
      </c>
      <c r="E17" s="908">
        <v>54.0</v>
      </c>
      <c r="F17" s="908">
        <v>278.0</v>
      </c>
      <c r="G17" s="908">
        <v>1387.0</v>
      </c>
      <c r="H17" s="908">
        <v>1391.0</v>
      </c>
      <c r="I17" s="908">
        <v>-4.0</v>
      </c>
      <c r="J17" s="908">
        <v>99.0</v>
      </c>
      <c r="K17" s="908">
        <v>12.0</v>
      </c>
      <c r="L17" s="908">
        <v>44.0</v>
      </c>
      <c r="M17" s="908">
        <v>25307.0</v>
      </c>
      <c r="N17" s="908">
        <v>31403.0</v>
      </c>
      <c r="O17" s="908">
        <v>18.0</v>
      </c>
      <c r="P17" s="908">
        <v>9125.0</v>
      </c>
      <c r="Q17" s="908">
        <v>0.0</v>
      </c>
      <c r="R17" s="908">
        <v>24.0</v>
      </c>
      <c r="S17" s="908">
        <v>3.0</v>
      </c>
      <c r="T17" s="908">
        <v>0.0</v>
      </c>
      <c r="U17" s="908">
        <v>0.0</v>
      </c>
      <c r="V17" s="908">
        <v>3.0</v>
      </c>
      <c r="W17" s="908">
        <v>0.0</v>
      </c>
      <c r="X17" s="908">
        <v>192.0</v>
      </c>
      <c r="Y17" s="908">
        <v>29.0</v>
      </c>
      <c r="Z17" s="908">
        <v>5.0</v>
      </c>
      <c r="AA17" s="908">
        <v>0.0</v>
      </c>
      <c r="AB17" s="908">
        <v>0.0</v>
      </c>
      <c r="AC17" s="908">
        <v>0.0</v>
      </c>
      <c r="AD17" s="908">
        <v>0.0</v>
      </c>
      <c r="AE17" s="908">
        <v>0.0</v>
      </c>
      <c r="AF17" s="908">
        <v>0.0</v>
      </c>
      <c r="AG17" s="908">
        <v>0.0</v>
      </c>
      <c r="AH17" s="908">
        <v>18.0</v>
      </c>
      <c r="AI17" s="908">
        <v>0.0</v>
      </c>
      <c r="AJ17" s="908">
        <v>211.0</v>
      </c>
      <c r="AK17" s="908">
        <v>191.0</v>
      </c>
      <c r="AL17" s="908">
        <v>19.0</v>
      </c>
      <c r="AM17" s="908">
        <v>0.0</v>
      </c>
    </row>
    <row r="18">
      <c r="A18" s="905" t="s">
        <v>120</v>
      </c>
      <c r="B18" s="906">
        <v>15.0</v>
      </c>
      <c r="C18" s="906">
        <v>6.0</v>
      </c>
      <c r="D18" s="906">
        <v>9.0</v>
      </c>
      <c r="E18" s="906">
        <v>1.0</v>
      </c>
      <c r="F18" s="906">
        <v>5.0</v>
      </c>
      <c r="G18" s="906">
        <v>1758.0</v>
      </c>
      <c r="H18" s="906">
        <v>1574.0</v>
      </c>
      <c r="I18" s="906">
        <v>184.0</v>
      </c>
      <c r="J18" s="906">
        <v>122.0</v>
      </c>
      <c r="K18" s="906">
        <v>8.0</v>
      </c>
      <c r="L18" s="906">
        <v>28.0</v>
      </c>
      <c r="M18" s="906">
        <v>22674.0</v>
      </c>
      <c r="N18" s="906">
        <v>28735.0</v>
      </c>
      <c r="O18" s="906">
        <v>14.0</v>
      </c>
      <c r="P18" s="906">
        <v>109.0</v>
      </c>
      <c r="Q18" s="906">
        <v>0.0</v>
      </c>
      <c r="R18" s="906">
        <v>34.0</v>
      </c>
      <c r="S18" s="906">
        <v>0.0</v>
      </c>
      <c r="T18" s="906">
        <v>0.0</v>
      </c>
      <c r="U18" s="906">
        <v>0.0</v>
      </c>
      <c r="V18" s="906">
        <v>29.0</v>
      </c>
      <c r="W18" s="906">
        <v>0.0</v>
      </c>
      <c r="X18" s="906">
        <v>282.0</v>
      </c>
      <c r="Y18" s="906">
        <v>52.0</v>
      </c>
      <c r="Z18" s="906">
        <v>14.0</v>
      </c>
      <c r="AA18" s="906">
        <v>4.0</v>
      </c>
      <c r="AB18" s="906">
        <v>1.0</v>
      </c>
      <c r="AC18" s="906">
        <v>0.0</v>
      </c>
      <c r="AD18" s="906">
        <v>0.0</v>
      </c>
      <c r="AE18" s="906">
        <v>0.0</v>
      </c>
      <c r="AF18" s="906">
        <v>0.0</v>
      </c>
      <c r="AG18" s="906">
        <v>0.0</v>
      </c>
      <c r="AH18" s="906">
        <v>54.0</v>
      </c>
      <c r="AI18" s="906">
        <v>0.0</v>
      </c>
      <c r="AJ18" s="906">
        <v>215.0</v>
      </c>
      <c r="AK18" s="906">
        <v>249.0</v>
      </c>
      <c r="AL18" s="906">
        <v>16.0</v>
      </c>
      <c r="AM18" s="906">
        <v>0.0</v>
      </c>
    </row>
    <row r="19">
      <c r="A19" s="907" t="s">
        <v>129</v>
      </c>
      <c r="B19" s="908">
        <v>22.0</v>
      </c>
      <c r="C19" s="908">
        <v>9.0</v>
      </c>
      <c r="D19" s="908">
        <v>13.0</v>
      </c>
      <c r="E19" s="908">
        <v>14.0</v>
      </c>
      <c r="F19" s="908">
        <v>40.0</v>
      </c>
      <c r="G19" s="908">
        <v>2386.0</v>
      </c>
      <c r="H19" s="908">
        <v>1944.0</v>
      </c>
      <c r="I19" s="908">
        <v>442.0</v>
      </c>
      <c r="J19" s="908">
        <v>145.0</v>
      </c>
      <c r="K19" s="908">
        <v>14.0</v>
      </c>
      <c r="L19" s="908">
        <v>26.0</v>
      </c>
      <c r="M19" s="908">
        <v>29845.0</v>
      </c>
      <c r="N19" s="908">
        <v>37748.0</v>
      </c>
      <c r="O19" s="908">
        <v>15.0</v>
      </c>
      <c r="P19" s="908">
        <v>1796.0</v>
      </c>
      <c r="Q19" s="908">
        <v>0.0</v>
      </c>
      <c r="R19" s="908">
        <v>65.0</v>
      </c>
      <c r="S19" s="908">
        <v>2.0</v>
      </c>
      <c r="T19" s="908">
        <v>0.0</v>
      </c>
      <c r="U19" s="908">
        <v>0.0</v>
      </c>
      <c r="V19" s="908">
        <v>55.0</v>
      </c>
      <c r="W19" s="908">
        <v>0.0</v>
      </c>
      <c r="X19" s="908">
        <v>389.0</v>
      </c>
      <c r="Y19" s="908">
        <v>92.0</v>
      </c>
      <c r="Z19" s="908">
        <v>27.0</v>
      </c>
      <c r="AA19" s="908">
        <v>11.0</v>
      </c>
      <c r="AB19" s="908">
        <v>2.0</v>
      </c>
      <c r="AC19" s="908">
        <v>0.0</v>
      </c>
      <c r="AD19" s="908">
        <v>0.0</v>
      </c>
      <c r="AE19" s="908">
        <v>0.0</v>
      </c>
      <c r="AF19" s="908">
        <v>0.0</v>
      </c>
      <c r="AG19" s="908">
        <v>1.0</v>
      </c>
      <c r="AH19" s="908">
        <v>109.0</v>
      </c>
      <c r="AI19" s="908">
        <v>0.0</v>
      </c>
      <c r="AJ19" s="908">
        <v>266.0</v>
      </c>
      <c r="AK19" s="908">
        <v>275.0</v>
      </c>
      <c r="AL19" s="908">
        <v>19.0</v>
      </c>
      <c r="AM19" s="908">
        <v>0.0</v>
      </c>
    </row>
    <row r="20">
      <c r="A20" s="905" t="s">
        <v>132</v>
      </c>
      <c r="B20" s="906">
        <v>39.0</v>
      </c>
      <c r="C20" s="906">
        <v>19.0</v>
      </c>
      <c r="D20" s="906">
        <v>20.0</v>
      </c>
      <c r="E20" s="906">
        <v>48.0</v>
      </c>
      <c r="F20" s="906">
        <v>290.0</v>
      </c>
      <c r="G20" s="906">
        <v>4156.0</v>
      </c>
      <c r="H20" s="906">
        <v>3797.0</v>
      </c>
      <c r="I20" s="906">
        <v>359.0</v>
      </c>
      <c r="J20" s="906">
        <v>273.0</v>
      </c>
      <c r="K20" s="906">
        <v>13.0</v>
      </c>
      <c r="L20" s="906">
        <v>74.0</v>
      </c>
      <c r="M20" s="906">
        <v>57927.0</v>
      </c>
      <c r="N20" s="906">
        <v>72805.0</v>
      </c>
      <c r="O20" s="906">
        <v>15.0</v>
      </c>
      <c r="P20" s="906">
        <v>10023.0</v>
      </c>
      <c r="Q20" s="906">
        <v>0.0</v>
      </c>
      <c r="R20" s="906">
        <v>84.0</v>
      </c>
      <c r="S20" s="906">
        <v>3.0</v>
      </c>
      <c r="T20" s="906">
        <v>0.0</v>
      </c>
      <c r="U20" s="906">
        <v>0.0</v>
      </c>
      <c r="V20" s="906">
        <v>46.0</v>
      </c>
      <c r="W20" s="906">
        <v>0.0</v>
      </c>
      <c r="X20" s="906">
        <v>608.0</v>
      </c>
      <c r="Y20" s="906">
        <v>111.0</v>
      </c>
      <c r="Z20" s="906">
        <v>26.0</v>
      </c>
      <c r="AA20" s="906">
        <v>5.0</v>
      </c>
      <c r="AB20" s="906">
        <v>0.0</v>
      </c>
      <c r="AC20" s="906">
        <v>0.0</v>
      </c>
      <c r="AD20" s="906">
        <v>0.0</v>
      </c>
      <c r="AE20" s="906">
        <v>0.0</v>
      </c>
      <c r="AF20" s="906">
        <v>0.0</v>
      </c>
      <c r="AG20" s="906">
        <v>0.0</v>
      </c>
      <c r="AH20" s="906">
        <v>193.0</v>
      </c>
      <c r="AI20" s="906">
        <v>1.0</v>
      </c>
      <c r="AJ20" s="906">
        <v>489.0</v>
      </c>
      <c r="AK20" s="906">
        <v>518.0</v>
      </c>
      <c r="AL20" s="906">
        <v>42.0</v>
      </c>
      <c r="AM20" s="906">
        <v>1.0</v>
      </c>
    </row>
    <row r="21">
      <c r="A21" s="907" t="s">
        <v>125</v>
      </c>
      <c r="B21" s="908">
        <v>3.0</v>
      </c>
      <c r="C21" s="908">
        <v>1.0</v>
      </c>
      <c r="D21" s="908">
        <v>2.0</v>
      </c>
      <c r="E21" s="908">
        <v>2.0</v>
      </c>
      <c r="F21" s="908">
        <v>2.0</v>
      </c>
      <c r="G21" s="908">
        <v>481.0</v>
      </c>
      <c r="H21" s="908">
        <v>404.0</v>
      </c>
      <c r="I21" s="908">
        <v>77.0</v>
      </c>
      <c r="J21" s="908">
        <v>35.0</v>
      </c>
      <c r="K21" s="908">
        <v>7.0</v>
      </c>
      <c r="L21" s="908">
        <v>20.0</v>
      </c>
      <c r="M21" s="908">
        <v>5599.0</v>
      </c>
      <c r="N21" s="908">
        <v>7072.0</v>
      </c>
      <c r="O21" s="908">
        <v>13.0</v>
      </c>
      <c r="P21" s="908">
        <v>45.0</v>
      </c>
      <c r="Q21" s="908">
        <v>0.0</v>
      </c>
      <c r="R21" s="908">
        <v>12.0</v>
      </c>
      <c r="S21" s="908">
        <v>0.0</v>
      </c>
      <c r="T21" s="908">
        <v>0.0</v>
      </c>
      <c r="U21" s="908">
        <v>0.0</v>
      </c>
      <c r="V21" s="908">
        <v>12.0</v>
      </c>
      <c r="W21" s="908">
        <v>0.0</v>
      </c>
      <c r="X21" s="908">
        <v>83.0</v>
      </c>
      <c r="Y21" s="908">
        <v>19.0</v>
      </c>
      <c r="Z21" s="908">
        <v>3.0</v>
      </c>
      <c r="AA21" s="908">
        <v>1.0</v>
      </c>
      <c r="AB21" s="908">
        <v>1.0</v>
      </c>
      <c r="AC21" s="908">
        <v>0.0</v>
      </c>
      <c r="AD21" s="908">
        <v>0.0</v>
      </c>
      <c r="AE21" s="908">
        <v>0.0</v>
      </c>
      <c r="AF21" s="908">
        <v>0.0</v>
      </c>
      <c r="AG21" s="908">
        <v>0.0</v>
      </c>
      <c r="AH21" s="908">
        <v>21.0</v>
      </c>
      <c r="AI21" s="908">
        <v>0.0</v>
      </c>
      <c r="AJ21" s="908">
        <v>45.0</v>
      </c>
      <c r="AK21" s="908">
        <v>68.0</v>
      </c>
      <c r="AL21" s="908">
        <v>1.0</v>
      </c>
      <c r="AM21" s="908">
        <v>0.0</v>
      </c>
    </row>
    <row r="22">
      <c r="A22" s="905" t="s">
        <v>420</v>
      </c>
      <c r="B22" s="906">
        <v>17.0</v>
      </c>
      <c r="C22" s="906">
        <v>1.0</v>
      </c>
      <c r="D22" s="906">
        <v>16.0</v>
      </c>
      <c r="E22" s="906">
        <v>27.0</v>
      </c>
      <c r="F22" s="906">
        <v>142.0</v>
      </c>
      <c r="G22" s="906">
        <v>1035.0</v>
      </c>
      <c r="H22" s="906">
        <v>942.0</v>
      </c>
      <c r="I22" s="906">
        <v>93.0</v>
      </c>
      <c r="J22" s="906">
        <v>76.0</v>
      </c>
      <c r="K22" s="906">
        <v>13.0</v>
      </c>
      <c r="L22" s="906">
        <v>41.0</v>
      </c>
      <c r="M22" s="906">
        <v>21202.0</v>
      </c>
      <c r="N22" s="906">
        <v>25596.0</v>
      </c>
      <c r="O22" s="906">
        <v>22.0</v>
      </c>
      <c r="P22" s="906">
        <v>7914.0</v>
      </c>
      <c r="Q22" s="906">
        <v>0.0</v>
      </c>
      <c r="R22" s="906">
        <v>19.0</v>
      </c>
      <c r="S22" s="906">
        <v>1.0</v>
      </c>
      <c r="T22" s="906">
        <v>0.0</v>
      </c>
      <c r="U22" s="906">
        <v>0.0</v>
      </c>
      <c r="V22" s="906">
        <v>8.0</v>
      </c>
      <c r="W22" s="906">
        <v>0.0</v>
      </c>
      <c r="X22" s="906">
        <v>142.0</v>
      </c>
      <c r="Y22" s="906">
        <v>20.0</v>
      </c>
      <c r="Z22" s="906">
        <v>2.0</v>
      </c>
      <c r="AA22" s="906">
        <v>1.0</v>
      </c>
      <c r="AB22" s="906">
        <v>0.0</v>
      </c>
      <c r="AC22" s="906">
        <v>0.0</v>
      </c>
      <c r="AD22" s="906">
        <v>0.0</v>
      </c>
      <c r="AE22" s="906">
        <v>0.0</v>
      </c>
      <c r="AF22" s="906">
        <v>0.0</v>
      </c>
      <c r="AG22" s="906">
        <v>0.0</v>
      </c>
      <c r="AH22" s="906">
        <v>41.0</v>
      </c>
      <c r="AI22" s="906">
        <v>0.0</v>
      </c>
      <c r="AJ22" s="906">
        <v>175.0</v>
      </c>
      <c r="AK22" s="906">
        <v>125.0</v>
      </c>
      <c r="AL22" s="906">
        <v>27.0</v>
      </c>
      <c r="AM22" s="906">
        <v>1.0</v>
      </c>
    </row>
    <row r="23">
      <c r="A23" s="907" t="s">
        <v>131</v>
      </c>
      <c r="B23" s="908">
        <v>14.0</v>
      </c>
      <c r="C23" s="908">
        <v>5.0</v>
      </c>
      <c r="D23" s="908">
        <v>9.0</v>
      </c>
      <c r="E23" s="908">
        <v>5.0</v>
      </c>
      <c r="F23" s="908">
        <v>3.0</v>
      </c>
      <c r="G23" s="908">
        <v>1396.0</v>
      </c>
      <c r="H23" s="908">
        <v>1545.0</v>
      </c>
      <c r="I23" s="908">
        <v>-149.0</v>
      </c>
      <c r="J23" s="908">
        <v>98.0</v>
      </c>
      <c r="K23" s="908">
        <v>7.0</v>
      </c>
      <c r="L23" s="908">
        <v>32.0</v>
      </c>
      <c r="M23" s="908">
        <v>21812.0</v>
      </c>
      <c r="N23" s="908">
        <v>27738.0</v>
      </c>
      <c r="O23" s="908">
        <v>14.0</v>
      </c>
      <c r="P23" s="908">
        <v>216.0</v>
      </c>
      <c r="Q23" s="908">
        <v>0.0</v>
      </c>
      <c r="R23" s="908">
        <v>19.0</v>
      </c>
      <c r="S23" s="908">
        <v>0.0</v>
      </c>
      <c r="T23" s="908">
        <v>0.0</v>
      </c>
      <c r="U23" s="908">
        <v>0.0</v>
      </c>
      <c r="V23" s="908">
        <v>16.0</v>
      </c>
      <c r="W23" s="908">
        <v>0.0</v>
      </c>
      <c r="X23" s="908">
        <v>162.0</v>
      </c>
      <c r="Y23" s="908">
        <v>28.0</v>
      </c>
      <c r="Z23" s="908">
        <v>5.0</v>
      </c>
      <c r="AA23" s="908">
        <v>2.0</v>
      </c>
      <c r="AB23" s="908">
        <v>1.0</v>
      </c>
      <c r="AC23" s="908">
        <v>0.0</v>
      </c>
      <c r="AD23" s="908">
        <v>0.0</v>
      </c>
      <c r="AE23" s="908">
        <v>0.0</v>
      </c>
      <c r="AF23" s="908">
        <v>0.0</v>
      </c>
      <c r="AG23" s="908">
        <v>0.0</v>
      </c>
      <c r="AH23" s="908">
        <v>33.0</v>
      </c>
      <c r="AI23" s="908">
        <v>0.0</v>
      </c>
      <c r="AJ23" s="908">
        <v>148.0</v>
      </c>
      <c r="AK23" s="908">
        <v>195.0</v>
      </c>
      <c r="AL23" s="908">
        <v>9.0</v>
      </c>
      <c r="AM23" s="908">
        <v>0.0</v>
      </c>
    </row>
    <row r="24">
      <c r="A24" s="905" t="s">
        <v>140</v>
      </c>
      <c r="B24" s="906">
        <v>17.0</v>
      </c>
      <c r="C24" s="906">
        <v>8.0</v>
      </c>
      <c r="D24" s="906">
        <v>9.0</v>
      </c>
      <c r="E24" s="906">
        <v>4.0</v>
      </c>
      <c r="F24" s="906">
        <v>7.0</v>
      </c>
      <c r="G24" s="906">
        <v>1294.0</v>
      </c>
      <c r="H24" s="906">
        <v>1459.0</v>
      </c>
      <c r="I24" s="906">
        <v>-165.0</v>
      </c>
      <c r="J24" s="906">
        <v>119.0</v>
      </c>
      <c r="K24" s="906">
        <v>7.0</v>
      </c>
      <c r="L24" s="906">
        <v>24.0</v>
      </c>
      <c r="M24" s="906">
        <v>21659.0</v>
      </c>
      <c r="N24" s="906">
        <v>27667.0</v>
      </c>
      <c r="O24" s="906">
        <v>14.0</v>
      </c>
      <c r="P24" s="906">
        <v>274.0</v>
      </c>
      <c r="Q24" s="906">
        <v>0.0</v>
      </c>
      <c r="R24" s="906">
        <v>16.0</v>
      </c>
      <c r="S24" s="906">
        <v>0.0</v>
      </c>
      <c r="T24" s="906">
        <v>0.0</v>
      </c>
      <c r="U24" s="906">
        <v>0.0</v>
      </c>
      <c r="V24" s="906">
        <v>14.0</v>
      </c>
      <c r="W24" s="906">
        <v>0.0</v>
      </c>
      <c r="X24" s="906">
        <v>183.0</v>
      </c>
      <c r="Y24" s="906">
        <v>28.0</v>
      </c>
      <c r="Z24" s="906">
        <v>2.0</v>
      </c>
      <c r="AA24" s="906">
        <v>1.0</v>
      </c>
      <c r="AB24" s="906">
        <v>0.0</v>
      </c>
      <c r="AC24" s="906">
        <v>0.0</v>
      </c>
      <c r="AD24" s="906">
        <v>0.0</v>
      </c>
      <c r="AE24" s="906">
        <v>0.0</v>
      </c>
      <c r="AF24" s="906">
        <v>0.0</v>
      </c>
      <c r="AG24" s="906">
        <v>0.0</v>
      </c>
      <c r="AH24" s="906">
        <v>64.0</v>
      </c>
      <c r="AI24" s="906">
        <v>0.0</v>
      </c>
      <c r="AJ24" s="906">
        <v>113.0</v>
      </c>
      <c r="AK24" s="906">
        <v>172.0</v>
      </c>
      <c r="AL24" s="906">
        <v>13.0</v>
      </c>
      <c r="AM24" s="906">
        <v>0.0</v>
      </c>
    </row>
    <row r="25">
      <c r="A25" s="907" t="s">
        <v>154</v>
      </c>
      <c r="B25" s="908">
        <v>21.0</v>
      </c>
      <c r="C25" s="908">
        <v>11.0</v>
      </c>
      <c r="D25" s="908">
        <v>10.0</v>
      </c>
      <c r="E25" s="908">
        <v>39.0</v>
      </c>
      <c r="F25" s="908">
        <v>112.0</v>
      </c>
      <c r="G25" s="908">
        <v>1125.0</v>
      </c>
      <c r="H25" s="908">
        <v>1640.0</v>
      </c>
      <c r="I25" s="908">
        <v>-515.0</v>
      </c>
      <c r="J25" s="908">
        <v>58.0</v>
      </c>
      <c r="K25" s="908">
        <v>8.0</v>
      </c>
      <c r="L25" s="908">
        <v>14.0</v>
      </c>
      <c r="M25" s="908">
        <v>33543.0</v>
      </c>
      <c r="N25" s="908">
        <v>40284.0</v>
      </c>
      <c r="O25" s="908">
        <v>20.0</v>
      </c>
      <c r="P25" s="908">
        <v>14865.0</v>
      </c>
      <c r="Q25" s="908">
        <v>0.0</v>
      </c>
      <c r="R25" s="908">
        <v>9.0</v>
      </c>
      <c r="S25" s="908">
        <v>0.0</v>
      </c>
      <c r="T25" s="908">
        <v>0.0</v>
      </c>
      <c r="U25" s="908">
        <v>0.0</v>
      </c>
      <c r="V25" s="908">
        <v>0.0</v>
      </c>
      <c r="W25" s="908">
        <v>0.0</v>
      </c>
      <c r="X25" s="908">
        <v>90.0</v>
      </c>
      <c r="Y25" s="908">
        <v>9.0</v>
      </c>
      <c r="Z25" s="908">
        <v>1.0</v>
      </c>
      <c r="AA25" s="908">
        <v>0.0</v>
      </c>
      <c r="AB25" s="908">
        <v>0.0</v>
      </c>
      <c r="AC25" s="908">
        <v>0.0</v>
      </c>
      <c r="AD25" s="908">
        <v>0.0</v>
      </c>
      <c r="AE25" s="908">
        <v>0.0</v>
      </c>
      <c r="AF25" s="908">
        <v>0.0</v>
      </c>
      <c r="AG25" s="908">
        <v>0.0</v>
      </c>
      <c r="AH25" s="908">
        <v>38.0</v>
      </c>
      <c r="AI25" s="908">
        <v>0.0</v>
      </c>
      <c r="AJ25" s="908">
        <v>136.0</v>
      </c>
      <c r="AK25" s="908">
        <v>169.0</v>
      </c>
      <c r="AL25" s="908">
        <v>12.0</v>
      </c>
      <c r="AM25" s="908">
        <v>1.0</v>
      </c>
    </row>
    <row r="26">
      <c r="A26" s="905" t="s">
        <v>150</v>
      </c>
      <c r="B26" s="906">
        <v>14.0</v>
      </c>
      <c r="C26" s="906">
        <v>5.0</v>
      </c>
      <c r="D26" s="906">
        <v>8.0</v>
      </c>
      <c r="E26" s="906">
        <v>10.0</v>
      </c>
      <c r="F26" s="906">
        <v>56.0</v>
      </c>
      <c r="G26" s="906">
        <v>869.0</v>
      </c>
      <c r="H26" s="906">
        <v>1168.0</v>
      </c>
      <c r="I26" s="906">
        <v>-299.0</v>
      </c>
      <c r="J26" s="906">
        <v>36.0</v>
      </c>
      <c r="K26" s="906">
        <v>9.0</v>
      </c>
      <c r="L26" s="906">
        <v>10.0</v>
      </c>
      <c r="M26" s="906">
        <v>14646.0</v>
      </c>
      <c r="N26" s="906">
        <v>19374.0</v>
      </c>
      <c r="O26" s="906">
        <v>12.0</v>
      </c>
      <c r="P26" s="906">
        <v>2317.0</v>
      </c>
      <c r="Q26" s="906">
        <v>0.0</v>
      </c>
      <c r="R26" s="906">
        <v>7.0</v>
      </c>
      <c r="S26" s="906">
        <v>0.0</v>
      </c>
      <c r="T26" s="906">
        <v>0.0</v>
      </c>
      <c r="U26" s="906">
        <v>0.0</v>
      </c>
      <c r="V26" s="906">
        <v>5.0</v>
      </c>
      <c r="W26" s="906">
        <v>0.0</v>
      </c>
      <c r="X26" s="906">
        <v>91.0</v>
      </c>
      <c r="Y26" s="906">
        <v>11.0</v>
      </c>
      <c r="Z26" s="906">
        <v>2.0</v>
      </c>
      <c r="AA26" s="906">
        <v>2.0</v>
      </c>
      <c r="AB26" s="906">
        <v>1.0</v>
      </c>
      <c r="AC26" s="906">
        <v>0.0</v>
      </c>
      <c r="AD26" s="906">
        <v>0.0</v>
      </c>
      <c r="AE26" s="906">
        <v>0.0</v>
      </c>
      <c r="AF26" s="906">
        <v>0.0</v>
      </c>
      <c r="AG26" s="906">
        <v>0.0</v>
      </c>
      <c r="AH26" s="906">
        <v>25.0</v>
      </c>
      <c r="AI26" s="906">
        <v>0.0</v>
      </c>
      <c r="AJ26" s="906">
        <v>93.0</v>
      </c>
      <c r="AK26" s="906">
        <v>102.0</v>
      </c>
      <c r="AL26" s="906">
        <v>6.0</v>
      </c>
      <c r="AM26" s="906">
        <v>1.0</v>
      </c>
    </row>
    <row r="27">
      <c r="A27" s="907" t="s">
        <v>114</v>
      </c>
      <c r="B27" s="908">
        <v>28.0</v>
      </c>
      <c r="C27" s="908">
        <v>14.0</v>
      </c>
      <c r="D27" s="908">
        <v>14.0</v>
      </c>
      <c r="E27" s="908">
        <v>50.0</v>
      </c>
      <c r="F27" s="908">
        <v>345.0</v>
      </c>
      <c r="G27" s="908">
        <v>2015.0</v>
      </c>
      <c r="H27" s="908">
        <v>1948.0</v>
      </c>
      <c r="I27" s="908">
        <v>67.0</v>
      </c>
      <c r="J27" s="908">
        <v>135.0</v>
      </c>
      <c r="K27" s="908">
        <v>13.0</v>
      </c>
      <c r="L27" s="908">
        <v>25.0</v>
      </c>
      <c r="M27" s="908">
        <v>42949.0</v>
      </c>
      <c r="N27" s="908">
        <v>51364.0</v>
      </c>
      <c r="O27" s="908">
        <v>22.0</v>
      </c>
      <c r="P27" s="908">
        <v>16378.0</v>
      </c>
      <c r="Q27" s="908">
        <v>0.0</v>
      </c>
      <c r="R27" s="908">
        <v>43.0</v>
      </c>
      <c r="S27" s="908">
        <v>4.0</v>
      </c>
      <c r="T27" s="908">
        <v>0.0</v>
      </c>
      <c r="U27" s="908">
        <v>0.0</v>
      </c>
      <c r="V27" s="908">
        <v>17.0</v>
      </c>
      <c r="W27" s="908">
        <v>0.0</v>
      </c>
      <c r="X27" s="908">
        <v>249.0</v>
      </c>
      <c r="Y27" s="908">
        <v>34.0</v>
      </c>
      <c r="Z27" s="908">
        <v>2.0</v>
      </c>
      <c r="AA27" s="908">
        <v>1.0</v>
      </c>
      <c r="AB27" s="908">
        <v>1.0</v>
      </c>
      <c r="AC27" s="908">
        <v>1.0</v>
      </c>
      <c r="AD27" s="908">
        <v>0.0</v>
      </c>
      <c r="AE27" s="908">
        <v>0.0</v>
      </c>
      <c r="AF27" s="908">
        <v>0.0</v>
      </c>
      <c r="AG27" s="908">
        <v>0.0</v>
      </c>
      <c r="AH27" s="908">
        <v>54.0</v>
      </c>
      <c r="AI27" s="908">
        <v>1.0</v>
      </c>
      <c r="AJ27" s="908">
        <v>318.0</v>
      </c>
      <c r="AK27" s="908">
        <v>274.0</v>
      </c>
      <c r="AL27" s="908">
        <v>19.0</v>
      </c>
      <c r="AM27" s="908">
        <v>0.0</v>
      </c>
    </row>
    <row r="28">
      <c r="A28" s="905" t="s">
        <v>139</v>
      </c>
      <c r="B28" s="906">
        <v>14.0</v>
      </c>
      <c r="C28" s="906">
        <v>5.0</v>
      </c>
      <c r="D28" s="906">
        <v>8.0</v>
      </c>
      <c r="E28" s="906">
        <v>5.0</v>
      </c>
      <c r="F28" s="906">
        <v>6.0</v>
      </c>
      <c r="G28" s="906">
        <v>1132.0</v>
      </c>
      <c r="H28" s="906">
        <v>1262.0</v>
      </c>
      <c r="I28" s="906">
        <v>-130.0</v>
      </c>
      <c r="J28" s="906">
        <v>77.0</v>
      </c>
      <c r="K28" s="906">
        <v>6.0</v>
      </c>
      <c r="L28" s="906">
        <v>49.0</v>
      </c>
      <c r="M28" s="906">
        <v>14387.0</v>
      </c>
      <c r="N28" s="906">
        <v>19374.0</v>
      </c>
      <c r="O28" s="906">
        <v>11.0</v>
      </c>
      <c r="P28" s="906">
        <v>358.0</v>
      </c>
      <c r="Q28" s="906">
        <v>0.0</v>
      </c>
      <c r="R28" s="906">
        <v>4.0</v>
      </c>
      <c r="S28" s="906">
        <v>0.0</v>
      </c>
      <c r="T28" s="906">
        <v>0.0</v>
      </c>
      <c r="U28" s="906">
        <v>0.0</v>
      </c>
      <c r="V28" s="906">
        <v>3.0</v>
      </c>
      <c r="W28" s="906">
        <v>0.0</v>
      </c>
      <c r="X28" s="906">
        <v>152.0</v>
      </c>
      <c r="Y28" s="906">
        <v>26.0</v>
      </c>
      <c r="Z28" s="906">
        <v>4.0</v>
      </c>
      <c r="AA28" s="906">
        <v>1.0</v>
      </c>
      <c r="AB28" s="906">
        <v>0.0</v>
      </c>
      <c r="AC28" s="906">
        <v>0.0</v>
      </c>
      <c r="AD28" s="906">
        <v>0.0</v>
      </c>
      <c r="AE28" s="906">
        <v>0.0</v>
      </c>
      <c r="AF28" s="906">
        <v>0.0</v>
      </c>
      <c r="AG28" s="906">
        <v>0.0</v>
      </c>
      <c r="AH28" s="906">
        <v>29.0</v>
      </c>
      <c r="AI28" s="906">
        <v>0.0</v>
      </c>
      <c r="AJ28" s="906">
        <v>101.0</v>
      </c>
      <c r="AK28" s="906">
        <v>154.0</v>
      </c>
      <c r="AL28" s="906">
        <v>17.0</v>
      </c>
      <c r="AM28" s="906">
        <v>1.0</v>
      </c>
    </row>
    <row r="29">
      <c r="A29" s="907" t="s">
        <v>137</v>
      </c>
      <c r="B29" s="908">
        <v>13.0</v>
      </c>
      <c r="C29" s="908">
        <v>1.0</v>
      </c>
      <c r="D29" s="908">
        <v>12.0</v>
      </c>
      <c r="E29" s="908">
        <v>2.0</v>
      </c>
      <c r="F29" s="908">
        <v>13.0</v>
      </c>
      <c r="G29" s="908">
        <v>861.0</v>
      </c>
      <c r="H29" s="908">
        <v>979.0</v>
      </c>
      <c r="I29" s="908">
        <v>-118.0</v>
      </c>
      <c r="J29" s="908">
        <v>61.0</v>
      </c>
      <c r="K29" s="908">
        <v>9.0</v>
      </c>
      <c r="L29" s="908">
        <v>20.0</v>
      </c>
      <c r="M29" s="908">
        <v>12984.0</v>
      </c>
      <c r="N29" s="908">
        <v>17077.0</v>
      </c>
      <c r="O29" s="908">
        <v>13.0</v>
      </c>
      <c r="P29" s="908">
        <v>437.0</v>
      </c>
      <c r="Q29" s="908">
        <v>0.0</v>
      </c>
      <c r="R29" s="908">
        <v>7.0</v>
      </c>
      <c r="S29" s="908">
        <v>0.0</v>
      </c>
      <c r="T29" s="908">
        <v>0.0</v>
      </c>
      <c r="U29" s="908">
        <v>0.0</v>
      </c>
      <c r="V29" s="908">
        <v>6.0</v>
      </c>
      <c r="W29" s="908">
        <v>0.0</v>
      </c>
      <c r="X29" s="908">
        <v>124.0</v>
      </c>
      <c r="Y29" s="908">
        <v>20.0</v>
      </c>
      <c r="Z29" s="908">
        <v>5.0</v>
      </c>
      <c r="AA29" s="908">
        <v>0.0</v>
      </c>
      <c r="AB29" s="908">
        <v>0.0</v>
      </c>
      <c r="AC29" s="908">
        <v>0.0</v>
      </c>
      <c r="AD29" s="908">
        <v>0.0</v>
      </c>
      <c r="AE29" s="908">
        <v>0.0</v>
      </c>
      <c r="AF29" s="908">
        <v>0.0</v>
      </c>
      <c r="AG29" s="908">
        <v>0.0</v>
      </c>
      <c r="AH29" s="908">
        <v>51.0</v>
      </c>
      <c r="AI29" s="908">
        <v>0.0</v>
      </c>
      <c r="AJ29" s="908">
        <v>80.0</v>
      </c>
      <c r="AK29" s="908">
        <v>118.0</v>
      </c>
      <c r="AL29" s="908">
        <v>5.0</v>
      </c>
      <c r="AM29" s="908">
        <v>1.0</v>
      </c>
    </row>
    <row r="30">
      <c r="A30" s="909" t="s">
        <v>147</v>
      </c>
      <c r="B30" s="910">
        <v>28.0</v>
      </c>
      <c r="C30" s="910">
        <v>14.0</v>
      </c>
      <c r="D30" s="910">
        <v>14.0</v>
      </c>
      <c r="E30" s="910">
        <v>5.0</v>
      </c>
      <c r="F30" s="910">
        <v>5.0</v>
      </c>
      <c r="G30" s="911">
        <v>2269.0</v>
      </c>
      <c r="H30" s="910">
        <v>3015.0</v>
      </c>
      <c r="I30" s="910">
        <v>-746.0</v>
      </c>
      <c r="J30" s="910">
        <v>206.0</v>
      </c>
      <c r="K30" s="910">
        <v>7.0</v>
      </c>
      <c r="L30" s="910">
        <v>58.0</v>
      </c>
      <c r="M30" s="910">
        <v>39842.0</v>
      </c>
      <c r="N30" s="910">
        <v>51435.0</v>
      </c>
      <c r="O30" s="910">
        <v>13.0</v>
      </c>
      <c r="P30" s="910">
        <v>449.0</v>
      </c>
      <c r="Q30" s="910">
        <v>0.0</v>
      </c>
      <c r="R30" s="910">
        <v>17.0</v>
      </c>
      <c r="S30" s="910">
        <v>0.0</v>
      </c>
      <c r="T30" s="910">
        <v>0.0</v>
      </c>
      <c r="U30" s="910">
        <v>0.0</v>
      </c>
      <c r="V30" s="910">
        <v>15.0</v>
      </c>
      <c r="W30" s="910">
        <v>0.0</v>
      </c>
      <c r="X30" s="910">
        <v>264.0</v>
      </c>
      <c r="Y30" s="910">
        <v>37.0</v>
      </c>
      <c r="Z30" s="910">
        <v>10.0</v>
      </c>
      <c r="AA30" s="910">
        <v>1.0</v>
      </c>
      <c r="AB30" s="910">
        <v>0.0</v>
      </c>
      <c r="AC30" s="910">
        <v>0.0</v>
      </c>
      <c r="AD30" s="910">
        <v>0.0</v>
      </c>
      <c r="AE30" s="910">
        <v>0.0</v>
      </c>
      <c r="AF30" s="910">
        <v>0.0</v>
      </c>
      <c r="AG30" s="910">
        <v>0.0</v>
      </c>
      <c r="AH30" s="910">
        <v>115.0</v>
      </c>
      <c r="AI30" s="910">
        <v>0.0</v>
      </c>
      <c r="AJ30" s="905">
        <v>236.0</v>
      </c>
      <c r="AK30" s="905">
        <v>312.0</v>
      </c>
      <c r="AL30" s="905">
        <v>27.0</v>
      </c>
      <c r="AM30" s="905">
        <v>0.0</v>
      </c>
    </row>
    <row r="31">
      <c r="A31" s="907" t="s">
        <v>166</v>
      </c>
      <c r="B31" s="907">
        <v>2.0</v>
      </c>
      <c r="C31" s="907">
        <v>0.0</v>
      </c>
      <c r="D31" s="907">
        <v>2.0</v>
      </c>
      <c r="E31" s="907">
        <v>0.0</v>
      </c>
      <c r="F31" s="907">
        <v>1.0</v>
      </c>
      <c r="G31" s="907">
        <v>109.0</v>
      </c>
      <c r="H31" s="907">
        <v>198.0</v>
      </c>
      <c r="I31" s="907">
        <v>-89.0</v>
      </c>
      <c r="J31" s="907">
        <v>6.0</v>
      </c>
      <c r="K31" s="907">
        <v>4.0</v>
      </c>
      <c r="L31" s="907">
        <v>2.0</v>
      </c>
      <c r="M31" s="907">
        <v>1791.0</v>
      </c>
      <c r="N31" s="907">
        <v>2536.0</v>
      </c>
      <c r="O31" s="907">
        <v>9.0</v>
      </c>
      <c r="P31" s="907">
        <v>19.0</v>
      </c>
      <c r="Q31" s="907">
        <v>0.0</v>
      </c>
      <c r="R31" s="907">
        <v>0.0</v>
      </c>
      <c r="S31" s="907">
        <v>0.0</v>
      </c>
      <c r="T31" s="907">
        <v>0.0</v>
      </c>
      <c r="U31" s="907">
        <v>0.0</v>
      </c>
      <c r="V31" s="907">
        <v>0.0</v>
      </c>
      <c r="W31" s="907">
        <v>0.0</v>
      </c>
      <c r="X31" s="907">
        <v>11.0</v>
      </c>
      <c r="Y31" s="907">
        <v>3.0</v>
      </c>
      <c r="Z31" s="907">
        <v>0.0</v>
      </c>
      <c r="AA31" s="907">
        <v>0.0</v>
      </c>
      <c r="AB31" s="907">
        <v>0.0</v>
      </c>
      <c r="AC31" s="907">
        <v>0.0</v>
      </c>
      <c r="AD31" s="907">
        <v>0.0</v>
      </c>
      <c r="AE31" s="907">
        <v>0.0</v>
      </c>
      <c r="AF31" s="907">
        <v>0.0</v>
      </c>
      <c r="AG31" s="907">
        <v>0.0</v>
      </c>
      <c r="AH31" s="907">
        <v>5.0</v>
      </c>
      <c r="AI31" s="907">
        <v>0.0</v>
      </c>
      <c r="AJ31" s="907">
        <v>10.0</v>
      </c>
      <c r="AK31" s="907">
        <v>17.0</v>
      </c>
      <c r="AL31" s="907">
        <v>1.0</v>
      </c>
      <c r="AM31" s="907">
        <v>1.0</v>
      </c>
    </row>
    <row r="32">
      <c r="A32" s="905" t="s">
        <v>136</v>
      </c>
      <c r="B32" s="906">
        <v>27.0</v>
      </c>
      <c r="C32" s="906">
        <v>13.0</v>
      </c>
      <c r="D32" s="906">
        <v>14.0</v>
      </c>
      <c r="E32" s="906">
        <v>6.0</v>
      </c>
      <c r="F32" s="906">
        <v>10.0</v>
      </c>
      <c r="G32" s="906">
        <v>3306.0</v>
      </c>
      <c r="H32" s="906">
        <v>3584.0</v>
      </c>
      <c r="I32" s="906">
        <v>-278.0</v>
      </c>
      <c r="J32" s="906">
        <v>157.0</v>
      </c>
      <c r="K32" s="906">
        <v>6.0</v>
      </c>
      <c r="L32" s="906">
        <v>44.0</v>
      </c>
      <c r="M32" s="906">
        <v>36376.0</v>
      </c>
      <c r="N32" s="906">
        <v>49586.0</v>
      </c>
      <c r="O32" s="906">
        <v>10.0</v>
      </c>
      <c r="P32" s="906">
        <v>450.0</v>
      </c>
      <c r="Q32" s="906">
        <v>0.0</v>
      </c>
      <c r="R32" s="906">
        <v>23.0</v>
      </c>
      <c r="S32" s="906">
        <v>0.0</v>
      </c>
      <c r="T32" s="906">
        <v>0.0</v>
      </c>
      <c r="U32" s="906">
        <v>0.0</v>
      </c>
      <c r="V32" s="906">
        <v>19.0</v>
      </c>
      <c r="W32" s="906">
        <v>0.0</v>
      </c>
      <c r="X32" s="906">
        <v>583.0</v>
      </c>
      <c r="Y32" s="906">
        <v>118.0</v>
      </c>
      <c r="Z32" s="906">
        <v>21.0</v>
      </c>
      <c r="AA32" s="906">
        <v>4.0</v>
      </c>
      <c r="AB32" s="906">
        <v>0.0</v>
      </c>
      <c r="AC32" s="906">
        <v>0.0</v>
      </c>
      <c r="AD32" s="906">
        <v>0.0</v>
      </c>
      <c r="AE32" s="906">
        <v>0.0</v>
      </c>
      <c r="AF32" s="906">
        <v>0.0</v>
      </c>
      <c r="AG32" s="906">
        <v>0.0</v>
      </c>
      <c r="AH32" s="906">
        <v>99.0</v>
      </c>
      <c r="AI32" s="906">
        <v>4.0</v>
      </c>
      <c r="AJ32" s="906">
        <v>324.0</v>
      </c>
      <c r="AK32" s="906">
        <v>452.0</v>
      </c>
      <c r="AL32" s="906">
        <v>18.0</v>
      </c>
      <c r="AM32" s="906">
        <v>0.0</v>
      </c>
    </row>
    <row r="33">
      <c r="A33" s="907" t="s">
        <v>121</v>
      </c>
      <c r="B33" s="908">
        <v>22.0</v>
      </c>
      <c r="C33" s="908">
        <v>11.0</v>
      </c>
      <c r="D33" s="908">
        <v>11.0</v>
      </c>
      <c r="E33" s="908">
        <v>12.0</v>
      </c>
      <c r="F33" s="908">
        <v>26.0</v>
      </c>
      <c r="G33" s="908">
        <v>2828.0</v>
      </c>
      <c r="H33" s="908">
        <v>2136.0</v>
      </c>
      <c r="I33" s="908">
        <v>692.0</v>
      </c>
      <c r="J33" s="908">
        <v>147.0</v>
      </c>
      <c r="K33" s="908">
        <v>9.0</v>
      </c>
      <c r="L33" s="908">
        <v>37.0</v>
      </c>
      <c r="M33" s="908">
        <v>35914.0</v>
      </c>
      <c r="N33" s="908">
        <v>44233.0</v>
      </c>
      <c r="O33" s="908">
        <v>16.0</v>
      </c>
      <c r="P33" s="908">
        <v>1605.0</v>
      </c>
      <c r="Q33" s="908">
        <v>0.0</v>
      </c>
      <c r="R33" s="908">
        <v>68.0</v>
      </c>
      <c r="S33" s="908">
        <v>0.0</v>
      </c>
      <c r="T33" s="908">
        <v>0.0</v>
      </c>
      <c r="U33" s="908">
        <v>0.0</v>
      </c>
      <c r="V33" s="908">
        <v>61.0</v>
      </c>
      <c r="W33" s="908">
        <v>0.0</v>
      </c>
      <c r="X33" s="908">
        <v>472.0</v>
      </c>
      <c r="Y33" s="908">
        <v>73.0</v>
      </c>
      <c r="Z33" s="908">
        <v>13.0</v>
      </c>
      <c r="AA33" s="908">
        <v>3.0</v>
      </c>
      <c r="AB33" s="908">
        <v>2.0</v>
      </c>
      <c r="AC33" s="908">
        <v>1.0</v>
      </c>
      <c r="AD33" s="908">
        <v>0.0</v>
      </c>
      <c r="AE33" s="908">
        <v>0.0</v>
      </c>
      <c r="AF33" s="908">
        <v>0.0</v>
      </c>
      <c r="AG33" s="908">
        <v>0.0</v>
      </c>
      <c r="AH33" s="908">
        <v>221.0</v>
      </c>
      <c r="AI33" s="908">
        <v>0.0</v>
      </c>
      <c r="AJ33" s="908">
        <v>318.0</v>
      </c>
      <c r="AK33" s="908">
        <v>311.0</v>
      </c>
      <c r="AL33" s="908">
        <v>17.0</v>
      </c>
      <c r="AM33" s="908">
        <v>1.0</v>
      </c>
    </row>
    <row r="34">
      <c r="A34" s="905" t="s">
        <v>514</v>
      </c>
      <c r="B34" s="912">
        <v>19.0</v>
      </c>
      <c r="C34" s="912">
        <v>10.0</v>
      </c>
      <c r="D34" s="912">
        <v>9.0</v>
      </c>
      <c r="E34" s="912">
        <v>7.0</v>
      </c>
      <c r="F34" s="912">
        <v>11.0</v>
      </c>
      <c r="G34" s="912">
        <v>2234.0</v>
      </c>
      <c r="H34" s="912">
        <v>2632.0</v>
      </c>
      <c r="I34" s="912">
        <v>-398.0</v>
      </c>
      <c r="J34" s="912">
        <v>160.0</v>
      </c>
      <c r="K34" s="912">
        <v>14.0</v>
      </c>
      <c r="L34" s="912">
        <v>47.0</v>
      </c>
      <c r="M34" s="912">
        <v>27716.0</v>
      </c>
      <c r="N34" s="912">
        <v>37296.0</v>
      </c>
      <c r="O34" s="912">
        <v>23.0</v>
      </c>
      <c r="P34" s="912">
        <v>1105.0</v>
      </c>
      <c r="Q34" s="912">
        <v>0.0</v>
      </c>
      <c r="R34" s="912">
        <v>18.0</v>
      </c>
      <c r="S34" s="912">
        <v>0.0</v>
      </c>
      <c r="T34" s="912">
        <v>0.0</v>
      </c>
      <c r="U34" s="912">
        <v>0.0</v>
      </c>
      <c r="V34" s="912">
        <v>17.0</v>
      </c>
      <c r="W34" s="912">
        <v>0.0</v>
      </c>
      <c r="X34" s="912">
        <v>342.0</v>
      </c>
      <c r="Y34" s="912">
        <v>63.0</v>
      </c>
      <c r="Z34" s="912">
        <v>14.0</v>
      </c>
      <c r="AA34" s="912">
        <v>2.0</v>
      </c>
      <c r="AB34" s="912">
        <v>0.0</v>
      </c>
      <c r="AC34" s="912">
        <v>0.0</v>
      </c>
      <c r="AD34" s="912">
        <v>0.0</v>
      </c>
      <c r="AE34" s="912">
        <v>0.0</v>
      </c>
      <c r="AF34" s="912">
        <v>0.0</v>
      </c>
      <c r="AG34" s="912">
        <v>0.0</v>
      </c>
      <c r="AH34" s="912">
        <v>101.0</v>
      </c>
      <c r="AI34" s="912">
        <v>0.0</v>
      </c>
      <c r="AJ34" s="912">
        <v>164.0</v>
      </c>
      <c r="AK34" s="912">
        <v>284.0</v>
      </c>
      <c r="AL34" s="912">
        <v>17.0</v>
      </c>
      <c r="AM34" s="913">
        <v>1.0</v>
      </c>
    </row>
    <row r="35">
      <c r="A35" s="907" t="s">
        <v>141</v>
      </c>
      <c r="B35" s="908">
        <v>20.0</v>
      </c>
      <c r="C35" s="908">
        <v>9.0</v>
      </c>
      <c r="D35" s="908">
        <v>11.0</v>
      </c>
      <c r="E35" s="908">
        <v>10.0</v>
      </c>
      <c r="F35" s="908">
        <v>18.0</v>
      </c>
      <c r="G35" s="908">
        <v>1529.0</v>
      </c>
      <c r="H35" s="908">
        <v>2040.0</v>
      </c>
      <c r="I35" s="908">
        <v>-511.0</v>
      </c>
      <c r="J35" s="908">
        <v>117.0</v>
      </c>
      <c r="K35" s="908">
        <v>7.0</v>
      </c>
      <c r="L35" s="908">
        <v>41.0</v>
      </c>
      <c r="M35" s="908">
        <v>23344.0</v>
      </c>
      <c r="N35" s="908">
        <v>31403.0</v>
      </c>
      <c r="O35" s="908">
        <v>11.0</v>
      </c>
      <c r="P35" s="908">
        <v>575.0</v>
      </c>
      <c r="Q35" s="908">
        <v>0.0</v>
      </c>
      <c r="R35" s="908">
        <v>11.0</v>
      </c>
      <c r="S35" s="908">
        <v>0.0</v>
      </c>
      <c r="T35" s="908">
        <v>0.0</v>
      </c>
      <c r="U35" s="908">
        <v>0.0</v>
      </c>
      <c r="V35" s="908">
        <v>10.0</v>
      </c>
      <c r="W35" s="908">
        <v>0.0</v>
      </c>
      <c r="X35" s="908">
        <v>230.0</v>
      </c>
      <c r="Y35" s="908">
        <v>37.0</v>
      </c>
      <c r="Z35" s="908">
        <v>6.0</v>
      </c>
      <c r="AA35" s="908">
        <v>2.0</v>
      </c>
      <c r="AB35" s="908">
        <v>1.0</v>
      </c>
      <c r="AC35" s="908">
        <v>0.0</v>
      </c>
      <c r="AD35" s="908">
        <v>0.0</v>
      </c>
      <c r="AE35" s="908">
        <v>0.0</v>
      </c>
      <c r="AF35" s="908">
        <v>0.0</v>
      </c>
      <c r="AG35" s="908">
        <v>0.0</v>
      </c>
      <c r="AH35" s="908">
        <v>33.0</v>
      </c>
      <c r="AI35" s="908">
        <v>0.0</v>
      </c>
      <c r="AJ35" s="908">
        <v>182.0</v>
      </c>
      <c r="AK35" s="908">
        <v>199.0</v>
      </c>
      <c r="AL35" s="908">
        <v>22.0</v>
      </c>
      <c r="AM35" s="908">
        <v>0.0</v>
      </c>
    </row>
    <row r="36">
      <c r="A36" s="905" t="s">
        <v>138</v>
      </c>
      <c r="B36" s="906">
        <v>21.0</v>
      </c>
      <c r="C36" s="906">
        <v>17.0</v>
      </c>
      <c r="D36" s="906">
        <v>4.0</v>
      </c>
      <c r="E36" s="906">
        <v>9.0</v>
      </c>
      <c r="F36" s="906">
        <v>17.0</v>
      </c>
      <c r="G36" s="906">
        <v>2781.0</v>
      </c>
      <c r="H36" s="906">
        <v>2488.0</v>
      </c>
      <c r="I36" s="906">
        <v>293.0</v>
      </c>
      <c r="J36" s="906">
        <v>189.0</v>
      </c>
      <c r="K36" s="906">
        <v>7.0</v>
      </c>
      <c r="L36" s="906">
        <v>24.0</v>
      </c>
      <c r="M36" s="906">
        <v>33503.0</v>
      </c>
      <c r="N36" s="906">
        <v>42753.0</v>
      </c>
      <c r="O36" s="906">
        <v>13.0</v>
      </c>
      <c r="P36" s="906">
        <v>404.0</v>
      </c>
      <c r="Q36" s="906">
        <v>0.0</v>
      </c>
      <c r="R36" s="906">
        <v>56.0</v>
      </c>
      <c r="S36" s="906">
        <v>0.0</v>
      </c>
      <c r="T36" s="906">
        <v>0.0</v>
      </c>
      <c r="U36" s="906">
        <v>0.0</v>
      </c>
      <c r="V36" s="906">
        <v>49.0</v>
      </c>
      <c r="W36" s="906">
        <v>0.0</v>
      </c>
      <c r="X36" s="906">
        <v>429.0</v>
      </c>
      <c r="Y36" s="906">
        <v>73.0</v>
      </c>
      <c r="Z36" s="906">
        <v>16.0</v>
      </c>
      <c r="AA36" s="906">
        <v>4.0</v>
      </c>
      <c r="AB36" s="906">
        <v>1.0</v>
      </c>
      <c r="AC36" s="906">
        <v>0.0</v>
      </c>
      <c r="AD36" s="906">
        <v>0.0</v>
      </c>
      <c r="AE36" s="906">
        <v>0.0</v>
      </c>
      <c r="AF36" s="906">
        <v>0.0</v>
      </c>
      <c r="AG36" s="906">
        <v>0.0</v>
      </c>
      <c r="AH36" s="906">
        <v>101.0</v>
      </c>
      <c r="AI36" s="906">
        <v>0.0</v>
      </c>
      <c r="AJ36" s="906">
        <v>278.0</v>
      </c>
      <c r="AK36" s="906">
        <v>313.0</v>
      </c>
      <c r="AL36" s="906">
        <v>23.0</v>
      </c>
      <c r="AM36" s="906">
        <v>1.0</v>
      </c>
    </row>
    <row r="37">
      <c r="A37" s="907" t="s">
        <v>151</v>
      </c>
      <c r="B37" s="908">
        <v>16.0</v>
      </c>
      <c r="C37" s="908">
        <v>8.0</v>
      </c>
      <c r="D37" s="908">
        <v>8.0</v>
      </c>
      <c r="E37" s="908">
        <v>4.0</v>
      </c>
      <c r="F37" s="908">
        <v>7.0</v>
      </c>
      <c r="G37" s="908">
        <v>1351.0</v>
      </c>
      <c r="H37" s="908">
        <v>1413.0</v>
      </c>
      <c r="I37" s="908">
        <v>-62.0</v>
      </c>
      <c r="J37" s="908">
        <v>100.0</v>
      </c>
      <c r="K37" s="908">
        <v>10.0</v>
      </c>
      <c r="L37" s="908">
        <v>23.0</v>
      </c>
      <c r="M37" s="908">
        <v>20678.0</v>
      </c>
      <c r="N37" s="908">
        <v>26392.0</v>
      </c>
      <c r="O37" s="908">
        <v>14.0</v>
      </c>
      <c r="P37" s="908">
        <v>53.0</v>
      </c>
      <c r="Q37" s="908">
        <v>0.0</v>
      </c>
      <c r="R37" s="908">
        <v>27.0</v>
      </c>
      <c r="S37" s="908">
        <v>2.0</v>
      </c>
      <c r="T37" s="908">
        <v>0.0</v>
      </c>
      <c r="U37" s="908">
        <v>0.0</v>
      </c>
      <c r="V37" s="908">
        <v>27.0</v>
      </c>
      <c r="W37" s="908">
        <v>0.0</v>
      </c>
      <c r="X37" s="908">
        <v>192.0</v>
      </c>
      <c r="Y37" s="908">
        <v>43.0</v>
      </c>
      <c r="Z37" s="908">
        <v>17.0</v>
      </c>
      <c r="AA37" s="908">
        <v>4.0</v>
      </c>
      <c r="AB37" s="908">
        <v>2.0</v>
      </c>
      <c r="AC37" s="908">
        <v>0.0</v>
      </c>
      <c r="AD37" s="908">
        <v>0.0</v>
      </c>
      <c r="AE37" s="908">
        <v>0.0</v>
      </c>
      <c r="AF37" s="908">
        <v>0.0</v>
      </c>
      <c r="AG37" s="908">
        <v>0.0</v>
      </c>
      <c r="AH37" s="908">
        <v>48.0</v>
      </c>
      <c r="AI37" s="908">
        <v>0.0</v>
      </c>
      <c r="AJ37" s="908">
        <v>126.0</v>
      </c>
      <c r="AK37" s="908">
        <v>155.0</v>
      </c>
      <c r="AL37" s="908">
        <v>11.0</v>
      </c>
      <c r="AM37" s="908">
        <v>0.0</v>
      </c>
    </row>
    <row r="38">
      <c r="A38" s="905" t="s">
        <v>152</v>
      </c>
      <c r="B38" s="906">
        <v>21.0</v>
      </c>
      <c r="C38" s="906">
        <v>9.0</v>
      </c>
      <c r="D38" s="906">
        <v>12.0</v>
      </c>
      <c r="E38" s="906">
        <v>3.0</v>
      </c>
      <c r="F38" s="906">
        <v>14.0</v>
      </c>
      <c r="G38" s="906">
        <v>1637.0</v>
      </c>
      <c r="H38" s="906">
        <v>2177.0</v>
      </c>
      <c r="I38" s="906">
        <v>-540.0</v>
      </c>
      <c r="J38" s="906">
        <v>76.0</v>
      </c>
      <c r="K38" s="906">
        <v>7.0</v>
      </c>
      <c r="L38" s="906">
        <v>17.0</v>
      </c>
      <c r="M38" s="906">
        <v>25821.0</v>
      </c>
      <c r="N38" s="906">
        <v>34465.0</v>
      </c>
      <c r="O38" s="906">
        <v>11.0</v>
      </c>
      <c r="P38" s="906">
        <v>166.0</v>
      </c>
      <c r="Q38" s="906">
        <v>0.0</v>
      </c>
      <c r="R38" s="906">
        <v>3.0</v>
      </c>
      <c r="S38" s="906">
        <v>0.0</v>
      </c>
      <c r="T38" s="906">
        <v>0.0</v>
      </c>
      <c r="U38" s="906">
        <v>0.0</v>
      </c>
      <c r="V38" s="906">
        <v>2.0</v>
      </c>
      <c r="W38" s="906">
        <v>0.0</v>
      </c>
      <c r="X38" s="906">
        <v>188.0</v>
      </c>
      <c r="Y38" s="906">
        <v>18.0</v>
      </c>
      <c r="Z38" s="906">
        <v>6.0</v>
      </c>
      <c r="AA38" s="906">
        <v>0.0</v>
      </c>
      <c r="AB38" s="906">
        <v>0.0</v>
      </c>
      <c r="AC38" s="906">
        <v>0.0</v>
      </c>
      <c r="AD38" s="906">
        <v>0.0</v>
      </c>
      <c r="AE38" s="906">
        <v>0.0</v>
      </c>
      <c r="AF38" s="906">
        <v>0.0</v>
      </c>
      <c r="AG38" s="906">
        <v>0.0</v>
      </c>
      <c r="AH38" s="906">
        <v>50.0</v>
      </c>
      <c r="AI38" s="906">
        <v>0.0</v>
      </c>
      <c r="AJ38" s="906">
        <v>183.0</v>
      </c>
      <c r="AK38" s="906">
        <v>215.0</v>
      </c>
      <c r="AL38" s="906">
        <v>14.0</v>
      </c>
      <c r="AM38" s="906">
        <v>0.0</v>
      </c>
    </row>
    <row r="39">
      <c r="A39" s="907" t="s">
        <v>123</v>
      </c>
      <c r="B39" s="908">
        <v>24.0</v>
      </c>
      <c r="C39" s="908">
        <v>17.0</v>
      </c>
      <c r="D39" s="908">
        <v>6.0</v>
      </c>
      <c r="E39" s="908">
        <v>73.0</v>
      </c>
      <c r="F39" s="908">
        <v>455.0</v>
      </c>
      <c r="G39" s="908">
        <v>1755.0</v>
      </c>
      <c r="H39" s="908">
        <v>1331.0</v>
      </c>
      <c r="I39" s="908">
        <v>424.0</v>
      </c>
      <c r="J39" s="908">
        <v>57.0</v>
      </c>
      <c r="K39" s="908">
        <v>22.0</v>
      </c>
      <c r="L39" s="908">
        <v>35.0</v>
      </c>
      <c r="M39" s="908">
        <v>31631.0</v>
      </c>
      <c r="N39" s="908">
        <v>37582.0</v>
      </c>
      <c r="O39" s="908">
        <v>23.0</v>
      </c>
      <c r="P39" s="908">
        <v>15028.0</v>
      </c>
      <c r="Q39" s="908">
        <v>0.0</v>
      </c>
      <c r="R39" s="908">
        <v>60.0</v>
      </c>
      <c r="S39" s="908">
        <v>6.0</v>
      </c>
      <c r="T39" s="908">
        <v>2.0</v>
      </c>
      <c r="U39" s="908">
        <v>1.0</v>
      </c>
      <c r="V39" s="908">
        <v>11.0</v>
      </c>
      <c r="W39" s="908">
        <v>0.0</v>
      </c>
      <c r="X39" s="908">
        <v>222.0</v>
      </c>
      <c r="Y39" s="908">
        <v>55.0</v>
      </c>
      <c r="Z39" s="908">
        <v>13.0</v>
      </c>
      <c r="AA39" s="908">
        <v>3.0</v>
      </c>
      <c r="AB39" s="908">
        <v>2.0</v>
      </c>
      <c r="AC39" s="908">
        <v>1.0</v>
      </c>
      <c r="AD39" s="908">
        <v>1.0</v>
      </c>
      <c r="AE39" s="908">
        <v>1.0</v>
      </c>
      <c r="AF39" s="908">
        <v>0.0</v>
      </c>
      <c r="AG39" s="908">
        <v>1.0</v>
      </c>
      <c r="AH39" s="908">
        <v>29.0</v>
      </c>
      <c r="AI39" s="908">
        <v>1.0</v>
      </c>
      <c r="AJ39" s="908">
        <v>298.0</v>
      </c>
      <c r="AK39" s="908">
        <v>165.0</v>
      </c>
      <c r="AL39" s="908">
        <v>36.0</v>
      </c>
      <c r="AM39" s="908">
        <v>1.0</v>
      </c>
    </row>
  </sheetData>
  <autoFilter ref="$A$1:$AM$47">
    <sortState ref="A1:AM47">
      <sortCondition ref="A1:A47"/>
    </sortState>
  </autoFil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25"/>
    <col customWidth="1" min="2" max="2" width="9.25"/>
    <col customWidth="1" min="3" max="3" width="7.88"/>
    <col customWidth="1" min="4" max="4" width="9.88"/>
    <col customWidth="1" min="5" max="5" width="10.0"/>
    <col customWidth="1" min="6" max="6" width="10.25"/>
    <col customWidth="1" min="7" max="7" width="9.38"/>
    <col customWidth="1" min="8" max="8" width="11.88"/>
    <col customWidth="1" min="9" max="9" width="12.63"/>
    <col customWidth="1" min="10" max="10" width="13.25"/>
    <col customWidth="1" min="11" max="11" width="14.25"/>
    <col customWidth="1" min="12" max="12" width="13.0"/>
    <col customWidth="1" min="13" max="13" width="14.13"/>
    <col customWidth="1" min="14" max="14" width="15.5"/>
    <col customWidth="1" min="15" max="15" width="16.63"/>
    <col customWidth="1" min="16" max="16" width="15.75"/>
    <col customWidth="1" min="17" max="17" width="12.75"/>
    <col customWidth="1" min="18" max="18" width="17.0"/>
    <col customWidth="1" min="19" max="19" width="15.5"/>
    <col customWidth="1" min="20" max="20" width="14.0"/>
    <col customWidth="1" min="21" max="21" width="12.75"/>
    <col customWidth="1" min="22" max="22" width="11.38"/>
    <col customWidth="1" min="23" max="24" width="13.38"/>
    <col customWidth="1" min="25" max="25" width="15.25"/>
    <col customWidth="1" min="26" max="26" width="14.5"/>
    <col customWidth="1" min="27" max="27" width="16.0"/>
    <col customWidth="1" min="28" max="28" width="12.38"/>
    <col customWidth="1" min="29" max="29" width="10.88"/>
    <col customWidth="1" min="30" max="30" width="11.5"/>
    <col customWidth="1" min="31" max="32" width="16.5"/>
    <col customWidth="1" min="33" max="33" width="11.88"/>
    <col customWidth="1" min="34" max="34" width="12.5"/>
    <col customWidth="1" min="35" max="35" width="16.5"/>
    <col customWidth="1" min="36" max="37" width="18.38"/>
    <col customWidth="1" min="38" max="38" width="13.38"/>
    <col customWidth="1" min="39" max="39" width="13.5"/>
    <col customWidth="1" min="40" max="40" width="14.63"/>
    <col customWidth="1" min="41" max="41" width="15.5"/>
    <col customWidth="1" min="42" max="42" width="14.63"/>
    <col customWidth="1" min="43" max="43" width="14.5"/>
    <col customWidth="1" min="44" max="44" width="14.75"/>
    <col customWidth="1" min="45" max="45" width="14.0"/>
    <col customWidth="1" min="46" max="46" width="14.38"/>
    <col customWidth="1" min="47" max="47" width="12.75"/>
    <col customWidth="1" min="48" max="48" width="14.38"/>
  </cols>
  <sheetData>
    <row r="1">
      <c r="A1" s="914" t="s">
        <v>545</v>
      </c>
      <c r="B1" s="915" t="str">
        <f>IFERROR(__xludf.DUMMYFUNCTION("QUERY(HR_MatchH!A:AI, ""select Avg(E),Avg(F),Avg(G),Avg(H),Avg(I),Avg(J),Avg(K),Avg(L),Avg(M),Avg(N),Avg(O),Avg(P),Avg(Q),Avg(R),Avg(S),Avg(T),Avg(U),Avg(V),Avg(W),Avg(X),Avg(Y),Avg(Z),Avg(AA),Avg(AB),Avg(AC),Avg(AD),Avg(AE),Avg(AF),Avg(AG),Avg(AH)"",1)"),"avg Goals")</f>
        <v>avg Goals</v>
      </c>
      <c r="C1" s="916" t="str">
        <f>IFERROR(__xludf.DUMMYFUNCTION("""COMPUTED_VALUE"""),"avg Bomb Kills")</f>
        <v>avg Bomb Kills</v>
      </c>
      <c r="D1" s="916" t="str">
        <f>IFERROR(__xludf.DUMMYFUNCTION("""COMPUTED_VALUE"""),"avg Kills")</f>
        <v>avg Kills</v>
      </c>
      <c r="E1" s="916" t="str">
        <f>IFERROR(__xludf.DUMMYFUNCTION("""COMPUTED_VALUE"""),"avg Deaths")</f>
        <v>avg Deaths</v>
      </c>
      <c r="F1" s="916" t="str">
        <f>IFERROR(__xludf.DUMMYFUNCTION("""COMPUTED_VALUE"""),"avg Spread")</f>
        <v>avg Spread</v>
      </c>
      <c r="G1" s="916" t="str">
        <f>IFERROR(__xludf.DUMMYFUNCTION("""COMPUTED_VALUE"""),"avg Assists")</f>
        <v>avg Assists</v>
      </c>
      <c r="H1" s="916" t="str">
        <f>IFERROR(__xludf.DUMMYFUNCTION("""COMPUTED_VALUE"""),"avg Streak")</f>
        <v>avg Streak</v>
      </c>
      <c r="I1" s="916" t="str">
        <f>IFERROR(__xludf.DUMMYFUNCTION("""COMPUTED_VALUE"""),"avg Betrayals")</f>
        <v>avg Betrayals</v>
      </c>
      <c r="J1" s="916" t="str">
        <f>IFERROR(__xludf.DUMMYFUNCTION("""COMPUTED_VALUE"""),"avg Time Alive")</f>
        <v>avg Time Alive</v>
      </c>
      <c r="K1" s="916" t="str">
        <f>IFERROR(__xludf.DUMMYFUNCTION("""COMPUTED_VALUE"""),"avg Game Time")</f>
        <v>avg Game Time</v>
      </c>
      <c r="L1" s="916" t="str">
        <f>IFERROR(__xludf.DUMMYFUNCTION("""COMPUTED_VALUE"""),"avg Average Life")</f>
        <v>avg Average Life</v>
      </c>
      <c r="M1" s="916" t="str">
        <f>IFERROR(__xludf.DUMMYFUNCTION("""COMPUTED_VALUE"""),"avg Carry Time")</f>
        <v>avg Carry Time</v>
      </c>
      <c r="N1" s="916" t="str">
        <f>IFERROR(__xludf.DUMMYFUNCTION("""COMPUTED_VALUE"""),"avg Bomb Stops")</f>
        <v>avg Bomb Stops</v>
      </c>
      <c r="O1" s="916" t="str">
        <f>IFERROR(__xludf.DUMMYFUNCTION("""COMPUTED_VALUE"""),"avg Killing Sprees")</f>
        <v>avg Killing Sprees</v>
      </c>
      <c r="P1" s="916" t="str">
        <f>IFERROR(__xludf.DUMMYFUNCTION("""COMPUTED_VALUE"""),"avg Killing Frenzies")</f>
        <v>avg Killing Frenzies</v>
      </c>
      <c r="Q1" s="916" t="str">
        <f>IFERROR(__xludf.DUMMYFUNCTION("""COMPUTED_VALUE"""),"avg Running Riots")</f>
        <v>avg Running Riots</v>
      </c>
      <c r="R1" s="916" t="str">
        <f>IFERROR(__xludf.DUMMYFUNCTION("""COMPUTED_VALUE"""),"avg Rampages")</f>
        <v>avg Rampages</v>
      </c>
      <c r="S1" s="916" t="str">
        <f>IFERROR(__xludf.DUMMYFUNCTION("""COMPUTED_VALUE"""),"avg Hammer Sprees")</f>
        <v>avg Hammer Sprees</v>
      </c>
      <c r="T1" s="916" t="str">
        <f>IFERROR(__xludf.DUMMYFUNCTION("""COMPUTED_VALUE"""),"avg Sword Sprees")</f>
        <v>avg Sword Sprees</v>
      </c>
      <c r="U1" s="916" t="str">
        <f>IFERROR(__xludf.DUMMYFUNCTION("""COMPUTED_VALUE"""),"avg Double Kills")</f>
        <v>avg Double Kills</v>
      </c>
      <c r="V1" s="916" t="str">
        <f>IFERROR(__xludf.DUMMYFUNCTION("""COMPUTED_VALUE"""),"avg Triple Kills")</f>
        <v>avg Triple Kills</v>
      </c>
      <c r="W1" s="916" t="str">
        <f>IFERROR(__xludf.DUMMYFUNCTION("""COMPUTED_VALUE"""),"avg Overkills")</f>
        <v>avg Overkills</v>
      </c>
      <c r="X1" s="916" t="str">
        <f>IFERROR(__xludf.DUMMYFUNCTION("""COMPUTED_VALUE"""),"avg Killtaculars")</f>
        <v>avg Killtaculars</v>
      </c>
      <c r="Y1" s="916" t="str">
        <f>IFERROR(__xludf.DUMMYFUNCTION("""COMPUTED_VALUE"""),"avg Killtrocities")</f>
        <v>avg Killtrocities</v>
      </c>
      <c r="Z1" s="916" t="str">
        <f>IFERROR(__xludf.DUMMYFUNCTION("""COMPUTED_VALUE"""),"avg Killamanjaros")</f>
        <v>avg Killamanjaros</v>
      </c>
      <c r="AA1" s="916" t="str">
        <f>IFERROR(__xludf.DUMMYFUNCTION("""COMPUTED_VALUE"""),"avg Killtastrophe")</f>
        <v>avg Killtastrophe</v>
      </c>
      <c r="AB1" s="916" t="str">
        <f>IFERROR(__xludf.DUMMYFUNCTION("""COMPUTED_VALUE"""),"avg Killpocalypses")</f>
        <v>avg Killpocalypses</v>
      </c>
      <c r="AC1" s="916" t="str">
        <f>IFERROR(__xludf.DUMMYFUNCTION("""COMPUTED_VALUE"""),"avg Killionaire")</f>
        <v>avg Killionaire</v>
      </c>
      <c r="AD1" s="916" t="str">
        <f>IFERROR(__xludf.DUMMYFUNCTION("""COMPUTED_VALUE"""),"avg Exterms")</f>
        <v>avg Exterms</v>
      </c>
      <c r="AE1" s="916" t="str">
        <f>IFERROR(__xludf.DUMMYFUNCTION("""COMPUTED_VALUE"""),"avg Bulltrues")</f>
        <v>avg Bulltrues</v>
      </c>
      <c r="AF1" s="916"/>
      <c r="AG1" s="916"/>
      <c r="AH1" s="916"/>
      <c r="AI1" s="916"/>
      <c r="AJ1" s="916"/>
      <c r="AK1" s="916"/>
      <c r="AL1" s="916"/>
      <c r="AM1" s="916"/>
      <c r="AN1" s="916"/>
      <c r="AO1" s="916"/>
      <c r="AP1" s="916"/>
      <c r="AQ1" s="916"/>
      <c r="AR1" s="916"/>
      <c r="AS1" s="916"/>
      <c r="AT1" s="916"/>
      <c r="AU1" s="916"/>
      <c r="AV1" s="916"/>
      <c r="AW1" s="917"/>
      <c r="AX1" s="917"/>
    </row>
    <row r="2">
      <c r="A2" s="918" t="s">
        <v>546</v>
      </c>
      <c r="B2" s="898">
        <f>IFERROR(__xludf.DUMMYFUNCTION("""COMPUTED_VALUE"""),0.8522727272727273)</f>
        <v>0.8522727273</v>
      </c>
      <c r="C2" s="898">
        <f>IFERROR(__xludf.DUMMYFUNCTION("""COMPUTED_VALUE"""),3.9119318181818183)</f>
        <v>3.911931818</v>
      </c>
      <c r="D2" s="898">
        <f>IFERROR(__xludf.DUMMYFUNCTION("""COMPUTED_VALUE"""),87.1846590909091)</f>
        <v>87.18465909</v>
      </c>
      <c r="E2" s="898">
        <f>IFERROR(__xludf.DUMMYFUNCTION("""COMPUTED_VALUE"""),90.78835227272727)</f>
        <v>90.78835227</v>
      </c>
      <c r="F2" s="898">
        <f>IFERROR(__xludf.DUMMYFUNCTION("""COMPUTED_VALUE"""),-3.6036931818181817)</f>
        <v>-3.603693182</v>
      </c>
      <c r="G2" s="898">
        <f>IFERROR(__xludf.DUMMYFUNCTION("""COMPUTED_VALUE"""),5.606534090909091)</f>
        <v>5.606534091</v>
      </c>
      <c r="H2" s="898">
        <f>IFERROR(__xludf.DUMMYFUNCTION("""COMPUTED_VALUE"""),5.369318181818182)</f>
        <v>5.369318182</v>
      </c>
      <c r="I2" s="898">
        <f>IFERROR(__xludf.DUMMYFUNCTION("""COMPUTED_VALUE"""),1.5568181818181819)</f>
        <v>1.556818182</v>
      </c>
      <c r="J2" s="898">
        <f>IFERROR(__xludf.DUMMYFUNCTION("""COMPUTED_VALUE"""),1333.09375)</f>
        <v>1333.09375</v>
      </c>
      <c r="K2" s="898">
        <f>IFERROR(__xludf.DUMMYFUNCTION("""COMPUTED_VALUE"""),1693.9147727272727)</f>
        <v>1693.914773</v>
      </c>
      <c r="L2" s="898">
        <f>IFERROR(__xludf.DUMMYFUNCTION("""COMPUTED_VALUE"""),15.669034090909092)</f>
        <v>15.66903409</v>
      </c>
      <c r="M2" s="898">
        <f>IFERROR(__xludf.DUMMYFUNCTION("""COMPUTED_VALUE"""),186.4715909090909)</f>
        <v>186.4715909</v>
      </c>
      <c r="N2" s="898">
        <f>IFERROR(__xludf.DUMMYFUNCTION("""COMPUTED_VALUE"""),0.0)</f>
        <v>0</v>
      </c>
      <c r="O2" s="898">
        <f>IFERROR(__xludf.DUMMYFUNCTION("""COMPUTED_VALUE"""),1.3579545454545454)</f>
        <v>1.357954545</v>
      </c>
      <c r="P2" s="898">
        <f>IFERROR(__xludf.DUMMYFUNCTION("""COMPUTED_VALUE"""),0.04403409090909091)</f>
        <v>0.04403409091</v>
      </c>
      <c r="Q2" s="898">
        <f>IFERROR(__xludf.DUMMYFUNCTION("""COMPUTED_VALUE"""),0.004261363636363636)</f>
        <v>0.004261363636</v>
      </c>
      <c r="R2" s="898">
        <f>IFERROR(__xludf.DUMMYFUNCTION("""COMPUTED_VALUE"""),0.0014204545454545455)</f>
        <v>0.001420454545</v>
      </c>
      <c r="S2" s="898">
        <f>IFERROR(__xludf.DUMMYFUNCTION("""COMPUTED_VALUE"""),0.9346590909090909)</f>
        <v>0.9346590909</v>
      </c>
      <c r="T2" s="898">
        <f>IFERROR(__xludf.DUMMYFUNCTION("""COMPUTED_VALUE"""),0.0014204545454545455)</f>
        <v>0.001420454545</v>
      </c>
      <c r="U2" s="898">
        <f>IFERROR(__xludf.DUMMYFUNCTION("""COMPUTED_VALUE"""),12.252840909090908)</f>
        <v>12.25284091</v>
      </c>
      <c r="V2" s="898">
        <f>IFERROR(__xludf.DUMMYFUNCTION("""COMPUTED_VALUE"""),2.106534090909091)</f>
        <v>2.106534091</v>
      </c>
      <c r="W2" s="898">
        <f>IFERROR(__xludf.DUMMYFUNCTION("""COMPUTED_VALUE"""),0.4303977272727273)</f>
        <v>0.4303977273</v>
      </c>
      <c r="X2" s="898">
        <f>IFERROR(__xludf.DUMMYFUNCTION("""COMPUTED_VALUE"""),0.109375)</f>
        <v>0.109375</v>
      </c>
      <c r="Y2" s="898">
        <f>IFERROR(__xludf.DUMMYFUNCTION("""COMPUTED_VALUE"""),0.03551136363636364)</f>
        <v>0.03551136364</v>
      </c>
      <c r="Z2" s="898">
        <f>IFERROR(__xludf.DUMMYFUNCTION("""COMPUTED_VALUE"""),0.009943181818181818)</f>
        <v>0.009943181818</v>
      </c>
      <c r="AA2" s="898">
        <f>IFERROR(__xludf.DUMMYFUNCTION("""COMPUTED_VALUE"""),0.0014204545454545455)</f>
        <v>0.001420454545</v>
      </c>
      <c r="AB2" s="898">
        <f>IFERROR(__xludf.DUMMYFUNCTION("""COMPUTED_VALUE"""),0.0014204545454545455)</f>
        <v>0.001420454545</v>
      </c>
      <c r="AC2" s="898">
        <f>IFERROR(__xludf.DUMMYFUNCTION("""COMPUTED_VALUE"""),0.0)</f>
        <v>0</v>
      </c>
      <c r="AD2" s="898">
        <f>IFERROR(__xludf.DUMMYFUNCTION("""COMPUTED_VALUE"""),0.007102272727272727)</f>
        <v>0.007102272727</v>
      </c>
      <c r="AE2" s="898">
        <f>IFERROR(__xludf.DUMMYFUNCTION("""COMPUTED_VALUE"""),3.252840909090909)</f>
        <v>3.252840909</v>
      </c>
      <c r="AF2" s="898"/>
      <c r="AG2" s="898"/>
      <c r="AH2" s="898"/>
      <c r="AI2" s="898"/>
      <c r="AJ2" s="898"/>
      <c r="AK2" s="898"/>
      <c r="AL2" s="898"/>
      <c r="AM2" s="898"/>
      <c r="AN2" s="898"/>
      <c r="AO2" s="898"/>
      <c r="AP2" s="898"/>
      <c r="AQ2" s="898"/>
      <c r="AR2" s="898"/>
      <c r="AS2" s="898"/>
      <c r="AT2" s="898"/>
      <c r="AU2" s="898"/>
      <c r="AV2" s="898"/>
      <c r="AW2" s="898"/>
      <c r="AX2" s="898"/>
    </row>
    <row r="3">
      <c r="A3" s="919"/>
      <c r="B3" s="920"/>
      <c r="C3" s="920"/>
      <c r="D3" s="920"/>
      <c r="E3" s="920"/>
      <c r="F3" s="920"/>
      <c r="G3" s="920"/>
      <c r="H3" s="920"/>
      <c r="I3" s="920"/>
      <c r="J3" s="920"/>
      <c r="K3" s="920"/>
      <c r="L3" s="921"/>
      <c r="M3" s="920"/>
      <c r="N3" s="920"/>
      <c r="O3" s="920"/>
      <c r="P3" s="920"/>
      <c r="Q3" s="920"/>
      <c r="R3" s="920"/>
      <c r="S3" s="920"/>
      <c r="T3" s="920"/>
      <c r="U3" s="920"/>
      <c r="V3" s="920"/>
      <c r="W3" s="920"/>
      <c r="X3" s="920"/>
      <c r="Y3" s="920"/>
      <c r="Z3" s="920"/>
      <c r="AA3" s="920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  <c r="AV3" s="920"/>
      <c r="AW3" s="920"/>
      <c r="AX3" s="920"/>
    </row>
    <row r="4">
      <c r="A4" s="918" t="str">
        <f>IFERROR(__xludf.DUMMYFUNCTION("QUERY(HR_MatchH!A:AI, ""select A, Avg(E),Avg(F),Avg(G),Avg(H),Avg(I),Avg(J),Avg(K),Avg(L),Avg(M),Avg(N),Avg(O),Avg(P),Avg(Q),Avg(R),Avg(S),Avg(T),Avg(U),Avg(V),Avg(W),Avg(X),Avg(Y),Avg(Z),Avg(AA),Avg(AB),Avg(AC),Avg(AD),Avg(AE),Avg(AF),Avg(AG),Avg(AH) gro"&amp;"up by A"",1)"),"Player")</f>
        <v>Player</v>
      </c>
      <c r="B4" s="922" t="str">
        <f>IFERROR(__xludf.DUMMYFUNCTION("""COMPUTED_VALUE"""),"avg Goals")</f>
        <v>avg Goals</v>
      </c>
      <c r="C4" s="922" t="str">
        <f>IFERROR(__xludf.DUMMYFUNCTION("""COMPUTED_VALUE"""),"avg Bomb Kills")</f>
        <v>avg Bomb Kills</v>
      </c>
      <c r="D4" s="922" t="str">
        <f>IFERROR(__xludf.DUMMYFUNCTION("""COMPUTED_VALUE"""),"avg Kills")</f>
        <v>avg Kills</v>
      </c>
      <c r="E4" s="922" t="str">
        <f>IFERROR(__xludf.DUMMYFUNCTION("""COMPUTED_VALUE"""),"avg Deaths")</f>
        <v>avg Deaths</v>
      </c>
      <c r="F4" s="922" t="str">
        <f>IFERROR(__xludf.DUMMYFUNCTION("""COMPUTED_VALUE"""),"avg Spread")</f>
        <v>avg Spread</v>
      </c>
      <c r="G4" s="922" t="str">
        <f>IFERROR(__xludf.DUMMYFUNCTION("""COMPUTED_VALUE"""),"avg Assists")</f>
        <v>avg Assists</v>
      </c>
      <c r="H4" s="922" t="str">
        <f>IFERROR(__xludf.DUMMYFUNCTION("""COMPUTED_VALUE"""),"avg Streak")</f>
        <v>avg Streak</v>
      </c>
      <c r="I4" s="922" t="str">
        <f>IFERROR(__xludf.DUMMYFUNCTION("""COMPUTED_VALUE"""),"avg Betrayals")</f>
        <v>avg Betrayals</v>
      </c>
      <c r="J4" s="922" t="str">
        <f>IFERROR(__xludf.DUMMYFUNCTION("""COMPUTED_VALUE"""),"avg Time Alive")</f>
        <v>avg Time Alive</v>
      </c>
      <c r="K4" s="922" t="str">
        <f>IFERROR(__xludf.DUMMYFUNCTION("""COMPUTED_VALUE"""),"avg Game Time")</f>
        <v>avg Game Time</v>
      </c>
      <c r="L4" s="922" t="str">
        <f>IFERROR(__xludf.DUMMYFUNCTION("""COMPUTED_VALUE"""),"avg Average Life")</f>
        <v>avg Average Life</v>
      </c>
      <c r="M4" s="922" t="str">
        <f>IFERROR(__xludf.DUMMYFUNCTION("""COMPUTED_VALUE"""),"avg Carry Time")</f>
        <v>avg Carry Time</v>
      </c>
      <c r="N4" s="922" t="str">
        <f>IFERROR(__xludf.DUMMYFUNCTION("""COMPUTED_VALUE"""),"avg Bomb Stops")</f>
        <v>avg Bomb Stops</v>
      </c>
      <c r="O4" s="922" t="str">
        <f>IFERROR(__xludf.DUMMYFUNCTION("""COMPUTED_VALUE"""),"avg Killing Sprees")</f>
        <v>avg Killing Sprees</v>
      </c>
      <c r="P4" s="922" t="str">
        <f>IFERROR(__xludf.DUMMYFUNCTION("""COMPUTED_VALUE"""),"avg Killing Frenzies")</f>
        <v>avg Killing Frenzies</v>
      </c>
      <c r="Q4" s="922" t="str">
        <f>IFERROR(__xludf.DUMMYFUNCTION("""COMPUTED_VALUE"""),"avg Running Riots")</f>
        <v>avg Running Riots</v>
      </c>
      <c r="R4" s="922" t="str">
        <f>IFERROR(__xludf.DUMMYFUNCTION("""COMPUTED_VALUE"""),"avg Rampages")</f>
        <v>avg Rampages</v>
      </c>
      <c r="S4" s="922" t="str">
        <f>IFERROR(__xludf.DUMMYFUNCTION("""COMPUTED_VALUE"""),"avg Hammer Sprees")</f>
        <v>avg Hammer Sprees</v>
      </c>
      <c r="T4" s="922" t="str">
        <f>IFERROR(__xludf.DUMMYFUNCTION("""COMPUTED_VALUE"""),"avg Sword Sprees")</f>
        <v>avg Sword Sprees</v>
      </c>
      <c r="U4" s="922" t="str">
        <f>IFERROR(__xludf.DUMMYFUNCTION("""COMPUTED_VALUE"""),"avg Double Kills")</f>
        <v>avg Double Kills</v>
      </c>
      <c r="V4" s="922" t="str">
        <f>IFERROR(__xludf.DUMMYFUNCTION("""COMPUTED_VALUE"""),"avg Triple Kills")</f>
        <v>avg Triple Kills</v>
      </c>
      <c r="W4" s="922" t="str">
        <f>IFERROR(__xludf.DUMMYFUNCTION("""COMPUTED_VALUE"""),"avg Overkills")</f>
        <v>avg Overkills</v>
      </c>
      <c r="X4" s="922" t="str">
        <f>IFERROR(__xludf.DUMMYFUNCTION("""COMPUTED_VALUE"""),"avg Killtaculars")</f>
        <v>avg Killtaculars</v>
      </c>
      <c r="Y4" s="922" t="str">
        <f>IFERROR(__xludf.DUMMYFUNCTION("""COMPUTED_VALUE"""),"avg Killtrocities")</f>
        <v>avg Killtrocities</v>
      </c>
      <c r="Z4" s="922" t="str">
        <f>IFERROR(__xludf.DUMMYFUNCTION("""COMPUTED_VALUE"""),"avg Killamanjaros")</f>
        <v>avg Killamanjaros</v>
      </c>
      <c r="AA4" s="922" t="str">
        <f>IFERROR(__xludf.DUMMYFUNCTION("""COMPUTED_VALUE"""),"avg Killtastrophe")</f>
        <v>avg Killtastrophe</v>
      </c>
      <c r="AB4" s="922" t="str">
        <f>IFERROR(__xludf.DUMMYFUNCTION("""COMPUTED_VALUE"""),"avg Killpocalypses")</f>
        <v>avg Killpocalypses</v>
      </c>
      <c r="AC4" s="922" t="str">
        <f>IFERROR(__xludf.DUMMYFUNCTION("""COMPUTED_VALUE"""),"avg Killionaire")</f>
        <v>avg Killionaire</v>
      </c>
      <c r="AD4" s="922" t="str">
        <f>IFERROR(__xludf.DUMMYFUNCTION("""COMPUTED_VALUE"""),"avg Exterms")</f>
        <v>avg Exterms</v>
      </c>
      <c r="AE4" s="922" t="str">
        <f>IFERROR(__xludf.DUMMYFUNCTION("""COMPUTED_VALUE"""),"avg Bulltrues")</f>
        <v>avg Bulltrues</v>
      </c>
      <c r="AF4" s="922"/>
      <c r="AG4" s="922"/>
      <c r="AH4" s="922"/>
      <c r="AI4" s="922"/>
      <c r="AJ4" s="922"/>
      <c r="AK4" s="922"/>
      <c r="AL4" s="922"/>
      <c r="AM4" s="922"/>
      <c r="AN4" s="922"/>
      <c r="AO4" s="922"/>
      <c r="AP4" s="922"/>
      <c r="AQ4" s="922"/>
      <c r="AR4" s="922"/>
      <c r="AS4" s="922"/>
      <c r="AT4" s="922"/>
      <c r="AU4" s="922"/>
      <c r="AV4" s="922"/>
      <c r="AW4" s="922"/>
      <c r="AX4" s="922"/>
    </row>
    <row r="5">
      <c r="A5" s="923"/>
      <c r="B5" s="923"/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923"/>
      <c r="P5" s="923"/>
      <c r="Q5" s="923"/>
      <c r="R5" s="923"/>
      <c r="S5" s="923"/>
      <c r="T5" s="923"/>
      <c r="U5" s="923"/>
      <c r="V5" s="923"/>
      <c r="W5" s="923"/>
      <c r="X5" s="923"/>
      <c r="Y5" s="923"/>
      <c r="Z5" s="923"/>
      <c r="AA5" s="923"/>
      <c r="AB5" s="923"/>
      <c r="AC5" s="923"/>
      <c r="AD5" s="923"/>
      <c r="AE5" s="923"/>
      <c r="AF5" s="923"/>
      <c r="AG5" s="923"/>
      <c r="AH5" s="923"/>
      <c r="AI5" s="923"/>
      <c r="AJ5" s="923"/>
      <c r="AK5" s="923"/>
      <c r="AL5" s="923"/>
      <c r="AM5" s="923"/>
      <c r="AN5" s="923"/>
      <c r="AO5" s="923"/>
      <c r="AP5" s="923"/>
      <c r="AQ5" s="923"/>
      <c r="AR5" s="923"/>
      <c r="AS5" s="923"/>
      <c r="AT5" s="923"/>
      <c r="AU5" s="923"/>
      <c r="AV5" s="923"/>
      <c r="AW5" s="923"/>
      <c r="AX5" s="923"/>
    </row>
    <row r="6">
      <c r="A6" s="923" t="str">
        <f>IFERROR(__xludf.DUMMYFUNCTION("""COMPUTED_VALUE"""),"ADhillyy")</f>
        <v>ADhillyy</v>
      </c>
      <c r="B6" s="923">
        <f>IFERROR(__xludf.DUMMYFUNCTION("""COMPUTED_VALUE"""),0.07142857142857142)</f>
        <v>0.07142857143</v>
      </c>
      <c r="C6" s="923">
        <f>IFERROR(__xludf.DUMMYFUNCTION("""COMPUTED_VALUE"""),0.07142857142857142)</f>
        <v>0.07142857143</v>
      </c>
      <c r="D6" s="923">
        <f>IFERROR(__xludf.DUMMYFUNCTION("""COMPUTED_VALUE"""),58.07142857142857)</f>
        <v>58.07142857</v>
      </c>
      <c r="E6" s="923">
        <f>IFERROR(__xludf.DUMMYFUNCTION("""COMPUTED_VALUE"""),82.64285714285714)</f>
        <v>82.64285714</v>
      </c>
      <c r="F6" s="923">
        <f>IFERROR(__xludf.DUMMYFUNCTION("""COMPUTED_VALUE"""),-24.571428571428573)</f>
        <v>-24.57142857</v>
      </c>
      <c r="G6" s="923">
        <f>IFERROR(__xludf.DUMMYFUNCTION("""COMPUTED_VALUE"""),4.571428571428571)</f>
        <v>4.571428571</v>
      </c>
      <c r="H6" s="923">
        <f>IFERROR(__xludf.DUMMYFUNCTION("""COMPUTED_VALUE"""),3.4285714285714284)</f>
        <v>3.428571429</v>
      </c>
      <c r="I6" s="923">
        <f>IFERROR(__xludf.DUMMYFUNCTION("""COMPUTED_VALUE"""),1.1428571428571428)</f>
        <v>1.142857143</v>
      </c>
      <c r="J6" s="923">
        <f>IFERROR(__xludf.DUMMYFUNCTION("""COMPUTED_VALUE"""),886.7142857142857)</f>
        <v>886.7142857</v>
      </c>
      <c r="K6" s="923">
        <f>IFERROR(__xludf.DUMMYFUNCTION("""COMPUTED_VALUE"""),1219.7857142857142)</f>
        <v>1219.785714</v>
      </c>
      <c r="L6" s="923">
        <f>IFERROR(__xludf.DUMMYFUNCTION("""COMPUTED_VALUE"""),10.0)</f>
        <v>10</v>
      </c>
      <c r="M6" s="923">
        <f>IFERROR(__xludf.DUMMYFUNCTION("""COMPUTED_VALUE"""),5.0)</f>
        <v>5</v>
      </c>
      <c r="N6" s="923">
        <f>IFERROR(__xludf.DUMMYFUNCTION("""COMPUTED_VALUE"""),0.0)</f>
        <v>0</v>
      </c>
      <c r="O6" s="923">
        <f>IFERROR(__xludf.DUMMYFUNCTION("""COMPUTED_VALUE"""),0.14285714285714285)</f>
        <v>0.1428571429</v>
      </c>
      <c r="P6" s="923">
        <f>IFERROR(__xludf.DUMMYFUNCTION("""COMPUTED_VALUE"""),0.0)</f>
        <v>0</v>
      </c>
      <c r="Q6" s="923">
        <f>IFERROR(__xludf.DUMMYFUNCTION("""COMPUTED_VALUE"""),0.0)</f>
        <v>0</v>
      </c>
      <c r="R6" s="923">
        <f>IFERROR(__xludf.DUMMYFUNCTION("""COMPUTED_VALUE"""),0.0)</f>
        <v>0</v>
      </c>
      <c r="S6" s="923">
        <f>IFERROR(__xludf.DUMMYFUNCTION("""COMPUTED_VALUE"""),0.14285714285714285)</f>
        <v>0.1428571429</v>
      </c>
      <c r="T6" s="923">
        <f>IFERROR(__xludf.DUMMYFUNCTION("""COMPUTED_VALUE"""),0.0)</f>
        <v>0</v>
      </c>
      <c r="U6" s="923">
        <f>IFERROR(__xludf.DUMMYFUNCTION("""COMPUTED_VALUE"""),7.357142857142857)</f>
        <v>7.357142857</v>
      </c>
      <c r="V6" s="923">
        <f>IFERROR(__xludf.DUMMYFUNCTION("""COMPUTED_VALUE"""),1.4285714285714286)</f>
        <v>1.428571429</v>
      </c>
      <c r="W6" s="923">
        <f>IFERROR(__xludf.DUMMYFUNCTION("""COMPUTED_VALUE"""),0.14285714285714285)</f>
        <v>0.1428571429</v>
      </c>
      <c r="X6" s="923">
        <f>IFERROR(__xludf.DUMMYFUNCTION("""COMPUTED_VALUE"""),0.0)</f>
        <v>0</v>
      </c>
      <c r="Y6" s="923">
        <f>IFERROR(__xludf.DUMMYFUNCTION("""COMPUTED_VALUE"""),0.0)</f>
        <v>0</v>
      </c>
      <c r="Z6" s="923">
        <f>IFERROR(__xludf.DUMMYFUNCTION("""COMPUTED_VALUE"""),0.0)</f>
        <v>0</v>
      </c>
      <c r="AA6" s="923">
        <f>IFERROR(__xludf.DUMMYFUNCTION("""COMPUTED_VALUE"""),0.0)</f>
        <v>0</v>
      </c>
      <c r="AB6" s="923">
        <f>IFERROR(__xludf.DUMMYFUNCTION("""COMPUTED_VALUE"""),0.0)</f>
        <v>0</v>
      </c>
      <c r="AC6" s="923">
        <f>IFERROR(__xludf.DUMMYFUNCTION("""COMPUTED_VALUE"""),0.0)</f>
        <v>0</v>
      </c>
      <c r="AD6" s="923">
        <f>IFERROR(__xludf.DUMMYFUNCTION("""COMPUTED_VALUE"""),0.0)</f>
        <v>0</v>
      </c>
      <c r="AE6" s="923">
        <f>IFERROR(__xludf.DUMMYFUNCTION("""COMPUTED_VALUE"""),1.8571428571428572)</f>
        <v>1.857142857</v>
      </c>
      <c r="AF6" s="923"/>
      <c r="AG6" s="923"/>
      <c r="AH6" s="923"/>
      <c r="AI6" s="923"/>
      <c r="AJ6" s="923"/>
      <c r="AK6" s="923"/>
      <c r="AL6" s="923"/>
      <c r="AM6" s="923"/>
      <c r="AN6" s="923"/>
      <c r="AO6" s="923"/>
      <c r="AP6" s="923"/>
      <c r="AQ6" s="923"/>
      <c r="AR6" s="923"/>
      <c r="AS6" s="923"/>
      <c r="AT6" s="923"/>
      <c r="AU6" s="923"/>
      <c r="AV6" s="923"/>
      <c r="AW6" s="923"/>
      <c r="AX6" s="923"/>
    </row>
    <row r="7">
      <c r="A7" s="923" t="str">
        <f>IFERROR(__xludf.DUMMYFUNCTION("""COMPUTED_VALUE"""),"ASpence501")</f>
        <v>ASpence501</v>
      </c>
      <c r="B7" s="923">
        <f>IFERROR(__xludf.DUMMYFUNCTION("""COMPUTED_VALUE"""),0.25806451612903225)</f>
        <v>0.2580645161</v>
      </c>
      <c r="C7" s="923">
        <f>IFERROR(__xludf.DUMMYFUNCTION("""COMPUTED_VALUE"""),0.5806451612903226)</f>
        <v>0.5806451613</v>
      </c>
      <c r="D7" s="923">
        <f>IFERROR(__xludf.DUMMYFUNCTION("""COMPUTED_VALUE"""),100.35483870967742)</f>
        <v>100.3548387</v>
      </c>
      <c r="E7" s="923">
        <f>IFERROR(__xludf.DUMMYFUNCTION("""COMPUTED_VALUE"""),101.03225806451613)</f>
        <v>101.0322581</v>
      </c>
      <c r="F7" s="923">
        <f>IFERROR(__xludf.DUMMYFUNCTION("""COMPUTED_VALUE"""),-0.6774193548387096)</f>
        <v>-0.6774193548</v>
      </c>
      <c r="G7" s="923">
        <f>IFERROR(__xludf.DUMMYFUNCTION("""COMPUTED_VALUE"""),8.161290322580646)</f>
        <v>8.161290323</v>
      </c>
      <c r="H7" s="923">
        <f>IFERROR(__xludf.DUMMYFUNCTION("""COMPUTED_VALUE"""),5.193548387096774)</f>
        <v>5.193548387</v>
      </c>
      <c r="I7" s="923">
        <f>IFERROR(__xludf.DUMMYFUNCTION("""COMPUTED_VALUE"""),1.1612903225806452)</f>
        <v>1.161290323</v>
      </c>
      <c r="J7" s="923">
        <f>IFERROR(__xludf.DUMMYFUNCTION("""COMPUTED_VALUE"""),1242.3548387096773)</f>
        <v>1242.354839</v>
      </c>
      <c r="K7" s="923">
        <f>IFERROR(__xludf.DUMMYFUNCTION("""COMPUTED_VALUE"""),1629.8387096774193)</f>
        <v>1629.83871</v>
      </c>
      <c r="L7" s="923">
        <f>IFERROR(__xludf.DUMMYFUNCTION("""COMPUTED_VALUE"""),11.903225806451612)</f>
        <v>11.90322581</v>
      </c>
      <c r="M7" s="923">
        <f>IFERROR(__xludf.DUMMYFUNCTION("""COMPUTED_VALUE"""),14.580645161290322)</f>
        <v>14.58064516</v>
      </c>
      <c r="N7" s="923">
        <f>IFERROR(__xludf.DUMMYFUNCTION("""COMPUTED_VALUE"""),0.0)</f>
        <v>0</v>
      </c>
      <c r="O7" s="923">
        <f>IFERROR(__xludf.DUMMYFUNCTION("""COMPUTED_VALUE"""),1.3870967741935485)</f>
        <v>1.387096774</v>
      </c>
      <c r="P7" s="923">
        <f>IFERROR(__xludf.DUMMYFUNCTION("""COMPUTED_VALUE"""),0.0)</f>
        <v>0</v>
      </c>
      <c r="Q7" s="923">
        <f>IFERROR(__xludf.DUMMYFUNCTION("""COMPUTED_VALUE"""),0.0)</f>
        <v>0</v>
      </c>
      <c r="R7" s="923">
        <f>IFERROR(__xludf.DUMMYFUNCTION("""COMPUTED_VALUE"""),0.0)</f>
        <v>0</v>
      </c>
      <c r="S7" s="923">
        <f>IFERROR(__xludf.DUMMYFUNCTION("""COMPUTED_VALUE"""),1.1290322580645162)</f>
        <v>1.129032258</v>
      </c>
      <c r="T7" s="923">
        <f>IFERROR(__xludf.DUMMYFUNCTION("""COMPUTED_VALUE"""),0.0)</f>
        <v>0</v>
      </c>
      <c r="U7" s="923">
        <f>IFERROR(__xludf.DUMMYFUNCTION("""COMPUTED_VALUE"""),15.806451612903226)</f>
        <v>15.80645161</v>
      </c>
      <c r="V7" s="923">
        <f>IFERROR(__xludf.DUMMYFUNCTION("""COMPUTED_VALUE"""),2.806451612903226)</f>
        <v>2.806451613</v>
      </c>
      <c r="W7" s="923">
        <f>IFERROR(__xludf.DUMMYFUNCTION("""COMPUTED_VALUE"""),0.45161290322580644)</f>
        <v>0.4516129032</v>
      </c>
      <c r="X7" s="923">
        <f>IFERROR(__xludf.DUMMYFUNCTION("""COMPUTED_VALUE"""),0.1935483870967742)</f>
        <v>0.1935483871</v>
      </c>
      <c r="Y7" s="923">
        <f>IFERROR(__xludf.DUMMYFUNCTION("""COMPUTED_VALUE"""),0.03225806451612903)</f>
        <v>0.03225806452</v>
      </c>
      <c r="Z7" s="923">
        <f>IFERROR(__xludf.DUMMYFUNCTION("""COMPUTED_VALUE"""),0.03225806451612903)</f>
        <v>0.03225806452</v>
      </c>
      <c r="AA7" s="923">
        <f>IFERROR(__xludf.DUMMYFUNCTION("""COMPUTED_VALUE"""),0.0)</f>
        <v>0</v>
      </c>
      <c r="AB7" s="923">
        <f>IFERROR(__xludf.DUMMYFUNCTION("""COMPUTED_VALUE"""),0.0)</f>
        <v>0</v>
      </c>
      <c r="AC7" s="923">
        <f>IFERROR(__xludf.DUMMYFUNCTION("""COMPUTED_VALUE"""),0.0)</f>
        <v>0</v>
      </c>
      <c r="AD7" s="923">
        <f>IFERROR(__xludf.DUMMYFUNCTION("""COMPUTED_VALUE"""),0.0)</f>
        <v>0</v>
      </c>
      <c r="AE7" s="923">
        <f>IFERROR(__xludf.DUMMYFUNCTION("""COMPUTED_VALUE"""),4.419354838709677)</f>
        <v>4.419354839</v>
      </c>
      <c r="AF7" s="923"/>
      <c r="AG7" s="923"/>
      <c r="AH7" s="923"/>
      <c r="AI7" s="923"/>
      <c r="AJ7" s="923"/>
      <c r="AK7" s="923"/>
      <c r="AL7" s="923"/>
      <c r="AM7" s="923"/>
      <c r="AN7" s="923"/>
      <c r="AO7" s="923"/>
      <c r="AP7" s="923"/>
      <c r="AQ7" s="923"/>
      <c r="AR7" s="923"/>
      <c r="AS7" s="923"/>
      <c r="AT7" s="923"/>
      <c r="AU7" s="923"/>
      <c r="AV7" s="923"/>
      <c r="AW7" s="923"/>
      <c r="AX7" s="923"/>
    </row>
    <row r="8">
      <c r="A8" s="923" t="str">
        <f>IFERROR(__xludf.DUMMYFUNCTION("""COMPUTED_VALUE"""),"ActiveHate")</f>
        <v>ActiveHate</v>
      </c>
      <c r="B8" s="923">
        <f>IFERROR(__xludf.DUMMYFUNCTION("""COMPUTED_VALUE"""),0.0)</f>
        <v>0</v>
      </c>
      <c r="C8" s="923">
        <f>IFERROR(__xludf.DUMMYFUNCTION("""COMPUTED_VALUE"""),0.05)</f>
        <v>0.05</v>
      </c>
      <c r="D8" s="923">
        <f>IFERROR(__xludf.DUMMYFUNCTION("""COMPUTED_VALUE"""),104.85)</f>
        <v>104.85</v>
      </c>
      <c r="E8" s="923">
        <f>IFERROR(__xludf.DUMMYFUNCTION("""COMPUTED_VALUE"""),138.2)</f>
        <v>138.2</v>
      </c>
      <c r="F8" s="923">
        <f>IFERROR(__xludf.DUMMYFUNCTION("""COMPUTED_VALUE"""),-33.35)</f>
        <v>-33.35</v>
      </c>
      <c r="G8" s="923">
        <f>IFERROR(__xludf.DUMMYFUNCTION("""COMPUTED_VALUE"""),7.8)</f>
        <v>7.8</v>
      </c>
      <c r="H8" s="923">
        <f>IFERROR(__xludf.DUMMYFUNCTION("""COMPUTED_VALUE"""),4.7)</f>
        <v>4.7</v>
      </c>
      <c r="I8" s="923">
        <f>IFERROR(__xludf.DUMMYFUNCTION("""COMPUTED_VALUE"""),1.1)</f>
        <v>1.1</v>
      </c>
      <c r="J8" s="923">
        <f>IFERROR(__xludf.DUMMYFUNCTION("""COMPUTED_VALUE"""),1538.15)</f>
        <v>1538.15</v>
      </c>
      <c r="K8" s="923">
        <f>IFERROR(__xludf.DUMMYFUNCTION("""COMPUTED_VALUE"""),2042.1)</f>
        <v>2042.1</v>
      </c>
      <c r="L8" s="923">
        <f>IFERROR(__xludf.DUMMYFUNCTION("""COMPUTED_VALUE"""),10.65)</f>
        <v>10.65</v>
      </c>
      <c r="M8" s="923">
        <f>IFERROR(__xludf.DUMMYFUNCTION("""COMPUTED_VALUE"""),2.65)</f>
        <v>2.65</v>
      </c>
      <c r="N8" s="923">
        <f>IFERROR(__xludf.DUMMYFUNCTION("""COMPUTED_VALUE"""),0.0)</f>
        <v>0</v>
      </c>
      <c r="O8" s="923">
        <f>IFERROR(__xludf.DUMMYFUNCTION("""COMPUTED_VALUE"""),0.95)</f>
        <v>0.95</v>
      </c>
      <c r="P8" s="923">
        <f>IFERROR(__xludf.DUMMYFUNCTION("""COMPUTED_VALUE"""),0.0)</f>
        <v>0</v>
      </c>
      <c r="Q8" s="923">
        <f>IFERROR(__xludf.DUMMYFUNCTION("""COMPUTED_VALUE"""),0.0)</f>
        <v>0</v>
      </c>
      <c r="R8" s="923">
        <f>IFERROR(__xludf.DUMMYFUNCTION("""COMPUTED_VALUE"""),0.0)</f>
        <v>0</v>
      </c>
      <c r="S8" s="923">
        <f>IFERROR(__xludf.DUMMYFUNCTION("""COMPUTED_VALUE"""),0.85)</f>
        <v>0.85</v>
      </c>
      <c r="T8" s="923">
        <f>IFERROR(__xludf.DUMMYFUNCTION("""COMPUTED_VALUE"""),0.0)</f>
        <v>0</v>
      </c>
      <c r="U8" s="923">
        <f>IFERROR(__xludf.DUMMYFUNCTION("""COMPUTED_VALUE"""),14.3)</f>
        <v>14.3</v>
      </c>
      <c r="V8" s="923">
        <f>IFERROR(__xludf.DUMMYFUNCTION("""COMPUTED_VALUE"""),2.85)</f>
        <v>2.85</v>
      </c>
      <c r="W8" s="923">
        <f>IFERROR(__xludf.DUMMYFUNCTION("""COMPUTED_VALUE"""),0.5)</f>
        <v>0.5</v>
      </c>
      <c r="X8" s="923">
        <f>IFERROR(__xludf.DUMMYFUNCTION("""COMPUTED_VALUE"""),0.0)</f>
        <v>0</v>
      </c>
      <c r="Y8" s="923">
        <f>IFERROR(__xludf.DUMMYFUNCTION("""COMPUTED_VALUE"""),0.0)</f>
        <v>0</v>
      </c>
      <c r="Z8" s="923">
        <f>IFERROR(__xludf.DUMMYFUNCTION("""COMPUTED_VALUE"""),0.0)</f>
        <v>0</v>
      </c>
      <c r="AA8" s="923">
        <f>IFERROR(__xludf.DUMMYFUNCTION("""COMPUTED_VALUE"""),0.0)</f>
        <v>0</v>
      </c>
      <c r="AB8" s="923">
        <f>IFERROR(__xludf.DUMMYFUNCTION("""COMPUTED_VALUE"""),0.0)</f>
        <v>0</v>
      </c>
      <c r="AC8" s="923">
        <f>IFERROR(__xludf.DUMMYFUNCTION("""COMPUTED_VALUE"""),0.0)</f>
        <v>0</v>
      </c>
      <c r="AD8" s="923">
        <f>IFERROR(__xludf.DUMMYFUNCTION("""COMPUTED_VALUE"""),0.0)</f>
        <v>0</v>
      </c>
      <c r="AE8" s="923">
        <f>IFERROR(__xludf.DUMMYFUNCTION("""COMPUTED_VALUE"""),2.55)</f>
        <v>2.55</v>
      </c>
      <c r="AF8" s="923"/>
      <c r="AG8" s="923"/>
      <c r="AH8" s="923"/>
      <c r="AI8" s="923"/>
      <c r="AJ8" s="923"/>
      <c r="AK8" s="923"/>
      <c r="AL8" s="923"/>
      <c r="AM8" s="923"/>
      <c r="AN8" s="923"/>
      <c r="AO8" s="923"/>
      <c r="AP8" s="923"/>
      <c r="AQ8" s="923"/>
      <c r="AR8" s="923"/>
      <c r="AS8" s="923"/>
      <c r="AT8" s="923"/>
      <c r="AU8" s="923"/>
      <c r="AV8" s="923"/>
      <c r="AW8" s="923"/>
      <c r="AX8" s="923"/>
    </row>
    <row r="9">
      <c r="A9" s="923" t="str">
        <f>IFERROR(__xludf.DUMMYFUNCTION("""COMPUTED_VALUE"""),"Almighty Tycoon")</f>
        <v>Almighty Tycoon</v>
      </c>
      <c r="B9" s="923">
        <f>IFERROR(__xludf.DUMMYFUNCTION("""COMPUTED_VALUE"""),0.26666666666666666)</f>
        <v>0.2666666667</v>
      </c>
      <c r="C9" s="923">
        <f>IFERROR(__xludf.DUMMYFUNCTION("""COMPUTED_VALUE"""),0.4666666666666667)</f>
        <v>0.4666666667</v>
      </c>
      <c r="D9" s="923">
        <f>IFERROR(__xludf.DUMMYFUNCTION("""COMPUTED_VALUE"""),80.93333333333334)</f>
        <v>80.93333333</v>
      </c>
      <c r="E9" s="923">
        <f>IFERROR(__xludf.DUMMYFUNCTION("""COMPUTED_VALUE"""),98.73333333333333)</f>
        <v>98.73333333</v>
      </c>
      <c r="F9" s="923">
        <f>IFERROR(__xludf.DUMMYFUNCTION("""COMPUTED_VALUE"""),-17.8)</f>
        <v>-17.8</v>
      </c>
      <c r="G9" s="923">
        <f>IFERROR(__xludf.DUMMYFUNCTION("""COMPUTED_VALUE"""),5.066666666666666)</f>
        <v>5.066666667</v>
      </c>
      <c r="H9" s="923">
        <f>IFERROR(__xludf.DUMMYFUNCTION("""COMPUTED_VALUE"""),4.666666666666667)</f>
        <v>4.666666667</v>
      </c>
      <c r="I9" s="923">
        <f>IFERROR(__xludf.DUMMYFUNCTION("""COMPUTED_VALUE"""),1.4666666666666666)</f>
        <v>1.466666667</v>
      </c>
      <c r="J9" s="923">
        <f>IFERROR(__xludf.DUMMYFUNCTION("""COMPUTED_VALUE"""),1308.0666666666666)</f>
        <v>1308.066667</v>
      </c>
      <c r="K9" s="923">
        <f>IFERROR(__xludf.DUMMYFUNCTION("""COMPUTED_VALUE"""),1684.3333333333333)</f>
        <v>1684.333333</v>
      </c>
      <c r="L9" s="923">
        <f>IFERROR(__xludf.DUMMYFUNCTION("""COMPUTED_VALUE"""),12.733333333333333)</f>
        <v>12.73333333</v>
      </c>
      <c r="M9" s="923">
        <f>IFERROR(__xludf.DUMMYFUNCTION("""COMPUTED_VALUE"""),13.266666666666667)</f>
        <v>13.26666667</v>
      </c>
      <c r="N9" s="923">
        <f>IFERROR(__xludf.DUMMYFUNCTION("""COMPUTED_VALUE"""),0.0)</f>
        <v>0</v>
      </c>
      <c r="O9" s="923">
        <f>IFERROR(__xludf.DUMMYFUNCTION("""COMPUTED_VALUE"""),0.5333333333333333)</f>
        <v>0.5333333333</v>
      </c>
      <c r="P9" s="923">
        <f>IFERROR(__xludf.DUMMYFUNCTION("""COMPUTED_VALUE"""),0.0)</f>
        <v>0</v>
      </c>
      <c r="Q9" s="923">
        <f>IFERROR(__xludf.DUMMYFUNCTION("""COMPUTED_VALUE"""),0.0)</f>
        <v>0</v>
      </c>
      <c r="R9" s="923">
        <f>IFERROR(__xludf.DUMMYFUNCTION("""COMPUTED_VALUE"""),0.0)</f>
        <v>0</v>
      </c>
      <c r="S9" s="923">
        <f>IFERROR(__xludf.DUMMYFUNCTION("""COMPUTED_VALUE"""),0.4666666666666667)</f>
        <v>0.4666666667</v>
      </c>
      <c r="T9" s="923">
        <f>IFERROR(__xludf.DUMMYFUNCTION("""COMPUTED_VALUE"""),0.0)</f>
        <v>0</v>
      </c>
      <c r="U9" s="923">
        <f>IFERROR(__xludf.DUMMYFUNCTION("""COMPUTED_VALUE"""),8.666666666666666)</f>
        <v>8.666666667</v>
      </c>
      <c r="V9" s="923">
        <f>IFERROR(__xludf.DUMMYFUNCTION("""COMPUTED_VALUE"""),1.4666666666666666)</f>
        <v>1.466666667</v>
      </c>
      <c r="W9" s="923">
        <f>IFERROR(__xludf.DUMMYFUNCTION("""COMPUTED_VALUE"""),0.4)</f>
        <v>0.4</v>
      </c>
      <c r="X9" s="923">
        <f>IFERROR(__xludf.DUMMYFUNCTION("""COMPUTED_VALUE"""),0.06666666666666667)</f>
        <v>0.06666666667</v>
      </c>
      <c r="Y9" s="923">
        <f>IFERROR(__xludf.DUMMYFUNCTION("""COMPUTED_VALUE"""),0.06666666666666667)</f>
        <v>0.06666666667</v>
      </c>
      <c r="Z9" s="923">
        <f>IFERROR(__xludf.DUMMYFUNCTION("""COMPUTED_VALUE"""),0.0)</f>
        <v>0</v>
      </c>
      <c r="AA9" s="923">
        <f>IFERROR(__xludf.DUMMYFUNCTION("""COMPUTED_VALUE"""),0.0)</f>
        <v>0</v>
      </c>
      <c r="AB9" s="923">
        <f>IFERROR(__xludf.DUMMYFUNCTION("""COMPUTED_VALUE"""),0.0)</f>
        <v>0</v>
      </c>
      <c r="AC9" s="923">
        <f>IFERROR(__xludf.DUMMYFUNCTION("""COMPUTED_VALUE"""),0.0)</f>
        <v>0</v>
      </c>
      <c r="AD9" s="923">
        <f>IFERROR(__xludf.DUMMYFUNCTION("""COMPUTED_VALUE"""),0.0)</f>
        <v>0</v>
      </c>
      <c r="AE9" s="923">
        <f>IFERROR(__xludf.DUMMYFUNCTION("""COMPUTED_VALUE"""),2.2)</f>
        <v>2.2</v>
      </c>
      <c r="AF9" s="923"/>
      <c r="AG9" s="923"/>
      <c r="AH9" s="923"/>
      <c r="AI9" s="923"/>
      <c r="AJ9" s="923"/>
      <c r="AK9" s="923"/>
      <c r="AL9" s="923"/>
      <c r="AM9" s="923"/>
      <c r="AN9" s="923"/>
      <c r="AO9" s="923"/>
      <c r="AP9" s="923"/>
      <c r="AQ9" s="923"/>
      <c r="AR9" s="923"/>
      <c r="AS9" s="923"/>
      <c r="AT9" s="923"/>
      <c r="AU9" s="923"/>
      <c r="AV9" s="923"/>
      <c r="AW9" s="923"/>
      <c r="AX9" s="923"/>
    </row>
    <row r="10">
      <c r="A10" s="923" t="str">
        <f>IFERROR(__xludf.DUMMYFUNCTION("""COMPUTED_VALUE"""),"AwareMosquito")</f>
        <v>AwareMosquito</v>
      </c>
      <c r="B10" s="923">
        <f>IFERROR(__xludf.DUMMYFUNCTION("""COMPUTED_VALUE"""),0.375)</f>
        <v>0.375</v>
      </c>
      <c r="C10" s="923">
        <f>IFERROR(__xludf.DUMMYFUNCTION("""COMPUTED_VALUE"""),0.875)</f>
        <v>0.875</v>
      </c>
      <c r="D10" s="923">
        <f>IFERROR(__xludf.DUMMYFUNCTION("""COMPUTED_VALUE"""),85.0)</f>
        <v>85</v>
      </c>
      <c r="E10" s="923">
        <f>IFERROR(__xludf.DUMMYFUNCTION("""COMPUTED_VALUE"""),107.5)</f>
        <v>107.5</v>
      </c>
      <c r="F10" s="923">
        <f>IFERROR(__xludf.DUMMYFUNCTION("""COMPUTED_VALUE"""),-22.5)</f>
        <v>-22.5</v>
      </c>
      <c r="G10" s="923">
        <f>IFERROR(__xludf.DUMMYFUNCTION("""COMPUTED_VALUE"""),3.875)</f>
        <v>3.875</v>
      </c>
      <c r="H10" s="923">
        <f>IFERROR(__xludf.DUMMYFUNCTION("""COMPUTED_VALUE"""),4.0)</f>
        <v>4</v>
      </c>
      <c r="I10" s="923">
        <f>IFERROR(__xludf.DUMMYFUNCTION("""COMPUTED_VALUE"""),0.25)</f>
        <v>0.25</v>
      </c>
      <c r="J10" s="923">
        <f>IFERROR(__xludf.DUMMYFUNCTION("""COMPUTED_VALUE"""),1211.5)</f>
        <v>1211.5</v>
      </c>
      <c r="K10" s="923">
        <f>IFERROR(__xludf.DUMMYFUNCTION("""COMPUTED_VALUE"""),1629.75)</f>
        <v>1629.75</v>
      </c>
      <c r="L10" s="923">
        <f>IFERROR(__xludf.DUMMYFUNCTION("""COMPUTED_VALUE"""),10.25)</f>
        <v>10.25</v>
      </c>
      <c r="M10" s="923">
        <f>IFERROR(__xludf.DUMMYFUNCTION("""COMPUTED_VALUE"""),104.0)</f>
        <v>104</v>
      </c>
      <c r="N10" s="923">
        <f>IFERROR(__xludf.DUMMYFUNCTION("""COMPUTED_VALUE"""),0.0)</f>
        <v>0</v>
      </c>
      <c r="O10" s="923">
        <f>IFERROR(__xludf.DUMMYFUNCTION("""COMPUTED_VALUE"""),0.25)</f>
        <v>0.25</v>
      </c>
      <c r="P10" s="923">
        <f>IFERROR(__xludf.DUMMYFUNCTION("""COMPUTED_VALUE"""),0.0)</f>
        <v>0</v>
      </c>
      <c r="Q10" s="923">
        <f>IFERROR(__xludf.DUMMYFUNCTION("""COMPUTED_VALUE"""),0.0)</f>
        <v>0</v>
      </c>
      <c r="R10" s="923">
        <f>IFERROR(__xludf.DUMMYFUNCTION("""COMPUTED_VALUE"""),0.0)</f>
        <v>0</v>
      </c>
      <c r="S10" s="923">
        <f>IFERROR(__xludf.DUMMYFUNCTION("""COMPUTED_VALUE"""),0.25)</f>
        <v>0.25</v>
      </c>
      <c r="T10" s="923">
        <f>IFERROR(__xludf.DUMMYFUNCTION("""COMPUTED_VALUE"""),0.0)</f>
        <v>0</v>
      </c>
      <c r="U10" s="923">
        <f>IFERROR(__xludf.DUMMYFUNCTION("""COMPUTED_VALUE"""),8.625)</f>
        <v>8.625</v>
      </c>
      <c r="V10" s="923">
        <f>IFERROR(__xludf.DUMMYFUNCTION("""COMPUTED_VALUE"""),1.125)</f>
        <v>1.125</v>
      </c>
      <c r="W10" s="923">
        <f>IFERROR(__xludf.DUMMYFUNCTION("""COMPUTED_VALUE"""),0.125)</f>
        <v>0.125</v>
      </c>
      <c r="X10" s="923">
        <f>IFERROR(__xludf.DUMMYFUNCTION("""COMPUTED_VALUE"""),0.0)</f>
        <v>0</v>
      </c>
      <c r="Y10" s="923">
        <f>IFERROR(__xludf.DUMMYFUNCTION("""COMPUTED_VALUE"""),0.0)</f>
        <v>0</v>
      </c>
      <c r="Z10" s="923">
        <f>IFERROR(__xludf.DUMMYFUNCTION("""COMPUTED_VALUE"""),0.0)</f>
        <v>0</v>
      </c>
      <c r="AA10" s="923">
        <f>IFERROR(__xludf.DUMMYFUNCTION("""COMPUTED_VALUE"""),0.0)</f>
        <v>0</v>
      </c>
      <c r="AB10" s="923">
        <f>IFERROR(__xludf.DUMMYFUNCTION("""COMPUTED_VALUE"""),0.0)</f>
        <v>0</v>
      </c>
      <c r="AC10" s="923">
        <f>IFERROR(__xludf.DUMMYFUNCTION("""COMPUTED_VALUE"""),0.0)</f>
        <v>0</v>
      </c>
      <c r="AD10" s="923">
        <f>IFERROR(__xludf.DUMMYFUNCTION("""COMPUTED_VALUE"""),0.0)</f>
        <v>0</v>
      </c>
      <c r="AE10" s="923">
        <f>IFERROR(__xludf.DUMMYFUNCTION("""COMPUTED_VALUE"""),2.5)</f>
        <v>2.5</v>
      </c>
      <c r="AF10" s="923"/>
      <c r="AG10" s="923"/>
      <c r="AH10" s="923"/>
      <c r="AI10" s="923"/>
      <c r="AJ10" s="923"/>
      <c r="AK10" s="923"/>
      <c r="AL10" s="923"/>
      <c r="AM10" s="923"/>
      <c r="AN10" s="923"/>
      <c r="AO10" s="923"/>
      <c r="AP10" s="923"/>
      <c r="AQ10" s="923"/>
      <c r="AR10" s="923"/>
      <c r="AS10" s="923"/>
      <c r="AT10" s="923"/>
      <c r="AU10" s="923"/>
      <c r="AV10" s="923"/>
      <c r="AW10" s="923"/>
      <c r="AX10" s="923"/>
    </row>
    <row r="11">
      <c r="A11" s="923" t="str">
        <f>IFERROR(__xludf.DUMMYFUNCTION("""COMPUTED_VALUE"""),"Beautytism")</f>
        <v>Beautytism</v>
      </c>
      <c r="B11" s="923">
        <f>IFERROR(__xludf.DUMMYFUNCTION("""COMPUTED_VALUE"""),0.2)</f>
        <v>0.2</v>
      </c>
      <c r="C11" s="923">
        <f>IFERROR(__xludf.DUMMYFUNCTION("""COMPUTED_VALUE"""),0.25)</f>
        <v>0.25</v>
      </c>
      <c r="D11" s="923">
        <f>IFERROR(__xludf.DUMMYFUNCTION("""COMPUTED_VALUE"""),79.9)</f>
        <v>79.9</v>
      </c>
      <c r="E11" s="923">
        <f>IFERROR(__xludf.DUMMYFUNCTION("""COMPUTED_VALUE"""),68.05)</f>
        <v>68.05</v>
      </c>
      <c r="F11" s="923">
        <f>IFERROR(__xludf.DUMMYFUNCTION("""COMPUTED_VALUE"""),11.85)</f>
        <v>11.85</v>
      </c>
      <c r="G11" s="923">
        <f>IFERROR(__xludf.DUMMYFUNCTION("""COMPUTED_VALUE"""),7.3)</f>
        <v>7.3</v>
      </c>
      <c r="H11" s="923">
        <f>IFERROR(__xludf.DUMMYFUNCTION("""COMPUTED_VALUE"""),5.8)</f>
        <v>5.8</v>
      </c>
      <c r="I11" s="923">
        <f>IFERROR(__xludf.DUMMYFUNCTION("""COMPUTED_VALUE"""),4.1)</f>
        <v>4.1</v>
      </c>
      <c r="J11" s="923">
        <f>IFERROR(__xludf.DUMMYFUNCTION("""COMPUTED_VALUE"""),1267.9)</f>
        <v>1267.9</v>
      </c>
      <c r="K11" s="923">
        <f>IFERROR(__xludf.DUMMYFUNCTION("""COMPUTED_VALUE"""),1570.15)</f>
        <v>1570.15</v>
      </c>
      <c r="L11" s="923">
        <f>IFERROR(__xludf.DUMMYFUNCTION("""COMPUTED_VALUE"""),18.4)</f>
        <v>18.4</v>
      </c>
      <c r="M11" s="923">
        <f>IFERROR(__xludf.DUMMYFUNCTION("""COMPUTED_VALUE"""),10.95)</f>
        <v>10.95</v>
      </c>
      <c r="N11" s="923">
        <f>IFERROR(__xludf.DUMMYFUNCTION("""COMPUTED_VALUE"""),0.0)</f>
        <v>0</v>
      </c>
      <c r="O11" s="923">
        <f>IFERROR(__xludf.DUMMYFUNCTION("""COMPUTED_VALUE"""),1.85)</f>
        <v>1.85</v>
      </c>
      <c r="P11" s="923">
        <f>IFERROR(__xludf.DUMMYFUNCTION("""COMPUTED_VALUE"""),0.0)</f>
        <v>0</v>
      </c>
      <c r="Q11" s="923">
        <f>IFERROR(__xludf.DUMMYFUNCTION("""COMPUTED_VALUE"""),0.0)</f>
        <v>0</v>
      </c>
      <c r="R11" s="923">
        <f>IFERROR(__xludf.DUMMYFUNCTION("""COMPUTED_VALUE"""),0.0)</f>
        <v>0</v>
      </c>
      <c r="S11" s="923">
        <f>IFERROR(__xludf.DUMMYFUNCTION("""COMPUTED_VALUE"""),1.7)</f>
        <v>1.7</v>
      </c>
      <c r="T11" s="923">
        <f>IFERROR(__xludf.DUMMYFUNCTION("""COMPUTED_VALUE"""),0.0)</f>
        <v>0</v>
      </c>
      <c r="U11" s="923">
        <f>IFERROR(__xludf.DUMMYFUNCTION("""COMPUTED_VALUE"""),9.55)</f>
        <v>9.55</v>
      </c>
      <c r="V11" s="923">
        <f>IFERROR(__xludf.DUMMYFUNCTION("""COMPUTED_VALUE"""),1.25)</f>
        <v>1.25</v>
      </c>
      <c r="W11" s="923">
        <f>IFERROR(__xludf.DUMMYFUNCTION("""COMPUTED_VALUE"""),0.25)</f>
        <v>0.25</v>
      </c>
      <c r="X11" s="923">
        <f>IFERROR(__xludf.DUMMYFUNCTION("""COMPUTED_VALUE"""),0.1)</f>
        <v>0.1</v>
      </c>
      <c r="Y11" s="923">
        <f>IFERROR(__xludf.DUMMYFUNCTION("""COMPUTED_VALUE"""),0.1)</f>
        <v>0.1</v>
      </c>
      <c r="Z11" s="923">
        <f>IFERROR(__xludf.DUMMYFUNCTION("""COMPUTED_VALUE"""),0.0)</f>
        <v>0</v>
      </c>
      <c r="AA11" s="923">
        <f>IFERROR(__xludf.DUMMYFUNCTION("""COMPUTED_VALUE"""),0.0)</f>
        <v>0</v>
      </c>
      <c r="AB11" s="923">
        <f>IFERROR(__xludf.DUMMYFUNCTION("""COMPUTED_VALUE"""),0.0)</f>
        <v>0</v>
      </c>
      <c r="AC11" s="923">
        <f>IFERROR(__xludf.DUMMYFUNCTION("""COMPUTED_VALUE"""),0.0)</f>
        <v>0</v>
      </c>
      <c r="AD11" s="923">
        <f>IFERROR(__xludf.DUMMYFUNCTION("""COMPUTED_VALUE"""),0.0)</f>
        <v>0</v>
      </c>
      <c r="AE11" s="923">
        <f>IFERROR(__xludf.DUMMYFUNCTION("""COMPUTED_VALUE"""),3.7)</f>
        <v>3.7</v>
      </c>
      <c r="AF11" s="923"/>
      <c r="AG11" s="923"/>
      <c r="AH11" s="923"/>
      <c r="AI11" s="923"/>
      <c r="AJ11" s="923"/>
      <c r="AK11" s="923"/>
      <c r="AL11" s="923"/>
      <c r="AM11" s="923"/>
      <c r="AN11" s="923"/>
      <c r="AO11" s="923"/>
      <c r="AP11" s="923"/>
      <c r="AQ11" s="923"/>
      <c r="AR11" s="923"/>
      <c r="AS11" s="923"/>
      <c r="AT11" s="923"/>
      <c r="AU11" s="923"/>
      <c r="AV11" s="923"/>
      <c r="AW11" s="923"/>
      <c r="AX11" s="923"/>
    </row>
    <row r="12">
      <c r="A12" s="923" t="str">
        <f>IFERROR(__xludf.DUMMYFUNCTION("""COMPUTED_VALUE"""),"CaptainSev004")</f>
        <v>CaptainSev004</v>
      </c>
      <c r="B12" s="923">
        <f>IFERROR(__xludf.DUMMYFUNCTION("""COMPUTED_VALUE"""),0.18181818181818182)</f>
        <v>0.1818181818</v>
      </c>
      <c r="C12" s="923">
        <f>IFERROR(__xludf.DUMMYFUNCTION("""COMPUTED_VALUE"""),0.36363636363636365)</f>
        <v>0.3636363636</v>
      </c>
      <c r="D12" s="923">
        <f>IFERROR(__xludf.DUMMYFUNCTION("""COMPUTED_VALUE"""),78.18181818181819)</f>
        <v>78.18181818</v>
      </c>
      <c r="E12" s="923">
        <f>IFERROR(__xludf.DUMMYFUNCTION("""COMPUTED_VALUE"""),95.72727272727273)</f>
        <v>95.72727273</v>
      </c>
      <c r="F12" s="923">
        <f>IFERROR(__xludf.DUMMYFUNCTION("""COMPUTED_VALUE"""),-17.545454545454547)</f>
        <v>-17.54545455</v>
      </c>
      <c r="G12" s="923">
        <f>IFERROR(__xludf.DUMMYFUNCTION("""COMPUTED_VALUE"""),4.818181818181818)</f>
        <v>4.818181818</v>
      </c>
      <c r="H12" s="923">
        <f>IFERROR(__xludf.DUMMYFUNCTION("""COMPUTED_VALUE"""),4.090909090909091)</f>
        <v>4.090909091</v>
      </c>
      <c r="I12" s="923">
        <f>IFERROR(__xludf.DUMMYFUNCTION("""COMPUTED_VALUE"""),1.3636363636363635)</f>
        <v>1.363636364</v>
      </c>
      <c r="J12" s="923">
        <f>IFERROR(__xludf.DUMMYFUNCTION("""COMPUTED_VALUE"""),1314.1818181818182)</f>
        <v>1314.181818</v>
      </c>
      <c r="K12" s="923">
        <f>IFERROR(__xludf.DUMMYFUNCTION("""COMPUTED_VALUE"""),1681.8181818181818)</f>
        <v>1681.818182</v>
      </c>
      <c r="L12" s="923">
        <f>IFERROR(__xludf.DUMMYFUNCTION("""COMPUTED_VALUE"""),13.090909090909092)</f>
        <v>13.09090909</v>
      </c>
      <c r="M12" s="923">
        <f>IFERROR(__xludf.DUMMYFUNCTION("""COMPUTED_VALUE"""),13.454545454545455)</f>
        <v>13.45454545</v>
      </c>
      <c r="N12" s="923">
        <f>IFERROR(__xludf.DUMMYFUNCTION("""COMPUTED_VALUE"""),0.0)</f>
        <v>0</v>
      </c>
      <c r="O12" s="923">
        <f>IFERROR(__xludf.DUMMYFUNCTION("""COMPUTED_VALUE"""),0.6363636363636364)</f>
        <v>0.6363636364</v>
      </c>
      <c r="P12" s="923">
        <f>IFERROR(__xludf.DUMMYFUNCTION("""COMPUTED_VALUE"""),0.0)</f>
        <v>0</v>
      </c>
      <c r="Q12" s="923">
        <f>IFERROR(__xludf.DUMMYFUNCTION("""COMPUTED_VALUE"""),0.0)</f>
        <v>0</v>
      </c>
      <c r="R12" s="923">
        <f>IFERROR(__xludf.DUMMYFUNCTION("""COMPUTED_VALUE"""),0.0)</f>
        <v>0</v>
      </c>
      <c r="S12" s="923">
        <f>IFERROR(__xludf.DUMMYFUNCTION("""COMPUTED_VALUE"""),0.5454545454545454)</f>
        <v>0.5454545455</v>
      </c>
      <c r="T12" s="923">
        <f>IFERROR(__xludf.DUMMYFUNCTION("""COMPUTED_VALUE"""),0.0)</f>
        <v>0</v>
      </c>
      <c r="U12" s="923">
        <f>IFERROR(__xludf.DUMMYFUNCTION("""COMPUTED_VALUE"""),9.181818181818182)</f>
        <v>9.181818182</v>
      </c>
      <c r="V12" s="923">
        <f>IFERROR(__xludf.DUMMYFUNCTION("""COMPUTED_VALUE"""),1.0)</f>
        <v>1</v>
      </c>
      <c r="W12" s="923">
        <f>IFERROR(__xludf.DUMMYFUNCTION("""COMPUTED_VALUE"""),0.0)</f>
        <v>0</v>
      </c>
      <c r="X12" s="923">
        <f>IFERROR(__xludf.DUMMYFUNCTION("""COMPUTED_VALUE"""),0.0)</f>
        <v>0</v>
      </c>
      <c r="Y12" s="923">
        <f>IFERROR(__xludf.DUMMYFUNCTION("""COMPUTED_VALUE"""),0.0)</f>
        <v>0</v>
      </c>
      <c r="Z12" s="923">
        <f>IFERROR(__xludf.DUMMYFUNCTION("""COMPUTED_VALUE"""),0.0)</f>
        <v>0</v>
      </c>
      <c r="AA12" s="923">
        <f>IFERROR(__xludf.DUMMYFUNCTION("""COMPUTED_VALUE"""),0.0)</f>
        <v>0</v>
      </c>
      <c r="AB12" s="923">
        <f>IFERROR(__xludf.DUMMYFUNCTION("""COMPUTED_VALUE"""),0.0)</f>
        <v>0</v>
      </c>
      <c r="AC12" s="923">
        <f>IFERROR(__xludf.DUMMYFUNCTION("""COMPUTED_VALUE"""),0.0)</f>
        <v>0</v>
      </c>
      <c r="AD12" s="923">
        <f>IFERROR(__xludf.DUMMYFUNCTION("""COMPUTED_VALUE"""),0.0)</f>
        <v>0</v>
      </c>
      <c r="AE12" s="923">
        <f>IFERROR(__xludf.DUMMYFUNCTION("""COMPUTED_VALUE"""),2.727272727272727)</f>
        <v>2.727272727</v>
      </c>
      <c r="AF12" s="923"/>
      <c r="AG12" s="923"/>
      <c r="AH12" s="923"/>
      <c r="AI12" s="923"/>
      <c r="AJ12" s="923"/>
      <c r="AK12" s="923"/>
      <c r="AL12" s="923"/>
      <c r="AM12" s="923"/>
      <c r="AN12" s="923"/>
      <c r="AO12" s="923"/>
      <c r="AP12" s="923"/>
      <c r="AQ12" s="923"/>
      <c r="AR12" s="923"/>
      <c r="AS12" s="923"/>
      <c r="AT12" s="923"/>
      <c r="AU12" s="923"/>
      <c r="AV12" s="923"/>
      <c r="AW12" s="923"/>
      <c r="AX12" s="923"/>
    </row>
    <row r="13">
      <c r="A13" s="923" t="str">
        <f>IFERROR(__xludf.DUMMYFUNCTION("""COMPUTED_VALUE"""),"Cell x2")</f>
        <v>Cell x2</v>
      </c>
      <c r="B13" s="923">
        <f>IFERROR(__xludf.DUMMYFUNCTION("""COMPUTED_VALUE"""),1.0769230769230769)</f>
        <v>1.076923077</v>
      </c>
      <c r="C13" s="923">
        <f>IFERROR(__xludf.DUMMYFUNCTION("""COMPUTED_VALUE"""),1.7692307692307692)</f>
        <v>1.769230769</v>
      </c>
      <c r="D13" s="923">
        <f>IFERROR(__xludf.DUMMYFUNCTION("""COMPUTED_VALUE"""),74.0)</f>
        <v>74</v>
      </c>
      <c r="E13" s="923">
        <f>IFERROR(__xludf.DUMMYFUNCTION("""COMPUTED_VALUE"""),79.3076923076923)</f>
        <v>79.30769231</v>
      </c>
      <c r="F13" s="923">
        <f>IFERROR(__xludf.DUMMYFUNCTION("""COMPUTED_VALUE"""),-5.3076923076923075)</f>
        <v>-5.307692308</v>
      </c>
      <c r="G13" s="923">
        <f>IFERROR(__xludf.DUMMYFUNCTION("""COMPUTED_VALUE"""),4.769230769230769)</f>
        <v>4.769230769</v>
      </c>
      <c r="H13" s="923">
        <f>IFERROR(__xludf.DUMMYFUNCTION("""COMPUTED_VALUE"""),4.615384615384615)</f>
        <v>4.615384615</v>
      </c>
      <c r="I13" s="923">
        <f>IFERROR(__xludf.DUMMYFUNCTION("""COMPUTED_VALUE"""),1.2307692307692308)</f>
        <v>1.230769231</v>
      </c>
      <c r="J13" s="923">
        <f>IFERROR(__xludf.DUMMYFUNCTION("""COMPUTED_VALUE"""),1051.2307692307693)</f>
        <v>1051.230769</v>
      </c>
      <c r="K13" s="923">
        <f>IFERROR(__xludf.DUMMYFUNCTION("""COMPUTED_VALUE"""),1375.1538461538462)</f>
        <v>1375.153846</v>
      </c>
      <c r="L13" s="923">
        <f>IFERROR(__xludf.DUMMYFUNCTION("""COMPUTED_VALUE"""),12.692307692307692)</f>
        <v>12.69230769</v>
      </c>
      <c r="M13" s="923">
        <f>IFERROR(__xludf.DUMMYFUNCTION("""COMPUTED_VALUE"""),122.53846153846153)</f>
        <v>122.5384615</v>
      </c>
      <c r="N13" s="923">
        <f>IFERROR(__xludf.DUMMYFUNCTION("""COMPUTED_VALUE"""),0.0)</f>
        <v>0</v>
      </c>
      <c r="O13" s="923">
        <f>IFERROR(__xludf.DUMMYFUNCTION("""COMPUTED_VALUE"""),0.6923076923076923)</f>
        <v>0.6923076923</v>
      </c>
      <c r="P13" s="923">
        <f>IFERROR(__xludf.DUMMYFUNCTION("""COMPUTED_VALUE"""),0.0)</f>
        <v>0</v>
      </c>
      <c r="Q13" s="923">
        <f>IFERROR(__xludf.DUMMYFUNCTION("""COMPUTED_VALUE"""),0.0)</f>
        <v>0</v>
      </c>
      <c r="R13" s="923">
        <f>IFERROR(__xludf.DUMMYFUNCTION("""COMPUTED_VALUE"""),0.0)</f>
        <v>0</v>
      </c>
      <c r="S13" s="923">
        <f>IFERROR(__xludf.DUMMYFUNCTION("""COMPUTED_VALUE"""),0.46153846153846156)</f>
        <v>0.4615384615</v>
      </c>
      <c r="T13" s="923">
        <f>IFERROR(__xludf.DUMMYFUNCTION("""COMPUTED_VALUE"""),0.0)</f>
        <v>0</v>
      </c>
      <c r="U13" s="923">
        <f>IFERROR(__xludf.DUMMYFUNCTION("""COMPUTED_VALUE"""),10.153846153846153)</f>
        <v>10.15384615</v>
      </c>
      <c r="V13" s="923">
        <f>IFERROR(__xludf.DUMMYFUNCTION("""COMPUTED_VALUE"""),2.0)</f>
        <v>2</v>
      </c>
      <c r="W13" s="923">
        <f>IFERROR(__xludf.DUMMYFUNCTION("""COMPUTED_VALUE"""),0.38461538461538464)</f>
        <v>0.3846153846</v>
      </c>
      <c r="X13" s="923">
        <f>IFERROR(__xludf.DUMMYFUNCTION("""COMPUTED_VALUE"""),0.0)</f>
        <v>0</v>
      </c>
      <c r="Y13" s="923">
        <f>IFERROR(__xludf.DUMMYFUNCTION("""COMPUTED_VALUE"""),0.0)</f>
        <v>0</v>
      </c>
      <c r="Z13" s="923">
        <f>IFERROR(__xludf.DUMMYFUNCTION("""COMPUTED_VALUE"""),0.0)</f>
        <v>0</v>
      </c>
      <c r="AA13" s="923">
        <f>IFERROR(__xludf.DUMMYFUNCTION("""COMPUTED_VALUE"""),0.0)</f>
        <v>0</v>
      </c>
      <c r="AB13" s="923">
        <f>IFERROR(__xludf.DUMMYFUNCTION("""COMPUTED_VALUE"""),0.0)</f>
        <v>0</v>
      </c>
      <c r="AC13" s="923">
        <f>IFERROR(__xludf.DUMMYFUNCTION("""COMPUTED_VALUE"""),0.0)</f>
        <v>0</v>
      </c>
      <c r="AD13" s="923">
        <f>IFERROR(__xludf.DUMMYFUNCTION("""COMPUTED_VALUE"""),0.0)</f>
        <v>0</v>
      </c>
      <c r="AE13" s="923">
        <f>IFERROR(__xludf.DUMMYFUNCTION("""COMPUTED_VALUE"""),2.8461538461538463)</f>
        <v>2.846153846</v>
      </c>
      <c r="AF13" s="923"/>
      <c r="AG13" s="923"/>
      <c r="AH13" s="923"/>
      <c r="AI13" s="923"/>
      <c r="AJ13" s="923"/>
      <c r="AK13" s="923"/>
      <c r="AL13" s="923"/>
      <c r="AM13" s="923"/>
      <c r="AN13" s="923"/>
      <c r="AO13" s="923"/>
      <c r="AP13" s="923"/>
      <c r="AQ13" s="923"/>
      <c r="AR13" s="923"/>
      <c r="AS13" s="923"/>
      <c r="AT13" s="923"/>
      <c r="AU13" s="923"/>
      <c r="AV13" s="923"/>
      <c r="AW13" s="923"/>
      <c r="AX13" s="923"/>
    </row>
    <row r="14">
      <c r="A14" s="923" t="str">
        <f>IFERROR(__xludf.DUMMYFUNCTION("""COMPUTED_VALUE"""),"Dhlyn")</f>
        <v>Dhlyn</v>
      </c>
      <c r="B14" s="923">
        <f>IFERROR(__xludf.DUMMYFUNCTION("""COMPUTED_VALUE"""),2.235294117647059)</f>
        <v>2.235294118</v>
      </c>
      <c r="C14" s="923">
        <f>IFERROR(__xludf.DUMMYFUNCTION("""COMPUTED_VALUE"""),15.941176470588236)</f>
        <v>15.94117647</v>
      </c>
      <c r="D14" s="923">
        <f>IFERROR(__xludf.DUMMYFUNCTION("""COMPUTED_VALUE"""),72.47058823529412)</f>
        <v>72.47058824</v>
      </c>
      <c r="E14" s="923">
        <f>IFERROR(__xludf.DUMMYFUNCTION("""COMPUTED_VALUE"""),64.3529411764706)</f>
        <v>64.35294118</v>
      </c>
      <c r="F14" s="923">
        <f>IFERROR(__xludf.DUMMYFUNCTION("""COMPUTED_VALUE"""),8.117647058823529)</f>
        <v>8.117647059</v>
      </c>
      <c r="G14" s="923">
        <f>IFERROR(__xludf.DUMMYFUNCTION("""COMPUTED_VALUE"""),3.411764705882353)</f>
        <v>3.411764706</v>
      </c>
      <c r="H14" s="923">
        <f>IFERROR(__xludf.DUMMYFUNCTION("""COMPUTED_VALUE"""),7.117647058823529)</f>
        <v>7.117647059</v>
      </c>
      <c r="I14" s="923">
        <f>IFERROR(__xludf.DUMMYFUNCTION("""COMPUTED_VALUE"""),1.0588235294117647)</f>
        <v>1.058823529</v>
      </c>
      <c r="J14" s="923">
        <f>IFERROR(__xludf.DUMMYFUNCTION("""COMPUTED_VALUE"""),1337.8235294117646)</f>
        <v>1337.823529</v>
      </c>
      <c r="K14" s="923">
        <f>IFERROR(__xludf.DUMMYFUNCTION("""COMPUTED_VALUE"""),1627.4705882352941)</f>
        <v>1627.470588</v>
      </c>
      <c r="L14" s="923">
        <f>IFERROR(__xludf.DUMMYFUNCTION("""COMPUTED_VALUE"""),22.294117647058822)</f>
        <v>22.29411765</v>
      </c>
      <c r="M14" s="923">
        <f>IFERROR(__xludf.DUMMYFUNCTION("""COMPUTED_VALUE"""),619.8235294117648)</f>
        <v>619.8235294</v>
      </c>
      <c r="N14" s="923">
        <f>IFERROR(__xludf.DUMMYFUNCTION("""COMPUTED_VALUE"""),0.0)</f>
        <v>0</v>
      </c>
      <c r="O14" s="923">
        <f>IFERROR(__xludf.DUMMYFUNCTION("""COMPUTED_VALUE"""),2.176470588235294)</f>
        <v>2.176470588</v>
      </c>
      <c r="P14" s="923">
        <f>IFERROR(__xludf.DUMMYFUNCTION("""COMPUTED_VALUE"""),0.29411764705882354)</f>
        <v>0.2941176471</v>
      </c>
      <c r="Q14" s="923">
        <f>IFERROR(__xludf.DUMMYFUNCTION("""COMPUTED_VALUE"""),0.058823529411764705)</f>
        <v>0.05882352941</v>
      </c>
      <c r="R14" s="923">
        <f>IFERROR(__xludf.DUMMYFUNCTION("""COMPUTED_VALUE"""),0.0)</f>
        <v>0</v>
      </c>
      <c r="S14" s="923">
        <f>IFERROR(__xludf.DUMMYFUNCTION("""COMPUTED_VALUE"""),0.47058823529411764)</f>
        <v>0.4705882353</v>
      </c>
      <c r="T14" s="923">
        <f>IFERROR(__xludf.DUMMYFUNCTION("""COMPUTED_VALUE"""),0.0)</f>
        <v>0</v>
      </c>
      <c r="U14" s="923">
        <f>IFERROR(__xludf.DUMMYFUNCTION("""COMPUTED_VALUE"""),10.294117647058824)</f>
        <v>10.29411765</v>
      </c>
      <c r="V14" s="923">
        <f>IFERROR(__xludf.DUMMYFUNCTION("""COMPUTED_VALUE"""),1.8235294117647058)</f>
        <v>1.823529412</v>
      </c>
      <c r="W14" s="923">
        <f>IFERROR(__xludf.DUMMYFUNCTION("""COMPUTED_VALUE"""),0.47058823529411764)</f>
        <v>0.4705882353</v>
      </c>
      <c r="X14" s="923">
        <f>IFERROR(__xludf.DUMMYFUNCTION("""COMPUTED_VALUE"""),0.17647058823529413)</f>
        <v>0.1764705882</v>
      </c>
      <c r="Y14" s="923">
        <f>IFERROR(__xludf.DUMMYFUNCTION("""COMPUTED_VALUE"""),0.0)</f>
        <v>0</v>
      </c>
      <c r="Z14" s="923">
        <f>IFERROR(__xludf.DUMMYFUNCTION("""COMPUTED_VALUE"""),0.0)</f>
        <v>0</v>
      </c>
      <c r="AA14" s="923">
        <f>IFERROR(__xludf.DUMMYFUNCTION("""COMPUTED_VALUE"""),0.0)</f>
        <v>0</v>
      </c>
      <c r="AB14" s="923">
        <f>IFERROR(__xludf.DUMMYFUNCTION("""COMPUTED_VALUE"""),0.0)</f>
        <v>0</v>
      </c>
      <c r="AC14" s="923">
        <f>IFERROR(__xludf.DUMMYFUNCTION("""COMPUTED_VALUE"""),0.0)</f>
        <v>0</v>
      </c>
      <c r="AD14" s="923">
        <f>IFERROR(__xludf.DUMMYFUNCTION("""COMPUTED_VALUE"""),0.0)</f>
        <v>0</v>
      </c>
      <c r="AE14" s="923">
        <f>IFERROR(__xludf.DUMMYFUNCTION("""COMPUTED_VALUE"""),1.5294117647058822)</f>
        <v>1.529411765</v>
      </c>
      <c r="AF14" s="923"/>
      <c r="AG14" s="923"/>
      <c r="AH14" s="923"/>
      <c r="AI14" s="923"/>
      <c r="AJ14" s="923"/>
      <c r="AK14" s="923"/>
      <c r="AL14" s="923"/>
      <c r="AM14" s="923"/>
      <c r="AN14" s="923"/>
      <c r="AO14" s="923"/>
      <c r="AP14" s="923"/>
      <c r="AQ14" s="923"/>
      <c r="AR14" s="923"/>
      <c r="AS14" s="923"/>
      <c r="AT14" s="923"/>
      <c r="AU14" s="923"/>
      <c r="AV14" s="923"/>
      <c r="AW14" s="923"/>
      <c r="AX14" s="923"/>
    </row>
    <row r="15">
      <c r="A15" s="923" t="str">
        <f>IFERROR(__xludf.DUMMYFUNCTION("""COMPUTED_VALUE"""),"Dior Glori")</f>
        <v>Dior Glori</v>
      </c>
      <c r="B15" s="923">
        <f>IFERROR(__xludf.DUMMYFUNCTION("""COMPUTED_VALUE"""),0.6428571428571429)</f>
        <v>0.6428571429</v>
      </c>
      <c r="C15" s="923">
        <f>IFERROR(__xludf.DUMMYFUNCTION("""COMPUTED_VALUE"""),3.0)</f>
        <v>3</v>
      </c>
      <c r="D15" s="923">
        <f>IFERROR(__xludf.DUMMYFUNCTION("""COMPUTED_VALUE"""),63.285714285714285)</f>
        <v>63.28571429</v>
      </c>
      <c r="E15" s="923">
        <f>IFERROR(__xludf.DUMMYFUNCTION("""COMPUTED_VALUE"""),72.42857142857143)</f>
        <v>72.42857143</v>
      </c>
      <c r="F15" s="923">
        <f>IFERROR(__xludf.DUMMYFUNCTION("""COMPUTED_VALUE"""),-9.142857142857142)</f>
        <v>-9.142857143</v>
      </c>
      <c r="G15" s="923">
        <f>IFERROR(__xludf.DUMMYFUNCTION("""COMPUTED_VALUE"""),4.857142857142857)</f>
        <v>4.857142857</v>
      </c>
      <c r="H15" s="923">
        <f>IFERROR(__xludf.DUMMYFUNCTION("""COMPUTED_VALUE"""),4.928571428571429)</f>
        <v>4.928571429</v>
      </c>
      <c r="I15" s="923">
        <f>IFERROR(__xludf.DUMMYFUNCTION("""COMPUTED_VALUE"""),2.2857142857142856)</f>
        <v>2.285714286</v>
      </c>
      <c r="J15" s="923">
        <f>IFERROR(__xludf.DUMMYFUNCTION("""COMPUTED_VALUE"""),1079.642857142857)</f>
        <v>1079.642857</v>
      </c>
      <c r="K15" s="923">
        <f>IFERROR(__xludf.DUMMYFUNCTION("""COMPUTED_VALUE"""),1383.857142857143)</f>
        <v>1383.857143</v>
      </c>
      <c r="L15" s="923">
        <f>IFERROR(__xludf.DUMMYFUNCTION("""COMPUTED_VALUE"""),14.285714285714286)</f>
        <v>14.28571429</v>
      </c>
      <c r="M15" s="923">
        <f>IFERROR(__xludf.DUMMYFUNCTION("""COMPUTED_VALUE"""),143.64285714285714)</f>
        <v>143.6428571</v>
      </c>
      <c r="N15" s="923">
        <f>IFERROR(__xludf.DUMMYFUNCTION("""COMPUTED_VALUE"""),0.0)</f>
        <v>0</v>
      </c>
      <c r="O15" s="923">
        <f>IFERROR(__xludf.DUMMYFUNCTION("""COMPUTED_VALUE"""),0.5714285714285714)</f>
        <v>0.5714285714</v>
      </c>
      <c r="P15" s="923">
        <f>IFERROR(__xludf.DUMMYFUNCTION("""COMPUTED_VALUE"""),0.0)</f>
        <v>0</v>
      </c>
      <c r="Q15" s="923">
        <f>IFERROR(__xludf.DUMMYFUNCTION("""COMPUTED_VALUE"""),0.0)</f>
        <v>0</v>
      </c>
      <c r="R15" s="923">
        <f>IFERROR(__xludf.DUMMYFUNCTION("""COMPUTED_VALUE"""),0.0)</f>
        <v>0</v>
      </c>
      <c r="S15" s="923">
        <f>IFERROR(__xludf.DUMMYFUNCTION("""COMPUTED_VALUE"""),0.35714285714285715)</f>
        <v>0.3571428571</v>
      </c>
      <c r="T15" s="923">
        <f>IFERROR(__xludf.DUMMYFUNCTION("""COMPUTED_VALUE"""),0.0)</f>
        <v>0</v>
      </c>
      <c r="U15" s="923">
        <f>IFERROR(__xludf.DUMMYFUNCTION("""COMPUTED_VALUE"""),7.642857142857143)</f>
        <v>7.642857143</v>
      </c>
      <c r="V15" s="923">
        <f>IFERROR(__xludf.DUMMYFUNCTION("""COMPUTED_VALUE"""),0.9285714285714286)</f>
        <v>0.9285714286</v>
      </c>
      <c r="W15" s="923">
        <f>IFERROR(__xludf.DUMMYFUNCTION("""COMPUTED_VALUE"""),0.07142857142857142)</f>
        <v>0.07142857143</v>
      </c>
      <c r="X15" s="923">
        <f>IFERROR(__xludf.DUMMYFUNCTION("""COMPUTED_VALUE"""),0.0)</f>
        <v>0</v>
      </c>
      <c r="Y15" s="923">
        <f>IFERROR(__xludf.DUMMYFUNCTION("""COMPUTED_VALUE"""),0.0)</f>
        <v>0</v>
      </c>
      <c r="Z15" s="923">
        <f>IFERROR(__xludf.DUMMYFUNCTION("""COMPUTED_VALUE"""),0.0)</f>
        <v>0</v>
      </c>
      <c r="AA15" s="923">
        <f>IFERROR(__xludf.DUMMYFUNCTION("""COMPUTED_VALUE"""),0.0)</f>
        <v>0</v>
      </c>
      <c r="AB15" s="923">
        <f>IFERROR(__xludf.DUMMYFUNCTION("""COMPUTED_VALUE"""),0.0)</f>
        <v>0</v>
      </c>
      <c r="AC15" s="923">
        <f>IFERROR(__xludf.DUMMYFUNCTION("""COMPUTED_VALUE"""),0.0)</f>
        <v>0</v>
      </c>
      <c r="AD15" s="923">
        <f>IFERROR(__xludf.DUMMYFUNCTION("""COMPUTED_VALUE"""),0.0)</f>
        <v>0</v>
      </c>
      <c r="AE15" s="923">
        <f>IFERROR(__xludf.DUMMYFUNCTION("""COMPUTED_VALUE"""),3.0714285714285716)</f>
        <v>3.071428571</v>
      </c>
      <c r="AF15" s="923"/>
      <c r="AG15" s="923"/>
      <c r="AH15" s="923"/>
      <c r="AI15" s="923"/>
      <c r="AJ15" s="923"/>
      <c r="AK15" s="923"/>
      <c r="AL15" s="923"/>
      <c r="AM15" s="923"/>
      <c r="AN15" s="923"/>
      <c r="AO15" s="923"/>
      <c r="AP15" s="923"/>
      <c r="AQ15" s="923"/>
      <c r="AR15" s="923"/>
      <c r="AS15" s="923"/>
      <c r="AT15" s="923"/>
      <c r="AU15" s="923"/>
      <c r="AV15" s="923"/>
      <c r="AW15" s="923"/>
      <c r="AX15" s="923"/>
    </row>
    <row r="16">
      <c r="A16" s="923" t="str">
        <f>IFERROR(__xludf.DUMMYFUNCTION("""COMPUTED_VALUE"""),"DlGITAL PAIN")</f>
        <v>DlGITAL PAIN</v>
      </c>
      <c r="B16" s="923">
        <f>IFERROR(__xludf.DUMMYFUNCTION("""COMPUTED_VALUE"""),0.22580645161290322)</f>
        <v>0.2258064516</v>
      </c>
      <c r="C16" s="923">
        <f>IFERROR(__xludf.DUMMYFUNCTION("""COMPUTED_VALUE"""),0.7419354838709677)</f>
        <v>0.7419354839</v>
      </c>
      <c r="D16" s="923">
        <f>IFERROR(__xludf.DUMMYFUNCTION("""COMPUTED_VALUE"""),119.48387096774194)</f>
        <v>119.483871</v>
      </c>
      <c r="E16" s="923">
        <f>IFERROR(__xludf.DUMMYFUNCTION("""COMPUTED_VALUE"""),94.51612903225806)</f>
        <v>94.51612903</v>
      </c>
      <c r="F16" s="923">
        <f>IFERROR(__xludf.DUMMYFUNCTION("""COMPUTED_VALUE"""),24.967741935483872)</f>
        <v>24.96774194</v>
      </c>
      <c r="G16" s="923">
        <f>IFERROR(__xludf.DUMMYFUNCTION("""COMPUTED_VALUE"""),7.161290322580645)</f>
        <v>7.161290323</v>
      </c>
      <c r="H16" s="923">
        <f>IFERROR(__xludf.DUMMYFUNCTION("""COMPUTED_VALUE"""),6.774193548387097)</f>
        <v>6.774193548</v>
      </c>
      <c r="I16" s="923">
        <f>IFERROR(__xludf.DUMMYFUNCTION("""COMPUTED_VALUE"""),1.6774193548387097)</f>
        <v>1.677419355</v>
      </c>
      <c r="J16" s="923">
        <f>IFERROR(__xludf.DUMMYFUNCTION("""COMPUTED_VALUE"""),1497.8709677419354)</f>
        <v>1497.870968</v>
      </c>
      <c r="K16" s="923">
        <f>IFERROR(__xludf.DUMMYFUNCTION("""COMPUTED_VALUE"""),1871.8387096774193)</f>
        <v>1871.83871</v>
      </c>
      <c r="L16" s="923">
        <f>IFERROR(__xludf.DUMMYFUNCTION("""COMPUTED_VALUE"""),15.516129032258064)</f>
        <v>15.51612903</v>
      </c>
      <c r="M16" s="923">
        <f>IFERROR(__xludf.DUMMYFUNCTION("""COMPUTED_VALUE"""),25.64516129032258)</f>
        <v>25.64516129</v>
      </c>
      <c r="N16" s="923">
        <f>IFERROR(__xludf.DUMMYFUNCTION("""COMPUTED_VALUE"""),0.0)</f>
        <v>0</v>
      </c>
      <c r="O16" s="923">
        <f>IFERROR(__xludf.DUMMYFUNCTION("""COMPUTED_VALUE"""),2.967741935483871)</f>
        <v>2.967741935</v>
      </c>
      <c r="P16" s="923">
        <f>IFERROR(__xludf.DUMMYFUNCTION("""COMPUTED_VALUE"""),0.06451612903225806)</f>
        <v>0.06451612903</v>
      </c>
      <c r="Q16" s="923">
        <f>IFERROR(__xludf.DUMMYFUNCTION("""COMPUTED_VALUE"""),0.0)</f>
        <v>0</v>
      </c>
      <c r="R16" s="923">
        <f>IFERROR(__xludf.DUMMYFUNCTION("""COMPUTED_VALUE"""),0.0)</f>
        <v>0</v>
      </c>
      <c r="S16" s="923">
        <f>IFERROR(__xludf.DUMMYFUNCTION("""COMPUTED_VALUE"""),2.6774193548387095)</f>
        <v>2.677419355</v>
      </c>
      <c r="T16" s="923">
        <f>IFERROR(__xludf.DUMMYFUNCTION("""COMPUTED_VALUE"""),0.0)</f>
        <v>0</v>
      </c>
      <c r="U16" s="923">
        <f>IFERROR(__xludf.DUMMYFUNCTION("""COMPUTED_VALUE"""),20.451612903225808)</f>
        <v>20.4516129</v>
      </c>
      <c r="V16" s="923">
        <f>IFERROR(__xludf.DUMMYFUNCTION("""COMPUTED_VALUE"""),3.6774193548387095)</f>
        <v>3.677419355</v>
      </c>
      <c r="W16" s="923">
        <f>IFERROR(__xludf.DUMMYFUNCTION("""COMPUTED_VALUE"""),0.7419354838709677)</f>
        <v>0.7419354839</v>
      </c>
      <c r="X16" s="923">
        <f>IFERROR(__xludf.DUMMYFUNCTION("""COMPUTED_VALUE"""),0.3225806451612903)</f>
        <v>0.3225806452</v>
      </c>
      <c r="Y16" s="923">
        <f>IFERROR(__xludf.DUMMYFUNCTION("""COMPUTED_VALUE"""),0.1935483870967742)</f>
        <v>0.1935483871</v>
      </c>
      <c r="Z16" s="923">
        <f>IFERROR(__xludf.DUMMYFUNCTION("""COMPUTED_VALUE"""),0.0967741935483871)</f>
        <v>0.09677419355</v>
      </c>
      <c r="AA16" s="923">
        <f>IFERROR(__xludf.DUMMYFUNCTION("""COMPUTED_VALUE"""),0.0)</f>
        <v>0</v>
      </c>
      <c r="AB16" s="923">
        <f>IFERROR(__xludf.DUMMYFUNCTION("""COMPUTED_VALUE"""),0.0)</f>
        <v>0</v>
      </c>
      <c r="AC16" s="923">
        <f>IFERROR(__xludf.DUMMYFUNCTION("""COMPUTED_VALUE"""),0.0)</f>
        <v>0</v>
      </c>
      <c r="AD16" s="923">
        <f>IFERROR(__xludf.DUMMYFUNCTION("""COMPUTED_VALUE"""),0.06451612903225806)</f>
        <v>0.06451612903</v>
      </c>
      <c r="AE16" s="923">
        <f>IFERROR(__xludf.DUMMYFUNCTION("""COMPUTED_VALUE"""),4.096774193548387)</f>
        <v>4.096774194</v>
      </c>
      <c r="AF16" s="923"/>
      <c r="AG16" s="923"/>
      <c r="AH16" s="923"/>
      <c r="AI16" s="923"/>
      <c r="AJ16" s="923"/>
      <c r="AK16" s="923"/>
      <c r="AL16" s="923"/>
      <c r="AM16" s="923"/>
      <c r="AN16" s="923"/>
      <c r="AO16" s="923"/>
      <c r="AP16" s="923"/>
      <c r="AQ16" s="923"/>
      <c r="AR16" s="923"/>
      <c r="AS16" s="923"/>
      <c r="AT16" s="923"/>
      <c r="AU16" s="923"/>
      <c r="AV16" s="923"/>
      <c r="AW16" s="923"/>
      <c r="AX16" s="923"/>
    </row>
    <row r="17">
      <c r="A17" s="923" t="str">
        <f>IFERROR(__xludf.DUMMYFUNCTION("""COMPUTED_VALUE"""),"Doerstopper")</f>
        <v>Doerstopper</v>
      </c>
      <c r="B17" s="923">
        <f>IFERROR(__xludf.DUMMYFUNCTION("""COMPUTED_VALUE"""),2.5)</f>
        <v>2.5</v>
      </c>
      <c r="C17" s="923">
        <f>IFERROR(__xludf.DUMMYFUNCTION("""COMPUTED_VALUE"""),8.055555555555555)</f>
        <v>8.055555556</v>
      </c>
      <c r="D17" s="923">
        <f>IFERROR(__xludf.DUMMYFUNCTION("""COMPUTED_VALUE"""),64.94444444444444)</f>
        <v>64.94444444</v>
      </c>
      <c r="E17" s="923">
        <f>IFERROR(__xludf.DUMMYFUNCTION("""COMPUTED_VALUE"""),98.77777777777777)</f>
        <v>98.77777778</v>
      </c>
      <c r="F17" s="923">
        <f>IFERROR(__xludf.DUMMYFUNCTION("""COMPUTED_VALUE"""),-33.833333333333336)</f>
        <v>-33.83333333</v>
      </c>
      <c r="G17" s="923">
        <f>IFERROR(__xludf.DUMMYFUNCTION("""COMPUTED_VALUE"""),1.4444444444444444)</f>
        <v>1.444444444</v>
      </c>
      <c r="H17" s="923">
        <f>IFERROR(__xludf.DUMMYFUNCTION("""COMPUTED_VALUE"""),3.7777777777777777)</f>
        <v>3.777777778</v>
      </c>
      <c r="I17" s="923">
        <f>IFERROR(__xludf.DUMMYFUNCTION("""COMPUTED_VALUE"""),0.6111111111111112)</f>
        <v>0.6111111111</v>
      </c>
      <c r="J17" s="923">
        <f>IFERROR(__xludf.DUMMYFUNCTION("""COMPUTED_VALUE"""),1478.888888888889)</f>
        <v>1478.888889</v>
      </c>
      <c r="K17" s="923">
        <f>IFERROR(__xludf.DUMMYFUNCTION("""COMPUTED_VALUE"""),1856.7222222222222)</f>
        <v>1856.722222</v>
      </c>
      <c r="L17" s="923">
        <f>IFERROR(__xludf.DUMMYFUNCTION("""COMPUTED_VALUE"""),16.38888888888889)</f>
        <v>16.38888889</v>
      </c>
      <c r="M17" s="923">
        <f>IFERROR(__xludf.DUMMYFUNCTION("""COMPUTED_VALUE"""),602.1666666666666)</f>
        <v>602.1666667</v>
      </c>
      <c r="N17" s="923">
        <f>IFERROR(__xludf.DUMMYFUNCTION("""COMPUTED_VALUE"""),0.0)</f>
        <v>0</v>
      </c>
      <c r="O17" s="923">
        <f>IFERROR(__xludf.DUMMYFUNCTION("""COMPUTED_VALUE"""),0.3333333333333333)</f>
        <v>0.3333333333</v>
      </c>
      <c r="P17" s="923">
        <f>IFERROR(__xludf.DUMMYFUNCTION("""COMPUTED_VALUE"""),0.0)</f>
        <v>0</v>
      </c>
      <c r="Q17" s="923">
        <f>IFERROR(__xludf.DUMMYFUNCTION("""COMPUTED_VALUE"""),0.0)</f>
        <v>0</v>
      </c>
      <c r="R17" s="923">
        <f>IFERROR(__xludf.DUMMYFUNCTION("""COMPUTED_VALUE"""),0.0)</f>
        <v>0</v>
      </c>
      <c r="S17" s="923">
        <f>IFERROR(__xludf.DUMMYFUNCTION("""COMPUTED_VALUE"""),0.0)</f>
        <v>0</v>
      </c>
      <c r="T17" s="923">
        <f>IFERROR(__xludf.DUMMYFUNCTION("""COMPUTED_VALUE"""),0.05555555555555555)</f>
        <v>0.05555555556</v>
      </c>
      <c r="U17" s="923">
        <f>IFERROR(__xludf.DUMMYFUNCTION("""COMPUTED_VALUE"""),5.388888888888889)</f>
        <v>5.388888889</v>
      </c>
      <c r="V17" s="923">
        <f>IFERROR(__xludf.DUMMYFUNCTION("""COMPUTED_VALUE"""),0.3333333333333333)</f>
        <v>0.3333333333</v>
      </c>
      <c r="W17" s="923">
        <f>IFERROR(__xludf.DUMMYFUNCTION("""COMPUTED_VALUE"""),0.05555555555555555)</f>
        <v>0.05555555556</v>
      </c>
      <c r="X17" s="923">
        <f>IFERROR(__xludf.DUMMYFUNCTION("""COMPUTED_VALUE"""),0.05555555555555555)</f>
        <v>0.05555555556</v>
      </c>
      <c r="Y17" s="923">
        <f>IFERROR(__xludf.DUMMYFUNCTION("""COMPUTED_VALUE"""),0.0)</f>
        <v>0</v>
      </c>
      <c r="Z17" s="923">
        <f>IFERROR(__xludf.DUMMYFUNCTION("""COMPUTED_VALUE"""),0.0)</f>
        <v>0</v>
      </c>
      <c r="AA17" s="923">
        <f>IFERROR(__xludf.DUMMYFUNCTION("""COMPUTED_VALUE"""),0.0)</f>
        <v>0</v>
      </c>
      <c r="AB17" s="923">
        <f>IFERROR(__xludf.DUMMYFUNCTION("""COMPUTED_VALUE"""),0.0)</f>
        <v>0</v>
      </c>
      <c r="AC17" s="923">
        <f>IFERROR(__xludf.DUMMYFUNCTION("""COMPUTED_VALUE"""),0.0)</f>
        <v>0</v>
      </c>
      <c r="AD17" s="923">
        <f>IFERROR(__xludf.DUMMYFUNCTION("""COMPUTED_VALUE"""),0.0)</f>
        <v>0</v>
      </c>
      <c r="AE17" s="923">
        <f>IFERROR(__xludf.DUMMYFUNCTION("""COMPUTED_VALUE"""),0.7777777777777778)</f>
        <v>0.7777777778</v>
      </c>
      <c r="AF17" s="923"/>
      <c r="AG17" s="923"/>
      <c r="AH17" s="923"/>
      <c r="AI17" s="923"/>
      <c r="AJ17" s="923"/>
      <c r="AK17" s="923"/>
      <c r="AL17" s="923"/>
      <c r="AM17" s="923"/>
      <c r="AN17" s="923"/>
      <c r="AO17" s="923"/>
      <c r="AP17" s="923"/>
      <c r="AQ17" s="923"/>
      <c r="AR17" s="923"/>
      <c r="AS17" s="923"/>
      <c r="AT17" s="923"/>
      <c r="AU17" s="923"/>
      <c r="AV17" s="923"/>
      <c r="AW17" s="923"/>
      <c r="AX17" s="923"/>
    </row>
    <row r="18">
      <c r="A18" s="923" t="str">
        <f>IFERROR(__xludf.DUMMYFUNCTION("""COMPUTED_VALUE"""),"EllisGotMyPills")</f>
        <v>EllisGotMyPills</v>
      </c>
      <c r="B18" s="923">
        <f>IFERROR(__xludf.DUMMYFUNCTION("""COMPUTED_VALUE"""),3.2777777777777777)</f>
        <v>3.277777778</v>
      </c>
      <c r="C18" s="923">
        <f>IFERROR(__xludf.DUMMYFUNCTION("""COMPUTED_VALUE"""),18.72222222222222)</f>
        <v>18.72222222</v>
      </c>
      <c r="D18" s="923">
        <f>IFERROR(__xludf.DUMMYFUNCTION("""COMPUTED_VALUE"""),61.888888888888886)</f>
        <v>61.88888889</v>
      </c>
      <c r="E18" s="923">
        <f>IFERROR(__xludf.DUMMYFUNCTION("""COMPUTED_VALUE"""),47.0)</f>
        <v>47</v>
      </c>
      <c r="F18" s="923">
        <f>IFERROR(__xludf.DUMMYFUNCTION("""COMPUTED_VALUE"""),14.88888888888889)</f>
        <v>14.88888889</v>
      </c>
      <c r="G18" s="923">
        <f>IFERROR(__xludf.DUMMYFUNCTION("""COMPUTED_VALUE"""),2.611111111111111)</f>
        <v>2.611111111</v>
      </c>
      <c r="H18" s="923">
        <f>IFERROR(__xludf.DUMMYFUNCTION("""COMPUTED_VALUE"""),6.777777777777778)</f>
        <v>6.777777778</v>
      </c>
      <c r="I18" s="923">
        <f>IFERROR(__xludf.DUMMYFUNCTION("""COMPUTED_VALUE"""),0.7222222222222222)</f>
        <v>0.7222222222</v>
      </c>
      <c r="J18" s="923">
        <f>IFERROR(__xludf.DUMMYFUNCTION("""COMPUTED_VALUE"""),1768.8333333333333)</f>
        <v>1768.833333</v>
      </c>
      <c r="K18" s="923">
        <f>IFERROR(__xludf.DUMMYFUNCTION("""COMPUTED_VALUE"""),2002.8333333333333)</f>
        <v>2002.833333</v>
      </c>
      <c r="L18" s="923">
        <f>IFERROR(__xludf.DUMMYFUNCTION("""COMPUTED_VALUE"""),38.388888888888886)</f>
        <v>38.38888889</v>
      </c>
      <c r="M18" s="923">
        <f>IFERROR(__xludf.DUMMYFUNCTION("""COMPUTED_VALUE"""),1080.1666666666667)</f>
        <v>1080.166667</v>
      </c>
      <c r="N18" s="923">
        <f>IFERROR(__xludf.DUMMYFUNCTION("""COMPUTED_VALUE"""),0.0)</f>
        <v>0</v>
      </c>
      <c r="O18" s="923">
        <f>IFERROR(__xludf.DUMMYFUNCTION("""COMPUTED_VALUE"""),2.0)</f>
        <v>2</v>
      </c>
      <c r="P18" s="923">
        <f>IFERROR(__xludf.DUMMYFUNCTION("""COMPUTED_VALUE"""),0.16666666666666666)</f>
        <v>0.1666666667</v>
      </c>
      <c r="Q18" s="923">
        <f>IFERROR(__xludf.DUMMYFUNCTION("""COMPUTED_VALUE"""),0.0)</f>
        <v>0</v>
      </c>
      <c r="R18" s="923">
        <f>IFERROR(__xludf.DUMMYFUNCTION("""COMPUTED_VALUE"""),0.0)</f>
        <v>0</v>
      </c>
      <c r="S18" s="923">
        <f>IFERROR(__xludf.DUMMYFUNCTION("""COMPUTED_VALUE"""),0.3333333333333333)</f>
        <v>0.3333333333</v>
      </c>
      <c r="T18" s="923">
        <f>IFERROR(__xludf.DUMMYFUNCTION("""COMPUTED_VALUE"""),0.0)</f>
        <v>0</v>
      </c>
      <c r="U18" s="923">
        <f>IFERROR(__xludf.DUMMYFUNCTION("""COMPUTED_VALUE"""),6.388888888888889)</f>
        <v>6.388888889</v>
      </c>
      <c r="V18" s="923">
        <f>IFERROR(__xludf.DUMMYFUNCTION("""COMPUTED_VALUE"""),0.8333333333333334)</f>
        <v>0.8333333333</v>
      </c>
      <c r="W18" s="923">
        <f>IFERROR(__xludf.DUMMYFUNCTION("""COMPUTED_VALUE"""),0.16666666666666666)</f>
        <v>0.1666666667</v>
      </c>
      <c r="X18" s="923">
        <f>IFERROR(__xludf.DUMMYFUNCTION("""COMPUTED_VALUE"""),0.0)</f>
        <v>0</v>
      </c>
      <c r="Y18" s="923">
        <f>IFERROR(__xludf.DUMMYFUNCTION("""COMPUTED_VALUE"""),0.0)</f>
        <v>0</v>
      </c>
      <c r="Z18" s="923">
        <f>IFERROR(__xludf.DUMMYFUNCTION("""COMPUTED_VALUE"""),0.0)</f>
        <v>0</v>
      </c>
      <c r="AA18" s="923">
        <f>IFERROR(__xludf.DUMMYFUNCTION("""COMPUTED_VALUE"""),0.0)</f>
        <v>0</v>
      </c>
      <c r="AB18" s="923">
        <f>IFERROR(__xludf.DUMMYFUNCTION("""COMPUTED_VALUE"""),0.0)</f>
        <v>0</v>
      </c>
      <c r="AC18" s="923">
        <f>IFERROR(__xludf.DUMMYFUNCTION("""COMPUTED_VALUE"""),0.0)</f>
        <v>0</v>
      </c>
      <c r="AD18" s="923">
        <f>IFERROR(__xludf.DUMMYFUNCTION("""COMPUTED_VALUE"""),0.0)</f>
        <v>0</v>
      </c>
      <c r="AE18" s="923">
        <f>IFERROR(__xludf.DUMMYFUNCTION("""COMPUTED_VALUE"""),0.9444444444444444)</f>
        <v>0.9444444444</v>
      </c>
      <c r="AF18" s="923"/>
      <c r="AG18" s="923"/>
      <c r="AH18" s="923"/>
      <c r="AI18" s="923"/>
      <c r="AJ18" s="923"/>
      <c r="AK18" s="923"/>
      <c r="AL18" s="923"/>
      <c r="AM18" s="923"/>
      <c r="AN18" s="923"/>
      <c r="AO18" s="923"/>
      <c r="AP18" s="923"/>
      <c r="AQ18" s="923"/>
      <c r="AR18" s="923"/>
      <c r="AS18" s="923"/>
      <c r="AT18" s="923"/>
      <c r="AU18" s="923"/>
      <c r="AV18" s="923"/>
      <c r="AW18" s="923"/>
      <c r="AX18" s="923"/>
    </row>
    <row r="19">
      <c r="A19" s="923" t="str">
        <f>IFERROR(__xludf.DUMMYFUNCTION("""COMPUTED_VALUE"""),"Finesse God24")</f>
        <v>Finesse God24</v>
      </c>
      <c r="B19" s="923">
        <f>IFERROR(__xludf.DUMMYFUNCTION("""COMPUTED_VALUE"""),0.0)</f>
        <v>0</v>
      </c>
      <c r="C19" s="923">
        <f>IFERROR(__xludf.DUMMYFUNCTION("""COMPUTED_VALUE"""),0.5)</f>
        <v>0.5</v>
      </c>
      <c r="D19" s="923">
        <f>IFERROR(__xludf.DUMMYFUNCTION("""COMPUTED_VALUE"""),48.166666666666664)</f>
        <v>48.16666667</v>
      </c>
      <c r="E19" s="923">
        <f>IFERROR(__xludf.DUMMYFUNCTION("""COMPUTED_VALUE"""),57.333333333333336)</f>
        <v>57.33333333</v>
      </c>
      <c r="F19" s="923">
        <f>IFERROR(__xludf.DUMMYFUNCTION("""COMPUTED_VALUE"""),-9.166666666666666)</f>
        <v>-9.166666667</v>
      </c>
      <c r="G19" s="923">
        <f>IFERROR(__xludf.DUMMYFUNCTION("""COMPUTED_VALUE"""),2.5)</f>
        <v>2.5</v>
      </c>
      <c r="H19" s="923">
        <f>IFERROR(__xludf.DUMMYFUNCTION("""COMPUTED_VALUE"""),3.1666666666666665)</f>
        <v>3.166666667</v>
      </c>
      <c r="I19" s="923">
        <f>IFERROR(__xludf.DUMMYFUNCTION("""COMPUTED_VALUE"""),1.0)</f>
        <v>1</v>
      </c>
      <c r="J19" s="923">
        <f>IFERROR(__xludf.DUMMYFUNCTION("""COMPUTED_VALUE"""),665.1666666666666)</f>
        <v>665.1666667</v>
      </c>
      <c r="K19" s="923">
        <f>IFERROR(__xludf.DUMMYFUNCTION("""COMPUTED_VALUE"""),907.8333333333334)</f>
        <v>907.8333333</v>
      </c>
      <c r="L19" s="923">
        <f>IFERROR(__xludf.DUMMYFUNCTION("""COMPUTED_VALUE"""),11.166666666666666)</f>
        <v>11.16666667</v>
      </c>
      <c r="M19" s="923">
        <f>IFERROR(__xludf.DUMMYFUNCTION("""COMPUTED_VALUE"""),3.5)</f>
        <v>3.5</v>
      </c>
      <c r="N19" s="923">
        <f>IFERROR(__xludf.DUMMYFUNCTION("""COMPUTED_VALUE"""),0.0)</f>
        <v>0</v>
      </c>
      <c r="O19" s="923">
        <f>IFERROR(__xludf.DUMMYFUNCTION("""COMPUTED_VALUE"""),0.0)</f>
        <v>0</v>
      </c>
      <c r="P19" s="923">
        <f>IFERROR(__xludf.DUMMYFUNCTION("""COMPUTED_VALUE"""),0.0)</f>
        <v>0</v>
      </c>
      <c r="Q19" s="923">
        <f>IFERROR(__xludf.DUMMYFUNCTION("""COMPUTED_VALUE"""),0.0)</f>
        <v>0</v>
      </c>
      <c r="R19" s="923">
        <f>IFERROR(__xludf.DUMMYFUNCTION("""COMPUTED_VALUE"""),0.0)</f>
        <v>0</v>
      </c>
      <c r="S19" s="923">
        <f>IFERROR(__xludf.DUMMYFUNCTION("""COMPUTED_VALUE"""),0.0)</f>
        <v>0</v>
      </c>
      <c r="T19" s="923">
        <f>IFERROR(__xludf.DUMMYFUNCTION("""COMPUTED_VALUE"""),0.0)</f>
        <v>0</v>
      </c>
      <c r="U19" s="923">
        <f>IFERROR(__xludf.DUMMYFUNCTION("""COMPUTED_VALUE"""),6.166666666666667)</f>
        <v>6.166666667</v>
      </c>
      <c r="V19" s="923">
        <f>IFERROR(__xludf.DUMMYFUNCTION("""COMPUTED_VALUE"""),0.6666666666666666)</f>
        <v>0.6666666667</v>
      </c>
      <c r="W19" s="923">
        <f>IFERROR(__xludf.DUMMYFUNCTION("""COMPUTED_VALUE"""),0.0)</f>
        <v>0</v>
      </c>
      <c r="X19" s="923">
        <f>IFERROR(__xludf.DUMMYFUNCTION("""COMPUTED_VALUE"""),0.0)</f>
        <v>0</v>
      </c>
      <c r="Y19" s="923">
        <f>IFERROR(__xludf.DUMMYFUNCTION("""COMPUTED_VALUE"""),0.0)</f>
        <v>0</v>
      </c>
      <c r="Z19" s="923">
        <f>IFERROR(__xludf.DUMMYFUNCTION("""COMPUTED_VALUE"""),0.0)</f>
        <v>0</v>
      </c>
      <c r="AA19" s="923">
        <f>IFERROR(__xludf.DUMMYFUNCTION("""COMPUTED_VALUE"""),0.0)</f>
        <v>0</v>
      </c>
      <c r="AB19" s="923">
        <f>IFERROR(__xludf.DUMMYFUNCTION("""COMPUTED_VALUE"""),0.0)</f>
        <v>0</v>
      </c>
      <c r="AC19" s="923">
        <f>IFERROR(__xludf.DUMMYFUNCTION("""COMPUTED_VALUE"""),0.0)</f>
        <v>0</v>
      </c>
      <c r="AD19" s="923">
        <f>IFERROR(__xludf.DUMMYFUNCTION("""COMPUTED_VALUE"""),0.0)</f>
        <v>0</v>
      </c>
      <c r="AE19" s="923">
        <f>IFERROR(__xludf.DUMMYFUNCTION("""COMPUTED_VALUE"""),1.8333333333333333)</f>
        <v>1.833333333</v>
      </c>
      <c r="AF19" s="923"/>
      <c r="AG19" s="923"/>
      <c r="AH19" s="923"/>
      <c r="AI19" s="923"/>
      <c r="AJ19" s="923"/>
      <c r="AK19" s="923"/>
      <c r="AL19" s="923"/>
      <c r="AM19" s="923"/>
      <c r="AN19" s="923"/>
      <c r="AO19" s="923"/>
      <c r="AP19" s="923"/>
      <c r="AQ19" s="923"/>
      <c r="AR19" s="923"/>
      <c r="AS19" s="923"/>
      <c r="AT19" s="923"/>
      <c r="AU19" s="923"/>
      <c r="AV19" s="923"/>
      <c r="AW19" s="923"/>
      <c r="AX19" s="923"/>
    </row>
    <row r="20">
      <c r="A20" s="923" t="str">
        <f>IFERROR(__xludf.DUMMYFUNCTION("""COMPUTED_VALUE"""),"GodSnipezX")</f>
        <v>GodSnipezX</v>
      </c>
      <c r="B20" s="923">
        <f>IFERROR(__xludf.DUMMYFUNCTION("""COMPUTED_VALUE"""),0.7272727272727273)</f>
        <v>0.7272727273</v>
      </c>
      <c r="C20" s="923">
        <f>IFERROR(__xludf.DUMMYFUNCTION("""COMPUTED_VALUE"""),0.18181818181818182)</f>
        <v>0.1818181818</v>
      </c>
      <c r="D20" s="923">
        <f>IFERROR(__xludf.DUMMYFUNCTION("""COMPUTED_VALUE"""),88.86363636363636)</f>
        <v>88.86363636</v>
      </c>
      <c r="E20" s="923">
        <f>IFERROR(__xludf.DUMMYFUNCTION("""COMPUTED_VALUE"""),91.04545454545455)</f>
        <v>91.04545455</v>
      </c>
      <c r="F20" s="923">
        <f>IFERROR(__xludf.DUMMYFUNCTION("""COMPUTED_VALUE"""),-2.1818181818181817)</f>
        <v>-2.181818182</v>
      </c>
      <c r="G20" s="923">
        <f>IFERROR(__xludf.DUMMYFUNCTION("""COMPUTED_VALUE"""),5.5)</f>
        <v>5.5</v>
      </c>
      <c r="H20" s="923">
        <f>IFERROR(__xludf.DUMMYFUNCTION("""COMPUTED_VALUE"""),5.409090909090909)</f>
        <v>5.409090909</v>
      </c>
      <c r="I20" s="923">
        <f>IFERROR(__xludf.DUMMYFUNCTION("""COMPUTED_VALUE"""),0.8181818181818182)</f>
        <v>0.8181818182</v>
      </c>
      <c r="J20" s="923">
        <f>IFERROR(__xludf.DUMMYFUNCTION("""COMPUTED_VALUE"""),1187.409090909091)</f>
        <v>1187.409091</v>
      </c>
      <c r="K20" s="923">
        <f>IFERROR(__xludf.DUMMYFUNCTION("""COMPUTED_VALUE"""),1549.2727272727273)</f>
        <v>1549.272727</v>
      </c>
      <c r="L20" s="923">
        <f>IFERROR(__xludf.DUMMYFUNCTION("""COMPUTED_VALUE"""),12.636363636363637)</f>
        <v>12.63636364</v>
      </c>
      <c r="M20" s="923">
        <f>IFERROR(__xludf.DUMMYFUNCTION("""COMPUTED_VALUE"""),16.045454545454547)</f>
        <v>16.04545455</v>
      </c>
      <c r="N20" s="923">
        <f>IFERROR(__xludf.DUMMYFUNCTION("""COMPUTED_VALUE"""),0.0)</f>
        <v>0</v>
      </c>
      <c r="O20" s="923">
        <f>IFERROR(__xludf.DUMMYFUNCTION("""COMPUTED_VALUE"""),1.0909090909090908)</f>
        <v>1.090909091</v>
      </c>
      <c r="P20" s="923">
        <f>IFERROR(__xludf.DUMMYFUNCTION("""COMPUTED_VALUE"""),0.0)</f>
        <v>0</v>
      </c>
      <c r="Q20" s="923">
        <f>IFERROR(__xludf.DUMMYFUNCTION("""COMPUTED_VALUE"""),0.0)</f>
        <v>0</v>
      </c>
      <c r="R20" s="923">
        <f>IFERROR(__xludf.DUMMYFUNCTION("""COMPUTED_VALUE"""),0.0)</f>
        <v>0</v>
      </c>
      <c r="S20" s="923">
        <f>IFERROR(__xludf.DUMMYFUNCTION("""COMPUTED_VALUE"""),1.0)</f>
        <v>1</v>
      </c>
      <c r="T20" s="923">
        <f>IFERROR(__xludf.DUMMYFUNCTION("""COMPUTED_VALUE"""),0.0)</f>
        <v>0</v>
      </c>
      <c r="U20" s="923">
        <f>IFERROR(__xludf.DUMMYFUNCTION("""COMPUTED_VALUE"""),12.681818181818182)</f>
        <v>12.68181818</v>
      </c>
      <c r="V20" s="923">
        <f>IFERROR(__xludf.DUMMYFUNCTION("""COMPUTED_VALUE"""),2.0)</f>
        <v>2</v>
      </c>
      <c r="W20" s="923">
        <f>IFERROR(__xludf.DUMMYFUNCTION("""COMPUTED_VALUE"""),0.45454545454545453)</f>
        <v>0.4545454545</v>
      </c>
      <c r="X20" s="923">
        <f>IFERROR(__xludf.DUMMYFUNCTION("""COMPUTED_VALUE"""),0.09090909090909091)</f>
        <v>0.09090909091</v>
      </c>
      <c r="Y20" s="923">
        <f>IFERROR(__xludf.DUMMYFUNCTION("""COMPUTED_VALUE"""),0.0)</f>
        <v>0</v>
      </c>
      <c r="Z20" s="923">
        <f>IFERROR(__xludf.DUMMYFUNCTION("""COMPUTED_VALUE"""),0.0)</f>
        <v>0</v>
      </c>
      <c r="AA20" s="923">
        <f>IFERROR(__xludf.DUMMYFUNCTION("""COMPUTED_VALUE"""),0.0)</f>
        <v>0</v>
      </c>
      <c r="AB20" s="923">
        <f>IFERROR(__xludf.DUMMYFUNCTION("""COMPUTED_VALUE"""),0.0)</f>
        <v>0</v>
      </c>
      <c r="AC20" s="923">
        <f>IFERROR(__xludf.DUMMYFUNCTION("""COMPUTED_VALUE"""),0.0)</f>
        <v>0</v>
      </c>
      <c r="AD20" s="923">
        <f>IFERROR(__xludf.DUMMYFUNCTION("""COMPUTED_VALUE"""),0.045454545454545456)</f>
        <v>0.04545454545</v>
      </c>
      <c r="AE20" s="923">
        <f>IFERROR(__xludf.DUMMYFUNCTION("""COMPUTED_VALUE"""),5.090909090909091)</f>
        <v>5.090909091</v>
      </c>
      <c r="AF20" s="923"/>
      <c r="AG20" s="923"/>
      <c r="AH20" s="923"/>
      <c r="AI20" s="923"/>
      <c r="AJ20" s="923"/>
      <c r="AK20" s="923"/>
      <c r="AL20" s="923"/>
      <c r="AM20" s="923"/>
      <c r="AN20" s="923"/>
      <c r="AO20" s="923"/>
      <c r="AP20" s="923"/>
      <c r="AQ20" s="923"/>
      <c r="AR20" s="923"/>
      <c r="AS20" s="923"/>
      <c r="AT20" s="923"/>
      <c r="AU20" s="923"/>
      <c r="AV20" s="923"/>
      <c r="AW20" s="923"/>
      <c r="AX20" s="923"/>
    </row>
    <row r="21">
      <c r="A21" s="923" t="str">
        <f>IFERROR(__xludf.DUMMYFUNCTION("""COMPUTED_VALUE"""),"Hells Angel cx")</f>
        <v>Hells Angel cx</v>
      </c>
      <c r="B21" s="923">
        <f>IFERROR(__xludf.DUMMYFUNCTION("""COMPUTED_VALUE"""),2.7)</f>
        <v>2.7</v>
      </c>
      <c r="C21" s="923">
        <f>IFERROR(__xludf.DUMMYFUNCTION("""COMPUTED_VALUE"""),13.9)</f>
        <v>13.9</v>
      </c>
      <c r="D21" s="923">
        <f>IFERROR(__xludf.DUMMYFUNCTION("""COMPUTED_VALUE"""),69.35)</f>
        <v>69.35</v>
      </c>
      <c r="E21" s="923">
        <f>IFERROR(__xludf.DUMMYFUNCTION("""COMPUTED_VALUE"""),69.55)</f>
        <v>69.55</v>
      </c>
      <c r="F21" s="923">
        <f>IFERROR(__xludf.DUMMYFUNCTION("""COMPUTED_VALUE"""),-0.2)</f>
        <v>-0.2</v>
      </c>
      <c r="G21" s="923">
        <f>IFERROR(__xludf.DUMMYFUNCTION("""COMPUTED_VALUE"""),4.95)</f>
        <v>4.95</v>
      </c>
      <c r="H21" s="923">
        <f>IFERROR(__xludf.DUMMYFUNCTION("""COMPUTED_VALUE"""),6.2)</f>
        <v>6.2</v>
      </c>
      <c r="I21" s="923">
        <f>IFERROR(__xludf.DUMMYFUNCTION("""COMPUTED_VALUE"""),2.2)</f>
        <v>2.2</v>
      </c>
      <c r="J21" s="923">
        <f>IFERROR(__xludf.DUMMYFUNCTION("""COMPUTED_VALUE"""),1265.35)</f>
        <v>1265.35</v>
      </c>
      <c r="K21" s="923">
        <f>IFERROR(__xludf.DUMMYFUNCTION("""COMPUTED_VALUE"""),1570.15)</f>
        <v>1570.15</v>
      </c>
      <c r="L21" s="923">
        <f>IFERROR(__xludf.DUMMYFUNCTION("""COMPUTED_VALUE"""),18.4)</f>
        <v>18.4</v>
      </c>
      <c r="M21" s="923">
        <f>IFERROR(__xludf.DUMMYFUNCTION("""COMPUTED_VALUE"""),456.25)</f>
        <v>456.25</v>
      </c>
      <c r="N21" s="923">
        <f>IFERROR(__xludf.DUMMYFUNCTION("""COMPUTED_VALUE"""),0.0)</f>
        <v>0</v>
      </c>
      <c r="O21" s="923">
        <f>IFERROR(__xludf.DUMMYFUNCTION("""COMPUTED_VALUE"""),1.2)</f>
        <v>1.2</v>
      </c>
      <c r="P21" s="923">
        <f>IFERROR(__xludf.DUMMYFUNCTION("""COMPUTED_VALUE"""),0.15)</f>
        <v>0.15</v>
      </c>
      <c r="Q21" s="923">
        <f>IFERROR(__xludf.DUMMYFUNCTION("""COMPUTED_VALUE"""),0.0)</f>
        <v>0</v>
      </c>
      <c r="R21" s="923">
        <f>IFERROR(__xludf.DUMMYFUNCTION("""COMPUTED_VALUE"""),0.0)</f>
        <v>0</v>
      </c>
      <c r="S21" s="923">
        <f>IFERROR(__xludf.DUMMYFUNCTION("""COMPUTED_VALUE"""),0.15)</f>
        <v>0.15</v>
      </c>
      <c r="T21" s="923">
        <f>IFERROR(__xludf.DUMMYFUNCTION("""COMPUTED_VALUE"""),0.0)</f>
        <v>0</v>
      </c>
      <c r="U21" s="923">
        <f>IFERROR(__xludf.DUMMYFUNCTION("""COMPUTED_VALUE"""),9.6)</f>
        <v>9.6</v>
      </c>
      <c r="V21" s="923">
        <f>IFERROR(__xludf.DUMMYFUNCTION("""COMPUTED_VALUE"""),1.45)</f>
        <v>1.45</v>
      </c>
      <c r="W21" s="923">
        <f>IFERROR(__xludf.DUMMYFUNCTION("""COMPUTED_VALUE"""),0.25)</f>
        <v>0.25</v>
      </c>
      <c r="X21" s="923">
        <f>IFERROR(__xludf.DUMMYFUNCTION("""COMPUTED_VALUE"""),0.0)</f>
        <v>0</v>
      </c>
      <c r="Y21" s="923">
        <f>IFERROR(__xludf.DUMMYFUNCTION("""COMPUTED_VALUE"""),0.0)</f>
        <v>0</v>
      </c>
      <c r="Z21" s="923">
        <f>IFERROR(__xludf.DUMMYFUNCTION("""COMPUTED_VALUE"""),0.0)</f>
        <v>0</v>
      </c>
      <c r="AA21" s="923">
        <f>IFERROR(__xludf.DUMMYFUNCTION("""COMPUTED_VALUE"""),0.0)</f>
        <v>0</v>
      </c>
      <c r="AB21" s="923">
        <f>IFERROR(__xludf.DUMMYFUNCTION("""COMPUTED_VALUE"""),0.0)</f>
        <v>0</v>
      </c>
      <c r="AC21" s="923">
        <f>IFERROR(__xludf.DUMMYFUNCTION("""COMPUTED_VALUE"""),0.0)</f>
        <v>0</v>
      </c>
      <c r="AD21" s="923">
        <f>IFERROR(__xludf.DUMMYFUNCTION("""COMPUTED_VALUE"""),0.0)</f>
        <v>0</v>
      </c>
      <c r="AE21" s="923">
        <f>IFERROR(__xludf.DUMMYFUNCTION("""COMPUTED_VALUE"""),0.9)</f>
        <v>0.9</v>
      </c>
      <c r="AF21" s="923"/>
      <c r="AG21" s="923"/>
      <c r="AH21" s="923"/>
      <c r="AI21" s="923"/>
      <c r="AJ21" s="923"/>
      <c r="AK21" s="923"/>
      <c r="AL21" s="923"/>
      <c r="AM21" s="923"/>
      <c r="AN21" s="923"/>
      <c r="AO21" s="923"/>
      <c r="AP21" s="923"/>
      <c r="AQ21" s="923"/>
      <c r="AR21" s="923"/>
      <c r="AS21" s="923"/>
      <c r="AT21" s="923"/>
      <c r="AU21" s="923"/>
      <c r="AV21" s="923"/>
      <c r="AW21" s="923"/>
      <c r="AX21" s="923"/>
    </row>
    <row r="22">
      <c r="A22" s="923" t="str">
        <f>IFERROR(__xludf.DUMMYFUNCTION("""COMPUTED_VALUE"""),"InfiniteRainge")</f>
        <v>InfiniteRainge</v>
      </c>
      <c r="B22" s="923">
        <f>IFERROR(__xludf.DUMMYFUNCTION("""COMPUTED_VALUE"""),0.0625)</f>
        <v>0.0625</v>
      </c>
      <c r="C22" s="923">
        <f>IFERROR(__xludf.DUMMYFUNCTION("""COMPUTED_VALUE"""),0.3125)</f>
        <v>0.3125</v>
      </c>
      <c r="D22" s="923">
        <f>IFERROR(__xludf.DUMMYFUNCTION("""COMPUTED_VALUE"""),109.875)</f>
        <v>109.875</v>
      </c>
      <c r="E22" s="923">
        <f>IFERROR(__xludf.DUMMYFUNCTION("""COMPUTED_VALUE"""),98.375)</f>
        <v>98.375</v>
      </c>
      <c r="F22" s="923">
        <f>IFERROR(__xludf.DUMMYFUNCTION("""COMPUTED_VALUE"""),11.5)</f>
        <v>11.5</v>
      </c>
      <c r="G22" s="923">
        <f>IFERROR(__xludf.DUMMYFUNCTION("""COMPUTED_VALUE"""),7.625)</f>
        <v>7.625</v>
      </c>
      <c r="H22" s="923">
        <f>IFERROR(__xludf.DUMMYFUNCTION("""COMPUTED_VALUE"""),5.5625)</f>
        <v>5.5625</v>
      </c>
      <c r="I22" s="923">
        <f>IFERROR(__xludf.DUMMYFUNCTION("""COMPUTED_VALUE"""),1.75)</f>
        <v>1.75</v>
      </c>
      <c r="J22" s="923">
        <f>IFERROR(__xludf.DUMMYFUNCTION("""COMPUTED_VALUE"""),1417.125)</f>
        <v>1417.125</v>
      </c>
      <c r="K22" s="923">
        <f>IFERROR(__xludf.DUMMYFUNCTION("""COMPUTED_VALUE"""),1795.9375)</f>
        <v>1795.9375</v>
      </c>
      <c r="L22" s="923">
        <f>IFERROR(__xludf.DUMMYFUNCTION("""COMPUTED_VALUE"""),13.3125)</f>
        <v>13.3125</v>
      </c>
      <c r="M22" s="923">
        <f>IFERROR(__xludf.DUMMYFUNCTION("""COMPUTED_VALUE"""),6.8125)</f>
        <v>6.8125</v>
      </c>
      <c r="N22" s="923">
        <f>IFERROR(__xludf.DUMMYFUNCTION("""COMPUTED_VALUE"""),0.0)</f>
        <v>0</v>
      </c>
      <c r="O22" s="923">
        <f>IFERROR(__xludf.DUMMYFUNCTION("""COMPUTED_VALUE"""),2.125)</f>
        <v>2.125</v>
      </c>
      <c r="P22" s="923">
        <f>IFERROR(__xludf.DUMMYFUNCTION("""COMPUTED_VALUE"""),0.0)</f>
        <v>0</v>
      </c>
      <c r="Q22" s="923">
        <f>IFERROR(__xludf.DUMMYFUNCTION("""COMPUTED_VALUE"""),0.0)</f>
        <v>0</v>
      </c>
      <c r="R22" s="923">
        <f>IFERROR(__xludf.DUMMYFUNCTION("""COMPUTED_VALUE"""),0.0)</f>
        <v>0</v>
      </c>
      <c r="S22" s="923">
        <f>IFERROR(__xludf.DUMMYFUNCTION("""COMPUTED_VALUE"""),1.8125)</f>
        <v>1.8125</v>
      </c>
      <c r="T22" s="923">
        <f>IFERROR(__xludf.DUMMYFUNCTION("""COMPUTED_VALUE"""),0.0)</f>
        <v>0</v>
      </c>
      <c r="U22" s="923">
        <f>IFERROR(__xludf.DUMMYFUNCTION("""COMPUTED_VALUE"""),17.625)</f>
        <v>17.625</v>
      </c>
      <c r="V22" s="923">
        <f>IFERROR(__xludf.DUMMYFUNCTION("""COMPUTED_VALUE"""),3.25)</f>
        <v>3.25</v>
      </c>
      <c r="W22" s="923">
        <f>IFERROR(__xludf.DUMMYFUNCTION("""COMPUTED_VALUE"""),0.875)</f>
        <v>0.875</v>
      </c>
      <c r="X22" s="923">
        <f>IFERROR(__xludf.DUMMYFUNCTION("""COMPUTED_VALUE"""),0.25)</f>
        <v>0.25</v>
      </c>
      <c r="Y22" s="923">
        <f>IFERROR(__xludf.DUMMYFUNCTION("""COMPUTED_VALUE"""),0.0625)</f>
        <v>0.0625</v>
      </c>
      <c r="Z22" s="923">
        <f>IFERROR(__xludf.DUMMYFUNCTION("""COMPUTED_VALUE"""),0.0)</f>
        <v>0</v>
      </c>
      <c r="AA22" s="923">
        <f>IFERROR(__xludf.DUMMYFUNCTION("""COMPUTED_VALUE"""),0.0)</f>
        <v>0</v>
      </c>
      <c r="AB22" s="923">
        <f>IFERROR(__xludf.DUMMYFUNCTION("""COMPUTED_VALUE"""),0.0)</f>
        <v>0</v>
      </c>
      <c r="AC22" s="923">
        <f>IFERROR(__xludf.DUMMYFUNCTION("""COMPUTED_VALUE"""),0.0)</f>
        <v>0</v>
      </c>
      <c r="AD22" s="923">
        <f>IFERROR(__xludf.DUMMYFUNCTION("""COMPUTED_VALUE"""),0.0)</f>
        <v>0</v>
      </c>
      <c r="AE22" s="923">
        <f>IFERROR(__xludf.DUMMYFUNCTION("""COMPUTED_VALUE"""),3.375)</f>
        <v>3.375</v>
      </c>
      <c r="AF22" s="923"/>
      <c r="AG22" s="923"/>
      <c r="AH22" s="923"/>
      <c r="AI22" s="923"/>
      <c r="AJ22" s="923"/>
      <c r="AK22" s="923"/>
      <c r="AL22" s="923"/>
      <c r="AM22" s="923"/>
      <c r="AN22" s="923"/>
      <c r="AO22" s="923"/>
      <c r="AP22" s="923"/>
      <c r="AQ22" s="923"/>
      <c r="AR22" s="923"/>
      <c r="AS22" s="923"/>
      <c r="AT22" s="923"/>
      <c r="AU22" s="923"/>
      <c r="AV22" s="923"/>
      <c r="AW22" s="923"/>
      <c r="AX22" s="923"/>
    </row>
    <row r="23">
      <c r="A23" s="923" t="str">
        <f>IFERROR(__xludf.DUMMYFUNCTION("""COMPUTED_VALUE"""),"Itzreelz")</f>
        <v>Itzreelz</v>
      </c>
      <c r="B23" s="923">
        <f>IFERROR(__xludf.DUMMYFUNCTION("""COMPUTED_VALUE"""),0.6363636363636364)</f>
        <v>0.6363636364</v>
      </c>
      <c r="C23" s="923">
        <f>IFERROR(__xludf.DUMMYFUNCTION("""COMPUTED_VALUE"""),1.8181818181818181)</f>
        <v>1.818181818</v>
      </c>
      <c r="D23" s="923">
        <f>IFERROR(__xludf.DUMMYFUNCTION("""COMPUTED_VALUE"""),108.45454545454545)</f>
        <v>108.4545455</v>
      </c>
      <c r="E23" s="923">
        <f>IFERROR(__xludf.DUMMYFUNCTION("""COMPUTED_VALUE"""),88.36363636363636)</f>
        <v>88.36363636</v>
      </c>
      <c r="F23" s="923">
        <f>IFERROR(__xludf.DUMMYFUNCTION("""COMPUTED_VALUE"""),20.09090909090909)</f>
        <v>20.09090909</v>
      </c>
      <c r="G23" s="923">
        <f>IFERROR(__xludf.DUMMYFUNCTION("""COMPUTED_VALUE"""),6.590909090909091)</f>
        <v>6.590909091</v>
      </c>
      <c r="H23" s="923">
        <f>IFERROR(__xludf.DUMMYFUNCTION("""COMPUTED_VALUE"""),6.636363636363637)</f>
        <v>6.636363636</v>
      </c>
      <c r="I23" s="923">
        <f>IFERROR(__xludf.DUMMYFUNCTION("""COMPUTED_VALUE"""),1.1818181818181819)</f>
        <v>1.181818182</v>
      </c>
      <c r="J23" s="923">
        <f>IFERROR(__xludf.DUMMYFUNCTION("""COMPUTED_VALUE"""),1356.590909090909)</f>
        <v>1356.590909</v>
      </c>
      <c r="K23" s="923">
        <f>IFERROR(__xludf.DUMMYFUNCTION("""COMPUTED_VALUE"""),1715.8181818181818)</f>
        <v>1715.818182</v>
      </c>
      <c r="L23" s="923">
        <f>IFERROR(__xludf.DUMMYFUNCTION("""COMPUTED_VALUE"""),15.0)</f>
        <v>15</v>
      </c>
      <c r="M23" s="923">
        <f>IFERROR(__xludf.DUMMYFUNCTION("""COMPUTED_VALUE"""),81.63636363636364)</f>
        <v>81.63636364</v>
      </c>
      <c r="N23" s="923">
        <f>IFERROR(__xludf.DUMMYFUNCTION("""COMPUTED_VALUE"""),0.0)</f>
        <v>0</v>
      </c>
      <c r="O23" s="923">
        <f>IFERROR(__xludf.DUMMYFUNCTION("""COMPUTED_VALUE"""),2.9545454545454546)</f>
        <v>2.954545455</v>
      </c>
      <c r="P23" s="923">
        <f>IFERROR(__xludf.DUMMYFUNCTION("""COMPUTED_VALUE"""),0.09090909090909091)</f>
        <v>0.09090909091</v>
      </c>
      <c r="Q23" s="923">
        <f>IFERROR(__xludf.DUMMYFUNCTION("""COMPUTED_VALUE"""),0.0)</f>
        <v>0</v>
      </c>
      <c r="R23" s="923">
        <f>IFERROR(__xludf.DUMMYFUNCTION("""COMPUTED_VALUE"""),0.0)</f>
        <v>0</v>
      </c>
      <c r="S23" s="923">
        <f>IFERROR(__xludf.DUMMYFUNCTION("""COMPUTED_VALUE"""),2.5)</f>
        <v>2.5</v>
      </c>
      <c r="T23" s="923">
        <f>IFERROR(__xludf.DUMMYFUNCTION("""COMPUTED_VALUE"""),0.0)</f>
        <v>0</v>
      </c>
      <c r="U23" s="923">
        <f>IFERROR(__xludf.DUMMYFUNCTION("""COMPUTED_VALUE"""),17.681818181818183)</f>
        <v>17.68181818</v>
      </c>
      <c r="V23" s="923">
        <f>IFERROR(__xludf.DUMMYFUNCTION("""COMPUTED_VALUE"""),4.181818181818182)</f>
        <v>4.181818182</v>
      </c>
      <c r="W23" s="923">
        <f>IFERROR(__xludf.DUMMYFUNCTION("""COMPUTED_VALUE"""),1.2272727272727273)</f>
        <v>1.227272727</v>
      </c>
      <c r="X23" s="923">
        <f>IFERROR(__xludf.DUMMYFUNCTION("""COMPUTED_VALUE"""),0.5)</f>
        <v>0.5</v>
      </c>
      <c r="Y23" s="923">
        <f>IFERROR(__xludf.DUMMYFUNCTION("""COMPUTED_VALUE"""),0.09090909090909091)</f>
        <v>0.09090909091</v>
      </c>
      <c r="Z23" s="923">
        <f>IFERROR(__xludf.DUMMYFUNCTION("""COMPUTED_VALUE"""),0.0)</f>
        <v>0</v>
      </c>
      <c r="AA23" s="923">
        <f>IFERROR(__xludf.DUMMYFUNCTION("""COMPUTED_VALUE"""),0.0)</f>
        <v>0</v>
      </c>
      <c r="AB23" s="923">
        <f>IFERROR(__xludf.DUMMYFUNCTION("""COMPUTED_VALUE"""),0.0)</f>
        <v>0</v>
      </c>
      <c r="AC23" s="923">
        <f>IFERROR(__xludf.DUMMYFUNCTION("""COMPUTED_VALUE"""),0.0)</f>
        <v>0</v>
      </c>
      <c r="AD23" s="923">
        <f>IFERROR(__xludf.DUMMYFUNCTION("""COMPUTED_VALUE"""),0.045454545454545456)</f>
        <v>0.04545454545</v>
      </c>
      <c r="AE23" s="923">
        <f>IFERROR(__xludf.DUMMYFUNCTION("""COMPUTED_VALUE"""),4.954545454545454)</f>
        <v>4.954545455</v>
      </c>
      <c r="AF23" s="923"/>
      <c r="AG23" s="923"/>
      <c r="AH23" s="923"/>
      <c r="AI23" s="923"/>
      <c r="AJ23" s="923"/>
      <c r="AK23" s="923"/>
      <c r="AL23" s="923"/>
      <c r="AM23" s="923"/>
      <c r="AN23" s="923"/>
      <c r="AO23" s="923"/>
      <c r="AP23" s="923"/>
      <c r="AQ23" s="923"/>
      <c r="AR23" s="923"/>
      <c r="AS23" s="923"/>
      <c r="AT23" s="923"/>
      <c r="AU23" s="923"/>
      <c r="AV23" s="923"/>
      <c r="AW23" s="923"/>
      <c r="AX23" s="923"/>
    </row>
    <row r="24">
      <c r="A24" s="923" t="str">
        <f>IFERROR(__xludf.DUMMYFUNCTION("""COMPUTED_VALUE"""),"Judasey")</f>
        <v>Judasey</v>
      </c>
      <c r="B24" s="923">
        <f>IFERROR(__xludf.DUMMYFUNCTION("""COMPUTED_VALUE"""),0.6666666666666666)</f>
        <v>0.6666666667</v>
      </c>
      <c r="C24" s="923">
        <f>IFERROR(__xludf.DUMMYFUNCTION("""COMPUTED_VALUE"""),0.6666666666666666)</f>
        <v>0.6666666667</v>
      </c>
      <c r="D24" s="923">
        <f>IFERROR(__xludf.DUMMYFUNCTION("""COMPUTED_VALUE"""),160.33333333333334)</f>
        <v>160.3333333</v>
      </c>
      <c r="E24" s="923">
        <f>IFERROR(__xludf.DUMMYFUNCTION("""COMPUTED_VALUE"""),134.66666666666666)</f>
        <v>134.6666667</v>
      </c>
      <c r="F24" s="923">
        <f>IFERROR(__xludf.DUMMYFUNCTION("""COMPUTED_VALUE"""),25.666666666666668)</f>
        <v>25.66666667</v>
      </c>
      <c r="G24" s="923">
        <f>IFERROR(__xludf.DUMMYFUNCTION("""COMPUTED_VALUE"""),11.666666666666666)</f>
        <v>11.66666667</v>
      </c>
      <c r="H24" s="923">
        <f>IFERROR(__xludf.DUMMYFUNCTION("""COMPUTED_VALUE"""),6.333333333333333)</f>
        <v>6.333333333</v>
      </c>
      <c r="I24" s="923">
        <f>IFERROR(__xludf.DUMMYFUNCTION("""COMPUTED_VALUE"""),6.666666666666667)</f>
        <v>6.666666667</v>
      </c>
      <c r="J24" s="923">
        <f>IFERROR(__xludf.DUMMYFUNCTION("""COMPUTED_VALUE"""),1866.3333333333333)</f>
        <v>1866.333333</v>
      </c>
      <c r="K24" s="923">
        <f>IFERROR(__xludf.DUMMYFUNCTION("""COMPUTED_VALUE"""),2357.3333333333335)</f>
        <v>2357.333333</v>
      </c>
      <c r="L24" s="923">
        <f>IFERROR(__xludf.DUMMYFUNCTION("""COMPUTED_VALUE"""),13.333333333333334)</f>
        <v>13.33333333</v>
      </c>
      <c r="M24" s="923">
        <f>IFERROR(__xludf.DUMMYFUNCTION("""COMPUTED_VALUE"""),15.0)</f>
        <v>15</v>
      </c>
      <c r="N24" s="923">
        <f>IFERROR(__xludf.DUMMYFUNCTION("""COMPUTED_VALUE"""),0.0)</f>
        <v>0</v>
      </c>
      <c r="O24" s="923">
        <f>IFERROR(__xludf.DUMMYFUNCTION("""COMPUTED_VALUE"""),4.0)</f>
        <v>4</v>
      </c>
      <c r="P24" s="923">
        <f>IFERROR(__xludf.DUMMYFUNCTION("""COMPUTED_VALUE"""),0.0)</f>
        <v>0</v>
      </c>
      <c r="Q24" s="923">
        <f>IFERROR(__xludf.DUMMYFUNCTION("""COMPUTED_VALUE"""),0.0)</f>
        <v>0</v>
      </c>
      <c r="R24" s="923">
        <f>IFERROR(__xludf.DUMMYFUNCTION("""COMPUTED_VALUE"""),0.0)</f>
        <v>0</v>
      </c>
      <c r="S24" s="923">
        <f>IFERROR(__xludf.DUMMYFUNCTION("""COMPUTED_VALUE"""),4.0)</f>
        <v>4</v>
      </c>
      <c r="T24" s="923">
        <f>IFERROR(__xludf.DUMMYFUNCTION("""COMPUTED_VALUE"""),0.0)</f>
        <v>0</v>
      </c>
      <c r="U24" s="923">
        <f>IFERROR(__xludf.DUMMYFUNCTION("""COMPUTED_VALUE"""),27.666666666666668)</f>
        <v>27.66666667</v>
      </c>
      <c r="V24" s="923">
        <f>IFERROR(__xludf.DUMMYFUNCTION("""COMPUTED_VALUE"""),6.333333333333333)</f>
        <v>6.333333333</v>
      </c>
      <c r="W24" s="923">
        <f>IFERROR(__xludf.DUMMYFUNCTION("""COMPUTED_VALUE"""),1.0)</f>
        <v>1</v>
      </c>
      <c r="X24" s="923">
        <f>IFERROR(__xludf.DUMMYFUNCTION("""COMPUTED_VALUE"""),0.3333333333333333)</f>
        <v>0.3333333333</v>
      </c>
      <c r="Y24" s="923">
        <f>IFERROR(__xludf.DUMMYFUNCTION("""COMPUTED_VALUE"""),0.3333333333333333)</f>
        <v>0.3333333333</v>
      </c>
      <c r="Z24" s="923">
        <f>IFERROR(__xludf.DUMMYFUNCTION("""COMPUTED_VALUE"""),0.0)</f>
        <v>0</v>
      </c>
      <c r="AA24" s="923">
        <f>IFERROR(__xludf.DUMMYFUNCTION("""COMPUTED_VALUE"""),0.0)</f>
        <v>0</v>
      </c>
      <c r="AB24" s="923">
        <f>IFERROR(__xludf.DUMMYFUNCTION("""COMPUTED_VALUE"""),0.0)</f>
        <v>0</v>
      </c>
      <c r="AC24" s="923">
        <f>IFERROR(__xludf.DUMMYFUNCTION("""COMPUTED_VALUE"""),0.0)</f>
        <v>0</v>
      </c>
      <c r="AD24" s="923">
        <f>IFERROR(__xludf.DUMMYFUNCTION("""COMPUTED_VALUE"""),0.0)</f>
        <v>0</v>
      </c>
      <c r="AE24" s="923">
        <f>IFERROR(__xludf.DUMMYFUNCTION("""COMPUTED_VALUE"""),7.0)</f>
        <v>7</v>
      </c>
      <c r="AF24" s="923"/>
      <c r="AG24" s="923"/>
      <c r="AH24" s="923"/>
      <c r="AI24" s="923"/>
      <c r="AJ24" s="923"/>
      <c r="AK24" s="923"/>
      <c r="AL24" s="923"/>
      <c r="AM24" s="923"/>
      <c r="AN24" s="923"/>
      <c r="AO24" s="923"/>
      <c r="AP24" s="923"/>
      <c r="AQ24" s="923"/>
      <c r="AR24" s="923"/>
      <c r="AS24" s="923"/>
      <c r="AT24" s="923"/>
      <c r="AU24" s="923"/>
      <c r="AV24" s="923"/>
      <c r="AW24" s="923"/>
      <c r="AX24" s="923"/>
    </row>
    <row r="25">
      <c r="A25" s="923" t="str">
        <f>IFERROR(__xludf.DUMMYFUNCTION("""COMPUTED_VALUE"""),"L0RNA SHORE")</f>
        <v>L0RNA SHORE</v>
      </c>
      <c r="B25" s="923">
        <f>IFERROR(__xludf.DUMMYFUNCTION("""COMPUTED_VALUE"""),1.5)</f>
        <v>1.5</v>
      </c>
      <c r="C25" s="923">
        <f>IFERROR(__xludf.DUMMYFUNCTION("""COMPUTED_VALUE"""),7.888888888888889)</f>
        <v>7.888888889</v>
      </c>
      <c r="D25" s="923">
        <f>IFERROR(__xludf.DUMMYFUNCTION("""COMPUTED_VALUE"""),57.5)</f>
        <v>57.5</v>
      </c>
      <c r="E25" s="923">
        <f>IFERROR(__xludf.DUMMYFUNCTION("""COMPUTED_VALUE"""),52.333333333333336)</f>
        <v>52.33333333</v>
      </c>
      <c r="F25" s="923">
        <f>IFERROR(__xludf.DUMMYFUNCTION("""COMPUTED_VALUE"""),5.166666666666667)</f>
        <v>5.166666667</v>
      </c>
      <c r="G25" s="923">
        <f>IFERROR(__xludf.DUMMYFUNCTION("""COMPUTED_VALUE"""),4.222222222222222)</f>
        <v>4.222222222</v>
      </c>
      <c r="H25" s="923">
        <f>IFERROR(__xludf.DUMMYFUNCTION("""COMPUTED_VALUE"""),6.333333333333333)</f>
        <v>6.333333333</v>
      </c>
      <c r="I25" s="923">
        <f>IFERROR(__xludf.DUMMYFUNCTION("""COMPUTED_VALUE"""),2.2777777777777777)</f>
        <v>2.277777778</v>
      </c>
      <c r="J25" s="923">
        <f>IFERROR(__xludf.DUMMYFUNCTION("""COMPUTED_VALUE"""),1177.888888888889)</f>
        <v>1177.888889</v>
      </c>
      <c r="K25" s="923">
        <f>IFERROR(__xludf.DUMMYFUNCTION("""COMPUTED_VALUE"""),1422.0)</f>
        <v>1422</v>
      </c>
      <c r="L25" s="923">
        <f>IFERROR(__xludf.DUMMYFUNCTION("""COMPUTED_VALUE"""),25.833333333333332)</f>
        <v>25.83333333</v>
      </c>
      <c r="M25" s="923">
        <f>IFERROR(__xludf.DUMMYFUNCTION("""COMPUTED_VALUE"""),439.6666666666667)</f>
        <v>439.6666667</v>
      </c>
      <c r="N25" s="923">
        <f>IFERROR(__xludf.DUMMYFUNCTION("""COMPUTED_VALUE"""),0.0)</f>
        <v>0</v>
      </c>
      <c r="O25" s="923">
        <f>IFERROR(__xludf.DUMMYFUNCTION("""COMPUTED_VALUE"""),1.0555555555555556)</f>
        <v>1.055555556</v>
      </c>
      <c r="P25" s="923">
        <f>IFERROR(__xludf.DUMMYFUNCTION("""COMPUTED_VALUE"""),0.05555555555555555)</f>
        <v>0.05555555556</v>
      </c>
      <c r="Q25" s="923">
        <f>IFERROR(__xludf.DUMMYFUNCTION("""COMPUTED_VALUE"""),0.0)</f>
        <v>0</v>
      </c>
      <c r="R25" s="923">
        <f>IFERROR(__xludf.DUMMYFUNCTION("""COMPUTED_VALUE"""),0.0)</f>
        <v>0</v>
      </c>
      <c r="S25" s="923">
        <f>IFERROR(__xludf.DUMMYFUNCTION("""COMPUTED_VALUE"""),0.4444444444444444)</f>
        <v>0.4444444444</v>
      </c>
      <c r="T25" s="923">
        <f>IFERROR(__xludf.DUMMYFUNCTION("""COMPUTED_VALUE"""),0.0)</f>
        <v>0</v>
      </c>
      <c r="U25" s="923">
        <f>IFERROR(__xludf.DUMMYFUNCTION("""COMPUTED_VALUE"""),7.888888888888889)</f>
        <v>7.888888889</v>
      </c>
      <c r="V25" s="923">
        <f>IFERROR(__xludf.DUMMYFUNCTION("""COMPUTED_VALUE"""),1.1111111111111112)</f>
        <v>1.111111111</v>
      </c>
      <c r="W25" s="923">
        <f>IFERROR(__xludf.DUMMYFUNCTION("""COMPUTED_VALUE"""),0.1111111111111111)</f>
        <v>0.1111111111</v>
      </c>
      <c r="X25" s="923">
        <f>IFERROR(__xludf.DUMMYFUNCTION("""COMPUTED_VALUE"""),0.05555555555555555)</f>
        <v>0.05555555556</v>
      </c>
      <c r="Y25" s="923">
        <f>IFERROR(__xludf.DUMMYFUNCTION("""COMPUTED_VALUE"""),0.0)</f>
        <v>0</v>
      </c>
      <c r="Z25" s="923">
        <f>IFERROR(__xludf.DUMMYFUNCTION("""COMPUTED_VALUE"""),0.0)</f>
        <v>0</v>
      </c>
      <c r="AA25" s="923">
        <f>IFERROR(__xludf.DUMMYFUNCTION("""COMPUTED_VALUE"""),0.0)</f>
        <v>0</v>
      </c>
      <c r="AB25" s="923">
        <f>IFERROR(__xludf.DUMMYFUNCTION("""COMPUTED_VALUE"""),0.0)</f>
        <v>0</v>
      </c>
      <c r="AC25" s="923">
        <f>IFERROR(__xludf.DUMMYFUNCTION("""COMPUTED_VALUE"""),0.0)</f>
        <v>0</v>
      </c>
      <c r="AD25" s="923">
        <f>IFERROR(__xludf.DUMMYFUNCTION("""COMPUTED_VALUE"""),0.0)</f>
        <v>0</v>
      </c>
      <c r="AE25" s="923">
        <f>IFERROR(__xludf.DUMMYFUNCTION("""COMPUTED_VALUE"""),2.2777777777777777)</f>
        <v>2.277777778</v>
      </c>
      <c r="AF25" s="923"/>
      <c r="AG25" s="923"/>
      <c r="AH25" s="923"/>
      <c r="AI25" s="923"/>
      <c r="AJ25" s="923"/>
      <c r="AK25" s="923"/>
      <c r="AL25" s="923"/>
      <c r="AM25" s="923"/>
      <c r="AN25" s="923"/>
      <c r="AO25" s="923"/>
      <c r="AP25" s="923"/>
      <c r="AQ25" s="923"/>
      <c r="AR25" s="923"/>
      <c r="AS25" s="923"/>
      <c r="AT25" s="923"/>
      <c r="AU25" s="923"/>
      <c r="AV25" s="923"/>
      <c r="AW25" s="923"/>
      <c r="AX25" s="923"/>
    </row>
    <row r="26">
      <c r="A26" s="923" t="str">
        <f>IFERROR(__xludf.DUMMYFUNCTION("""COMPUTED_VALUE"""),"L1ght5aber")</f>
        <v>L1ght5aber</v>
      </c>
      <c r="B26" s="923">
        <f>IFERROR(__xludf.DUMMYFUNCTION("""COMPUTED_VALUE"""),0.3333333333333333)</f>
        <v>0.3333333333</v>
      </c>
      <c r="C26" s="923">
        <f>IFERROR(__xludf.DUMMYFUNCTION("""COMPUTED_VALUE"""),0.2)</f>
        <v>0.2</v>
      </c>
      <c r="D26" s="923">
        <f>IFERROR(__xludf.DUMMYFUNCTION("""COMPUTED_VALUE"""),93.06666666666666)</f>
        <v>93.06666667</v>
      </c>
      <c r="E26" s="923">
        <f>IFERROR(__xludf.DUMMYFUNCTION("""COMPUTED_VALUE"""),103.0)</f>
        <v>103</v>
      </c>
      <c r="F26" s="923">
        <f>IFERROR(__xludf.DUMMYFUNCTION("""COMPUTED_VALUE"""),-9.933333333333334)</f>
        <v>-9.933333333</v>
      </c>
      <c r="G26" s="923">
        <f>IFERROR(__xludf.DUMMYFUNCTION("""COMPUTED_VALUE"""),6.533333333333333)</f>
        <v>6.533333333</v>
      </c>
      <c r="H26" s="923">
        <f>IFERROR(__xludf.DUMMYFUNCTION("""COMPUTED_VALUE"""),4.8)</f>
        <v>4.8</v>
      </c>
      <c r="I26" s="923">
        <f>IFERROR(__xludf.DUMMYFUNCTION("""COMPUTED_VALUE"""),2.1333333333333333)</f>
        <v>2.133333333</v>
      </c>
      <c r="J26" s="923">
        <f>IFERROR(__xludf.DUMMYFUNCTION("""COMPUTED_VALUE"""),1454.1333333333334)</f>
        <v>1454.133333</v>
      </c>
      <c r="K26" s="923">
        <f>IFERROR(__xludf.DUMMYFUNCTION("""COMPUTED_VALUE"""),1849.2)</f>
        <v>1849.2</v>
      </c>
      <c r="L26" s="923">
        <f>IFERROR(__xludf.DUMMYFUNCTION("""COMPUTED_VALUE"""),13.4)</f>
        <v>13.4</v>
      </c>
      <c r="M26" s="923">
        <f>IFERROR(__xludf.DUMMYFUNCTION("""COMPUTED_VALUE"""),14.4)</f>
        <v>14.4</v>
      </c>
      <c r="N26" s="923">
        <f>IFERROR(__xludf.DUMMYFUNCTION("""COMPUTED_VALUE"""),0.0)</f>
        <v>0</v>
      </c>
      <c r="O26" s="923">
        <f>IFERROR(__xludf.DUMMYFUNCTION("""COMPUTED_VALUE"""),1.2666666666666666)</f>
        <v>1.266666667</v>
      </c>
      <c r="P26" s="923">
        <f>IFERROR(__xludf.DUMMYFUNCTION("""COMPUTED_VALUE"""),0.0)</f>
        <v>0</v>
      </c>
      <c r="Q26" s="923">
        <f>IFERROR(__xludf.DUMMYFUNCTION("""COMPUTED_VALUE"""),0.0)</f>
        <v>0</v>
      </c>
      <c r="R26" s="923">
        <f>IFERROR(__xludf.DUMMYFUNCTION("""COMPUTED_VALUE"""),0.0)</f>
        <v>0</v>
      </c>
      <c r="S26" s="923">
        <f>IFERROR(__xludf.DUMMYFUNCTION("""COMPUTED_VALUE"""),1.0666666666666667)</f>
        <v>1.066666667</v>
      </c>
      <c r="T26" s="923">
        <f>IFERROR(__xludf.DUMMYFUNCTION("""COMPUTED_VALUE"""),0.0)</f>
        <v>0</v>
      </c>
      <c r="U26" s="923">
        <f>IFERROR(__xludf.DUMMYFUNCTION("""COMPUTED_VALUE"""),10.8)</f>
        <v>10.8</v>
      </c>
      <c r="V26" s="923">
        <f>IFERROR(__xludf.DUMMYFUNCTION("""COMPUTED_VALUE"""),1.8666666666666667)</f>
        <v>1.866666667</v>
      </c>
      <c r="W26" s="923">
        <f>IFERROR(__xludf.DUMMYFUNCTION("""COMPUTED_VALUE"""),0.3333333333333333)</f>
        <v>0.3333333333</v>
      </c>
      <c r="X26" s="923">
        <f>IFERROR(__xludf.DUMMYFUNCTION("""COMPUTED_VALUE"""),0.13333333333333333)</f>
        <v>0.1333333333</v>
      </c>
      <c r="Y26" s="923">
        <f>IFERROR(__xludf.DUMMYFUNCTION("""COMPUTED_VALUE"""),0.06666666666666667)</f>
        <v>0.06666666667</v>
      </c>
      <c r="Z26" s="923">
        <f>IFERROR(__xludf.DUMMYFUNCTION("""COMPUTED_VALUE"""),0.0)</f>
        <v>0</v>
      </c>
      <c r="AA26" s="923">
        <f>IFERROR(__xludf.DUMMYFUNCTION("""COMPUTED_VALUE"""),0.0)</f>
        <v>0</v>
      </c>
      <c r="AB26" s="923">
        <f>IFERROR(__xludf.DUMMYFUNCTION("""COMPUTED_VALUE"""),0.0)</f>
        <v>0</v>
      </c>
      <c r="AC26" s="923">
        <f>IFERROR(__xludf.DUMMYFUNCTION("""COMPUTED_VALUE"""),0.0)</f>
        <v>0</v>
      </c>
      <c r="AD26" s="923">
        <f>IFERROR(__xludf.DUMMYFUNCTION("""COMPUTED_VALUE"""),0.0)</f>
        <v>0</v>
      </c>
      <c r="AE26" s="923">
        <f>IFERROR(__xludf.DUMMYFUNCTION("""COMPUTED_VALUE"""),2.2)</f>
        <v>2.2</v>
      </c>
      <c r="AF26" s="923"/>
      <c r="AG26" s="923"/>
      <c r="AH26" s="923"/>
      <c r="AI26" s="923"/>
      <c r="AJ26" s="923"/>
      <c r="AK26" s="923"/>
      <c r="AL26" s="923"/>
      <c r="AM26" s="923"/>
      <c r="AN26" s="923"/>
      <c r="AO26" s="923"/>
      <c r="AP26" s="923"/>
      <c r="AQ26" s="923"/>
      <c r="AR26" s="923"/>
      <c r="AS26" s="923"/>
      <c r="AT26" s="923"/>
      <c r="AU26" s="923"/>
      <c r="AV26" s="923"/>
      <c r="AW26" s="923"/>
      <c r="AX26" s="923"/>
    </row>
    <row r="27">
      <c r="A27" s="923" t="str">
        <f>IFERROR(__xludf.DUMMYFUNCTION("""COMPUTED_VALUE"""),"Lane Uppy")</f>
        <v>Lane Uppy</v>
      </c>
      <c r="B27" s="923">
        <f>IFERROR(__xludf.DUMMYFUNCTION("""COMPUTED_VALUE"""),0.23529411764705882)</f>
        <v>0.2352941176</v>
      </c>
      <c r="C27" s="923">
        <f>IFERROR(__xludf.DUMMYFUNCTION("""COMPUTED_VALUE"""),0.4117647058823529)</f>
        <v>0.4117647059</v>
      </c>
      <c r="D27" s="923">
        <f>IFERROR(__xludf.DUMMYFUNCTION("""COMPUTED_VALUE"""),76.11764705882354)</f>
        <v>76.11764706</v>
      </c>
      <c r="E27" s="923">
        <f>IFERROR(__xludf.DUMMYFUNCTION("""COMPUTED_VALUE"""),85.82352941176471)</f>
        <v>85.82352941</v>
      </c>
      <c r="F27" s="923">
        <f>IFERROR(__xludf.DUMMYFUNCTION("""COMPUTED_VALUE"""),-9.705882352941176)</f>
        <v>-9.705882353</v>
      </c>
      <c r="G27" s="923">
        <f>IFERROR(__xludf.DUMMYFUNCTION("""COMPUTED_VALUE"""),7.0)</f>
        <v>7</v>
      </c>
      <c r="H27" s="923">
        <f>IFERROR(__xludf.DUMMYFUNCTION("""COMPUTED_VALUE"""),4.705882352941177)</f>
        <v>4.705882353</v>
      </c>
      <c r="I27" s="923">
        <f>IFERROR(__xludf.DUMMYFUNCTION("""COMPUTED_VALUE"""),1.411764705882353)</f>
        <v>1.411764706</v>
      </c>
      <c r="J27" s="923">
        <f>IFERROR(__xludf.DUMMYFUNCTION("""COMPUTED_VALUE"""),1274.0588235294117)</f>
        <v>1274.058824</v>
      </c>
      <c r="K27" s="923">
        <f>IFERROR(__xludf.DUMMYFUNCTION("""COMPUTED_VALUE"""),1627.4705882352941)</f>
        <v>1627.470588</v>
      </c>
      <c r="L27" s="923">
        <f>IFERROR(__xludf.DUMMYFUNCTION("""COMPUTED_VALUE"""),14.588235294117647)</f>
        <v>14.58823529</v>
      </c>
      <c r="M27" s="923">
        <f>IFERROR(__xludf.DUMMYFUNCTION("""COMPUTED_VALUE"""),16.11764705882353)</f>
        <v>16.11764706</v>
      </c>
      <c r="N27" s="923">
        <f>IFERROR(__xludf.DUMMYFUNCTION("""COMPUTED_VALUE"""),0.0)</f>
        <v>0</v>
      </c>
      <c r="O27" s="923">
        <f>IFERROR(__xludf.DUMMYFUNCTION("""COMPUTED_VALUE"""),0.9411764705882353)</f>
        <v>0.9411764706</v>
      </c>
      <c r="P27" s="923">
        <f>IFERROR(__xludf.DUMMYFUNCTION("""COMPUTED_VALUE"""),0.0)</f>
        <v>0</v>
      </c>
      <c r="Q27" s="923">
        <f>IFERROR(__xludf.DUMMYFUNCTION("""COMPUTED_VALUE"""),0.0)</f>
        <v>0</v>
      </c>
      <c r="R27" s="923">
        <f>IFERROR(__xludf.DUMMYFUNCTION("""COMPUTED_VALUE"""),0.0)</f>
        <v>0</v>
      </c>
      <c r="S27" s="923">
        <f>IFERROR(__xludf.DUMMYFUNCTION("""COMPUTED_VALUE"""),0.8235294117647058)</f>
        <v>0.8235294118</v>
      </c>
      <c r="T27" s="923">
        <f>IFERROR(__xludf.DUMMYFUNCTION("""COMPUTED_VALUE"""),0.0)</f>
        <v>0</v>
      </c>
      <c r="U27" s="923">
        <f>IFERROR(__xludf.DUMMYFUNCTION("""COMPUTED_VALUE"""),10.764705882352942)</f>
        <v>10.76470588</v>
      </c>
      <c r="V27" s="923">
        <f>IFERROR(__xludf.DUMMYFUNCTION("""COMPUTED_VALUE"""),1.6470588235294117)</f>
        <v>1.647058824</v>
      </c>
      <c r="W27" s="923">
        <f>IFERROR(__xludf.DUMMYFUNCTION("""COMPUTED_VALUE"""),0.11764705882352941)</f>
        <v>0.1176470588</v>
      </c>
      <c r="X27" s="923">
        <f>IFERROR(__xludf.DUMMYFUNCTION("""COMPUTED_VALUE"""),0.058823529411764705)</f>
        <v>0.05882352941</v>
      </c>
      <c r="Y27" s="923">
        <f>IFERROR(__xludf.DUMMYFUNCTION("""COMPUTED_VALUE"""),0.0)</f>
        <v>0</v>
      </c>
      <c r="Z27" s="923">
        <f>IFERROR(__xludf.DUMMYFUNCTION("""COMPUTED_VALUE"""),0.0)</f>
        <v>0</v>
      </c>
      <c r="AA27" s="923">
        <f>IFERROR(__xludf.DUMMYFUNCTION("""COMPUTED_VALUE"""),0.0)</f>
        <v>0</v>
      </c>
      <c r="AB27" s="923">
        <f>IFERROR(__xludf.DUMMYFUNCTION("""COMPUTED_VALUE"""),0.0)</f>
        <v>0</v>
      </c>
      <c r="AC27" s="923">
        <f>IFERROR(__xludf.DUMMYFUNCTION("""COMPUTED_VALUE"""),0.0)</f>
        <v>0</v>
      </c>
      <c r="AD27" s="923">
        <f>IFERROR(__xludf.DUMMYFUNCTION("""COMPUTED_VALUE"""),0.0)</f>
        <v>0</v>
      </c>
      <c r="AE27" s="923">
        <f>IFERROR(__xludf.DUMMYFUNCTION("""COMPUTED_VALUE"""),3.764705882352941)</f>
        <v>3.764705882</v>
      </c>
      <c r="AF27" s="923"/>
      <c r="AG27" s="923"/>
      <c r="AH27" s="923"/>
      <c r="AI27" s="923"/>
      <c r="AJ27" s="923"/>
      <c r="AK27" s="923"/>
      <c r="AL27" s="923"/>
      <c r="AM27" s="923"/>
      <c r="AN27" s="923"/>
      <c r="AO27" s="923"/>
      <c r="AP27" s="923"/>
      <c r="AQ27" s="923"/>
      <c r="AR27" s="923"/>
      <c r="AS27" s="923"/>
      <c r="AT27" s="923"/>
      <c r="AU27" s="923"/>
      <c r="AV27" s="923"/>
      <c r="AW27" s="923"/>
      <c r="AX27" s="923"/>
    </row>
    <row r="28">
      <c r="A28" s="923" t="str">
        <f>IFERROR(__xludf.DUMMYFUNCTION("""COMPUTED_VALUE"""),"Laser Wins")</f>
        <v>Laser Wins</v>
      </c>
      <c r="B28" s="923">
        <f>IFERROR(__xludf.DUMMYFUNCTION("""COMPUTED_VALUE"""),1.8571428571428572)</f>
        <v>1.857142857</v>
      </c>
      <c r="C28" s="923">
        <f>IFERROR(__xludf.DUMMYFUNCTION("""COMPUTED_VALUE"""),5.333333333333333)</f>
        <v>5.333333333</v>
      </c>
      <c r="D28" s="923">
        <f>IFERROR(__xludf.DUMMYFUNCTION("""COMPUTED_VALUE"""),53.57142857142857)</f>
        <v>53.57142857</v>
      </c>
      <c r="E28" s="923">
        <f>IFERROR(__xludf.DUMMYFUNCTION("""COMPUTED_VALUE"""),78.0952380952381)</f>
        <v>78.0952381</v>
      </c>
      <c r="F28" s="923">
        <f>IFERROR(__xludf.DUMMYFUNCTION("""COMPUTED_VALUE"""),-24.523809523809526)</f>
        <v>-24.52380952</v>
      </c>
      <c r="G28" s="923">
        <f>IFERROR(__xludf.DUMMYFUNCTION("""COMPUTED_VALUE"""),2.761904761904762)</f>
        <v>2.761904762</v>
      </c>
      <c r="H28" s="923">
        <f>IFERROR(__xludf.DUMMYFUNCTION("""COMPUTED_VALUE"""),4.142857142857143)</f>
        <v>4.142857143</v>
      </c>
      <c r="I28" s="923">
        <f>IFERROR(__xludf.DUMMYFUNCTION("""COMPUTED_VALUE"""),0.6666666666666666)</f>
        <v>0.6666666667</v>
      </c>
      <c r="J28" s="923">
        <f>IFERROR(__xludf.DUMMYFUNCTION("""COMPUTED_VALUE"""),1597.2857142857142)</f>
        <v>1597.285714</v>
      </c>
      <c r="K28" s="923">
        <f>IFERROR(__xludf.DUMMYFUNCTION("""COMPUTED_VALUE"""),1918.2857142857142)</f>
        <v>1918.285714</v>
      </c>
      <c r="L28" s="923">
        <f>IFERROR(__xludf.DUMMYFUNCTION("""COMPUTED_VALUE"""),22.142857142857142)</f>
        <v>22.14285714</v>
      </c>
      <c r="M28" s="923">
        <f>IFERROR(__xludf.DUMMYFUNCTION("""COMPUTED_VALUE"""),707.8571428571429)</f>
        <v>707.8571429</v>
      </c>
      <c r="N28" s="923">
        <f>IFERROR(__xludf.DUMMYFUNCTION("""COMPUTED_VALUE"""),0.0)</f>
        <v>0</v>
      </c>
      <c r="O28" s="923">
        <f>IFERROR(__xludf.DUMMYFUNCTION("""COMPUTED_VALUE"""),0.42857142857142855)</f>
        <v>0.4285714286</v>
      </c>
      <c r="P28" s="923">
        <f>IFERROR(__xludf.DUMMYFUNCTION("""COMPUTED_VALUE"""),0.0)</f>
        <v>0</v>
      </c>
      <c r="Q28" s="923">
        <f>IFERROR(__xludf.DUMMYFUNCTION("""COMPUTED_VALUE"""),0.0)</f>
        <v>0</v>
      </c>
      <c r="R28" s="923">
        <f>IFERROR(__xludf.DUMMYFUNCTION("""COMPUTED_VALUE"""),0.0)</f>
        <v>0</v>
      </c>
      <c r="S28" s="923">
        <f>IFERROR(__xludf.DUMMYFUNCTION("""COMPUTED_VALUE"""),0.0)</f>
        <v>0</v>
      </c>
      <c r="T28" s="923">
        <f>IFERROR(__xludf.DUMMYFUNCTION("""COMPUTED_VALUE"""),0.0)</f>
        <v>0</v>
      </c>
      <c r="U28" s="923">
        <f>IFERROR(__xludf.DUMMYFUNCTION("""COMPUTED_VALUE"""),4.285714285714286)</f>
        <v>4.285714286</v>
      </c>
      <c r="V28" s="923">
        <f>IFERROR(__xludf.DUMMYFUNCTION("""COMPUTED_VALUE"""),0.42857142857142855)</f>
        <v>0.4285714286</v>
      </c>
      <c r="W28" s="923">
        <f>IFERROR(__xludf.DUMMYFUNCTION("""COMPUTED_VALUE"""),0.047619047619047616)</f>
        <v>0.04761904762</v>
      </c>
      <c r="X28" s="923">
        <f>IFERROR(__xludf.DUMMYFUNCTION("""COMPUTED_VALUE"""),0.0)</f>
        <v>0</v>
      </c>
      <c r="Y28" s="923">
        <f>IFERROR(__xludf.DUMMYFUNCTION("""COMPUTED_VALUE"""),0.0)</f>
        <v>0</v>
      </c>
      <c r="Z28" s="923">
        <f>IFERROR(__xludf.DUMMYFUNCTION("""COMPUTED_VALUE"""),0.0)</f>
        <v>0</v>
      </c>
      <c r="AA28" s="923">
        <f>IFERROR(__xludf.DUMMYFUNCTION("""COMPUTED_VALUE"""),0.0)</f>
        <v>0</v>
      </c>
      <c r="AB28" s="923">
        <f>IFERROR(__xludf.DUMMYFUNCTION("""COMPUTED_VALUE"""),0.0)</f>
        <v>0</v>
      </c>
      <c r="AC28" s="923">
        <f>IFERROR(__xludf.DUMMYFUNCTION("""COMPUTED_VALUE"""),0.0)</f>
        <v>0</v>
      </c>
      <c r="AD28" s="923">
        <f>IFERROR(__xludf.DUMMYFUNCTION("""COMPUTED_VALUE"""),0.0)</f>
        <v>0</v>
      </c>
      <c r="AE28" s="923">
        <f>IFERROR(__xludf.DUMMYFUNCTION("""COMPUTED_VALUE"""),1.8095238095238095)</f>
        <v>1.80952381</v>
      </c>
      <c r="AF28" s="923"/>
      <c r="AG28" s="923"/>
      <c r="AH28" s="923"/>
      <c r="AI28" s="923"/>
      <c r="AJ28" s="923"/>
      <c r="AK28" s="923"/>
      <c r="AL28" s="923"/>
      <c r="AM28" s="923"/>
      <c r="AN28" s="923"/>
      <c r="AO28" s="923"/>
      <c r="AP28" s="923"/>
      <c r="AQ28" s="923"/>
      <c r="AR28" s="923"/>
      <c r="AS28" s="923"/>
      <c r="AT28" s="923"/>
      <c r="AU28" s="923"/>
      <c r="AV28" s="923"/>
      <c r="AW28" s="923"/>
      <c r="AX28" s="923"/>
    </row>
    <row r="29">
      <c r="A29" s="923" t="str">
        <f>IFERROR(__xludf.DUMMYFUNCTION("""COMPUTED_VALUE"""),"Luner Panda")</f>
        <v>Luner Panda</v>
      </c>
      <c r="B29" s="923">
        <f>IFERROR(__xludf.DUMMYFUNCTION("""COMPUTED_VALUE"""),0.7142857142857143)</f>
        <v>0.7142857143</v>
      </c>
      <c r="C29" s="923">
        <f>IFERROR(__xludf.DUMMYFUNCTION("""COMPUTED_VALUE"""),4.0)</f>
        <v>4</v>
      </c>
      <c r="D29" s="923">
        <f>IFERROR(__xludf.DUMMYFUNCTION("""COMPUTED_VALUE"""),62.07142857142857)</f>
        <v>62.07142857</v>
      </c>
      <c r="E29" s="923">
        <f>IFERROR(__xludf.DUMMYFUNCTION("""COMPUTED_VALUE"""),83.42857142857143)</f>
        <v>83.42857143</v>
      </c>
      <c r="F29" s="923">
        <f>IFERROR(__xludf.DUMMYFUNCTION("""COMPUTED_VALUE"""),-21.357142857142858)</f>
        <v>-21.35714286</v>
      </c>
      <c r="G29" s="923">
        <f>IFERROR(__xludf.DUMMYFUNCTION("""COMPUTED_VALUE"""),2.5714285714285716)</f>
        <v>2.571428571</v>
      </c>
      <c r="H29" s="923">
        <f>IFERROR(__xludf.DUMMYFUNCTION("""COMPUTED_VALUE"""),4.285714285714286)</f>
        <v>4.285714286</v>
      </c>
      <c r="I29" s="923">
        <f>IFERROR(__xludf.DUMMYFUNCTION("""COMPUTED_VALUE"""),0.7142857142857143)</f>
        <v>0.7142857143</v>
      </c>
      <c r="J29" s="923">
        <f>IFERROR(__xludf.DUMMYFUNCTION("""COMPUTED_VALUE"""),1046.142857142857)</f>
        <v>1046.142857</v>
      </c>
      <c r="K29" s="923">
        <f>IFERROR(__xludf.DUMMYFUNCTION("""COMPUTED_VALUE"""),1383.857142857143)</f>
        <v>1383.857143</v>
      </c>
      <c r="L29" s="923">
        <f>IFERROR(__xludf.DUMMYFUNCTION("""COMPUTED_VALUE"""),12.357142857142858)</f>
        <v>12.35714286</v>
      </c>
      <c r="M29" s="923">
        <f>IFERROR(__xludf.DUMMYFUNCTION("""COMPUTED_VALUE"""),165.5)</f>
        <v>165.5</v>
      </c>
      <c r="N29" s="923">
        <f>IFERROR(__xludf.DUMMYFUNCTION("""COMPUTED_VALUE"""),0.0)</f>
        <v>0</v>
      </c>
      <c r="O29" s="923">
        <f>IFERROR(__xludf.DUMMYFUNCTION("""COMPUTED_VALUE"""),0.5)</f>
        <v>0.5</v>
      </c>
      <c r="P29" s="923">
        <f>IFERROR(__xludf.DUMMYFUNCTION("""COMPUTED_VALUE"""),0.0)</f>
        <v>0</v>
      </c>
      <c r="Q29" s="923">
        <f>IFERROR(__xludf.DUMMYFUNCTION("""COMPUTED_VALUE"""),0.0)</f>
        <v>0</v>
      </c>
      <c r="R29" s="923">
        <f>IFERROR(__xludf.DUMMYFUNCTION("""COMPUTED_VALUE"""),0.0)</f>
        <v>0</v>
      </c>
      <c r="S29" s="923">
        <f>IFERROR(__xludf.DUMMYFUNCTION("""COMPUTED_VALUE"""),0.35714285714285715)</f>
        <v>0.3571428571</v>
      </c>
      <c r="T29" s="923">
        <f>IFERROR(__xludf.DUMMYFUNCTION("""COMPUTED_VALUE"""),0.0)</f>
        <v>0</v>
      </c>
      <c r="U29" s="923">
        <f>IFERROR(__xludf.DUMMYFUNCTION("""COMPUTED_VALUE"""),6.5)</f>
        <v>6.5</v>
      </c>
      <c r="V29" s="923">
        <f>IFERROR(__xludf.DUMMYFUNCTION("""COMPUTED_VALUE"""),0.7857142857142857)</f>
        <v>0.7857142857</v>
      </c>
      <c r="W29" s="923">
        <f>IFERROR(__xludf.DUMMYFUNCTION("""COMPUTED_VALUE"""),0.14285714285714285)</f>
        <v>0.1428571429</v>
      </c>
      <c r="X29" s="923">
        <f>IFERROR(__xludf.DUMMYFUNCTION("""COMPUTED_VALUE"""),0.14285714285714285)</f>
        <v>0.1428571429</v>
      </c>
      <c r="Y29" s="923">
        <f>IFERROR(__xludf.DUMMYFUNCTION("""COMPUTED_VALUE"""),0.07142857142857142)</f>
        <v>0.07142857143</v>
      </c>
      <c r="Z29" s="923">
        <f>IFERROR(__xludf.DUMMYFUNCTION("""COMPUTED_VALUE"""),0.0)</f>
        <v>0</v>
      </c>
      <c r="AA29" s="923">
        <f>IFERROR(__xludf.DUMMYFUNCTION("""COMPUTED_VALUE"""),0.0)</f>
        <v>0</v>
      </c>
      <c r="AB29" s="923">
        <f>IFERROR(__xludf.DUMMYFUNCTION("""COMPUTED_VALUE"""),0.0)</f>
        <v>0</v>
      </c>
      <c r="AC29" s="923">
        <f>IFERROR(__xludf.DUMMYFUNCTION("""COMPUTED_VALUE"""),0.0)</f>
        <v>0</v>
      </c>
      <c r="AD29" s="923">
        <f>IFERROR(__xludf.DUMMYFUNCTION("""COMPUTED_VALUE"""),0.0)</f>
        <v>0</v>
      </c>
      <c r="AE29" s="923">
        <f>IFERROR(__xludf.DUMMYFUNCTION("""COMPUTED_VALUE"""),1.7857142857142858)</f>
        <v>1.785714286</v>
      </c>
      <c r="AF29" s="923"/>
      <c r="AG29" s="923"/>
      <c r="AH29" s="923"/>
      <c r="AI29" s="923"/>
      <c r="AJ29" s="923"/>
      <c r="AK29" s="923"/>
      <c r="AL29" s="923"/>
      <c r="AM29" s="923"/>
      <c r="AN29" s="923"/>
      <c r="AO29" s="923"/>
      <c r="AP29" s="923"/>
      <c r="AQ29" s="923"/>
      <c r="AR29" s="923"/>
      <c r="AS29" s="923"/>
      <c r="AT29" s="923"/>
      <c r="AU29" s="923"/>
      <c r="AV29" s="923"/>
      <c r="AW29" s="923"/>
      <c r="AX29" s="923"/>
    </row>
    <row r="30">
      <c r="A30" s="923" t="str">
        <f>IFERROR(__xludf.DUMMYFUNCTION("""COMPUTED_VALUE"""),"Mavbrid")</f>
        <v>Mavbrid</v>
      </c>
      <c r="B30" s="923">
        <f>IFERROR(__xludf.DUMMYFUNCTION("""COMPUTED_VALUE"""),1.7241379310344827)</f>
        <v>1.724137931</v>
      </c>
      <c r="C30" s="923">
        <f>IFERROR(__xludf.DUMMYFUNCTION("""COMPUTED_VALUE"""),11.89655172413793)</f>
        <v>11.89655172</v>
      </c>
      <c r="D30" s="923">
        <f>IFERROR(__xludf.DUMMYFUNCTION("""COMPUTED_VALUE"""),69.48275862068965)</f>
        <v>69.48275862</v>
      </c>
      <c r="E30" s="923">
        <f>IFERROR(__xludf.DUMMYFUNCTION("""COMPUTED_VALUE"""),67.17241379310344)</f>
        <v>67.17241379</v>
      </c>
      <c r="F30" s="923">
        <f>IFERROR(__xludf.DUMMYFUNCTION("""COMPUTED_VALUE"""),2.310344827586207)</f>
        <v>2.310344828</v>
      </c>
      <c r="G30" s="923">
        <f>IFERROR(__xludf.DUMMYFUNCTION("""COMPUTED_VALUE"""),4.655172413793103)</f>
        <v>4.655172414</v>
      </c>
      <c r="H30" s="923">
        <f>IFERROR(__xludf.DUMMYFUNCTION("""COMPUTED_VALUE"""),7.103448275862069)</f>
        <v>7.103448276</v>
      </c>
      <c r="I30" s="923">
        <f>IFERROR(__xludf.DUMMYFUNCTION("""COMPUTED_VALUE"""),0.8620689655172413)</f>
        <v>0.8620689655</v>
      </c>
      <c r="J30" s="923">
        <f>IFERROR(__xludf.DUMMYFUNCTION("""COMPUTED_VALUE"""),1481.0)</f>
        <v>1481</v>
      </c>
      <c r="K30" s="923">
        <f>IFERROR(__xludf.DUMMYFUNCTION("""COMPUTED_VALUE"""),1771.1724137931035)</f>
        <v>1771.172414</v>
      </c>
      <c r="L30" s="923">
        <f>IFERROR(__xludf.DUMMYFUNCTION("""COMPUTED_VALUE"""),23.896551724137932)</f>
        <v>23.89655172</v>
      </c>
      <c r="M30" s="923">
        <f>IFERROR(__xludf.DUMMYFUNCTION("""COMPUTED_VALUE"""),564.7586206896551)</f>
        <v>564.7586207</v>
      </c>
      <c r="N30" s="923">
        <f>IFERROR(__xludf.DUMMYFUNCTION("""COMPUTED_VALUE"""),0.0)</f>
        <v>0</v>
      </c>
      <c r="O30" s="923">
        <f>IFERROR(__xludf.DUMMYFUNCTION("""COMPUTED_VALUE"""),1.4827586206896552)</f>
        <v>1.482758621</v>
      </c>
      <c r="P30" s="923">
        <f>IFERROR(__xludf.DUMMYFUNCTION("""COMPUTED_VALUE"""),0.13793103448275862)</f>
        <v>0.1379310345</v>
      </c>
      <c r="Q30" s="923">
        <f>IFERROR(__xludf.DUMMYFUNCTION("""COMPUTED_VALUE"""),0.0)</f>
        <v>0</v>
      </c>
      <c r="R30" s="923">
        <f>IFERROR(__xludf.DUMMYFUNCTION("""COMPUTED_VALUE"""),0.0)</f>
        <v>0</v>
      </c>
      <c r="S30" s="923">
        <f>IFERROR(__xludf.DUMMYFUNCTION("""COMPUTED_VALUE"""),0.5862068965517241)</f>
        <v>0.5862068966</v>
      </c>
      <c r="T30" s="923">
        <f>IFERROR(__xludf.DUMMYFUNCTION("""COMPUTED_VALUE"""),0.0)</f>
        <v>0</v>
      </c>
      <c r="U30" s="923">
        <f>IFERROR(__xludf.DUMMYFUNCTION("""COMPUTED_VALUE"""),8.586206896551724)</f>
        <v>8.586206897</v>
      </c>
      <c r="V30" s="923">
        <f>IFERROR(__xludf.DUMMYFUNCTION("""COMPUTED_VALUE"""),1.1724137931034482)</f>
        <v>1.172413793</v>
      </c>
      <c r="W30" s="923">
        <f>IFERROR(__xludf.DUMMYFUNCTION("""COMPUTED_VALUE"""),0.06896551724137931)</f>
        <v>0.06896551724</v>
      </c>
      <c r="X30" s="923">
        <f>IFERROR(__xludf.DUMMYFUNCTION("""COMPUTED_VALUE"""),0.034482758620689655)</f>
        <v>0.03448275862</v>
      </c>
      <c r="Y30" s="923">
        <f>IFERROR(__xludf.DUMMYFUNCTION("""COMPUTED_VALUE"""),0.034482758620689655)</f>
        <v>0.03448275862</v>
      </c>
      <c r="Z30" s="923">
        <f>IFERROR(__xludf.DUMMYFUNCTION("""COMPUTED_VALUE"""),0.034482758620689655)</f>
        <v>0.03448275862</v>
      </c>
      <c r="AA30" s="923">
        <f>IFERROR(__xludf.DUMMYFUNCTION("""COMPUTED_VALUE"""),0.0)</f>
        <v>0</v>
      </c>
      <c r="AB30" s="923">
        <f>IFERROR(__xludf.DUMMYFUNCTION("""COMPUTED_VALUE"""),0.0)</f>
        <v>0</v>
      </c>
      <c r="AC30" s="923">
        <f>IFERROR(__xludf.DUMMYFUNCTION("""COMPUTED_VALUE"""),0.0)</f>
        <v>0</v>
      </c>
      <c r="AD30" s="923">
        <f>IFERROR(__xludf.DUMMYFUNCTION("""COMPUTED_VALUE"""),0.0)</f>
        <v>0</v>
      </c>
      <c r="AE30" s="923">
        <f>IFERROR(__xludf.DUMMYFUNCTION("""COMPUTED_VALUE"""),1.8620689655172413)</f>
        <v>1.862068966</v>
      </c>
      <c r="AF30" s="923"/>
      <c r="AG30" s="923"/>
      <c r="AH30" s="923"/>
      <c r="AI30" s="923"/>
      <c r="AJ30" s="923"/>
      <c r="AK30" s="923"/>
      <c r="AL30" s="923"/>
      <c r="AM30" s="923"/>
      <c r="AN30" s="923"/>
      <c r="AO30" s="923"/>
      <c r="AP30" s="923"/>
      <c r="AQ30" s="923"/>
      <c r="AR30" s="923"/>
      <c r="AS30" s="923"/>
      <c r="AT30" s="923"/>
      <c r="AU30" s="923"/>
      <c r="AV30" s="923"/>
      <c r="AW30" s="923"/>
      <c r="AX30" s="923"/>
    </row>
    <row r="31">
      <c r="A31" s="923" t="str">
        <f>IFERROR(__xludf.DUMMYFUNCTION("""COMPUTED_VALUE"""),"MealyKitten0")</f>
        <v>MealyKitten0</v>
      </c>
      <c r="B31" s="923">
        <f>IFERROR(__xludf.DUMMYFUNCTION("""COMPUTED_VALUE"""),0.35714285714285715)</f>
        <v>0.3571428571</v>
      </c>
      <c r="C31" s="923">
        <f>IFERROR(__xludf.DUMMYFUNCTION("""COMPUTED_VALUE"""),0.42857142857142855)</f>
        <v>0.4285714286</v>
      </c>
      <c r="D31" s="923">
        <f>IFERROR(__xludf.DUMMYFUNCTION("""COMPUTED_VALUE"""),80.85714285714286)</f>
        <v>80.85714286</v>
      </c>
      <c r="E31" s="923">
        <f>IFERROR(__xludf.DUMMYFUNCTION("""COMPUTED_VALUE"""),90.14285714285714)</f>
        <v>90.14285714</v>
      </c>
      <c r="F31" s="923">
        <f>IFERROR(__xludf.DUMMYFUNCTION("""COMPUTED_VALUE"""),-9.285714285714286)</f>
        <v>-9.285714286</v>
      </c>
      <c r="G31" s="923">
        <f>IFERROR(__xludf.DUMMYFUNCTION("""COMPUTED_VALUE"""),5.5)</f>
        <v>5.5</v>
      </c>
      <c r="H31" s="923">
        <f>IFERROR(__xludf.DUMMYFUNCTION("""COMPUTED_VALUE"""),3.9285714285714284)</f>
        <v>3.928571429</v>
      </c>
      <c r="I31" s="923">
        <f>IFERROR(__xludf.DUMMYFUNCTION("""COMPUTED_VALUE"""),3.5)</f>
        <v>3.5</v>
      </c>
      <c r="J31" s="923">
        <f>IFERROR(__xludf.DUMMYFUNCTION("""COMPUTED_VALUE"""),1027.642857142857)</f>
        <v>1027.642857</v>
      </c>
      <c r="K31" s="923">
        <f>IFERROR(__xludf.DUMMYFUNCTION("""COMPUTED_VALUE"""),1383.857142857143)</f>
        <v>1383.857143</v>
      </c>
      <c r="L31" s="923">
        <f>IFERROR(__xludf.DUMMYFUNCTION("""COMPUTED_VALUE"""),10.714285714285714)</f>
        <v>10.71428571</v>
      </c>
      <c r="M31" s="923">
        <f>IFERROR(__xludf.DUMMYFUNCTION("""COMPUTED_VALUE"""),25.571428571428573)</f>
        <v>25.57142857</v>
      </c>
      <c r="N31" s="923">
        <f>IFERROR(__xludf.DUMMYFUNCTION("""COMPUTED_VALUE"""),0.0)</f>
        <v>0</v>
      </c>
      <c r="O31" s="923">
        <f>IFERROR(__xludf.DUMMYFUNCTION("""COMPUTED_VALUE"""),0.2857142857142857)</f>
        <v>0.2857142857</v>
      </c>
      <c r="P31" s="923">
        <f>IFERROR(__xludf.DUMMYFUNCTION("""COMPUTED_VALUE"""),0.0)</f>
        <v>0</v>
      </c>
      <c r="Q31" s="923">
        <f>IFERROR(__xludf.DUMMYFUNCTION("""COMPUTED_VALUE"""),0.0)</f>
        <v>0</v>
      </c>
      <c r="R31" s="923">
        <f>IFERROR(__xludf.DUMMYFUNCTION("""COMPUTED_VALUE"""),0.0)</f>
        <v>0</v>
      </c>
      <c r="S31" s="923">
        <f>IFERROR(__xludf.DUMMYFUNCTION("""COMPUTED_VALUE"""),0.21428571428571427)</f>
        <v>0.2142857143</v>
      </c>
      <c r="T31" s="923">
        <f>IFERROR(__xludf.DUMMYFUNCTION("""COMPUTED_VALUE"""),0.0)</f>
        <v>0</v>
      </c>
      <c r="U31" s="923">
        <f>IFERROR(__xludf.DUMMYFUNCTION("""COMPUTED_VALUE"""),10.857142857142858)</f>
        <v>10.85714286</v>
      </c>
      <c r="V31" s="923">
        <f>IFERROR(__xludf.DUMMYFUNCTION("""COMPUTED_VALUE"""),1.8571428571428572)</f>
        <v>1.857142857</v>
      </c>
      <c r="W31" s="923">
        <f>IFERROR(__xludf.DUMMYFUNCTION("""COMPUTED_VALUE"""),0.2857142857142857)</f>
        <v>0.2857142857</v>
      </c>
      <c r="X31" s="923">
        <f>IFERROR(__xludf.DUMMYFUNCTION("""COMPUTED_VALUE"""),0.07142857142857142)</f>
        <v>0.07142857143</v>
      </c>
      <c r="Y31" s="923">
        <f>IFERROR(__xludf.DUMMYFUNCTION("""COMPUTED_VALUE"""),0.0)</f>
        <v>0</v>
      </c>
      <c r="Z31" s="923">
        <f>IFERROR(__xludf.DUMMYFUNCTION("""COMPUTED_VALUE"""),0.0)</f>
        <v>0</v>
      </c>
      <c r="AA31" s="923">
        <f>IFERROR(__xludf.DUMMYFUNCTION("""COMPUTED_VALUE"""),0.0)</f>
        <v>0</v>
      </c>
      <c r="AB31" s="923">
        <f>IFERROR(__xludf.DUMMYFUNCTION("""COMPUTED_VALUE"""),0.0)</f>
        <v>0</v>
      </c>
      <c r="AC31" s="923">
        <f>IFERROR(__xludf.DUMMYFUNCTION("""COMPUTED_VALUE"""),0.0)</f>
        <v>0</v>
      </c>
      <c r="AD31" s="923">
        <f>IFERROR(__xludf.DUMMYFUNCTION("""COMPUTED_VALUE"""),0.0)</f>
        <v>0</v>
      </c>
      <c r="AE31" s="923">
        <f>IFERROR(__xludf.DUMMYFUNCTION("""COMPUTED_VALUE"""),2.0714285714285716)</f>
        <v>2.071428571</v>
      </c>
      <c r="AF31" s="923"/>
      <c r="AG31" s="923"/>
      <c r="AH31" s="923"/>
      <c r="AI31" s="923"/>
      <c r="AJ31" s="923"/>
      <c r="AK31" s="923"/>
      <c r="AL31" s="923"/>
      <c r="AM31" s="923"/>
      <c r="AN31" s="923"/>
      <c r="AO31" s="923"/>
      <c r="AP31" s="923"/>
      <c r="AQ31" s="923"/>
      <c r="AR31" s="923"/>
      <c r="AS31" s="923"/>
      <c r="AT31" s="923"/>
      <c r="AU31" s="923"/>
      <c r="AV31" s="923"/>
      <c r="AW31" s="923"/>
      <c r="AX31" s="923"/>
    </row>
    <row r="32">
      <c r="A32" s="923" t="str">
        <f>IFERROR(__xludf.DUMMYFUNCTION("""COMPUTED_VALUE"""),"Mhurcy")</f>
        <v>Mhurcy</v>
      </c>
      <c r="B32" s="923">
        <f>IFERROR(__xludf.DUMMYFUNCTION("""COMPUTED_VALUE"""),0.14285714285714285)</f>
        <v>0.1428571429</v>
      </c>
      <c r="C32" s="923">
        <f>IFERROR(__xludf.DUMMYFUNCTION("""COMPUTED_VALUE"""),0.9285714285714286)</f>
        <v>0.9285714286</v>
      </c>
      <c r="D32" s="923">
        <f>IFERROR(__xludf.DUMMYFUNCTION("""COMPUTED_VALUE"""),61.5)</f>
        <v>61.5</v>
      </c>
      <c r="E32" s="923">
        <f>IFERROR(__xludf.DUMMYFUNCTION("""COMPUTED_VALUE"""),69.92857142857143)</f>
        <v>69.92857143</v>
      </c>
      <c r="F32" s="923">
        <f>IFERROR(__xludf.DUMMYFUNCTION("""COMPUTED_VALUE"""),-8.428571428571429)</f>
        <v>-8.428571429</v>
      </c>
      <c r="G32" s="923">
        <f>IFERROR(__xludf.DUMMYFUNCTION("""COMPUTED_VALUE"""),4.357142857142857)</f>
        <v>4.357142857</v>
      </c>
      <c r="H32" s="923">
        <f>IFERROR(__xludf.DUMMYFUNCTION("""COMPUTED_VALUE"""),4.571428571428571)</f>
        <v>4.571428571</v>
      </c>
      <c r="I32" s="923">
        <f>IFERROR(__xludf.DUMMYFUNCTION("""COMPUTED_VALUE"""),1.4285714285714286)</f>
        <v>1.428571429</v>
      </c>
      <c r="J32" s="923">
        <f>IFERROR(__xludf.DUMMYFUNCTION("""COMPUTED_VALUE"""),927.4285714285714)</f>
        <v>927.4285714</v>
      </c>
      <c r="K32" s="923">
        <f>IFERROR(__xludf.DUMMYFUNCTION("""COMPUTED_VALUE"""),1219.7857142857142)</f>
        <v>1219.785714</v>
      </c>
      <c r="L32" s="923">
        <f>IFERROR(__xludf.DUMMYFUNCTION("""COMPUTED_VALUE"""),13.0)</f>
        <v>13</v>
      </c>
      <c r="M32" s="923">
        <f>IFERROR(__xludf.DUMMYFUNCTION("""COMPUTED_VALUE"""),31.214285714285715)</f>
        <v>31.21428571</v>
      </c>
      <c r="N32" s="923">
        <f>IFERROR(__xludf.DUMMYFUNCTION("""COMPUTED_VALUE"""),0.0)</f>
        <v>0</v>
      </c>
      <c r="O32" s="923">
        <f>IFERROR(__xludf.DUMMYFUNCTION("""COMPUTED_VALUE"""),0.5)</f>
        <v>0.5</v>
      </c>
      <c r="P32" s="923">
        <f>IFERROR(__xludf.DUMMYFUNCTION("""COMPUTED_VALUE"""),0.0)</f>
        <v>0</v>
      </c>
      <c r="Q32" s="923">
        <f>IFERROR(__xludf.DUMMYFUNCTION("""COMPUTED_VALUE"""),0.0)</f>
        <v>0</v>
      </c>
      <c r="R32" s="923">
        <f>IFERROR(__xludf.DUMMYFUNCTION("""COMPUTED_VALUE"""),0.0)</f>
        <v>0</v>
      </c>
      <c r="S32" s="923">
        <f>IFERROR(__xludf.DUMMYFUNCTION("""COMPUTED_VALUE"""),0.42857142857142855)</f>
        <v>0.4285714286</v>
      </c>
      <c r="T32" s="923">
        <f>IFERROR(__xludf.DUMMYFUNCTION("""COMPUTED_VALUE"""),0.0)</f>
        <v>0</v>
      </c>
      <c r="U32" s="923">
        <f>IFERROR(__xludf.DUMMYFUNCTION("""COMPUTED_VALUE"""),8.857142857142858)</f>
        <v>8.857142857</v>
      </c>
      <c r="V32" s="923">
        <f>IFERROR(__xludf.DUMMYFUNCTION("""COMPUTED_VALUE"""),1.4285714285714286)</f>
        <v>1.428571429</v>
      </c>
      <c r="W32" s="923">
        <f>IFERROR(__xludf.DUMMYFUNCTION("""COMPUTED_VALUE"""),0.35714285714285715)</f>
        <v>0.3571428571</v>
      </c>
      <c r="X32" s="923">
        <f>IFERROR(__xludf.DUMMYFUNCTION("""COMPUTED_VALUE"""),0.0)</f>
        <v>0</v>
      </c>
      <c r="Y32" s="923">
        <f>IFERROR(__xludf.DUMMYFUNCTION("""COMPUTED_VALUE"""),0.0)</f>
        <v>0</v>
      </c>
      <c r="Z32" s="923">
        <f>IFERROR(__xludf.DUMMYFUNCTION("""COMPUTED_VALUE"""),0.0)</f>
        <v>0</v>
      </c>
      <c r="AA32" s="923">
        <f>IFERROR(__xludf.DUMMYFUNCTION("""COMPUTED_VALUE"""),0.0)</f>
        <v>0</v>
      </c>
      <c r="AB32" s="923">
        <f>IFERROR(__xludf.DUMMYFUNCTION("""COMPUTED_VALUE"""),0.0)</f>
        <v>0</v>
      </c>
      <c r="AC32" s="923">
        <f>IFERROR(__xludf.DUMMYFUNCTION("""COMPUTED_VALUE"""),0.0)</f>
        <v>0</v>
      </c>
      <c r="AD32" s="923">
        <f>IFERROR(__xludf.DUMMYFUNCTION("""COMPUTED_VALUE"""),0.0)</f>
        <v>0</v>
      </c>
      <c r="AE32" s="923">
        <f>IFERROR(__xludf.DUMMYFUNCTION("""COMPUTED_VALUE"""),3.642857142857143)</f>
        <v>3.642857143</v>
      </c>
      <c r="AF32" s="923"/>
      <c r="AG32" s="923"/>
      <c r="AH32" s="923"/>
      <c r="AI32" s="923"/>
      <c r="AJ32" s="923"/>
      <c r="AK32" s="923"/>
      <c r="AL32" s="923"/>
      <c r="AM32" s="923"/>
      <c r="AN32" s="923"/>
      <c r="AO32" s="923"/>
      <c r="AP32" s="923"/>
      <c r="AQ32" s="923"/>
      <c r="AR32" s="923"/>
      <c r="AS32" s="923"/>
      <c r="AT32" s="923"/>
      <c r="AU32" s="923"/>
      <c r="AV32" s="923"/>
      <c r="AW32" s="923"/>
      <c r="AX32" s="923"/>
    </row>
    <row r="33">
      <c r="A33" s="923" t="str">
        <f>IFERROR(__xludf.DUMMYFUNCTION("""COMPUTED_VALUE"""),"MoldyVolts")</f>
        <v>MoldyVolts</v>
      </c>
      <c r="B33" s="923">
        <f>IFERROR(__xludf.DUMMYFUNCTION("""COMPUTED_VALUE"""),0.1724137931034483)</f>
        <v>0.1724137931</v>
      </c>
      <c r="C33" s="923">
        <f>IFERROR(__xludf.DUMMYFUNCTION("""COMPUTED_VALUE"""),0.1724137931034483)</f>
        <v>0.1724137931</v>
      </c>
      <c r="D33" s="923">
        <f>IFERROR(__xludf.DUMMYFUNCTION("""COMPUTED_VALUE"""),78.24137931034483)</f>
        <v>78.24137931</v>
      </c>
      <c r="E33" s="923">
        <f>IFERROR(__xludf.DUMMYFUNCTION("""COMPUTED_VALUE"""),103.96551724137932)</f>
        <v>103.9655172</v>
      </c>
      <c r="F33" s="923">
        <f>IFERROR(__xludf.DUMMYFUNCTION("""COMPUTED_VALUE"""),-25.724137931034484)</f>
        <v>-25.72413793</v>
      </c>
      <c r="G33" s="923">
        <f>IFERROR(__xludf.DUMMYFUNCTION("""COMPUTED_VALUE"""),7.103448275862069)</f>
        <v>7.103448276</v>
      </c>
      <c r="H33" s="923">
        <f>IFERROR(__xludf.DUMMYFUNCTION("""COMPUTED_VALUE"""),4.344827586206897)</f>
        <v>4.344827586</v>
      </c>
      <c r="I33" s="923">
        <f>IFERROR(__xludf.DUMMYFUNCTION("""COMPUTED_VALUE"""),2.0)</f>
        <v>2</v>
      </c>
      <c r="J33" s="923">
        <f>IFERROR(__xludf.DUMMYFUNCTION("""COMPUTED_VALUE"""),1373.8620689655172)</f>
        <v>1373.862069</v>
      </c>
      <c r="K33" s="923">
        <f>IFERROR(__xludf.DUMMYFUNCTION("""COMPUTED_VALUE"""),1773.6206896551723)</f>
        <v>1773.62069</v>
      </c>
      <c r="L33" s="923">
        <f>IFERROR(__xludf.DUMMYFUNCTION("""COMPUTED_VALUE"""),12.758620689655173)</f>
        <v>12.75862069</v>
      </c>
      <c r="M33" s="923">
        <f>IFERROR(__xludf.DUMMYFUNCTION("""COMPUTED_VALUE"""),15.482758620689655)</f>
        <v>15.48275862</v>
      </c>
      <c r="N33" s="923">
        <f>IFERROR(__xludf.DUMMYFUNCTION("""COMPUTED_VALUE"""),0.0)</f>
        <v>0</v>
      </c>
      <c r="O33" s="923">
        <f>IFERROR(__xludf.DUMMYFUNCTION("""COMPUTED_VALUE"""),0.5862068965517241)</f>
        <v>0.5862068966</v>
      </c>
      <c r="P33" s="923">
        <f>IFERROR(__xludf.DUMMYFUNCTION("""COMPUTED_VALUE"""),0.0)</f>
        <v>0</v>
      </c>
      <c r="Q33" s="923">
        <f>IFERROR(__xludf.DUMMYFUNCTION("""COMPUTED_VALUE"""),0.0)</f>
        <v>0</v>
      </c>
      <c r="R33" s="923">
        <f>IFERROR(__xludf.DUMMYFUNCTION("""COMPUTED_VALUE"""),0.0)</f>
        <v>0</v>
      </c>
      <c r="S33" s="923">
        <f>IFERROR(__xludf.DUMMYFUNCTION("""COMPUTED_VALUE"""),0.5172413793103449)</f>
        <v>0.5172413793</v>
      </c>
      <c r="T33" s="923">
        <f>IFERROR(__xludf.DUMMYFUNCTION("""COMPUTED_VALUE"""),0.0)</f>
        <v>0</v>
      </c>
      <c r="U33" s="923">
        <f>IFERROR(__xludf.DUMMYFUNCTION("""COMPUTED_VALUE"""),9.10344827586207)</f>
        <v>9.103448276</v>
      </c>
      <c r="V33" s="923">
        <f>IFERROR(__xludf.DUMMYFUNCTION("""COMPUTED_VALUE"""),1.2758620689655173)</f>
        <v>1.275862069</v>
      </c>
      <c r="W33" s="923">
        <f>IFERROR(__xludf.DUMMYFUNCTION("""COMPUTED_VALUE"""),0.3448275862068966)</f>
        <v>0.3448275862</v>
      </c>
      <c r="X33" s="923">
        <f>IFERROR(__xludf.DUMMYFUNCTION("""COMPUTED_VALUE"""),0.034482758620689655)</f>
        <v>0.03448275862</v>
      </c>
      <c r="Y33" s="923">
        <f>IFERROR(__xludf.DUMMYFUNCTION("""COMPUTED_VALUE"""),0.0)</f>
        <v>0</v>
      </c>
      <c r="Z33" s="923">
        <f>IFERROR(__xludf.DUMMYFUNCTION("""COMPUTED_VALUE"""),0.0)</f>
        <v>0</v>
      </c>
      <c r="AA33" s="923">
        <f>IFERROR(__xludf.DUMMYFUNCTION("""COMPUTED_VALUE"""),0.0)</f>
        <v>0</v>
      </c>
      <c r="AB33" s="923">
        <f>IFERROR(__xludf.DUMMYFUNCTION("""COMPUTED_VALUE"""),0.0)</f>
        <v>0</v>
      </c>
      <c r="AC33" s="923">
        <f>IFERROR(__xludf.DUMMYFUNCTION("""COMPUTED_VALUE"""),0.0)</f>
        <v>0</v>
      </c>
      <c r="AD33" s="923">
        <f>IFERROR(__xludf.DUMMYFUNCTION("""COMPUTED_VALUE"""),0.0)</f>
        <v>0</v>
      </c>
      <c r="AE33" s="923">
        <f>IFERROR(__xludf.DUMMYFUNCTION("""COMPUTED_VALUE"""),3.9655172413793105)</f>
        <v>3.965517241</v>
      </c>
      <c r="AF33" s="923"/>
      <c r="AG33" s="923"/>
      <c r="AH33" s="923"/>
      <c r="AI33" s="923"/>
      <c r="AJ33" s="923"/>
      <c r="AK33" s="923"/>
      <c r="AL33" s="923"/>
      <c r="AM33" s="923"/>
      <c r="AN33" s="923"/>
      <c r="AO33" s="923"/>
      <c r="AP33" s="923"/>
      <c r="AQ33" s="923"/>
      <c r="AR33" s="923"/>
      <c r="AS33" s="923"/>
      <c r="AT33" s="923"/>
      <c r="AU33" s="923"/>
      <c r="AV33" s="923"/>
      <c r="AW33" s="923"/>
      <c r="AX33" s="923"/>
    </row>
    <row r="34">
      <c r="A34" s="923" t="str">
        <f>IFERROR(__xludf.DUMMYFUNCTION("""COMPUTED_VALUE"""),"MuNgO PuNgO")</f>
        <v>MuNgO PuNgO</v>
      </c>
      <c r="B34" s="923">
        <f>IFERROR(__xludf.DUMMYFUNCTION("""COMPUTED_VALUE"""),0.0)</f>
        <v>0</v>
      </c>
      <c r="C34" s="923">
        <f>IFERROR(__xludf.DUMMYFUNCTION("""COMPUTED_VALUE"""),0.5)</f>
        <v>0.5</v>
      </c>
      <c r="D34" s="923">
        <f>IFERROR(__xludf.DUMMYFUNCTION("""COMPUTED_VALUE"""),54.5)</f>
        <v>54.5</v>
      </c>
      <c r="E34" s="923">
        <f>IFERROR(__xludf.DUMMYFUNCTION("""COMPUTED_VALUE"""),99.0)</f>
        <v>99</v>
      </c>
      <c r="F34" s="923">
        <f>IFERROR(__xludf.DUMMYFUNCTION("""COMPUTED_VALUE"""),-44.5)</f>
        <v>-44.5</v>
      </c>
      <c r="G34" s="923">
        <f>IFERROR(__xludf.DUMMYFUNCTION("""COMPUTED_VALUE"""),3.0)</f>
        <v>3</v>
      </c>
      <c r="H34" s="923">
        <f>IFERROR(__xludf.DUMMYFUNCTION("""COMPUTED_VALUE"""),3.0)</f>
        <v>3</v>
      </c>
      <c r="I34" s="923">
        <f>IFERROR(__xludf.DUMMYFUNCTION("""COMPUTED_VALUE"""),1.0)</f>
        <v>1</v>
      </c>
      <c r="J34" s="923">
        <f>IFERROR(__xludf.DUMMYFUNCTION("""COMPUTED_VALUE"""),895.5)</f>
        <v>895.5</v>
      </c>
      <c r="K34" s="923">
        <f>IFERROR(__xludf.DUMMYFUNCTION("""COMPUTED_VALUE"""),1268.0)</f>
        <v>1268</v>
      </c>
      <c r="L34" s="923">
        <f>IFERROR(__xludf.DUMMYFUNCTION("""COMPUTED_VALUE"""),8.5)</f>
        <v>8.5</v>
      </c>
      <c r="M34" s="923">
        <f>IFERROR(__xludf.DUMMYFUNCTION("""COMPUTED_VALUE"""),9.5)</f>
        <v>9.5</v>
      </c>
      <c r="N34" s="923">
        <f>IFERROR(__xludf.DUMMYFUNCTION("""COMPUTED_VALUE"""),0.0)</f>
        <v>0</v>
      </c>
      <c r="O34" s="923">
        <f>IFERROR(__xludf.DUMMYFUNCTION("""COMPUTED_VALUE"""),0.0)</f>
        <v>0</v>
      </c>
      <c r="P34" s="923">
        <f>IFERROR(__xludf.DUMMYFUNCTION("""COMPUTED_VALUE"""),0.0)</f>
        <v>0</v>
      </c>
      <c r="Q34" s="923">
        <f>IFERROR(__xludf.DUMMYFUNCTION("""COMPUTED_VALUE"""),0.0)</f>
        <v>0</v>
      </c>
      <c r="R34" s="923">
        <f>IFERROR(__xludf.DUMMYFUNCTION("""COMPUTED_VALUE"""),0.0)</f>
        <v>0</v>
      </c>
      <c r="S34" s="923">
        <f>IFERROR(__xludf.DUMMYFUNCTION("""COMPUTED_VALUE"""),0.0)</f>
        <v>0</v>
      </c>
      <c r="T34" s="923">
        <f>IFERROR(__xludf.DUMMYFUNCTION("""COMPUTED_VALUE"""),0.0)</f>
        <v>0</v>
      </c>
      <c r="U34" s="923">
        <f>IFERROR(__xludf.DUMMYFUNCTION("""COMPUTED_VALUE"""),5.5)</f>
        <v>5.5</v>
      </c>
      <c r="V34" s="923">
        <f>IFERROR(__xludf.DUMMYFUNCTION("""COMPUTED_VALUE"""),1.5)</f>
        <v>1.5</v>
      </c>
      <c r="W34" s="923">
        <f>IFERROR(__xludf.DUMMYFUNCTION("""COMPUTED_VALUE"""),0.0)</f>
        <v>0</v>
      </c>
      <c r="X34" s="923">
        <f>IFERROR(__xludf.DUMMYFUNCTION("""COMPUTED_VALUE"""),0.0)</f>
        <v>0</v>
      </c>
      <c r="Y34" s="923">
        <f>IFERROR(__xludf.DUMMYFUNCTION("""COMPUTED_VALUE"""),0.0)</f>
        <v>0</v>
      </c>
      <c r="Z34" s="923">
        <f>IFERROR(__xludf.DUMMYFUNCTION("""COMPUTED_VALUE"""),0.0)</f>
        <v>0</v>
      </c>
      <c r="AA34" s="923">
        <f>IFERROR(__xludf.DUMMYFUNCTION("""COMPUTED_VALUE"""),0.0)</f>
        <v>0</v>
      </c>
      <c r="AB34" s="923">
        <f>IFERROR(__xludf.DUMMYFUNCTION("""COMPUTED_VALUE"""),0.0)</f>
        <v>0</v>
      </c>
      <c r="AC34" s="923">
        <f>IFERROR(__xludf.DUMMYFUNCTION("""COMPUTED_VALUE"""),0.0)</f>
        <v>0</v>
      </c>
      <c r="AD34" s="923">
        <f>IFERROR(__xludf.DUMMYFUNCTION("""COMPUTED_VALUE"""),0.0)</f>
        <v>0</v>
      </c>
      <c r="AE34" s="923">
        <f>IFERROR(__xludf.DUMMYFUNCTION("""COMPUTED_VALUE"""),2.5)</f>
        <v>2.5</v>
      </c>
      <c r="AF34" s="923"/>
      <c r="AG34" s="923"/>
      <c r="AH34" s="923"/>
      <c r="AI34" s="923"/>
      <c r="AJ34" s="923"/>
      <c r="AK34" s="923"/>
      <c r="AL34" s="923"/>
      <c r="AM34" s="923"/>
      <c r="AN34" s="923"/>
      <c r="AO34" s="923"/>
      <c r="AP34" s="923"/>
      <c r="AQ34" s="923"/>
      <c r="AR34" s="923"/>
      <c r="AS34" s="923"/>
      <c r="AT34" s="923"/>
      <c r="AU34" s="923"/>
      <c r="AV34" s="923"/>
      <c r="AW34" s="923"/>
      <c r="AX34" s="923"/>
    </row>
    <row r="35">
      <c r="A35" s="923" t="str">
        <f>IFERROR(__xludf.DUMMYFUNCTION("""COMPUTED_VALUE"""),"MysticalNovice")</f>
        <v>MysticalNovice</v>
      </c>
      <c r="B35" s="923">
        <f>IFERROR(__xludf.DUMMYFUNCTION("""COMPUTED_VALUE"""),0.21428571428571427)</f>
        <v>0.2142857143</v>
      </c>
      <c r="C35" s="923">
        <f>IFERROR(__xludf.DUMMYFUNCTION("""COMPUTED_VALUE"""),0.35714285714285715)</f>
        <v>0.3571428571</v>
      </c>
      <c r="D35" s="923">
        <f>IFERROR(__xludf.DUMMYFUNCTION("""COMPUTED_VALUE"""),118.07142857142857)</f>
        <v>118.0714286</v>
      </c>
      <c r="E35" s="923">
        <f>IFERROR(__xludf.DUMMYFUNCTION("""COMPUTED_VALUE"""),128.0)</f>
        <v>128</v>
      </c>
      <c r="F35" s="923">
        <f>IFERROR(__xludf.DUMMYFUNCTION("""COMPUTED_VALUE"""),-9.928571428571429)</f>
        <v>-9.928571429</v>
      </c>
      <c r="G35" s="923">
        <f>IFERROR(__xludf.DUMMYFUNCTION("""COMPUTED_VALUE"""),5.607142857142857)</f>
        <v>5.607142857</v>
      </c>
      <c r="H35" s="923">
        <f>IFERROR(__xludf.DUMMYFUNCTION("""COMPUTED_VALUE"""),4.464285714285714)</f>
        <v>4.464285714</v>
      </c>
      <c r="I35" s="923">
        <f>IFERROR(__xludf.DUMMYFUNCTION("""COMPUTED_VALUE"""),1.5714285714285714)</f>
        <v>1.571428571</v>
      </c>
      <c r="J35" s="923">
        <f>IFERROR(__xludf.DUMMYFUNCTION("""COMPUTED_VALUE"""),1299.142857142857)</f>
        <v>1299.142857</v>
      </c>
      <c r="K35" s="923">
        <f>IFERROR(__xludf.DUMMYFUNCTION("""COMPUTED_VALUE"""),1770.9285714285713)</f>
        <v>1770.928571</v>
      </c>
      <c r="L35" s="923">
        <f>IFERROR(__xludf.DUMMYFUNCTION("""COMPUTED_VALUE"""),9.607142857142858)</f>
        <v>9.607142857</v>
      </c>
      <c r="M35" s="923">
        <f>IFERROR(__xludf.DUMMYFUNCTION("""COMPUTED_VALUE"""),16.071428571428573)</f>
        <v>16.07142857</v>
      </c>
      <c r="N35" s="923">
        <f>IFERROR(__xludf.DUMMYFUNCTION("""COMPUTED_VALUE"""),0.0)</f>
        <v>0</v>
      </c>
      <c r="O35" s="923">
        <f>IFERROR(__xludf.DUMMYFUNCTION("""COMPUTED_VALUE"""),0.8214285714285714)</f>
        <v>0.8214285714</v>
      </c>
      <c r="P35" s="923">
        <f>IFERROR(__xludf.DUMMYFUNCTION("""COMPUTED_VALUE"""),0.0)</f>
        <v>0</v>
      </c>
      <c r="Q35" s="923">
        <f>IFERROR(__xludf.DUMMYFUNCTION("""COMPUTED_VALUE"""),0.0)</f>
        <v>0</v>
      </c>
      <c r="R35" s="923">
        <f>IFERROR(__xludf.DUMMYFUNCTION("""COMPUTED_VALUE"""),0.0)</f>
        <v>0</v>
      </c>
      <c r="S35" s="923">
        <f>IFERROR(__xludf.DUMMYFUNCTION("""COMPUTED_VALUE"""),0.6785714285714286)</f>
        <v>0.6785714286</v>
      </c>
      <c r="T35" s="923">
        <f>IFERROR(__xludf.DUMMYFUNCTION("""COMPUTED_VALUE"""),0.0)</f>
        <v>0</v>
      </c>
      <c r="U35" s="923">
        <f>IFERROR(__xludf.DUMMYFUNCTION("""COMPUTED_VALUE"""),20.821428571428573)</f>
        <v>20.82142857</v>
      </c>
      <c r="V35" s="923">
        <f>IFERROR(__xludf.DUMMYFUNCTION("""COMPUTED_VALUE"""),4.214285714285714)</f>
        <v>4.214285714</v>
      </c>
      <c r="W35" s="923">
        <f>IFERROR(__xludf.DUMMYFUNCTION("""COMPUTED_VALUE"""),0.75)</f>
        <v>0.75</v>
      </c>
      <c r="X35" s="923">
        <f>IFERROR(__xludf.DUMMYFUNCTION("""COMPUTED_VALUE"""),0.14285714285714285)</f>
        <v>0.1428571429</v>
      </c>
      <c r="Y35" s="923">
        <f>IFERROR(__xludf.DUMMYFUNCTION("""COMPUTED_VALUE"""),0.0)</f>
        <v>0</v>
      </c>
      <c r="Z35" s="923">
        <f>IFERROR(__xludf.DUMMYFUNCTION("""COMPUTED_VALUE"""),0.0)</f>
        <v>0</v>
      </c>
      <c r="AA35" s="923">
        <f>IFERROR(__xludf.DUMMYFUNCTION("""COMPUTED_VALUE"""),0.0)</f>
        <v>0</v>
      </c>
      <c r="AB35" s="923">
        <f>IFERROR(__xludf.DUMMYFUNCTION("""COMPUTED_VALUE"""),0.0)</f>
        <v>0</v>
      </c>
      <c r="AC35" s="923">
        <f>IFERROR(__xludf.DUMMYFUNCTION("""COMPUTED_VALUE"""),0.0)</f>
        <v>0</v>
      </c>
      <c r="AD35" s="923">
        <f>IFERROR(__xludf.DUMMYFUNCTION("""COMPUTED_VALUE"""),0.0)</f>
        <v>0</v>
      </c>
      <c r="AE35" s="923">
        <f>IFERROR(__xludf.DUMMYFUNCTION("""COMPUTED_VALUE"""),3.5357142857142856)</f>
        <v>3.535714286</v>
      </c>
      <c r="AF35" s="923"/>
      <c r="AG35" s="923"/>
      <c r="AH35" s="923"/>
      <c r="AI35" s="923"/>
      <c r="AJ35" s="923"/>
      <c r="AK35" s="923"/>
      <c r="AL35" s="923"/>
      <c r="AM35" s="923"/>
      <c r="AN35" s="923"/>
      <c r="AO35" s="923"/>
      <c r="AP35" s="923"/>
      <c r="AQ35" s="923"/>
      <c r="AR35" s="923"/>
      <c r="AS35" s="923"/>
      <c r="AT35" s="923"/>
      <c r="AU35" s="923"/>
      <c r="AV35" s="923"/>
      <c r="AW35" s="923"/>
      <c r="AX35" s="923"/>
    </row>
    <row r="36">
      <c r="A36" s="923" t="str">
        <f>IFERROR(__xludf.DUMMYFUNCTION("""COMPUTED_VALUE"""),"SPANKTR0N")</f>
        <v>SPANKTR0N</v>
      </c>
      <c r="B36" s="923">
        <f>IFERROR(__xludf.DUMMYFUNCTION("""COMPUTED_VALUE"""),0.25)</f>
        <v>0.25</v>
      </c>
      <c r="C36" s="923">
        <f>IFERROR(__xludf.DUMMYFUNCTION("""COMPUTED_VALUE"""),0.4375)</f>
        <v>0.4375</v>
      </c>
      <c r="D36" s="923">
        <f>IFERROR(__xludf.DUMMYFUNCTION("""COMPUTED_VALUE"""),84.4375)</f>
        <v>84.4375</v>
      </c>
      <c r="E36" s="923">
        <f>IFERROR(__xludf.DUMMYFUNCTION("""COMPUTED_VALUE"""),88.3125)</f>
        <v>88.3125</v>
      </c>
      <c r="F36" s="923">
        <f>IFERROR(__xludf.DUMMYFUNCTION("""COMPUTED_VALUE"""),-3.875)</f>
        <v>-3.875</v>
      </c>
      <c r="G36" s="923">
        <f>IFERROR(__xludf.DUMMYFUNCTION("""COMPUTED_VALUE"""),6.25)</f>
        <v>6.25</v>
      </c>
      <c r="H36" s="923">
        <f>IFERROR(__xludf.DUMMYFUNCTION("""COMPUTED_VALUE"""),5.6875)</f>
        <v>5.6875</v>
      </c>
      <c r="I36" s="923">
        <f>IFERROR(__xludf.DUMMYFUNCTION("""COMPUTED_VALUE"""),1.4375)</f>
        <v>1.4375</v>
      </c>
      <c r="J36" s="923">
        <f>IFERROR(__xludf.DUMMYFUNCTION("""COMPUTED_VALUE"""),1292.375)</f>
        <v>1292.375</v>
      </c>
      <c r="K36" s="923">
        <f>IFERROR(__xludf.DUMMYFUNCTION("""COMPUTED_VALUE"""),1649.5)</f>
        <v>1649.5</v>
      </c>
      <c r="L36" s="923">
        <f>IFERROR(__xludf.DUMMYFUNCTION("""COMPUTED_VALUE"""),14.375)</f>
        <v>14.375</v>
      </c>
      <c r="M36" s="923">
        <f>IFERROR(__xludf.DUMMYFUNCTION("""COMPUTED_VALUE"""),3.3125)</f>
        <v>3.3125</v>
      </c>
      <c r="N36" s="923">
        <f>IFERROR(__xludf.DUMMYFUNCTION("""COMPUTED_VALUE"""),0.0)</f>
        <v>0</v>
      </c>
      <c r="O36" s="923">
        <f>IFERROR(__xludf.DUMMYFUNCTION("""COMPUTED_VALUE"""),1.6875)</f>
        <v>1.6875</v>
      </c>
      <c r="P36" s="923">
        <f>IFERROR(__xludf.DUMMYFUNCTION("""COMPUTED_VALUE"""),0.125)</f>
        <v>0.125</v>
      </c>
      <c r="Q36" s="923">
        <f>IFERROR(__xludf.DUMMYFUNCTION("""COMPUTED_VALUE"""),0.0)</f>
        <v>0</v>
      </c>
      <c r="R36" s="923">
        <f>IFERROR(__xludf.DUMMYFUNCTION("""COMPUTED_VALUE"""),0.0)</f>
        <v>0</v>
      </c>
      <c r="S36" s="923">
        <f>IFERROR(__xludf.DUMMYFUNCTION("""COMPUTED_VALUE"""),1.6875)</f>
        <v>1.6875</v>
      </c>
      <c r="T36" s="923">
        <f>IFERROR(__xludf.DUMMYFUNCTION("""COMPUTED_VALUE"""),0.0)</f>
        <v>0</v>
      </c>
      <c r="U36" s="923">
        <f>IFERROR(__xludf.DUMMYFUNCTION("""COMPUTED_VALUE"""),12.0)</f>
        <v>12</v>
      </c>
      <c r="V36" s="923">
        <f>IFERROR(__xludf.DUMMYFUNCTION("""COMPUTED_VALUE"""),2.6875)</f>
        <v>2.6875</v>
      </c>
      <c r="W36" s="923">
        <f>IFERROR(__xludf.DUMMYFUNCTION("""COMPUTED_VALUE"""),1.0625)</f>
        <v>1.0625</v>
      </c>
      <c r="X36" s="923">
        <f>IFERROR(__xludf.DUMMYFUNCTION("""COMPUTED_VALUE"""),0.25)</f>
        <v>0.25</v>
      </c>
      <c r="Y36" s="923">
        <f>IFERROR(__xludf.DUMMYFUNCTION("""COMPUTED_VALUE"""),0.125)</f>
        <v>0.125</v>
      </c>
      <c r="Z36" s="923">
        <f>IFERROR(__xludf.DUMMYFUNCTION("""COMPUTED_VALUE"""),0.0)</f>
        <v>0</v>
      </c>
      <c r="AA36" s="923">
        <f>IFERROR(__xludf.DUMMYFUNCTION("""COMPUTED_VALUE"""),0.0)</f>
        <v>0</v>
      </c>
      <c r="AB36" s="923">
        <f>IFERROR(__xludf.DUMMYFUNCTION("""COMPUTED_VALUE"""),0.0)</f>
        <v>0</v>
      </c>
      <c r="AC36" s="923">
        <f>IFERROR(__xludf.DUMMYFUNCTION("""COMPUTED_VALUE"""),0.0)</f>
        <v>0</v>
      </c>
      <c r="AD36" s="923">
        <f>IFERROR(__xludf.DUMMYFUNCTION("""COMPUTED_VALUE"""),0.0)</f>
        <v>0</v>
      </c>
      <c r="AE36" s="923">
        <f>IFERROR(__xludf.DUMMYFUNCTION("""COMPUTED_VALUE"""),3.0)</f>
        <v>3</v>
      </c>
      <c r="AF36" s="923"/>
      <c r="AG36" s="923"/>
      <c r="AH36" s="923"/>
      <c r="AI36" s="923"/>
      <c r="AJ36" s="923"/>
      <c r="AK36" s="923"/>
      <c r="AL36" s="923"/>
      <c r="AM36" s="923"/>
      <c r="AN36" s="923"/>
      <c r="AO36" s="923"/>
      <c r="AP36" s="923"/>
      <c r="AQ36" s="923"/>
      <c r="AR36" s="923"/>
      <c r="AS36" s="923"/>
      <c r="AT36" s="923"/>
      <c r="AU36" s="923"/>
      <c r="AV36" s="923"/>
      <c r="AW36" s="923"/>
      <c r="AX36" s="923"/>
    </row>
    <row r="37">
      <c r="A37" s="923" t="str">
        <f>IFERROR(__xludf.DUMMYFUNCTION("""COMPUTED_VALUE"""),"Scullen cx")</f>
        <v>Scullen cx</v>
      </c>
      <c r="B37" s="923">
        <f>IFERROR(__xludf.DUMMYFUNCTION("""COMPUTED_VALUE"""),0.5)</f>
        <v>0.5</v>
      </c>
      <c r="C37" s="923">
        <f>IFERROR(__xludf.DUMMYFUNCTION("""COMPUTED_VALUE"""),0.9)</f>
        <v>0.9</v>
      </c>
      <c r="D37" s="923">
        <f>IFERROR(__xludf.DUMMYFUNCTION("""COMPUTED_VALUE"""),76.45)</f>
        <v>76.45</v>
      </c>
      <c r="E37" s="923">
        <f>IFERROR(__xludf.DUMMYFUNCTION("""COMPUTED_VALUE"""),102.0)</f>
        <v>102</v>
      </c>
      <c r="F37" s="923">
        <f>IFERROR(__xludf.DUMMYFUNCTION("""COMPUTED_VALUE"""),-25.55)</f>
        <v>-25.55</v>
      </c>
      <c r="G37" s="923">
        <f>IFERROR(__xludf.DUMMYFUNCTION("""COMPUTED_VALUE"""),5.85)</f>
        <v>5.85</v>
      </c>
      <c r="H37" s="923">
        <f>IFERROR(__xludf.DUMMYFUNCTION("""COMPUTED_VALUE"""),4.3)</f>
        <v>4.3</v>
      </c>
      <c r="I37" s="923">
        <f>IFERROR(__xludf.DUMMYFUNCTION("""COMPUTED_VALUE"""),2.05)</f>
        <v>2.05</v>
      </c>
      <c r="J37" s="923">
        <f>IFERROR(__xludf.DUMMYFUNCTION("""COMPUTED_VALUE"""),1167.2)</f>
        <v>1167.2</v>
      </c>
      <c r="K37" s="923">
        <f>IFERROR(__xludf.DUMMYFUNCTION("""COMPUTED_VALUE"""),1570.15)</f>
        <v>1570.15</v>
      </c>
      <c r="L37" s="923">
        <f>IFERROR(__xludf.DUMMYFUNCTION("""COMPUTED_VALUE"""),10.9)</f>
        <v>10.9</v>
      </c>
      <c r="M37" s="923">
        <f>IFERROR(__xludf.DUMMYFUNCTION("""COMPUTED_VALUE"""),28.75)</f>
        <v>28.75</v>
      </c>
      <c r="N37" s="923">
        <f>IFERROR(__xludf.DUMMYFUNCTION("""COMPUTED_VALUE"""),0.0)</f>
        <v>0</v>
      </c>
      <c r="O37" s="923">
        <f>IFERROR(__xludf.DUMMYFUNCTION("""COMPUTED_VALUE"""),0.55)</f>
        <v>0.55</v>
      </c>
      <c r="P37" s="923">
        <f>IFERROR(__xludf.DUMMYFUNCTION("""COMPUTED_VALUE"""),0.0)</f>
        <v>0</v>
      </c>
      <c r="Q37" s="923">
        <f>IFERROR(__xludf.DUMMYFUNCTION("""COMPUTED_VALUE"""),0.0)</f>
        <v>0</v>
      </c>
      <c r="R37" s="923">
        <f>IFERROR(__xludf.DUMMYFUNCTION("""COMPUTED_VALUE"""),0.0)</f>
        <v>0</v>
      </c>
      <c r="S37" s="923">
        <f>IFERROR(__xludf.DUMMYFUNCTION("""COMPUTED_VALUE"""),0.5)</f>
        <v>0.5</v>
      </c>
      <c r="T37" s="923">
        <f>IFERROR(__xludf.DUMMYFUNCTION("""COMPUTED_VALUE"""),0.0)</f>
        <v>0</v>
      </c>
      <c r="U37" s="923">
        <f>IFERROR(__xludf.DUMMYFUNCTION("""COMPUTED_VALUE"""),11.5)</f>
        <v>11.5</v>
      </c>
      <c r="V37" s="923">
        <f>IFERROR(__xludf.DUMMYFUNCTION("""COMPUTED_VALUE"""),1.85)</f>
        <v>1.85</v>
      </c>
      <c r="W37" s="923">
        <f>IFERROR(__xludf.DUMMYFUNCTION("""COMPUTED_VALUE"""),0.3)</f>
        <v>0.3</v>
      </c>
      <c r="X37" s="923">
        <f>IFERROR(__xludf.DUMMYFUNCTION("""COMPUTED_VALUE"""),0.1)</f>
        <v>0.1</v>
      </c>
      <c r="Y37" s="923">
        <f>IFERROR(__xludf.DUMMYFUNCTION("""COMPUTED_VALUE"""),0.05)</f>
        <v>0.05</v>
      </c>
      <c r="Z37" s="923">
        <f>IFERROR(__xludf.DUMMYFUNCTION("""COMPUTED_VALUE"""),0.0)</f>
        <v>0</v>
      </c>
      <c r="AA37" s="923">
        <f>IFERROR(__xludf.DUMMYFUNCTION("""COMPUTED_VALUE"""),0.0)</f>
        <v>0</v>
      </c>
      <c r="AB37" s="923">
        <f>IFERROR(__xludf.DUMMYFUNCTION("""COMPUTED_VALUE"""),0.0)</f>
        <v>0</v>
      </c>
      <c r="AC37" s="923">
        <f>IFERROR(__xludf.DUMMYFUNCTION("""COMPUTED_VALUE"""),0.0)</f>
        <v>0</v>
      </c>
      <c r="AD37" s="923">
        <f>IFERROR(__xludf.DUMMYFUNCTION("""COMPUTED_VALUE"""),0.0)</f>
        <v>0</v>
      </c>
      <c r="AE37" s="923">
        <f>IFERROR(__xludf.DUMMYFUNCTION("""COMPUTED_VALUE"""),1.65)</f>
        <v>1.65</v>
      </c>
      <c r="AF37" s="923"/>
      <c r="AG37" s="923"/>
      <c r="AH37" s="923"/>
      <c r="AI37" s="923"/>
      <c r="AJ37" s="923"/>
      <c r="AK37" s="923"/>
      <c r="AL37" s="923"/>
      <c r="AM37" s="923"/>
      <c r="AN37" s="923"/>
      <c r="AO37" s="923"/>
      <c r="AP37" s="923"/>
      <c r="AQ37" s="923"/>
      <c r="AR37" s="923"/>
      <c r="AS37" s="923"/>
      <c r="AT37" s="923"/>
      <c r="AU37" s="923"/>
      <c r="AV37" s="923"/>
      <c r="AW37" s="923"/>
      <c r="AX37" s="923"/>
    </row>
    <row r="38">
      <c r="A38" s="923" t="str">
        <f>IFERROR(__xludf.DUMMYFUNCTION("""COMPUTED_VALUE"""),"Solace VIII")</f>
        <v>Solace VIII</v>
      </c>
      <c r="B38" s="923">
        <f>IFERROR(__xludf.DUMMYFUNCTION("""COMPUTED_VALUE"""),0.4090909090909091)</f>
        <v>0.4090909091</v>
      </c>
      <c r="C38" s="923">
        <f>IFERROR(__xludf.DUMMYFUNCTION("""COMPUTED_VALUE"""),0.7727272727272727)</f>
        <v>0.7727272727</v>
      </c>
      <c r="D38" s="923">
        <f>IFERROR(__xludf.DUMMYFUNCTION("""COMPUTED_VALUE"""),126.4090909090909)</f>
        <v>126.4090909</v>
      </c>
      <c r="E38" s="923">
        <f>IFERROR(__xludf.DUMMYFUNCTION("""COMPUTED_VALUE"""),113.0909090909091)</f>
        <v>113.0909091</v>
      </c>
      <c r="F38" s="923">
        <f>IFERROR(__xludf.DUMMYFUNCTION("""COMPUTED_VALUE"""),13.318181818181818)</f>
        <v>13.31818182</v>
      </c>
      <c r="G38" s="923">
        <f>IFERROR(__xludf.DUMMYFUNCTION("""COMPUTED_VALUE"""),8.590909090909092)</f>
        <v>8.590909091</v>
      </c>
      <c r="H38" s="923">
        <f>IFERROR(__xludf.DUMMYFUNCTION("""COMPUTED_VALUE"""),5.590909090909091)</f>
        <v>5.590909091</v>
      </c>
      <c r="I38" s="923">
        <f>IFERROR(__xludf.DUMMYFUNCTION("""COMPUTED_VALUE"""),1.0909090909090908)</f>
        <v>1.090909091</v>
      </c>
      <c r="J38" s="923">
        <f>IFERROR(__xludf.DUMMYFUNCTION("""COMPUTED_VALUE"""),1522.8636363636363)</f>
        <v>1522.863636</v>
      </c>
      <c r="K38" s="923">
        <f>IFERROR(__xludf.DUMMYFUNCTION("""COMPUTED_VALUE"""),1943.3181818181818)</f>
        <v>1943.318182</v>
      </c>
      <c r="L38" s="923">
        <f>IFERROR(__xludf.DUMMYFUNCTION("""COMPUTED_VALUE"""),13.227272727272727)</f>
        <v>13.22727273</v>
      </c>
      <c r="M38" s="923">
        <f>IFERROR(__xludf.DUMMYFUNCTION("""COMPUTED_VALUE"""),18.363636363636363)</f>
        <v>18.36363636</v>
      </c>
      <c r="N38" s="923">
        <f>IFERROR(__xludf.DUMMYFUNCTION("""COMPUTED_VALUE"""),0.0)</f>
        <v>0</v>
      </c>
      <c r="O38" s="923">
        <f>IFERROR(__xludf.DUMMYFUNCTION("""COMPUTED_VALUE"""),2.5454545454545454)</f>
        <v>2.545454545</v>
      </c>
      <c r="P38" s="923">
        <f>IFERROR(__xludf.DUMMYFUNCTION("""COMPUTED_VALUE"""),0.0)</f>
        <v>0</v>
      </c>
      <c r="Q38" s="923">
        <f>IFERROR(__xludf.DUMMYFUNCTION("""COMPUTED_VALUE"""),0.0)</f>
        <v>0</v>
      </c>
      <c r="R38" s="923">
        <f>IFERROR(__xludf.DUMMYFUNCTION("""COMPUTED_VALUE"""),0.0)</f>
        <v>0</v>
      </c>
      <c r="S38" s="923">
        <f>IFERROR(__xludf.DUMMYFUNCTION("""COMPUTED_VALUE"""),2.227272727272727)</f>
        <v>2.227272727</v>
      </c>
      <c r="T38" s="923">
        <f>IFERROR(__xludf.DUMMYFUNCTION("""COMPUTED_VALUE"""),0.0)</f>
        <v>0</v>
      </c>
      <c r="U38" s="923">
        <f>IFERROR(__xludf.DUMMYFUNCTION("""COMPUTED_VALUE"""),19.5)</f>
        <v>19.5</v>
      </c>
      <c r="V38" s="923">
        <f>IFERROR(__xludf.DUMMYFUNCTION("""COMPUTED_VALUE"""),3.3181818181818183)</f>
        <v>3.318181818</v>
      </c>
      <c r="W38" s="923">
        <f>IFERROR(__xludf.DUMMYFUNCTION("""COMPUTED_VALUE"""),0.7272727272727273)</f>
        <v>0.7272727273</v>
      </c>
      <c r="X38" s="923">
        <f>IFERROR(__xludf.DUMMYFUNCTION("""COMPUTED_VALUE"""),0.18181818181818182)</f>
        <v>0.1818181818</v>
      </c>
      <c r="Y38" s="923">
        <f>IFERROR(__xludf.DUMMYFUNCTION("""COMPUTED_VALUE"""),0.045454545454545456)</f>
        <v>0.04545454545</v>
      </c>
      <c r="Z38" s="923">
        <f>IFERROR(__xludf.DUMMYFUNCTION("""COMPUTED_VALUE"""),0.0)</f>
        <v>0</v>
      </c>
      <c r="AA38" s="923">
        <f>IFERROR(__xludf.DUMMYFUNCTION("""COMPUTED_VALUE"""),0.0)</f>
        <v>0</v>
      </c>
      <c r="AB38" s="923">
        <f>IFERROR(__xludf.DUMMYFUNCTION("""COMPUTED_VALUE"""),0.0)</f>
        <v>0</v>
      </c>
      <c r="AC38" s="923">
        <f>IFERROR(__xludf.DUMMYFUNCTION("""COMPUTED_VALUE"""),0.0)</f>
        <v>0</v>
      </c>
      <c r="AD38" s="923">
        <f>IFERROR(__xludf.DUMMYFUNCTION("""COMPUTED_VALUE"""),0.0)</f>
        <v>0</v>
      </c>
      <c r="AE38" s="923">
        <f>IFERROR(__xludf.DUMMYFUNCTION("""COMPUTED_VALUE"""),4.590909090909091)</f>
        <v>4.590909091</v>
      </c>
      <c r="AF38" s="923"/>
      <c r="AG38" s="923"/>
      <c r="AH38" s="923"/>
      <c r="AI38" s="923"/>
      <c r="AJ38" s="923"/>
      <c r="AK38" s="923"/>
      <c r="AL38" s="923"/>
      <c r="AM38" s="923"/>
      <c r="AN38" s="923"/>
      <c r="AO38" s="923"/>
      <c r="AP38" s="923"/>
      <c r="AQ38" s="923"/>
      <c r="AR38" s="923"/>
      <c r="AS38" s="923"/>
      <c r="AT38" s="923"/>
      <c r="AU38" s="923"/>
      <c r="AV38" s="923"/>
      <c r="AW38" s="923"/>
      <c r="AX38" s="923"/>
    </row>
    <row r="39">
      <c r="A39" s="923" t="str">
        <f>IFERROR(__xludf.DUMMYFUNCTION("""COMPUTED_VALUE"""),"TommyWstSide")</f>
        <v>TommyWstSide</v>
      </c>
      <c r="B39" s="923">
        <f>IFERROR(__xludf.DUMMYFUNCTION("""COMPUTED_VALUE"""),0.14285714285714285)</f>
        <v>0.1428571429</v>
      </c>
      <c r="C39" s="923">
        <f>IFERROR(__xludf.DUMMYFUNCTION("""COMPUTED_VALUE"""),0.6666666666666666)</f>
        <v>0.6666666667</v>
      </c>
      <c r="D39" s="923">
        <f>IFERROR(__xludf.DUMMYFUNCTION("""COMPUTED_VALUE"""),77.95238095238095)</f>
        <v>77.95238095</v>
      </c>
      <c r="E39" s="923">
        <f>IFERROR(__xludf.DUMMYFUNCTION("""COMPUTED_VALUE"""),103.66666666666667)</f>
        <v>103.6666667</v>
      </c>
      <c r="F39" s="923">
        <f>IFERROR(__xludf.DUMMYFUNCTION("""COMPUTED_VALUE"""),-25.714285714285715)</f>
        <v>-25.71428571</v>
      </c>
      <c r="G39" s="923">
        <f>IFERROR(__xludf.DUMMYFUNCTION("""COMPUTED_VALUE"""),3.619047619047619)</f>
        <v>3.619047619</v>
      </c>
      <c r="H39" s="923">
        <f>IFERROR(__xludf.DUMMYFUNCTION("""COMPUTED_VALUE"""),3.857142857142857)</f>
        <v>3.857142857</v>
      </c>
      <c r="I39" s="923">
        <f>IFERROR(__xludf.DUMMYFUNCTION("""COMPUTED_VALUE"""),0.8095238095238095)</f>
        <v>0.8095238095</v>
      </c>
      <c r="J39" s="923">
        <f>IFERROR(__xludf.DUMMYFUNCTION("""COMPUTED_VALUE"""),1229.5714285714287)</f>
        <v>1229.571429</v>
      </c>
      <c r="K39" s="923">
        <f>IFERROR(__xludf.DUMMYFUNCTION("""COMPUTED_VALUE"""),1641.1904761904761)</f>
        <v>1641.190476</v>
      </c>
      <c r="L39" s="923">
        <f>IFERROR(__xludf.DUMMYFUNCTION("""COMPUTED_VALUE"""),11.333333333333334)</f>
        <v>11.33333333</v>
      </c>
      <c r="M39" s="923">
        <f>IFERROR(__xludf.DUMMYFUNCTION("""COMPUTED_VALUE"""),7.904761904761905)</f>
        <v>7.904761905</v>
      </c>
      <c r="N39" s="923">
        <f>IFERROR(__xludf.DUMMYFUNCTION("""COMPUTED_VALUE"""),0.0)</f>
        <v>0</v>
      </c>
      <c r="O39" s="923">
        <f>IFERROR(__xludf.DUMMYFUNCTION("""COMPUTED_VALUE"""),0.14285714285714285)</f>
        <v>0.1428571429</v>
      </c>
      <c r="P39" s="923">
        <f>IFERROR(__xludf.DUMMYFUNCTION("""COMPUTED_VALUE"""),0.0)</f>
        <v>0</v>
      </c>
      <c r="Q39" s="923">
        <f>IFERROR(__xludf.DUMMYFUNCTION("""COMPUTED_VALUE"""),0.0)</f>
        <v>0</v>
      </c>
      <c r="R39" s="923">
        <f>IFERROR(__xludf.DUMMYFUNCTION("""COMPUTED_VALUE"""),0.0)</f>
        <v>0</v>
      </c>
      <c r="S39" s="923">
        <f>IFERROR(__xludf.DUMMYFUNCTION("""COMPUTED_VALUE"""),0.09523809523809523)</f>
        <v>0.09523809524</v>
      </c>
      <c r="T39" s="923">
        <f>IFERROR(__xludf.DUMMYFUNCTION("""COMPUTED_VALUE"""),0.0)</f>
        <v>0</v>
      </c>
      <c r="U39" s="923">
        <f>IFERROR(__xludf.DUMMYFUNCTION("""COMPUTED_VALUE"""),8.952380952380953)</f>
        <v>8.952380952</v>
      </c>
      <c r="V39" s="923">
        <f>IFERROR(__xludf.DUMMYFUNCTION("""COMPUTED_VALUE"""),0.8571428571428571)</f>
        <v>0.8571428571</v>
      </c>
      <c r="W39" s="923">
        <f>IFERROR(__xludf.DUMMYFUNCTION("""COMPUTED_VALUE"""),0.2857142857142857)</f>
        <v>0.2857142857</v>
      </c>
      <c r="X39" s="923">
        <f>IFERROR(__xludf.DUMMYFUNCTION("""COMPUTED_VALUE"""),0.0)</f>
        <v>0</v>
      </c>
      <c r="Y39" s="923">
        <f>IFERROR(__xludf.DUMMYFUNCTION("""COMPUTED_VALUE"""),0.0)</f>
        <v>0</v>
      </c>
      <c r="Z39" s="923">
        <f>IFERROR(__xludf.DUMMYFUNCTION("""COMPUTED_VALUE"""),0.0)</f>
        <v>0</v>
      </c>
      <c r="AA39" s="923">
        <f>IFERROR(__xludf.DUMMYFUNCTION("""COMPUTED_VALUE"""),0.0)</f>
        <v>0</v>
      </c>
      <c r="AB39" s="923">
        <f>IFERROR(__xludf.DUMMYFUNCTION("""COMPUTED_VALUE"""),0.0)</f>
        <v>0</v>
      </c>
      <c r="AC39" s="923">
        <f>IFERROR(__xludf.DUMMYFUNCTION("""COMPUTED_VALUE"""),0.0)</f>
        <v>0</v>
      </c>
      <c r="AD39" s="923">
        <f>IFERROR(__xludf.DUMMYFUNCTION("""COMPUTED_VALUE"""),0.0)</f>
        <v>0</v>
      </c>
      <c r="AE39" s="923">
        <f>IFERROR(__xludf.DUMMYFUNCTION("""COMPUTED_VALUE"""),2.380952380952381)</f>
        <v>2.380952381</v>
      </c>
      <c r="AF39" s="923"/>
      <c r="AG39" s="923"/>
      <c r="AH39" s="923"/>
      <c r="AI39" s="923"/>
      <c r="AJ39" s="923"/>
      <c r="AK39" s="923"/>
      <c r="AL39" s="923"/>
      <c r="AM39" s="923"/>
      <c r="AN39" s="923"/>
      <c r="AO39" s="923"/>
      <c r="AP39" s="923"/>
      <c r="AQ39" s="923"/>
      <c r="AR39" s="923"/>
      <c r="AS39" s="923"/>
      <c r="AT39" s="923"/>
      <c r="AU39" s="923"/>
      <c r="AV39" s="923"/>
      <c r="AW39" s="923"/>
      <c r="AX39" s="923"/>
    </row>
    <row r="40">
      <c r="A40" s="923" t="str">
        <f>IFERROR(__xludf.DUMMYFUNCTION("""COMPUTED_VALUE"""),"ixGingy")</f>
        <v>ixGingy</v>
      </c>
      <c r="B40" s="923">
        <f>IFERROR(__xludf.DUMMYFUNCTION("""COMPUTED_VALUE"""),1.2)</f>
        <v>1.2</v>
      </c>
      <c r="C40" s="923">
        <f>IFERROR(__xludf.DUMMYFUNCTION("""COMPUTED_VALUE"""),7.25)</f>
        <v>7.25</v>
      </c>
      <c r="D40" s="923">
        <f>IFERROR(__xludf.DUMMYFUNCTION("""COMPUTED_VALUE"""),103.9)</f>
        <v>103.9</v>
      </c>
      <c r="E40" s="923">
        <f>IFERROR(__xludf.DUMMYFUNCTION("""COMPUTED_VALUE"""),94.925)</f>
        <v>94.925</v>
      </c>
      <c r="F40" s="923">
        <f>IFERROR(__xludf.DUMMYFUNCTION("""COMPUTED_VALUE"""),8.975)</f>
        <v>8.975</v>
      </c>
      <c r="G40" s="923">
        <f>IFERROR(__xludf.DUMMYFUNCTION("""COMPUTED_VALUE"""),6.825)</f>
        <v>6.825</v>
      </c>
      <c r="H40" s="923">
        <f>IFERROR(__xludf.DUMMYFUNCTION("""COMPUTED_VALUE"""),6.325)</f>
        <v>6.325</v>
      </c>
      <c r="I40" s="923">
        <f>IFERROR(__xludf.DUMMYFUNCTION("""COMPUTED_VALUE"""),1.85)</f>
        <v>1.85</v>
      </c>
      <c r="J40" s="923">
        <f>IFERROR(__xludf.DUMMYFUNCTION("""COMPUTED_VALUE"""),1448.175)</f>
        <v>1448.175</v>
      </c>
      <c r="K40" s="923">
        <f>IFERROR(__xludf.DUMMYFUNCTION("""COMPUTED_VALUE"""),1820.125)</f>
        <v>1820.125</v>
      </c>
      <c r="L40" s="923">
        <f>IFERROR(__xludf.DUMMYFUNCTION("""COMPUTED_VALUE"""),16.225)</f>
        <v>16.225</v>
      </c>
      <c r="M40" s="923">
        <f>IFERROR(__xludf.DUMMYFUNCTION("""COMPUTED_VALUE"""),250.575)</f>
        <v>250.575</v>
      </c>
      <c r="N40" s="923">
        <f>IFERROR(__xludf.DUMMYFUNCTION("""COMPUTED_VALUE"""),0.0)</f>
        <v>0</v>
      </c>
      <c r="O40" s="923">
        <f>IFERROR(__xludf.DUMMYFUNCTION("""COMPUTED_VALUE"""),2.1)</f>
        <v>2.1</v>
      </c>
      <c r="P40" s="923">
        <f>IFERROR(__xludf.DUMMYFUNCTION("""COMPUTED_VALUE"""),0.075)</f>
        <v>0.075</v>
      </c>
      <c r="Q40" s="923">
        <f>IFERROR(__xludf.DUMMYFUNCTION("""COMPUTED_VALUE"""),0.0)</f>
        <v>0</v>
      </c>
      <c r="R40" s="923">
        <f>IFERROR(__xludf.DUMMYFUNCTION("""COMPUTED_VALUE"""),0.0)</f>
        <v>0</v>
      </c>
      <c r="S40" s="923">
        <f>IFERROR(__xludf.DUMMYFUNCTION("""COMPUTED_VALUE"""),1.15)</f>
        <v>1.15</v>
      </c>
      <c r="T40" s="923">
        <f>IFERROR(__xludf.DUMMYFUNCTION("""COMPUTED_VALUE"""),0.0)</f>
        <v>0</v>
      </c>
      <c r="U40" s="923">
        <f>IFERROR(__xludf.DUMMYFUNCTION("""COMPUTED_VALUE"""),15.2)</f>
        <v>15.2</v>
      </c>
      <c r="V40" s="923">
        <f>IFERROR(__xludf.DUMMYFUNCTION("""COMPUTED_VALUE"""),2.775)</f>
        <v>2.775</v>
      </c>
      <c r="W40" s="923">
        <f>IFERROR(__xludf.DUMMYFUNCTION("""COMPUTED_VALUE"""),0.65)</f>
        <v>0.65</v>
      </c>
      <c r="X40" s="923">
        <f>IFERROR(__xludf.DUMMYFUNCTION("""COMPUTED_VALUE"""),0.125)</f>
        <v>0.125</v>
      </c>
      <c r="Y40" s="923">
        <f>IFERROR(__xludf.DUMMYFUNCTION("""COMPUTED_VALUE"""),0.0)</f>
        <v>0</v>
      </c>
      <c r="Z40" s="923">
        <f>IFERROR(__xludf.DUMMYFUNCTION("""COMPUTED_VALUE"""),0.0)</f>
        <v>0</v>
      </c>
      <c r="AA40" s="923">
        <f>IFERROR(__xludf.DUMMYFUNCTION("""COMPUTED_VALUE"""),0.0)</f>
        <v>0</v>
      </c>
      <c r="AB40" s="923">
        <f>IFERROR(__xludf.DUMMYFUNCTION("""COMPUTED_VALUE"""),0.0)</f>
        <v>0</v>
      </c>
      <c r="AC40" s="923">
        <f>IFERROR(__xludf.DUMMYFUNCTION("""COMPUTED_VALUE"""),0.0)</f>
        <v>0</v>
      </c>
      <c r="AD40" s="923">
        <f>IFERROR(__xludf.DUMMYFUNCTION("""COMPUTED_VALUE"""),0.0)</f>
        <v>0</v>
      </c>
      <c r="AE40" s="923">
        <f>IFERROR(__xludf.DUMMYFUNCTION("""COMPUTED_VALUE"""),4.825)</f>
        <v>4.825</v>
      </c>
      <c r="AF40" s="923"/>
      <c r="AG40" s="923"/>
      <c r="AH40" s="923"/>
      <c r="AI40" s="923"/>
      <c r="AJ40" s="923"/>
      <c r="AK40" s="923"/>
      <c r="AL40" s="923"/>
      <c r="AM40" s="923"/>
      <c r="AN40" s="923"/>
      <c r="AO40" s="923"/>
      <c r="AP40" s="923"/>
      <c r="AQ40" s="923"/>
      <c r="AR40" s="923"/>
      <c r="AS40" s="923"/>
      <c r="AT40" s="923"/>
      <c r="AU40" s="923"/>
      <c r="AV40" s="923"/>
      <c r="AW40" s="923"/>
      <c r="AX40" s="923"/>
    </row>
    <row r="41">
      <c r="A41" s="923" t="str">
        <f>IFERROR(__xludf.DUMMYFUNCTION("""COMPUTED_VALUE"""),"oDhmon")</f>
        <v>oDhmon</v>
      </c>
      <c r="B41" s="923">
        <f>IFERROR(__xludf.DUMMYFUNCTION("""COMPUTED_VALUE"""),0.5454545454545454)</f>
        <v>0.5454545455</v>
      </c>
      <c r="C41" s="923">
        <f>IFERROR(__xludf.DUMMYFUNCTION("""COMPUTED_VALUE"""),1.1818181818181819)</f>
        <v>1.181818182</v>
      </c>
      <c r="D41" s="923">
        <f>IFERROR(__xludf.DUMMYFUNCTION("""COMPUTED_VALUE"""),128.54545454545453)</f>
        <v>128.5454545</v>
      </c>
      <c r="E41" s="923">
        <f>IFERROR(__xludf.DUMMYFUNCTION("""COMPUTED_VALUE"""),97.0909090909091)</f>
        <v>97.09090909</v>
      </c>
      <c r="F41" s="923">
        <f>IFERROR(__xludf.DUMMYFUNCTION("""COMPUTED_VALUE"""),31.454545454545453)</f>
        <v>31.45454545</v>
      </c>
      <c r="G41" s="923">
        <f>IFERROR(__xludf.DUMMYFUNCTION("""COMPUTED_VALUE"""),6.681818181818182)</f>
        <v>6.681818182</v>
      </c>
      <c r="H41" s="923">
        <f>IFERROR(__xludf.DUMMYFUNCTION("""COMPUTED_VALUE"""),6.2727272727272725)</f>
        <v>6.272727273</v>
      </c>
      <c r="I41" s="923">
        <f>IFERROR(__xludf.DUMMYFUNCTION("""COMPUTED_VALUE"""),1.6818181818181819)</f>
        <v>1.681818182</v>
      </c>
      <c r="J41" s="923">
        <f>IFERROR(__xludf.DUMMYFUNCTION("""COMPUTED_VALUE"""),1632.4545454545455)</f>
        <v>1632.454545</v>
      </c>
      <c r="K41" s="923">
        <f>IFERROR(__xludf.DUMMYFUNCTION("""COMPUTED_VALUE"""),2010.590909090909)</f>
        <v>2010.590909</v>
      </c>
      <c r="L41" s="923">
        <f>IFERROR(__xludf.DUMMYFUNCTION("""COMPUTED_VALUE"""),16.59090909090909)</f>
        <v>16.59090909</v>
      </c>
      <c r="M41" s="923">
        <f>IFERROR(__xludf.DUMMYFUNCTION("""COMPUTED_VALUE"""),72.95454545454545)</f>
        <v>72.95454545</v>
      </c>
      <c r="N41" s="923">
        <f>IFERROR(__xludf.DUMMYFUNCTION("""COMPUTED_VALUE"""),0.0)</f>
        <v>0</v>
      </c>
      <c r="O41" s="923">
        <f>IFERROR(__xludf.DUMMYFUNCTION("""COMPUTED_VALUE"""),3.090909090909091)</f>
        <v>3.090909091</v>
      </c>
      <c r="P41" s="923">
        <f>IFERROR(__xludf.DUMMYFUNCTION("""COMPUTED_VALUE"""),0.0)</f>
        <v>0</v>
      </c>
      <c r="Q41" s="923">
        <f>IFERROR(__xludf.DUMMYFUNCTION("""COMPUTED_VALUE"""),0.0)</f>
        <v>0</v>
      </c>
      <c r="R41" s="923">
        <f>IFERROR(__xludf.DUMMYFUNCTION("""COMPUTED_VALUE"""),0.0)</f>
        <v>0</v>
      </c>
      <c r="S41" s="923">
        <f>IFERROR(__xludf.DUMMYFUNCTION("""COMPUTED_VALUE"""),2.772727272727273)</f>
        <v>2.772727273</v>
      </c>
      <c r="T41" s="923">
        <f>IFERROR(__xludf.DUMMYFUNCTION("""COMPUTED_VALUE"""),0.0)</f>
        <v>0</v>
      </c>
      <c r="U41" s="923">
        <f>IFERROR(__xludf.DUMMYFUNCTION("""COMPUTED_VALUE"""),21.454545454545453)</f>
        <v>21.45454545</v>
      </c>
      <c r="V41" s="923">
        <f>IFERROR(__xludf.DUMMYFUNCTION("""COMPUTED_VALUE"""),3.3181818181818183)</f>
        <v>3.318181818</v>
      </c>
      <c r="W41" s="923">
        <f>IFERROR(__xludf.DUMMYFUNCTION("""COMPUTED_VALUE"""),0.5909090909090909)</f>
        <v>0.5909090909</v>
      </c>
      <c r="X41" s="923">
        <f>IFERROR(__xludf.DUMMYFUNCTION("""COMPUTED_VALUE"""),0.13636363636363635)</f>
        <v>0.1363636364</v>
      </c>
      <c r="Y41" s="923">
        <f>IFERROR(__xludf.DUMMYFUNCTION("""COMPUTED_VALUE"""),0.09090909090909091)</f>
        <v>0.09090909091</v>
      </c>
      <c r="Z41" s="923">
        <f>IFERROR(__xludf.DUMMYFUNCTION("""COMPUTED_VALUE"""),0.045454545454545456)</f>
        <v>0.04545454545</v>
      </c>
      <c r="AA41" s="923">
        <f>IFERROR(__xludf.DUMMYFUNCTION("""COMPUTED_VALUE"""),0.0)</f>
        <v>0</v>
      </c>
      <c r="AB41" s="923">
        <f>IFERROR(__xludf.DUMMYFUNCTION("""COMPUTED_VALUE"""),0.0)</f>
        <v>0</v>
      </c>
      <c r="AC41" s="923">
        <f>IFERROR(__xludf.DUMMYFUNCTION("""COMPUTED_VALUE"""),0.0)</f>
        <v>0</v>
      </c>
      <c r="AD41" s="923">
        <f>IFERROR(__xludf.DUMMYFUNCTION("""COMPUTED_VALUE"""),0.0)</f>
        <v>0</v>
      </c>
      <c r="AE41" s="923">
        <f>IFERROR(__xludf.DUMMYFUNCTION("""COMPUTED_VALUE"""),10.045454545454545)</f>
        <v>10.04545455</v>
      </c>
      <c r="AF41" s="923"/>
      <c r="AG41" s="923"/>
      <c r="AH41" s="923"/>
      <c r="AI41" s="923"/>
      <c r="AJ41" s="923"/>
      <c r="AK41" s="923"/>
      <c r="AL41" s="923"/>
      <c r="AM41" s="923"/>
      <c r="AN41" s="923"/>
      <c r="AO41" s="923"/>
      <c r="AP41" s="923"/>
      <c r="AQ41" s="923"/>
      <c r="AR41" s="923"/>
      <c r="AS41" s="923"/>
      <c r="AT41" s="923"/>
      <c r="AU41" s="923"/>
      <c r="AV41" s="923"/>
      <c r="AW41" s="923"/>
      <c r="AX41" s="923"/>
    </row>
    <row r="42">
      <c r="A42" s="923" t="str">
        <f>IFERROR(__xludf.DUMMYFUNCTION("""COMPUTED_VALUE"""),"oh zilly")</f>
        <v>oh zilly</v>
      </c>
      <c r="B42" s="923">
        <f>IFERROR(__xludf.DUMMYFUNCTION("""COMPUTED_VALUE"""),0.3684210526315789)</f>
        <v>0.3684210526</v>
      </c>
      <c r="C42" s="923">
        <f>IFERROR(__xludf.DUMMYFUNCTION("""COMPUTED_VALUE"""),0.5789473684210527)</f>
        <v>0.5789473684</v>
      </c>
      <c r="D42" s="923">
        <f>IFERROR(__xludf.DUMMYFUNCTION("""COMPUTED_VALUE"""),117.57894736842105)</f>
        <v>117.5789474</v>
      </c>
      <c r="E42" s="923">
        <f>IFERROR(__xludf.DUMMYFUNCTION("""COMPUTED_VALUE"""),138.52631578947367)</f>
        <v>138.5263158</v>
      </c>
      <c r="F42" s="923">
        <f>IFERROR(__xludf.DUMMYFUNCTION("""COMPUTED_VALUE"""),-20.94736842105263)</f>
        <v>-20.94736842</v>
      </c>
      <c r="G42" s="923">
        <f>IFERROR(__xludf.DUMMYFUNCTION("""COMPUTED_VALUE"""),8.421052631578947)</f>
        <v>8.421052632</v>
      </c>
      <c r="H42" s="923">
        <f>IFERROR(__xludf.DUMMYFUNCTION("""COMPUTED_VALUE"""),4.894736842105263)</f>
        <v>4.894736842</v>
      </c>
      <c r="I42" s="923">
        <f>IFERROR(__xludf.DUMMYFUNCTION("""COMPUTED_VALUE"""),2.473684210526316)</f>
        <v>2.473684211</v>
      </c>
      <c r="J42" s="923">
        <f>IFERROR(__xludf.DUMMYFUNCTION("""COMPUTED_VALUE"""),1458.7368421052631)</f>
        <v>1458.736842</v>
      </c>
      <c r="K42" s="923">
        <f>IFERROR(__xludf.DUMMYFUNCTION("""COMPUTED_VALUE"""),1962.9473684210527)</f>
        <v>1962.947368</v>
      </c>
      <c r="L42" s="923">
        <f>IFERROR(__xludf.DUMMYFUNCTION("""COMPUTED_VALUE"""),10.263157894736842)</f>
        <v>10.26315789</v>
      </c>
      <c r="M42" s="923">
        <f>IFERROR(__xludf.DUMMYFUNCTION("""COMPUTED_VALUE"""),58.1578947368421)</f>
        <v>58.15789474</v>
      </c>
      <c r="N42" s="923">
        <f>IFERROR(__xludf.DUMMYFUNCTION("""COMPUTED_VALUE"""),0.0)</f>
        <v>0</v>
      </c>
      <c r="O42" s="923">
        <f>IFERROR(__xludf.DUMMYFUNCTION("""COMPUTED_VALUE"""),0.9473684210526315)</f>
        <v>0.9473684211</v>
      </c>
      <c r="P42" s="923">
        <f>IFERROR(__xludf.DUMMYFUNCTION("""COMPUTED_VALUE"""),0.0)</f>
        <v>0</v>
      </c>
      <c r="Q42" s="923">
        <f>IFERROR(__xludf.DUMMYFUNCTION("""COMPUTED_VALUE"""),0.0)</f>
        <v>0</v>
      </c>
      <c r="R42" s="923">
        <f>IFERROR(__xludf.DUMMYFUNCTION("""COMPUTED_VALUE"""),0.0)</f>
        <v>0</v>
      </c>
      <c r="S42" s="923">
        <f>IFERROR(__xludf.DUMMYFUNCTION("""COMPUTED_VALUE"""),0.8947368421052632)</f>
        <v>0.8947368421</v>
      </c>
      <c r="T42" s="923">
        <f>IFERROR(__xludf.DUMMYFUNCTION("""COMPUTED_VALUE"""),0.0)</f>
        <v>0</v>
      </c>
      <c r="U42" s="923">
        <f>IFERROR(__xludf.DUMMYFUNCTION("""COMPUTED_VALUE"""),18.0)</f>
        <v>18</v>
      </c>
      <c r="V42" s="923">
        <f>IFERROR(__xludf.DUMMYFUNCTION("""COMPUTED_VALUE"""),3.3157894736842106)</f>
        <v>3.315789474</v>
      </c>
      <c r="W42" s="923">
        <f>IFERROR(__xludf.DUMMYFUNCTION("""COMPUTED_VALUE"""),0.7368421052631579)</f>
        <v>0.7368421053</v>
      </c>
      <c r="X42" s="923">
        <f>IFERROR(__xludf.DUMMYFUNCTION("""COMPUTED_VALUE"""),0.10526315789473684)</f>
        <v>0.1052631579</v>
      </c>
      <c r="Y42" s="923">
        <f>IFERROR(__xludf.DUMMYFUNCTION("""COMPUTED_VALUE"""),0.0)</f>
        <v>0</v>
      </c>
      <c r="Z42" s="923">
        <f>IFERROR(__xludf.DUMMYFUNCTION("""COMPUTED_VALUE"""),0.0)</f>
        <v>0</v>
      </c>
      <c r="AA42" s="923">
        <f>IFERROR(__xludf.DUMMYFUNCTION("""COMPUTED_VALUE"""),0.0)</f>
        <v>0</v>
      </c>
      <c r="AB42" s="923">
        <f>IFERROR(__xludf.DUMMYFUNCTION("""COMPUTED_VALUE"""),0.0)</f>
        <v>0</v>
      </c>
      <c r="AC42" s="923">
        <f>IFERROR(__xludf.DUMMYFUNCTION("""COMPUTED_VALUE"""),0.0)</f>
        <v>0</v>
      </c>
      <c r="AD42" s="923">
        <f>IFERROR(__xludf.DUMMYFUNCTION("""COMPUTED_VALUE"""),0.0)</f>
        <v>0</v>
      </c>
      <c r="AE42" s="923">
        <f>IFERROR(__xludf.DUMMYFUNCTION("""COMPUTED_VALUE"""),5.315789473684211)</f>
        <v>5.315789474</v>
      </c>
      <c r="AF42" s="923"/>
      <c r="AG42" s="923"/>
      <c r="AH42" s="923"/>
      <c r="AI42" s="923"/>
      <c r="AJ42" s="923"/>
      <c r="AK42" s="923"/>
      <c r="AL42" s="923"/>
      <c r="AM42" s="923"/>
      <c r="AN42" s="923"/>
      <c r="AO42" s="923"/>
      <c r="AP42" s="923"/>
      <c r="AQ42" s="923"/>
      <c r="AR42" s="923"/>
      <c r="AS42" s="923"/>
      <c r="AT42" s="923"/>
      <c r="AU42" s="923"/>
      <c r="AV42" s="923"/>
      <c r="AW42" s="923"/>
      <c r="AX42" s="923"/>
    </row>
    <row r="43">
      <c r="A43" s="923" t="str">
        <f>IFERROR(__xludf.DUMMYFUNCTION("""COMPUTED_VALUE"""),"yLuxe")</f>
        <v>yLuxe</v>
      </c>
      <c r="B43" s="923">
        <f>IFERROR(__xludf.DUMMYFUNCTION("""COMPUTED_VALUE"""),3.0416666666666665)</f>
        <v>3.041666667</v>
      </c>
      <c r="C43" s="923">
        <f>IFERROR(__xludf.DUMMYFUNCTION("""COMPUTED_VALUE"""),18.958333333333332)</f>
        <v>18.95833333</v>
      </c>
      <c r="D43" s="923">
        <f>IFERROR(__xludf.DUMMYFUNCTION("""COMPUTED_VALUE"""),73.125)</f>
        <v>73.125</v>
      </c>
      <c r="E43" s="923">
        <f>IFERROR(__xludf.DUMMYFUNCTION("""COMPUTED_VALUE"""),55.458333333333336)</f>
        <v>55.45833333</v>
      </c>
      <c r="F43" s="923">
        <f>IFERROR(__xludf.DUMMYFUNCTION("""COMPUTED_VALUE"""),17.666666666666668)</f>
        <v>17.66666667</v>
      </c>
      <c r="G43" s="923">
        <f>IFERROR(__xludf.DUMMYFUNCTION("""COMPUTED_VALUE"""),2.375)</f>
        <v>2.375</v>
      </c>
      <c r="H43" s="923">
        <f>IFERROR(__xludf.DUMMYFUNCTION("""COMPUTED_VALUE"""),7.833333333333333)</f>
        <v>7.833333333</v>
      </c>
      <c r="I43" s="923">
        <f>IFERROR(__xludf.DUMMYFUNCTION("""COMPUTED_VALUE"""),1.4583333333333333)</f>
        <v>1.458333333</v>
      </c>
      <c r="J43" s="923">
        <f>IFERROR(__xludf.DUMMYFUNCTION("""COMPUTED_VALUE"""),1317.9583333333333)</f>
        <v>1317.958333</v>
      </c>
      <c r="K43" s="923">
        <f>IFERROR(__xludf.DUMMYFUNCTION("""COMPUTED_VALUE"""),1565.9166666666667)</f>
        <v>1565.916667</v>
      </c>
      <c r="L43" s="923">
        <f>IFERROR(__xludf.DUMMYFUNCTION("""COMPUTED_VALUE"""),24.916666666666668)</f>
        <v>24.91666667</v>
      </c>
      <c r="M43" s="923">
        <f>IFERROR(__xludf.DUMMYFUNCTION("""COMPUTED_VALUE"""),626.1666666666666)</f>
        <v>626.1666667</v>
      </c>
      <c r="N43" s="923">
        <f>IFERROR(__xludf.DUMMYFUNCTION("""COMPUTED_VALUE"""),0.0)</f>
        <v>0</v>
      </c>
      <c r="O43" s="923">
        <f>IFERROR(__xludf.DUMMYFUNCTION("""COMPUTED_VALUE"""),2.5)</f>
        <v>2.5</v>
      </c>
      <c r="P43" s="923">
        <f>IFERROR(__xludf.DUMMYFUNCTION("""COMPUTED_VALUE"""),0.25)</f>
        <v>0.25</v>
      </c>
      <c r="Q43" s="923">
        <f>IFERROR(__xludf.DUMMYFUNCTION("""COMPUTED_VALUE"""),0.08333333333333333)</f>
        <v>0.08333333333</v>
      </c>
      <c r="R43" s="923">
        <f>IFERROR(__xludf.DUMMYFUNCTION("""COMPUTED_VALUE"""),0.041666666666666664)</f>
        <v>0.04166666667</v>
      </c>
      <c r="S43" s="923">
        <f>IFERROR(__xludf.DUMMYFUNCTION("""COMPUTED_VALUE"""),0.4583333333333333)</f>
        <v>0.4583333333</v>
      </c>
      <c r="T43" s="923">
        <f>IFERROR(__xludf.DUMMYFUNCTION("""COMPUTED_VALUE"""),0.0)</f>
        <v>0</v>
      </c>
      <c r="U43" s="923">
        <f>IFERROR(__xludf.DUMMYFUNCTION("""COMPUTED_VALUE"""),9.25)</f>
        <v>9.25</v>
      </c>
      <c r="V43" s="923">
        <f>IFERROR(__xludf.DUMMYFUNCTION("""COMPUTED_VALUE"""),2.2916666666666665)</f>
        <v>2.291666667</v>
      </c>
      <c r="W43" s="923">
        <f>IFERROR(__xludf.DUMMYFUNCTION("""COMPUTED_VALUE"""),0.5416666666666666)</f>
        <v>0.5416666667</v>
      </c>
      <c r="X43" s="923">
        <f>IFERROR(__xludf.DUMMYFUNCTION("""COMPUTED_VALUE"""),0.125)</f>
        <v>0.125</v>
      </c>
      <c r="Y43" s="923">
        <f>IFERROR(__xludf.DUMMYFUNCTION("""COMPUTED_VALUE"""),0.08333333333333333)</f>
        <v>0.08333333333</v>
      </c>
      <c r="Z43" s="923">
        <f>IFERROR(__xludf.DUMMYFUNCTION("""COMPUTED_VALUE"""),0.041666666666666664)</f>
        <v>0.04166666667</v>
      </c>
      <c r="AA43" s="923">
        <f>IFERROR(__xludf.DUMMYFUNCTION("""COMPUTED_VALUE"""),0.041666666666666664)</f>
        <v>0.04166666667</v>
      </c>
      <c r="AB43" s="923">
        <f>IFERROR(__xludf.DUMMYFUNCTION("""COMPUTED_VALUE"""),0.041666666666666664)</f>
        <v>0.04166666667</v>
      </c>
      <c r="AC43" s="923">
        <f>IFERROR(__xludf.DUMMYFUNCTION("""COMPUTED_VALUE"""),0.0)</f>
        <v>0</v>
      </c>
      <c r="AD43" s="923">
        <f>IFERROR(__xludf.DUMMYFUNCTION("""COMPUTED_VALUE"""),0.041666666666666664)</f>
        <v>0.04166666667</v>
      </c>
      <c r="AE43" s="923">
        <f>IFERROR(__xludf.DUMMYFUNCTION("""COMPUTED_VALUE"""),1.2083333333333333)</f>
        <v>1.208333333</v>
      </c>
      <c r="AF43" s="923"/>
      <c r="AG43" s="923"/>
      <c r="AH43" s="923"/>
      <c r="AI43" s="923"/>
      <c r="AJ43" s="923"/>
      <c r="AK43" s="923"/>
      <c r="AL43" s="923"/>
      <c r="AM43" s="923"/>
      <c r="AN43" s="923"/>
      <c r="AO43" s="923"/>
      <c r="AP43" s="923"/>
      <c r="AQ43" s="923"/>
      <c r="AR43" s="923"/>
      <c r="AS43" s="923"/>
      <c r="AT43" s="923"/>
      <c r="AU43" s="923"/>
      <c r="AV43" s="923"/>
      <c r="AW43" s="923"/>
      <c r="AX43" s="923"/>
    </row>
    <row r="44">
      <c r="A44" s="923"/>
      <c r="B44" s="923"/>
      <c r="C44" s="923"/>
      <c r="D44" s="923"/>
      <c r="E44" s="923"/>
      <c r="F44" s="923"/>
      <c r="G44" s="923"/>
      <c r="H44" s="923"/>
      <c r="I44" s="923"/>
      <c r="J44" s="923"/>
      <c r="K44" s="923"/>
      <c r="L44" s="923"/>
      <c r="M44" s="923"/>
      <c r="N44" s="923"/>
      <c r="O44" s="923"/>
      <c r="P44" s="923"/>
      <c r="Q44" s="923"/>
      <c r="R44" s="923"/>
      <c r="S44" s="923"/>
      <c r="T44" s="923"/>
      <c r="U44" s="923"/>
      <c r="V44" s="923"/>
      <c r="W44" s="923"/>
      <c r="X44" s="923"/>
      <c r="Y44" s="923"/>
      <c r="Z44" s="923"/>
      <c r="AA44" s="923"/>
      <c r="AB44" s="923"/>
      <c r="AC44" s="923"/>
      <c r="AD44" s="923"/>
      <c r="AE44" s="923"/>
      <c r="AF44" s="923"/>
      <c r="AG44" s="923"/>
      <c r="AH44" s="923"/>
      <c r="AI44" s="923"/>
      <c r="AJ44" s="923"/>
      <c r="AK44" s="923"/>
      <c r="AL44" s="923"/>
      <c r="AM44" s="923"/>
      <c r="AN44" s="923"/>
      <c r="AO44" s="923"/>
      <c r="AP44" s="923"/>
      <c r="AQ44" s="923"/>
      <c r="AR44" s="923"/>
      <c r="AS44" s="923"/>
      <c r="AT44" s="923"/>
      <c r="AU44" s="923"/>
      <c r="AV44" s="923"/>
      <c r="AW44" s="923"/>
      <c r="AX44" s="923"/>
    </row>
    <row r="45">
      <c r="A45" s="923"/>
      <c r="B45" s="923"/>
      <c r="C45" s="923"/>
      <c r="D45" s="923"/>
      <c r="E45" s="923"/>
      <c r="F45" s="923"/>
      <c r="G45" s="923"/>
      <c r="H45" s="923"/>
      <c r="I45" s="923"/>
      <c r="J45" s="923"/>
      <c r="K45" s="923"/>
      <c r="L45" s="923"/>
      <c r="M45" s="923"/>
      <c r="N45" s="923"/>
      <c r="O45" s="923"/>
      <c r="P45" s="923"/>
      <c r="Q45" s="923"/>
      <c r="R45" s="923"/>
      <c r="S45" s="923"/>
      <c r="T45" s="923"/>
      <c r="U45" s="923"/>
      <c r="V45" s="923"/>
      <c r="W45" s="923"/>
      <c r="X45" s="923"/>
      <c r="Y45" s="923"/>
      <c r="Z45" s="923"/>
      <c r="AA45" s="923"/>
      <c r="AB45" s="923"/>
      <c r="AC45" s="923"/>
      <c r="AD45" s="923"/>
      <c r="AE45" s="923"/>
      <c r="AF45" s="923"/>
      <c r="AG45" s="923"/>
      <c r="AH45" s="923"/>
      <c r="AI45" s="923"/>
      <c r="AJ45" s="923"/>
      <c r="AK45" s="923"/>
      <c r="AL45" s="923"/>
      <c r="AM45" s="923"/>
      <c r="AN45" s="923"/>
      <c r="AO45" s="923"/>
      <c r="AP45" s="923"/>
      <c r="AQ45" s="923"/>
      <c r="AR45" s="923"/>
      <c r="AS45" s="923"/>
      <c r="AT45" s="923"/>
      <c r="AU45" s="923"/>
      <c r="AV45" s="923"/>
      <c r="AW45" s="923"/>
      <c r="AX45" s="923"/>
    </row>
    <row r="46">
      <c r="A46" s="923"/>
      <c r="B46" s="923"/>
      <c r="C46" s="923"/>
      <c r="D46" s="923"/>
      <c r="E46" s="923"/>
      <c r="F46" s="923"/>
      <c r="G46" s="923"/>
      <c r="H46" s="923"/>
      <c r="I46" s="923"/>
      <c r="J46" s="923"/>
      <c r="K46" s="923"/>
      <c r="L46" s="923"/>
      <c r="M46" s="923"/>
      <c r="N46" s="923"/>
      <c r="O46" s="923"/>
      <c r="P46" s="923"/>
      <c r="Q46" s="923"/>
      <c r="R46" s="923"/>
      <c r="S46" s="923"/>
      <c r="T46" s="923"/>
      <c r="U46" s="923"/>
      <c r="V46" s="923"/>
      <c r="W46" s="923"/>
      <c r="X46" s="923"/>
      <c r="Y46" s="923"/>
      <c r="Z46" s="923"/>
      <c r="AA46" s="923"/>
      <c r="AB46" s="923"/>
      <c r="AC46" s="923"/>
      <c r="AD46" s="923"/>
      <c r="AE46" s="923"/>
      <c r="AF46" s="923"/>
      <c r="AG46" s="923"/>
      <c r="AH46" s="923"/>
      <c r="AI46" s="923"/>
      <c r="AJ46" s="923"/>
      <c r="AK46" s="923"/>
      <c r="AL46" s="923"/>
      <c r="AM46" s="923"/>
      <c r="AN46" s="923"/>
      <c r="AO46" s="923"/>
      <c r="AP46" s="923"/>
      <c r="AQ46" s="923"/>
      <c r="AR46" s="923"/>
      <c r="AS46" s="923"/>
      <c r="AT46" s="923"/>
      <c r="AU46" s="923"/>
      <c r="AV46" s="923"/>
      <c r="AW46" s="923"/>
      <c r="AX46" s="923"/>
    </row>
    <row r="47">
      <c r="A47" s="923"/>
      <c r="B47" s="923"/>
      <c r="C47" s="923"/>
      <c r="D47" s="923"/>
      <c r="E47" s="923"/>
      <c r="F47" s="923"/>
      <c r="G47" s="923"/>
      <c r="H47" s="923"/>
      <c r="I47" s="923"/>
      <c r="J47" s="923"/>
      <c r="K47" s="923"/>
      <c r="L47" s="923"/>
      <c r="M47" s="923"/>
      <c r="N47" s="923"/>
      <c r="O47" s="923"/>
      <c r="P47" s="923"/>
      <c r="Q47" s="923"/>
      <c r="R47" s="923"/>
      <c r="S47" s="923"/>
      <c r="T47" s="923"/>
      <c r="U47" s="923"/>
      <c r="V47" s="923"/>
      <c r="W47" s="923"/>
      <c r="X47" s="923"/>
      <c r="Y47" s="923"/>
      <c r="Z47" s="923"/>
      <c r="AA47" s="923"/>
      <c r="AB47" s="923"/>
      <c r="AC47" s="923"/>
      <c r="AD47" s="923"/>
      <c r="AE47" s="923"/>
      <c r="AF47" s="923"/>
      <c r="AG47" s="923"/>
      <c r="AH47" s="923"/>
      <c r="AI47" s="923"/>
      <c r="AJ47" s="923"/>
      <c r="AK47" s="923"/>
      <c r="AL47" s="923"/>
      <c r="AM47" s="923"/>
      <c r="AN47" s="923"/>
      <c r="AO47" s="923"/>
      <c r="AP47" s="923"/>
      <c r="AQ47" s="923"/>
      <c r="AR47" s="923"/>
      <c r="AS47" s="923"/>
      <c r="AT47" s="923"/>
      <c r="AU47" s="923"/>
      <c r="AV47" s="923"/>
      <c r="AW47" s="923"/>
      <c r="AX47" s="923"/>
    </row>
    <row r="48">
      <c r="A48" s="923"/>
      <c r="B48" s="923"/>
      <c r="C48" s="923"/>
      <c r="D48" s="923"/>
      <c r="E48" s="923"/>
      <c r="F48" s="923"/>
      <c r="G48" s="923"/>
      <c r="H48" s="923"/>
      <c r="I48" s="923"/>
      <c r="J48" s="923"/>
      <c r="K48" s="923"/>
      <c r="L48" s="923"/>
      <c r="M48" s="923"/>
      <c r="N48" s="923"/>
      <c r="O48" s="923"/>
      <c r="P48" s="923"/>
      <c r="Q48" s="923"/>
      <c r="R48" s="923"/>
      <c r="S48" s="923"/>
      <c r="T48" s="923"/>
      <c r="U48" s="923"/>
      <c r="V48" s="923"/>
      <c r="W48" s="923"/>
      <c r="X48" s="923"/>
      <c r="Y48" s="923"/>
      <c r="Z48" s="923"/>
      <c r="AA48" s="923"/>
      <c r="AB48" s="923"/>
      <c r="AC48" s="923"/>
      <c r="AD48" s="923"/>
      <c r="AE48" s="923"/>
      <c r="AF48" s="923"/>
      <c r="AG48" s="923"/>
      <c r="AH48" s="923"/>
      <c r="AI48" s="923"/>
      <c r="AJ48" s="923"/>
      <c r="AK48" s="923"/>
      <c r="AL48" s="923"/>
      <c r="AM48" s="923"/>
      <c r="AN48" s="923"/>
      <c r="AO48" s="923"/>
      <c r="AP48" s="923"/>
      <c r="AQ48" s="923"/>
      <c r="AR48" s="923"/>
      <c r="AS48" s="923"/>
      <c r="AT48" s="923"/>
      <c r="AU48" s="923"/>
      <c r="AV48" s="923"/>
      <c r="AW48" s="923"/>
      <c r="AX48" s="923"/>
    </row>
    <row r="49">
      <c r="A49" s="923"/>
      <c r="B49" s="923"/>
      <c r="C49" s="923"/>
      <c r="D49" s="923"/>
      <c r="E49" s="923"/>
      <c r="F49" s="923"/>
      <c r="G49" s="923"/>
      <c r="H49" s="923"/>
      <c r="I49" s="923"/>
      <c r="J49" s="923"/>
      <c r="K49" s="923"/>
      <c r="L49" s="923"/>
      <c r="M49" s="923"/>
      <c r="N49" s="923"/>
      <c r="O49" s="923"/>
      <c r="P49" s="923"/>
      <c r="Q49" s="923"/>
      <c r="R49" s="923"/>
      <c r="S49" s="923"/>
      <c r="T49" s="923"/>
      <c r="U49" s="923"/>
      <c r="V49" s="923"/>
      <c r="W49" s="923"/>
      <c r="X49" s="923"/>
      <c r="Y49" s="923"/>
      <c r="Z49" s="923"/>
      <c r="AA49" s="923"/>
      <c r="AB49" s="923"/>
      <c r="AC49" s="923"/>
      <c r="AD49" s="923"/>
      <c r="AE49" s="923"/>
      <c r="AF49" s="923"/>
      <c r="AG49" s="923"/>
      <c r="AH49" s="923"/>
      <c r="AI49" s="923"/>
      <c r="AJ49" s="923"/>
      <c r="AK49" s="923"/>
      <c r="AL49" s="923"/>
      <c r="AM49" s="923"/>
      <c r="AN49" s="923"/>
      <c r="AO49" s="923"/>
      <c r="AP49" s="923"/>
      <c r="AQ49" s="923"/>
      <c r="AR49" s="923"/>
      <c r="AS49" s="923"/>
      <c r="AT49" s="923"/>
      <c r="AU49" s="923"/>
      <c r="AV49" s="923"/>
      <c r="AW49" s="923"/>
      <c r="AX49" s="923"/>
    </row>
    <row r="50">
      <c r="A50" s="923"/>
      <c r="B50" s="923"/>
      <c r="C50" s="923"/>
      <c r="D50" s="923"/>
      <c r="E50" s="923"/>
      <c r="F50" s="923"/>
      <c r="G50" s="923"/>
      <c r="H50" s="923"/>
      <c r="I50" s="923"/>
      <c r="J50" s="923"/>
      <c r="K50" s="923"/>
      <c r="L50" s="923"/>
      <c r="M50" s="923"/>
      <c r="N50" s="923"/>
      <c r="O50" s="923"/>
      <c r="P50" s="923"/>
      <c r="Q50" s="923"/>
      <c r="R50" s="923"/>
      <c r="S50" s="923"/>
      <c r="T50" s="923"/>
      <c r="U50" s="923"/>
      <c r="V50" s="923"/>
      <c r="W50" s="923"/>
      <c r="X50" s="923"/>
      <c r="Y50" s="923"/>
      <c r="Z50" s="923"/>
      <c r="AA50" s="923"/>
      <c r="AB50" s="923"/>
      <c r="AC50" s="923"/>
      <c r="AD50" s="923"/>
      <c r="AE50" s="923"/>
      <c r="AF50" s="923"/>
      <c r="AG50" s="923"/>
      <c r="AH50" s="923"/>
      <c r="AI50" s="923"/>
      <c r="AJ50" s="923"/>
      <c r="AK50" s="923"/>
      <c r="AL50" s="923"/>
      <c r="AM50" s="923"/>
      <c r="AN50" s="923"/>
      <c r="AO50" s="923"/>
      <c r="AP50" s="923"/>
      <c r="AQ50" s="923"/>
      <c r="AR50" s="923"/>
      <c r="AS50" s="923"/>
      <c r="AT50" s="923"/>
      <c r="AU50" s="923"/>
      <c r="AV50" s="923"/>
      <c r="AW50" s="923"/>
      <c r="AX50" s="923"/>
    </row>
    <row r="51">
      <c r="A51" s="923"/>
      <c r="B51" s="923"/>
      <c r="C51" s="923"/>
      <c r="D51" s="923"/>
      <c r="E51" s="923"/>
      <c r="F51" s="923"/>
      <c r="G51" s="923"/>
      <c r="H51" s="923"/>
      <c r="I51" s="923"/>
      <c r="J51" s="923"/>
      <c r="K51" s="923"/>
      <c r="L51" s="923"/>
      <c r="M51" s="923"/>
      <c r="N51" s="923"/>
      <c r="O51" s="923"/>
      <c r="P51" s="923"/>
      <c r="Q51" s="923"/>
      <c r="R51" s="923"/>
      <c r="S51" s="923"/>
      <c r="T51" s="923"/>
      <c r="U51" s="923"/>
      <c r="V51" s="923"/>
      <c r="W51" s="923"/>
      <c r="X51" s="923"/>
      <c r="Y51" s="923"/>
      <c r="Z51" s="923"/>
      <c r="AA51" s="923"/>
      <c r="AB51" s="923"/>
      <c r="AC51" s="923"/>
      <c r="AD51" s="923"/>
      <c r="AE51" s="923"/>
      <c r="AF51" s="923"/>
      <c r="AG51" s="923"/>
      <c r="AH51" s="923"/>
      <c r="AI51" s="923"/>
      <c r="AJ51" s="923"/>
      <c r="AK51" s="923"/>
      <c r="AL51" s="923"/>
      <c r="AM51" s="923"/>
      <c r="AN51" s="923"/>
      <c r="AO51" s="923"/>
      <c r="AP51" s="923"/>
      <c r="AQ51" s="923"/>
      <c r="AR51" s="923"/>
      <c r="AS51" s="923"/>
      <c r="AT51" s="923"/>
      <c r="AU51" s="923"/>
      <c r="AV51" s="923"/>
      <c r="AW51" s="923"/>
      <c r="AX51" s="923"/>
    </row>
    <row r="52" hidden="1">
      <c r="A52" s="924"/>
      <c r="B52" s="924"/>
      <c r="C52" s="924"/>
      <c r="D52" s="924"/>
      <c r="E52" s="924"/>
      <c r="F52" s="924"/>
      <c r="G52" s="924"/>
      <c r="H52" s="924"/>
      <c r="I52" s="924"/>
      <c r="J52" s="924"/>
      <c r="K52" s="924"/>
      <c r="L52" s="924"/>
      <c r="M52" s="924"/>
      <c r="N52" s="924"/>
      <c r="O52" s="924"/>
      <c r="P52" s="924"/>
      <c r="Q52" s="924"/>
      <c r="R52" s="924"/>
      <c r="S52" s="924"/>
      <c r="T52" s="924"/>
      <c r="U52" s="924"/>
      <c r="V52" s="924"/>
      <c r="W52" s="924"/>
      <c r="X52" s="924"/>
      <c r="Y52" s="924"/>
      <c r="Z52" s="924"/>
      <c r="AA52" s="924"/>
      <c r="AB52" s="924"/>
      <c r="AC52" s="924"/>
      <c r="AD52" s="924"/>
      <c r="AE52" s="924"/>
      <c r="AF52" s="924"/>
      <c r="AG52" s="924"/>
      <c r="AH52" s="924"/>
      <c r="AI52" s="924"/>
      <c r="AJ52" s="924"/>
      <c r="AK52" s="924"/>
      <c r="AL52" s="924"/>
      <c r="AM52" s="924"/>
      <c r="AN52" s="924"/>
      <c r="AO52" s="924"/>
      <c r="AP52" s="924"/>
      <c r="AQ52" s="924"/>
      <c r="AR52" s="924"/>
      <c r="AS52" s="924"/>
      <c r="AT52" s="924"/>
      <c r="AU52" s="924"/>
      <c r="AV52" s="917"/>
      <c r="AW52" s="917"/>
      <c r="AX52" s="917"/>
    </row>
    <row r="53" hidden="1">
      <c r="A53" s="925" t="s">
        <v>547</v>
      </c>
      <c r="B53" s="924"/>
      <c r="C53" s="924"/>
      <c r="D53" s="924"/>
      <c r="E53" s="924"/>
      <c r="F53" s="924"/>
      <c r="G53" s="924"/>
      <c r="H53" s="924"/>
      <c r="I53" s="924"/>
      <c r="J53" s="924"/>
      <c r="K53" s="924"/>
      <c r="L53" s="924"/>
      <c r="M53" s="924"/>
      <c r="N53" s="924"/>
      <c r="O53" s="924"/>
      <c r="P53" s="924"/>
      <c r="Q53" s="924"/>
      <c r="R53" s="924"/>
      <c r="S53" s="924"/>
      <c r="T53" s="924"/>
      <c r="U53" s="924"/>
      <c r="V53" s="924"/>
      <c r="W53" s="924"/>
      <c r="X53" s="924"/>
      <c r="Y53" s="924"/>
      <c r="Z53" s="924"/>
      <c r="AA53" s="924"/>
      <c r="AB53" s="924"/>
      <c r="AC53" s="924"/>
      <c r="AD53" s="924"/>
      <c r="AE53" s="924"/>
      <c r="AF53" s="924"/>
      <c r="AG53" s="924"/>
      <c r="AH53" s="924"/>
      <c r="AI53" s="924"/>
      <c r="AJ53" s="924"/>
      <c r="AK53" s="924"/>
      <c r="AL53" s="924"/>
      <c r="AM53" s="924"/>
      <c r="AN53" s="924"/>
      <c r="AO53" s="924"/>
      <c r="AP53" s="924"/>
      <c r="AQ53" s="924"/>
      <c r="AR53" s="924"/>
      <c r="AS53" s="924"/>
      <c r="AT53" s="924"/>
      <c r="AU53" s="924"/>
      <c r="AV53" s="924"/>
      <c r="AW53" s="917"/>
      <c r="AX53" s="917"/>
    </row>
    <row r="54" hidden="1">
      <c r="A54" s="918" t="s">
        <v>546</v>
      </c>
      <c r="B54" s="926" t="str">
        <f>IFERROR(__xludf.DUMMYFUNCTION("QUERY('Round 1'!A:BA, ""select Avg(H),Avg(I),Avg(J),Avg(K),Avg(L),Avg(M),Avg(N),Avg(O),Avg(P),Avg(Q),Avg(R),Avg(S),Avg(T),Avg(U),Avg(V),Avg(W),Avg(X),Avg(Y),Avg(Z),Avg(AA),Avg(AB),Avg(AC),Avg(AD),Avg(AE),Avg(AF),Avg(AG),Avg(AH),Avg(AI),Avg(AJ),Avg(AK),Avg"&amp;"(AL),Avg(AM),Avg(AN),Avg(AO),Avg(AP),Avg(AQ),Avg(AR),Avg(AS),Avg(AT),Avg(AU),Avg(AV),Avg(AW),Avg(AX),Avg(AY),Avg(AZ),Avg(BA),Avg(BB)"",1)"),"#VALUE!")</f>
        <v>#VALUE!</v>
      </c>
      <c r="C54" s="927"/>
      <c r="D54" s="927"/>
      <c r="E54" s="927"/>
      <c r="F54" s="927"/>
      <c r="G54" s="927"/>
      <c r="H54" s="927"/>
      <c r="I54" s="927"/>
      <c r="J54" s="927"/>
      <c r="K54" s="927"/>
      <c r="L54" s="927"/>
      <c r="M54" s="927"/>
      <c r="N54" s="927"/>
      <c r="O54" s="927"/>
      <c r="P54" s="927"/>
      <c r="Q54" s="927"/>
      <c r="R54" s="927"/>
      <c r="S54" s="927"/>
      <c r="T54" s="927"/>
      <c r="U54" s="927"/>
      <c r="V54" s="927"/>
      <c r="W54" s="927"/>
      <c r="X54" s="927"/>
      <c r="Y54" s="927"/>
      <c r="Z54" s="927"/>
      <c r="AA54" s="927"/>
      <c r="AB54" s="927"/>
      <c r="AC54" s="927"/>
      <c r="AD54" s="927"/>
      <c r="AE54" s="927"/>
      <c r="AF54" s="927"/>
      <c r="AG54" s="927"/>
      <c r="AH54" s="927"/>
      <c r="AI54" s="927"/>
      <c r="AJ54" s="927"/>
      <c r="AK54" s="927"/>
      <c r="AL54" s="927"/>
      <c r="AM54" s="927"/>
      <c r="AN54" s="927"/>
      <c r="AO54" s="927"/>
      <c r="AP54" s="927"/>
      <c r="AQ54" s="927"/>
      <c r="AR54" s="927"/>
      <c r="AS54" s="927"/>
      <c r="AT54" s="927"/>
      <c r="AU54" s="927"/>
      <c r="AV54" s="927"/>
      <c r="AW54" s="917"/>
      <c r="AX54" s="917"/>
    </row>
    <row r="55" hidden="1">
      <c r="A55" s="924"/>
      <c r="B55" s="917"/>
      <c r="C55" s="917"/>
      <c r="D55" s="917"/>
      <c r="E55" s="917"/>
      <c r="F55" s="917"/>
      <c r="G55" s="917"/>
      <c r="H55" s="917"/>
      <c r="I55" s="917"/>
      <c r="J55" s="917"/>
      <c r="K55" s="917"/>
      <c r="L55" s="917"/>
      <c r="M55" s="917"/>
      <c r="N55" s="917"/>
      <c r="O55" s="917"/>
      <c r="P55" s="917"/>
      <c r="Q55" s="917"/>
      <c r="R55" s="917"/>
      <c r="S55" s="917"/>
      <c r="T55" s="917"/>
      <c r="U55" s="917"/>
      <c r="V55" s="917"/>
      <c r="W55" s="917"/>
      <c r="X55" s="917"/>
      <c r="Y55" s="917"/>
      <c r="Z55" s="917"/>
      <c r="AA55" s="917"/>
      <c r="AB55" s="917"/>
      <c r="AC55" s="917"/>
      <c r="AD55" s="917"/>
      <c r="AE55" s="917"/>
      <c r="AF55" s="917"/>
      <c r="AG55" s="917"/>
      <c r="AH55" s="917"/>
      <c r="AI55" s="917"/>
      <c r="AJ55" s="917"/>
      <c r="AK55" s="917"/>
      <c r="AL55" s="917"/>
      <c r="AM55" s="917"/>
      <c r="AN55" s="917"/>
      <c r="AO55" s="917"/>
      <c r="AP55" s="917"/>
      <c r="AQ55" s="917"/>
      <c r="AR55" s="917"/>
      <c r="AS55" s="917"/>
      <c r="AT55" s="917"/>
      <c r="AU55" s="917"/>
      <c r="AV55" s="917"/>
      <c r="AW55" s="917"/>
      <c r="AX55" s="917"/>
    </row>
    <row r="56" hidden="1">
      <c r="A56" s="925" t="s">
        <v>548</v>
      </c>
      <c r="B56" s="924"/>
      <c r="C56" s="924"/>
      <c r="D56" s="924"/>
      <c r="E56" s="924"/>
      <c r="F56" s="924"/>
      <c r="G56" s="924"/>
      <c r="H56" s="924"/>
      <c r="I56" s="924"/>
      <c r="J56" s="924"/>
      <c r="K56" s="924"/>
      <c r="L56" s="924"/>
      <c r="M56" s="924"/>
      <c r="N56" s="924"/>
      <c r="O56" s="924"/>
      <c r="P56" s="924"/>
      <c r="Q56" s="924"/>
      <c r="R56" s="924"/>
      <c r="S56" s="924"/>
      <c r="T56" s="924"/>
      <c r="U56" s="924"/>
      <c r="V56" s="924"/>
      <c r="W56" s="924"/>
      <c r="X56" s="924"/>
      <c r="Y56" s="924"/>
      <c r="Z56" s="924"/>
      <c r="AA56" s="924"/>
      <c r="AB56" s="924"/>
      <c r="AC56" s="924"/>
      <c r="AD56" s="924"/>
      <c r="AE56" s="924"/>
      <c r="AF56" s="924"/>
      <c r="AG56" s="924"/>
      <c r="AH56" s="924"/>
      <c r="AI56" s="924"/>
      <c r="AJ56" s="924"/>
      <c r="AK56" s="924"/>
      <c r="AL56" s="924"/>
      <c r="AM56" s="924"/>
      <c r="AN56" s="924"/>
      <c r="AO56" s="924"/>
      <c r="AP56" s="924"/>
      <c r="AQ56" s="924"/>
      <c r="AR56" s="924"/>
      <c r="AS56" s="924"/>
      <c r="AT56" s="924"/>
      <c r="AU56" s="924"/>
      <c r="AV56" s="924"/>
      <c r="AW56" s="917"/>
      <c r="AX56" s="917"/>
    </row>
    <row r="57" hidden="1">
      <c r="A57" s="918" t="s">
        <v>546</v>
      </c>
      <c r="B57" s="926" t="str">
        <f>IFERROR(__xludf.DUMMYFUNCTION("QUERY('Round 2'!A:BA, ""select Avg(H),Avg(I),Avg(J),Avg(K),Avg(L),Avg(M),Avg(N),Avg(O),Avg(P),Avg(Q),Avg(R),Avg(S),Avg(T),Avg(U),Avg(V),Avg(W),Avg(X),Avg(Y),Avg(Z),Avg(AA),Avg(AB),Avg(AC),Avg(AD),Avg(AE),Avg(AF),Avg(AG),Avg(AH),Avg(AI),Avg(AJ),Avg(AK),Avg"&amp;"(AL),Avg(AM),Avg(AN),Avg(AO),Avg(AP),Avg(AQ),Avg(AR),Avg(AS),Avg(AT),Avg(AU),Avg(AV),Avg(AW),Avg(AX),Avg(AY),Avg(AZ),Avg(BA),Avg(BB)"",1)"),"#VALUE!")</f>
        <v>#VALUE!</v>
      </c>
      <c r="C57" s="927"/>
      <c r="D57" s="927"/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927"/>
      <c r="AO57" s="927"/>
      <c r="AP57" s="927"/>
      <c r="AQ57" s="927"/>
      <c r="AR57" s="927"/>
      <c r="AS57" s="927"/>
      <c r="AT57" s="927"/>
      <c r="AU57" s="927"/>
      <c r="AV57" s="927"/>
      <c r="AW57" s="917"/>
      <c r="AX57" s="917"/>
    </row>
    <row r="58" hidden="1">
      <c r="A58" s="924"/>
      <c r="B58" s="917"/>
      <c r="C58" s="917"/>
      <c r="D58" s="917"/>
      <c r="E58" s="917"/>
      <c r="F58" s="917"/>
      <c r="G58" s="917"/>
      <c r="H58" s="917"/>
      <c r="I58" s="917"/>
      <c r="J58" s="917"/>
      <c r="K58" s="917"/>
      <c r="L58" s="917"/>
      <c r="M58" s="917"/>
      <c r="N58" s="917"/>
      <c r="O58" s="917"/>
      <c r="P58" s="917"/>
      <c r="Q58" s="917"/>
      <c r="R58" s="917"/>
      <c r="S58" s="917"/>
      <c r="T58" s="917"/>
      <c r="U58" s="917"/>
      <c r="V58" s="917"/>
      <c r="W58" s="917"/>
      <c r="X58" s="917"/>
      <c r="Y58" s="917"/>
      <c r="Z58" s="917"/>
      <c r="AA58" s="917"/>
      <c r="AB58" s="917"/>
      <c r="AC58" s="917"/>
      <c r="AD58" s="917"/>
      <c r="AE58" s="917"/>
      <c r="AF58" s="917"/>
      <c r="AG58" s="917"/>
      <c r="AH58" s="917"/>
      <c r="AI58" s="917"/>
      <c r="AJ58" s="917"/>
      <c r="AK58" s="917"/>
      <c r="AL58" s="917"/>
      <c r="AM58" s="917"/>
      <c r="AN58" s="917"/>
      <c r="AO58" s="917"/>
      <c r="AP58" s="917"/>
      <c r="AQ58" s="917"/>
      <c r="AR58" s="917"/>
      <c r="AS58" s="917"/>
      <c r="AT58" s="917"/>
      <c r="AU58" s="917"/>
      <c r="AV58" s="917"/>
      <c r="AW58" s="917"/>
      <c r="AX58" s="917"/>
    </row>
    <row r="59" hidden="1">
      <c r="A59" s="925" t="s">
        <v>549</v>
      </c>
      <c r="B59" s="924"/>
      <c r="C59" s="924"/>
      <c r="D59" s="924"/>
      <c r="E59" s="924"/>
      <c r="F59" s="924"/>
      <c r="G59" s="924"/>
      <c r="H59" s="924"/>
      <c r="I59" s="924"/>
      <c r="J59" s="924"/>
      <c r="K59" s="924"/>
      <c r="L59" s="924"/>
      <c r="M59" s="924"/>
      <c r="N59" s="924"/>
      <c r="O59" s="924"/>
      <c r="P59" s="924"/>
      <c r="Q59" s="924"/>
      <c r="R59" s="924"/>
      <c r="S59" s="924"/>
      <c r="T59" s="924"/>
      <c r="U59" s="924"/>
      <c r="V59" s="924"/>
      <c r="W59" s="924"/>
      <c r="X59" s="924"/>
      <c r="Y59" s="924"/>
      <c r="Z59" s="924"/>
      <c r="AA59" s="924"/>
      <c r="AB59" s="924"/>
      <c r="AC59" s="924"/>
      <c r="AD59" s="924"/>
      <c r="AE59" s="924"/>
      <c r="AF59" s="924"/>
      <c r="AG59" s="924"/>
      <c r="AH59" s="924"/>
      <c r="AI59" s="924"/>
      <c r="AJ59" s="924"/>
      <c r="AK59" s="924"/>
      <c r="AL59" s="924"/>
      <c r="AM59" s="924"/>
      <c r="AN59" s="924"/>
      <c r="AO59" s="924"/>
      <c r="AP59" s="924"/>
      <c r="AQ59" s="924"/>
      <c r="AR59" s="924"/>
      <c r="AS59" s="924"/>
      <c r="AT59" s="924"/>
      <c r="AU59" s="924"/>
      <c r="AV59" s="924"/>
      <c r="AW59" s="917"/>
      <c r="AX59" s="917"/>
    </row>
    <row r="60" hidden="1">
      <c r="A60" s="918" t="s">
        <v>546</v>
      </c>
      <c r="B60" s="927" t="str">
        <f>IFERROR(__xludf.DUMMYFUNCTION("QUERY('Round 3'!A:BC, ""select Avg(H),Avg(I),Avg(J),Avg(K),Avg(L),Avg(M),Avg(N),Avg(O),Avg(P),Avg(Q),Avg(R),Avg(S),Avg(T),Avg(U),Avg(V),Avg(W),Avg(X),Avg(Y),Avg(Z),Avg(AA),Avg(AB),Avg(AC),Avg(AD),Avg(AE),Avg(AF),Avg(AG),Avg(AH),Avg(AI),Avg(AJ),Avg(AK),Avg"&amp;"(AL),Avg(AM),Avg(AN),Avg(AO),Avg(AP),Avg(AQ),Avg(AR),Avg(AS),Avg(AT),Avg(AU),Avg(AV),Avg(AW),Avg(AX),Avg(AY),Avg(AZ),Avg(BA),Avg(BB)"",1)"),"#VALUE!")</f>
        <v>#VALUE!</v>
      </c>
      <c r="C60" s="927"/>
      <c r="D60" s="927"/>
      <c r="E60" s="927"/>
      <c r="F60" s="927"/>
      <c r="G60" s="927"/>
      <c r="H60" s="927"/>
      <c r="I60" s="927"/>
      <c r="J60" s="927"/>
      <c r="K60" s="927"/>
      <c r="L60" s="927"/>
      <c r="M60" s="927"/>
      <c r="N60" s="927"/>
      <c r="O60" s="927"/>
      <c r="P60" s="927"/>
      <c r="Q60" s="927"/>
      <c r="R60" s="927"/>
      <c r="S60" s="927"/>
      <c r="T60" s="927"/>
      <c r="U60" s="927"/>
      <c r="V60" s="927"/>
      <c r="W60" s="927"/>
      <c r="X60" s="927"/>
      <c r="Y60" s="927"/>
      <c r="Z60" s="927"/>
      <c r="AA60" s="927"/>
      <c r="AB60" s="927"/>
      <c r="AC60" s="927"/>
      <c r="AD60" s="927"/>
      <c r="AE60" s="927"/>
      <c r="AF60" s="927"/>
      <c r="AG60" s="927"/>
      <c r="AH60" s="927"/>
      <c r="AI60" s="927"/>
      <c r="AJ60" s="927"/>
      <c r="AK60" s="927"/>
      <c r="AL60" s="927"/>
      <c r="AM60" s="927"/>
      <c r="AN60" s="927"/>
      <c r="AO60" s="927"/>
      <c r="AP60" s="927"/>
      <c r="AQ60" s="927"/>
      <c r="AR60" s="927"/>
      <c r="AS60" s="927"/>
      <c r="AT60" s="927"/>
      <c r="AU60" s="927"/>
      <c r="AV60" s="927"/>
      <c r="AW60" s="917"/>
      <c r="AX60" s="917"/>
    </row>
    <row r="61" hidden="1">
      <c r="A61" s="924"/>
      <c r="B61" s="917"/>
      <c r="C61" s="917"/>
      <c r="D61" s="917"/>
      <c r="E61" s="917"/>
      <c r="F61" s="917"/>
      <c r="G61" s="917"/>
      <c r="H61" s="917"/>
      <c r="I61" s="917"/>
      <c r="J61" s="917"/>
      <c r="K61" s="917"/>
      <c r="L61" s="917"/>
      <c r="M61" s="917"/>
      <c r="N61" s="917"/>
      <c r="O61" s="917"/>
      <c r="P61" s="917"/>
      <c r="Q61" s="917"/>
      <c r="R61" s="917"/>
      <c r="S61" s="917"/>
      <c r="T61" s="917"/>
      <c r="U61" s="917"/>
      <c r="V61" s="917"/>
      <c r="W61" s="917"/>
      <c r="X61" s="917"/>
      <c r="Y61" s="917"/>
      <c r="Z61" s="917"/>
      <c r="AA61" s="917"/>
      <c r="AB61" s="917"/>
      <c r="AC61" s="917"/>
      <c r="AD61" s="917"/>
      <c r="AE61" s="917"/>
      <c r="AF61" s="917"/>
      <c r="AG61" s="917"/>
      <c r="AH61" s="917"/>
      <c r="AI61" s="917"/>
      <c r="AJ61" s="917"/>
      <c r="AK61" s="917"/>
      <c r="AL61" s="917"/>
      <c r="AM61" s="917"/>
      <c r="AN61" s="917"/>
      <c r="AO61" s="917"/>
      <c r="AP61" s="917"/>
      <c r="AQ61" s="917"/>
      <c r="AR61" s="917"/>
      <c r="AS61" s="917"/>
      <c r="AT61" s="917"/>
      <c r="AU61" s="917"/>
      <c r="AV61" s="917"/>
      <c r="AW61" s="917"/>
      <c r="AX61" s="917"/>
    </row>
    <row r="62" hidden="1">
      <c r="A62" s="925" t="s">
        <v>550</v>
      </c>
      <c r="B62" s="924"/>
      <c r="C62" s="924"/>
      <c r="D62" s="924"/>
      <c r="E62" s="924"/>
      <c r="F62" s="924"/>
      <c r="G62" s="924"/>
      <c r="H62" s="924"/>
      <c r="I62" s="924"/>
      <c r="J62" s="924"/>
      <c r="K62" s="924"/>
      <c r="L62" s="924"/>
      <c r="M62" s="924"/>
      <c r="N62" s="924"/>
      <c r="O62" s="924"/>
      <c r="P62" s="924"/>
      <c r="Q62" s="924"/>
      <c r="R62" s="924"/>
      <c r="S62" s="924"/>
      <c r="T62" s="924"/>
      <c r="U62" s="924"/>
      <c r="V62" s="924"/>
      <c r="W62" s="924"/>
      <c r="X62" s="924"/>
      <c r="Y62" s="924"/>
      <c r="Z62" s="924"/>
      <c r="AA62" s="924"/>
      <c r="AB62" s="924"/>
      <c r="AC62" s="924"/>
      <c r="AD62" s="924"/>
      <c r="AE62" s="924"/>
      <c r="AF62" s="924"/>
      <c r="AG62" s="924"/>
      <c r="AH62" s="924"/>
      <c r="AI62" s="924"/>
      <c r="AJ62" s="924"/>
      <c r="AK62" s="924"/>
      <c r="AL62" s="924"/>
      <c r="AM62" s="924"/>
      <c r="AN62" s="924"/>
      <c r="AO62" s="924"/>
      <c r="AP62" s="924"/>
      <c r="AQ62" s="924"/>
      <c r="AR62" s="924"/>
      <c r="AS62" s="924"/>
      <c r="AT62" s="924"/>
      <c r="AU62" s="924"/>
      <c r="AV62" s="924"/>
      <c r="AW62" s="917"/>
      <c r="AX62" s="917"/>
    </row>
    <row r="63" hidden="1">
      <c r="A63" s="918" t="s">
        <v>546</v>
      </c>
      <c r="B63" s="927" t="str">
        <f>IFERROR(__xludf.DUMMYFUNCTION("QUERY(Semifinals!A:BB, ""select Avg(H),Avg(I),Avg(J),Avg(K),Avg(L),Avg(M),Avg(N),Avg(O),Avg(P),Avg(Q),Avg(R),Avg(S),Avg(T),Avg(U),Avg(V),Avg(W),Avg(X),Avg(Y),Avg(Z),Avg(AA),Avg(AB),Avg(AC),Avg(AD),Avg(AE),Avg(AF),Avg(AG),Avg(AH),Avg(AI),Avg(AJ),Avg(AK),Av"&amp;"g(AL),Avg(AM),Avg(AN),Avg(AO),Avg(AP),Avg(AQ),Avg(AR),Avg(AS),Avg(AT),Avg(AU),Avg(AV),Avg(AW),Avg(AX),Avg(AY),Avg(AZ),Avg(BA),Avg(BB)"",1)"),"#VALUE!")</f>
        <v>#VALUE!</v>
      </c>
      <c r="C63" s="927"/>
      <c r="D63" s="927"/>
      <c r="E63" s="927"/>
      <c r="F63" s="927"/>
      <c r="G63" s="927"/>
      <c r="H63" s="927"/>
      <c r="I63" s="927"/>
      <c r="J63" s="927"/>
      <c r="K63" s="927"/>
      <c r="L63" s="927"/>
      <c r="M63" s="927"/>
      <c r="N63" s="927"/>
      <c r="O63" s="927"/>
      <c r="P63" s="927"/>
      <c r="Q63" s="927"/>
      <c r="R63" s="927"/>
      <c r="S63" s="927"/>
      <c r="T63" s="927"/>
      <c r="U63" s="927"/>
      <c r="V63" s="927"/>
      <c r="W63" s="927"/>
      <c r="X63" s="927"/>
      <c r="Y63" s="927"/>
      <c r="Z63" s="927"/>
      <c r="AA63" s="927"/>
      <c r="AB63" s="927"/>
      <c r="AC63" s="927"/>
      <c r="AD63" s="927"/>
      <c r="AE63" s="927"/>
      <c r="AF63" s="927"/>
      <c r="AG63" s="927"/>
      <c r="AH63" s="927"/>
      <c r="AI63" s="927"/>
      <c r="AJ63" s="927"/>
      <c r="AK63" s="927"/>
      <c r="AL63" s="927"/>
      <c r="AM63" s="927"/>
      <c r="AN63" s="927"/>
      <c r="AO63" s="927"/>
      <c r="AP63" s="927"/>
      <c r="AQ63" s="927"/>
      <c r="AR63" s="927"/>
      <c r="AS63" s="927"/>
      <c r="AT63" s="927"/>
      <c r="AU63" s="927"/>
      <c r="AV63" s="927"/>
      <c r="AW63" s="917"/>
      <c r="AX63" s="917"/>
    </row>
    <row r="64" hidden="1">
      <c r="A64" s="924"/>
      <c r="B64" s="917"/>
      <c r="C64" s="917"/>
      <c r="D64" s="917"/>
      <c r="E64" s="917"/>
      <c r="F64" s="917"/>
      <c r="G64" s="917"/>
      <c r="H64" s="917"/>
      <c r="I64" s="917"/>
      <c r="J64" s="917"/>
      <c r="K64" s="917"/>
      <c r="L64" s="917"/>
      <c r="M64" s="917"/>
      <c r="N64" s="917"/>
      <c r="O64" s="917"/>
      <c r="P64" s="917"/>
      <c r="Q64" s="917"/>
      <c r="R64" s="917"/>
      <c r="S64" s="917"/>
      <c r="T64" s="917"/>
      <c r="U64" s="917"/>
      <c r="V64" s="917"/>
      <c r="W64" s="917"/>
      <c r="X64" s="917"/>
      <c r="Y64" s="917"/>
      <c r="Z64" s="917"/>
      <c r="AA64" s="917"/>
      <c r="AB64" s="917"/>
      <c r="AC64" s="917"/>
      <c r="AD64" s="917"/>
      <c r="AE64" s="917"/>
      <c r="AF64" s="917"/>
      <c r="AG64" s="917"/>
      <c r="AH64" s="917"/>
      <c r="AI64" s="917"/>
      <c r="AJ64" s="917"/>
      <c r="AK64" s="917"/>
      <c r="AL64" s="917"/>
      <c r="AM64" s="917"/>
      <c r="AN64" s="917"/>
      <c r="AO64" s="917"/>
      <c r="AP64" s="917"/>
      <c r="AQ64" s="917"/>
      <c r="AR64" s="917"/>
      <c r="AS64" s="917"/>
      <c r="AT64" s="917"/>
      <c r="AU64" s="917"/>
      <c r="AV64" s="917"/>
      <c r="AW64" s="917"/>
      <c r="AX64" s="917"/>
    </row>
    <row r="65" hidden="1">
      <c r="A65" s="925" t="s">
        <v>551</v>
      </c>
      <c r="B65" s="924"/>
      <c r="C65" s="924"/>
      <c r="D65" s="924"/>
      <c r="E65" s="924"/>
      <c r="F65" s="924"/>
      <c r="G65" s="924"/>
      <c r="H65" s="924"/>
      <c r="I65" s="924"/>
      <c r="J65" s="924"/>
      <c r="K65" s="924"/>
      <c r="L65" s="924"/>
      <c r="M65" s="924"/>
      <c r="N65" s="924"/>
      <c r="O65" s="924"/>
      <c r="P65" s="924"/>
      <c r="Q65" s="924"/>
      <c r="R65" s="924"/>
      <c r="S65" s="924"/>
      <c r="T65" s="924"/>
      <c r="U65" s="924"/>
      <c r="V65" s="924"/>
      <c r="W65" s="924"/>
      <c r="X65" s="924"/>
      <c r="Y65" s="924"/>
      <c r="Z65" s="924"/>
      <c r="AA65" s="924"/>
      <c r="AB65" s="924"/>
      <c r="AC65" s="924"/>
      <c r="AD65" s="924"/>
      <c r="AE65" s="924"/>
      <c r="AF65" s="924"/>
      <c r="AG65" s="924"/>
      <c r="AH65" s="924"/>
      <c r="AI65" s="924"/>
      <c r="AJ65" s="924"/>
      <c r="AK65" s="924"/>
      <c r="AL65" s="924"/>
      <c r="AM65" s="924"/>
      <c r="AN65" s="924"/>
      <c r="AO65" s="924"/>
      <c r="AP65" s="924"/>
      <c r="AQ65" s="924"/>
      <c r="AR65" s="924"/>
      <c r="AS65" s="924"/>
      <c r="AT65" s="924"/>
      <c r="AU65" s="924"/>
      <c r="AV65" s="924"/>
      <c r="AW65" s="917"/>
      <c r="AX65" s="917"/>
    </row>
    <row r="66" hidden="1">
      <c r="A66" s="918" t="s">
        <v>546</v>
      </c>
      <c r="B66" s="927" t="str">
        <f>IFERROR(__xludf.DUMMYFUNCTION("QUERY(Finals!A:BB, ""select Avg(H),Avg(I),Avg(J),Avg(K),Avg(L),Avg(M),Avg(N),Avg(O),Avg(P),Avg(Q),Avg(R),Avg(S),Avg(T),Avg(U),Avg(V),Avg(W),Avg(X),Avg(Y),Avg(Z),Avg(AA),Avg(AB),Avg(AC),Avg(AD),Avg(AE),Avg(AF),Avg(AG),Avg(AH),Avg(AI),Avg(AJ),Avg(AK),Avg(AL"&amp;"),Avg(AM),Avg(AN),Avg(AO),Avg(AP),Avg(AQ),Avg(AR),Avg(AS),Avg(AT),Avg(AU),Avg(AV),Avg(AW),Avg(AX),Avg(AY),Avg(AZ),Avg(BA),Avg(BB)"",1)"),"#VALUE!")</f>
        <v>#VALUE!</v>
      </c>
      <c r="C66" s="927"/>
      <c r="D66" s="927"/>
      <c r="E66" s="927"/>
      <c r="F66" s="927"/>
      <c r="G66" s="927"/>
      <c r="H66" s="927"/>
      <c r="I66" s="927"/>
      <c r="J66" s="927"/>
      <c r="K66" s="927"/>
      <c r="L66" s="927"/>
      <c r="M66" s="927"/>
      <c r="N66" s="927"/>
      <c r="O66" s="927"/>
      <c r="P66" s="927"/>
      <c r="Q66" s="927"/>
      <c r="R66" s="927"/>
      <c r="S66" s="927"/>
      <c r="T66" s="927"/>
      <c r="U66" s="927"/>
      <c r="V66" s="927"/>
      <c r="W66" s="927"/>
      <c r="X66" s="927"/>
      <c r="Y66" s="927"/>
      <c r="Z66" s="927"/>
      <c r="AA66" s="927"/>
      <c r="AB66" s="927"/>
      <c r="AC66" s="927"/>
      <c r="AD66" s="927"/>
      <c r="AE66" s="927"/>
      <c r="AF66" s="927"/>
      <c r="AG66" s="927"/>
      <c r="AH66" s="927"/>
      <c r="AI66" s="927"/>
      <c r="AJ66" s="927"/>
      <c r="AK66" s="927"/>
      <c r="AL66" s="927"/>
      <c r="AM66" s="927"/>
      <c r="AN66" s="927"/>
      <c r="AO66" s="927"/>
      <c r="AP66" s="927"/>
      <c r="AQ66" s="927"/>
      <c r="AR66" s="927"/>
      <c r="AS66" s="927"/>
      <c r="AT66" s="927"/>
      <c r="AU66" s="927"/>
      <c r="AV66" s="927"/>
      <c r="AW66" s="917"/>
      <c r="AX66" s="917"/>
    </row>
    <row r="67" hidden="1">
      <c r="A67" s="924"/>
      <c r="B67" s="917"/>
      <c r="C67" s="917"/>
      <c r="D67" s="917"/>
      <c r="E67" s="917"/>
      <c r="F67" s="917"/>
      <c r="G67" s="917"/>
      <c r="H67" s="917"/>
      <c r="I67" s="917"/>
      <c r="J67" s="917"/>
      <c r="K67" s="917"/>
      <c r="L67" s="917"/>
      <c r="M67" s="917"/>
      <c r="N67" s="917"/>
      <c r="O67" s="917"/>
      <c r="P67" s="917"/>
      <c r="Q67" s="917"/>
      <c r="R67" s="917"/>
      <c r="S67" s="917"/>
      <c r="T67" s="917"/>
      <c r="U67" s="917"/>
      <c r="V67" s="917"/>
      <c r="W67" s="917"/>
      <c r="X67" s="917"/>
      <c r="Y67" s="917"/>
      <c r="Z67" s="917"/>
      <c r="AA67" s="917"/>
      <c r="AB67" s="917"/>
      <c r="AC67" s="917"/>
      <c r="AD67" s="917"/>
      <c r="AE67" s="917"/>
      <c r="AF67" s="917"/>
      <c r="AG67" s="917"/>
      <c r="AH67" s="917"/>
      <c r="AI67" s="917"/>
      <c r="AJ67" s="917"/>
      <c r="AK67" s="917"/>
      <c r="AL67" s="917"/>
      <c r="AM67" s="917"/>
      <c r="AN67" s="917"/>
      <c r="AO67" s="917"/>
      <c r="AP67" s="917"/>
      <c r="AQ67" s="917"/>
      <c r="AR67" s="917"/>
      <c r="AS67" s="917"/>
      <c r="AT67" s="917"/>
      <c r="AU67" s="917"/>
      <c r="AV67" s="917"/>
      <c r="AW67" s="917"/>
      <c r="AX67" s="917"/>
    </row>
    <row r="68" hidden="1">
      <c r="A68" s="924"/>
      <c r="B68" s="924"/>
      <c r="C68" s="924"/>
      <c r="D68" s="924"/>
      <c r="E68" s="924"/>
      <c r="F68" s="924"/>
      <c r="G68" s="924"/>
      <c r="H68" s="924"/>
      <c r="I68" s="924"/>
      <c r="J68" s="924"/>
      <c r="K68" s="924"/>
      <c r="L68" s="924"/>
      <c r="M68" s="924"/>
      <c r="N68" s="924"/>
      <c r="O68" s="924"/>
      <c r="P68" s="924"/>
      <c r="Q68" s="924"/>
      <c r="R68" s="924"/>
      <c r="S68" s="924"/>
      <c r="T68" s="924"/>
      <c r="U68" s="924"/>
      <c r="V68" s="924"/>
      <c r="W68" s="924"/>
      <c r="X68" s="924"/>
      <c r="Y68" s="924"/>
      <c r="Z68" s="924"/>
      <c r="AA68" s="924"/>
      <c r="AB68" s="924"/>
      <c r="AC68" s="924"/>
      <c r="AD68" s="924"/>
      <c r="AE68" s="924"/>
      <c r="AF68" s="924"/>
      <c r="AG68" s="924"/>
      <c r="AH68" s="924"/>
      <c r="AI68" s="924"/>
      <c r="AJ68" s="924"/>
      <c r="AK68" s="924"/>
      <c r="AL68" s="924"/>
      <c r="AM68" s="924"/>
      <c r="AN68" s="924"/>
      <c r="AO68" s="924"/>
      <c r="AP68" s="924"/>
      <c r="AQ68" s="924"/>
      <c r="AR68" s="924"/>
      <c r="AS68" s="924"/>
      <c r="AT68" s="924"/>
      <c r="AU68" s="924"/>
      <c r="AV68" s="917"/>
      <c r="AW68" s="917"/>
      <c r="AX68" s="917"/>
    </row>
    <row r="69" hidden="1">
      <c r="A69" s="917"/>
      <c r="B69" s="917"/>
      <c r="C69" s="917"/>
      <c r="D69" s="917"/>
      <c r="E69" s="917"/>
      <c r="F69" s="917"/>
      <c r="G69" s="917"/>
      <c r="H69" s="917"/>
      <c r="I69" s="917"/>
      <c r="J69" s="917"/>
      <c r="K69" s="917"/>
      <c r="L69" s="917"/>
      <c r="M69" s="917"/>
      <c r="N69" s="917"/>
      <c r="O69" s="917"/>
      <c r="P69" s="917"/>
      <c r="Q69" s="917"/>
      <c r="R69" s="917"/>
      <c r="S69" s="917"/>
      <c r="T69" s="917"/>
      <c r="U69" s="917"/>
      <c r="V69" s="917"/>
      <c r="W69" s="917"/>
      <c r="X69" s="917"/>
      <c r="Y69" s="917"/>
      <c r="Z69" s="917"/>
      <c r="AA69" s="917"/>
      <c r="AB69" s="917"/>
      <c r="AC69" s="917"/>
      <c r="AD69" s="917"/>
      <c r="AE69" s="917"/>
      <c r="AF69" s="917"/>
      <c r="AG69" s="917"/>
      <c r="AH69" s="917"/>
      <c r="AI69" s="917"/>
      <c r="AJ69" s="917"/>
      <c r="AK69" s="917"/>
      <c r="AL69" s="917"/>
      <c r="AM69" s="917"/>
      <c r="AN69" s="917"/>
      <c r="AO69" s="917"/>
      <c r="AP69" s="917"/>
      <c r="AQ69" s="917"/>
      <c r="AR69" s="917"/>
      <c r="AS69" s="917"/>
      <c r="AT69" s="917"/>
      <c r="AU69" s="917"/>
      <c r="AV69" s="917"/>
      <c r="AW69" s="917"/>
      <c r="AX69" s="917"/>
    </row>
    <row r="70" hidden="1">
      <c r="A70" s="917"/>
      <c r="B70" s="917"/>
      <c r="C70" s="917"/>
      <c r="D70" s="917"/>
      <c r="E70" s="917"/>
      <c r="F70" s="917"/>
      <c r="G70" s="917"/>
      <c r="H70" s="917"/>
      <c r="I70" s="917"/>
      <c r="J70" s="917"/>
      <c r="K70" s="917"/>
      <c r="L70" s="917"/>
      <c r="M70" s="917"/>
      <c r="N70" s="917"/>
      <c r="O70" s="917"/>
      <c r="P70" s="917"/>
      <c r="Q70" s="917"/>
      <c r="R70" s="917"/>
      <c r="S70" s="917"/>
      <c r="T70" s="917"/>
      <c r="U70" s="917"/>
      <c r="V70" s="917"/>
      <c r="W70" s="917"/>
      <c r="X70" s="917"/>
      <c r="Y70" s="917"/>
      <c r="Z70" s="917"/>
      <c r="AA70" s="917"/>
      <c r="AB70" s="917"/>
      <c r="AC70" s="917"/>
      <c r="AD70" s="917"/>
      <c r="AE70" s="917"/>
      <c r="AF70" s="917"/>
      <c r="AG70" s="917"/>
      <c r="AH70" s="917"/>
      <c r="AI70" s="917"/>
      <c r="AJ70" s="917"/>
      <c r="AK70" s="917"/>
      <c r="AL70" s="917"/>
      <c r="AM70" s="917"/>
      <c r="AN70" s="917"/>
      <c r="AO70" s="917"/>
      <c r="AP70" s="917"/>
      <c r="AQ70" s="917"/>
      <c r="AR70" s="917"/>
      <c r="AS70" s="917"/>
      <c r="AT70" s="917"/>
      <c r="AU70" s="917"/>
      <c r="AV70" s="917"/>
      <c r="AW70" s="917"/>
      <c r="AX70" s="917"/>
    </row>
    <row r="71" hidden="1">
      <c r="A71" s="917"/>
      <c r="B71" s="917"/>
      <c r="C71" s="917"/>
      <c r="D71" s="917"/>
      <c r="E71" s="917"/>
      <c r="F71" s="917"/>
      <c r="G71" s="917"/>
      <c r="H71" s="917"/>
      <c r="I71" s="917"/>
      <c r="J71" s="917"/>
      <c r="K71" s="917"/>
      <c r="L71" s="917"/>
      <c r="M71" s="917"/>
      <c r="N71" s="917"/>
      <c r="O71" s="917"/>
      <c r="P71" s="917"/>
      <c r="Q71" s="917"/>
      <c r="R71" s="917"/>
      <c r="S71" s="917"/>
      <c r="T71" s="917"/>
      <c r="U71" s="917"/>
      <c r="V71" s="917"/>
      <c r="W71" s="917"/>
      <c r="X71" s="917"/>
      <c r="Y71" s="917"/>
      <c r="Z71" s="917"/>
      <c r="AA71" s="917"/>
      <c r="AB71" s="917"/>
      <c r="AC71" s="917"/>
      <c r="AD71" s="917"/>
      <c r="AE71" s="917"/>
      <c r="AF71" s="917"/>
      <c r="AG71" s="917"/>
      <c r="AH71" s="917"/>
      <c r="AI71" s="917"/>
      <c r="AJ71" s="917"/>
      <c r="AK71" s="917"/>
      <c r="AL71" s="917"/>
      <c r="AM71" s="917"/>
      <c r="AN71" s="917"/>
      <c r="AO71" s="917"/>
      <c r="AP71" s="917"/>
      <c r="AQ71" s="917"/>
      <c r="AR71" s="917"/>
      <c r="AS71" s="917"/>
      <c r="AT71" s="917"/>
      <c r="AU71" s="917"/>
      <c r="AV71" s="917"/>
      <c r="AW71" s="917"/>
      <c r="AX71" s="917"/>
    </row>
    <row r="72" hidden="1">
      <c r="A72" s="917"/>
      <c r="B72" s="917"/>
      <c r="C72" s="917"/>
      <c r="D72" s="917"/>
      <c r="E72" s="917"/>
      <c r="F72" s="917"/>
      <c r="G72" s="917"/>
      <c r="H72" s="917"/>
      <c r="I72" s="917"/>
      <c r="J72" s="917"/>
      <c r="K72" s="917"/>
      <c r="L72" s="917"/>
      <c r="M72" s="917"/>
      <c r="N72" s="917"/>
      <c r="O72" s="917"/>
      <c r="P72" s="917"/>
      <c r="Q72" s="917"/>
      <c r="R72" s="917"/>
      <c r="S72" s="917"/>
      <c r="T72" s="917"/>
      <c r="U72" s="917"/>
      <c r="V72" s="917"/>
      <c r="W72" s="917"/>
      <c r="X72" s="917"/>
      <c r="Y72" s="917"/>
      <c r="Z72" s="917"/>
      <c r="AA72" s="917"/>
      <c r="AB72" s="917"/>
      <c r="AC72" s="917"/>
      <c r="AD72" s="917"/>
      <c r="AE72" s="917"/>
      <c r="AF72" s="917"/>
      <c r="AG72" s="917"/>
      <c r="AH72" s="917"/>
      <c r="AI72" s="917"/>
      <c r="AJ72" s="917"/>
      <c r="AK72" s="917"/>
      <c r="AL72" s="917"/>
      <c r="AM72" s="917"/>
      <c r="AN72" s="917"/>
      <c r="AO72" s="917"/>
      <c r="AP72" s="917"/>
      <c r="AQ72" s="917"/>
      <c r="AR72" s="917"/>
      <c r="AS72" s="917"/>
      <c r="AT72" s="917"/>
      <c r="AU72" s="917"/>
      <c r="AV72" s="917"/>
      <c r="AW72" s="917"/>
      <c r="AX72" s="917"/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25"/>
    <col customWidth="1" min="2" max="2" width="5.88"/>
    <col customWidth="1" min="3" max="3" width="4.88"/>
    <col customWidth="1" hidden="1" min="4" max="4" width="7.25"/>
    <col customWidth="1" hidden="1" min="5" max="5" width="5.38"/>
    <col customWidth="1" hidden="1" min="6" max="7" width="6.38"/>
    <col customWidth="1" hidden="1" min="8" max="11" width="5.13"/>
    <col customWidth="1" hidden="1" min="12" max="13" width="5.5"/>
    <col customWidth="1" hidden="1" min="14" max="15" width="5.13"/>
    <col customWidth="1" hidden="1" min="16" max="17" width="6.25"/>
    <col customWidth="1" hidden="1" min="18" max="19" width="5.88"/>
    <col customWidth="1" hidden="1" min="20" max="21" width="6.5"/>
    <col customWidth="1" min="22" max="22" width="12.38"/>
    <col customWidth="1" min="23" max="23" width="5.0"/>
    <col customWidth="1" min="24" max="24" width="6.75"/>
    <col customWidth="1" min="25" max="25" width="5.63"/>
    <col customWidth="1" min="26" max="26" width="9.75"/>
    <col customWidth="1" min="27" max="27" width="4.5"/>
    <col customWidth="1" min="28" max="28" width="6.5"/>
    <col customWidth="1" min="29" max="29" width="6.63"/>
    <col customWidth="1" min="30" max="30" width="6.88"/>
    <col customWidth="1" min="31" max="31" width="6.13"/>
    <col customWidth="1" min="32" max="32" width="8.5"/>
    <col customWidth="1" min="33" max="33" width="9.25"/>
    <col customWidth="1" min="34" max="34" width="10.0"/>
    <col customWidth="1" min="35" max="35" width="11.0"/>
    <col customWidth="1" min="36" max="36" width="9.63"/>
    <col customWidth="1" min="37" max="37" width="10.75"/>
    <col customWidth="1" min="38" max="38" width="12.13"/>
    <col customWidth="1" min="39" max="39" width="13.38"/>
    <col customWidth="1" min="40" max="40" width="12.38"/>
    <col customWidth="1" min="41" max="41" width="9.38"/>
    <col customWidth="1" min="42" max="42" width="13.75"/>
    <col customWidth="1" min="43" max="43" width="12.13"/>
    <col customWidth="1" min="44" max="44" width="10.63"/>
    <col customWidth="1" min="45" max="45" width="9.38"/>
    <col customWidth="1" min="46" max="46" width="8.0"/>
    <col customWidth="1" min="47" max="47" width="10.0"/>
    <col customWidth="1" min="48" max="48" width="10.13"/>
    <col customWidth="1" min="49" max="49" width="11.88"/>
    <col customWidth="1" min="50" max="50" width="11.13"/>
    <col customWidth="1" min="51" max="51" width="12.63"/>
    <col customWidth="1" min="52" max="52" width="9.0"/>
    <col customWidth="1" min="53" max="53" width="7.63"/>
    <col customWidth="1" min="54" max="54" width="8.25"/>
    <col customWidth="1" min="55" max="55" width="13.25"/>
    <col customWidth="1" min="56" max="56" width="8.5"/>
    <col customWidth="1" min="57" max="57" width="8.88"/>
    <col customWidth="1" min="58" max="58" width="9.75"/>
    <col customWidth="1" min="59" max="59" width="7.38"/>
  </cols>
  <sheetData>
    <row r="1">
      <c r="A1" s="928" t="s">
        <v>394</v>
      </c>
      <c r="B1" s="929" t="s">
        <v>327</v>
      </c>
      <c r="C1" s="930" t="s">
        <v>552</v>
      </c>
      <c r="D1" s="931" t="s">
        <v>422</v>
      </c>
      <c r="E1" s="931"/>
      <c r="F1" s="931" t="s">
        <v>423</v>
      </c>
      <c r="G1" s="931"/>
      <c r="H1" s="931" t="s">
        <v>553</v>
      </c>
      <c r="I1" s="931"/>
      <c r="J1" s="931" t="s">
        <v>462</v>
      </c>
      <c r="K1" s="931"/>
      <c r="L1" s="931" t="s">
        <v>463</v>
      </c>
      <c r="M1" s="932"/>
      <c r="N1" s="931" t="s">
        <v>464</v>
      </c>
      <c r="O1" s="931"/>
      <c r="P1" s="932" t="s">
        <v>428</v>
      </c>
      <c r="Q1" s="933"/>
      <c r="R1" s="933" t="s">
        <v>429</v>
      </c>
      <c r="S1" s="933"/>
      <c r="T1" s="933" t="s">
        <v>430</v>
      </c>
      <c r="U1" s="933"/>
      <c r="V1" s="934" t="s">
        <v>530</v>
      </c>
      <c r="W1" s="934" t="s">
        <v>189</v>
      </c>
      <c r="X1" s="934" t="s">
        <v>190</v>
      </c>
      <c r="Y1" s="934" t="s">
        <v>20</v>
      </c>
      <c r="Z1" s="934" t="s">
        <v>531</v>
      </c>
      <c r="AA1" s="934" t="s">
        <v>21</v>
      </c>
      <c r="AB1" s="934" t="s">
        <v>23</v>
      </c>
      <c r="AC1" s="934" t="s">
        <v>24</v>
      </c>
      <c r="AD1" s="934" t="s">
        <v>22</v>
      </c>
      <c r="AE1" s="934" t="s">
        <v>25</v>
      </c>
      <c r="AF1" s="934" t="s">
        <v>26</v>
      </c>
      <c r="AG1" s="934" t="s">
        <v>532</v>
      </c>
      <c r="AH1" s="934" t="s">
        <v>533</v>
      </c>
      <c r="AI1" s="934" t="s">
        <v>98</v>
      </c>
      <c r="AJ1" s="934" t="s">
        <v>332</v>
      </c>
      <c r="AK1" s="934" t="s">
        <v>534</v>
      </c>
      <c r="AL1" s="934" t="s">
        <v>535</v>
      </c>
      <c r="AM1" s="934" t="s">
        <v>536</v>
      </c>
      <c r="AN1" s="934" t="s">
        <v>537</v>
      </c>
      <c r="AO1" s="934" t="s">
        <v>337</v>
      </c>
      <c r="AP1" s="934" t="s">
        <v>538</v>
      </c>
      <c r="AQ1" s="934" t="s">
        <v>539</v>
      </c>
      <c r="AR1" s="934" t="s">
        <v>540</v>
      </c>
      <c r="AS1" s="934" t="s">
        <v>541</v>
      </c>
      <c r="AT1" s="934" t="s">
        <v>35</v>
      </c>
      <c r="AU1" s="934" t="s">
        <v>36</v>
      </c>
      <c r="AV1" s="934" t="s">
        <v>37</v>
      </c>
      <c r="AW1" s="934" t="s">
        <v>38</v>
      </c>
      <c r="AX1" s="934" t="s">
        <v>39</v>
      </c>
      <c r="AY1" s="934" t="s">
        <v>542</v>
      </c>
      <c r="AZ1" s="934" t="s">
        <v>543</v>
      </c>
      <c r="BA1" s="934" t="s">
        <v>349</v>
      </c>
      <c r="BB1" s="934" t="s">
        <v>40</v>
      </c>
      <c r="BC1" s="934" t="s">
        <v>350</v>
      </c>
      <c r="BD1" s="934" t="s">
        <v>41</v>
      </c>
      <c r="BE1" s="934" t="s">
        <v>351</v>
      </c>
      <c r="BF1" s="934" t="s">
        <v>352</v>
      </c>
      <c r="BG1" s="934" t="s">
        <v>544</v>
      </c>
    </row>
    <row r="2">
      <c r="A2" s="935" t="s">
        <v>166</v>
      </c>
      <c r="B2" s="16" t="str">
        <f>IF(C2&lt;'PlayerGrades+'!$Y$44,"F-",IF(C2&lt;'PlayerGrades+'!$Y$43,"F",IF(C2&lt;'PlayerGrades+'!$Y$42,"F+",IF(C2&lt;'PlayerGrades+'!$Y$41,"E-",IF(C2&lt;'PlayerGrades+'!$Y$40,"E",IF(C2&lt;'PlayerGrades+'!$Y$39,"E+",IF(C2&lt;'PlayerGrades+'!$Y$38,"D-",IF(C2&lt;'PlayerGrades+'!$Y$37,"D",IF(C2&lt;'PlayerGrades+'!$Y$36,"D+",IF(C2&lt;'PlayerGrades+'!$Y$35,"C-",IF(C2&lt;'PlayerGrades+'!$Y$34,"C",IF(C2&lt;'PlayerGrades+'!$Y$33,"C+",IF(C2&lt;'PlayerGrades+'!$Y$32,"B-",IF(C2&lt;'PlayerGrades+'!$Y$31,"B",IF(C2&lt;'PlayerGrades+'!$Y$30,"B+",IF(C2&lt;'PlayerGrades+'!$Y$29,"A-",IF(C2&lt;'PlayerGrades+'!$Y$28,"A",IF(C2&lt;'PlayerGrades+'!$Y$27,"A+",IF(C2&lt;'PlayerGrades+'!$Y$26,"S-",IF(C2&lt;'PlayerGrades+'!$Y$25,"S","S+"))))))))))))))))))))</f>
        <v>F-</v>
      </c>
      <c r="C2" s="936">
        <f>('PlayerGrades+'!$Y$47*(VLOOKUP(E2, 'PlayerGrades+'!$X$3:$Y$23, 2, FALSE)))+('PlayerGrades+'!$Y$48*(VLOOKUP(G2, 'PlayerGrades+'!$X$3:$Y$23, 2, FALSE)))+('PlayerGrades+'!$Y$49*(VLOOKUP(I2, 'PlayerGrades+'!$X$3:$Y$23, 2, FALSE)))+('PlayerGrades+'!$Y$50*(VLOOKUP(K2, 'PlayerGrades+'!$X$3:$Y$23, 2, FALSE)))+('PlayerGrades+'!$Y$51*(VLOOKUP(M2, 'PlayerGrades+'!$X$3:$Y$23, 2, FALSE)))+('PlayerGrades+'!$Y$52*(VLOOKUP(O2, 'PlayerGrades+'!$X$3:$Y$23, 2, FALSE)))+('PlayerGrades+'!$Y$53*(VLOOKUP(Q2, 'PlayerGrades+'!$X$3:$Y$23, 2, FALSE)))+('PlayerGrades+'!$Y$54*(VLOOKUP(S2, 'PlayerGrades+'!$X$3:$Y$23, 2, FALSE)))+('PlayerGrades+'!$Y$55*(VLOOKUP(U2, 'PlayerGrades+'!$X$3:$Y$23, 2, FALSE)))</f>
        <v>7.85</v>
      </c>
      <c r="D2" s="937">
        <f t="shared" ref="D2:D705" si="1">(Y2+Z2)/(AH2/60)</f>
        <v>0</v>
      </c>
      <c r="E2" s="937" t="str">
        <f>IF(D2&lt;'PlayerGrades+'!$AA$21,"F-",IF(D2&lt;'PlayerGrades+'!$AA$20,"F",IF(D2&lt;'PlayerGrades+'!$AA$19,"F+",IF(D2&lt;'PlayerGrades+'!$AA$18,"E-",IF(D2&lt;'PlayerGrades+'!$AA$17,"E",IF(D2&lt;'PlayerGrades+'!$AA$16,"E+",IF(D2&lt;'PlayerGrades+'!$AA$15,"D-",IF(D2&lt;'PlayerGrades+'!$AA$14,"D",IF(D2&lt;'PlayerGrades+'!$AA$13,"D+",IF(D2&lt;'PlayerGrades+'!$AA$12,"C-",IF(D2&lt;'PlayerGrades+'!$AA$11,"C",IF(D2&lt;'PlayerGrades+'!$AA$10,"C+",IF(D2&lt;'PlayerGrades+'!$AA$9,"B-",IF(D2&lt;'PlayerGrades+'!$AA$8,"B",IF(D2&lt;'PlayerGrades+'!$AA$7,"B+",IF(D2&lt;'PlayerGrades+'!$AA$6,"A-",IF(D2&lt;'PlayerGrades+'!$AA$5,"A",IF(D2&lt;'PlayerGrades+'!$AA$4,"A+",IF(D2&lt;'PlayerGrades+'!$AA$3,"S-",IF(D2&lt;'PlayerGrades+'!$AA$2,"S","S+"))))))))))))))))))))</f>
        <v>F-</v>
      </c>
      <c r="F2" s="937">
        <f t="shared" ref="F2:F705" si="2">(AC2)/(AH2/60)</f>
        <v>-2.425409047</v>
      </c>
      <c r="G2" s="937" t="str">
        <f>IF(F2&lt;'PlayerGrades+'!$AB$21,"F-",IF(F2&lt;'PlayerGrades+'!$AB$20,"F",IF(F2&lt;'PlayerGrades+'!$AB$19,"F+",IF(F2&lt;'PlayerGrades+'!$AB$18,"E-",IF(F2&lt;'PlayerGrades+'!$AB$17,"E",IF(F2&lt;'PlayerGrades+'!$AB$16,"E+",IF(F2&lt;'PlayerGrades+'!$AB$15,"D-",IF(F2&lt;'PlayerGrades+'!$AB$14,"D",IF(F2&lt;'PlayerGrades+'!$AB$13,"D+",IF(F2&lt;'PlayerGrades+'!$AB$12,"C-",IF(F2&lt;'PlayerGrades+'!$AB$11,"C",IF(F2&lt;'PlayerGrades+'!$AB$10,"C+",IF(F2&lt;'PlayerGrades+'!$AB$9,"B-",IF(F2&lt;'PlayerGrades+'!$AB$8,"B",IF(F2&lt;'PlayerGrades+'!$AB$7,"B+",IF(F2&lt;'PlayerGrades+'!$AB$6,"A-",IF(F2&lt;'PlayerGrades+'!$AB$5,"A",IF(F2&lt;'PlayerGrades+'!$AB$4,"A+",IF(F2&lt;'PlayerGrades+'!$AB$3,"S-",IF(F2&lt;'PlayerGrades+'!$AB$2,"S","S+"))))))))))))))))))))</f>
        <v>F-</v>
      </c>
      <c r="H2" s="937">
        <f t="shared" ref="H2:H705" si="3">(BB2)/(AH2/60)</f>
        <v>0.1732435034</v>
      </c>
      <c r="I2" s="937" t="str">
        <f>IF(H2&lt;'PlayerGrades+'!$AC$21,"F-",IF(H2&lt;'PlayerGrades+'!$AC$20,"F",IF(H2&lt;'PlayerGrades+'!$AC$19,"F+",IF(H2&lt;'PlayerGrades+'!$AC$18,"E-",IF(H2&lt;'PlayerGrades+'!$AC$17,"E",IF(H2&lt;'PlayerGrades+'!$AC$16,"E+",IF(H2&lt;'PlayerGrades+'!$AC$15,"D-",IF(H2&lt;'PlayerGrades+'!$AC$14,"D",IF(H2&lt;'PlayerGrades+'!$AC$13,"D+",IF(H2&lt;'PlayerGrades+'!$AC$12,"C-",IF(H2&lt;'PlayerGrades+'!$AC$11,"C",IF(H2&lt;'PlayerGrades+'!$AC$10,"C+",IF(H2&lt;'PlayerGrades+'!$AC$9,"B-",IF(H2&lt;'PlayerGrades+'!$AC$8,"B",IF(H2&lt;'PlayerGrades+'!$AC$7,"B+",IF(H2&lt;'PlayerGrades+'!$AC$6,"A-",IF(H2&lt;'PlayerGrades+'!$AC$5,"A",IF(H2&lt;'PlayerGrades+'!$AC$4,"A+",IF(H2&lt;'PlayerGrades+'!$AC$3,"S-",IF(H2&lt;'PlayerGrades+'!$AC$2,"S","S+"))))))))))))))))))))</f>
        <v>S-</v>
      </c>
      <c r="J2" s="937">
        <f t="shared" ref="J2:J705" si="4">(AL2)/(AH2/60)</f>
        <v>0</v>
      </c>
      <c r="K2" s="937" t="str">
        <f>IF(J2&lt;'PlayerGrades+'!$AD$21,"F-",IF(J2&lt;'PlayerGrades+'!$AD$20,"F",IF(J2&lt;'PlayerGrades+'!$AD$19,"F+",IF(J2&lt;'PlayerGrades+'!$AD$18,"E-",IF(J2&lt;'PlayerGrades+'!$AD$17,"E",IF(J2&lt;'PlayerGrades+'!$AD$16,"E+",IF(J2&lt;'PlayerGrades+'!$AD$15,"D-",IF(J2&lt;'PlayerGrades+'!$AD$14,"D",IF(J2&lt;'PlayerGrades+'!$AD$13,"D+",IF(J2&lt;'PlayerGrades+'!$AD$12,"C-",IF(J2&lt;'PlayerGrades+'!$AD$11,"C",IF(J2&lt;'PlayerGrades+'!$AD$10,"C+",IF(J2&lt;'PlayerGrades+'!$AD$9,"B-",IF(J2&lt;'PlayerGrades+'!$AD$8,"B",IF(J2&lt;'PlayerGrades+'!$AD$7,"B+",IF(J2&lt;'PlayerGrades+'!$AD$6,"A-",IF(J2&lt;'PlayerGrades+'!$AD$5,"A",IF(J2&lt;'PlayerGrades+'!$AD$4,"A+",IF(J2&lt;'PlayerGrades+'!$AD$3,"S-",IF(J2&lt;'PlayerGrades+'!$AD$2,"S","S+"))))))))))))))))))))</f>
        <v>F-</v>
      </c>
      <c r="L2" s="677">
        <f t="shared" ref="L2:L705" si="5">(AR2)/(AH2/60)</f>
        <v>0.05774783446</v>
      </c>
      <c r="M2" s="938" t="str">
        <f>IF(L2&lt;'PlayerGrades+'!$AE$21,"F-",IF(L2&lt;'PlayerGrades+'!$AE$20,"F",IF(L2&lt;'PlayerGrades+'!$AE$19,"F+",IF(L2&lt;'PlayerGrades+'!$AE$18,"E-",IF(L2&lt;'PlayerGrades+'!$AE$17,"E",IF(L2&lt;'PlayerGrades+'!$AE$16,"E+",IF(L2&lt;'PlayerGrades+'!$AE$15,"D-",IF(L2&lt;'PlayerGrades+'!$AE$14,"D",IF(L2&lt;'PlayerGrades+'!$AE$13,"D+",IF(L2&lt;'PlayerGrades+'!$AE$12,"C-",IF(L2&lt;'PlayerGrades+'!$AE$11,"C",IF(L2&lt;'PlayerGrades+'!$AE$10,"C+",IF(L2&lt;'PlayerGrades+'!$AE$9,"B-",IF(L2&lt;'PlayerGrades+'!$AE$8,"B",IF(L2&lt;'PlayerGrades+'!$AE$7,"B+",IF(L2&lt;'PlayerGrades+'!$AE$6,"A-",IF(L2&lt;'PlayerGrades+'!$AE$5,"A",IF(L2&lt;'PlayerGrades+'!$AE$4,"A+",IF(L2&lt;'PlayerGrades+'!$AE$3,"S-",IF(L2&lt;'PlayerGrades+'!$AE$2,"S","S+"))))))))))))))))))))</f>
        <v>F-</v>
      </c>
      <c r="N2" s="937">
        <f t="shared" ref="N2:N705" si="6">(AS2)/(AH2/60)</f>
        <v>0</v>
      </c>
      <c r="O2" s="937" t="str">
        <f>IF(N2&lt;'PlayerGrades+'!$AF$21,"F-",IF(N2&lt;'PlayerGrades+'!$AF$20,"F",IF(N2&lt;'PlayerGrades+'!$AF$19,"F+",IF(N2&lt;'PlayerGrades+'!$AF$18,"E-",IF(N2&lt;'PlayerGrades+'!$AF$17,"E",IF(N2&lt;'PlayerGrades+'!$AF$16,"E+",IF(N2&lt;'PlayerGrades+'!$AF$15,"D-",IF(N2&lt;'PlayerGrades+'!$AF$14,"D",IF(N2&lt;'PlayerGrades+'!$AF$13,"D+",IF(N2&lt;'PlayerGrades+'!$AF$12,"C-",IF(N2&lt;'PlayerGrades+'!$AF$11,"C",IF(N2&lt;'PlayerGrades+'!$AF$10,"C+",IF(N2&lt;'PlayerGrades+'!$AF$9,"B-",IF(N2&lt;'PlayerGrades+'!$AF$8,"B",IF(N2&lt;'PlayerGrades+'!$AF$7,"B+",IF(N2&lt;'PlayerGrades+'!$AF$6,"A-",IF(N2&lt;'PlayerGrades+'!$AF$5,"A",IF(N2&lt;'PlayerGrades+'!$AF$4,"A+",IF(N2&lt;'PlayerGrades+'!$AF$3,"S-",IF(N2&lt;'PlayerGrades+'!$AF$2,"S","S+"))))))))))))))))))))</f>
        <v>F-</v>
      </c>
      <c r="P2" s="937">
        <f t="shared" ref="P2:P705" si="7">(AP2)/(AH2/60)</f>
        <v>0</v>
      </c>
      <c r="Q2" s="937" t="str">
        <f>IF(P2&lt;'PlayerGrades+'!$AG$21,"F-",IF(P2&lt;'PlayerGrades+'!$AG$20,"F",IF(P2&lt;'PlayerGrades+'!$AG$19,"F+",IF(P2&lt;'PlayerGrades+'!$AG$18,"E-",IF(P2&lt;'PlayerGrades+'!$AG$17,"E",IF(P2&lt;'PlayerGrades+'!$AG$16,"E+",IF(P2&lt;'PlayerGrades+'!$AG$15,"D-",IF(P2&lt;'PlayerGrades+'!$AG$14,"D",IF(P2&lt;'PlayerGrades+'!$AG$13,"D+",IF(P2&lt;'PlayerGrades+'!$AG$12,"C-",IF(P2&lt;'PlayerGrades+'!$AG$11,"C",IF(P2&lt;'PlayerGrades+'!$AG$10,"C+",IF(P2&lt;'PlayerGrades+'!$AG$9,"B-",IF(P2&lt;'PlayerGrades+'!$AG$8,"B",IF(P2&lt;'PlayerGrades+'!$AG$7,"B+",IF(P2&lt;'PlayerGrades+'!$AG$6,"A-",IF(P2&lt;'PlayerGrades+'!$AG$5,"A",IF(P2&lt;'PlayerGrades+'!$AG$4,"A+",IF(P2&lt;'PlayerGrades+'!$AG$3,"S-",IF(P2&lt;'PlayerGrades+'!$AG$2,"S","S+"))))))))))))))))))))</f>
        <v>F</v>
      </c>
      <c r="R2" s="937">
        <f t="shared" ref="R2:R705" si="8">(BD2+AD2)/(AH2/60)</f>
        <v>0.4619826756</v>
      </c>
      <c r="S2" s="937" t="str">
        <f>IF(R2&lt;'PlayerGrades+'!$AH$21,"F-",IF(R2&lt;'PlayerGrades+'!$AH$20,"F",IF(R2&lt;'PlayerGrades+'!$AH$19,"F+",IF(R2&lt;'PlayerGrades+'!$AH$18,"E-",IF(R2&lt;'PlayerGrades+'!$AH$17,"E",IF(R2&lt;'PlayerGrades+'!$AH$16,"E+",IF(R2&lt;'PlayerGrades+'!$AH$15,"D-",IF(R2&lt;'PlayerGrades+'!$AH$14,"D",IF(R2&lt;'PlayerGrades+'!$AH$13,"D+",IF(R2&lt;'PlayerGrades+'!$AH$12,"C-",IF(R2&lt;'PlayerGrades+'!$AH$11,"C",IF(R2&lt;'PlayerGrades+'!$AH$10,"C+",IF(R2&lt;'PlayerGrades+'!$AH$9,"B-",IF(R2&lt;'PlayerGrades+'!$AH$8,"B",IF(R2&lt;'PlayerGrades+'!$AH$7,"B+",IF(R2&lt;'PlayerGrades+'!$AH$6,"A-",IF(R2&lt;'PlayerGrades+'!$AH$5,"A",IF(R2&lt;'PlayerGrades+'!$AH$4,"A+",IF(R2&lt;'PlayerGrades+'!$AH$3,"S-",IF(R2&lt;'PlayerGrades+'!$AH$2,"S","S+"))))))))))))))))))))</f>
        <v>E-</v>
      </c>
      <c r="T2" s="937">
        <f t="shared" ref="T2:T705" si="9">(BF2+AQ2)+(BE2/(AH2/60))</f>
        <v>0.4042348412</v>
      </c>
      <c r="U2" s="937" t="str">
        <f>IF(T2&lt;'PlayerGrades+'!$AI$21,"F-",IF(T2&lt;'PlayerGrades+'!$AI$20,"F",IF(T2&lt;'PlayerGrades+'!$AI$19,"F+",IF(T2&lt;'PlayerGrades+'!$AI$18,"E-",IF(T2&lt;'PlayerGrades+'!$AI$17,"E",IF(T2&lt;'PlayerGrades+'!$AI$16,"E+",IF(T2&lt;'PlayerGrades+'!$AI$15,"D-",IF(T2&lt;'PlayerGrades+'!$AI$14,"D",IF(T2&lt;'PlayerGrades+'!$AI$13,"D+",IF(T2&lt;'PlayerGrades+'!$AI$12,"C-",IF(T2&lt;'PlayerGrades+'!$AI$11,"C",IF(T2&lt;'PlayerGrades+'!$AI$10,"C+",IF(T2&lt;'PlayerGrades+'!$AI$9,"B-",IF(T2&lt;'PlayerGrades+'!$AI$8,"B",IF(T2&lt;'PlayerGrades+'!$AI$7,"B+",IF(T2&lt;'PlayerGrades+'!$AI$6,"A-",IF(T2&lt;'PlayerGrades+'!$AI$5,"A",IF(T2&lt;'PlayerGrades+'!$AI$4,"A+",IF(T2&lt;'PlayerGrades+'!$AI$3,"S-",IF(T2&lt;'PlayerGrades+'!$AI$2,"S","S+"))))))))))))))))))))</f>
        <v>F-</v>
      </c>
      <c r="V2" s="939">
        <v>1.0</v>
      </c>
      <c r="W2" s="939">
        <v>0.0</v>
      </c>
      <c r="X2" s="939">
        <v>1.0</v>
      </c>
      <c r="Y2" s="939">
        <v>0.0</v>
      </c>
      <c r="Z2" s="939">
        <v>0.0</v>
      </c>
      <c r="AA2" s="939">
        <v>35.0</v>
      </c>
      <c r="AB2" s="939">
        <v>77.0</v>
      </c>
      <c r="AC2" s="939">
        <v>-42.0</v>
      </c>
      <c r="AD2" s="939">
        <v>4.0</v>
      </c>
      <c r="AE2" s="939">
        <v>2.0</v>
      </c>
      <c r="AF2" s="939">
        <v>0.0</v>
      </c>
      <c r="AG2" s="939">
        <v>748.0</v>
      </c>
      <c r="AH2" s="939">
        <v>1039.0</v>
      </c>
      <c r="AI2" s="939">
        <v>9.0</v>
      </c>
      <c r="AJ2" s="939">
        <v>0.0</v>
      </c>
      <c r="AK2" s="939">
        <v>0.0</v>
      </c>
      <c r="AL2" s="939">
        <v>0.0</v>
      </c>
      <c r="AM2" s="939">
        <v>0.0</v>
      </c>
      <c r="AN2" s="939">
        <v>0.0</v>
      </c>
      <c r="AO2" s="939">
        <v>0.0</v>
      </c>
      <c r="AP2" s="939">
        <v>0.0</v>
      </c>
      <c r="AQ2" s="939">
        <v>0.0</v>
      </c>
      <c r="AR2" s="939">
        <v>1.0</v>
      </c>
      <c r="AS2" s="939">
        <v>0.0</v>
      </c>
      <c r="AT2" s="939">
        <v>0.0</v>
      </c>
      <c r="AU2" s="939">
        <v>0.0</v>
      </c>
      <c r="AV2" s="939">
        <v>0.0</v>
      </c>
      <c r="AW2" s="939">
        <v>0.0</v>
      </c>
      <c r="AX2" s="939">
        <v>0.0</v>
      </c>
      <c r="AY2" s="939">
        <v>0.0</v>
      </c>
      <c r="AZ2" s="939">
        <v>0.0</v>
      </c>
      <c r="BA2" s="939">
        <v>0.0</v>
      </c>
      <c r="BB2" s="939">
        <v>3.0</v>
      </c>
      <c r="BC2" s="895">
        <v>0.0</v>
      </c>
      <c r="BD2" s="939">
        <v>4.0</v>
      </c>
      <c r="BE2" s="940">
        <v>7.0</v>
      </c>
      <c r="BF2" s="941">
        <v>0.0</v>
      </c>
      <c r="BG2" s="941">
        <v>1.0</v>
      </c>
    </row>
    <row r="3">
      <c r="A3" s="935" t="s">
        <v>123</v>
      </c>
      <c r="B3" s="16" t="str">
        <f>IF(C3&lt;'PlayerGrades+'!$Y$44,"F-",IF(C3&lt;'PlayerGrades+'!$Y$43,"F",IF(C3&lt;'PlayerGrades+'!$Y$42,"F+",IF(C3&lt;'PlayerGrades+'!$Y$41,"E-",IF(C3&lt;'PlayerGrades+'!$Y$40,"E",IF(C3&lt;'PlayerGrades+'!$Y$39,"E+",IF(C3&lt;'PlayerGrades+'!$Y$38,"D-",IF(C3&lt;'PlayerGrades+'!$Y$37,"D",IF(C3&lt;'PlayerGrades+'!$Y$36,"D+",IF(C3&lt;'PlayerGrades+'!$Y$35,"C-",IF(C3&lt;'PlayerGrades+'!$Y$34,"C",IF(C3&lt;'PlayerGrades+'!$Y$33,"C+",IF(C3&lt;'PlayerGrades+'!$Y$32,"B-",IF(C3&lt;'PlayerGrades+'!$Y$31,"B",IF(C3&lt;'PlayerGrades+'!$Y$30,"B+",IF(C3&lt;'PlayerGrades+'!$Y$29,"A-",IF(C3&lt;'PlayerGrades+'!$Y$28,"A",IF(C3&lt;'PlayerGrades+'!$Y$27,"A+",IF(C3&lt;'PlayerGrades+'!$Y$26,"S-",IF(C3&lt;'PlayerGrades+'!$Y$25,"S","S+"))))))))))))))))))))</f>
        <v>C+</v>
      </c>
      <c r="C3" s="936">
        <f>('PlayerGrades+'!$Y$47*(VLOOKUP(E3, 'PlayerGrades+'!$X$3:$Y$23, 2, FALSE)))+('PlayerGrades+'!$Y$48*(VLOOKUP(G3, 'PlayerGrades+'!$X$3:$Y$23, 2, FALSE)))+('PlayerGrades+'!$Y$49*(VLOOKUP(I3, 'PlayerGrades+'!$X$3:$Y$23, 2, FALSE)))+('PlayerGrades+'!$Y$50*(VLOOKUP(K3, 'PlayerGrades+'!$X$3:$Y$23, 2, FALSE)))+('PlayerGrades+'!$Y$51*(VLOOKUP(M3, 'PlayerGrades+'!$X$3:$Y$23, 2, FALSE)))+('PlayerGrades+'!$Y$52*(VLOOKUP(O3, 'PlayerGrades+'!$X$3:$Y$23, 2, FALSE)))+('PlayerGrades+'!$Y$53*(VLOOKUP(Q3, 'PlayerGrades+'!$X$3:$Y$23, 2, FALSE)))+('PlayerGrades+'!$Y$54*(VLOOKUP(S3, 'PlayerGrades+'!$X$3:$Y$23, 2, FALSE)))+('PlayerGrades+'!$Y$55*(VLOOKUP(U3, 'PlayerGrades+'!$X$3:$Y$23, 2, FALSE)))</f>
        <v>21.5</v>
      </c>
      <c r="D3" s="937">
        <f t="shared" si="1"/>
        <v>0.7507218479</v>
      </c>
      <c r="E3" s="937" t="str">
        <f>IF(D3&lt;'PlayerGrades+'!$AA$21,"F-",IF(D3&lt;'PlayerGrades+'!$AA$20,"F",IF(D3&lt;'PlayerGrades+'!$AA$19,"F+",IF(D3&lt;'PlayerGrades+'!$AA$18,"E-",IF(D3&lt;'PlayerGrades+'!$AA$17,"E",IF(D3&lt;'PlayerGrades+'!$AA$16,"E+",IF(D3&lt;'PlayerGrades+'!$AA$15,"D-",IF(D3&lt;'PlayerGrades+'!$AA$14,"D",IF(D3&lt;'PlayerGrades+'!$AA$13,"D+",IF(D3&lt;'PlayerGrades+'!$AA$12,"C-",IF(D3&lt;'PlayerGrades+'!$AA$11,"C",IF(D3&lt;'PlayerGrades+'!$AA$10,"C+",IF(D3&lt;'PlayerGrades+'!$AA$9,"B-",IF(D3&lt;'PlayerGrades+'!$AA$8,"B",IF(D3&lt;'PlayerGrades+'!$AA$7,"B+",IF(D3&lt;'PlayerGrades+'!$AA$6,"A-",IF(D3&lt;'PlayerGrades+'!$AA$5,"A",IF(D3&lt;'PlayerGrades+'!$AA$4,"A+",IF(D3&lt;'PlayerGrades+'!$AA$3,"S-",IF(D3&lt;'PlayerGrades+'!$AA$2,"S","S+"))))))))))))))))))))</f>
        <v>S</v>
      </c>
      <c r="F3" s="937">
        <f t="shared" si="2"/>
        <v>1.097208855</v>
      </c>
      <c r="G3" s="937" t="str">
        <f>IF(F3&lt;'PlayerGrades+'!$AB$21,"F-",IF(F3&lt;'PlayerGrades+'!$AB$20,"F",IF(F3&lt;'PlayerGrades+'!$AB$19,"F+",IF(F3&lt;'PlayerGrades+'!$AB$18,"E-",IF(F3&lt;'PlayerGrades+'!$AB$17,"E",IF(F3&lt;'PlayerGrades+'!$AB$16,"E+",IF(F3&lt;'PlayerGrades+'!$AB$15,"D-",IF(F3&lt;'PlayerGrades+'!$AB$14,"D",IF(F3&lt;'PlayerGrades+'!$AB$13,"D+",IF(F3&lt;'PlayerGrades+'!$AB$12,"C-",IF(F3&lt;'PlayerGrades+'!$AB$11,"C",IF(F3&lt;'PlayerGrades+'!$AB$10,"C+",IF(F3&lt;'PlayerGrades+'!$AB$9,"B-",IF(F3&lt;'PlayerGrades+'!$AB$8,"B",IF(F3&lt;'PlayerGrades+'!$AB$7,"B+",IF(F3&lt;'PlayerGrades+'!$AB$6,"A-",IF(F3&lt;'PlayerGrades+'!$AB$5,"A",IF(F3&lt;'PlayerGrades+'!$AB$4,"A+",IF(F3&lt;'PlayerGrades+'!$AB$3,"S-",IF(F3&lt;'PlayerGrades+'!$AB$2,"S","S+"))))))))))))))))))))</f>
        <v>S+</v>
      </c>
      <c r="H3" s="937">
        <f t="shared" si="3"/>
        <v>0.05774783446</v>
      </c>
      <c r="I3" s="937" t="str">
        <f>IF(H3&lt;'PlayerGrades+'!$AC$21,"F-",IF(H3&lt;'PlayerGrades+'!$AC$20,"F",IF(H3&lt;'PlayerGrades+'!$AC$19,"F+",IF(H3&lt;'PlayerGrades+'!$AC$18,"E-",IF(H3&lt;'PlayerGrades+'!$AC$17,"E",IF(H3&lt;'PlayerGrades+'!$AC$16,"E+",IF(H3&lt;'PlayerGrades+'!$AC$15,"D-",IF(H3&lt;'PlayerGrades+'!$AC$14,"D",IF(H3&lt;'PlayerGrades+'!$AC$13,"D+",IF(H3&lt;'PlayerGrades+'!$AC$12,"C-",IF(H3&lt;'PlayerGrades+'!$AC$11,"C",IF(H3&lt;'PlayerGrades+'!$AC$10,"C+",IF(H3&lt;'PlayerGrades+'!$AC$9,"B-",IF(H3&lt;'PlayerGrades+'!$AC$8,"B",IF(H3&lt;'PlayerGrades+'!$AC$7,"B+",IF(H3&lt;'PlayerGrades+'!$AC$6,"A-",IF(H3&lt;'PlayerGrades+'!$AC$5,"A",IF(H3&lt;'PlayerGrades+'!$AC$4,"A+",IF(H3&lt;'PlayerGrades+'!$AC$3,"S-",IF(H3&lt;'PlayerGrades+'!$AC$2,"S","S+"))))))))))))))))))))</f>
        <v>F+</v>
      </c>
      <c r="J3" s="937">
        <f t="shared" si="4"/>
        <v>0.1154956689</v>
      </c>
      <c r="K3" s="937" t="str">
        <f>IF(J3&lt;'PlayerGrades+'!$AD$21,"F-",IF(J3&lt;'PlayerGrades+'!$AD$20,"F",IF(J3&lt;'PlayerGrades+'!$AD$19,"F+",IF(J3&lt;'PlayerGrades+'!$AD$18,"E-",IF(J3&lt;'PlayerGrades+'!$AD$17,"E",IF(J3&lt;'PlayerGrades+'!$AD$16,"E+",IF(J3&lt;'PlayerGrades+'!$AD$15,"D-",IF(J3&lt;'PlayerGrades+'!$AD$14,"D",IF(J3&lt;'PlayerGrades+'!$AD$13,"D+",IF(J3&lt;'PlayerGrades+'!$AD$12,"C-",IF(J3&lt;'PlayerGrades+'!$AD$11,"C",IF(J3&lt;'PlayerGrades+'!$AD$10,"C+",IF(J3&lt;'PlayerGrades+'!$AD$9,"B-",IF(J3&lt;'PlayerGrades+'!$AD$8,"B",IF(J3&lt;'PlayerGrades+'!$AD$7,"B+",IF(J3&lt;'PlayerGrades+'!$AD$6,"A-",IF(J3&lt;'PlayerGrades+'!$AD$5,"A",IF(J3&lt;'PlayerGrades+'!$AD$4,"A+",IF(J3&lt;'PlayerGrades+'!$AD$3,"S-",IF(J3&lt;'PlayerGrades+'!$AD$2,"S","S+"))))))))))))))))))))</f>
        <v>S+</v>
      </c>
      <c r="L3" s="677">
        <f t="shared" si="5"/>
        <v>0.2887391723</v>
      </c>
      <c r="M3" s="938" t="str">
        <f>IF(L3&lt;'PlayerGrades+'!$AE$21,"F-",IF(L3&lt;'PlayerGrades+'!$AE$20,"F",IF(L3&lt;'PlayerGrades+'!$AE$19,"F+",IF(L3&lt;'PlayerGrades+'!$AE$18,"E-",IF(L3&lt;'PlayerGrades+'!$AE$17,"E",IF(L3&lt;'PlayerGrades+'!$AE$16,"E+",IF(L3&lt;'PlayerGrades+'!$AE$15,"D-",IF(L3&lt;'PlayerGrades+'!$AE$14,"D",IF(L3&lt;'PlayerGrades+'!$AE$13,"D+",IF(L3&lt;'PlayerGrades+'!$AE$12,"C-",IF(L3&lt;'PlayerGrades+'!$AE$11,"C",IF(L3&lt;'PlayerGrades+'!$AE$10,"C+",IF(L3&lt;'PlayerGrades+'!$AE$9,"B-",IF(L3&lt;'PlayerGrades+'!$AE$8,"B",IF(L3&lt;'PlayerGrades+'!$AE$7,"B+",IF(L3&lt;'PlayerGrades+'!$AE$6,"A-",IF(L3&lt;'PlayerGrades+'!$AE$5,"A",IF(L3&lt;'PlayerGrades+'!$AE$4,"A+",IF(L3&lt;'PlayerGrades+'!$AE$3,"S-",IF(L3&lt;'PlayerGrades+'!$AE$2,"S","S+"))))))))))))))))))))</f>
        <v>F+</v>
      </c>
      <c r="N3" s="937">
        <f t="shared" si="6"/>
        <v>0.05774783446</v>
      </c>
      <c r="O3" s="937" t="str">
        <f>IF(N3&lt;'PlayerGrades+'!$AF$21,"F-",IF(N3&lt;'PlayerGrades+'!$AF$20,"F",IF(N3&lt;'PlayerGrades+'!$AF$19,"F+",IF(N3&lt;'PlayerGrades+'!$AF$18,"E-",IF(N3&lt;'PlayerGrades+'!$AF$17,"E",IF(N3&lt;'PlayerGrades+'!$AF$16,"E+",IF(N3&lt;'PlayerGrades+'!$AF$15,"D-",IF(N3&lt;'PlayerGrades+'!$AF$14,"D",IF(N3&lt;'PlayerGrades+'!$AF$13,"D+",IF(N3&lt;'PlayerGrades+'!$AF$12,"C-",IF(N3&lt;'PlayerGrades+'!$AF$11,"C",IF(N3&lt;'PlayerGrades+'!$AF$10,"C+",IF(N3&lt;'PlayerGrades+'!$AF$9,"B-",IF(N3&lt;'PlayerGrades+'!$AF$8,"B",IF(N3&lt;'PlayerGrades+'!$AF$7,"B+",IF(N3&lt;'PlayerGrades+'!$AF$6,"A-",IF(N3&lt;'PlayerGrades+'!$AF$5,"A",IF(N3&lt;'PlayerGrades+'!$AF$4,"A+",IF(N3&lt;'PlayerGrades+'!$AF$3,"S-",IF(N3&lt;'PlayerGrades+'!$AF$2,"S","S+"))))))))))))))))))))</f>
        <v>D+</v>
      </c>
      <c r="P3" s="937">
        <f t="shared" si="7"/>
        <v>0</v>
      </c>
      <c r="Q3" s="937" t="str">
        <f>IF(P3&lt;'PlayerGrades+'!$AG$21,"F-",IF(P3&lt;'PlayerGrades+'!$AG$20,"F",IF(P3&lt;'PlayerGrades+'!$AG$19,"F+",IF(P3&lt;'PlayerGrades+'!$AG$18,"E-",IF(P3&lt;'PlayerGrades+'!$AG$17,"E",IF(P3&lt;'PlayerGrades+'!$AG$16,"E+",IF(P3&lt;'PlayerGrades+'!$AG$15,"D-",IF(P3&lt;'PlayerGrades+'!$AG$14,"D",IF(P3&lt;'PlayerGrades+'!$AG$13,"D+",IF(P3&lt;'PlayerGrades+'!$AG$12,"C-",IF(P3&lt;'PlayerGrades+'!$AG$11,"C",IF(P3&lt;'PlayerGrades+'!$AG$10,"C+",IF(P3&lt;'PlayerGrades+'!$AG$9,"B-",IF(P3&lt;'PlayerGrades+'!$AG$8,"B",IF(P3&lt;'PlayerGrades+'!$AG$7,"B+",IF(P3&lt;'PlayerGrades+'!$AG$6,"A-",IF(P3&lt;'PlayerGrades+'!$AG$5,"A",IF(P3&lt;'PlayerGrades+'!$AG$4,"A+",IF(P3&lt;'PlayerGrades+'!$AG$3,"S-",IF(P3&lt;'PlayerGrades+'!$AG$2,"S","S+"))))))))))))))))))))</f>
        <v>F</v>
      </c>
      <c r="R3" s="937">
        <f t="shared" si="8"/>
        <v>0.5197305101</v>
      </c>
      <c r="S3" s="937" t="str">
        <f>IF(R3&lt;'PlayerGrades+'!$AH$21,"F-",IF(R3&lt;'PlayerGrades+'!$AH$20,"F",IF(R3&lt;'PlayerGrades+'!$AH$19,"F+",IF(R3&lt;'PlayerGrades+'!$AH$18,"E-",IF(R3&lt;'PlayerGrades+'!$AH$17,"E",IF(R3&lt;'PlayerGrades+'!$AH$16,"E+",IF(R3&lt;'PlayerGrades+'!$AH$15,"D-",IF(R3&lt;'PlayerGrades+'!$AH$14,"D",IF(R3&lt;'PlayerGrades+'!$AH$13,"D+",IF(R3&lt;'PlayerGrades+'!$AH$12,"C-",IF(R3&lt;'PlayerGrades+'!$AH$11,"C",IF(R3&lt;'PlayerGrades+'!$AH$10,"C+",IF(R3&lt;'PlayerGrades+'!$AH$9,"B-",IF(R3&lt;'PlayerGrades+'!$AH$8,"B",IF(R3&lt;'PlayerGrades+'!$AH$7,"B+",IF(R3&lt;'PlayerGrades+'!$AH$6,"A-",IF(R3&lt;'PlayerGrades+'!$AH$5,"A",IF(R3&lt;'PlayerGrades+'!$AH$4,"A+",IF(R3&lt;'PlayerGrades+'!$AH$3,"S-",IF(R3&lt;'PlayerGrades+'!$AH$2,"S","S+"))))))))))))))))))))</f>
        <v>D+</v>
      </c>
      <c r="T3" s="937">
        <f t="shared" si="9"/>
        <v>2.230991338</v>
      </c>
      <c r="U3" s="937" t="str">
        <f>IF(T3&lt;'PlayerGrades+'!$AI$21,"F-",IF(T3&lt;'PlayerGrades+'!$AI$20,"F",IF(T3&lt;'PlayerGrades+'!$AI$19,"F+",IF(T3&lt;'PlayerGrades+'!$AI$18,"E-",IF(T3&lt;'PlayerGrades+'!$AI$17,"E",IF(T3&lt;'PlayerGrades+'!$AI$16,"E+",IF(T3&lt;'PlayerGrades+'!$AI$15,"D-",IF(T3&lt;'PlayerGrades+'!$AI$14,"D",IF(T3&lt;'PlayerGrades+'!$AI$13,"D+",IF(T3&lt;'PlayerGrades+'!$AI$12,"C-",IF(T3&lt;'PlayerGrades+'!$AI$11,"C",IF(T3&lt;'PlayerGrades+'!$AI$10,"C+",IF(T3&lt;'PlayerGrades+'!$AI$9,"B-",IF(T3&lt;'PlayerGrades+'!$AI$8,"B",IF(T3&lt;'PlayerGrades+'!$AI$7,"B+",IF(T3&lt;'PlayerGrades+'!$AI$6,"A-",IF(T3&lt;'PlayerGrades+'!$AI$5,"A",IF(T3&lt;'PlayerGrades+'!$AI$4,"A+",IF(T3&lt;'PlayerGrades+'!$AI$3,"S-",IF(T3&lt;'PlayerGrades+'!$AI$2,"S","S+"))))))))))))))))))))</f>
        <v>S+</v>
      </c>
      <c r="V3" s="941">
        <v>1.0</v>
      </c>
      <c r="W3" s="941">
        <v>0.0</v>
      </c>
      <c r="X3" s="941">
        <v>1.0</v>
      </c>
      <c r="Y3" s="941">
        <v>0.0</v>
      </c>
      <c r="Z3" s="941">
        <v>13.0</v>
      </c>
      <c r="AA3" s="941">
        <v>57.0</v>
      </c>
      <c r="AB3" s="941">
        <v>38.0</v>
      </c>
      <c r="AC3" s="941">
        <v>19.0</v>
      </c>
      <c r="AD3" s="941">
        <v>0.0</v>
      </c>
      <c r="AE3" s="941">
        <v>10.0</v>
      </c>
      <c r="AF3" s="941">
        <v>2.0</v>
      </c>
      <c r="AG3" s="941">
        <v>863.0</v>
      </c>
      <c r="AH3" s="941">
        <v>1039.0</v>
      </c>
      <c r="AI3" s="941">
        <v>22.0</v>
      </c>
      <c r="AJ3" s="941">
        <v>413.0</v>
      </c>
      <c r="AK3" s="941">
        <v>0.0</v>
      </c>
      <c r="AL3" s="941">
        <v>2.0</v>
      </c>
      <c r="AM3" s="941">
        <v>1.0</v>
      </c>
      <c r="AN3" s="941">
        <v>0.0</v>
      </c>
      <c r="AO3" s="941">
        <v>0.0</v>
      </c>
      <c r="AP3" s="941">
        <v>0.0</v>
      </c>
      <c r="AQ3" s="941">
        <v>0.0</v>
      </c>
      <c r="AR3" s="941">
        <v>5.0</v>
      </c>
      <c r="AS3" s="941">
        <v>1.0</v>
      </c>
      <c r="AT3" s="941">
        <v>0.0</v>
      </c>
      <c r="AU3" s="941">
        <v>0.0</v>
      </c>
      <c r="AV3" s="941">
        <v>0.0</v>
      </c>
      <c r="AW3" s="941">
        <v>0.0</v>
      </c>
      <c r="AX3" s="941">
        <v>0.0</v>
      </c>
      <c r="AY3" s="941">
        <v>0.0</v>
      </c>
      <c r="AZ3" s="941">
        <v>0.0</v>
      </c>
      <c r="BA3" s="941">
        <v>0.0</v>
      </c>
      <c r="BB3" s="941">
        <v>1.0</v>
      </c>
      <c r="BC3" s="941">
        <v>0.0</v>
      </c>
      <c r="BD3" s="941">
        <v>9.0</v>
      </c>
      <c r="BE3" s="942">
        <v>4.0</v>
      </c>
      <c r="BF3" s="941">
        <v>2.0</v>
      </c>
      <c r="BG3" s="941">
        <v>1.0</v>
      </c>
    </row>
    <row r="4">
      <c r="A4" s="935" t="s">
        <v>145</v>
      </c>
      <c r="B4" s="16" t="str">
        <f>IF(C4&lt;'PlayerGrades+'!$Y$44,"F-",IF(C4&lt;'PlayerGrades+'!$Y$43,"F",IF(C4&lt;'PlayerGrades+'!$Y$42,"F+",IF(C4&lt;'PlayerGrades+'!$Y$41,"E-",IF(C4&lt;'PlayerGrades+'!$Y$40,"E",IF(C4&lt;'PlayerGrades+'!$Y$39,"E+",IF(C4&lt;'PlayerGrades+'!$Y$38,"D-",IF(C4&lt;'PlayerGrades+'!$Y$37,"D",IF(C4&lt;'PlayerGrades+'!$Y$36,"D+",IF(C4&lt;'PlayerGrades+'!$Y$35,"C-",IF(C4&lt;'PlayerGrades+'!$Y$34,"C",IF(C4&lt;'PlayerGrades+'!$Y$33,"C+",IF(C4&lt;'PlayerGrades+'!$Y$32,"B-",IF(C4&lt;'PlayerGrades+'!$Y$31,"B",IF(C4&lt;'PlayerGrades+'!$Y$30,"B+",IF(C4&lt;'PlayerGrades+'!$Y$29,"A-",IF(C4&lt;'PlayerGrades+'!$Y$28,"A",IF(C4&lt;'PlayerGrades+'!$Y$27,"A+",IF(C4&lt;'PlayerGrades+'!$Y$26,"S-",IF(C4&lt;'PlayerGrades+'!$Y$25,"S","S+"))))))))))))))))))))</f>
        <v>F+</v>
      </c>
      <c r="C4" s="936">
        <f>('PlayerGrades+'!$Y$47*(VLOOKUP(E4, 'PlayerGrades+'!$X$3:$Y$23, 2, FALSE)))+('PlayerGrades+'!$Y$48*(VLOOKUP(G4, 'PlayerGrades+'!$X$3:$Y$23, 2, FALSE)))+('PlayerGrades+'!$Y$49*(VLOOKUP(I4, 'PlayerGrades+'!$X$3:$Y$23, 2, FALSE)))+('PlayerGrades+'!$Y$50*(VLOOKUP(K4, 'PlayerGrades+'!$X$3:$Y$23, 2, FALSE)))+('PlayerGrades+'!$Y$51*(VLOOKUP(M4, 'PlayerGrades+'!$X$3:$Y$23, 2, FALSE)))+('PlayerGrades+'!$Y$52*(VLOOKUP(O4, 'PlayerGrades+'!$X$3:$Y$23, 2, FALSE)))+('PlayerGrades+'!$Y$53*(VLOOKUP(Q4, 'PlayerGrades+'!$X$3:$Y$23, 2, FALSE)))+('PlayerGrades+'!$Y$54*(VLOOKUP(S4, 'PlayerGrades+'!$X$3:$Y$23, 2, FALSE)))+('PlayerGrades+'!$Y$55*(VLOOKUP(U4, 'PlayerGrades+'!$X$3:$Y$23, 2, FALSE)))</f>
        <v>10.3</v>
      </c>
      <c r="D4" s="937">
        <f t="shared" si="1"/>
        <v>0.05774783446</v>
      </c>
      <c r="E4" s="937" t="str">
        <f>IF(D4&lt;'PlayerGrades+'!$AA$21,"F-",IF(D4&lt;'PlayerGrades+'!$AA$20,"F",IF(D4&lt;'PlayerGrades+'!$AA$19,"F+",IF(D4&lt;'PlayerGrades+'!$AA$18,"E-",IF(D4&lt;'PlayerGrades+'!$AA$17,"E",IF(D4&lt;'PlayerGrades+'!$AA$16,"E+",IF(D4&lt;'PlayerGrades+'!$AA$15,"D-",IF(D4&lt;'PlayerGrades+'!$AA$14,"D",IF(D4&lt;'PlayerGrades+'!$AA$13,"D+",IF(D4&lt;'PlayerGrades+'!$AA$12,"C-",IF(D4&lt;'PlayerGrades+'!$AA$11,"C",IF(D4&lt;'PlayerGrades+'!$AA$10,"C+",IF(D4&lt;'PlayerGrades+'!$AA$9,"B-",IF(D4&lt;'PlayerGrades+'!$AA$8,"B",IF(D4&lt;'PlayerGrades+'!$AA$7,"B+",IF(D4&lt;'PlayerGrades+'!$AA$6,"A-",IF(D4&lt;'PlayerGrades+'!$AA$5,"A",IF(D4&lt;'PlayerGrades+'!$AA$4,"A+",IF(D4&lt;'PlayerGrades+'!$AA$3,"S-",IF(D4&lt;'PlayerGrades+'!$AA$2,"S","S+"))))))))))))))))))))</f>
        <v>B-</v>
      </c>
      <c r="F4" s="937">
        <f t="shared" si="2"/>
        <v>-1.212704524</v>
      </c>
      <c r="G4" s="937" t="str">
        <f>IF(F4&lt;'PlayerGrades+'!$AB$21,"F-",IF(F4&lt;'PlayerGrades+'!$AB$20,"F",IF(F4&lt;'PlayerGrades+'!$AB$19,"F+",IF(F4&lt;'PlayerGrades+'!$AB$18,"E-",IF(F4&lt;'PlayerGrades+'!$AB$17,"E",IF(F4&lt;'PlayerGrades+'!$AB$16,"E+",IF(F4&lt;'PlayerGrades+'!$AB$15,"D-",IF(F4&lt;'PlayerGrades+'!$AB$14,"D",IF(F4&lt;'PlayerGrades+'!$AB$13,"D+",IF(F4&lt;'PlayerGrades+'!$AB$12,"C-",IF(F4&lt;'PlayerGrades+'!$AB$11,"C",IF(F4&lt;'PlayerGrades+'!$AB$10,"C+",IF(F4&lt;'PlayerGrades+'!$AB$9,"B-",IF(F4&lt;'PlayerGrades+'!$AB$8,"B",IF(F4&lt;'PlayerGrades+'!$AB$7,"B+",IF(F4&lt;'PlayerGrades+'!$AB$6,"A-",IF(F4&lt;'PlayerGrades+'!$AB$5,"A",IF(F4&lt;'PlayerGrades+'!$AB$4,"A+",IF(F4&lt;'PlayerGrades+'!$AB$3,"S-",IF(F4&lt;'PlayerGrades+'!$AB$2,"S","S+"))))))))))))))))))))</f>
        <v>F-</v>
      </c>
      <c r="H4" s="937">
        <f t="shared" si="3"/>
        <v>0.05774783446</v>
      </c>
      <c r="I4" s="937" t="str">
        <f>IF(H4&lt;'PlayerGrades+'!$AC$21,"F-",IF(H4&lt;'PlayerGrades+'!$AC$20,"F",IF(H4&lt;'PlayerGrades+'!$AC$19,"F+",IF(H4&lt;'PlayerGrades+'!$AC$18,"E-",IF(H4&lt;'PlayerGrades+'!$AC$17,"E",IF(H4&lt;'PlayerGrades+'!$AC$16,"E+",IF(H4&lt;'PlayerGrades+'!$AC$15,"D-",IF(H4&lt;'PlayerGrades+'!$AC$14,"D",IF(H4&lt;'PlayerGrades+'!$AC$13,"D+",IF(H4&lt;'PlayerGrades+'!$AC$12,"C-",IF(H4&lt;'PlayerGrades+'!$AC$11,"C",IF(H4&lt;'PlayerGrades+'!$AC$10,"C+",IF(H4&lt;'PlayerGrades+'!$AC$9,"B-",IF(H4&lt;'PlayerGrades+'!$AC$8,"B",IF(H4&lt;'PlayerGrades+'!$AC$7,"B+",IF(H4&lt;'PlayerGrades+'!$AC$6,"A-",IF(H4&lt;'PlayerGrades+'!$AC$5,"A",IF(H4&lt;'PlayerGrades+'!$AC$4,"A+",IF(H4&lt;'PlayerGrades+'!$AC$3,"S-",IF(H4&lt;'PlayerGrades+'!$AC$2,"S","S+"))))))))))))))))))))</f>
        <v>F+</v>
      </c>
      <c r="J4" s="937">
        <f t="shared" si="4"/>
        <v>0</v>
      </c>
      <c r="K4" s="937" t="str">
        <f>IF(J4&lt;'PlayerGrades+'!$AD$21,"F-",IF(J4&lt;'PlayerGrades+'!$AD$20,"F",IF(J4&lt;'PlayerGrades+'!$AD$19,"F+",IF(J4&lt;'PlayerGrades+'!$AD$18,"E-",IF(J4&lt;'PlayerGrades+'!$AD$17,"E",IF(J4&lt;'PlayerGrades+'!$AD$16,"E+",IF(J4&lt;'PlayerGrades+'!$AD$15,"D-",IF(J4&lt;'PlayerGrades+'!$AD$14,"D",IF(J4&lt;'PlayerGrades+'!$AD$13,"D+",IF(J4&lt;'PlayerGrades+'!$AD$12,"C-",IF(J4&lt;'PlayerGrades+'!$AD$11,"C",IF(J4&lt;'PlayerGrades+'!$AD$10,"C+",IF(J4&lt;'PlayerGrades+'!$AD$9,"B-",IF(J4&lt;'PlayerGrades+'!$AD$8,"B",IF(J4&lt;'PlayerGrades+'!$AD$7,"B+",IF(J4&lt;'PlayerGrades+'!$AD$6,"A-",IF(J4&lt;'PlayerGrades+'!$AD$5,"A",IF(J4&lt;'PlayerGrades+'!$AD$4,"A+",IF(J4&lt;'PlayerGrades+'!$AD$3,"S-",IF(J4&lt;'PlayerGrades+'!$AD$2,"S","S+"))))))))))))))))))))</f>
        <v>F-</v>
      </c>
      <c r="L4" s="677">
        <f t="shared" si="5"/>
        <v>0.4042348412</v>
      </c>
      <c r="M4" s="938" t="str">
        <f>IF(L4&lt;'PlayerGrades+'!$AE$21,"F-",IF(L4&lt;'PlayerGrades+'!$AE$20,"F",IF(L4&lt;'PlayerGrades+'!$AE$19,"F+",IF(L4&lt;'PlayerGrades+'!$AE$18,"E-",IF(L4&lt;'PlayerGrades+'!$AE$17,"E",IF(L4&lt;'PlayerGrades+'!$AE$16,"E+",IF(L4&lt;'PlayerGrades+'!$AE$15,"D-",IF(L4&lt;'PlayerGrades+'!$AE$14,"D",IF(L4&lt;'PlayerGrades+'!$AE$13,"D+",IF(L4&lt;'PlayerGrades+'!$AE$12,"C-",IF(L4&lt;'PlayerGrades+'!$AE$11,"C",IF(L4&lt;'PlayerGrades+'!$AE$10,"C+",IF(L4&lt;'PlayerGrades+'!$AE$9,"B-",IF(L4&lt;'PlayerGrades+'!$AE$8,"B",IF(L4&lt;'PlayerGrades+'!$AE$7,"B+",IF(L4&lt;'PlayerGrades+'!$AE$6,"A-",IF(L4&lt;'PlayerGrades+'!$AE$5,"A",IF(L4&lt;'PlayerGrades+'!$AE$4,"A+",IF(L4&lt;'PlayerGrades+'!$AE$3,"S-",IF(L4&lt;'PlayerGrades+'!$AE$2,"S","S+"))))))))))))))))))))</f>
        <v>C</v>
      </c>
      <c r="N4" s="937">
        <f t="shared" si="6"/>
        <v>0</v>
      </c>
      <c r="O4" s="937" t="str">
        <f>IF(N4&lt;'PlayerGrades+'!$AF$21,"F-",IF(N4&lt;'PlayerGrades+'!$AF$20,"F",IF(N4&lt;'PlayerGrades+'!$AF$19,"F+",IF(N4&lt;'PlayerGrades+'!$AF$18,"E-",IF(N4&lt;'PlayerGrades+'!$AF$17,"E",IF(N4&lt;'PlayerGrades+'!$AF$16,"E+",IF(N4&lt;'PlayerGrades+'!$AF$15,"D-",IF(N4&lt;'PlayerGrades+'!$AF$14,"D",IF(N4&lt;'PlayerGrades+'!$AF$13,"D+",IF(N4&lt;'PlayerGrades+'!$AF$12,"C-",IF(N4&lt;'PlayerGrades+'!$AF$11,"C",IF(N4&lt;'PlayerGrades+'!$AF$10,"C+",IF(N4&lt;'PlayerGrades+'!$AF$9,"B-",IF(N4&lt;'PlayerGrades+'!$AF$8,"B",IF(N4&lt;'PlayerGrades+'!$AF$7,"B+",IF(N4&lt;'PlayerGrades+'!$AF$6,"A-",IF(N4&lt;'PlayerGrades+'!$AF$5,"A",IF(N4&lt;'PlayerGrades+'!$AF$4,"A+",IF(N4&lt;'PlayerGrades+'!$AF$3,"S-",IF(N4&lt;'PlayerGrades+'!$AF$2,"S","S+"))))))))))))))))))))</f>
        <v>F-</v>
      </c>
      <c r="P4" s="937">
        <f t="shared" si="7"/>
        <v>0</v>
      </c>
      <c r="Q4" s="937" t="str">
        <f>IF(P4&lt;'PlayerGrades+'!$AG$21,"F-",IF(P4&lt;'PlayerGrades+'!$AG$20,"F",IF(P4&lt;'PlayerGrades+'!$AG$19,"F+",IF(P4&lt;'PlayerGrades+'!$AG$18,"E-",IF(P4&lt;'PlayerGrades+'!$AG$17,"E",IF(P4&lt;'PlayerGrades+'!$AG$16,"E+",IF(P4&lt;'PlayerGrades+'!$AG$15,"D-",IF(P4&lt;'PlayerGrades+'!$AG$14,"D",IF(P4&lt;'PlayerGrades+'!$AG$13,"D+",IF(P4&lt;'PlayerGrades+'!$AG$12,"C-",IF(P4&lt;'PlayerGrades+'!$AG$11,"C",IF(P4&lt;'PlayerGrades+'!$AG$10,"C+",IF(P4&lt;'PlayerGrades+'!$AG$9,"B-",IF(P4&lt;'PlayerGrades+'!$AG$8,"B",IF(P4&lt;'PlayerGrades+'!$AG$7,"B+",IF(P4&lt;'PlayerGrades+'!$AG$6,"A-",IF(P4&lt;'PlayerGrades+'!$AG$5,"A",IF(P4&lt;'PlayerGrades+'!$AG$4,"A+",IF(P4&lt;'PlayerGrades+'!$AG$3,"S-",IF(P4&lt;'PlayerGrades+'!$AG$2,"S","S+"))))))))))))))))))))</f>
        <v>F</v>
      </c>
      <c r="R4" s="937">
        <f t="shared" si="8"/>
        <v>0.5197305101</v>
      </c>
      <c r="S4" s="937" t="str">
        <f>IF(R4&lt;'PlayerGrades+'!$AH$21,"F-",IF(R4&lt;'PlayerGrades+'!$AH$20,"F",IF(R4&lt;'PlayerGrades+'!$AH$19,"F+",IF(R4&lt;'PlayerGrades+'!$AH$18,"E-",IF(R4&lt;'PlayerGrades+'!$AH$17,"E",IF(R4&lt;'PlayerGrades+'!$AH$16,"E+",IF(R4&lt;'PlayerGrades+'!$AH$15,"D-",IF(R4&lt;'PlayerGrades+'!$AH$14,"D",IF(R4&lt;'PlayerGrades+'!$AH$13,"D+",IF(R4&lt;'PlayerGrades+'!$AH$12,"C-",IF(R4&lt;'PlayerGrades+'!$AH$11,"C",IF(R4&lt;'PlayerGrades+'!$AH$10,"C+",IF(R4&lt;'PlayerGrades+'!$AH$9,"B-",IF(R4&lt;'PlayerGrades+'!$AH$8,"B",IF(R4&lt;'PlayerGrades+'!$AH$7,"B+",IF(R4&lt;'PlayerGrades+'!$AH$6,"A-",IF(R4&lt;'PlayerGrades+'!$AH$5,"A",IF(R4&lt;'PlayerGrades+'!$AH$4,"A+",IF(R4&lt;'PlayerGrades+'!$AH$3,"S-",IF(R4&lt;'PlayerGrades+'!$AH$2,"S","S+"))))))))))))))))))))</f>
        <v>D+</v>
      </c>
      <c r="T4" s="937">
        <f t="shared" si="9"/>
        <v>0.3464870067</v>
      </c>
      <c r="U4" s="937" t="str">
        <f>IF(T4&lt;'PlayerGrades+'!$AI$21,"F-",IF(T4&lt;'PlayerGrades+'!$AI$20,"F",IF(T4&lt;'PlayerGrades+'!$AI$19,"F+",IF(T4&lt;'PlayerGrades+'!$AI$18,"E-",IF(T4&lt;'PlayerGrades+'!$AI$17,"E",IF(T4&lt;'PlayerGrades+'!$AI$16,"E+",IF(T4&lt;'PlayerGrades+'!$AI$15,"D-",IF(T4&lt;'PlayerGrades+'!$AI$14,"D",IF(T4&lt;'PlayerGrades+'!$AI$13,"D+",IF(T4&lt;'PlayerGrades+'!$AI$12,"C-",IF(T4&lt;'PlayerGrades+'!$AI$11,"C",IF(T4&lt;'PlayerGrades+'!$AI$10,"C+",IF(T4&lt;'PlayerGrades+'!$AI$9,"B-",IF(T4&lt;'PlayerGrades+'!$AI$8,"B",IF(T4&lt;'PlayerGrades+'!$AI$7,"B+",IF(T4&lt;'PlayerGrades+'!$AI$6,"A-",IF(T4&lt;'PlayerGrades+'!$AI$5,"A",IF(T4&lt;'PlayerGrades+'!$AI$4,"A+",IF(T4&lt;'PlayerGrades+'!$AI$3,"S-",IF(T4&lt;'PlayerGrades+'!$AI$2,"S","S+"))))))))))))))))))))</f>
        <v>F-</v>
      </c>
      <c r="V4" s="941">
        <v>1.0</v>
      </c>
      <c r="W4" s="941">
        <v>0.0</v>
      </c>
      <c r="X4" s="941">
        <v>1.0</v>
      </c>
      <c r="Y4" s="941">
        <v>0.0</v>
      </c>
      <c r="Z4" s="941">
        <v>1.0</v>
      </c>
      <c r="AA4" s="941">
        <v>56.0</v>
      </c>
      <c r="AB4" s="941">
        <v>77.0</v>
      </c>
      <c r="AC4" s="941">
        <v>-21.0</v>
      </c>
      <c r="AD4" s="941">
        <v>3.0</v>
      </c>
      <c r="AE4" s="941">
        <v>4.0</v>
      </c>
      <c r="AF4" s="941">
        <v>1.0</v>
      </c>
      <c r="AG4" s="941">
        <v>742.0</v>
      </c>
      <c r="AH4" s="941">
        <v>1039.0</v>
      </c>
      <c r="AI4" s="941">
        <v>9.0</v>
      </c>
      <c r="AJ4" s="941">
        <v>41.0</v>
      </c>
      <c r="AK4" s="941">
        <v>0.0</v>
      </c>
      <c r="AL4" s="941">
        <v>0.0</v>
      </c>
      <c r="AM4" s="941">
        <v>0.0</v>
      </c>
      <c r="AN4" s="941">
        <v>0.0</v>
      </c>
      <c r="AO4" s="941">
        <v>0.0</v>
      </c>
      <c r="AP4" s="941">
        <v>0.0</v>
      </c>
      <c r="AQ4" s="941">
        <v>0.0</v>
      </c>
      <c r="AR4" s="941">
        <v>7.0</v>
      </c>
      <c r="AS4" s="941">
        <v>0.0</v>
      </c>
      <c r="AT4" s="941">
        <v>0.0</v>
      </c>
      <c r="AU4" s="941">
        <v>0.0</v>
      </c>
      <c r="AV4" s="941">
        <v>0.0</v>
      </c>
      <c r="AW4" s="941">
        <v>0.0</v>
      </c>
      <c r="AX4" s="941">
        <v>0.0</v>
      </c>
      <c r="AY4" s="941">
        <v>0.0</v>
      </c>
      <c r="AZ4" s="941">
        <v>0.0</v>
      </c>
      <c r="BA4" s="941">
        <v>0.0</v>
      </c>
      <c r="BB4" s="941">
        <v>1.0</v>
      </c>
      <c r="BC4" s="941">
        <v>0.0</v>
      </c>
      <c r="BD4" s="941">
        <v>6.0</v>
      </c>
      <c r="BE4" s="942">
        <v>6.0</v>
      </c>
      <c r="BF4" s="941">
        <v>0.0</v>
      </c>
      <c r="BG4" s="941">
        <v>1.0</v>
      </c>
    </row>
    <row r="5">
      <c r="A5" s="935" t="s">
        <v>419</v>
      </c>
      <c r="B5" s="16" t="str">
        <f>IF(C5&lt;'PlayerGrades+'!$Y$44,"F-",IF(C5&lt;'PlayerGrades+'!$Y$43,"F",IF(C5&lt;'PlayerGrades+'!$Y$42,"F+",IF(C5&lt;'PlayerGrades+'!$Y$41,"E-",IF(C5&lt;'PlayerGrades+'!$Y$40,"E",IF(C5&lt;'PlayerGrades+'!$Y$39,"E+",IF(C5&lt;'PlayerGrades+'!$Y$38,"D-",IF(C5&lt;'PlayerGrades+'!$Y$37,"D",IF(C5&lt;'PlayerGrades+'!$Y$36,"D+",IF(C5&lt;'PlayerGrades+'!$Y$35,"C-",IF(C5&lt;'PlayerGrades+'!$Y$34,"C",IF(C5&lt;'PlayerGrades+'!$Y$33,"C+",IF(C5&lt;'PlayerGrades+'!$Y$32,"B-",IF(C5&lt;'PlayerGrades+'!$Y$31,"B",IF(C5&lt;'PlayerGrades+'!$Y$30,"B+",IF(C5&lt;'PlayerGrades+'!$Y$29,"A-",IF(C5&lt;'PlayerGrades+'!$Y$28,"A",IF(C5&lt;'PlayerGrades+'!$Y$27,"A+",IF(C5&lt;'PlayerGrades+'!$Y$26,"S-",IF(C5&lt;'PlayerGrades+'!$Y$25,"S","S+"))))))))))))))))))))</f>
        <v>D+</v>
      </c>
      <c r="C5" s="936">
        <f>('PlayerGrades+'!$Y$47*(VLOOKUP(E5, 'PlayerGrades+'!$X$3:$Y$23, 2, FALSE)))+('PlayerGrades+'!$Y$48*(VLOOKUP(G5, 'PlayerGrades+'!$X$3:$Y$23, 2, FALSE)))+('PlayerGrades+'!$Y$49*(VLOOKUP(I5, 'PlayerGrades+'!$X$3:$Y$23, 2, FALSE)))+('PlayerGrades+'!$Y$50*(VLOOKUP(K5, 'PlayerGrades+'!$X$3:$Y$23, 2, FALSE)))+('PlayerGrades+'!$Y$51*(VLOOKUP(M5, 'PlayerGrades+'!$X$3:$Y$23, 2, FALSE)))+('PlayerGrades+'!$Y$52*(VLOOKUP(O5, 'PlayerGrades+'!$X$3:$Y$23, 2, FALSE)))+('PlayerGrades+'!$Y$53*(VLOOKUP(Q5, 'PlayerGrades+'!$X$3:$Y$23, 2, FALSE)))+('PlayerGrades+'!$Y$54*(VLOOKUP(S5, 'PlayerGrades+'!$X$3:$Y$23, 2, FALSE)))+('PlayerGrades+'!$Y$55*(VLOOKUP(U5, 'PlayerGrades+'!$X$3:$Y$23, 2, FALSE)))</f>
        <v>17.9</v>
      </c>
      <c r="D5" s="937">
        <f t="shared" si="1"/>
        <v>0</v>
      </c>
      <c r="E5" s="937" t="str">
        <f>IF(D5&lt;'PlayerGrades+'!$AA$21,"F-",IF(D5&lt;'PlayerGrades+'!$AA$20,"F",IF(D5&lt;'PlayerGrades+'!$AA$19,"F+",IF(D5&lt;'PlayerGrades+'!$AA$18,"E-",IF(D5&lt;'PlayerGrades+'!$AA$17,"E",IF(D5&lt;'PlayerGrades+'!$AA$16,"E+",IF(D5&lt;'PlayerGrades+'!$AA$15,"D-",IF(D5&lt;'PlayerGrades+'!$AA$14,"D",IF(D5&lt;'PlayerGrades+'!$AA$13,"D+",IF(D5&lt;'PlayerGrades+'!$AA$12,"C-",IF(D5&lt;'PlayerGrades+'!$AA$11,"C",IF(D5&lt;'PlayerGrades+'!$AA$10,"C+",IF(D5&lt;'PlayerGrades+'!$AA$9,"B-",IF(D5&lt;'PlayerGrades+'!$AA$8,"B",IF(D5&lt;'PlayerGrades+'!$AA$7,"B+",IF(D5&lt;'PlayerGrades+'!$AA$6,"A-",IF(D5&lt;'PlayerGrades+'!$AA$5,"A",IF(D5&lt;'PlayerGrades+'!$AA$4,"A+",IF(D5&lt;'PlayerGrades+'!$AA$3,"S-",IF(D5&lt;'PlayerGrades+'!$AA$2,"S","S+"))))))))))))))))))))</f>
        <v>F-</v>
      </c>
      <c r="F5" s="937">
        <f t="shared" si="2"/>
        <v>-0.2887391723</v>
      </c>
      <c r="G5" s="937" t="str">
        <f>IF(F5&lt;'PlayerGrades+'!$AB$21,"F-",IF(F5&lt;'PlayerGrades+'!$AB$20,"F",IF(F5&lt;'PlayerGrades+'!$AB$19,"F+",IF(F5&lt;'PlayerGrades+'!$AB$18,"E-",IF(F5&lt;'PlayerGrades+'!$AB$17,"E",IF(F5&lt;'PlayerGrades+'!$AB$16,"E+",IF(F5&lt;'PlayerGrades+'!$AB$15,"D-",IF(F5&lt;'PlayerGrades+'!$AB$14,"D",IF(F5&lt;'PlayerGrades+'!$AB$13,"D+",IF(F5&lt;'PlayerGrades+'!$AB$12,"C-",IF(F5&lt;'PlayerGrades+'!$AB$11,"C",IF(F5&lt;'PlayerGrades+'!$AB$10,"C+",IF(F5&lt;'PlayerGrades+'!$AB$9,"B-",IF(F5&lt;'PlayerGrades+'!$AB$8,"B",IF(F5&lt;'PlayerGrades+'!$AB$7,"B+",IF(F5&lt;'PlayerGrades+'!$AB$6,"A-",IF(F5&lt;'PlayerGrades+'!$AB$5,"A",IF(F5&lt;'PlayerGrades+'!$AB$4,"A+",IF(F5&lt;'PlayerGrades+'!$AB$3,"S-",IF(F5&lt;'PlayerGrades+'!$AB$2,"S","S+"))))))))))))))))))))</f>
        <v>C</v>
      </c>
      <c r="H5" s="937">
        <f t="shared" si="3"/>
        <v>0.2887391723</v>
      </c>
      <c r="I5" s="937" t="str">
        <f>IF(H5&lt;'PlayerGrades+'!$AC$21,"F-",IF(H5&lt;'PlayerGrades+'!$AC$20,"F",IF(H5&lt;'PlayerGrades+'!$AC$19,"F+",IF(H5&lt;'PlayerGrades+'!$AC$18,"E-",IF(H5&lt;'PlayerGrades+'!$AC$17,"E",IF(H5&lt;'PlayerGrades+'!$AC$16,"E+",IF(H5&lt;'PlayerGrades+'!$AC$15,"D-",IF(H5&lt;'PlayerGrades+'!$AC$14,"D",IF(H5&lt;'PlayerGrades+'!$AC$13,"D+",IF(H5&lt;'PlayerGrades+'!$AC$12,"C-",IF(H5&lt;'PlayerGrades+'!$AC$11,"C",IF(H5&lt;'PlayerGrades+'!$AC$10,"C+",IF(H5&lt;'PlayerGrades+'!$AC$9,"B-",IF(H5&lt;'PlayerGrades+'!$AC$8,"B",IF(H5&lt;'PlayerGrades+'!$AC$7,"B+",IF(H5&lt;'PlayerGrades+'!$AC$6,"A-",IF(H5&lt;'PlayerGrades+'!$AC$5,"A",IF(H5&lt;'PlayerGrades+'!$AC$4,"A+",IF(H5&lt;'PlayerGrades+'!$AC$3,"S-",IF(H5&lt;'PlayerGrades+'!$AC$2,"S","S+"))))))))))))))))))))</f>
        <v>S</v>
      </c>
      <c r="J5" s="937">
        <f t="shared" si="4"/>
        <v>0.05774783446</v>
      </c>
      <c r="K5" s="937" t="str">
        <f>IF(J5&lt;'PlayerGrades+'!$AD$21,"F-",IF(J5&lt;'PlayerGrades+'!$AD$20,"F",IF(J5&lt;'PlayerGrades+'!$AD$19,"F+",IF(J5&lt;'PlayerGrades+'!$AD$18,"E-",IF(J5&lt;'PlayerGrades+'!$AD$17,"E",IF(J5&lt;'PlayerGrades+'!$AD$16,"E+",IF(J5&lt;'PlayerGrades+'!$AD$15,"D-",IF(J5&lt;'PlayerGrades+'!$AD$14,"D",IF(J5&lt;'PlayerGrades+'!$AD$13,"D+",IF(J5&lt;'PlayerGrades+'!$AD$12,"C-",IF(J5&lt;'PlayerGrades+'!$AD$11,"C",IF(J5&lt;'PlayerGrades+'!$AD$10,"C+",IF(J5&lt;'PlayerGrades+'!$AD$9,"B-",IF(J5&lt;'PlayerGrades+'!$AD$8,"B",IF(J5&lt;'PlayerGrades+'!$AD$7,"B+",IF(J5&lt;'PlayerGrades+'!$AD$6,"A-",IF(J5&lt;'PlayerGrades+'!$AD$5,"A",IF(J5&lt;'PlayerGrades+'!$AD$4,"A+",IF(J5&lt;'PlayerGrades+'!$AD$3,"S-",IF(J5&lt;'PlayerGrades+'!$AD$2,"S","S+"))))))))))))))))))))</f>
        <v>B+</v>
      </c>
      <c r="L5" s="677">
        <f t="shared" si="5"/>
        <v>0.4619826756</v>
      </c>
      <c r="M5" s="938" t="str">
        <f>IF(L5&lt;'PlayerGrades+'!$AE$21,"F-",IF(L5&lt;'PlayerGrades+'!$AE$20,"F",IF(L5&lt;'PlayerGrades+'!$AE$19,"F+",IF(L5&lt;'PlayerGrades+'!$AE$18,"E-",IF(L5&lt;'PlayerGrades+'!$AE$17,"E",IF(L5&lt;'PlayerGrades+'!$AE$16,"E+",IF(L5&lt;'PlayerGrades+'!$AE$15,"D-",IF(L5&lt;'PlayerGrades+'!$AE$14,"D",IF(L5&lt;'PlayerGrades+'!$AE$13,"D+",IF(L5&lt;'PlayerGrades+'!$AE$12,"C-",IF(L5&lt;'PlayerGrades+'!$AE$11,"C",IF(L5&lt;'PlayerGrades+'!$AE$10,"C+",IF(L5&lt;'PlayerGrades+'!$AE$9,"B-",IF(L5&lt;'PlayerGrades+'!$AE$8,"B",IF(L5&lt;'PlayerGrades+'!$AE$7,"B+",IF(L5&lt;'PlayerGrades+'!$AE$6,"A-",IF(L5&lt;'PlayerGrades+'!$AE$5,"A",IF(L5&lt;'PlayerGrades+'!$AE$4,"A+",IF(L5&lt;'PlayerGrades+'!$AE$3,"S-",IF(L5&lt;'PlayerGrades+'!$AE$2,"S","S+"))))))))))))))))))))</f>
        <v>B+</v>
      </c>
      <c r="N5" s="937">
        <f t="shared" si="6"/>
        <v>0.05774783446</v>
      </c>
      <c r="O5" s="937" t="str">
        <f>IF(N5&lt;'PlayerGrades+'!$AF$21,"F-",IF(N5&lt;'PlayerGrades+'!$AF$20,"F",IF(N5&lt;'PlayerGrades+'!$AF$19,"F+",IF(N5&lt;'PlayerGrades+'!$AF$18,"E-",IF(N5&lt;'PlayerGrades+'!$AF$17,"E",IF(N5&lt;'PlayerGrades+'!$AF$16,"E+",IF(N5&lt;'PlayerGrades+'!$AF$15,"D-",IF(N5&lt;'PlayerGrades+'!$AF$14,"D",IF(N5&lt;'PlayerGrades+'!$AF$13,"D+",IF(N5&lt;'PlayerGrades+'!$AF$12,"C-",IF(N5&lt;'PlayerGrades+'!$AF$11,"C",IF(N5&lt;'PlayerGrades+'!$AF$10,"C+",IF(N5&lt;'PlayerGrades+'!$AF$9,"B-",IF(N5&lt;'PlayerGrades+'!$AF$8,"B",IF(N5&lt;'PlayerGrades+'!$AF$7,"B+",IF(N5&lt;'PlayerGrades+'!$AF$6,"A-",IF(N5&lt;'PlayerGrades+'!$AF$5,"A",IF(N5&lt;'PlayerGrades+'!$AF$4,"A+",IF(N5&lt;'PlayerGrades+'!$AF$3,"S-",IF(N5&lt;'PlayerGrades+'!$AF$2,"S","S+"))))))))))))))))))))</f>
        <v>D+</v>
      </c>
      <c r="P5" s="937">
        <f t="shared" si="7"/>
        <v>0.05774783446</v>
      </c>
      <c r="Q5" s="937" t="str">
        <f>IF(P5&lt;'PlayerGrades+'!$AG$21,"F-",IF(P5&lt;'PlayerGrades+'!$AG$20,"F",IF(P5&lt;'PlayerGrades+'!$AG$19,"F+",IF(P5&lt;'PlayerGrades+'!$AG$18,"E-",IF(P5&lt;'PlayerGrades+'!$AG$17,"E",IF(P5&lt;'PlayerGrades+'!$AG$16,"E+",IF(P5&lt;'PlayerGrades+'!$AG$15,"D-",IF(P5&lt;'PlayerGrades+'!$AG$14,"D",IF(P5&lt;'PlayerGrades+'!$AG$13,"D+",IF(P5&lt;'PlayerGrades+'!$AG$12,"C-",IF(P5&lt;'PlayerGrades+'!$AG$11,"C",IF(P5&lt;'PlayerGrades+'!$AG$10,"C+",IF(P5&lt;'PlayerGrades+'!$AG$9,"B-",IF(P5&lt;'PlayerGrades+'!$AG$8,"B",IF(P5&lt;'PlayerGrades+'!$AG$7,"B+",IF(P5&lt;'PlayerGrades+'!$AG$6,"A-",IF(P5&lt;'PlayerGrades+'!$AG$5,"A",IF(P5&lt;'PlayerGrades+'!$AG$4,"A+",IF(P5&lt;'PlayerGrades+'!$AG$3,"S-",IF(P5&lt;'PlayerGrades+'!$AG$2,"S","S+"))))))))))))))))))))</f>
        <v>A</v>
      </c>
      <c r="R5" s="937">
        <f t="shared" si="8"/>
        <v>0.2887391723</v>
      </c>
      <c r="S5" s="937" t="str">
        <f>IF(R5&lt;'PlayerGrades+'!$AH$21,"F-",IF(R5&lt;'PlayerGrades+'!$AH$20,"F",IF(R5&lt;'PlayerGrades+'!$AH$19,"F+",IF(R5&lt;'PlayerGrades+'!$AH$18,"E-",IF(R5&lt;'PlayerGrades+'!$AH$17,"E",IF(R5&lt;'PlayerGrades+'!$AH$16,"E+",IF(R5&lt;'PlayerGrades+'!$AH$15,"D-",IF(R5&lt;'PlayerGrades+'!$AH$14,"D",IF(R5&lt;'PlayerGrades+'!$AH$13,"D+",IF(R5&lt;'PlayerGrades+'!$AH$12,"C-",IF(R5&lt;'PlayerGrades+'!$AH$11,"C",IF(R5&lt;'PlayerGrades+'!$AH$10,"C+",IF(R5&lt;'PlayerGrades+'!$AH$9,"B-",IF(R5&lt;'PlayerGrades+'!$AH$8,"B",IF(R5&lt;'PlayerGrades+'!$AH$7,"B+",IF(R5&lt;'PlayerGrades+'!$AH$6,"A-",IF(R5&lt;'PlayerGrades+'!$AH$5,"A",IF(R5&lt;'PlayerGrades+'!$AH$4,"A+",IF(R5&lt;'PlayerGrades+'!$AH$3,"S-",IF(R5&lt;'PlayerGrades+'!$AH$2,"S","S+"))))))))))))))))))))</f>
        <v>F-</v>
      </c>
      <c r="T5" s="937">
        <f t="shared" si="9"/>
        <v>0.5774783446</v>
      </c>
      <c r="U5" s="937" t="str">
        <f>IF(T5&lt;'PlayerGrades+'!$AI$21,"F-",IF(T5&lt;'PlayerGrades+'!$AI$20,"F",IF(T5&lt;'PlayerGrades+'!$AI$19,"F+",IF(T5&lt;'PlayerGrades+'!$AI$18,"E-",IF(T5&lt;'PlayerGrades+'!$AI$17,"E",IF(T5&lt;'PlayerGrades+'!$AI$16,"E+",IF(T5&lt;'PlayerGrades+'!$AI$15,"D-",IF(T5&lt;'PlayerGrades+'!$AI$14,"D",IF(T5&lt;'PlayerGrades+'!$AI$13,"D+",IF(T5&lt;'PlayerGrades+'!$AI$12,"C-",IF(T5&lt;'PlayerGrades+'!$AI$11,"C",IF(T5&lt;'PlayerGrades+'!$AI$10,"C+",IF(T5&lt;'PlayerGrades+'!$AI$9,"B-",IF(T5&lt;'PlayerGrades+'!$AI$8,"B",IF(T5&lt;'PlayerGrades+'!$AI$7,"B+",IF(T5&lt;'PlayerGrades+'!$AI$6,"A-",IF(T5&lt;'PlayerGrades+'!$AI$5,"A",IF(T5&lt;'PlayerGrades+'!$AI$4,"A+",IF(T5&lt;'PlayerGrades+'!$AI$3,"S-",IF(T5&lt;'PlayerGrades+'!$AI$2,"S","S+"))))))))))))))))))))</f>
        <v>F-</v>
      </c>
      <c r="V5" s="941">
        <v>1.0</v>
      </c>
      <c r="W5" s="941">
        <v>0.0</v>
      </c>
      <c r="X5" s="941">
        <v>1.0</v>
      </c>
      <c r="Y5" s="941">
        <v>0.0</v>
      </c>
      <c r="Z5" s="941">
        <v>0.0</v>
      </c>
      <c r="AA5" s="941">
        <v>61.0</v>
      </c>
      <c r="AB5" s="941">
        <v>66.0</v>
      </c>
      <c r="AC5" s="941">
        <v>-5.0</v>
      </c>
      <c r="AD5" s="941">
        <v>1.0</v>
      </c>
      <c r="AE5" s="941">
        <v>5.0</v>
      </c>
      <c r="AF5" s="941">
        <v>2.0</v>
      </c>
      <c r="AG5" s="941">
        <v>776.0</v>
      </c>
      <c r="AH5" s="941">
        <v>1039.0</v>
      </c>
      <c r="AI5" s="941">
        <v>11.0</v>
      </c>
      <c r="AJ5" s="941">
        <v>0.0</v>
      </c>
      <c r="AK5" s="941">
        <v>0.0</v>
      </c>
      <c r="AL5" s="941">
        <v>1.0</v>
      </c>
      <c r="AM5" s="941">
        <v>0.0</v>
      </c>
      <c r="AN5" s="941">
        <v>0.0</v>
      </c>
      <c r="AO5" s="941">
        <v>0.0</v>
      </c>
      <c r="AP5" s="941">
        <v>1.0</v>
      </c>
      <c r="AQ5" s="941">
        <v>0.0</v>
      </c>
      <c r="AR5" s="941">
        <v>8.0</v>
      </c>
      <c r="AS5" s="941">
        <v>1.0</v>
      </c>
      <c r="AT5" s="941">
        <v>1.0</v>
      </c>
      <c r="AU5" s="941">
        <v>0.0</v>
      </c>
      <c r="AV5" s="941">
        <v>0.0</v>
      </c>
      <c r="AW5" s="941">
        <v>0.0</v>
      </c>
      <c r="AX5" s="941">
        <v>0.0</v>
      </c>
      <c r="AY5" s="941">
        <v>0.0</v>
      </c>
      <c r="AZ5" s="941">
        <v>0.0</v>
      </c>
      <c r="BA5" s="941">
        <v>0.0</v>
      </c>
      <c r="BB5" s="941">
        <v>5.0</v>
      </c>
      <c r="BC5" s="941">
        <v>0.0</v>
      </c>
      <c r="BD5" s="941">
        <v>4.0</v>
      </c>
      <c r="BE5" s="942">
        <v>10.0</v>
      </c>
      <c r="BF5" s="941">
        <v>0.0</v>
      </c>
      <c r="BG5" s="941">
        <v>1.0</v>
      </c>
    </row>
    <row r="6">
      <c r="A6" s="935" t="s">
        <v>151</v>
      </c>
      <c r="B6" s="16" t="str">
        <f>IF(C6&lt;'PlayerGrades+'!$Y$44,"F-",IF(C6&lt;'PlayerGrades+'!$Y$43,"F",IF(C6&lt;'PlayerGrades+'!$Y$42,"F+",IF(C6&lt;'PlayerGrades+'!$Y$41,"E-",IF(C6&lt;'PlayerGrades+'!$Y$40,"E",IF(C6&lt;'PlayerGrades+'!$Y$39,"E+",IF(C6&lt;'PlayerGrades+'!$Y$38,"D-",IF(C6&lt;'PlayerGrades+'!$Y$37,"D",IF(C6&lt;'PlayerGrades+'!$Y$36,"D+",IF(C6&lt;'PlayerGrades+'!$Y$35,"C-",IF(C6&lt;'PlayerGrades+'!$Y$34,"C",IF(C6&lt;'PlayerGrades+'!$Y$33,"C+",IF(C6&lt;'PlayerGrades+'!$Y$32,"B-",IF(C6&lt;'PlayerGrades+'!$Y$31,"B",IF(C6&lt;'PlayerGrades+'!$Y$30,"B+",IF(C6&lt;'PlayerGrades+'!$Y$29,"A-",IF(C6&lt;'PlayerGrades+'!$Y$28,"A",IF(C6&lt;'PlayerGrades+'!$Y$27,"A+",IF(C6&lt;'PlayerGrades+'!$Y$26,"S-",IF(C6&lt;'PlayerGrades+'!$Y$25,"S","S+"))))))))))))))))))))</f>
        <v>S-</v>
      </c>
      <c r="C6" s="936">
        <f>('PlayerGrades+'!$Y$47*(VLOOKUP(E6, 'PlayerGrades+'!$X$3:$Y$23, 2, FALSE)))+('PlayerGrades+'!$Y$48*(VLOOKUP(G6, 'PlayerGrades+'!$X$3:$Y$23, 2, FALSE)))+('PlayerGrades+'!$Y$49*(VLOOKUP(I6, 'PlayerGrades+'!$X$3:$Y$23, 2, FALSE)))+('PlayerGrades+'!$Y$50*(VLOOKUP(K6, 'PlayerGrades+'!$X$3:$Y$23, 2, FALSE)))+('PlayerGrades+'!$Y$51*(VLOOKUP(M6, 'PlayerGrades+'!$X$3:$Y$23, 2, FALSE)))+('PlayerGrades+'!$Y$52*(VLOOKUP(O6, 'PlayerGrades+'!$X$3:$Y$23, 2, FALSE)))+('PlayerGrades+'!$Y$53*(VLOOKUP(Q6, 'PlayerGrades+'!$X$3:$Y$23, 2, FALSE)))+('PlayerGrades+'!$Y$54*(VLOOKUP(S6, 'PlayerGrades+'!$X$3:$Y$23, 2, FALSE)))+('PlayerGrades+'!$Y$55*(VLOOKUP(U6, 'PlayerGrades+'!$X$3:$Y$23, 2, FALSE)))</f>
        <v>30.4</v>
      </c>
      <c r="D6" s="937">
        <f t="shared" si="1"/>
        <v>0.05774783446</v>
      </c>
      <c r="E6" s="937" t="str">
        <f>IF(D6&lt;'PlayerGrades+'!$AA$21,"F-",IF(D6&lt;'PlayerGrades+'!$AA$20,"F",IF(D6&lt;'PlayerGrades+'!$AA$19,"F+",IF(D6&lt;'PlayerGrades+'!$AA$18,"E-",IF(D6&lt;'PlayerGrades+'!$AA$17,"E",IF(D6&lt;'PlayerGrades+'!$AA$16,"E+",IF(D6&lt;'PlayerGrades+'!$AA$15,"D-",IF(D6&lt;'PlayerGrades+'!$AA$14,"D",IF(D6&lt;'PlayerGrades+'!$AA$13,"D+",IF(D6&lt;'PlayerGrades+'!$AA$12,"C-",IF(D6&lt;'PlayerGrades+'!$AA$11,"C",IF(D6&lt;'PlayerGrades+'!$AA$10,"C+",IF(D6&lt;'PlayerGrades+'!$AA$9,"B-",IF(D6&lt;'PlayerGrades+'!$AA$8,"B",IF(D6&lt;'PlayerGrades+'!$AA$7,"B+",IF(D6&lt;'PlayerGrades+'!$AA$6,"A-",IF(D6&lt;'PlayerGrades+'!$AA$5,"A",IF(D6&lt;'PlayerGrades+'!$AA$4,"A+",IF(D6&lt;'PlayerGrades+'!$AA$3,"S-",IF(D6&lt;'PlayerGrades+'!$AA$2,"S","S+"))))))))))))))))))))</f>
        <v>B-</v>
      </c>
      <c r="F6" s="937">
        <f t="shared" si="2"/>
        <v>0.2887391723</v>
      </c>
      <c r="G6" s="937" t="str">
        <f>IF(F6&lt;'PlayerGrades+'!$AB$21,"F-",IF(F6&lt;'PlayerGrades+'!$AB$20,"F",IF(F6&lt;'PlayerGrades+'!$AB$19,"F+",IF(F6&lt;'PlayerGrades+'!$AB$18,"E-",IF(F6&lt;'PlayerGrades+'!$AB$17,"E",IF(F6&lt;'PlayerGrades+'!$AB$16,"E+",IF(F6&lt;'PlayerGrades+'!$AB$15,"D-",IF(F6&lt;'PlayerGrades+'!$AB$14,"D",IF(F6&lt;'PlayerGrades+'!$AB$13,"D+",IF(F6&lt;'PlayerGrades+'!$AB$12,"C-",IF(F6&lt;'PlayerGrades+'!$AB$11,"C",IF(F6&lt;'PlayerGrades+'!$AB$10,"C+",IF(F6&lt;'PlayerGrades+'!$AB$9,"B-",IF(F6&lt;'PlayerGrades+'!$AB$8,"B",IF(F6&lt;'PlayerGrades+'!$AB$7,"B+",IF(F6&lt;'PlayerGrades+'!$AB$6,"A-",IF(F6&lt;'PlayerGrades+'!$AB$5,"A",IF(F6&lt;'PlayerGrades+'!$AB$4,"A+",IF(F6&lt;'PlayerGrades+'!$AB$3,"S-",IF(F6&lt;'PlayerGrades+'!$AB$2,"S","S+"))))))))))))))))))))</f>
        <v>B+</v>
      </c>
      <c r="H6" s="937">
        <f t="shared" si="3"/>
        <v>0.2887391723</v>
      </c>
      <c r="I6" s="937" t="str">
        <f>IF(H6&lt;'PlayerGrades+'!$AC$21,"F-",IF(H6&lt;'PlayerGrades+'!$AC$20,"F",IF(H6&lt;'PlayerGrades+'!$AC$19,"F+",IF(H6&lt;'PlayerGrades+'!$AC$18,"E-",IF(H6&lt;'PlayerGrades+'!$AC$17,"E",IF(H6&lt;'PlayerGrades+'!$AC$16,"E+",IF(H6&lt;'PlayerGrades+'!$AC$15,"D-",IF(H6&lt;'PlayerGrades+'!$AC$14,"D",IF(H6&lt;'PlayerGrades+'!$AC$13,"D+",IF(H6&lt;'PlayerGrades+'!$AC$12,"C-",IF(H6&lt;'PlayerGrades+'!$AC$11,"C",IF(H6&lt;'PlayerGrades+'!$AC$10,"C+",IF(H6&lt;'PlayerGrades+'!$AC$9,"B-",IF(H6&lt;'PlayerGrades+'!$AC$8,"B",IF(H6&lt;'PlayerGrades+'!$AC$7,"B+",IF(H6&lt;'PlayerGrades+'!$AC$6,"A-",IF(H6&lt;'PlayerGrades+'!$AC$5,"A",IF(H6&lt;'PlayerGrades+'!$AC$4,"A+",IF(H6&lt;'PlayerGrades+'!$AC$3,"S-",IF(H6&lt;'PlayerGrades+'!$AC$2,"S","S+"))))))))))))))))))))</f>
        <v>S</v>
      </c>
      <c r="J6" s="937">
        <f t="shared" si="4"/>
        <v>0.05774783446</v>
      </c>
      <c r="K6" s="937" t="str">
        <f>IF(J6&lt;'PlayerGrades+'!$AD$21,"F-",IF(J6&lt;'PlayerGrades+'!$AD$20,"F",IF(J6&lt;'PlayerGrades+'!$AD$19,"F+",IF(J6&lt;'PlayerGrades+'!$AD$18,"E-",IF(J6&lt;'PlayerGrades+'!$AD$17,"E",IF(J6&lt;'PlayerGrades+'!$AD$16,"E+",IF(J6&lt;'PlayerGrades+'!$AD$15,"D-",IF(J6&lt;'PlayerGrades+'!$AD$14,"D",IF(J6&lt;'PlayerGrades+'!$AD$13,"D+",IF(J6&lt;'PlayerGrades+'!$AD$12,"C-",IF(J6&lt;'PlayerGrades+'!$AD$11,"C",IF(J6&lt;'PlayerGrades+'!$AD$10,"C+",IF(J6&lt;'PlayerGrades+'!$AD$9,"B-",IF(J6&lt;'PlayerGrades+'!$AD$8,"B",IF(J6&lt;'PlayerGrades+'!$AD$7,"B+",IF(J6&lt;'PlayerGrades+'!$AD$6,"A-",IF(J6&lt;'PlayerGrades+'!$AD$5,"A",IF(J6&lt;'PlayerGrades+'!$AD$4,"A+",IF(J6&lt;'PlayerGrades+'!$AD$3,"S-",IF(J6&lt;'PlayerGrades+'!$AD$2,"S","S+"))))))))))))))))))))</f>
        <v>B+</v>
      </c>
      <c r="L6" s="677">
        <f t="shared" si="5"/>
        <v>0.6929740135</v>
      </c>
      <c r="M6" s="938" t="str">
        <f>IF(L6&lt;'PlayerGrades+'!$AE$21,"F-",IF(L6&lt;'PlayerGrades+'!$AE$20,"F",IF(L6&lt;'PlayerGrades+'!$AE$19,"F+",IF(L6&lt;'PlayerGrades+'!$AE$18,"E-",IF(L6&lt;'PlayerGrades+'!$AE$17,"E",IF(L6&lt;'PlayerGrades+'!$AE$16,"E+",IF(L6&lt;'PlayerGrades+'!$AE$15,"D-",IF(L6&lt;'PlayerGrades+'!$AE$14,"D",IF(L6&lt;'PlayerGrades+'!$AE$13,"D+",IF(L6&lt;'PlayerGrades+'!$AE$12,"C-",IF(L6&lt;'PlayerGrades+'!$AE$11,"C",IF(L6&lt;'PlayerGrades+'!$AE$10,"C+",IF(L6&lt;'PlayerGrades+'!$AE$9,"B-",IF(L6&lt;'PlayerGrades+'!$AE$8,"B",IF(L6&lt;'PlayerGrades+'!$AE$7,"B+",IF(L6&lt;'PlayerGrades+'!$AE$6,"A-",IF(L6&lt;'PlayerGrades+'!$AE$5,"A",IF(L6&lt;'PlayerGrades+'!$AE$4,"A+",IF(L6&lt;'PlayerGrades+'!$AE$3,"S-",IF(L6&lt;'PlayerGrades+'!$AE$2,"S","S+"))))))))))))))))))))</f>
        <v>S</v>
      </c>
      <c r="N6" s="937">
        <f t="shared" si="6"/>
        <v>0.2887391723</v>
      </c>
      <c r="O6" s="937" t="str">
        <f>IF(N6&lt;'PlayerGrades+'!$AF$21,"F-",IF(N6&lt;'PlayerGrades+'!$AF$20,"F",IF(N6&lt;'PlayerGrades+'!$AF$19,"F+",IF(N6&lt;'PlayerGrades+'!$AF$18,"E-",IF(N6&lt;'PlayerGrades+'!$AF$17,"E",IF(N6&lt;'PlayerGrades+'!$AF$16,"E+",IF(N6&lt;'PlayerGrades+'!$AF$15,"D-",IF(N6&lt;'PlayerGrades+'!$AF$14,"D",IF(N6&lt;'PlayerGrades+'!$AF$13,"D+",IF(N6&lt;'PlayerGrades+'!$AF$12,"C-",IF(N6&lt;'PlayerGrades+'!$AF$11,"C",IF(N6&lt;'PlayerGrades+'!$AF$10,"C+",IF(N6&lt;'PlayerGrades+'!$AF$9,"B-",IF(N6&lt;'PlayerGrades+'!$AF$8,"B",IF(N6&lt;'PlayerGrades+'!$AF$7,"B+",IF(N6&lt;'PlayerGrades+'!$AF$6,"A-",IF(N6&lt;'PlayerGrades+'!$AF$5,"A",IF(N6&lt;'PlayerGrades+'!$AF$4,"A+",IF(N6&lt;'PlayerGrades+'!$AF$3,"S-",IF(N6&lt;'PlayerGrades+'!$AF$2,"S","S+"))))))))))))))))))))</f>
        <v>S+</v>
      </c>
      <c r="P6" s="937">
        <f t="shared" si="7"/>
        <v>0.05774783446</v>
      </c>
      <c r="Q6" s="937" t="str">
        <f>IF(P6&lt;'PlayerGrades+'!$AG$21,"F-",IF(P6&lt;'PlayerGrades+'!$AG$20,"F",IF(P6&lt;'PlayerGrades+'!$AG$19,"F+",IF(P6&lt;'PlayerGrades+'!$AG$18,"E-",IF(P6&lt;'PlayerGrades+'!$AG$17,"E",IF(P6&lt;'PlayerGrades+'!$AG$16,"E+",IF(P6&lt;'PlayerGrades+'!$AG$15,"D-",IF(P6&lt;'PlayerGrades+'!$AG$14,"D",IF(P6&lt;'PlayerGrades+'!$AG$13,"D+",IF(P6&lt;'PlayerGrades+'!$AG$12,"C-",IF(P6&lt;'PlayerGrades+'!$AG$11,"C",IF(P6&lt;'PlayerGrades+'!$AG$10,"C+",IF(P6&lt;'PlayerGrades+'!$AG$9,"B-",IF(P6&lt;'PlayerGrades+'!$AG$8,"B",IF(P6&lt;'PlayerGrades+'!$AG$7,"B+",IF(P6&lt;'PlayerGrades+'!$AG$6,"A-",IF(P6&lt;'PlayerGrades+'!$AG$5,"A",IF(P6&lt;'PlayerGrades+'!$AG$4,"A+",IF(P6&lt;'PlayerGrades+'!$AG$3,"S-",IF(P6&lt;'PlayerGrades+'!$AG$2,"S","S+"))))))))))))))))))))</f>
        <v>A</v>
      </c>
      <c r="R6" s="937">
        <f t="shared" si="8"/>
        <v>0.6929740135</v>
      </c>
      <c r="S6" s="937" t="str">
        <f>IF(R6&lt;'PlayerGrades+'!$AH$21,"F-",IF(R6&lt;'PlayerGrades+'!$AH$20,"F",IF(R6&lt;'PlayerGrades+'!$AH$19,"F+",IF(R6&lt;'PlayerGrades+'!$AH$18,"E-",IF(R6&lt;'PlayerGrades+'!$AH$17,"E",IF(R6&lt;'PlayerGrades+'!$AH$16,"E+",IF(R6&lt;'PlayerGrades+'!$AH$15,"D-",IF(R6&lt;'PlayerGrades+'!$AH$14,"D",IF(R6&lt;'PlayerGrades+'!$AH$13,"D+",IF(R6&lt;'PlayerGrades+'!$AH$12,"C-",IF(R6&lt;'PlayerGrades+'!$AH$11,"C",IF(R6&lt;'PlayerGrades+'!$AH$10,"C+",IF(R6&lt;'PlayerGrades+'!$AH$9,"B-",IF(R6&lt;'PlayerGrades+'!$AH$8,"B",IF(R6&lt;'PlayerGrades+'!$AH$7,"B+",IF(R6&lt;'PlayerGrades+'!$AH$6,"A-",IF(R6&lt;'PlayerGrades+'!$AH$5,"A",IF(R6&lt;'PlayerGrades+'!$AH$4,"A+",IF(R6&lt;'PlayerGrades+'!$AH$3,"S-",IF(R6&lt;'PlayerGrades+'!$AH$2,"S","S+"))))))))))))))))))))</f>
        <v>S-</v>
      </c>
      <c r="T6" s="937">
        <f t="shared" si="9"/>
        <v>0.5197305101</v>
      </c>
      <c r="U6" s="937" t="str">
        <f>IF(T6&lt;'PlayerGrades+'!$AI$21,"F-",IF(T6&lt;'PlayerGrades+'!$AI$20,"F",IF(T6&lt;'PlayerGrades+'!$AI$19,"F+",IF(T6&lt;'PlayerGrades+'!$AI$18,"E-",IF(T6&lt;'PlayerGrades+'!$AI$17,"E",IF(T6&lt;'PlayerGrades+'!$AI$16,"E+",IF(T6&lt;'PlayerGrades+'!$AI$15,"D-",IF(T6&lt;'PlayerGrades+'!$AI$14,"D",IF(T6&lt;'PlayerGrades+'!$AI$13,"D+",IF(T6&lt;'PlayerGrades+'!$AI$12,"C-",IF(T6&lt;'PlayerGrades+'!$AI$11,"C",IF(T6&lt;'PlayerGrades+'!$AI$10,"C+",IF(T6&lt;'PlayerGrades+'!$AI$9,"B-",IF(T6&lt;'PlayerGrades+'!$AI$8,"B",IF(T6&lt;'PlayerGrades+'!$AI$7,"B+",IF(T6&lt;'PlayerGrades+'!$AI$6,"A-",IF(T6&lt;'PlayerGrades+'!$AI$5,"A",IF(T6&lt;'PlayerGrades+'!$AI$4,"A+",IF(T6&lt;'PlayerGrades+'!$AI$3,"S-",IF(T6&lt;'PlayerGrades+'!$AI$2,"S","S+"))))))))))))))))))))</f>
        <v>F-</v>
      </c>
      <c r="V6" s="941">
        <v>1.0</v>
      </c>
      <c r="W6" s="941">
        <v>1.0</v>
      </c>
      <c r="X6" s="941">
        <v>0.0</v>
      </c>
      <c r="Y6" s="941">
        <v>0.0</v>
      </c>
      <c r="Z6" s="941">
        <v>1.0</v>
      </c>
      <c r="AA6" s="941">
        <v>67.0</v>
      </c>
      <c r="AB6" s="941">
        <v>62.0</v>
      </c>
      <c r="AC6" s="941">
        <v>5.0</v>
      </c>
      <c r="AD6" s="941">
        <v>7.0</v>
      </c>
      <c r="AE6" s="941">
        <v>5.0</v>
      </c>
      <c r="AF6" s="941">
        <v>1.0</v>
      </c>
      <c r="AG6" s="941">
        <v>781.0</v>
      </c>
      <c r="AH6" s="941">
        <v>1039.0</v>
      </c>
      <c r="AI6" s="941">
        <v>12.0</v>
      </c>
      <c r="AJ6" s="941">
        <v>0.0</v>
      </c>
      <c r="AK6" s="941">
        <v>0.0</v>
      </c>
      <c r="AL6" s="941">
        <v>1.0</v>
      </c>
      <c r="AM6" s="941">
        <v>0.0</v>
      </c>
      <c r="AN6" s="941">
        <v>0.0</v>
      </c>
      <c r="AO6" s="941">
        <v>0.0</v>
      </c>
      <c r="AP6" s="941">
        <v>1.0</v>
      </c>
      <c r="AQ6" s="941">
        <v>0.0</v>
      </c>
      <c r="AR6" s="941">
        <v>12.0</v>
      </c>
      <c r="AS6" s="941">
        <v>5.0</v>
      </c>
      <c r="AT6" s="941">
        <v>1.0</v>
      </c>
      <c r="AU6" s="941">
        <v>1.0</v>
      </c>
      <c r="AV6" s="941">
        <v>0.0</v>
      </c>
      <c r="AW6" s="941">
        <v>0.0</v>
      </c>
      <c r="AX6" s="941">
        <v>0.0</v>
      </c>
      <c r="AY6" s="941">
        <v>0.0</v>
      </c>
      <c r="AZ6" s="941">
        <v>0.0</v>
      </c>
      <c r="BA6" s="941">
        <v>0.0</v>
      </c>
      <c r="BB6" s="941">
        <v>5.0</v>
      </c>
      <c r="BC6" s="941">
        <v>0.0</v>
      </c>
      <c r="BD6" s="941">
        <v>5.0</v>
      </c>
      <c r="BE6" s="942">
        <v>9.0</v>
      </c>
      <c r="BF6" s="941">
        <v>0.0</v>
      </c>
      <c r="BG6" s="941">
        <v>0.0</v>
      </c>
    </row>
    <row r="7">
      <c r="A7" s="935" t="s">
        <v>140</v>
      </c>
      <c r="B7" s="16" t="str">
        <f>IF(C7&lt;'PlayerGrades+'!$Y$44,"F-",IF(C7&lt;'PlayerGrades+'!$Y$43,"F",IF(C7&lt;'PlayerGrades+'!$Y$42,"F+",IF(C7&lt;'PlayerGrades+'!$Y$41,"E-",IF(C7&lt;'PlayerGrades+'!$Y$40,"E",IF(C7&lt;'PlayerGrades+'!$Y$39,"E+",IF(C7&lt;'PlayerGrades+'!$Y$38,"D-",IF(C7&lt;'PlayerGrades+'!$Y$37,"D",IF(C7&lt;'PlayerGrades+'!$Y$36,"D+",IF(C7&lt;'PlayerGrades+'!$Y$35,"C-",IF(C7&lt;'PlayerGrades+'!$Y$34,"C",IF(C7&lt;'PlayerGrades+'!$Y$33,"C+",IF(C7&lt;'PlayerGrades+'!$Y$32,"B-",IF(C7&lt;'PlayerGrades+'!$Y$31,"B",IF(C7&lt;'PlayerGrades+'!$Y$30,"B+",IF(C7&lt;'PlayerGrades+'!$Y$29,"A-",IF(C7&lt;'PlayerGrades+'!$Y$28,"A",IF(C7&lt;'PlayerGrades+'!$Y$27,"A+",IF(C7&lt;'PlayerGrades+'!$Y$26,"S-",IF(C7&lt;'PlayerGrades+'!$Y$25,"S","S+"))))))))))))))))))))</f>
        <v>A</v>
      </c>
      <c r="C7" s="936">
        <f>('PlayerGrades+'!$Y$47*(VLOOKUP(E7, 'PlayerGrades+'!$X$3:$Y$23, 2, FALSE)))+('PlayerGrades+'!$Y$48*(VLOOKUP(G7, 'PlayerGrades+'!$X$3:$Y$23, 2, FALSE)))+('PlayerGrades+'!$Y$49*(VLOOKUP(I7, 'PlayerGrades+'!$X$3:$Y$23, 2, FALSE)))+('PlayerGrades+'!$Y$50*(VLOOKUP(K7, 'PlayerGrades+'!$X$3:$Y$23, 2, FALSE)))+('PlayerGrades+'!$Y$51*(VLOOKUP(M7, 'PlayerGrades+'!$X$3:$Y$23, 2, FALSE)))+('PlayerGrades+'!$Y$52*(VLOOKUP(O7, 'PlayerGrades+'!$X$3:$Y$23, 2, FALSE)))+('PlayerGrades+'!$Y$53*(VLOOKUP(Q7, 'PlayerGrades+'!$X$3:$Y$23, 2, FALSE)))+('PlayerGrades+'!$Y$54*(VLOOKUP(S7, 'PlayerGrades+'!$X$3:$Y$23, 2, FALSE)))+('PlayerGrades+'!$Y$55*(VLOOKUP(U7, 'PlayerGrades+'!$X$3:$Y$23, 2, FALSE)))</f>
        <v>25.85</v>
      </c>
      <c r="D7" s="937">
        <f t="shared" si="1"/>
        <v>0.05774783446</v>
      </c>
      <c r="E7" s="937" t="str">
        <f>IF(D7&lt;'PlayerGrades+'!$AA$21,"F-",IF(D7&lt;'PlayerGrades+'!$AA$20,"F",IF(D7&lt;'PlayerGrades+'!$AA$19,"F+",IF(D7&lt;'PlayerGrades+'!$AA$18,"E-",IF(D7&lt;'PlayerGrades+'!$AA$17,"E",IF(D7&lt;'PlayerGrades+'!$AA$16,"E+",IF(D7&lt;'PlayerGrades+'!$AA$15,"D-",IF(D7&lt;'PlayerGrades+'!$AA$14,"D",IF(D7&lt;'PlayerGrades+'!$AA$13,"D+",IF(D7&lt;'PlayerGrades+'!$AA$12,"C-",IF(D7&lt;'PlayerGrades+'!$AA$11,"C",IF(D7&lt;'PlayerGrades+'!$AA$10,"C+",IF(D7&lt;'PlayerGrades+'!$AA$9,"B-",IF(D7&lt;'PlayerGrades+'!$AA$8,"B",IF(D7&lt;'PlayerGrades+'!$AA$7,"B+",IF(D7&lt;'PlayerGrades+'!$AA$6,"A-",IF(D7&lt;'PlayerGrades+'!$AA$5,"A",IF(D7&lt;'PlayerGrades+'!$AA$4,"A+",IF(D7&lt;'PlayerGrades+'!$AA$3,"S-",IF(D7&lt;'PlayerGrades+'!$AA$2,"S","S+"))))))))))))))))))))</f>
        <v>B-</v>
      </c>
      <c r="F7" s="937">
        <f t="shared" si="2"/>
        <v>0</v>
      </c>
      <c r="G7" s="937" t="str">
        <f>IF(F7&lt;'PlayerGrades+'!$AB$21,"F-",IF(F7&lt;'PlayerGrades+'!$AB$20,"F",IF(F7&lt;'PlayerGrades+'!$AB$19,"F+",IF(F7&lt;'PlayerGrades+'!$AB$18,"E-",IF(F7&lt;'PlayerGrades+'!$AB$17,"E",IF(F7&lt;'PlayerGrades+'!$AB$16,"E+",IF(F7&lt;'PlayerGrades+'!$AB$15,"D-",IF(F7&lt;'PlayerGrades+'!$AB$14,"D",IF(F7&lt;'PlayerGrades+'!$AB$13,"D+",IF(F7&lt;'PlayerGrades+'!$AB$12,"C-",IF(F7&lt;'PlayerGrades+'!$AB$11,"C",IF(F7&lt;'PlayerGrades+'!$AB$10,"C+",IF(F7&lt;'PlayerGrades+'!$AB$9,"B-",IF(F7&lt;'PlayerGrades+'!$AB$8,"B",IF(F7&lt;'PlayerGrades+'!$AB$7,"B+",IF(F7&lt;'PlayerGrades+'!$AB$6,"A-",IF(F7&lt;'PlayerGrades+'!$AB$5,"A",IF(F7&lt;'PlayerGrades+'!$AB$4,"A+",IF(F7&lt;'PlayerGrades+'!$AB$3,"S-",IF(F7&lt;'PlayerGrades+'!$AB$2,"S","S+"))))))))))))))))))))</f>
        <v>B</v>
      </c>
      <c r="H7" s="937">
        <f t="shared" si="3"/>
        <v>0.4619826756</v>
      </c>
      <c r="I7" s="937" t="str">
        <f>IF(H7&lt;'PlayerGrades+'!$AC$21,"F-",IF(H7&lt;'PlayerGrades+'!$AC$20,"F",IF(H7&lt;'PlayerGrades+'!$AC$19,"F+",IF(H7&lt;'PlayerGrades+'!$AC$18,"E-",IF(H7&lt;'PlayerGrades+'!$AC$17,"E",IF(H7&lt;'PlayerGrades+'!$AC$16,"E+",IF(H7&lt;'PlayerGrades+'!$AC$15,"D-",IF(H7&lt;'PlayerGrades+'!$AC$14,"D",IF(H7&lt;'PlayerGrades+'!$AC$13,"D+",IF(H7&lt;'PlayerGrades+'!$AC$12,"C-",IF(H7&lt;'PlayerGrades+'!$AC$11,"C",IF(H7&lt;'PlayerGrades+'!$AC$10,"C+",IF(H7&lt;'PlayerGrades+'!$AC$9,"B-",IF(H7&lt;'PlayerGrades+'!$AC$8,"B",IF(H7&lt;'PlayerGrades+'!$AC$7,"B+",IF(H7&lt;'PlayerGrades+'!$AC$6,"A-",IF(H7&lt;'PlayerGrades+'!$AC$5,"A",IF(H7&lt;'PlayerGrades+'!$AC$4,"A+",IF(H7&lt;'PlayerGrades+'!$AC$3,"S-",IF(H7&lt;'PlayerGrades+'!$AC$2,"S","S+"))))))))))))))))))))</f>
        <v>S+</v>
      </c>
      <c r="J7" s="937">
        <f t="shared" si="4"/>
        <v>0</v>
      </c>
      <c r="K7" s="937" t="str">
        <f>IF(J7&lt;'PlayerGrades+'!$AD$21,"F-",IF(J7&lt;'PlayerGrades+'!$AD$20,"F",IF(J7&lt;'PlayerGrades+'!$AD$19,"F+",IF(J7&lt;'PlayerGrades+'!$AD$18,"E-",IF(J7&lt;'PlayerGrades+'!$AD$17,"E",IF(J7&lt;'PlayerGrades+'!$AD$16,"E+",IF(J7&lt;'PlayerGrades+'!$AD$15,"D-",IF(J7&lt;'PlayerGrades+'!$AD$14,"D",IF(J7&lt;'PlayerGrades+'!$AD$13,"D+",IF(J7&lt;'PlayerGrades+'!$AD$12,"C-",IF(J7&lt;'PlayerGrades+'!$AD$11,"C",IF(J7&lt;'PlayerGrades+'!$AD$10,"C+",IF(J7&lt;'PlayerGrades+'!$AD$9,"B-",IF(J7&lt;'PlayerGrades+'!$AD$8,"B",IF(J7&lt;'PlayerGrades+'!$AD$7,"B+",IF(J7&lt;'PlayerGrades+'!$AD$6,"A-",IF(J7&lt;'PlayerGrades+'!$AD$5,"A",IF(J7&lt;'PlayerGrades+'!$AD$4,"A+",IF(J7&lt;'PlayerGrades+'!$AD$3,"S-",IF(J7&lt;'PlayerGrades+'!$AD$2,"S","S+"))))))))))))))))))))</f>
        <v>F-</v>
      </c>
      <c r="L7" s="677">
        <f t="shared" si="5"/>
        <v>0.4042348412</v>
      </c>
      <c r="M7" s="938" t="str">
        <f>IF(L7&lt;'PlayerGrades+'!$AE$21,"F-",IF(L7&lt;'PlayerGrades+'!$AE$20,"F",IF(L7&lt;'PlayerGrades+'!$AE$19,"F+",IF(L7&lt;'PlayerGrades+'!$AE$18,"E-",IF(L7&lt;'PlayerGrades+'!$AE$17,"E",IF(L7&lt;'PlayerGrades+'!$AE$16,"E+",IF(L7&lt;'PlayerGrades+'!$AE$15,"D-",IF(L7&lt;'PlayerGrades+'!$AE$14,"D",IF(L7&lt;'PlayerGrades+'!$AE$13,"D+",IF(L7&lt;'PlayerGrades+'!$AE$12,"C-",IF(L7&lt;'PlayerGrades+'!$AE$11,"C",IF(L7&lt;'PlayerGrades+'!$AE$10,"C+",IF(L7&lt;'PlayerGrades+'!$AE$9,"B-",IF(L7&lt;'PlayerGrades+'!$AE$8,"B",IF(L7&lt;'PlayerGrades+'!$AE$7,"B+",IF(L7&lt;'PlayerGrades+'!$AE$6,"A-",IF(L7&lt;'PlayerGrades+'!$AE$5,"A",IF(L7&lt;'PlayerGrades+'!$AE$4,"A+",IF(L7&lt;'PlayerGrades+'!$AE$3,"S-",IF(L7&lt;'PlayerGrades+'!$AE$2,"S","S+"))))))))))))))))))))</f>
        <v>C</v>
      </c>
      <c r="N7" s="937">
        <f t="shared" si="6"/>
        <v>0.1154956689</v>
      </c>
      <c r="O7" s="937" t="str">
        <f>IF(N7&lt;'PlayerGrades+'!$AF$21,"F-",IF(N7&lt;'PlayerGrades+'!$AF$20,"F",IF(N7&lt;'PlayerGrades+'!$AF$19,"F+",IF(N7&lt;'PlayerGrades+'!$AF$18,"E-",IF(N7&lt;'PlayerGrades+'!$AF$17,"E",IF(N7&lt;'PlayerGrades+'!$AF$16,"E+",IF(N7&lt;'PlayerGrades+'!$AF$15,"D-",IF(N7&lt;'PlayerGrades+'!$AF$14,"D",IF(N7&lt;'PlayerGrades+'!$AF$13,"D+",IF(N7&lt;'PlayerGrades+'!$AF$12,"C-",IF(N7&lt;'PlayerGrades+'!$AF$11,"C",IF(N7&lt;'PlayerGrades+'!$AF$10,"C+",IF(N7&lt;'PlayerGrades+'!$AF$9,"B-",IF(N7&lt;'PlayerGrades+'!$AF$8,"B",IF(N7&lt;'PlayerGrades+'!$AF$7,"B+",IF(N7&lt;'PlayerGrades+'!$AF$6,"A-",IF(N7&lt;'PlayerGrades+'!$AF$5,"A",IF(N7&lt;'PlayerGrades+'!$AF$4,"A+",IF(N7&lt;'PlayerGrades+'!$AF$3,"S-",IF(N7&lt;'PlayerGrades+'!$AF$2,"S","S+"))))))))))))))))))))</f>
        <v>S-</v>
      </c>
      <c r="P7" s="937">
        <f t="shared" si="7"/>
        <v>0</v>
      </c>
      <c r="Q7" s="937" t="str">
        <f>IF(P7&lt;'PlayerGrades+'!$AG$21,"F-",IF(P7&lt;'PlayerGrades+'!$AG$20,"F",IF(P7&lt;'PlayerGrades+'!$AG$19,"F+",IF(P7&lt;'PlayerGrades+'!$AG$18,"E-",IF(P7&lt;'PlayerGrades+'!$AG$17,"E",IF(P7&lt;'PlayerGrades+'!$AG$16,"E+",IF(P7&lt;'PlayerGrades+'!$AG$15,"D-",IF(P7&lt;'PlayerGrades+'!$AG$14,"D",IF(P7&lt;'PlayerGrades+'!$AG$13,"D+",IF(P7&lt;'PlayerGrades+'!$AG$12,"C-",IF(P7&lt;'PlayerGrades+'!$AG$11,"C",IF(P7&lt;'PlayerGrades+'!$AG$10,"C+",IF(P7&lt;'PlayerGrades+'!$AG$9,"B-",IF(P7&lt;'PlayerGrades+'!$AG$8,"B",IF(P7&lt;'PlayerGrades+'!$AG$7,"B+",IF(P7&lt;'PlayerGrades+'!$AG$6,"A-",IF(P7&lt;'PlayerGrades+'!$AG$5,"A",IF(P7&lt;'PlayerGrades+'!$AG$4,"A+",IF(P7&lt;'PlayerGrades+'!$AG$3,"S-",IF(P7&lt;'PlayerGrades+'!$AG$2,"S","S+"))))))))))))))))))))</f>
        <v>F</v>
      </c>
      <c r="R7" s="937">
        <f t="shared" si="8"/>
        <v>0.635226179</v>
      </c>
      <c r="S7" s="937" t="str">
        <f>IF(R7&lt;'PlayerGrades+'!$AH$21,"F-",IF(R7&lt;'PlayerGrades+'!$AH$20,"F",IF(R7&lt;'PlayerGrades+'!$AH$19,"F+",IF(R7&lt;'PlayerGrades+'!$AH$18,"E-",IF(R7&lt;'PlayerGrades+'!$AH$17,"E",IF(R7&lt;'PlayerGrades+'!$AH$16,"E+",IF(R7&lt;'PlayerGrades+'!$AH$15,"D-",IF(R7&lt;'PlayerGrades+'!$AH$14,"D",IF(R7&lt;'PlayerGrades+'!$AH$13,"D+",IF(R7&lt;'PlayerGrades+'!$AH$12,"C-",IF(R7&lt;'PlayerGrades+'!$AH$11,"C",IF(R7&lt;'PlayerGrades+'!$AH$10,"C+",IF(R7&lt;'PlayerGrades+'!$AH$9,"B-",IF(R7&lt;'PlayerGrades+'!$AH$8,"B",IF(R7&lt;'PlayerGrades+'!$AH$7,"B+",IF(R7&lt;'PlayerGrades+'!$AH$6,"A-",IF(R7&lt;'PlayerGrades+'!$AH$5,"A",IF(R7&lt;'PlayerGrades+'!$AH$4,"A+",IF(R7&lt;'PlayerGrades+'!$AH$3,"S-",IF(R7&lt;'PlayerGrades+'!$AH$2,"S","S+"))))))))))))))))))))</f>
        <v>A</v>
      </c>
      <c r="T7" s="937">
        <f t="shared" si="9"/>
        <v>1.404234841</v>
      </c>
      <c r="U7" s="937" t="str">
        <f>IF(T7&lt;'PlayerGrades+'!$AI$21,"F-",IF(T7&lt;'PlayerGrades+'!$AI$20,"F",IF(T7&lt;'PlayerGrades+'!$AI$19,"F+",IF(T7&lt;'PlayerGrades+'!$AI$18,"E-",IF(T7&lt;'PlayerGrades+'!$AI$17,"E",IF(T7&lt;'PlayerGrades+'!$AI$16,"E+",IF(T7&lt;'PlayerGrades+'!$AI$15,"D-",IF(T7&lt;'PlayerGrades+'!$AI$14,"D",IF(T7&lt;'PlayerGrades+'!$AI$13,"D+",IF(T7&lt;'PlayerGrades+'!$AI$12,"C-",IF(T7&lt;'PlayerGrades+'!$AI$11,"C",IF(T7&lt;'PlayerGrades+'!$AI$10,"C+",IF(T7&lt;'PlayerGrades+'!$AI$9,"B-",IF(T7&lt;'PlayerGrades+'!$AI$8,"B",IF(T7&lt;'PlayerGrades+'!$AI$7,"B+",IF(T7&lt;'PlayerGrades+'!$AI$6,"A-",IF(T7&lt;'PlayerGrades+'!$AI$5,"A",IF(T7&lt;'PlayerGrades+'!$AI$4,"A+",IF(T7&lt;'PlayerGrades+'!$AI$3,"S-",IF(T7&lt;'PlayerGrades+'!$AI$2,"S","S+"))))))))))))))))))))</f>
        <v>B</v>
      </c>
      <c r="V7" s="941">
        <v>1.0</v>
      </c>
      <c r="W7" s="941">
        <v>1.0</v>
      </c>
      <c r="X7" s="941">
        <v>0.0</v>
      </c>
      <c r="Y7" s="941">
        <v>1.0</v>
      </c>
      <c r="Z7" s="941">
        <v>0.0</v>
      </c>
      <c r="AA7" s="941">
        <v>55.0</v>
      </c>
      <c r="AB7" s="941">
        <v>55.0</v>
      </c>
      <c r="AC7" s="941">
        <v>0.0</v>
      </c>
      <c r="AD7" s="941">
        <v>7.0</v>
      </c>
      <c r="AE7" s="941">
        <v>3.0</v>
      </c>
      <c r="AF7" s="941">
        <v>1.0</v>
      </c>
      <c r="AG7" s="941">
        <v>809.0</v>
      </c>
      <c r="AH7" s="941">
        <v>1039.0</v>
      </c>
      <c r="AI7" s="941">
        <v>14.0</v>
      </c>
      <c r="AJ7" s="941">
        <v>4.0</v>
      </c>
      <c r="AK7" s="941">
        <v>0.0</v>
      </c>
      <c r="AL7" s="941">
        <v>0.0</v>
      </c>
      <c r="AM7" s="941">
        <v>0.0</v>
      </c>
      <c r="AN7" s="941">
        <v>0.0</v>
      </c>
      <c r="AO7" s="941">
        <v>0.0</v>
      </c>
      <c r="AP7" s="941">
        <v>0.0</v>
      </c>
      <c r="AQ7" s="941">
        <v>0.0</v>
      </c>
      <c r="AR7" s="941">
        <v>7.0</v>
      </c>
      <c r="AS7" s="941">
        <v>2.0</v>
      </c>
      <c r="AT7" s="941">
        <v>0.0</v>
      </c>
      <c r="AU7" s="941">
        <v>0.0</v>
      </c>
      <c r="AV7" s="941">
        <v>0.0</v>
      </c>
      <c r="AW7" s="941">
        <v>0.0</v>
      </c>
      <c r="AX7" s="941">
        <v>0.0</v>
      </c>
      <c r="AY7" s="941">
        <v>0.0</v>
      </c>
      <c r="AZ7" s="941">
        <v>0.0</v>
      </c>
      <c r="BA7" s="941">
        <v>0.0</v>
      </c>
      <c r="BB7" s="941">
        <v>8.0</v>
      </c>
      <c r="BC7" s="941">
        <v>0.0</v>
      </c>
      <c r="BD7" s="941">
        <v>4.0</v>
      </c>
      <c r="BE7" s="942">
        <v>7.0</v>
      </c>
      <c r="BF7" s="941">
        <v>1.0</v>
      </c>
      <c r="BG7" s="941">
        <v>0.0</v>
      </c>
    </row>
    <row r="8">
      <c r="A8" s="935" t="s">
        <v>129</v>
      </c>
      <c r="B8" s="16" t="str">
        <f>IF(C8&lt;'PlayerGrades+'!$Y$44,"F-",IF(C8&lt;'PlayerGrades+'!$Y$43,"F",IF(C8&lt;'PlayerGrades+'!$Y$42,"F+",IF(C8&lt;'PlayerGrades+'!$Y$41,"E-",IF(C8&lt;'PlayerGrades+'!$Y$40,"E",IF(C8&lt;'PlayerGrades+'!$Y$39,"E+",IF(C8&lt;'PlayerGrades+'!$Y$38,"D-",IF(C8&lt;'PlayerGrades+'!$Y$37,"D",IF(C8&lt;'PlayerGrades+'!$Y$36,"D+",IF(C8&lt;'PlayerGrades+'!$Y$35,"C-",IF(C8&lt;'PlayerGrades+'!$Y$34,"C",IF(C8&lt;'PlayerGrades+'!$Y$33,"C+",IF(C8&lt;'PlayerGrades+'!$Y$32,"B-",IF(C8&lt;'PlayerGrades+'!$Y$31,"B",IF(C8&lt;'PlayerGrades+'!$Y$30,"B+",IF(C8&lt;'PlayerGrades+'!$Y$29,"A-",IF(C8&lt;'PlayerGrades+'!$Y$28,"A",IF(C8&lt;'PlayerGrades+'!$Y$27,"A+",IF(C8&lt;'PlayerGrades+'!$Y$26,"S-",IF(C8&lt;'PlayerGrades+'!$Y$25,"S","S+"))))))))))))))))))))</f>
        <v>S+</v>
      </c>
      <c r="C8" s="936">
        <f>('PlayerGrades+'!$Y$47*(VLOOKUP(E8, 'PlayerGrades+'!$X$3:$Y$23, 2, FALSE)))+('PlayerGrades+'!$Y$48*(VLOOKUP(G8, 'PlayerGrades+'!$X$3:$Y$23, 2, FALSE)))+('PlayerGrades+'!$Y$49*(VLOOKUP(I8, 'PlayerGrades+'!$X$3:$Y$23, 2, FALSE)))+('PlayerGrades+'!$Y$50*(VLOOKUP(K8, 'PlayerGrades+'!$X$3:$Y$23, 2, FALSE)))+('PlayerGrades+'!$Y$51*(VLOOKUP(M8, 'PlayerGrades+'!$X$3:$Y$23, 2, FALSE)))+('PlayerGrades+'!$Y$52*(VLOOKUP(O8, 'PlayerGrades+'!$X$3:$Y$23, 2, FALSE)))+('PlayerGrades+'!$Y$53*(VLOOKUP(Q8, 'PlayerGrades+'!$X$3:$Y$23, 2, FALSE)))+('PlayerGrades+'!$Y$54*(VLOOKUP(S8, 'PlayerGrades+'!$X$3:$Y$23, 2, FALSE)))+('PlayerGrades+'!$Y$55*(VLOOKUP(U8, 'PlayerGrades+'!$X$3:$Y$23, 2, FALSE)))</f>
        <v>33.8</v>
      </c>
      <c r="D8" s="937">
        <f t="shared" si="1"/>
        <v>0.1732435034</v>
      </c>
      <c r="E8" s="937" t="str">
        <f>IF(D8&lt;'PlayerGrades+'!$AA$21,"F-",IF(D8&lt;'PlayerGrades+'!$AA$20,"F",IF(D8&lt;'PlayerGrades+'!$AA$19,"F+",IF(D8&lt;'PlayerGrades+'!$AA$18,"E-",IF(D8&lt;'PlayerGrades+'!$AA$17,"E",IF(D8&lt;'PlayerGrades+'!$AA$16,"E+",IF(D8&lt;'PlayerGrades+'!$AA$15,"D-",IF(D8&lt;'PlayerGrades+'!$AA$14,"D",IF(D8&lt;'PlayerGrades+'!$AA$13,"D+",IF(D8&lt;'PlayerGrades+'!$AA$12,"C-",IF(D8&lt;'PlayerGrades+'!$AA$11,"C",IF(D8&lt;'PlayerGrades+'!$AA$10,"C+",IF(D8&lt;'PlayerGrades+'!$AA$9,"B-",IF(D8&lt;'PlayerGrades+'!$AA$8,"B",IF(D8&lt;'PlayerGrades+'!$AA$7,"B+",IF(D8&lt;'PlayerGrades+'!$AA$6,"A-",IF(D8&lt;'PlayerGrades+'!$AA$5,"A",IF(D8&lt;'PlayerGrades+'!$AA$4,"A+",IF(D8&lt;'PlayerGrades+'!$AA$3,"S-",IF(D8&lt;'PlayerGrades+'!$AA$2,"S","S+"))))))))))))))))))))</f>
        <v>B+</v>
      </c>
      <c r="F8" s="937">
        <f t="shared" si="2"/>
        <v>1.097208855</v>
      </c>
      <c r="G8" s="937" t="str">
        <f>IF(F8&lt;'PlayerGrades+'!$AB$21,"F-",IF(F8&lt;'PlayerGrades+'!$AB$20,"F",IF(F8&lt;'PlayerGrades+'!$AB$19,"F+",IF(F8&lt;'PlayerGrades+'!$AB$18,"E-",IF(F8&lt;'PlayerGrades+'!$AB$17,"E",IF(F8&lt;'PlayerGrades+'!$AB$16,"E+",IF(F8&lt;'PlayerGrades+'!$AB$15,"D-",IF(F8&lt;'PlayerGrades+'!$AB$14,"D",IF(F8&lt;'PlayerGrades+'!$AB$13,"D+",IF(F8&lt;'PlayerGrades+'!$AB$12,"C-",IF(F8&lt;'PlayerGrades+'!$AB$11,"C",IF(F8&lt;'PlayerGrades+'!$AB$10,"C+",IF(F8&lt;'PlayerGrades+'!$AB$9,"B-",IF(F8&lt;'PlayerGrades+'!$AB$8,"B",IF(F8&lt;'PlayerGrades+'!$AB$7,"B+",IF(F8&lt;'PlayerGrades+'!$AB$6,"A-",IF(F8&lt;'PlayerGrades+'!$AB$5,"A",IF(F8&lt;'PlayerGrades+'!$AB$4,"A+",IF(F8&lt;'PlayerGrades+'!$AB$3,"S-",IF(F8&lt;'PlayerGrades+'!$AB$2,"S","S+"))))))))))))))))))))</f>
        <v>S+</v>
      </c>
      <c r="H8" s="937">
        <f t="shared" si="3"/>
        <v>0.2887391723</v>
      </c>
      <c r="I8" s="937" t="str">
        <f>IF(H8&lt;'PlayerGrades+'!$AC$21,"F-",IF(H8&lt;'PlayerGrades+'!$AC$20,"F",IF(H8&lt;'PlayerGrades+'!$AC$19,"F+",IF(H8&lt;'PlayerGrades+'!$AC$18,"E-",IF(H8&lt;'PlayerGrades+'!$AC$17,"E",IF(H8&lt;'PlayerGrades+'!$AC$16,"E+",IF(H8&lt;'PlayerGrades+'!$AC$15,"D-",IF(H8&lt;'PlayerGrades+'!$AC$14,"D",IF(H8&lt;'PlayerGrades+'!$AC$13,"D+",IF(H8&lt;'PlayerGrades+'!$AC$12,"C-",IF(H8&lt;'PlayerGrades+'!$AC$11,"C",IF(H8&lt;'PlayerGrades+'!$AC$10,"C+",IF(H8&lt;'PlayerGrades+'!$AC$9,"B-",IF(H8&lt;'PlayerGrades+'!$AC$8,"B",IF(H8&lt;'PlayerGrades+'!$AC$7,"B+",IF(H8&lt;'PlayerGrades+'!$AC$6,"A-",IF(H8&lt;'PlayerGrades+'!$AC$5,"A",IF(H8&lt;'PlayerGrades+'!$AC$4,"A+",IF(H8&lt;'PlayerGrades+'!$AC$3,"S-",IF(H8&lt;'PlayerGrades+'!$AC$2,"S","S+"))))))))))))))))))))</f>
        <v>S</v>
      </c>
      <c r="J8" s="937">
        <f t="shared" si="4"/>
        <v>0.2887391723</v>
      </c>
      <c r="K8" s="937" t="str">
        <f>IF(J8&lt;'PlayerGrades+'!$AD$21,"F-",IF(J8&lt;'PlayerGrades+'!$AD$20,"F",IF(J8&lt;'PlayerGrades+'!$AD$19,"F+",IF(J8&lt;'PlayerGrades+'!$AD$18,"E-",IF(J8&lt;'PlayerGrades+'!$AD$17,"E",IF(J8&lt;'PlayerGrades+'!$AD$16,"E+",IF(J8&lt;'PlayerGrades+'!$AD$15,"D-",IF(J8&lt;'PlayerGrades+'!$AD$14,"D",IF(J8&lt;'PlayerGrades+'!$AD$13,"D+",IF(J8&lt;'PlayerGrades+'!$AD$12,"C-",IF(J8&lt;'PlayerGrades+'!$AD$11,"C",IF(J8&lt;'PlayerGrades+'!$AD$10,"C+",IF(J8&lt;'PlayerGrades+'!$AD$9,"B-",IF(J8&lt;'PlayerGrades+'!$AD$8,"B",IF(J8&lt;'PlayerGrades+'!$AD$7,"B+",IF(J8&lt;'PlayerGrades+'!$AD$6,"A-",IF(J8&lt;'PlayerGrades+'!$AD$5,"A",IF(J8&lt;'PlayerGrades+'!$AD$4,"A+",IF(J8&lt;'PlayerGrades+'!$AD$3,"S-",IF(J8&lt;'PlayerGrades+'!$AD$2,"S","S+"))))))))))))))))))))</f>
        <v>S+</v>
      </c>
      <c r="L8" s="677">
        <f t="shared" si="5"/>
        <v>0.8084696824</v>
      </c>
      <c r="M8" s="938" t="str">
        <f>IF(L8&lt;'PlayerGrades+'!$AE$21,"F-",IF(L8&lt;'PlayerGrades+'!$AE$20,"F",IF(L8&lt;'PlayerGrades+'!$AE$19,"F+",IF(L8&lt;'PlayerGrades+'!$AE$18,"E-",IF(L8&lt;'PlayerGrades+'!$AE$17,"E",IF(L8&lt;'PlayerGrades+'!$AE$16,"E+",IF(L8&lt;'PlayerGrades+'!$AE$15,"D-",IF(L8&lt;'PlayerGrades+'!$AE$14,"D",IF(L8&lt;'PlayerGrades+'!$AE$13,"D+",IF(L8&lt;'PlayerGrades+'!$AE$12,"C-",IF(L8&lt;'PlayerGrades+'!$AE$11,"C",IF(L8&lt;'PlayerGrades+'!$AE$10,"C+",IF(L8&lt;'PlayerGrades+'!$AE$9,"B-",IF(L8&lt;'PlayerGrades+'!$AE$8,"B",IF(L8&lt;'PlayerGrades+'!$AE$7,"B+",IF(L8&lt;'PlayerGrades+'!$AE$6,"A-",IF(L8&lt;'PlayerGrades+'!$AE$5,"A",IF(L8&lt;'PlayerGrades+'!$AE$4,"A+",IF(L8&lt;'PlayerGrades+'!$AE$3,"S-",IF(L8&lt;'PlayerGrades+'!$AE$2,"S","S+"))))))))))))))))))))</f>
        <v>S+</v>
      </c>
      <c r="N8" s="937">
        <f t="shared" si="6"/>
        <v>0.2887391723</v>
      </c>
      <c r="O8" s="937" t="str">
        <f>IF(N8&lt;'PlayerGrades+'!$AF$21,"F-",IF(N8&lt;'PlayerGrades+'!$AF$20,"F",IF(N8&lt;'PlayerGrades+'!$AF$19,"F+",IF(N8&lt;'PlayerGrades+'!$AF$18,"E-",IF(N8&lt;'PlayerGrades+'!$AF$17,"E",IF(N8&lt;'PlayerGrades+'!$AF$16,"E+",IF(N8&lt;'PlayerGrades+'!$AF$15,"D-",IF(N8&lt;'PlayerGrades+'!$AF$14,"D",IF(N8&lt;'PlayerGrades+'!$AF$13,"D+",IF(N8&lt;'PlayerGrades+'!$AF$12,"C-",IF(N8&lt;'PlayerGrades+'!$AF$11,"C",IF(N8&lt;'PlayerGrades+'!$AF$10,"C+",IF(N8&lt;'PlayerGrades+'!$AF$9,"B-",IF(N8&lt;'PlayerGrades+'!$AF$8,"B",IF(N8&lt;'PlayerGrades+'!$AF$7,"B+",IF(N8&lt;'PlayerGrades+'!$AF$6,"A-",IF(N8&lt;'PlayerGrades+'!$AF$5,"A",IF(N8&lt;'PlayerGrades+'!$AF$4,"A+",IF(N8&lt;'PlayerGrades+'!$AF$3,"S-",IF(N8&lt;'PlayerGrades+'!$AF$2,"S","S+"))))))))))))))))))))</f>
        <v>S+</v>
      </c>
      <c r="P8" s="937">
        <f t="shared" si="7"/>
        <v>0.2887391723</v>
      </c>
      <c r="Q8" s="937" t="str">
        <f>IF(P8&lt;'PlayerGrades+'!$AG$21,"F-",IF(P8&lt;'PlayerGrades+'!$AG$20,"F",IF(P8&lt;'PlayerGrades+'!$AG$19,"F+",IF(P8&lt;'PlayerGrades+'!$AG$18,"E-",IF(P8&lt;'PlayerGrades+'!$AG$17,"E",IF(P8&lt;'PlayerGrades+'!$AG$16,"E+",IF(P8&lt;'PlayerGrades+'!$AG$15,"D-",IF(P8&lt;'PlayerGrades+'!$AG$14,"D",IF(P8&lt;'PlayerGrades+'!$AG$13,"D+",IF(P8&lt;'PlayerGrades+'!$AG$12,"C-",IF(P8&lt;'PlayerGrades+'!$AG$11,"C",IF(P8&lt;'PlayerGrades+'!$AG$10,"C+",IF(P8&lt;'PlayerGrades+'!$AG$9,"B-",IF(P8&lt;'PlayerGrades+'!$AG$8,"B",IF(P8&lt;'PlayerGrades+'!$AG$7,"B+",IF(P8&lt;'PlayerGrades+'!$AG$6,"A-",IF(P8&lt;'PlayerGrades+'!$AG$5,"A",IF(P8&lt;'PlayerGrades+'!$AG$4,"A+",IF(P8&lt;'PlayerGrades+'!$AG$3,"S-",IF(P8&lt;'PlayerGrades+'!$AG$2,"S","S+"))))))))))))))))))))</f>
        <v>S+</v>
      </c>
      <c r="R8" s="937">
        <f t="shared" si="8"/>
        <v>0.635226179</v>
      </c>
      <c r="S8" s="937" t="str">
        <f>IF(R8&lt;'PlayerGrades+'!$AH$21,"F-",IF(R8&lt;'PlayerGrades+'!$AH$20,"F",IF(R8&lt;'PlayerGrades+'!$AH$19,"F+",IF(R8&lt;'PlayerGrades+'!$AH$18,"E-",IF(R8&lt;'PlayerGrades+'!$AH$17,"E",IF(R8&lt;'PlayerGrades+'!$AH$16,"E+",IF(R8&lt;'PlayerGrades+'!$AH$15,"D-",IF(R8&lt;'PlayerGrades+'!$AH$14,"D",IF(R8&lt;'PlayerGrades+'!$AH$13,"D+",IF(R8&lt;'PlayerGrades+'!$AH$12,"C-",IF(R8&lt;'PlayerGrades+'!$AH$11,"C",IF(R8&lt;'PlayerGrades+'!$AH$10,"C+",IF(R8&lt;'PlayerGrades+'!$AH$9,"B-",IF(R8&lt;'PlayerGrades+'!$AH$8,"B",IF(R8&lt;'PlayerGrades+'!$AH$7,"B+",IF(R8&lt;'PlayerGrades+'!$AH$6,"A-",IF(R8&lt;'PlayerGrades+'!$AH$5,"A",IF(R8&lt;'PlayerGrades+'!$AH$4,"A+",IF(R8&lt;'PlayerGrades+'!$AH$3,"S-",IF(R8&lt;'PlayerGrades+'!$AH$2,"S","S+"))))))))))))))))))))</f>
        <v>A</v>
      </c>
      <c r="T8" s="937">
        <f t="shared" si="9"/>
        <v>1.173243503</v>
      </c>
      <c r="U8" s="937" t="str">
        <f>IF(T8&lt;'PlayerGrades+'!$AI$21,"F-",IF(T8&lt;'PlayerGrades+'!$AI$20,"F",IF(T8&lt;'PlayerGrades+'!$AI$19,"F+",IF(T8&lt;'PlayerGrades+'!$AI$18,"E-",IF(T8&lt;'PlayerGrades+'!$AI$17,"E",IF(T8&lt;'PlayerGrades+'!$AI$16,"E+",IF(T8&lt;'PlayerGrades+'!$AI$15,"D-",IF(T8&lt;'PlayerGrades+'!$AI$14,"D",IF(T8&lt;'PlayerGrades+'!$AI$13,"D+",IF(T8&lt;'PlayerGrades+'!$AI$12,"C-",IF(T8&lt;'PlayerGrades+'!$AI$11,"C",IF(T8&lt;'PlayerGrades+'!$AI$10,"C+",IF(T8&lt;'PlayerGrades+'!$AI$9,"B-",IF(T8&lt;'PlayerGrades+'!$AI$8,"B",IF(T8&lt;'PlayerGrades+'!$AI$7,"B+",IF(T8&lt;'PlayerGrades+'!$AI$6,"A-",IF(T8&lt;'PlayerGrades+'!$AI$5,"A",IF(T8&lt;'PlayerGrades+'!$AI$4,"A+",IF(T8&lt;'PlayerGrades+'!$AI$3,"S-",IF(T8&lt;'PlayerGrades+'!$AI$2,"S","S+"))))))))))))))))))))</f>
        <v>D+</v>
      </c>
      <c r="V8" s="941">
        <v>1.0</v>
      </c>
      <c r="W8" s="941">
        <v>1.0</v>
      </c>
      <c r="X8" s="941">
        <v>0.0</v>
      </c>
      <c r="Y8" s="941">
        <v>2.0</v>
      </c>
      <c r="Z8" s="941">
        <v>1.0</v>
      </c>
      <c r="AA8" s="941">
        <v>85.0</v>
      </c>
      <c r="AB8" s="941">
        <v>66.0</v>
      </c>
      <c r="AC8" s="941">
        <v>19.0</v>
      </c>
      <c r="AD8" s="941">
        <v>5.0</v>
      </c>
      <c r="AE8" s="941">
        <v>7.0</v>
      </c>
      <c r="AF8" s="941">
        <v>0.0</v>
      </c>
      <c r="AG8" s="941">
        <v>775.0</v>
      </c>
      <c r="AH8" s="941">
        <v>1039.0</v>
      </c>
      <c r="AI8" s="941">
        <v>11.0</v>
      </c>
      <c r="AJ8" s="941">
        <v>4.0</v>
      </c>
      <c r="AK8" s="941">
        <v>0.0</v>
      </c>
      <c r="AL8" s="941">
        <v>5.0</v>
      </c>
      <c r="AM8" s="941">
        <v>0.0</v>
      </c>
      <c r="AN8" s="941">
        <v>0.0</v>
      </c>
      <c r="AO8" s="941">
        <v>0.0</v>
      </c>
      <c r="AP8" s="941">
        <v>5.0</v>
      </c>
      <c r="AQ8" s="941">
        <v>0.0</v>
      </c>
      <c r="AR8" s="941">
        <v>14.0</v>
      </c>
      <c r="AS8" s="941">
        <v>5.0</v>
      </c>
      <c r="AT8" s="941">
        <v>3.0</v>
      </c>
      <c r="AU8" s="941">
        <v>3.0</v>
      </c>
      <c r="AV8" s="941">
        <v>0.0</v>
      </c>
      <c r="AW8" s="941">
        <v>0.0</v>
      </c>
      <c r="AX8" s="941">
        <v>0.0</v>
      </c>
      <c r="AY8" s="941">
        <v>0.0</v>
      </c>
      <c r="AZ8" s="941">
        <v>0.0</v>
      </c>
      <c r="BA8" s="941">
        <v>1.0</v>
      </c>
      <c r="BB8" s="941">
        <v>5.0</v>
      </c>
      <c r="BC8" s="941">
        <v>0.0</v>
      </c>
      <c r="BD8" s="941">
        <v>6.0</v>
      </c>
      <c r="BE8" s="942">
        <v>3.0</v>
      </c>
      <c r="BF8" s="941">
        <v>1.0</v>
      </c>
      <c r="BG8" s="941">
        <v>0.0</v>
      </c>
    </row>
    <row r="9">
      <c r="A9" s="943" t="s">
        <v>118</v>
      </c>
      <c r="B9" s="16" t="str">
        <f>IF(C9&lt;'PlayerGrades+'!$Y$44,"F-",IF(C9&lt;'PlayerGrades+'!$Y$43,"F",IF(C9&lt;'PlayerGrades+'!$Y$42,"F+",IF(C9&lt;'PlayerGrades+'!$Y$41,"E-",IF(C9&lt;'PlayerGrades+'!$Y$40,"E",IF(C9&lt;'PlayerGrades+'!$Y$39,"E+",IF(C9&lt;'PlayerGrades+'!$Y$38,"D-",IF(C9&lt;'PlayerGrades+'!$Y$37,"D",IF(C9&lt;'PlayerGrades+'!$Y$36,"D+",IF(C9&lt;'PlayerGrades+'!$Y$35,"C-",IF(C9&lt;'PlayerGrades+'!$Y$34,"C",IF(C9&lt;'PlayerGrades+'!$Y$33,"C+",IF(C9&lt;'PlayerGrades+'!$Y$32,"B-",IF(C9&lt;'PlayerGrades+'!$Y$31,"B",IF(C9&lt;'PlayerGrades+'!$Y$30,"B+",IF(C9&lt;'PlayerGrades+'!$Y$29,"A-",IF(C9&lt;'PlayerGrades+'!$Y$28,"A",IF(C9&lt;'PlayerGrades+'!$Y$27,"A+",IF(C9&lt;'PlayerGrades+'!$Y$26,"S-",IF(C9&lt;'PlayerGrades+'!$Y$25,"S","S+"))))))))))))))))))))</f>
        <v>D</v>
      </c>
      <c r="C9" s="936">
        <f>('PlayerGrades+'!$Y$47*(VLOOKUP(E9, 'PlayerGrades+'!$X$3:$Y$23, 2, FALSE)))+('PlayerGrades+'!$Y$48*(VLOOKUP(G9, 'PlayerGrades+'!$X$3:$Y$23, 2, FALSE)))+('PlayerGrades+'!$Y$49*(VLOOKUP(I9, 'PlayerGrades+'!$X$3:$Y$23, 2, FALSE)))+('PlayerGrades+'!$Y$50*(VLOOKUP(K9, 'PlayerGrades+'!$X$3:$Y$23, 2, FALSE)))+('PlayerGrades+'!$Y$51*(VLOOKUP(M9, 'PlayerGrades+'!$X$3:$Y$23, 2, FALSE)))+('PlayerGrades+'!$Y$52*(VLOOKUP(O9, 'PlayerGrades+'!$X$3:$Y$23, 2, FALSE)))+('PlayerGrades+'!$Y$53*(VLOOKUP(Q9, 'PlayerGrades+'!$X$3:$Y$23, 2, FALSE)))+('PlayerGrades+'!$Y$54*(VLOOKUP(S9, 'PlayerGrades+'!$X$3:$Y$23, 2, FALSE)))+('PlayerGrades+'!$Y$55*(VLOOKUP(U9, 'PlayerGrades+'!$X$3:$Y$23, 2, FALSE)))</f>
        <v>15.55</v>
      </c>
      <c r="D9" s="937">
        <f t="shared" si="1"/>
        <v>0.4619826756</v>
      </c>
      <c r="E9" s="937" t="str">
        <f>IF(D9&lt;'PlayerGrades+'!$AA$21,"F-",IF(D9&lt;'PlayerGrades+'!$AA$20,"F",IF(D9&lt;'PlayerGrades+'!$AA$19,"F+",IF(D9&lt;'PlayerGrades+'!$AA$18,"E-",IF(D9&lt;'PlayerGrades+'!$AA$17,"E",IF(D9&lt;'PlayerGrades+'!$AA$16,"E+",IF(D9&lt;'PlayerGrades+'!$AA$15,"D-",IF(D9&lt;'PlayerGrades+'!$AA$14,"D",IF(D9&lt;'PlayerGrades+'!$AA$13,"D+",IF(D9&lt;'PlayerGrades+'!$AA$12,"C-",IF(D9&lt;'PlayerGrades+'!$AA$11,"C",IF(D9&lt;'PlayerGrades+'!$AA$10,"C+",IF(D9&lt;'PlayerGrades+'!$AA$9,"B-",IF(D9&lt;'PlayerGrades+'!$AA$8,"B",IF(D9&lt;'PlayerGrades+'!$AA$7,"B+",IF(D9&lt;'PlayerGrades+'!$AA$6,"A-",IF(D9&lt;'PlayerGrades+'!$AA$5,"A",IF(D9&lt;'PlayerGrades+'!$AA$4,"A+",IF(D9&lt;'PlayerGrades+'!$AA$3,"S-",IF(D9&lt;'PlayerGrades+'!$AA$2,"S","S+"))))))))))))))))))))</f>
        <v>A+</v>
      </c>
      <c r="F9" s="937">
        <f t="shared" si="2"/>
        <v>0.3464870067</v>
      </c>
      <c r="G9" s="937" t="str">
        <f>IF(F9&lt;'PlayerGrades+'!$AB$21,"F-",IF(F9&lt;'PlayerGrades+'!$AB$20,"F",IF(F9&lt;'PlayerGrades+'!$AB$19,"F+",IF(F9&lt;'PlayerGrades+'!$AB$18,"E-",IF(F9&lt;'PlayerGrades+'!$AB$17,"E",IF(F9&lt;'PlayerGrades+'!$AB$16,"E+",IF(F9&lt;'PlayerGrades+'!$AB$15,"D-",IF(F9&lt;'PlayerGrades+'!$AB$14,"D",IF(F9&lt;'PlayerGrades+'!$AB$13,"D+",IF(F9&lt;'PlayerGrades+'!$AB$12,"C-",IF(F9&lt;'PlayerGrades+'!$AB$11,"C",IF(F9&lt;'PlayerGrades+'!$AB$10,"C+",IF(F9&lt;'PlayerGrades+'!$AB$9,"B-",IF(F9&lt;'PlayerGrades+'!$AB$8,"B",IF(F9&lt;'PlayerGrades+'!$AB$7,"B+",IF(F9&lt;'PlayerGrades+'!$AB$6,"A-",IF(F9&lt;'PlayerGrades+'!$AB$5,"A",IF(F9&lt;'PlayerGrades+'!$AB$4,"A+",IF(F9&lt;'PlayerGrades+'!$AB$3,"S-",IF(F9&lt;'PlayerGrades+'!$AB$2,"S","S+"))))))))))))))))))))</f>
        <v>A-</v>
      </c>
      <c r="H9" s="937">
        <f t="shared" si="3"/>
        <v>0</v>
      </c>
      <c r="I9" s="937" t="str">
        <f>IF(H9&lt;'PlayerGrades+'!$AC$21,"F-",IF(H9&lt;'PlayerGrades+'!$AC$20,"F",IF(H9&lt;'PlayerGrades+'!$AC$19,"F+",IF(H9&lt;'PlayerGrades+'!$AC$18,"E-",IF(H9&lt;'PlayerGrades+'!$AC$17,"E",IF(H9&lt;'PlayerGrades+'!$AC$16,"E+",IF(H9&lt;'PlayerGrades+'!$AC$15,"D-",IF(H9&lt;'PlayerGrades+'!$AC$14,"D",IF(H9&lt;'PlayerGrades+'!$AC$13,"D+",IF(H9&lt;'PlayerGrades+'!$AC$12,"C-",IF(H9&lt;'PlayerGrades+'!$AC$11,"C",IF(H9&lt;'PlayerGrades+'!$AC$10,"C+",IF(H9&lt;'PlayerGrades+'!$AC$9,"B-",IF(H9&lt;'PlayerGrades+'!$AC$8,"B",IF(H9&lt;'PlayerGrades+'!$AC$7,"B+",IF(H9&lt;'PlayerGrades+'!$AC$6,"A-",IF(H9&lt;'PlayerGrades+'!$AC$5,"A",IF(H9&lt;'PlayerGrades+'!$AC$4,"A+",IF(H9&lt;'PlayerGrades+'!$AC$3,"S-",IF(H9&lt;'PlayerGrades+'!$AC$2,"S","S+"))))))))))))))))))))</f>
        <v>F-</v>
      </c>
      <c r="J9" s="937">
        <f t="shared" si="4"/>
        <v>0.05774783446</v>
      </c>
      <c r="K9" s="937" t="str">
        <f>IF(J9&lt;'PlayerGrades+'!$AD$21,"F-",IF(J9&lt;'PlayerGrades+'!$AD$20,"F",IF(J9&lt;'PlayerGrades+'!$AD$19,"F+",IF(J9&lt;'PlayerGrades+'!$AD$18,"E-",IF(J9&lt;'PlayerGrades+'!$AD$17,"E",IF(J9&lt;'PlayerGrades+'!$AD$16,"E+",IF(J9&lt;'PlayerGrades+'!$AD$15,"D-",IF(J9&lt;'PlayerGrades+'!$AD$14,"D",IF(J9&lt;'PlayerGrades+'!$AD$13,"D+",IF(J9&lt;'PlayerGrades+'!$AD$12,"C-",IF(J9&lt;'PlayerGrades+'!$AD$11,"C",IF(J9&lt;'PlayerGrades+'!$AD$10,"C+",IF(J9&lt;'PlayerGrades+'!$AD$9,"B-",IF(J9&lt;'PlayerGrades+'!$AD$8,"B",IF(J9&lt;'PlayerGrades+'!$AD$7,"B+",IF(J9&lt;'PlayerGrades+'!$AD$6,"A-",IF(J9&lt;'PlayerGrades+'!$AD$5,"A",IF(J9&lt;'PlayerGrades+'!$AD$4,"A+",IF(J9&lt;'PlayerGrades+'!$AD$3,"S-",IF(J9&lt;'PlayerGrades+'!$AD$2,"S","S+"))))))))))))))))))))</f>
        <v>B+</v>
      </c>
      <c r="L9" s="677">
        <f t="shared" si="5"/>
        <v>0.4042348412</v>
      </c>
      <c r="M9" s="938" t="str">
        <f>IF(L9&lt;'PlayerGrades+'!$AE$21,"F-",IF(L9&lt;'PlayerGrades+'!$AE$20,"F",IF(L9&lt;'PlayerGrades+'!$AE$19,"F+",IF(L9&lt;'PlayerGrades+'!$AE$18,"E-",IF(L9&lt;'PlayerGrades+'!$AE$17,"E",IF(L9&lt;'PlayerGrades+'!$AE$16,"E+",IF(L9&lt;'PlayerGrades+'!$AE$15,"D-",IF(L9&lt;'PlayerGrades+'!$AE$14,"D",IF(L9&lt;'PlayerGrades+'!$AE$13,"D+",IF(L9&lt;'PlayerGrades+'!$AE$12,"C-",IF(L9&lt;'PlayerGrades+'!$AE$11,"C",IF(L9&lt;'PlayerGrades+'!$AE$10,"C+",IF(L9&lt;'PlayerGrades+'!$AE$9,"B-",IF(L9&lt;'PlayerGrades+'!$AE$8,"B",IF(L9&lt;'PlayerGrades+'!$AE$7,"B+",IF(L9&lt;'PlayerGrades+'!$AE$6,"A-",IF(L9&lt;'PlayerGrades+'!$AE$5,"A",IF(L9&lt;'PlayerGrades+'!$AE$4,"A+",IF(L9&lt;'PlayerGrades+'!$AE$3,"S-",IF(L9&lt;'PlayerGrades+'!$AE$2,"S","S+"))))))))))))))))))))</f>
        <v>C</v>
      </c>
      <c r="N9" s="937">
        <f t="shared" si="6"/>
        <v>0</v>
      </c>
      <c r="O9" s="937" t="str">
        <f>IF(N9&lt;'PlayerGrades+'!$AF$21,"F-",IF(N9&lt;'PlayerGrades+'!$AF$20,"F",IF(N9&lt;'PlayerGrades+'!$AF$19,"F+",IF(N9&lt;'PlayerGrades+'!$AF$18,"E-",IF(N9&lt;'PlayerGrades+'!$AF$17,"E",IF(N9&lt;'PlayerGrades+'!$AF$16,"E+",IF(N9&lt;'PlayerGrades+'!$AF$15,"D-",IF(N9&lt;'PlayerGrades+'!$AF$14,"D",IF(N9&lt;'PlayerGrades+'!$AF$13,"D+",IF(N9&lt;'PlayerGrades+'!$AF$12,"C-",IF(N9&lt;'PlayerGrades+'!$AF$11,"C",IF(N9&lt;'PlayerGrades+'!$AF$10,"C+",IF(N9&lt;'PlayerGrades+'!$AF$9,"B-",IF(N9&lt;'PlayerGrades+'!$AF$8,"B",IF(N9&lt;'PlayerGrades+'!$AF$7,"B+",IF(N9&lt;'PlayerGrades+'!$AF$6,"A-",IF(N9&lt;'PlayerGrades+'!$AF$5,"A",IF(N9&lt;'PlayerGrades+'!$AF$4,"A+",IF(N9&lt;'PlayerGrades+'!$AF$3,"S-",IF(N9&lt;'PlayerGrades+'!$AF$2,"S","S+"))))))))))))))))))))</f>
        <v>F-</v>
      </c>
      <c r="P9" s="937">
        <f t="shared" si="7"/>
        <v>0</v>
      </c>
      <c r="Q9" s="937" t="str">
        <f>IF(P9&lt;'PlayerGrades+'!$AG$21,"F-",IF(P9&lt;'PlayerGrades+'!$AG$20,"F",IF(P9&lt;'PlayerGrades+'!$AG$19,"F+",IF(P9&lt;'PlayerGrades+'!$AG$18,"E-",IF(P9&lt;'PlayerGrades+'!$AG$17,"E",IF(P9&lt;'PlayerGrades+'!$AG$16,"E+",IF(P9&lt;'PlayerGrades+'!$AG$15,"D-",IF(P9&lt;'PlayerGrades+'!$AG$14,"D",IF(P9&lt;'PlayerGrades+'!$AG$13,"D+",IF(P9&lt;'PlayerGrades+'!$AG$12,"C-",IF(P9&lt;'PlayerGrades+'!$AG$11,"C",IF(P9&lt;'PlayerGrades+'!$AG$10,"C+",IF(P9&lt;'PlayerGrades+'!$AG$9,"B-",IF(P9&lt;'PlayerGrades+'!$AG$8,"B",IF(P9&lt;'PlayerGrades+'!$AG$7,"B+",IF(P9&lt;'PlayerGrades+'!$AG$6,"A-",IF(P9&lt;'PlayerGrades+'!$AG$5,"A",IF(P9&lt;'PlayerGrades+'!$AG$4,"A+",IF(P9&lt;'PlayerGrades+'!$AG$3,"S-",IF(P9&lt;'PlayerGrades+'!$AG$2,"S","S+"))))))))))))))))))))</f>
        <v>F</v>
      </c>
      <c r="R9" s="937">
        <f t="shared" si="8"/>
        <v>0.4042348412</v>
      </c>
      <c r="S9" s="937" t="str">
        <f>IF(R9&lt;'PlayerGrades+'!$AH$21,"F-",IF(R9&lt;'PlayerGrades+'!$AH$20,"F",IF(R9&lt;'PlayerGrades+'!$AH$19,"F+",IF(R9&lt;'PlayerGrades+'!$AH$18,"E-",IF(R9&lt;'PlayerGrades+'!$AH$17,"E",IF(R9&lt;'PlayerGrades+'!$AH$16,"E+",IF(R9&lt;'PlayerGrades+'!$AH$15,"D-",IF(R9&lt;'PlayerGrades+'!$AH$14,"D",IF(R9&lt;'PlayerGrades+'!$AH$13,"D+",IF(R9&lt;'PlayerGrades+'!$AH$12,"C-",IF(R9&lt;'PlayerGrades+'!$AH$11,"C",IF(R9&lt;'PlayerGrades+'!$AH$10,"C+",IF(R9&lt;'PlayerGrades+'!$AH$9,"B-",IF(R9&lt;'PlayerGrades+'!$AH$8,"B",IF(R9&lt;'PlayerGrades+'!$AH$7,"B+",IF(R9&lt;'PlayerGrades+'!$AH$6,"A-",IF(R9&lt;'PlayerGrades+'!$AH$5,"A",IF(R9&lt;'PlayerGrades+'!$AH$4,"A+",IF(R9&lt;'PlayerGrades+'!$AH$3,"S-",IF(R9&lt;'PlayerGrades+'!$AH$2,"S","S+"))))))))))))))))))))</f>
        <v>F+</v>
      </c>
      <c r="T9" s="937">
        <f t="shared" si="9"/>
        <v>1.230991338</v>
      </c>
      <c r="U9" s="937" t="str">
        <f>IF(T9&lt;'PlayerGrades+'!$AI$21,"F-",IF(T9&lt;'PlayerGrades+'!$AI$20,"F",IF(T9&lt;'PlayerGrades+'!$AI$19,"F+",IF(T9&lt;'PlayerGrades+'!$AI$18,"E-",IF(T9&lt;'PlayerGrades+'!$AI$17,"E",IF(T9&lt;'PlayerGrades+'!$AI$16,"E+",IF(T9&lt;'PlayerGrades+'!$AI$15,"D-",IF(T9&lt;'PlayerGrades+'!$AI$14,"D",IF(T9&lt;'PlayerGrades+'!$AI$13,"D+",IF(T9&lt;'PlayerGrades+'!$AI$12,"C-",IF(T9&lt;'PlayerGrades+'!$AI$11,"C",IF(T9&lt;'PlayerGrades+'!$AI$10,"C+",IF(T9&lt;'PlayerGrades+'!$AI$9,"B-",IF(T9&lt;'PlayerGrades+'!$AI$8,"B",IF(T9&lt;'PlayerGrades+'!$AI$7,"B+",IF(T9&lt;'PlayerGrades+'!$AI$6,"A-",IF(T9&lt;'PlayerGrades+'!$AI$5,"A",IF(T9&lt;'PlayerGrades+'!$AI$4,"A+",IF(T9&lt;'PlayerGrades+'!$AI$3,"S-",IF(T9&lt;'PlayerGrades+'!$AI$2,"S","S+"))))))))))))))))))))</f>
        <v>C</v>
      </c>
      <c r="V9" s="944">
        <v>1.0</v>
      </c>
      <c r="W9" s="944">
        <v>1.0</v>
      </c>
      <c r="X9" s="944">
        <v>0.0</v>
      </c>
      <c r="Y9" s="944">
        <v>2.0</v>
      </c>
      <c r="Z9" s="944">
        <v>6.0</v>
      </c>
      <c r="AA9" s="944">
        <v>40.0</v>
      </c>
      <c r="AB9" s="944">
        <v>34.0</v>
      </c>
      <c r="AC9" s="944">
        <v>6.0</v>
      </c>
      <c r="AD9" s="944">
        <v>1.0</v>
      </c>
      <c r="AE9" s="944">
        <v>6.0</v>
      </c>
      <c r="AF9" s="944">
        <v>1.0</v>
      </c>
      <c r="AG9" s="944">
        <v>871.0</v>
      </c>
      <c r="AH9" s="944">
        <v>1039.0</v>
      </c>
      <c r="AI9" s="944">
        <v>25.0</v>
      </c>
      <c r="AJ9" s="944">
        <v>431.0</v>
      </c>
      <c r="AK9" s="944">
        <v>0.0</v>
      </c>
      <c r="AL9" s="944">
        <v>1.0</v>
      </c>
      <c r="AM9" s="944">
        <v>0.0</v>
      </c>
      <c r="AN9" s="944">
        <v>0.0</v>
      </c>
      <c r="AO9" s="944">
        <v>0.0</v>
      </c>
      <c r="AP9" s="944">
        <v>0.0</v>
      </c>
      <c r="AQ9" s="944">
        <v>0.0</v>
      </c>
      <c r="AR9" s="944">
        <v>7.0</v>
      </c>
      <c r="AS9" s="944">
        <v>0.0</v>
      </c>
      <c r="AT9" s="944">
        <v>0.0</v>
      </c>
      <c r="AU9" s="944">
        <v>0.0</v>
      </c>
      <c r="AV9" s="944">
        <v>0.0</v>
      </c>
      <c r="AW9" s="944">
        <v>0.0</v>
      </c>
      <c r="AX9" s="944">
        <v>0.0</v>
      </c>
      <c r="AY9" s="944">
        <v>0.0</v>
      </c>
      <c r="AZ9" s="944">
        <v>0.0</v>
      </c>
      <c r="BA9" s="944">
        <v>0.0</v>
      </c>
      <c r="BB9" s="944">
        <v>0.0</v>
      </c>
      <c r="BC9" s="944">
        <v>1.0</v>
      </c>
      <c r="BD9" s="944">
        <v>6.0</v>
      </c>
      <c r="BE9" s="945">
        <v>4.0</v>
      </c>
      <c r="BF9" s="941">
        <v>1.0</v>
      </c>
      <c r="BG9" s="941">
        <v>0.0</v>
      </c>
    </row>
    <row r="10">
      <c r="A10" s="946" t="s">
        <v>115</v>
      </c>
      <c r="B10" s="16" t="str">
        <f>IF(C10&lt;'PlayerGrades+'!$Y$44,"F-",IF(C10&lt;'PlayerGrades+'!$Y$43,"F",IF(C10&lt;'PlayerGrades+'!$Y$42,"F+",IF(C10&lt;'PlayerGrades+'!$Y$41,"E-",IF(C10&lt;'PlayerGrades+'!$Y$40,"E",IF(C10&lt;'PlayerGrades+'!$Y$39,"E+",IF(C10&lt;'PlayerGrades+'!$Y$38,"D-",IF(C10&lt;'PlayerGrades+'!$Y$37,"D",IF(C10&lt;'PlayerGrades+'!$Y$36,"D+",IF(C10&lt;'PlayerGrades+'!$Y$35,"C-",IF(C10&lt;'PlayerGrades+'!$Y$34,"C",IF(C10&lt;'PlayerGrades+'!$Y$33,"C+",IF(C10&lt;'PlayerGrades+'!$Y$32,"B-",IF(C10&lt;'PlayerGrades+'!$Y$31,"B",IF(C10&lt;'PlayerGrades+'!$Y$30,"B+",IF(C10&lt;'PlayerGrades+'!$Y$29,"A-",IF(C10&lt;'PlayerGrades+'!$Y$28,"A",IF(C10&lt;'PlayerGrades+'!$Y$27,"A+",IF(C10&lt;'PlayerGrades+'!$Y$26,"S-",IF(C10&lt;'PlayerGrades+'!$Y$25,"S","S+"))))))))))))))))))))</f>
        <v>F-</v>
      </c>
      <c r="C10" s="936">
        <f>('PlayerGrades+'!$Y$47*(VLOOKUP(E10, 'PlayerGrades+'!$X$3:$Y$23, 2, FALSE)))+('PlayerGrades+'!$Y$48*(VLOOKUP(G10, 'PlayerGrades+'!$X$3:$Y$23, 2, FALSE)))+('PlayerGrades+'!$Y$49*(VLOOKUP(I10, 'PlayerGrades+'!$X$3:$Y$23, 2, FALSE)))+('PlayerGrades+'!$Y$50*(VLOOKUP(K10, 'PlayerGrades+'!$X$3:$Y$23, 2, FALSE)))+('PlayerGrades+'!$Y$51*(VLOOKUP(M10, 'PlayerGrades+'!$X$3:$Y$23, 2, FALSE)))+('PlayerGrades+'!$Y$52*(VLOOKUP(O10, 'PlayerGrades+'!$X$3:$Y$23, 2, FALSE)))+('PlayerGrades+'!$Y$53*(VLOOKUP(Q10, 'PlayerGrades+'!$X$3:$Y$23, 2, FALSE)))+('PlayerGrades+'!$Y$54*(VLOOKUP(S10, 'PlayerGrades+'!$X$3:$Y$23, 2, FALSE)))+('PlayerGrades+'!$Y$55*(VLOOKUP(U10, 'PlayerGrades+'!$X$3:$Y$23, 2, FALSE)))</f>
        <v>7.25</v>
      </c>
      <c r="D10" s="937">
        <f t="shared" si="1"/>
        <v>0</v>
      </c>
      <c r="E10" s="937" t="str">
        <f>IF(D10&lt;'PlayerGrades+'!$AA$21,"F-",IF(D10&lt;'PlayerGrades+'!$AA$20,"F",IF(D10&lt;'PlayerGrades+'!$AA$19,"F+",IF(D10&lt;'PlayerGrades+'!$AA$18,"E-",IF(D10&lt;'PlayerGrades+'!$AA$17,"E",IF(D10&lt;'PlayerGrades+'!$AA$16,"E+",IF(D10&lt;'PlayerGrades+'!$AA$15,"D-",IF(D10&lt;'PlayerGrades+'!$AA$14,"D",IF(D10&lt;'PlayerGrades+'!$AA$13,"D+",IF(D10&lt;'PlayerGrades+'!$AA$12,"C-",IF(D10&lt;'PlayerGrades+'!$AA$11,"C",IF(D10&lt;'PlayerGrades+'!$AA$10,"C+",IF(D10&lt;'PlayerGrades+'!$AA$9,"B-",IF(D10&lt;'PlayerGrades+'!$AA$8,"B",IF(D10&lt;'PlayerGrades+'!$AA$7,"B+",IF(D10&lt;'PlayerGrades+'!$AA$6,"A-",IF(D10&lt;'PlayerGrades+'!$AA$5,"A",IF(D10&lt;'PlayerGrades+'!$AA$4,"A+",IF(D10&lt;'PlayerGrades+'!$AA$3,"S-",IF(D10&lt;'PlayerGrades+'!$AA$2,"S","S+"))))))))))))))))))))</f>
        <v>F-</v>
      </c>
      <c r="F10" s="937">
        <f t="shared" si="2"/>
        <v>-1.709401709</v>
      </c>
      <c r="G10" s="937" t="str">
        <f>IF(F10&lt;'PlayerGrades+'!$AB$21,"F-",IF(F10&lt;'PlayerGrades+'!$AB$20,"F",IF(F10&lt;'PlayerGrades+'!$AB$19,"F+",IF(F10&lt;'PlayerGrades+'!$AB$18,"E-",IF(F10&lt;'PlayerGrades+'!$AB$17,"E",IF(F10&lt;'PlayerGrades+'!$AB$16,"E+",IF(F10&lt;'PlayerGrades+'!$AB$15,"D-",IF(F10&lt;'PlayerGrades+'!$AB$14,"D",IF(F10&lt;'PlayerGrades+'!$AB$13,"D+",IF(F10&lt;'PlayerGrades+'!$AB$12,"C-",IF(F10&lt;'PlayerGrades+'!$AB$11,"C",IF(F10&lt;'PlayerGrades+'!$AB$10,"C+",IF(F10&lt;'PlayerGrades+'!$AB$9,"B-",IF(F10&lt;'PlayerGrades+'!$AB$8,"B",IF(F10&lt;'PlayerGrades+'!$AB$7,"B+",IF(F10&lt;'PlayerGrades+'!$AB$6,"A-",IF(F10&lt;'PlayerGrades+'!$AB$5,"A",IF(F10&lt;'PlayerGrades+'!$AB$4,"A+",IF(F10&lt;'PlayerGrades+'!$AB$3,"S-",IF(F10&lt;'PlayerGrades+'!$AB$2,"S","S+"))))))))))))))))))))</f>
        <v>F-</v>
      </c>
      <c r="H10" s="937">
        <f t="shared" si="3"/>
        <v>0</v>
      </c>
      <c r="I10" s="937" t="str">
        <f>IF(H10&lt;'PlayerGrades+'!$AC$21,"F-",IF(H10&lt;'PlayerGrades+'!$AC$20,"F",IF(H10&lt;'PlayerGrades+'!$AC$19,"F+",IF(H10&lt;'PlayerGrades+'!$AC$18,"E-",IF(H10&lt;'PlayerGrades+'!$AC$17,"E",IF(H10&lt;'PlayerGrades+'!$AC$16,"E+",IF(H10&lt;'PlayerGrades+'!$AC$15,"D-",IF(H10&lt;'PlayerGrades+'!$AC$14,"D",IF(H10&lt;'PlayerGrades+'!$AC$13,"D+",IF(H10&lt;'PlayerGrades+'!$AC$12,"C-",IF(H10&lt;'PlayerGrades+'!$AC$11,"C",IF(H10&lt;'PlayerGrades+'!$AC$10,"C+",IF(H10&lt;'PlayerGrades+'!$AC$9,"B-",IF(H10&lt;'PlayerGrades+'!$AC$8,"B",IF(H10&lt;'PlayerGrades+'!$AC$7,"B+",IF(H10&lt;'PlayerGrades+'!$AC$6,"A-",IF(H10&lt;'PlayerGrades+'!$AC$5,"A",IF(H10&lt;'PlayerGrades+'!$AC$4,"A+",IF(H10&lt;'PlayerGrades+'!$AC$3,"S-",IF(H10&lt;'PlayerGrades+'!$AC$2,"S","S+"))))))))))))))))))))</f>
        <v>F-</v>
      </c>
      <c r="J10" s="937">
        <f t="shared" si="4"/>
        <v>0</v>
      </c>
      <c r="K10" s="937" t="str">
        <f>IF(J10&lt;'PlayerGrades+'!$AD$21,"F-",IF(J10&lt;'PlayerGrades+'!$AD$20,"F",IF(J10&lt;'PlayerGrades+'!$AD$19,"F+",IF(J10&lt;'PlayerGrades+'!$AD$18,"E-",IF(J10&lt;'PlayerGrades+'!$AD$17,"E",IF(J10&lt;'PlayerGrades+'!$AD$16,"E+",IF(J10&lt;'PlayerGrades+'!$AD$15,"D-",IF(J10&lt;'PlayerGrades+'!$AD$14,"D",IF(J10&lt;'PlayerGrades+'!$AD$13,"D+",IF(J10&lt;'PlayerGrades+'!$AD$12,"C-",IF(J10&lt;'PlayerGrades+'!$AD$11,"C",IF(J10&lt;'PlayerGrades+'!$AD$10,"C+",IF(J10&lt;'PlayerGrades+'!$AD$9,"B-",IF(J10&lt;'PlayerGrades+'!$AD$8,"B",IF(J10&lt;'PlayerGrades+'!$AD$7,"B+",IF(J10&lt;'PlayerGrades+'!$AD$6,"A-",IF(J10&lt;'PlayerGrades+'!$AD$5,"A",IF(J10&lt;'PlayerGrades+'!$AD$4,"A+",IF(J10&lt;'PlayerGrades+'!$AD$3,"S-",IF(J10&lt;'PlayerGrades+'!$AD$2,"S","S+"))))))))))))))))))))</f>
        <v>F-</v>
      </c>
      <c r="L10" s="677">
        <f t="shared" si="5"/>
        <v>0.1709401709</v>
      </c>
      <c r="M10" s="938" t="str">
        <f>IF(L10&lt;'PlayerGrades+'!$AE$21,"F-",IF(L10&lt;'PlayerGrades+'!$AE$20,"F",IF(L10&lt;'PlayerGrades+'!$AE$19,"F+",IF(L10&lt;'PlayerGrades+'!$AE$18,"E-",IF(L10&lt;'PlayerGrades+'!$AE$17,"E",IF(L10&lt;'PlayerGrades+'!$AE$16,"E+",IF(L10&lt;'PlayerGrades+'!$AE$15,"D-",IF(L10&lt;'PlayerGrades+'!$AE$14,"D",IF(L10&lt;'PlayerGrades+'!$AE$13,"D+",IF(L10&lt;'PlayerGrades+'!$AE$12,"C-",IF(L10&lt;'PlayerGrades+'!$AE$11,"C",IF(L10&lt;'PlayerGrades+'!$AE$10,"C+",IF(L10&lt;'PlayerGrades+'!$AE$9,"B-",IF(L10&lt;'PlayerGrades+'!$AE$8,"B",IF(L10&lt;'PlayerGrades+'!$AE$7,"B+",IF(L10&lt;'PlayerGrades+'!$AE$6,"A-",IF(L10&lt;'PlayerGrades+'!$AE$5,"A",IF(L10&lt;'PlayerGrades+'!$AE$4,"A+",IF(L10&lt;'PlayerGrades+'!$AE$3,"S-",IF(L10&lt;'PlayerGrades+'!$AE$2,"S","S+"))))))))))))))))))))</f>
        <v>F-</v>
      </c>
      <c r="N10" s="937">
        <f t="shared" si="6"/>
        <v>0</v>
      </c>
      <c r="O10" s="937" t="str">
        <f>IF(N10&lt;'PlayerGrades+'!$AF$21,"F-",IF(N10&lt;'PlayerGrades+'!$AF$20,"F",IF(N10&lt;'PlayerGrades+'!$AF$19,"F+",IF(N10&lt;'PlayerGrades+'!$AF$18,"E-",IF(N10&lt;'PlayerGrades+'!$AF$17,"E",IF(N10&lt;'PlayerGrades+'!$AF$16,"E+",IF(N10&lt;'PlayerGrades+'!$AF$15,"D-",IF(N10&lt;'PlayerGrades+'!$AF$14,"D",IF(N10&lt;'PlayerGrades+'!$AF$13,"D+",IF(N10&lt;'PlayerGrades+'!$AF$12,"C-",IF(N10&lt;'PlayerGrades+'!$AF$11,"C",IF(N10&lt;'PlayerGrades+'!$AF$10,"C+",IF(N10&lt;'PlayerGrades+'!$AF$9,"B-",IF(N10&lt;'PlayerGrades+'!$AF$8,"B",IF(N10&lt;'PlayerGrades+'!$AF$7,"B+",IF(N10&lt;'PlayerGrades+'!$AF$6,"A-",IF(N10&lt;'PlayerGrades+'!$AF$5,"A",IF(N10&lt;'PlayerGrades+'!$AF$4,"A+",IF(N10&lt;'PlayerGrades+'!$AF$3,"S-",IF(N10&lt;'PlayerGrades+'!$AF$2,"S","S+"))))))))))))))))))))</f>
        <v>F-</v>
      </c>
      <c r="P10" s="937">
        <f t="shared" si="7"/>
        <v>0</v>
      </c>
      <c r="Q10" s="937" t="str">
        <f>IF(P10&lt;'PlayerGrades+'!$AG$21,"F-",IF(P10&lt;'PlayerGrades+'!$AG$20,"F",IF(P10&lt;'PlayerGrades+'!$AG$19,"F+",IF(P10&lt;'PlayerGrades+'!$AG$18,"E-",IF(P10&lt;'PlayerGrades+'!$AG$17,"E",IF(P10&lt;'PlayerGrades+'!$AG$16,"E+",IF(P10&lt;'PlayerGrades+'!$AG$15,"D-",IF(P10&lt;'PlayerGrades+'!$AG$14,"D",IF(P10&lt;'PlayerGrades+'!$AG$13,"D+",IF(P10&lt;'PlayerGrades+'!$AG$12,"C-",IF(P10&lt;'PlayerGrades+'!$AG$11,"C",IF(P10&lt;'PlayerGrades+'!$AG$10,"C+",IF(P10&lt;'PlayerGrades+'!$AG$9,"B-",IF(P10&lt;'PlayerGrades+'!$AG$8,"B",IF(P10&lt;'PlayerGrades+'!$AG$7,"B+",IF(P10&lt;'PlayerGrades+'!$AG$6,"A-",IF(P10&lt;'PlayerGrades+'!$AG$5,"A",IF(P10&lt;'PlayerGrades+'!$AG$4,"A+",IF(P10&lt;'PlayerGrades+'!$AG$3,"S-",IF(P10&lt;'PlayerGrades+'!$AG$2,"S","S+"))))))))))))))))))))</f>
        <v>F</v>
      </c>
      <c r="R10" s="937">
        <f t="shared" si="8"/>
        <v>0.5982905983</v>
      </c>
      <c r="S10" s="937" t="str">
        <f>IF(R10&lt;'PlayerGrades+'!$AH$21,"F-",IF(R10&lt;'PlayerGrades+'!$AH$20,"F",IF(R10&lt;'PlayerGrades+'!$AH$19,"F+",IF(R10&lt;'PlayerGrades+'!$AH$18,"E-",IF(R10&lt;'PlayerGrades+'!$AH$17,"E",IF(R10&lt;'PlayerGrades+'!$AH$16,"E+",IF(R10&lt;'PlayerGrades+'!$AH$15,"D-",IF(R10&lt;'PlayerGrades+'!$AH$14,"D",IF(R10&lt;'PlayerGrades+'!$AH$13,"D+",IF(R10&lt;'PlayerGrades+'!$AH$12,"C-",IF(R10&lt;'PlayerGrades+'!$AH$11,"C",IF(R10&lt;'PlayerGrades+'!$AH$10,"C+",IF(R10&lt;'PlayerGrades+'!$AH$9,"B-",IF(R10&lt;'PlayerGrades+'!$AH$8,"B",IF(R10&lt;'PlayerGrades+'!$AH$7,"B+",IF(R10&lt;'PlayerGrades+'!$AH$6,"A-",IF(R10&lt;'PlayerGrades+'!$AH$5,"A",IF(R10&lt;'PlayerGrades+'!$AH$4,"A+",IF(R10&lt;'PlayerGrades+'!$AH$3,"S-",IF(R10&lt;'PlayerGrades+'!$AH$2,"S","S+"))))))))))))))))))))</f>
        <v>A-</v>
      </c>
      <c r="T10" s="937">
        <f t="shared" si="9"/>
        <v>0.2564102564</v>
      </c>
      <c r="U10" s="937" t="str">
        <f>IF(T10&lt;'PlayerGrades+'!$AI$21,"F-",IF(T10&lt;'PlayerGrades+'!$AI$20,"F",IF(T10&lt;'PlayerGrades+'!$AI$19,"F+",IF(T10&lt;'PlayerGrades+'!$AI$18,"E-",IF(T10&lt;'PlayerGrades+'!$AI$17,"E",IF(T10&lt;'PlayerGrades+'!$AI$16,"E+",IF(T10&lt;'PlayerGrades+'!$AI$15,"D-",IF(T10&lt;'PlayerGrades+'!$AI$14,"D",IF(T10&lt;'PlayerGrades+'!$AI$13,"D+",IF(T10&lt;'PlayerGrades+'!$AI$12,"C-",IF(T10&lt;'PlayerGrades+'!$AI$11,"C",IF(T10&lt;'PlayerGrades+'!$AI$10,"C+",IF(T10&lt;'PlayerGrades+'!$AI$9,"B-",IF(T10&lt;'PlayerGrades+'!$AI$8,"B",IF(T10&lt;'PlayerGrades+'!$AI$7,"B+",IF(T10&lt;'PlayerGrades+'!$AI$6,"A-",IF(T10&lt;'PlayerGrades+'!$AI$5,"A",IF(T10&lt;'PlayerGrades+'!$AI$4,"A+",IF(T10&lt;'PlayerGrades+'!$AI$3,"S-",IF(T10&lt;'PlayerGrades+'!$AI$2,"S","S+"))))))))))))))))))))</f>
        <v>F-</v>
      </c>
      <c r="V10" s="939">
        <v>1.0</v>
      </c>
      <c r="W10" s="939">
        <v>0.0</v>
      </c>
      <c r="X10" s="939">
        <v>1.0</v>
      </c>
      <c r="Y10" s="939">
        <v>0.0</v>
      </c>
      <c r="Z10" s="939">
        <v>0.0</v>
      </c>
      <c r="AA10" s="939">
        <v>22.0</v>
      </c>
      <c r="AB10" s="939">
        <v>42.0</v>
      </c>
      <c r="AC10" s="939">
        <v>-20.0</v>
      </c>
      <c r="AD10" s="939">
        <v>3.0</v>
      </c>
      <c r="AE10" s="939">
        <v>2.0</v>
      </c>
      <c r="AF10" s="939">
        <v>1.0</v>
      </c>
      <c r="AG10" s="939">
        <v>500.0</v>
      </c>
      <c r="AH10" s="939">
        <v>702.0</v>
      </c>
      <c r="AI10" s="939">
        <v>11.0</v>
      </c>
      <c r="AJ10" s="939">
        <v>40.0</v>
      </c>
      <c r="AK10" s="939">
        <v>0.0</v>
      </c>
      <c r="AL10" s="939">
        <v>0.0</v>
      </c>
      <c r="AM10" s="939">
        <v>0.0</v>
      </c>
      <c r="AN10" s="939">
        <v>0.0</v>
      </c>
      <c r="AO10" s="939">
        <v>0.0</v>
      </c>
      <c r="AP10" s="939">
        <v>0.0</v>
      </c>
      <c r="AQ10" s="939">
        <v>0.0</v>
      </c>
      <c r="AR10" s="939">
        <v>2.0</v>
      </c>
      <c r="AS10" s="939">
        <v>0.0</v>
      </c>
      <c r="AT10" s="939">
        <v>0.0</v>
      </c>
      <c r="AU10" s="939">
        <v>0.0</v>
      </c>
      <c r="AV10" s="939">
        <v>0.0</v>
      </c>
      <c r="AW10" s="939">
        <v>0.0</v>
      </c>
      <c r="AX10" s="939">
        <v>0.0</v>
      </c>
      <c r="AY10" s="939">
        <v>0.0</v>
      </c>
      <c r="AZ10" s="939">
        <v>0.0</v>
      </c>
      <c r="BA10" s="939">
        <v>0.0</v>
      </c>
      <c r="BB10" s="939">
        <v>0.0</v>
      </c>
      <c r="BC10" s="939">
        <v>0.0</v>
      </c>
      <c r="BD10" s="939">
        <v>4.0</v>
      </c>
      <c r="BE10" s="940">
        <v>3.0</v>
      </c>
      <c r="BF10" s="941">
        <v>0.0</v>
      </c>
      <c r="BG10" s="941">
        <v>1.0</v>
      </c>
    </row>
    <row r="11">
      <c r="A11" s="935" t="s">
        <v>126</v>
      </c>
      <c r="B11" s="16" t="str">
        <f>IF(C11&lt;'PlayerGrades+'!$Y$44,"F-",IF(C11&lt;'PlayerGrades+'!$Y$43,"F",IF(C11&lt;'PlayerGrades+'!$Y$42,"F+",IF(C11&lt;'PlayerGrades+'!$Y$41,"E-",IF(C11&lt;'PlayerGrades+'!$Y$40,"E",IF(C11&lt;'PlayerGrades+'!$Y$39,"E+",IF(C11&lt;'PlayerGrades+'!$Y$38,"D-",IF(C11&lt;'PlayerGrades+'!$Y$37,"D",IF(C11&lt;'PlayerGrades+'!$Y$36,"D+",IF(C11&lt;'PlayerGrades+'!$Y$35,"C-",IF(C11&lt;'PlayerGrades+'!$Y$34,"C",IF(C11&lt;'PlayerGrades+'!$Y$33,"C+",IF(C11&lt;'PlayerGrades+'!$Y$32,"B-",IF(C11&lt;'PlayerGrades+'!$Y$31,"B",IF(C11&lt;'PlayerGrades+'!$Y$30,"B+",IF(C11&lt;'PlayerGrades+'!$Y$29,"A-",IF(C11&lt;'PlayerGrades+'!$Y$28,"A",IF(C11&lt;'PlayerGrades+'!$Y$27,"A+",IF(C11&lt;'PlayerGrades+'!$Y$26,"S-",IF(C11&lt;'PlayerGrades+'!$Y$25,"S","S+"))))))))))))))))))))</f>
        <v>F</v>
      </c>
      <c r="C11" s="936">
        <f>('PlayerGrades+'!$Y$47*(VLOOKUP(E11, 'PlayerGrades+'!$X$3:$Y$23, 2, FALSE)))+('PlayerGrades+'!$Y$48*(VLOOKUP(G11, 'PlayerGrades+'!$X$3:$Y$23, 2, FALSE)))+('PlayerGrades+'!$Y$49*(VLOOKUP(I11, 'PlayerGrades+'!$X$3:$Y$23, 2, FALSE)))+('PlayerGrades+'!$Y$50*(VLOOKUP(K11, 'PlayerGrades+'!$X$3:$Y$23, 2, FALSE)))+('PlayerGrades+'!$Y$51*(VLOOKUP(M11, 'PlayerGrades+'!$X$3:$Y$23, 2, FALSE)))+('PlayerGrades+'!$Y$52*(VLOOKUP(O11, 'PlayerGrades+'!$X$3:$Y$23, 2, FALSE)))+('PlayerGrades+'!$Y$53*(VLOOKUP(Q11, 'PlayerGrades+'!$X$3:$Y$23, 2, FALSE)))+('PlayerGrades+'!$Y$54*(VLOOKUP(S11, 'PlayerGrades+'!$X$3:$Y$23, 2, FALSE)))+('PlayerGrades+'!$Y$55*(VLOOKUP(U11, 'PlayerGrades+'!$X$3:$Y$23, 2, FALSE)))</f>
        <v>8.8</v>
      </c>
      <c r="D11" s="937">
        <f t="shared" si="1"/>
        <v>0.1709401709</v>
      </c>
      <c r="E11" s="937" t="str">
        <f>IF(D11&lt;'PlayerGrades+'!$AA$21,"F-",IF(D11&lt;'PlayerGrades+'!$AA$20,"F",IF(D11&lt;'PlayerGrades+'!$AA$19,"F+",IF(D11&lt;'PlayerGrades+'!$AA$18,"E-",IF(D11&lt;'PlayerGrades+'!$AA$17,"E",IF(D11&lt;'PlayerGrades+'!$AA$16,"E+",IF(D11&lt;'PlayerGrades+'!$AA$15,"D-",IF(D11&lt;'PlayerGrades+'!$AA$14,"D",IF(D11&lt;'PlayerGrades+'!$AA$13,"D+",IF(D11&lt;'PlayerGrades+'!$AA$12,"C-",IF(D11&lt;'PlayerGrades+'!$AA$11,"C",IF(D11&lt;'PlayerGrades+'!$AA$10,"C+",IF(D11&lt;'PlayerGrades+'!$AA$9,"B-",IF(D11&lt;'PlayerGrades+'!$AA$8,"B",IF(D11&lt;'PlayerGrades+'!$AA$7,"B+",IF(D11&lt;'PlayerGrades+'!$AA$6,"A-",IF(D11&lt;'PlayerGrades+'!$AA$5,"A",IF(D11&lt;'PlayerGrades+'!$AA$4,"A+",IF(D11&lt;'PlayerGrades+'!$AA$3,"S-",IF(D11&lt;'PlayerGrades+'!$AA$2,"S","S+"))))))))))))))))))))</f>
        <v>B+</v>
      </c>
      <c r="F11" s="937">
        <f t="shared" si="2"/>
        <v>-0.9401709402</v>
      </c>
      <c r="G11" s="937" t="str">
        <f>IF(F11&lt;'PlayerGrades+'!$AB$21,"F-",IF(F11&lt;'PlayerGrades+'!$AB$20,"F",IF(F11&lt;'PlayerGrades+'!$AB$19,"F+",IF(F11&lt;'PlayerGrades+'!$AB$18,"E-",IF(F11&lt;'PlayerGrades+'!$AB$17,"E",IF(F11&lt;'PlayerGrades+'!$AB$16,"E+",IF(F11&lt;'PlayerGrades+'!$AB$15,"D-",IF(F11&lt;'PlayerGrades+'!$AB$14,"D",IF(F11&lt;'PlayerGrades+'!$AB$13,"D+",IF(F11&lt;'PlayerGrades+'!$AB$12,"C-",IF(F11&lt;'PlayerGrades+'!$AB$11,"C",IF(F11&lt;'PlayerGrades+'!$AB$10,"C+",IF(F11&lt;'PlayerGrades+'!$AB$9,"B-",IF(F11&lt;'PlayerGrades+'!$AB$8,"B",IF(F11&lt;'PlayerGrades+'!$AB$7,"B+",IF(F11&lt;'PlayerGrades+'!$AB$6,"A-",IF(F11&lt;'PlayerGrades+'!$AB$5,"A",IF(F11&lt;'PlayerGrades+'!$AB$4,"A+",IF(F11&lt;'PlayerGrades+'!$AB$3,"S-",IF(F11&lt;'PlayerGrades+'!$AB$2,"S","S+"))))))))))))))))))))</f>
        <v>F+</v>
      </c>
      <c r="H11" s="937">
        <f t="shared" si="3"/>
        <v>0</v>
      </c>
      <c r="I11" s="937" t="str">
        <f>IF(H11&lt;'PlayerGrades+'!$AC$21,"F-",IF(H11&lt;'PlayerGrades+'!$AC$20,"F",IF(H11&lt;'PlayerGrades+'!$AC$19,"F+",IF(H11&lt;'PlayerGrades+'!$AC$18,"E-",IF(H11&lt;'PlayerGrades+'!$AC$17,"E",IF(H11&lt;'PlayerGrades+'!$AC$16,"E+",IF(H11&lt;'PlayerGrades+'!$AC$15,"D-",IF(H11&lt;'PlayerGrades+'!$AC$14,"D",IF(H11&lt;'PlayerGrades+'!$AC$13,"D+",IF(H11&lt;'PlayerGrades+'!$AC$12,"C-",IF(H11&lt;'PlayerGrades+'!$AC$11,"C",IF(H11&lt;'PlayerGrades+'!$AC$10,"C+",IF(H11&lt;'PlayerGrades+'!$AC$9,"B-",IF(H11&lt;'PlayerGrades+'!$AC$8,"B",IF(H11&lt;'PlayerGrades+'!$AC$7,"B+",IF(H11&lt;'PlayerGrades+'!$AC$6,"A-",IF(H11&lt;'PlayerGrades+'!$AC$5,"A",IF(H11&lt;'PlayerGrades+'!$AC$4,"A+",IF(H11&lt;'PlayerGrades+'!$AC$3,"S-",IF(H11&lt;'PlayerGrades+'!$AC$2,"S","S+"))))))))))))))))))))</f>
        <v>F-</v>
      </c>
      <c r="J11" s="937">
        <f t="shared" si="4"/>
        <v>0</v>
      </c>
      <c r="K11" s="937" t="str">
        <f>IF(J11&lt;'PlayerGrades+'!$AD$21,"F-",IF(J11&lt;'PlayerGrades+'!$AD$20,"F",IF(J11&lt;'PlayerGrades+'!$AD$19,"F+",IF(J11&lt;'PlayerGrades+'!$AD$18,"E-",IF(J11&lt;'PlayerGrades+'!$AD$17,"E",IF(J11&lt;'PlayerGrades+'!$AD$16,"E+",IF(J11&lt;'PlayerGrades+'!$AD$15,"D-",IF(J11&lt;'PlayerGrades+'!$AD$14,"D",IF(J11&lt;'PlayerGrades+'!$AD$13,"D+",IF(J11&lt;'PlayerGrades+'!$AD$12,"C-",IF(J11&lt;'PlayerGrades+'!$AD$11,"C",IF(J11&lt;'PlayerGrades+'!$AD$10,"C+",IF(J11&lt;'PlayerGrades+'!$AD$9,"B-",IF(J11&lt;'PlayerGrades+'!$AD$8,"B",IF(J11&lt;'PlayerGrades+'!$AD$7,"B+",IF(J11&lt;'PlayerGrades+'!$AD$6,"A-",IF(J11&lt;'PlayerGrades+'!$AD$5,"A",IF(J11&lt;'PlayerGrades+'!$AD$4,"A+",IF(J11&lt;'PlayerGrades+'!$AD$3,"S-",IF(J11&lt;'PlayerGrades+'!$AD$2,"S","S+"))))))))))))))))))))</f>
        <v>F-</v>
      </c>
      <c r="L11" s="677">
        <f t="shared" si="5"/>
        <v>0.3418803419</v>
      </c>
      <c r="M11" s="938" t="str">
        <f>IF(L11&lt;'PlayerGrades+'!$AE$21,"F-",IF(L11&lt;'PlayerGrades+'!$AE$20,"F",IF(L11&lt;'PlayerGrades+'!$AE$19,"F+",IF(L11&lt;'PlayerGrades+'!$AE$18,"E-",IF(L11&lt;'PlayerGrades+'!$AE$17,"E",IF(L11&lt;'PlayerGrades+'!$AE$16,"E+",IF(L11&lt;'PlayerGrades+'!$AE$15,"D-",IF(L11&lt;'PlayerGrades+'!$AE$14,"D",IF(L11&lt;'PlayerGrades+'!$AE$13,"D+",IF(L11&lt;'PlayerGrades+'!$AE$12,"C-",IF(L11&lt;'PlayerGrades+'!$AE$11,"C",IF(L11&lt;'PlayerGrades+'!$AE$10,"C+",IF(L11&lt;'PlayerGrades+'!$AE$9,"B-",IF(L11&lt;'PlayerGrades+'!$AE$8,"B",IF(L11&lt;'PlayerGrades+'!$AE$7,"B+",IF(L11&lt;'PlayerGrades+'!$AE$6,"A-",IF(L11&lt;'PlayerGrades+'!$AE$5,"A",IF(L11&lt;'PlayerGrades+'!$AE$4,"A+",IF(L11&lt;'PlayerGrades+'!$AE$3,"S-",IF(L11&lt;'PlayerGrades+'!$AE$2,"S","S+"))))))))))))))))))))</f>
        <v>D-</v>
      </c>
      <c r="N11" s="937">
        <f t="shared" si="6"/>
        <v>0</v>
      </c>
      <c r="O11" s="937" t="str">
        <f>IF(N11&lt;'PlayerGrades+'!$AF$21,"F-",IF(N11&lt;'PlayerGrades+'!$AF$20,"F",IF(N11&lt;'PlayerGrades+'!$AF$19,"F+",IF(N11&lt;'PlayerGrades+'!$AF$18,"E-",IF(N11&lt;'PlayerGrades+'!$AF$17,"E",IF(N11&lt;'PlayerGrades+'!$AF$16,"E+",IF(N11&lt;'PlayerGrades+'!$AF$15,"D-",IF(N11&lt;'PlayerGrades+'!$AF$14,"D",IF(N11&lt;'PlayerGrades+'!$AF$13,"D+",IF(N11&lt;'PlayerGrades+'!$AF$12,"C-",IF(N11&lt;'PlayerGrades+'!$AF$11,"C",IF(N11&lt;'PlayerGrades+'!$AF$10,"C+",IF(N11&lt;'PlayerGrades+'!$AF$9,"B-",IF(N11&lt;'PlayerGrades+'!$AF$8,"B",IF(N11&lt;'PlayerGrades+'!$AF$7,"B+",IF(N11&lt;'PlayerGrades+'!$AF$6,"A-",IF(N11&lt;'PlayerGrades+'!$AF$5,"A",IF(N11&lt;'PlayerGrades+'!$AF$4,"A+",IF(N11&lt;'PlayerGrades+'!$AF$3,"S-",IF(N11&lt;'PlayerGrades+'!$AF$2,"S","S+"))))))))))))))))))))</f>
        <v>F-</v>
      </c>
      <c r="P11" s="937">
        <f t="shared" si="7"/>
        <v>0</v>
      </c>
      <c r="Q11" s="937" t="str">
        <f>IF(P11&lt;'PlayerGrades+'!$AG$21,"F-",IF(P11&lt;'PlayerGrades+'!$AG$20,"F",IF(P11&lt;'PlayerGrades+'!$AG$19,"F+",IF(P11&lt;'PlayerGrades+'!$AG$18,"E-",IF(P11&lt;'PlayerGrades+'!$AG$17,"E",IF(P11&lt;'PlayerGrades+'!$AG$16,"E+",IF(P11&lt;'PlayerGrades+'!$AG$15,"D-",IF(P11&lt;'PlayerGrades+'!$AG$14,"D",IF(P11&lt;'PlayerGrades+'!$AG$13,"D+",IF(P11&lt;'PlayerGrades+'!$AG$12,"C-",IF(P11&lt;'PlayerGrades+'!$AG$11,"C",IF(P11&lt;'PlayerGrades+'!$AG$10,"C+",IF(P11&lt;'PlayerGrades+'!$AG$9,"B-",IF(P11&lt;'PlayerGrades+'!$AG$8,"B",IF(P11&lt;'PlayerGrades+'!$AG$7,"B+",IF(P11&lt;'PlayerGrades+'!$AG$6,"A-",IF(P11&lt;'PlayerGrades+'!$AG$5,"A",IF(P11&lt;'PlayerGrades+'!$AG$4,"A+",IF(P11&lt;'PlayerGrades+'!$AG$3,"S-",IF(P11&lt;'PlayerGrades+'!$AG$2,"S","S+"))))))))))))))))))))</f>
        <v>F</v>
      </c>
      <c r="R11" s="937">
        <f t="shared" si="8"/>
        <v>0.2564102564</v>
      </c>
      <c r="S11" s="937" t="str">
        <f>IF(R11&lt;'PlayerGrades+'!$AH$21,"F-",IF(R11&lt;'PlayerGrades+'!$AH$20,"F",IF(R11&lt;'PlayerGrades+'!$AH$19,"F+",IF(R11&lt;'PlayerGrades+'!$AH$18,"E-",IF(R11&lt;'PlayerGrades+'!$AH$17,"E",IF(R11&lt;'PlayerGrades+'!$AH$16,"E+",IF(R11&lt;'PlayerGrades+'!$AH$15,"D-",IF(R11&lt;'PlayerGrades+'!$AH$14,"D",IF(R11&lt;'PlayerGrades+'!$AH$13,"D+",IF(R11&lt;'PlayerGrades+'!$AH$12,"C-",IF(R11&lt;'PlayerGrades+'!$AH$11,"C",IF(R11&lt;'PlayerGrades+'!$AH$10,"C+",IF(R11&lt;'PlayerGrades+'!$AH$9,"B-",IF(R11&lt;'PlayerGrades+'!$AH$8,"B",IF(R11&lt;'PlayerGrades+'!$AH$7,"B+",IF(R11&lt;'PlayerGrades+'!$AH$6,"A-",IF(R11&lt;'PlayerGrades+'!$AH$5,"A",IF(R11&lt;'PlayerGrades+'!$AH$4,"A+",IF(R11&lt;'PlayerGrades+'!$AH$3,"S-",IF(R11&lt;'PlayerGrades+'!$AH$2,"S","S+"))))))))))))))))))))</f>
        <v>F-</v>
      </c>
      <c r="T11" s="937">
        <f t="shared" si="9"/>
        <v>1.170940171</v>
      </c>
      <c r="U11" s="937" t="str">
        <f>IF(T11&lt;'PlayerGrades+'!$AI$21,"F-",IF(T11&lt;'PlayerGrades+'!$AI$20,"F",IF(T11&lt;'PlayerGrades+'!$AI$19,"F+",IF(T11&lt;'PlayerGrades+'!$AI$18,"E-",IF(T11&lt;'PlayerGrades+'!$AI$17,"E",IF(T11&lt;'PlayerGrades+'!$AI$16,"E+",IF(T11&lt;'PlayerGrades+'!$AI$15,"D-",IF(T11&lt;'PlayerGrades+'!$AI$14,"D",IF(T11&lt;'PlayerGrades+'!$AI$13,"D+",IF(T11&lt;'PlayerGrades+'!$AI$12,"C-",IF(T11&lt;'PlayerGrades+'!$AI$11,"C",IF(T11&lt;'PlayerGrades+'!$AI$10,"C+",IF(T11&lt;'PlayerGrades+'!$AI$9,"B-",IF(T11&lt;'PlayerGrades+'!$AI$8,"B",IF(T11&lt;'PlayerGrades+'!$AI$7,"B+",IF(T11&lt;'PlayerGrades+'!$AI$6,"A-",IF(T11&lt;'PlayerGrades+'!$AI$5,"A",IF(T11&lt;'PlayerGrades+'!$AI$4,"A+",IF(T11&lt;'PlayerGrades+'!$AI$3,"S-",IF(T11&lt;'PlayerGrades+'!$AI$2,"S","S+"))))))))))))))))))))</f>
        <v>D+</v>
      </c>
      <c r="V11" s="941">
        <v>1.0</v>
      </c>
      <c r="W11" s="941">
        <v>0.0</v>
      </c>
      <c r="X11" s="941">
        <v>1.0</v>
      </c>
      <c r="Y11" s="941">
        <v>0.0</v>
      </c>
      <c r="Z11" s="941">
        <v>2.0</v>
      </c>
      <c r="AA11" s="941">
        <v>32.0</v>
      </c>
      <c r="AB11" s="941">
        <v>43.0</v>
      </c>
      <c r="AC11" s="941">
        <v>-11.0</v>
      </c>
      <c r="AD11" s="941">
        <v>0.0</v>
      </c>
      <c r="AE11" s="941">
        <v>2.0</v>
      </c>
      <c r="AF11" s="941">
        <v>0.0</v>
      </c>
      <c r="AG11" s="941">
        <v>496.0</v>
      </c>
      <c r="AH11" s="941">
        <v>702.0</v>
      </c>
      <c r="AI11" s="941">
        <v>11.0</v>
      </c>
      <c r="AJ11" s="941">
        <v>2.0</v>
      </c>
      <c r="AK11" s="941">
        <v>0.0</v>
      </c>
      <c r="AL11" s="941">
        <v>0.0</v>
      </c>
      <c r="AM11" s="941">
        <v>0.0</v>
      </c>
      <c r="AN11" s="941">
        <v>0.0</v>
      </c>
      <c r="AO11" s="941">
        <v>0.0</v>
      </c>
      <c r="AP11" s="941">
        <v>0.0</v>
      </c>
      <c r="AQ11" s="941">
        <v>0.0</v>
      </c>
      <c r="AR11" s="941">
        <v>4.0</v>
      </c>
      <c r="AS11" s="941">
        <v>0.0</v>
      </c>
      <c r="AT11" s="941">
        <v>0.0</v>
      </c>
      <c r="AU11" s="941">
        <v>0.0</v>
      </c>
      <c r="AV11" s="941">
        <v>0.0</v>
      </c>
      <c r="AW11" s="941">
        <v>0.0</v>
      </c>
      <c r="AX11" s="941">
        <v>0.0</v>
      </c>
      <c r="AY11" s="941">
        <v>0.0</v>
      </c>
      <c r="AZ11" s="941">
        <v>0.0</v>
      </c>
      <c r="BA11" s="941">
        <v>0.0</v>
      </c>
      <c r="BB11" s="941">
        <v>0.0</v>
      </c>
      <c r="BC11" s="941">
        <v>0.0</v>
      </c>
      <c r="BD11" s="941">
        <v>3.0</v>
      </c>
      <c r="BE11" s="942">
        <v>2.0</v>
      </c>
      <c r="BF11" s="941">
        <v>1.0</v>
      </c>
      <c r="BG11" s="941">
        <v>1.0</v>
      </c>
    </row>
    <row r="12">
      <c r="A12" s="935" t="s">
        <v>420</v>
      </c>
      <c r="B12" s="16" t="str">
        <f>IF(C12&lt;'PlayerGrades+'!$Y$44,"F-",IF(C12&lt;'PlayerGrades+'!$Y$43,"F",IF(C12&lt;'PlayerGrades+'!$Y$42,"F+",IF(C12&lt;'PlayerGrades+'!$Y$41,"E-",IF(C12&lt;'PlayerGrades+'!$Y$40,"E",IF(C12&lt;'PlayerGrades+'!$Y$39,"E+",IF(C12&lt;'PlayerGrades+'!$Y$38,"D-",IF(C12&lt;'PlayerGrades+'!$Y$37,"D",IF(C12&lt;'PlayerGrades+'!$Y$36,"D+",IF(C12&lt;'PlayerGrades+'!$Y$35,"C-",IF(C12&lt;'PlayerGrades+'!$Y$34,"C",IF(C12&lt;'PlayerGrades+'!$Y$33,"C+",IF(C12&lt;'PlayerGrades+'!$Y$32,"B-",IF(C12&lt;'PlayerGrades+'!$Y$31,"B",IF(C12&lt;'PlayerGrades+'!$Y$30,"B+",IF(C12&lt;'PlayerGrades+'!$Y$29,"A-",IF(C12&lt;'PlayerGrades+'!$Y$28,"A",IF(C12&lt;'PlayerGrades+'!$Y$27,"A+",IF(C12&lt;'PlayerGrades+'!$Y$26,"S-",IF(C12&lt;'PlayerGrades+'!$Y$25,"S","S+"))))))))))))))))))))</f>
        <v>S</v>
      </c>
      <c r="C12" s="936">
        <f>('PlayerGrades+'!$Y$47*(VLOOKUP(E12, 'PlayerGrades+'!$X$3:$Y$23, 2, FALSE)))+('PlayerGrades+'!$Y$48*(VLOOKUP(G12, 'PlayerGrades+'!$X$3:$Y$23, 2, FALSE)))+('PlayerGrades+'!$Y$49*(VLOOKUP(I12, 'PlayerGrades+'!$X$3:$Y$23, 2, FALSE)))+('PlayerGrades+'!$Y$50*(VLOOKUP(K12, 'PlayerGrades+'!$X$3:$Y$23, 2, FALSE)))+('PlayerGrades+'!$Y$51*(VLOOKUP(M12, 'PlayerGrades+'!$X$3:$Y$23, 2, FALSE)))+('PlayerGrades+'!$Y$52*(VLOOKUP(O12, 'PlayerGrades+'!$X$3:$Y$23, 2, FALSE)))+('PlayerGrades+'!$Y$53*(VLOOKUP(Q12, 'PlayerGrades+'!$X$3:$Y$23, 2, FALSE)))+('PlayerGrades+'!$Y$54*(VLOOKUP(S12, 'PlayerGrades+'!$X$3:$Y$23, 2, FALSE)))+('PlayerGrades+'!$Y$55*(VLOOKUP(U12, 'PlayerGrades+'!$X$3:$Y$23, 2, FALSE)))</f>
        <v>31.7</v>
      </c>
      <c r="D12" s="937">
        <f t="shared" si="1"/>
        <v>0.3418803419</v>
      </c>
      <c r="E12" s="937" t="str">
        <f>IF(D12&lt;'PlayerGrades+'!$AA$21,"F-",IF(D12&lt;'PlayerGrades+'!$AA$20,"F",IF(D12&lt;'PlayerGrades+'!$AA$19,"F+",IF(D12&lt;'PlayerGrades+'!$AA$18,"E-",IF(D12&lt;'PlayerGrades+'!$AA$17,"E",IF(D12&lt;'PlayerGrades+'!$AA$16,"E+",IF(D12&lt;'PlayerGrades+'!$AA$15,"D-",IF(D12&lt;'PlayerGrades+'!$AA$14,"D",IF(D12&lt;'PlayerGrades+'!$AA$13,"D+",IF(D12&lt;'PlayerGrades+'!$AA$12,"C-",IF(D12&lt;'PlayerGrades+'!$AA$11,"C",IF(D12&lt;'PlayerGrades+'!$AA$10,"C+",IF(D12&lt;'PlayerGrades+'!$AA$9,"B-",IF(D12&lt;'PlayerGrades+'!$AA$8,"B",IF(D12&lt;'PlayerGrades+'!$AA$7,"B+",IF(D12&lt;'PlayerGrades+'!$AA$6,"A-",IF(D12&lt;'PlayerGrades+'!$AA$5,"A",IF(D12&lt;'PlayerGrades+'!$AA$4,"A+",IF(D12&lt;'PlayerGrades+'!$AA$3,"S-",IF(D12&lt;'PlayerGrades+'!$AA$2,"S","S+"))))))))))))))))))))</f>
        <v>A</v>
      </c>
      <c r="F12" s="937">
        <f t="shared" si="2"/>
        <v>0.6837606838</v>
      </c>
      <c r="G12" s="937" t="str">
        <f>IF(F12&lt;'PlayerGrades+'!$AB$21,"F-",IF(F12&lt;'PlayerGrades+'!$AB$20,"F",IF(F12&lt;'PlayerGrades+'!$AB$19,"F+",IF(F12&lt;'PlayerGrades+'!$AB$18,"E-",IF(F12&lt;'PlayerGrades+'!$AB$17,"E",IF(F12&lt;'PlayerGrades+'!$AB$16,"E+",IF(F12&lt;'PlayerGrades+'!$AB$15,"D-",IF(F12&lt;'PlayerGrades+'!$AB$14,"D",IF(F12&lt;'PlayerGrades+'!$AB$13,"D+",IF(F12&lt;'PlayerGrades+'!$AB$12,"C-",IF(F12&lt;'PlayerGrades+'!$AB$11,"C",IF(F12&lt;'PlayerGrades+'!$AB$10,"C+",IF(F12&lt;'PlayerGrades+'!$AB$9,"B-",IF(F12&lt;'PlayerGrades+'!$AB$8,"B",IF(F12&lt;'PlayerGrades+'!$AB$7,"B+",IF(F12&lt;'PlayerGrades+'!$AB$6,"A-",IF(F12&lt;'PlayerGrades+'!$AB$5,"A",IF(F12&lt;'PlayerGrades+'!$AB$4,"A+",IF(F12&lt;'PlayerGrades+'!$AB$3,"S-",IF(F12&lt;'PlayerGrades+'!$AB$2,"S","S+"))))))))))))))))))))</f>
        <v>S-</v>
      </c>
      <c r="H12" s="937">
        <f t="shared" si="3"/>
        <v>0.08547008547</v>
      </c>
      <c r="I12" s="937" t="str">
        <f>IF(H12&lt;'PlayerGrades+'!$AC$21,"F-",IF(H12&lt;'PlayerGrades+'!$AC$20,"F",IF(H12&lt;'PlayerGrades+'!$AC$19,"F+",IF(H12&lt;'PlayerGrades+'!$AC$18,"E-",IF(H12&lt;'PlayerGrades+'!$AC$17,"E",IF(H12&lt;'PlayerGrades+'!$AC$16,"E+",IF(H12&lt;'PlayerGrades+'!$AC$15,"D-",IF(H12&lt;'PlayerGrades+'!$AC$14,"D",IF(H12&lt;'PlayerGrades+'!$AC$13,"D+",IF(H12&lt;'PlayerGrades+'!$AC$12,"C-",IF(H12&lt;'PlayerGrades+'!$AC$11,"C",IF(H12&lt;'PlayerGrades+'!$AC$10,"C+",IF(H12&lt;'PlayerGrades+'!$AC$9,"B-",IF(H12&lt;'PlayerGrades+'!$AC$8,"B",IF(H12&lt;'PlayerGrades+'!$AC$7,"B+",IF(H12&lt;'PlayerGrades+'!$AC$6,"A-",IF(H12&lt;'PlayerGrades+'!$AC$5,"A",IF(H12&lt;'PlayerGrades+'!$AC$4,"A+",IF(H12&lt;'PlayerGrades+'!$AC$3,"S-",IF(H12&lt;'PlayerGrades+'!$AC$2,"S","S+"))))))))))))))))))))</f>
        <v>D-</v>
      </c>
      <c r="J12" s="937">
        <f t="shared" si="4"/>
        <v>0.1709401709</v>
      </c>
      <c r="K12" s="937" t="str">
        <f>IF(J12&lt;'PlayerGrades+'!$AD$21,"F-",IF(J12&lt;'PlayerGrades+'!$AD$20,"F",IF(J12&lt;'PlayerGrades+'!$AD$19,"F+",IF(J12&lt;'PlayerGrades+'!$AD$18,"E-",IF(J12&lt;'PlayerGrades+'!$AD$17,"E",IF(J12&lt;'PlayerGrades+'!$AD$16,"E+",IF(J12&lt;'PlayerGrades+'!$AD$15,"D-",IF(J12&lt;'PlayerGrades+'!$AD$14,"D",IF(J12&lt;'PlayerGrades+'!$AD$13,"D+",IF(J12&lt;'PlayerGrades+'!$AD$12,"C-",IF(J12&lt;'PlayerGrades+'!$AD$11,"C",IF(J12&lt;'PlayerGrades+'!$AD$10,"C+",IF(J12&lt;'PlayerGrades+'!$AD$9,"B-",IF(J12&lt;'PlayerGrades+'!$AD$8,"B",IF(J12&lt;'PlayerGrades+'!$AD$7,"B+",IF(J12&lt;'PlayerGrades+'!$AD$6,"A-",IF(J12&lt;'PlayerGrades+'!$AD$5,"A",IF(J12&lt;'PlayerGrades+'!$AD$4,"A+",IF(J12&lt;'PlayerGrades+'!$AD$3,"S-",IF(J12&lt;'PlayerGrades+'!$AD$2,"S","S+"))))))))))))))))))))</f>
        <v>S+</v>
      </c>
      <c r="L12" s="677">
        <f t="shared" si="5"/>
        <v>0.5128205128</v>
      </c>
      <c r="M12" s="938" t="str">
        <f>IF(L12&lt;'PlayerGrades+'!$AE$21,"F-",IF(L12&lt;'PlayerGrades+'!$AE$20,"F",IF(L12&lt;'PlayerGrades+'!$AE$19,"F+",IF(L12&lt;'PlayerGrades+'!$AE$18,"E-",IF(L12&lt;'PlayerGrades+'!$AE$17,"E",IF(L12&lt;'PlayerGrades+'!$AE$16,"E+",IF(L12&lt;'PlayerGrades+'!$AE$15,"D-",IF(L12&lt;'PlayerGrades+'!$AE$14,"D",IF(L12&lt;'PlayerGrades+'!$AE$13,"D+",IF(L12&lt;'PlayerGrades+'!$AE$12,"C-",IF(L12&lt;'PlayerGrades+'!$AE$11,"C",IF(L12&lt;'PlayerGrades+'!$AE$10,"C+",IF(L12&lt;'PlayerGrades+'!$AE$9,"B-",IF(L12&lt;'PlayerGrades+'!$AE$8,"B",IF(L12&lt;'PlayerGrades+'!$AE$7,"B+",IF(L12&lt;'PlayerGrades+'!$AE$6,"A-",IF(L12&lt;'PlayerGrades+'!$AE$5,"A",IF(L12&lt;'PlayerGrades+'!$AE$4,"A+",IF(L12&lt;'PlayerGrades+'!$AE$3,"S-",IF(L12&lt;'PlayerGrades+'!$AE$2,"S","S+"))))))))))))))))))))</f>
        <v>A-</v>
      </c>
      <c r="N12" s="937">
        <f t="shared" si="6"/>
        <v>0.1709401709</v>
      </c>
      <c r="O12" s="937" t="str">
        <f>IF(N12&lt;'PlayerGrades+'!$AF$21,"F-",IF(N12&lt;'PlayerGrades+'!$AF$20,"F",IF(N12&lt;'PlayerGrades+'!$AF$19,"F+",IF(N12&lt;'PlayerGrades+'!$AF$18,"E-",IF(N12&lt;'PlayerGrades+'!$AF$17,"E",IF(N12&lt;'PlayerGrades+'!$AF$16,"E+",IF(N12&lt;'PlayerGrades+'!$AF$15,"D-",IF(N12&lt;'PlayerGrades+'!$AF$14,"D",IF(N12&lt;'PlayerGrades+'!$AF$13,"D+",IF(N12&lt;'PlayerGrades+'!$AF$12,"C-",IF(N12&lt;'PlayerGrades+'!$AF$11,"C",IF(N12&lt;'PlayerGrades+'!$AF$10,"C+",IF(N12&lt;'PlayerGrades+'!$AF$9,"B-",IF(N12&lt;'PlayerGrades+'!$AF$8,"B",IF(N12&lt;'PlayerGrades+'!$AF$7,"B+",IF(N12&lt;'PlayerGrades+'!$AF$6,"A-",IF(N12&lt;'PlayerGrades+'!$AF$5,"A",IF(N12&lt;'PlayerGrades+'!$AF$4,"A+",IF(N12&lt;'PlayerGrades+'!$AF$3,"S-",IF(N12&lt;'PlayerGrades+'!$AF$2,"S","S+"))))))))))))))))))))</f>
        <v>S+</v>
      </c>
      <c r="P12" s="937">
        <f t="shared" si="7"/>
        <v>0.1709401709</v>
      </c>
      <c r="Q12" s="937" t="str">
        <f>IF(P12&lt;'PlayerGrades+'!$AG$21,"F-",IF(P12&lt;'PlayerGrades+'!$AG$20,"F",IF(P12&lt;'PlayerGrades+'!$AG$19,"F+",IF(P12&lt;'PlayerGrades+'!$AG$18,"E-",IF(P12&lt;'PlayerGrades+'!$AG$17,"E",IF(P12&lt;'PlayerGrades+'!$AG$16,"E+",IF(P12&lt;'PlayerGrades+'!$AG$15,"D-",IF(P12&lt;'PlayerGrades+'!$AG$14,"D",IF(P12&lt;'PlayerGrades+'!$AG$13,"D+",IF(P12&lt;'PlayerGrades+'!$AG$12,"C-",IF(P12&lt;'PlayerGrades+'!$AG$11,"C",IF(P12&lt;'PlayerGrades+'!$AG$10,"C+",IF(P12&lt;'PlayerGrades+'!$AG$9,"B-",IF(P12&lt;'PlayerGrades+'!$AG$8,"B",IF(P12&lt;'PlayerGrades+'!$AG$7,"B+",IF(P12&lt;'PlayerGrades+'!$AG$6,"A-",IF(P12&lt;'PlayerGrades+'!$AG$5,"A",IF(P12&lt;'PlayerGrades+'!$AG$4,"A+",IF(P12&lt;'PlayerGrades+'!$AG$3,"S-",IF(P12&lt;'PlayerGrades+'!$AG$2,"S","S+"))))))))))))))))))))</f>
        <v>S+</v>
      </c>
      <c r="R12" s="937">
        <f t="shared" si="8"/>
        <v>0.7692307692</v>
      </c>
      <c r="S12" s="937" t="str">
        <f>IF(R12&lt;'PlayerGrades+'!$AH$21,"F-",IF(R12&lt;'PlayerGrades+'!$AH$20,"F",IF(R12&lt;'PlayerGrades+'!$AH$19,"F+",IF(R12&lt;'PlayerGrades+'!$AH$18,"E-",IF(R12&lt;'PlayerGrades+'!$AH$17,"E",IF(R12&lt;'PlayerGrades+'!$AH$16,"E+",IF(R12&lt;'PlayerGrades+'!$AH$15,"D-",IF(R12&lt;'PlayerGrades+'!$AH$14,"D",IF(R12&lt;'PlayerGrades+'!$AH$13,"D+",IF(R12&lt;'PlayerGrades+'!$AH$12,"C-",IF(R12&lt;'PlayerGrades+'!$AH$11,"C",IF(R12&lt;'PlayerGrades+'!$AH$10,"C+",IF(R12&lt;'PlayerGrades+'!$AH$9,"B-",IF(R12&lt;'PlayerGrades+'!$AH$8,"B",IF(R12&lt;'PlayerGrades+'!$AH$7,"B+",IF(R12&lt;'PlayerGrades+'!$AH$6,"A-",IF(R12&lt;'PlayerGrades+'!$AH$5,"A",IF(R12&lt;'PlayerGrades+'!$AH$4,"A+",IF(R12&lt;'PlayerGrades+'!$AH$3,"S-",IF(R12&lt;'PlayerGrades+'!$AH$2,"S","S+"))))))))))))))))))))</f>
        <v>S+</v>
      </c>
      <c r="T12" s="937">
        <f t="shared" si="9"/>
        <v>1.427350427</v>
      </c>
      <c r="U12" s="937" t="str">
        <f>IF(T12&lt;'PlayerGrades+'!$AI$21,"F-",IF(T12&lt;'PlayerGrades+'!$AI$20,"F",IF(T12&lt;'PlayerGrades+'!$AI$19,"F+",IF(T12&lt;'PlayerGrades+'!$AI$18,"E-",IF(T12&lt;'PlayerGrades+'!$AI$17,"E",IF(T12&lt;'PlayerGrades+'!$AI$16,"E+",IF(T12&lt;'PlayerGrades+'!$AI$15,"D-",IF(T12&lt;'PlayerGrades+'!$AI$14,"D",IF(T12&lt;'PlayerGrades+'!$AI$13,"D+",IF(T12&lt;'PlayerGrades+'!$AI$12,"C-",IF(T12&lt;'PlayerGrades+'!$AI$11,"C",IF(T12&lt;'PlayerGrades+'!$AI$10,"C+",IF(T12&lt;'PlayerGrades+'!$AI$9,"B-",IF(T12&lt;'PlayerGrades+'!$AI$8,"B",IF(T12&lt;'PlayerGrades+'!$AI$7,"B+",IF(T12&lt;'PlayerGrades+'!$AI$6,"A-",IF(T12&lt;'PlayerGrades+'!$AI$5,"A",IF(T12&lt;'PlayerGrades+'!$AI$4,"A+",IF(T12&lt;'PlayerGrades+'!$AI$3,"S-",IF(T12&lt;'PlayerGrades+'!$AI$2,"S","S+"))))))))))))))))))))</f>
        <v>B+</v>
      </c>
      <c r="V12" s="941">
        <v>1.0</v>
      </c>
      <c r="W12" s="941">
        <v>0.0</v>
      </c>
      <c r="X12" s="941">
        <v>1.0</v>
      </c>
      <c r="Y12" s="941">
        <v>0.0</v>
      </c>
      <c r="Z12" s="941">
        <v>4.0</v>
      </c>
      <c r="AA12" s="941">
        <v>39.0</v>
      </c>
      <c r="AB12" s="941">
        <v>31.0</v>
      </c>
      <c r="AC12" s="941">
        <v>8.0</v>
      </c>
      <c r="AD12" s="941">
        <v>2.0</v>
      </c>
      <c r="AE12" s="941">
        <v>7.0</v>
      </c>
      <c r="AF12" s="941">
        <v>3.0</v>
      </c>
      <c r="AG12" s="941">
        <v>534.0</v>
      </c>
      <c r="AH12" s="941">
        <v>702.0</v>
      </c>
      <c r="AI12" s="941">
        <v>17.0</v>
      </c>
      <c r="AJ12" s="941">
        <v>67.0</v>
      </c>
      <c r="AK12" s="941">
        <v>0.0</v>
      </c>
      <c r="AL12" s="941">
        <v>2.0</v>
      </c>
      <c r="AM12" s="941">
        <v>0.0</v>
      </c>
      <c r="AN12" s="941">
        <v>0.0</v>
      </c>
      <c r="AO12" s="941">
        <v>0.0</v>
      </c>
      <c r="AP12" s="941">
        <v>2.0</v>
      </c>
      <c r="AQ12" s="941">
        <v>0.0</v>
      </c>
      <c r="AR12" s="941">
        <v>6.0</v>
      </c>
      <c r="AS12" s="941">
        <v>2.0</v>
      </c>
      <c r="AT12" s="941">
        <v>0.0</v>
      </c>
      <c r="AU12" s="941">
        <v>0.0</v>
      </c>
      <c r="AV12" s="941">
        <v>0.0</v>
      </c>
      <c r="AW12" s="941">
        <v>0.0</v>
      </c>
      <c r="AX12" s="941">
        <v>0.0</v>
      </c>
      <c r="AY12" s="941">
        <v>0.0</v>
      </c>
      <c r="AZ12" s="941">
        <v>0.0</v>
      </c>
      <c r="BA12" s="941">
        <v>0.0</v>
      </c>
      <c r="BB12" s="941">
        <v>1.0</v>
      </c>
      <c r="BC12" s="941">
        <v>0.0</v>
      </c>
      <c r="BD12" s="941">
        <v>7.0</v>
      </c>
      <c r="BE12" s="942">
        <v>5.0</v>
      </c>
      <c r="BF12" s="941">
        <v>1.0</v>
      </c>
      <c r="BG12" s="941">
        <v>1.0</v>
      </c>
    </row>
    <row r="13">
      <c r="A13" s="935" t="s">
        <v>137</v>
      </c>
      <c r="B13" s="16" t="str">
        <f>IF(C13&lt;'PlayerGrades+'!$Y$44,"F-",IF(C13&lt;'PlayerGrades+'!$Y$43,"F",IF(C13&lt;'PlayerGrades+'!$Y$42,"F+",IF(C13&lt;'PlayerGrades+'!$Y$41,"E-",IF(C13&lt;'PlayerGrades+'!$Y$40,"E",IF(C13&lt;'PlayerGrades+'!$Y$39,"E+",IF(C13&lt;'PlayerGrades+'!$Y$38,"D-",IF(C13&lt;'PlayerGrades+'!$Y$37,"D",IF(C13&lt;'PlayerGrades+'!$Y$36,"D+",IF(C13&lt;'PlayerGrades+'!$Y$35,"C-",IF(C13&lt;'PlayerGrades+'!$Y$34,"C",IF(C13&lt;'PlayerGrades+'!$Y$33,"C+",IF(C13&lt;'PlayerGrades+'!$Y$32,"B-",IF(C13&lt;'PlayerGrades+'!$Y$31,"B",IF(C13&lt;'PlayerGrades+'!$Y$30,"B+",IF(C13&lt;'PlayerGrades+'!$Y$29,"A-",IF(C13&lt;'PlayerGrades+'!$Y$28,"A",IF(C13&lt;'PlayerGrades+'!$Y$27,"A+",IF(C13&lt;'PlayerGrades+'!$Y$26,"S-",IF(C13&lt;'PlayerGrades+'!$Y$25,"S","S+"))))))))))))))))))))</f>
        <v>E+</v>
      </c>
      <c r="C13" s="936">
        <f>('PlayerGrades+'!$Y$47*(VLOOKUP(E13, 'PlayerGrades+'!$X$3:$Y$23, 2, FALSE)))+('PlayerGrades+'!$Y$48*(VLOOKUP(G13, 'PlayerGrades+'!$X$3:$Y$23, 2, FALSE)))+('PlayerGrades+'!$Y$49*(VLOOKUP(I13, 'PlayerGrades+'!$X$3:$Y$23, 2, FALSE)))+('PlayerGrades+'!$Y$50*(VLOOKUP(K13, 'PlayerGrades+'!$X$3:$Y$23, 2, FALSE)))+('PlayerGrades+'!$Y$51*(VLOOKUP(M13, 'PlayerGrades+'!$X$3:$Y$23, 2, FALSE)))+('PlayerGrades+'!$Y$52*(VLOOKUP(O13, 'PlayerGrades+'!$X$3:$Y$23, 2, FALSE)))+('PlayerGrades+'!$Y$53*(VLOOKUP(Q13, 'PlayerGrades+'!$X$3:$Y$23, 2, FALSE)))+('PlayerGrades+'!$Y$54*(VLOOKUP(S13, 'PlayerGrades+'!$X$3:$Y$23, 2, FALSE)))+('PlayerGrades+'!$Y$55*(VLOOKUP(U13, 'PlayerGrades+'!$X$3:$Y$23, 2, FALSE)))</f>
        <v>13.55</v>
      </c>
      <c r="D13" s="937">
        <f t="shared" si="1"/>
        <v>0.08547008547</v>
      </c>
      <c r="E13" s="937" t="str">
        <f>IF(D13&lt;'PlayerGrades+'!$AA$21,"F-",IF(D13&lt;'PlayerGrades+'!$AA$20,"F",IF(D13&lt;'PlayerGrades+'!$AA$19,"F+",IF(D13&lt;'PlayerGrades+'!$AA$18,"E-",IF(D13&lt;'PlayerGrades+'!$AA$17,"E",IF(D13&lt;'PlayerGrades+'!$AA$16,"E+",IF(D13&lt;'PlayerGrades+'!$AA$15,"D-",IF(D13&lt;'PlayerGrades+'!$AA$14,"D",IF(D13&lt;'PlayerGrades+'!$AA$13,"D+",IF(D13&lt;'PlayerGrades+'!$AA$12,"C-",IF(D13&lt;'PlayerGrades+'!$AA$11,"C",IF(D13&lt;'PlayerGrades+'!$AA$10,"C+",IF(D13&lt;'PlayerGrades+'!$AA$9,"B-",IF(D13&lt;'PlayerGrades+'!$AA$8,"B",IF(D13&lt;'PlayerGrades+'!$AA$7,"B+",IF(D13&lt;'PlayerGrades+'!$AA$6,"A-",IF(D13&lt;'PlayerGrades+'!$AA$5,"A",IF(D13&lt;'PlayerGrades+'!$AA$4,"A+",IF(D13&lt;'PlayerGrades+'!$AA$3,"S-",IF(D13&lt;'PlayerGrades+'!$AA$2,"S","S+"))))))))))))))))))))</f>
        <v>B</v>
      </c>
      <c r="F13" s="937">
        <f t="shared" si="2"/>
        <v>-0.4273504274</v>
      </c>
      <c r="G13" s="937" t="str">
        <f>IF(F13&lt;'PlayerGrades+'!$AB$21,"F-",IF(F13&lt;'PlayerGrades+'!$AB$20,"F",IF(F13&lt;'PlayerGrades+'!$AB$19,"F+",IF(F13&lt;'PlayerGrades+'!$AB$18,"E-",IF(F13&lt;'PlayerGrades+'!$AB$17,"E",IF(F13&lt;'PlayerGrades+'!$AB$16,"E+",IF(F13&lt;'PlayerGrades+'!$AB$15,"D-",IF(F13&lt;'PlayerGrades+'!$AB$14,"D",IF(F13&lt;'PlayerGrades+'!$AB$13,"D+",IF(F13&lt;'PlayerGrades+'!$AB$12,"C-",IF(F13&lt;'PlayerGrades+'!$AB$11,"C",IF(F13&lt;'PlayerGrades+'!$AB$10,"C+",IF(F13&lt;'PlayerGrades+'!$AB$9,"B-",IF(F13&lt;'PlayerGrades+'!$AB$8,"B",IF(F13&lt;'PlayerGrades+'!$AB$7,"B+",IF(F13&lt;'PlayerGrades+'!$AB$6,"A-",IF(F13&lt;'PlayerGrades+'!$AB$5,"A",IF(F13&lt;'PlayerGrades+'!$AB$4,"A+",IF(F13&lt;'PlayerGrades+'!$AB$3,"S-",IF(F13&lt;'PlayerGrades+'!$AB$2,"S","S+"))))))))))))))))))))</f>
        <v>D</v>
      </c>
      <c r="H13" s="937">
        <f t="shared" si="3"/>
        <v>0.08547008547</v>
      </c>
      <c r="I13" s="937" t="str">
        <f>IF(H13&lt;'PlayerGrades+'!$AC$21,"F-",IF(H13&lt;'PlayerGrades+'!$AC$20,"F",IF(H13&lt;'PlayerGrades+'!$AC$19,"F+",IF(H13&lt;'PlayerGrades+'!$AC$18,"E-",IF(H13&lt;'PlayerGrades+'!$AC$17,"E",IF(H13&lt;'PlayerGrades+'!$AC$16,"E+",IF(H13&lt;'PlayerGrades+'!$AC$15,"D-",IF(H13&lt;'PlayerGrades+'!$AC$14,"D",IF(H13&lt;'PlayerGrades+'!$AC$13,"D+",IF(H13&lt;'PlayerGrades+'!$AC$12,"C-",IF(H13&lt;'PlayerGrades+'!$AC$11,"C",IF(H13&lt;'PlayerGrades+'!$AC$10,"C+",IF(H13&lt;'PlayerGrades+'!$AC$9,"B-",IF(H13&lt;'PlayerGrades+'!$AC$8,"B",IF(H13&lt;'PlayerGrades+'!$AC$7,"B+",IF(H13&lt;'PlayerGrades+'!$AC$6,"A-",IF(H13&lt;'PlayerGrades+'!$AC$5,"A",IF(H13&lt;'PlayerGrades+'!$AC$4,"A+",IF(H13&lt;'PlayerGrades+'!$AC$3,"S-",IF(H13&lt;'PlayerGrades+'!$AC$2,"S","S+"))))))))))))))))))))</f>
        <v>D-</v>
      </c>
      <c r="J13" s="937">
        <f t="shared" si="4"/>
        <v>0</v>
      </c>
      <c r="K13" s="937" t="str">
        <f>IF(J13&lt;'PlayerGrades+'!$AD$21,"F-",IF(J13&lt;'PlayerGrades+'!$AD$20,"F",IF(J13&lt;'PlayerGrades+'!$AD$19,"F+",IF(J13&lt;'PlayerGrades+'!$AD$18,"E-",IF(J13&lt;'PlayerGrades+'!$AD$17,"E",IF(J13&lt;'PlayerGrades+'!$AD$16,"E+",IF(J13&lt;'PlayerGrades+'!$AD$15,"D-",IF(J13&lt;'PlayerGrades+'!$AD$14,"D",IF(J13&lt;'PlayerGrades+'!$AD$13,"D+",IF(J13&lt;'PlayerGrades+'!$AD$12,"C-",IF(J13&lt;'PlayerGrades+'!$AD$11,"C",IF(J13&lt;'PlayerGrades+'!$AD$10,"C+",IF(J13&lt;'PlayerGrades+'!$AD$9,"B-",IF(J13&lt;'PlayerGrades+'!$AD$8,"B",IF(J13&lt;'PlayerGrades+'!$AD$7,"B+",IF(J13&lt;'PlayerGrades+'!$AD$6,"A-",IF(J13&lt;'PlayerGrades+'!$AD$5,"A",IF(J13&lt;'PlayerGrades+'!$AD$4,"A+",IF(J13&lt;'PlayerGrades+'!$AD$3,"S-",IF(J13&lt;'PlayerGrades+'!$AD$2,"S","S+"))))))))))))))))))))</f>
        <v>F-</v>
      </c>
      <c r="L13" s="677">
        <f t="shared" si="5"/>
        <v>0.1709401709</v>
      </c>
      <c r="M13" s="938" t="str">
        <f>IF(L13&lt;'PlayerGrades+'!$AE$21,"F-",IF(L13&lt;'PlayerGrades+'!$AE$20,"F",IF(L13&lt;'PlayerGrades+'!$AE$19,"F+",IF(L13&lt;'PlayerGrades+'!$AE$18,"E-",IF(L13&lt;'PlayerGrades+'!$AE$17,"E",IF(L13&lt;'PlayerGrades+'!$AE$16,"E+",IF(L13&lt;'PlayerGrades+'!$AE$15,"D-",IF(L13&lt;'PlayerGrades+'!$AE$14,"D",IF(L13&lt;'PlayerGrades+'!$AE$13,"D+",IF(L13&lt;'PlayerGrades+'!$AE$12,"C-",IF(L13&lt;'PlayerGrades+'!$AE$11,"C",IF(L13&lt;'PlayerGrades+'!$AE$10,"C+",IF(L13&lt;'PlayerGrades+'!$AE$9,"B-",IF(L13&lt;'PlayerGrades+'!$AE$8,"B",IF(L13&lt;'PlayerGrades+'!$AE$7,"B+",IF(L13&lt;'PlayerGrades+'!$AE$6,"A-",IF(L13&lt;'PlayerGrades+'!$AE$5,"A",IF(L13&lt;'PlayerGrades+'!$AE$4,"A+",IF(L13&lt;'PlayerGrades+'!$AE$3,"S-",IF(L13&lt;'PlayerGrades+'!$AE$2,"S","S+"))))))))))))))))))))</f>
        <v>F-</v>
      </c>
      <c r="N13" s="937">
        <f t="shared" si="6"/>
        <v>0</v>
      </c>
      <c r="O13" s="937" t="str">
        <f>IF(N13&lt;'PlayerGrades+'!$AF$21,"F-",IF(N13&lt;'PlayerGrades+'!$AF$20,"F",IF(N13&lt;'PlayerGrades+'!$AF$19,"F+",IF(N13&lt;'PlayerGrades+'!$AF$18,"E-",IF(N13&lt;'PlayerGrades+'!$AF$17,"E",IF(N13&lt;'PlayerGrades+'!$AF$16,"E+",IF(N13&lt;'PlayerGrades+'!$AF$15,"D-",IF(N13&lt;'PlayerGrades+'!$AF$14,"D",IF(N13&lt;'PlayerGrades+'!$AF$13,"D+",IF(N13&lt;'PlayerGrades+'!$AF$12,"C-",IF(N13&lt;'PlayerGrades+'!$AF$11,"C",IF(N13&lt;'PlayerGrades+'!$AF$10,"C+",IF(N13&lt;'PlayerGrades+'!$AF$9,"B-",IF(N13&lt;'PlayerGrades+'!$AF$8,"B",IF(N13&lt;'PlayerGrades+'!$AF$7,"B+",IF(N13&lt;'PlayerGrades+'!$AF$6,"A-",IF(N13&lt;'PlayerGrades+'!$AF$5,"A",IF(N13&lt;'PlayerGrades+'!$AF$4,"A+",IF(N13&lt;'PlayerGrades+'!$AF$3,"S-",IF(N13&lt;'PlayerGrades+'!$AF$2,"S","S+"))))))))))))))))))))</f>
        <v>F-</v>
      </c>
      <c r="P13" s="937">
        <f t="shared" si="7"/>
        <v>0</v>
      </c>
      <c r="Q13" s="937" t="str">
        <f>IF(P13&lt;'PlayerGrades+'!$AG$21,"F-",IF(P13&lt;'PlayerGrades+'!$AG$20,"F",IF(P13&lt;'PlayerGrades+'!$AG$19,"F+",IF(P13&lt;'PlayerGrades+'!$AG$18,"E-",IF(P13&lt;'PlayerGrades+'!$AG$17,"E",IF(P13&lt;'PlayerGrades+'!$AG$16,"E+",IF(P13&lt;'PlayerGrades+'!$AG$15,"D-",IF(P13&lt;'PlayerGrades+'!$AG$14,"D",IF(P13&lt;'PlayerGrades+'!$AG$13,"D+",IF(P13&lt;'PlayerGrades+'!$AG$12,"C-",IF(P13&lt;'PlayerGrades+'!$AG$11,"C",IF(P13&lt;'PlayerGrades+'!$AG$10,"C+",IF(P13&lt;'PlayerGrades+'!$AG$9,"B-",IF(P13&lt;'PlayerGrades+'!$AG$8,"B",IF(P13&lt;'PlayerGrades+'!$AG$7,"B+",IF(P13&lt;'PlayerGrades+'!$AG$6,"A-",IF(P13&lt;'PlayerGrades+'!$AG$5,"A",IF(P13&lt;'PlayerGrades+'!$AG$4,"A+",IF(P13&lt;'PlayerGrades+'!$AG$3,"S-",IF(P13&lt;'PlayerGrades+'!$AG$2,"S","S+"))))))))))))))))))))</f>
        <v>F</v>
      </c>
      <c r="R13" s="937">
        <f t="shared" si="8"/>
        <v>0.6837606838</v>
      </c>
      <c r="S13" s="937" t="str">
        <f>IF(R13&lt;'PlayerGrades+'!$AH$21,"F-",IF(R13&lt;'PlayerGrades+'!$AH$20,"F",IF(R13&lt;'PlayerGrades+'!$AH$19,"F+",IF(R13&lt;'PlayerGrades+'!$AH$18,"E-",IF(R13&lt;'PlayerGrades+'!$AH$17,"E",IF(R13&lt;'PlayerGrades+'!$AH$16,"E+",IF(R13&lt;'PlayerGrades+'!$AH$15,"D-",IF(R13&lt;'PlayerGrades+'!$AH$14,"D",IF(R13&lt;'PlayerGrades+'!$AH$13,"D+",IF(R13&lt;'PlayerGrades+'!$AH$12,"C-",IF(R13&lt;'PlayerGrades+'!$AH$11,"C",IF(R13&lt;'PlayerGrades+'!$AH$10,"C+",IF(R13&lt;'PlayerGrades+'!$AH$9,"B-",IF(R13&lt;'PlayerGrades+'!$AH$8,"B",IF(R13&lt;'PlayerGrades+'!$AH$7,"B+",IF(R13&lt;'PlayerGrades+'!$AH$6,"A-",IF(R13&lt;'PlayerGrades+'!$AH$5,"A",IF(R13&lt;'PlayerGrades+'!$AH$4,"A+",IF(R13&lt;'PlayerGrades+'!$AH$3,"S-",IF(R13&lt;'PlayerGrades+'!$AH$2,"S","S+"))))))))))))))))))))</f>
        <v>S-</v>
      </c>
      <c r="T13" s="937">
        <f t="shared" si="9"/>
        <v>0.3418803419</v>
      </c>
      <c r="U13" s="937" t="str">
        <f>IF(T13&lt;'PlayerGrades+'!$AI$21,"F-",IF(T13&lt;'PlayerGrades+'!$AI$20,"F",IF(T13&lt;'PlayerGrades+'!$AI$19,"F+",IF(T13&lt;'PlayerGrades+'!$AI$18,"E-",IF(T13&lt;'PlayerGrades+'!$AI$17,"E",IF(T13&lt;'PlayerGrades+'!$AI$16,"E+",IF(T13&lt;'PlayerGrades+'!$AI$15,"D-",IF(T13&lt;'PlayerGrades+'!$AI$14,"D",IF(T13&lt;'PlayerGrades+'!$AI$13,"D+",IF(T13&lt;'PlayerGrades+'!$AI$12,"C-",IF(T13&lt;'PlayerGrades+'!$AI$11,"C",IF(T13&lt;'PlayerGrades+'!$AI$10,"C+",IF(T13&lt;'PlayerGrades+'!$AI$9,"B-",IF(T13&lt;'PlayerGrades+'!$AI$8,"B",IF(T13&lt;'PlayerGrades+'!$AI$7,"B+",IF(T13&lt;'PlayerGrades+'!$AI$6,"A-",IF(T13&lt;'PlayerGrades+'!$AI$5,"A",IF(T13&lt;'PlayerGrades+'!$AI$4,"A+",IF(T13&lt;'PlayerGrades+'!$AI$3,"S-",IF(T13&lt;'PlayerGrades+'!$AI$2,"S","S+"))))))))))))))))))))</f>
        <v>F-</v>
      </c>
      <c r="V13" s="941">
        <v>1.0</v>
      </c>
      <c r="W13" s="941">
        <v>0.0</v>
      </c>
      <c r="X13" s="941">
        <v>1.0</v>
      </c>
      <c r="Y13" s="941">
        <v>1.0</v>
      </c>
      <c r="Z13" s="941">
        <v>0.0</v>
      </c>
      <c r="AA13" s="941">
        <v>24.0</v>
      </c>
      <c r="AB13" s="941">
        <v>29.0</v>
      </c>
      <c r="AC13" s="941">
        <v>-5.0</v>
      </c>
      <c r="AD13" s="941">
        <v>5.0</v>
      </c>
      <c r="AE13" s="941">
        <v>3.0</v>
      </c>
      <c r="AF13" s="941">
        <v>1.0</v>
      </c>
      <c r="AG13" s="941">
        <v>535.0</v>
      </c>
      <c r="AH13" s="941">
        <v>702.0</v>
      </c>
      <c r="AI13" s="941">
        <v>18.0</v>
      </c>
      <c r="AJ13" s="941">
        <v>84.0</v>
      </c>
      <c r="AK13" s="941">
        <v>0.0</v>
      </c>
      <c r="AL13" s="941">
        <v>0.0</v>
      </c>
      <c r="AM13" s="941">
        <v>0.0</v>
      </c>
      <c r="AN13" s="941">
        <v>0.0</v>
      </c>
      <c r="AO13" s="941">
        <v>0.0</v>
      </c>
      <c r="AP13" s="941">
        <v>0.0</v>
      </c>
      <c r="AQ13" s="941">
        <v>0.0</v>
      </c>
      <c r="AR13" s="941">
        <v>2.0</v>
      </c>
      <c r="AS13" s="941">
        <v>0.0</v>
      </c>
      <c r="AT13" s="941">
        <v>0.0</v>
      </c>
      <c r="AU13" s="941">
        <v>0.0</v>
      </c>
      <c r="AV13" s="941">
        <v>0.0</v>
      </c>
      <c r="AW13" s="941">
        <v>0.0</v>
      </c>
      <c r="AX13" s="941">
        <v>0.0</v>
      </c>
      <c r="AY13" s="941">
        <v>0.0</v>
      </c>
      <c r="AZ13" s="941">
        <v>0.0</v>
      </c>
      <c r="BA13" s="941">
        <v>0.0</v>
      </c>
      <c r="BB13" s="941">
        <v>1.0</v>
      </c>
      <c r="BC13" s="941">
        <v>0.0</v>
      </c>
      <c r="BD13" s="941">
        <v>3.0</v>
      </c>
      <c r="BE13" s="942">
        <v>4.0</v>
      </c>
      <c r="BF13" s="941">
        <v>0.0</v>
      </c>
      <c r="BG13" s="941">
        <v>1.0</v>
      </c>
    </row>
    <row r="14">
      <c r="A14" s="935" t="s">
        <v>152</v>
      </c>
      <c r="B14" s="16" t="str">
        <f>IF(C14&lt;'PlayerGrades+'!$Y$44,"F-",IF(C14&lt;'PlayerGrades+'!$Y$43,"F",IF(C14&lt;'PlayerGrades+'!$Y$42,"F+",IF(C14&lt;'PlayerGrades+'!$Y$41,"E-",IF(C14&lt;'PlayerGrades+'!$Y$40,"E",IF(C14&lt;'PlayerGrades+'!$Y$39,"E+",IF(C14&lt;'PlayerGrades+'!$Y$38,"D-",IF(C14&lt;'PlayerGrades+'!$Y$37,"D",IF(C14&lt;'PlayerGrades+'!$Y$36,"D+",IF(C14&lt;'PlayerGrades+'!$Y$35,"C-",IF(C14&lt;'PlayerGrades+'!$Y$34,"C",IF(C14&lt;'PlayerGrades+'!$Y$33,"C+",IF(C14&lt;'PlayerGrades+'!$Y$32,"B-",IF(C14&lt;'PlayerGrades+'!$Y$31,"B",IF(C14&lt;'PlayerGrades+'!$Y$30,"B+",IF(C14&lt;'PlayerGrades+'!$Y$29,"A-",IF(C14&lt;'PlayerGrades+'!$Y$28,"A",IF(C14&lt;'PlayerGrades+'!$Y$27,"A+",IF(C14&lt;'PlayerGrades+'!$Y$26,"S-",IF(C14&lt;'PlayerGrades+'!$Y$25,"S","S+"))))))))))))))))))))</f>
        <v>D</v>
      </c>
      <c r="C14" s="936">
        <f>('PlayerGrades+'!$Y$47*(VLOOKUP(E14, 'PlayerGrades+'!$X$3:$Y$23, 2, FALSE)))+('PlayerGrades+'!$Y$48*(VLOOKUP(G14, 'PlayerGrades+'!$X$3:$Y$23, 2, FALSE)))+('PlayerGrades+'!$Y$49*(VLOOKUP(I14, 'PlayerGrades+'!$X$3:$Y$23, 2, FALSE)))+('PlayerGrades+'!$Y$50*(VLOOKUP(K14, 'PlayerGrades+'!$X$3:$Y$23, 2, FALSE)))+('PlayerGrades+'!$Y$51*(VLOOKUP(M14, 'PlayerGrades+'!$X$3:$Y$23, 2, FALSE)))+('PlayerGrades+'!$Y$52*(VLOOKUP(O14, 'PlayerGrades+'!$X$3:$Y$23, 2, FALSE)))+('PlayerGrades+'!$Y$53*(VLOOKUP(Q14, 'PlayerGrades+'!$X$3:$Y$23, 2, FALSE)))+('PlayerGrades+'!$Y$54*(VLOOKUP(S14, 'PlayerGrades+'!$X$3:$Y$23, 2, FALSE)))+('PlayerGrades+'!$Y$55*(VLOOKUP(U14, 'PlayerGrades+'!$X$3:$Y$23, 2, FALSE)))</f>
        <v>15.7</v>
      </c>
      <c r="D14" s="937">
        <f t="shared" si="1"/>
        <v>0.08547008547</v>
      </c>
      <c r="E14" s="937" t="str">
        <f>IF(D14&lt;'PlayerGrades+'!$AA$21,"F-",IF(D14&lt;'PlayerGrades+'!$AA$20,"F",IF(D14&lt;'PlayerGrades+'!$AA$19,"F+",IF(D14&lt;'PlayerGrades+'!$AA$18,"E-",IF(D14&lt;'PlayerGrades+'!$AA$17,"E",IF(D14&lt;'PlayerGrades+'!$AA$16,"E+",IF(D14&lt;'PlayerGrades+'!$AA$15,"D-",IF(D14&lt;'PlayerGrades+'!$AA$14,"D",IF(D14&lt;'PlayerGrades+'!$AA$13,"D+",IF(D14&lt;'PlayerGrades+'!$AA$12,"C-",IF(D14&lt;'PlayerGrades+'!$AA$11,"C",IF(D14&lt;'PlayerGrades+'!$AA$10,"C+",IF(D14&lt;'PlayerGrades+'!$AA$9,"B-",IF(D14&lt;'PlayerGrades+'!$AA$8,"B",IF(D14&lt;'PlayerGrades+'!$AA$7,"B+",IF(D14&lt;'PlayerGrades+'!$AA$6,"A-",IF(D14&lt;'PlayerGrades+'!$AA$5,"A",IF(D14&lt;'PlayerGrades+'!$AA$4,"A+",IF(D14&lt;'PlayerGrades+'!$AA$3,"S-",IF(D14&lt;'PlayerGrades+'!$AA$2,"S","S+"))))))))))))))))))))</f>
        <v>B</v>
      </c>
      <c r="F14" s="937">
        <f t="shared" si="2"/>
        <v>0.1709401709</v>
      </c>
      <c r="G14" s="937" t="str">
        <f>IF(F14&lt;'PlayerGrades+'!$AB$21,"F-",IF(F14&lt;'PlayerGrades+'!$AB$20,"F",IF(F14&lt;'PlayerGrades+'!$AB$19,"F+",IF(F14&lt;'PlayerGrades+'!$AB$18,"E-",IF(F14&lt;'PlayerGrades+'!$AB$17,"E",IF(F14&lt;'PlayerGrades+'!$AB$16,"E+",IF(F14&lt;'PlayerGrades+'!$AB$15,"D-",IF(F14&lt;'PlayerGrades+'!$AB$14,"D",IF(F14&lt;'PlayerGrades+'!$AB$13,"D+",IF(F14&lt;'PlayerGrades+'!$AB$12,"C-",IF(F14&lt;'PlayerGrades+'!$AB$11,"C",IF(F14&lt;'PlayerGrades+'!$AB$10,"C+",IF(F14&lt;'PlayerGrades+'!$AB$9,"B-",IF(F14&lt;'PlayerGrades+'!$AB$8,"B",IF(F14&lt;'PlayerGrades+'!$AB$7,"B+",IF(F14&lt;'PlayerGrades+'!$AB$6,"A-",IF(F14&lt;'PlayerGrades+'!$AB$5,"A",IF(F14&lt;'PlayerGrades+'!$AB$4,"A+",IF(F14&lt;'PlayerGrades+'!$AB$3,"S-",IF(F14&lt;'PlayerGrades+'!$AB$2,"S","S+"))))))))))))))))))))</f>
        <v>B+</v>
      </c>
      <c r="H14" s="937">
        <f t="shared" si="3"/>
        <v>0</v>
      </c>
      <c r="I14" s="937" t="str">
        <f>IF(H14&lt;'PlayerGrades+'!$AC$21,"F-",IF(H14&lt;'PlayerGrades+'!$AC$20,"F",IF(H14&lt;'PlayerGrades+'!$AC$19,"F+",IF(H14&lt;'PlayerGrades+'!$AC$18,"E-",IF(H14&lt;'PlayerGrades+'!$AC$17,"E",IF(H14&lt;'PlayerGrades+'!$AC$16,"E+",IF(H14&lt;'PlayerGrades+'!$AC$15,"D-",IF(H14&lt;'PlayerGrades+'!$AC$14,"D",IF(H14&lt;'PlayerGrades+'!$AC$13,"D+",IF(H14&lt;'PlayerGrades+'!$AC$12,"C-",IF(H14&lt;'PlayerGrades+'!$AC$11,"C",IF(H14&lt;'PlayerGrades+'!$AC$10,"C+",IF(H14&lt;'PlayerGrades+'!$AC$9,"B-",IF(H14&lt;'PlayerGrades+'!$AC$8,"B",IF(H14&lt;'PlayerGrades+'!$AC$7,"B+",IF(H14&lt;'PlayerGrades+'!$AC$6,"A-",IF(H14&lt;'PlayerGrades+'!$AC$5,"A",IF(H14&lt;'PlayerGrades+'!$AC$4,"A+",IF(H14&lt;'PlayerGrades+'!$AC$3,"S-",IF(H14&lt;'PlayerGrades+'!$AC$2,"S","S+"))))))))))))))))))))</f>
        <v>F-</v>
      </c>
      <c r="J14" s="937">
        <f t="shared" si="4"/>
        <v>0</v>
      </c>
      <c r="K14" s="937" t="str">
        <f>IF(J14&lt;'PlayerGrades+'!$AD$21,"F-",IF(J14&lt;'PlayerGrades+'!$AD$20,"F",IF(J14&lt;'PlayerGrades+'!$AD$19,"F+",IF(J14&lt;'PlayerGrades+'!$AD$18,"E-",IF(J14&lt;'PlayerGrades+'!$AD$17,"E",IF(J14&lt;'PlayerGrades+'!$AD$16,"E+",IF(J14&lt;'PlayerGrades+'!$AD$15,"D-",IF(J14&lt;'PlayerGrades+'!$AD$14,"D",IF(J14&lt;'PlayerGrades+'!$AD$13,"D+",IF(J14&lt;'PlayerGrades+'!$AD$12,"C-",IF(J14&lt;'PlayerGrades+'!$AD$11,"C",IF(J14&lt;'PlayerGrades+'!$AD$10,"C+",IF(J14&lt;'PlayerGrades+'!$AD$9,"B-",IF(J14&lt;'PlayerGrades+'!$AD$8,"B",IF(J14&lt;'PlayerGrades+'!$AD$7,"B+",IF(J14&lt;'PlayerGrades+'!$AD$6,"A-",IF(J14&lt;'PlayerGrades+'!$AD$5,"A",IF(J14&lt;'PlayerGrades+'!$AD$4,"A+",IF(J14&lt;'PlayerGrades+'!$AD$3,"S-",IF(J14&lt;'PlayerGrades+'!$AD$2,"S","S+"))))))))))))))))))))</f>
        <v>F-</v>
      </c>
      <c r="L14" s="677">
        <f t="shared" si="5"/>
        <v>0.3418803419</v>
      </c>
      <c r="M14" s="938" t="str">
        <f>IF(L14&lt;'PlayerGrades+'!$AE$21,"F-",IF(L14&lt;'PlayerGrades+'!$AE$20,"F",IF(L14&lt;'PlayerGrades+'!$AE$19,"F+",IF(L14&lt;'PlayerGrades+'!$AE$18,"E-",IF(L14&lt;'PlayerGrades+'!$AE$17,"E",IF(L14&lt;'PlayerGrades+'!$AE$16,"E+",IF(L14&lt;'PlayerGrades+'!$AE$15,"D-",IF(L14&lt;'PlayerGrades+'!$AE$14,"D",IF(L14&lt;'PlayerGrades+'!$AE$13,"D+",IF(L14&lt;'PlayerGrades+'!$AE$12,"C-",IF(L14&lt;'PlayerGrades+'!$AE$11,"C",IF(L14&lt;'PlayerGrades+'!$AE$10,"C+",IF(L14&lt;'PlayerGrades+'!$AE$9,"B-",IF(L14&lt;'PlayerGrades+'!$AE$8,"B",IF(L14&lt;'PlayerGrades+'!$AE$7,"B+",IF(L14&lt;'PlayerGrades+'!$AE$6,"A-",IF(L14&lt;'PlayerGrades+'!$AE$5,"A",IF(L14&lt;'PlayerGrades+'!$AE$4,"A+",IF(L14&lt;'PlayerGrades+'!$AE$3,"S-",IF(L14&lt;'PlayerGrades+'!$AE$2,"S","S+"))))))))))))))))))))</f>
        <v>D-</v>
      </c>
      <c r="N14" s="937">
        <f t="shared" si="6"/>
        <v>0.08547008547</v>
      </c>
      <c r="O14" s="937" t="str">
        <f>IF(N14&lt;'PlayerGrades+'!$AF$21,"F-",IF(N14&lt;'PlayerGrades+'!$AF$20,"F",IF(N14&lt;'PlayerGrades+'!$AF$19,"F+",IF(N14&lt;'PlayerGrades+'!$AF$18,"E-",IF(N14&lt;'PlayerGrades+'!$AF$17,"E",IF(N14&lt;'PlayerGrades+'!$AF$16,"E+",IF(N14&lt;'PlayerGrades+'!$AF$15,"D-",IF(N14&lt;'PlayerGrades+'!$AF$14,"D",IF(N14&lt;'PlayerGrades+'!$AF$13,"D+",IF(N14&lt;'PlayerGrades+'!$AF$12,"C-",IF(N14&lt;'PlayerGrades+'!$AF$11,"C",IF(N14&lt;'PlayerGrades+'!$AF$10,"C+",IF(N14&lt;'PlayerGrades+'!$AF$9,"B-",IF(N14&lt;'PlayerGrades+'!$AF$8,"B",IF(N14&lt;'PlayerGrades+'!$AF$7,"B+",IF(N14&lt;'PlayerGrades+'!$AF$6,"A-",IF(N14&lt;'PlayerGrades+'!$AF$5,"A",IF(N14&lt;'PlayerGrades+'!$AF$4,"A+",IF(N14&lt;'PlayerGrades+'!$AF$3,"S-",IF(N14&lt;'PlayerGrades+'!$AF$2,"S","S+"))))))))))))))))))))</f>
        <v>B</v>
      </c>
      <c r="P14" s="937">
        <f t="shared" si="7"/>
        <v>0</v>
      </c>
      <c r="Q14" s="937" t="str">
        <f>IF(P14&lt;'PlayerGrades+'!$AG$21,"F-",IF(P14&lt;'PlayerGrades+'!$AG$20,"F",IF(P14&lt;'PlayerGrades+'!$AG$19,"F+",IF(P14&lt;'PlayerGrades+'!$AG$18,"E-",IF(P14&lt;'PlayerGrades+'!$AG$17,"E",IF(P14&lt;'PlayerGrades+'!$AG$16,"E+",IF(P14&lt;'PlayerGrades+'!$AG$15,"D-",IF(P14&lt;'PlayerGrades+'!$AG$14,"D",IF(P14&lt;'PlayerGrades+'!$AG$13,"D+",IF(P14&lt;'PlayerGrades+'!$AG$12,"C-",IF(P14&lt;'PlayerGrades+'!$AG$11,"C",IF(P14&lt;'PlayerGrades+'!$AG$10,"C+",IF(P14&lt;'PlayerGrades+'!$AG$9,"B-",IF(P14&lt;'PlayerGrades+'!$AG$8,"B",IF(P14&lt;'PlayerGrades+'!$AG$7,"B+",IF(P14&lt;'PlayerGrades+'!$AG$6,"A-",IF(P14&lt;'PlayerGrades+'!$AG$5,"A",IF(P14&lt;'PlayerGrades+'!$AG$4,"A+",IF(P14&lt;'PlayerGrades+'!$AG$3,"S-",IF(P14&lt;'PlayerGrades+'!$AG$2,"S","S+"))))))))))))))))))))</f>
        <v>F</v>
      </c>
      <c r="R14" s="937">
        <f t="shared" si="8"/>
        <v>0.1709401709</v>
      </c>
      <c r="S14" s="937" t="str">
        <f>IF(R14&lt;'PlayerGrades+'!$AH$21,"F-",IF(R14&lt;'PlayerGrades+'!$AH$20,"F",IF(R14&lt;'PlayerGrades+'!$AH$19,"F+",IF(R14&lt;'PlayerGrades+'!$AH$18,"E-",IF(R14&lt;'PlayerGrades+'!$AH$17,"E",IF(R14&lt;'PlayerGrades+'!$AH$16,"E+",IF(R14&lt;'PlayerGrades+'!$AH$15,"D-",IF(R14&lt;'PlayerGrades+'!$AH$14,"D",IF(R14&lt;'PlayerGrades+'!$AH$13,"D+",IF(R14&lt;'PlayerGrades+'!$AH$12,"C-",IF(R14&lt;'PlayerGrades+'!$AH$11,"C",IF(R14&lt;'PlayerGrades+'!$AH$10,"C+",IF(R14&lt;'PlayerGrades+'!$AH$9,"B-",IF(R14&lt;'PlayerGrades+'!$AH$8,"B",IF(R14&lt;'PlayerGrades+'!$AH$7,"B+",IF(R14&lt;'PlayerGrades+'!$AH$6,"A-",IF(R14&lt;'PlayerGrades+'!$AH$5,"A",IF(R14&lt;'PlayerGrades+'!$AH$4,"A+",IF(R14&lt;'PlayerGrades+'!$AH$3,"S-",IF(R14&lt;'PlayerGrades+'!$AH$2,"S","S+"))))))))))))))))))))</f>
        <v>F-</v>
      </c>
      <c r="T14" s="937">
        <f t="shared" si="9"/>
        <v>1.256410256</v>
      </c>
      <c r="U14" s="937" t="str">
        <f>IF(T14&lt;'PlayerGrades+'!$AI$21,"F-",IF(T14&lt;'PlayerGrades+'!$AI$20,"F",IF(T14&lt;'PlayerGrades+'!$AI$19,"F+",IF(T14&lt;'PlayerGrades+'!$AI$18,"E-",IF(T14&lt;'PlayerGrades+'!$AI$17,"E",IF(T14&lt;'PlayerGrades+'!$AI$16,"E+",IF(T14&lt;'PlayerGrades+'!$AI$15,"D-",IF(T14&lt;'PlayerGrades+'!$AI$14,"D",IF(T14&lt;'PlayerGrades+'!$AI$13,"D+",IF(T14&lt;'PlayerGrades+'!$AI$12,"C-",IF(T14&lt;'PlayerGrades+'!$AI$11,"C",IF(T14&lt;'PlayerGrades+'!$AI$10,"C+",IF(T14&lt;'PlayerGrades+'!$AI$9,"B-",IF(T14&lt;'PlayerGrades+'!$AI$8,"B",IF(T14&lt;'PlayerGrades+'!$AI$7,"B+",IF(T14&lt;'PlayerGrades+'!$AI$6,"A-",IF(T14&lt;'PlayerGrades+'!$AI$5,"A",IF(T14&lt;'PlayerGrades+'!$AI$4,"A+",IF(T14&lt;'PlayerGrades+'!$AI$3,"S-",IF(T14&lt;'PlayerGrades+'!$AI$2,"S","S+"))))))))))))))))))))</f>
        <v>C</v>
      </c>
      <c r="V14" s="941">
        <v>1.0</v>
      </c>
      <c r="W14" s="941">
        <v>1.0</v>
      </c>
      <c r="X14" s="941">
        <v>0.0</v>
      </c>
      <c r="Y14" s="941">
        <v>0.0</v>
      </c>
      <c r="Z14" s="941">
        <v>1.0</v>
      </c>
      <c r="AA14" s="941">
        <v>35.0</v>
      </c>
      <c r="AB14" s="941">
        <v>33.0</v>
      </c>
      <c r="AC14" s="941">
        <v>2.0</v>
      </c>
      <c r="AD14" s="941">
        <v>1.0</v>
      </c>
      <c r="AE14" s="941">
        <v>4.0</v>
      </c>
      <c r="AF14" s="941">
        <v>1.0</v>
      </c>
      <c r="AG14" s="941">
        <v>517.0</v>
      </c>
      <c r="AH14" s="941">
        <v>702.0</v>
      </c>
      <c r="AI14" s="941">
        <v>15.0</v>
      </c>
      <c r="AJ14" s="941">
        <v>12.0</v>
      </c>
      <c r="AK14" s="941">
        <v>0.0</v>
      </c>
      <c r="AL14" s="941">
        <v>0.0</v>
      </c>
      <c r="AM14" s="941">
        <v>0.0</v>
      </c>
      <c r="AN14" s="941">
        <v>0.0</v>
      </c>
      <c r="AO14" s="941">
        <v>0.0</v>
      </c>
      <c r="AP14" s="941">
        <v>0.0</v>
      </c>
      <c r="AQ14" s="941">
        <v>0.0</v>
      </c>
      <c r="AR14" s="941">
        <v>4.0</v>
      </c>
      <c r="AS14" s="941">
        <v>1.0</v>
      </c>
      <c r="AT14" s="941">
        <v>0.0</v>
      </c>
      <c r="AU14" s="941">
        <v>0.0</v>
      </c>
      <c r="AV14" s="941">
        <v>0.0</v>
      </c>
      <c r="AW14" s="941">
        <v>0.0</v>
      </c>
      <c r="AX14" s="941">
        <v>0.0</v>
      </c>
      <c r="AY14" s="941">
        <v>0.0</v>
      </c>
      <c r="AZ14" s="941">
        <v>0.0</v>
      </c>
      <c r="BA14" s="941">
        <v>0.0</v>
      </c>
      <c r="BB14" s="941">
        <v>0.0</v>
      </c>
      <c r="BC14" s="941">
        <v>0.0</v>
      </c>
      <c r="BD14" s="941">
        <v>1.0</v>
      </c>
      <c r="BE14" s="942">
        <v>3.0</v>
      </c>
      <c r="BF14" s="941">
        <v>1.0</v>
      </c>
      <c r="BG14" s="941">
        <v>0.0</v>
      </c>
    </row>
    <row r="15">
      <c r="A15" s="935" t="s">
        <v>141</v>
      </c>
      <c r="B15" s="16" t="str">
        <f>IF(C15&lt;'PlayerGrades+'!$Y$44,"F-",IF(C15&lt;'PlayerGrades+'!$Y$43,"F",IF(C15&lt;'PlayerGrades+'!$Y$42,"F+",IF(C15&lt;'PlayerGrades+'!$Y$41,"E-",IF(C15&lt;'PlayerGrades+'!$Y$40,"E",IF(C15&lt;'PlayerGrades+'!$Y$39,"E+",IF(C15&lt;'PlayerGrades+'!$Y$38,"D-",IF(C15&lt;'PlayerGrades+'!$Y$37,"D",IF(C15&lt;'PlayerGrades+'!$Y$36,"D+",IF(C15&lt;'PlayerGrades+'!$Y$35,"C-",IF(C15&lt;'PlayerGrades+'!$Y$34,"C",IF(C15&lt;'PlayerGrades+'!$Y$33,"C+",IF(C15&lt;'PlayerGrades+'!$Y$32,"B-",IF(C15&lt;'PlayerGrades+'!$Y$31,"B",IF(C15&lt;'PlayerGrades+'!$Y$30,"B+",IF(C15&lt;'PlayerGrades+'!$Y$29,"A-",IF(C15&lt;'PlayerGrades+'!$Y$28,"A",IF(C15&lt;'PlayerGrades+'!$Y$27,"A+",IF(C15&lt;'PlayerGrades+'!$Y$26,"S-",IF(C15&lt;'PlayerGrades+'!$Y$25,"S","S+"))))))))))))))))))))</f>
        <v>F-</v>
      </c>
      <c r="C15" s="936">
        <f>('PlayerGrades+'!$Y$47*(VLOOKUP(E15, 'PlayerGrades+'!$X$3:$Y$23, 2, FALSE)))+('PlayerGrades+'!$Y$48*(VLOOKUP(G15, 'PlayerGrades+'!$X$3:$Y$23, 2, FALSE)))+('PlayerGrades+'!$Y$49*(VLOOKUP(I15, 'PlayerGrades+'!$X$3:$Y$23, 2, FALSE)))+('PlayerGrades+'!$Y$50*(VLOOKUP(K15, 'PlayerGrades+'!$X$3:$Y$23, 2, FALSE)))+('PlayerGrades+'!$Y$51*(VLOOKUP(M15, 'PlayerGrades+'!$X$3:$Y$23, 2, FALSE)))+('PlayerGrades+'!$Y$52*(VLOOKUP(O15, 'PlayerGrades+'!$X$3:$Y$23, 2, FALSE)))+('PlayerGrades+'!$Y$53*(VLOOKUP(Q15, 'PlayerGrades+'!$X$3:$Y$23, 2, FALSE)))+('PlayerGrades+'!$Y$54*(VLOOKUP(S15, 'PlayerGrades+'!$X$3:$Y$23, 2, FALSE)))+('PlayerGrades+'!$Y$55*(VLOOKUP(U15, 'PlayerGrades+'!$X$3:$Y$23, 2, FALSE)))</f>
        <v>7.6</v>
      </c>
      <c r="D15" s="937">
        <f t="shared" si="1"/>
        <v>0.08547008547</v>
      </c>
      <c r="E15" s="937" t="str">
        <f>IF(D15&lt;'PlayerGrades+'!$AA$21,"F-",IF(D15&lt;'PlayerGrades+'!$AA$20,"F",IF(D15&lt;'PlayerGrades+'!$AA$19,"F+",IF(D15&lt;'PlayerGrades+'!$AA$18,"E-",IF(D15&lt;'PlayerGrades+'!$AA$17,"E",IF(D15&lt;'PlayerGrades+'!$AA$16,"E+",IF(D15&lt;'PlayerGrades+'!$AA$15,"D-",IF(D15&lt;'PlayerGrades+'!$AA$14,"D",IF(D15&lt;'PlayerGrades+'!$AA$13,"D+",IF(D15&lt;'PlayerGrades+'!$AA$12,"C-",IF(D15&lt;'PlayerGrades+'!$AA$11,"C",IF(D15&lt;'PlayerGrades+'!$AA$10,"C+",IF(D15&lt;'PlayerGrades+'!$AA$9,"B-",IF(D15&lt;'PlayerGrades+'!$AA$8,"B",IF(D15&lt;'PlayerGrades+'!$AA$7,"B+",IF(D15&lt;'PlayerGrades+'!$AA$6,"A-",IF(D15&lt;'PlayerGrades+'!$AA$5,"A",IF(D15&lt;'PlayerGrades+'!$AA$4,"A+",IF(D15&lt;'PlayerGrades+'!$AA$3,"S-",IF(D15&lt;'PlayerGrades+'!$AA$2,"S","S+"))))))))))))))))))))</f>
        <v>B</v>
      </c>
      <c r="F15" s="937">
        <f t="shared" si="2"/>
        <v>-1.538461538</v>
      </c>
      <c r="G15" s="937" t="str">
        <f>IF(F15&lt;'PlayerGrades+'!$AB$21,"F-",IF(F15&lt;'PlayerGrades+'!$AB$20,"F",IF(F15&lt;'PlayerGrades+'!$AB$19,"F+",IF(F15&lt;'PlayerGrades+'!$AB$18,"E-",IF(F15&lt;'PlayerGrades+'!$AB$17,"E",IF(F15&lt;'PlayerGrades+'!$AB$16,"E+",IF(F15&lt;'PlayerGrades+'!$AB$15,"D-",IF(F15&lt;'PlayerGrades+'!$AB$14,"D",IF(F15&lt;'PlayerGrades+'!$AB$13,"D+",IF(F15&lt;'PlayerGrades+'!$AB$12,"C-",IF(F15&lt;'PlayerGrades+'!$AB$11,"C",IF(F15&lt;'PlayerGrades+'!$AB$10,"C+",IF(F15&lt;'PlayerGrades+'!$AB$9,"B-",IF(F15&lt;'PlayerGrades+'!$AB$8,"B",IF(F15&lt;'PlayerGrades+'!$AB$7,"B+",IF(F15&lt;'PlayerGrades+'!$AB$6,"A-",IF(F15&lt;'PlayerGrades+'!$AB$5,"A",IF(F15&lt;'PlayerGrades+'!$AB$4,"A+",IF(F15&lt;'PlayerGrades+'!$AB$3,"S-",IF(F15&lt;'PlayerGrades+'!$AB$2,"S","S+"))))))))))))))))))))</f>
        <v>F-</v>
      </c>
      <c r="H15" s="937">
        <f t="shared" si="3"/>
        <v>0</v>
      </c>
      <c r="I15" s="937" t="str">
        <f>IF(H15&lt;'PlayerGrades+'!$AC$21,"F-",IF(H15&lt;'PlayerGrades+'!$AC$20,"F",IF(H15&lt;'PlayerGrades+'!$AC$19,"F+",IF(H15&lt;'PlayerGrades+'!$AC$18,"E-",IF(H15&lt;'PlayerGrades+'!$AC$17,"E",IF(H15&lt;'PlayerGrades+'!$AC$16,"E+",IF(H15&lt;'PlayerGrades+'!$AC$15,"D-",IF(H15&lt;'PlayerGrades+'!$AC$14,"D",IF(H15&lt;'PlayerGrades+'!$AC$13,"D+",IF(H15&lt;'PlayerGrades+'!$AC$12,"C-",IF(H15&lt;'PlayerGrades+'!$AC$11,"C",IF(H15&lt;'PlayerGrades+'!$AC$10,"C+",IF(H15&lt;'PlayerGrades+'!$AC$9,"B-",IF(H15&lt;'PlayerGrades+'!$AC$8,"B",IF(H15&lt;'PlayerGrades+'!$AC$7,"B+",IF(H15&lt;'PlayerGrades+'!$AC$6,"A-",IF(H15&lt;'PlayerGrades+'!$AC$5,"A",IF(H15&lt;'PlayerGrades+'!$AC$4,"A+",IF(H15&lt;'PlayerGrades+'!$AC$3,"S-",IF(H15&lt;'PlayerGrades+'!$AC$2,"S","S+"))))))))))))))))))))</f>
        <v>F-</v>
      </c>
      <c r="J15" s="937">
        <f t="shared" si="4"/>
        <v>0</v>
      </c>
      <c r="K15" s="937" t="str">
        <f>IF(J15&lt;'PlayerGrades+'!$AD$21,"F-",IF(J15&lt;'PlayerGrades+'!$AD$20,"F",IF(J15&lt;'PlayerGrades+'!$AD$19,"F+",IF(J15&lt;'PlayerGrades+'!$AD$18,"E-",IF(J15&lt;'PlayerGrades+'!$AD$17,"E",IF(J15&lt;'PlayerGrades+'!$AD$16,"E+",IF(J15&lt;'PlayerGrades+'!$AD$15,"D-",IF(J15&lt;'PlayerGrades+'!$AD$14,"D",IF(J15&lt;'PlayerGrades+'!$AD$13,"D+",IF(J15&lt;'PlayerGrades+'!$AD$12,"C-",IF(J15&lt;'PlayerGrades+'!$AD$11,"C",IF(J15&lt;'PlayerGrades+'!$AD$10,"C+",IF(J15&lt;'PlayerGrades+'!$AD$9,"B-",IF(J15&lt;'PlayerGrades+'!$AD$8,"B",IF(J15&lt;'PlayerGrades+'!$AD$7,"B+",IF(J15&lt;'PlayerGrades+'!$AD$6,"A-",IF(J15&lt;'PlayerGrades+'!$AD$5,"A",IF(J15&lt;'PlayerGrades+'!$AD$4,"A+",IF(J15&lt;'PlayerGrades+'!$AD$3,"S-",IF(J15&lt;'PlayerGrades+'!$AD$2,"S","S+"))))))))))))))))))))</f>
        <v>F-</v>
      </c>
      <c r="L15" s="677">
        <f t="shared" si="5"/>
        <v>0.1709401709</v>
      </c>
      <c r="M15" s="938" t="str">
        <f>IF(L15&lt;'PlayerGrades+'!$AE$21,"F-",IF(L15&lt;'PlayerGrades+'!$AE$20,"F",IF(L15&lt;'PlayerGrades+'!$AE$19,"F+",IF(L15&lt;'PlayerGrades+'!$AE$18,"E-",IF(L15&lt;'PlayerGrades+'!$AE$17,"E",IF(L15&lt;'PlayerGrades+'!$AE$16,"E+",IF(L15&lt;'PlayerGrades+'!$AE$15,"D-",IF(L15&lt;'PlayerGrades+'!$AE$14,"D",IF(L15&lt;'PlayerGrades+'!$AE$13,"D+",IF(L15&lt;'PlayerGrades+'!$AE$12,"C-",IF(L15&lt;'PlayerGrades+'!$AE$11,"C",IF(L15&lt;'PlayerGrades+'!$AE$10,"C+",IF(L15&lt;'PlayerGrades+'!$AE$9,"B-",IF(L15&lt;'PlayerGrades+'!$AE$8,"B",IF(L15&lt;'PlayerGrades+'!$AE$7,"B+",IF(L15&lt;'PlayerGrades+'!$AE$6,"A-",IF(L15&lt;'PlayerGrades+'!$AE$5,"A",IF(L15&lt;'PlayerGrades+'!$AE$4,"A+",IF(L15&lt;'PlayerGrades+'!$AE$3,"S-",IF(L15&lt;'PlayerGrades+'!$AE$2,"S","S+"))))))))))))))))))))</f>
        <v>F-</v>
      </c>
      <c r="N15" s="937">
        <f t="shared" si="6"/>
        <v>0</v>
      </c>
      <c r="O15" s="937" t="str">
        <f>IF(N15&lt;'PlayerGrades+'!$AF$21,"F-",IF(N15&lt;'PlayerGrades+'!$AF$20,"F",IF(N15&lt;'PlayerGrades+'!$AF$19,"F+",IF(N15&lt;'PlayerGrades+'!$AF$18,"E-",IF(N15&lt;'PlayerGrades+'!$AF$17,"E",IF(N15&lt;'PlayerGrades+'!$AF$16,"E+",IF(N15&lt;'PlayerGrades+'!$AF$15,"D-",IF(N15&lt;'PlayerGrades+'!$AF$14,"D",IF(N15&lt;'PlayerGrades+'!$AF$13,"D+",IF(N15&lt;'PlayerGrades+'!$AF$12,"C-",IF(N15&lt;'PlayerGrades+'!$AF$11,"C",IF(N15&lt;'PlayerGrades+'!$AF$10,"C+",IF(N15&lt;'PlayerGrades+'!$AF$9,"B-",IF(N15&lt;'PlayerGrades+'!$AF$8,"B",IF(N15&lt;'PlayerGrades+'!$AF$7,"B+",IF(N15&lt;'PlayerGrades+'!$AF$6,"A-",IF(N15&lt;'PlayerGrades+'!$AF$5,"A",IF(N15&lt;'PlayerGrades+'!$AF$4,"A+",IF(N15&lt;'PlayerGrades+'!$AF$3,"S-",IF(N15&lt;'PlayerGrades+'!$AF$2,"S","S+"))))))))))))))))))))</f>
        <v>F-</v>
      </c>
      <c r="P15" s="937">
        <f t="shared" si="7"/>
        <v>0</v>
      </c>
      <c r="Q15" s="937" t="str">
        <f>IF(P15&lt;'PlayerGrades+'!$AG$21,"F-",IF(P15&lt;'PlayerGrades+'!$AG$20,"F",IF(P15&lt;'PlayerGrades+'!$AG$19,"F+",IF(P15&lt;'PlayerGrades+'!$AG$18,"E-",IF(P15&lt;'PlayerGrades+'!$AG$17,"E",IF(P15&lt;'PlayerGrades+'!$AG$16,"E+",IF(P15&lt;'PlayerGrades+'!$AG$15,"D-",IF(P15&lt;'PlayerGrades+'!$AG$14,"D",IF(P15&lt;'PlayerGrades+'!$AG$13,"D+",IF(P15&lt;'PlayerGrades+'!$AG$12,"C-",IF(P15&lt;'PlayerGrades+'!$AG$11,"C",IF(P15&lt;'PlayerGrades+'!$AG$10,"C+",IF(P15&lt;'PlayerGrades+'!$AG$9,"B-",IF(P15&lt;'PlayerGrades+'!$AG$8,"B",IF(P15&lt;'PlayerGrades+'!$AG$7,"B+",IF(P15&lt;'PlayerGrades+'!$AG$6,"A-",IF(P15&lt;'PlayerGrades+'!$AG$5,"A",IF(P15&lt;'PlayerGrades+'!$AG$4,"A+",IF(P15&lt;'PlayerGrades+'!$AG$3,"S-",IF(P15&lt;'PlayerGrades+'!$AG$2,"S","S+"))))))))))))))))))))</f>
        <v>F</v>
      </c>
      <c r="R15" s="937">
        <f t="shared" si="8"/>
        <v>0.4273504274</v>
      </c>
      <c r="S15" s="937" t="str">
        <f>IF(R15&lt;'PlayerGrades+'!$AH$21,"F-",IF(R15&lt;'PlayerGrades+'!$AH$20,"F",IF(R15&lt;'PlayerGrades+'!$AH$19,"F+",IF(R15&lt;'PlayerGrades+'!$AH$18,"E-",IF(R15&lt;'PlayerGrades+'!$AH$17,"E",IF(R15&lt;'PlayerGrades+'!$AH$16,"E+",IF(R15&lt;'PlayerGrades+'!$AH$15,"D-",IF(R15&lt;'PlayerGrades+'!$AH$14,"D",IF(R15&lt;'PlayerGrades+'!$AH$13,"D+",IF(R15&lt;'PlayerGrades+'!$AH$12,"C-",IF(R15&lt;'PlayerGrades+'!$AH$11,"C",IF(R15&lt;'PlayerGrades+'!$AH$10,"C+",IF(R15&lt;'PlayerGrades+'!$AH$9,"B-",IF(R15&lt;'PlayerGrades+'!$AH$8,"B",IF(R15&lt;'PlayerGrades+'!$AH$7,"B+",IF(R15&lt;'PlayerGrades+'!$AH$6,"A-",IF(R15&lt;'PlayerGrades+'!$AH$5,"A",IF(R15&lt;'PlayerGrades+'!$AH$4,"A+",IF(R15&lt;'PlayerGrades+'!$AH$3,"S-",IF(R15&lt;'PlayerGrades+'!$AH$2,"S","S+"))))))))))))))))))))</f>
        <v>F+</v>
      </c>
      <c r="T15" s="937">
        <f t="shared" si="9"/>
        <v>1.256410256</v>
      </c>
      <c r="U15" s="937" t="str">
        <f>IF(T15&lt;'PlayerGrades+'!$AI$21,"F-",IF(T15&lt;'PlayerGrades+'!$AI$20,"F",IF(T15&lt;'PlayerGrades+'!$AI$19,"F+",IF(T15&lt;'PlayerGrades+'!$AI$18,"E-",IF(T15&lt;'PlayerGrades+'!$AI$17,"E",IF(T15&lt;'PlayerGrades+'!$AI$16,"E+",IF(T15&lt;'PlayerGrades+'!$AI$15,"D-",IF(T15&lt;'PlayerGrades+'!$AI$14,"D",IF(T15&lt;'PlayerGrades+'!$AI$13,"D+",IF(T15&lt;'PlayerGrades+'!$AI$12,"C-",IF(T15&lt;'PlayerGrades+'!$AI$11,"C",IF(T15&lt;'PlayerGrades+'!$AI$10,"C+",IF(T15&lt;'PlayerGrades+'!$AI$9,"B-",IF(T15&lt;'PlayerGrades+'!$AI$8,"B",IF(T15&lt;'PlayerGrades+'!$AI$7,"B+",IF(T15&lt;'PlayerGrades+'!$AI$6,"A-",IF(T15&lt;'PlayerGrades+'!$AI$5,"A",IF(T15&lt;'PlayerGrades+'!$AI$4,"A+",IF(T15&lt;'PlayerGrades+'!$AI$3,"S-",IF(T15&lt;'PlayerGrades+'!$AI$2,"S","S+"))))))))))))))))))))</f>
        <v>C</v>
      </c>
      <c r="V15" s="941">
        <v>1.0</v>
      </c>
      <c r="W15" s="941">
        <v>1.0</v>
      </c>
      <c r="X15" s="941">
        <v>0.0</v>
      </c>
      <c r="Y15" s="941">
        <v>1.0</v>
      </c>
      <c r="Z15" s="941">
        <v>0.0</v>
      </c>
      <c r="AA15" s="941">
        <v>25.0</v>
      </c>
      <c r="AB15" s="941">
        <v>43.0</v>
      </c>
      <c r="AC15" s="941">
        <v>-18.0</v>
      </c>
      <c r="AD15" s="941">
        <v>1.0</v>
      </c>
      <c r="AE15" s="941">
        <v>3.0</v>
      </c>
      <c r="AF15" s="941">
        <v>1.0</v>
      </c>
      <c r="AG15" s="941">
        <v>492.0</v>
      </c>
      <c r="AH15" s="941">
        <v>702.0</v>
      </c>
      <c r="AI15" s="941">
        <v>11.0</v>
      </c>
      <c r="AJ15" s="941">
        <v>39.0</v>
      </c>
      <c r="AK15" s="941">
        <v>0.0</v>
      </c>
      <c r="AL15" s="941">
        <v>0.0</v>
      </c>
      <c r="AM15" s="941">
        <v>0.0</v>
      </c>
      <c r="AN15" s="941">
        <v>0.0</v>
      </c>
      <c r="AO15" s="941">
        <v>0.0</v>
      </c>
      <c r="AP15" s="941">
        <v>0.0</v>
      </c>
      <c r="AQ15" s="941">
        <v>0.0</v>
      </c>
      <c r="AR15" s="941">
        <v>2.0</v>
      </c>
      <c r="AS15" s="941">
        <v>0.0</v>
      </c>
      <c r="AT15" s="941">
        <v>0.0</v>
      </c>
      <c r="AU15" s="941">
        <v>0.0</v>
      </c>
      <c r="AV15" s="941">
        <v>0.0</v>
      </c>
      <c r="AW15" s="941">
        <v>0.0</v>
      </c>
      <c r="AX15" s="941">
        <v>0.0</v>
      </c>
      <c r="AY15" s="941">
        <v>0.0</v>
      </c>
      <c r="AZ15" s="941">
        <v>0.0</v>
      </c>
      <c r="BA15" s="941">
        <v>0.0</v>
      </c>
      <c r="BB15" s="941">
        <v>0.0</v>
      </c>
      <c r="BC15" s="941">
        <v>0.0</v>
      </c>
      <c r="BD15" s="941">
        <v>4.0</v>
      </c>
      <c r="BE15" s="942">
        <v>3.0</v>
      </c>
      <c r="BF15" s="941">
        <v>1.0</v>
      </c>
      <c r="BG15" s="941">
        <v>0.0</v>
      </c>
    </row>
    <row r="16">
      <c r="A16" s="935" t="s">
        <v>119</v>
      </c>
      <c r="B16" s="16" t="str">
        <f>IF(C16&lt;'PlayerGrades+'!$Y$44,"F-",IF(C16&lt;'PlayerGrades+'!$Y$43,"F",IF(C16&lt;'PlayerGrades+'!$Y$42,"F+",IF(C16&lt;'PlayerGrades+'!$Y$41,"E-",IF(C16&lt;'PlayerGrades+'!$Y$40,"E",IF(C16&lt;'PlayerGrades+'!$Y$39,"E+",IF(C16&lt;'PlayerGrades+'!$Y$38,"D-",IF(C16&lt;'PlayerGrades+'!$Y$37,"D",IF(C16&lt;'PlayerGrades+'!$Y$36,"D+",IF(C16&lt;'PlayerGrades+'!$Y$35,"C-",IF(C16&lt;'PlayerGrades+'!$Y$34,"C",IF(C16&lt;'PlayerGrades+'!$Y$33,"C+",IF(C16&lt;'PlayerGrades+'!$Y$32,"B-",IF(C16&lt;'PlayerGrades+'!$Y$31,"B",IF(C16&lt;'PlayerGrades+'!$Y$30,"B+",IF(C16&lt;'PlayerGrades+'!$Y$29,"A-",IF(C16&lt;'PlayerGrades+'!$Y$28,"A",IF(C16&lt;'PlayerGrades+'!$Y$27,"A+",IF(C16&lt;'PlayerGrades+'!$Y$26,"S-",IF(C16&lt;'PlayerGrades+'!$Y$25,"S","S+"))))))))))))))))))))</f>
        <v>A</v>
      </c>
      <c r="C16" s="936">
        <f>('PlayerGrades+'!$Y$47*(VLOOKUP(E16, 'PlayerGrades+'!$X$3:$Y$23, 2, FALSE)))+('PlayerGrades+'!$Y$48*(VLOOKUP(G16, 'PlayerGrades+'!$X$3:$Y$23, 2, FALSE)))+('PlayerGrades+'!$Y$49*(VLOOKUP(I16, 'PlayerGrades+'!$X$3:$Y$23, 2, FALSE)))+('PlayerGrades+'!$Y$50*(VLOOKUP(K16, 'PlayerGrades+'!$X$3:$Y$23, 2, FALSE)))+('PlayerGrades+'!$Y$51*(VLOOKUP(M16, 'PlayerGrades+'!$X$3:$Y$23, 2, FALSE)))+('PlayerGrades+'!$Y$52*(VLOOKUP(O16, 'PlayerGrades+'!$X$3:$Y$23, 2, FALSE)))+('PlayerGrades+'!$Y$53*(VLOOKUP(Q16, 'PlayerGrades+'!$X$3:$Y$23, 2, FALSE)))+('PlayerGrades+'!$Y$54*(VLOOKUP(S16, 'PlayerGrades+'!$X$3:$Y$23, 2, FALSE)))+('PlayerGrades+'!$Y$55*(VLOOKUP(U16, 'PlayerGrades+'!$X$3:$Y$23, 2, FALSE)))</f>
        <v>25.85</v>
      </c>
      <c r="D16" s="937">
        <f t="shared" si="1"/>
        <v>0.7692307692</v>
      </c>
      <c r="E16" s="937" t="str">
        <f>IF(D16&lt;'PlayerGrades+'!$AA$21,"F-",IF(D16&lt;'PlayerGrades+'!$AA$20,"F",IF(D16&lt;'PlayerGrades+'!$AA$19,"F+",IF(D16&lt;'PlayerGrades+'!$AA$18,"E-",IF(D16&lt;'PlayerGrades+'!$AA$17,"E",IF(D16&lt;'PlayerGrades+'!$AA$16,"E+",IF(D16&lt;'PlayerGrades+'!$AA$15,"D-",IF(D16&lt;'PlayerGrades+'!$AA$14,"D",IF(D16&lt;'PlayerGrades+'!$AA$13,"D+",IF(D16&lt;'PlayerGrades+'!$AA$12,"C-",IF(D16&lt;'PlayerGrades+'!$AA$11,"C",IF(D16&lt;'PlayerGrades+'!$AA$10,"C+",IF(D16&lt;'PlayerGrades+'!$AA$9,"B-",IF(D16&lt;'PlayerGrades+'!$AA$8,"B",IF(D16&lt;'PlayerGrades+'!$AA$7,"B+",IF(D16&lt;'PlayerGrades+'!$AA$6,"A-",IF(D16&lt;'PlayerGrades+'!$AA$5,"A",IF(D16&lt;'PlayerGrades+'!$AA$4,"A+",IF(D16&lt;'PlayerGrades+'!$AA$3,"S-",IF(D16&lt;'PlayerGrades+'!$AA$2,"S","S+"))))))))))))))))))))</f>
        <v>S</v>
      </c>
      <c r="F16" s="937">
        <f t="shared" si="2"/>
        <v>0.4273504274</v>
      </c>
      <c r="G16" s="937" t="str">
        <f>IF(F16&lt;'PlayerGrades+'!$AB$21,"F-",IF(F16&lt;'PlayerGrades+'!$AB$20,"F",IF(F16&lt;'PlayerGrades+'!$AB$19,"F+",IF(F16&lt;'PlayerGrades+'!$AB$18,"E-",IF(F16&lt;'PlayerGrades+'!$AB$17,"E",IF(F16&lt;'PlayerGrades+'!$AB$16,"E+",IF(F16&lt;'PlayerGrades+'!$AB$15,"D-",IF(F16&lt;'PlayerGrades+'!$AB$14,"D",IF(F16&lt;'PlayerGrades+'!$AB$13,"D+",IF(F16&lt;'PlayerGrades+'!$AB$12,"C-",IF(F16&lt;'PlayerGrades+'!$AB$11,"C",IF(F16&lt;'PlayerGrades+'!$AB$10,"C+",IF(F16&lt;'PlayerGrades+'!$AB$9,"B-",IF(F16&lt;'PlayerGrades+'!$AB$8,"B",IF(F16&lt;'PlayerGrades+'!$AB$7,"B+",IF(F16&lt;'PlayerGrades+'!$AB$6,"A-",IF(F16&lt;'PlayerGrades+'!$AB$5,"A",IF(F16&lt;'PlayerGrades+'!$AB$4,"A+",IF(F16&lt;'PlayerGrades+'!$AB$3,"S-",IF(F16&lt;'PlayerGrades+'!$AB$2,"S","S+"))))))))))))))))))))</f>
        <v>A</v>
      </c>
      <c r="H16" s="937">
        <f t="shared" si="3"/>
        <v>0</v>
      </c>
      <c r="I16" s="937" t="str">
        <f>IF(H16&lt;'PlayerGrades+'!$AC$21,"F-",IF(H16&lt;'PlayerGrades+'!$AC$20,"F",IF(H16&lt;'PlayerGrades+'!$AC$19,"F+",IF(H16&lt;'PlayerGrades+'!$AC$18,"E-",IF(H16&lt;'PlayerGrades+'!$AC$17,"E",IF(H16&lt;'PlayerGrades+'!$AC$16,"E+",IF(H16&lt;'PlayerGrades+'!$AC$15,"D-",IF(H16&lt;'PlayerGrades+'!$AC$14,"D",IF(H16&lt;'PlayerGrades+'!$AC$13,"D+",IF(H16&lt;'PlayerGrades+'!$AC$12,"C-",IF(H16&lt;'PlayerGrades+'!$AC$11,"C",IF(H16&lt;'PlayerGrades+'!$AC$10,"C+",IF(H16&lt;'PlayerGrades+'!$AC$9,"B-",IF(H16&lt;'PlayerGrades+'!$AC$8,"B",IF(H16&lt;'PlayerGrades+'!$AC$7,"B+",IF(H16&lt;'PlayerGrades+'!$AC$6,"A-",IF(H16&lt;'PlayerGrades+'!$AC$5,"A",IF(H16&lt;'PlayerGrades+'!$AC$4,"A+",IF(H16&lt;'PlayerGrades+'!$AC$3,"S-",IF(H16&lt;'PlayerGrades+'!$AC$2,"S","S+"))))))))))))))))))))</f>
        <v>F-</v>
      </c>
      <c r="J16" s="937">
        <f t="shared" si="4"/>
        <v>0.08547008547</v>
      </c>
      <c r="K16" s="937" t="str">
        <f>IF(J16&lt;'PlayerGrades+'!$AD$21,"F-",IF(J16&lt;'PlayerGrades+'!$AD$20,"F",IF(J16&lt;'PlayerGrades+'!$AD$19,"F+",IF(J16&lt;'PlayerGrades+'!$AD$18,"E-",IF(J16&lt;'PlayerGrades+'!$AD$17,"E",IF(J16&lt;'PlayerGrades+'!$AD$16,"E+",IF(J16&lt;'PlayerGrades+'!$AD$15,"D-",IF(J16&lt;'PlayerGrades+'!$AD$14,"D",IF(J16&lt;'PlayerGrades+'!$AD$13,"D+",IF(J16&lt;'PlayerGrades+'!$AD$12,"C-",IF(J16&lt;'PlayerGrades+'!$AD$11,"C",IF(J16&lt;'PlayerGrades+'!$AD$10,"C+",IF(J16&lt;'PlayerGrades+'!$AD$9,"B-",IF(J16&lt;'PlayerGrades+'!$AD$8,"B",IF(J16&lt;'PlayerGrades+'!$AD$7,"B+",IF(J16&lt;'PlayerGrades+'!$AD$6,"A-",IF(J16&lt;'PlayerGrades+'!$AD$5,"A",IF(J16&lt;'PlayerGrades+'!$AD$4,"A+",IF(J16&lt;'PlayerGrades+'!$AD$3,"S-",IF(J16&lt;'PlayerGrades+'!$AD$2,"S","S+"))))))))))))))))))))</f>
        <v>S-</v>
      </c>
      <c r="L16" s="677">
        <f t="shared" si="5"/>
        <v>0.5128205128</v>
      </c>
      <c r="M16" s="938" t="str">
        <f>IF(L16&lt;'PlayerGrades+'!$AE$21,"F-",IF(L16&lt;'PlayerGrades+'!$AE$20,"F",IF(L16&lt;'PlayerGrades+'!$AE$19,"F+",IF(L16&lt;'PlayerGrades+'!$AE$18,"E-",IF(L16&lt;'PlayerGrades+'!$AE$17,"E",IF(L16&lt;'PlayerGrades+'!$AE$16,"E+",IF(L16&lt;'PlayerGrades+'!$AE$15,"D-",IF(L16&lt;'PlayerGrades+'!$AE$14,"D",IF(L16&lt;'PlayerGrades+'!$AE$13,"D+",IF(L16&lt;'PlayerGrades+'!$AE$12,"C-",IF(L16&lt;'PlayerGrades+'!$AE$11,"C",IF(L16&lt;'PlayerGrades+'!$AE$10,"C+",IF(L16&lt;'PlayerGrades+'!$AE$9,"B-",IF(L16&lt;'PlayerGrades+'!$AE$8,"B",IF(L16&lt;'PlayerGrades+'!$AE$7,"B+",IF(L16&lt;'PlayerGrades+'!$AE$6,"A-",IF(L16&lt;'PlayerGrades+'!$AE$5,"A",IF(L16&lt;'PlayerGrades+'!$AE$4,"A+",IF(L16&lt;'PlayerGrades+'!$AE$3,"S-",IF(L16&lt;'PlayerGrades+'!$AE$2,"S","S+"))))))))))))))))))))</f>
        <v>A-</v>
      </c>
      <c r="N16" s="937">
        <f t="shared" si="6"/>
        <v>0.1709401709</v>
      </c>
      <c r="O16" s="937" t="str">
        <f>IF(N16&lt;'PlayerGrades+'!$AF$21,"F-",IF(N16&lt;'PlayerGrades+'!$AF$20,"F",IF(N16&lt;'PlayerGrades+'!$AF$19,"F+",IF(N16&lt;'PlayerGrades+'!$AF$18,"E-",IF(N16&lt;'PlayerGrades+'!$AF$17,"E",IF(N16&lt;'PlayerGrades+'!$AF$16,"E+",IF(N16&lt;'PlayerGrades+'!$AF$15,"D-",IF(N16&lt;'PlayerGrades+'!$AF$14,"D",IF(N16&lt;'PlayerGrades+'!$AF$13,"D+",IF(N16&lt;'PlayerGrades+'!$AF$12,"C-",IF(N16&lt;'PlayerGrades+'!$AF$11,"C",IF(N16&lt;'PlayerGrades+'!$AF$10,"C+",IF(N16&lt;'PlayerGrades+'!$AF$9,"B-",IF(N16&lt;'PlayerGrades+'!$AF$8,"B",IF(N16&lt;'PlayerGrades+'!$AF$7,"B+",IF(N16&lt;'PlayerGrades+'!$AF$6,"A-",IF(N16&lt;'PlayerGrades+'!$AF$5,"A",IF(N16&lt;'PlayerGrades+'!$AF$4,"A+",IF(N16&lt;'PlayerGrades+'!$AF$3,"S-",IF(N16&lt;'PlayerGrades+'!$AF$2,"S","S+"))))))))))))))))))))</f>
        <v>S+</v>
      </c>
      <c r="P16" s="937">
        <f t="shared" si="7"/>
        <v>0</v>
      </c>
      <c r="Q16" s="937" t="str">
        <f>IF(P16&lt;'PlayerGrades+'!$AG$21,"F-",IF(P16&lt;'PlayerGrades+'!$AG$20,"F",IF(P16&lt;'PlayerGrades+'!$AG$19,"F+",IF(P16&lt;'PlayerGrades+'!$AG$18,"E-",IF(P16&lt;'PlayerGrades+'!$AG$17,"E",IF(P16&lt;'PlayerGrades+'!$AG$16,"E+",IF(P16&lt;'PlayerGrades+'!$AG$15,"D-",IF(P16&lt;'PlayerGrades+'!$AG$14,"D",IF(P16&lt;'PlayerGrades+'!$AG$13,"D+",IF(P16&lt;'PlayerGrades+'!$AG$12,"C-",IF(P16&lt;'PlayerGrades+'!$AG$11,"C",IF(P16&lt;'PlayerGrades+'!$AG$10,"C+",IF(P16&lt;'PlayerGrades+'!$AG$9,"B-",IF(P16&lt;'PlayerGrades+'!$AG$8,"B",IF(P16&lt;'PlayerGrades+'!$AG$7,"B+",IF(P16&lt;'PlayerGrades+'!$AG$6,"A-",IF(P16&lt;'PlayerGrades+'!$AG$5,"A",IF(P16&lt;'PlayerGrades+'!$AG$4,"A+",IF(P16&lt;'PlayerGrades+'!$AG$3,"S-",IF(P16&lt;'PlayerGrades+'!$AG$2,"S","S+"))))))))))))))))))))</f>
        <v>F</v>
      </c>
      <c r="R16" s="937">
        <f t="shared" si="8"/>
        <v>0.5982905983</v>
      </c>
      <c r="S16" s="937" t="str">
        <f>IF(R16&lt;'PlayerGrades+'!$AH$21,"F-",IF(R16&lt;'PlayerGrades+'!$AH$20,"F",IF(R16&lt;'PlayerGrades+'!$AH$19,"F+",IF(R16&lt;'PlayerGrades+'!$AH$18,"E-",IF(R16&lt;'PlayerGrades+'!$AH$17,"E",IF(R16&lt;'PlayerGrades+'!$AH$16,"E+",IF(R16&lt;'PlayerGrades+'!$AH$15,"D-",IF(R16&lt;'PlayerGrades+'!$AH$14,"D",IF(R16&lt;'PlayerGrades+'!$AH$13,"D+",IF(R16&lt;'PlayerGrades+'!$AH$12,"C-",IF(R16&lt;'PlayerGrades+'!$AH$11,"C",IF(R16&lt;'PlayerGrades+'!$AH$10,"C+",IF(R16&lt;'PlayerGrades+'!$AH$9,"B-",IF(R16&lt;'PlayerGrades+'!$AH$8,"B",IF(R16&lt;'PlayerGrades+'!$AH$7,"B+",IF(R16&lt;'PlayerGrades+'!$AH$6,"A-",IF(R16&lt;'PlayerGrades+'!$AH$5,"A",IF(R16&lt;'PlayerGrades+'!$AH$4,"A+",IF(R16&lt;'PlayerGrades+'!$AH$3,"S-",IF(R16&lt;'PlayerGrades+'!$AH$2,"S","S+"))))))))))))))))))))</f>
        <v>A-</v>
      </c>
      <c r="T16" s="937">
        <f t="shared" si="9"/>
        <v>0.5982905983</v>
      </c>
      <c r="U16" s="937" t="str">
        <f>IF(T16&lt;'PlayerGrades+'!$AI$21,"F-",IF(T16&lt;'PlayerGrades+'!$AI$20,"F",IF(T16&lt;'PlayerGrades+'!$AI$19,"F+",IF(T16&lt;'PlayerGrades+'!$AI$18,"E-",IF(T16&lt;'PlayerGrades+'!$AI$17,"E",IF(T16&lt;'PlayerGrades+'!$AI$16,"E+",IF(T16&lt;'PlayerGrades+'!$AI$15,"D-",IF(T16&lt;'PlayerGrades+'!$AI$14,"D",IF(T16&lt;'PlayerGrades+'!$AI$13,"D+",IF(T16&lt;'PlayerGrades+'!$AI$12,"C-",IF(T16&lt;'PlayerGrades+'!$AI$11,"C",IF(T16&lt;'PlayerGrades+'!$AI$10,"C+",IF(T16&lt;'PlayerGrades+'!$AI$9,"B-",IF(T16&lt;'PlayerGrades+'!$AI$8,"B",IF(T16&lt;'PlayerGrades+'!$AI$7,"B+",IF(T16&lt;'PlayerGrades+'!$AI$6,"A-",IF(T16&lt;'PlayerGrades+'!$AI$5,"A",IF(T16&lt;'PlayerGrades+'!$AI$4,"A+",IF(T16&lt;'PlayerGrades+'!$AI$3,"S-",IF(T16&lt;'PlayerGrades+'!$AI$2,"S","S+"))))))))))))))))))))</f>
        <v>F-</v>
      </c>
      <c r="V16" s="941">
        <v>1.0</v>
      </c>
      <c r="W16" s="941">
        <v>1.0</v>
      </c>
      <c r="X16" s="941">
        <v>0.0</v>
      </c>
      <c r="Y16" s="941">
        <v>2.0</v>
      </c>
      <c r="Z16" s="941">
        <v>7.0</v>
      </c>
      <c r="AA16" s="941">
        <v>33.0</v>
      </c>
      <c r="AB16" s="941">
        <v>28.0</v>
      </c>
      <c r="AC16" s="941">
        <v>5.0</v>
      </c>
      <c r="AD16" s="941">
        <v>3.0</v>
      </c>
      <c r="AE16" s="941">
        <v>6.0</v>
      </c>
      <c r="AF16" s="941">
        <v>0.0</v>
      </c>
      <c r="AG16" s="941">
        <v>536.0</v>
      </c>
      <c r="AH16" s="941">
        <v>702.0</v>
      </c>
      <c r="AI16" s="941">
        <v>19.0</v>
      </c>
      <c r="AJ16" s="941">
        <v>232.0</v>
      </c>
      <c r="AK16" s="941">
        <v>0.0</v>
      </c>
      <c r="AL16" s="941">
        <v>1.0</v>
      </c>
      <c r="AM16" s="941">
        <v>0.0</v>
      </c>
      <c r="AN16" s="941">
        <v>0.0</v>
      </c>
      <c r="AO16" s="941">
        <v>0.0</v>
      </c>
      <c r="AP16" s="941">
        <v>0.0</v>
      </c>
      <c r="AQ16" s="941">
        <v>0.0</v>
      </c>
      <c r="AR16" s="941">
        <v>6.0</v>
      </c>
      <c r="AS16" s="941">
        <v>2.0</v>
      </c>
      <c r="AT16" s="941">
        <v>1.0</v>
      </c>
      <c r="AU16" s="941">
        <v>0.0</v>
      </c>
      <c r="AV16" s="941">
        <v>0.0</v>
      </c>
      <c r="AW16" s="941">
        <v>0.0</v>
      </c>
      <c r="AX16" s="941">
        <v>0.0</v>
      </c>
      <c r="AY16" s="941">
        <v>0.0</v>
      </c>
      <c r="AZ16" s="941">
        <v>0.0</v>
      </c>
      <c r="BA16" s="941">
        <v>0.0</v>
      </c>
      <c r="BB16" s="941">
        <v>0.0</v>
      </c>
      <c r="BC16" s="941">
        <v>0.0</v>
      </c>
      <c r="BD16" s="941">
        <v>4.0</v>
      </c>
      <c r="BE16" s="942">
        <v>7.0</v>
      </c>
      <c r="BF16" s="941">
        <v>0.0</v>
      </c>
      <c r="BG16" s="941">
        <v>0.0</v>
      </c>
    </row>
    <row r="17">
      <c r="A17" s="943" t="s">
        <v>130</v>
      </c>
      <c r="B17" s="16" t="str">
        <f>IF(C17&lt;'PlayerGrades+'!$Y$44,"F-",IF(C17&lt;'PlayerGrades+'!$Y$43,"F",IF(C17&lt;'PlayerGrades+'!$Y$42,"F+",IF(C17&lt;'PlayerGrades+'!$Y$41,"E-",IF(C17&lt;'PlayerGrades+'!$Y$40,"E",IF(C17&lt;'PlayerGrades+'!$Y$39,"E+",IF(C17&lt;'PlayerGrades+'!$Y$38,"D-",IF(C17&lt;'PlayerGrades+'!$Y$37,"D",IF(C17&lt;'PlayerGrades+'!$Y$36,"D+",IF(C17&lt;'PlayerGrades+'!$Y$35,"C-",IF(C17&lt;'PlayerGrades+'!$Y$34,"C",IF(C17&lt;'PlayerGrades+'!$Y$33,"C+",IF(C17&lt;'PlayerGrades+'!$Y$32,"B-",IF(C17&lt;'PlayerGrades+'!$Y$31,"B",IF(C17&lt;'PlayerGrades+'!$Y$30,"B+",IF(C17&lt;'PlayerGrades+'!$Y$29,"A-",IF(C17&lt;'PlayerGrades+'!$Y$28,"A",IF(C17&lt;'PlayerGrades+'!$Y$27,"A+",IF(C17&lt;'PlayerGrades+'!$Y$26,"S-",IF(C17&lt;'PlayerGrades+'!$Y$25,"S","S+"))))))))))))))))))))</f>
        <v>S</v>
      </c>
      <c r="C17" s="936">
        <f>('PlayerGrades+'!$Y$47*(VLOOKUP(E17, 'PlayerGrades+'!$X$3:$Y$23, 2, FALSE)))+('PlayerGrades+'!$Y$48*(VLOOKUP(G17, 'PlayerGrades+'!$X$3:$Y$23, 2, FALSE)))+('PlayerGrades+'!$Y$49*(VLOOKUP(I17, 'PlayerGrades+'!$X$3:$Y$23, 2, FALSE)))+('PlayerGrades+'!$Y$50*(VLOOKUP(K17, 'PlayerGrades+'!$X$3:$Y$23, 2, FALSE)))+('PlayerGrades+'!$Y$51*(VLOOKUP(M17, 'PlayerGrades+'!$X$3:$Y$23, 2, FALSE)))+('PlayerGrades+'!$Y$52*(VLOOKUP(O17, 'PlayerGrades+'!$X$3:$Y$23, 2, FALSE)))+('PlayerGrades+'!$Y$53*(VLOOKUP(Q17, 'PlayerGrades+'!$X$3:$Y$23, 2, FALSE)))+('PlayerGrades+'!$Y$54*(VLOOKUP(S17, 'PlayerGrades+'!$X$3:$Y$23, 2, FALSE)))+('PlayerGrades+'!$Y$55*(VLOOKUP(U17, 'PlayerGrades+'!$X$3:$Y$23, 2, FALSE)))</f>
        <v>31.6</v>
      </c>
      <c r="D17" s="937">
        <f t="shared" si="1"/>
        <v>0.5128205128</v>
      </c>
      <c r="E17" s="937" t="str">
        <f>IF(D17&lt;'PlayerGrades+'!$AA$21,"F-",IF(D17&lt;'PlayerGrades+'!$AA$20,"F",IF(D17&lt;'PlayerGrades+'!$AA$19,"F+",IF(D17&lt;'PlayerGrades+'!$AA$18,"E-",IF(D17&lt;'PlayerGrades+'!$AA$17,"E",IF(D17&lt;'PlayerGrades+'!$AA$16,"E+",IF(D17&lt;'PlayerGrades+'!$AA$15,"D-",IF(D17&lt;'PlayerGrades+'!$AA$14,"D",IF(D17&lt;'PlayerGrades+'!$AA$13,"D+",IF(D17&lt;'PlayerGrades+'!$AA$12,"C-",IF(D17&lt;'PlayerGrades+'!$AA$11,"C",IF(D17&lt;'PlayerGrades+'!$AA$10,"C+",IF(D17&lt;'PlayerGrades+'!$AA$9,"B-",IF(D17&lt;'PlayerGrades+'!$AA$8,"B",IF(D17&lt;'PlayerGrades+'!$AA$7,"B+",IF(D17&lt;'PlayerGrades+'!$AA$6,"A-",IF(D17&lt;'PlayerGrades+'!$AA$5,"A",IF(D17&lt;'PlayerGrades+'!$AA$4,"A+",IF(D17&lt;'PlayerGrades+'!$AA$3,"S-",IF(D17&lt;'PlayerGrades+'!$AA$2,"S","S+"))))))))))))))))))))</f>
        <v>A+</v>
      </c>
      <c r="F17" s="937">
        <f t="shared" si="2"/>
        <v>1.452991453</v>
      </c>
      <c r="G17" s="937" t="str">
        <f>IF(F17&lt;'PlayerGrades+'!$AB$21,"F-",IF(F17&lt;'PlayerGrades+'!$AB$20,"F",IF(F17&lt;'PlayerGrades+'!$AB$19,"F+",IF(F17&lt;'PlayerGrades+'!$AB$18,"E-",IF(F17&lt;'PlayerGrades+'!$AB$17,"E",IF(F17&lt;'PlayerGrades+'!$AB$16,"E+",IF(F17&lt;'PlayerGrades+'!$AB$15,"D-",IF(F17&lt;'PlayerGrades+'!$AB$14,"D",IF(F17&lt;'PlayerGrades+'!$AB$13,"D+",IF(F17&lt;'PlayerGrades+'!$AB$12,"C-",IF(F17&lt;'PlayerGrades+'!$AB$11,"C",IF(F17&lt;'PlayerGrades+'!$AB$10,"C+",IF(F17&lt;'PlayerGrades+'!$AB$9,"B-",IF(F17&lt;'PlayerGrades+'!$AB$8,"B",IF(F17&lt;'PlayerGrades+'!$AB$7,"B+",IF(F17&lt;'PlayerGrades+'!$AB$6,"A-",IF(F17&lt;'PlayerGrades+'!$AB$5,"A",IF(F17&lt;'PlayerGrades+'!$AB$4,"A+",IF(F17&lt;'PlayerGrades+'!$AB$3,"S-",IF(F17&lt;'PlayerGrades+'!$AB$2,"S","S+"))))))))))))))))))))</f>
        <v>S+</v>
      </c>
      <c r="H17" s="937">
        <f t="shared" si="3"/>
        <v>0.1709401709</v>
      </c>
      <c r="I17" s="937" t="str">
        <f>IF(H17&lt;'PlayerGrades+'!$AC$21,"F-",IF(H17&lt;'PlayerGrades+'!$AC$20,"F",IF(H17&lt;'PlayerGrades+'!$AC$19,"F+",IF(H17&lt;'PlayerGrades+'!$AC$18,"E-",IF(H17&lt;'PlayerGrades+'!$AC$17,"E",IF(H17&lt;'PlayerGrades+'!$AC$16,"E+",IF(H17&lt;'PlayerGrades+'!$AC$15,"D-",IF(H17&lt;'PlayerGrades+'!$AC$14,"D",IF(H17&lt;'PlayerGrades+'!$AC$13,"D+",IF(H17&lt;'PlayerGrades+'!$AC$12,"C-",IF(H17&lt;'PlayerGrades+'!$AC$11,"C",IF(H17&lt;'PlayerGrades+'!$AC$10,"C+",IF(H17&lt;'PlayerGrades+'!$AC$9,"B-",IF(H17&lt;'PlayerGrades+'!$AC$8,"B",IF(H17&lt;'PlayerGrades+'!$AC$7,"B+",IF(H17&lt;'PlayerGrades+'!$AC$6,"A-",IF(H17&lt;'PlayerGrades+'!$AC$5,"A",IF(H17&lt;'PlayerGrades+'!$AC$4,"A+",IF(H17&lt;'PlayerGrades+'!$AC$3,"S-",IF(H17&lt;'PlayerGrades+'!$AC$2,"S","S+"))))))))))))))))))))</f>
        <v>S-</v>
      </c>
      <c r="J17" s="937">
        <f t="shared" si="4"/>
        <v>0.08547008547</v>
      </c>
      <c r="K17" s="937" t="str">
        <f>IF(J17&lt;'PlayerGrades+'!$AD$21,"F-",IF(J17&lt;'PlayerGrades+'!$AD$20,"F",IF(J17&lt;'PlayerGrades+'!$AD$19,"F+",IF(J17&lt;'PlayerGrades+'!$AD$18,"E-",IF(J17&lt;'PlayerGrades+'!$AD$17,"E",IF(J17&lt;'PlayerGrades+'!$AD$16,"E+",IF(J17&lt;'PlayerGrades+'!$AD$15,"D-",IF(J17&lt;'PlayerGrades+'!$AD$14,"D",IF(J17&lt;'PlayerGrades+'!$AD$13,"D+",IF(J17&lt;'PlayerGrades+'!$AD$12,"C-",IF(J17&lt;'PlayerGrades+'!$AD$11,"C",IF(J17&lt;'PlayerGrades+'!$AD$10,"C+",IF(J17&lt;'PlayerGrades+'!$AD$9,"B-",IF(J17&lt;'PlayerGrades+'!$AD$8,"B",IF(J17&lt;'PlayerGrades+'!$AD$7,"B+",IF(J17&lt;'PlayerGrades+'!$AD$6,"A-",IF(J17&lt;'PlayerGrades+'!$AD$5,"A",IF(J17&lt;'PlayerGrades+'!$AD$4,"A+",IF(J17&lt;'PlayerGrades+'!$AD$3,"S-",IF(J17&lt;'PlayerGrades+'!$AD$2,"S","S+"))))))))))))))))))))</f>
        <v>S-</v>
      </c>
      <c r="L17" s="677">
        <f t="shared" si="5"/>
        <v>0.5982905983</v>
      </c>
      <c r="M17" s="938" t="str">
        <f>IF(L17&lt;'PlayerGrades+'!$AE$21,"F-",IF(L17&lt;'PlayerGrades+'!$AE$20,"F",IF(L17&lt;'PlayerGrades+'!$AE$19,"F+",IF(L17&lt;'PlayerGrades+'!$AE$18,"E-",IF(L17&lt;'PlayerGrades+'!$AE$17,"E",IF(L17&lt;'PlayerGrades+'!$AE$16,"E+",IF(L17&lt;'PlayerGrades+'!$AE$15,"D-",IF(L17&lt;'PlayerGrades+'!$AE$14,"D",IF(L17&lt;'PlayerGrades+'!$AE$13,"D+",IF(L17&lt;'PlayerGrades+'!$AE$12,"C-",IF(L17&lt;'PlayerGrades+'!$AE$11,"C",IF(L17&lt;'PlayerGrades+'!$AE$10,"C+",IF(L17&lt;'PlayerGrades+'!$AE$9,"B-",IF(L17&lt;'PlayerGrades+'!$AE$8,"B",IF(L17&lt;'PlayerGrades+'!$AE$7,"B+",IF(L17&lt;'PlayerGrades+'!$AE$6,"A-",IF(L17&lt;'PlayerGrades+'!$AE$5,"A",IF(L17&lt;'PlayerGrades+'!$AE$4,"A+",IF(L17&lt;'PlayerGrades+'!$AE$3,"S-",IF(L17&lt;'PlayerGrades+'!$AE$2,"S","S+"))))))))))))))))))))</f>
        <v>A+</v>
      </c>
      <c r="N17" s="937">
        <f t="shared" si="6"/>
        <v>0.08547008547</v>
      </c>
      <c r="O17" s="937" t="str">
        <f>IF(N17&lt;'PlayerGrades+'!$AF$21,"F-",IF(N17&lt;'PlayerGrades+'!$AF$20,"F",IF(N17&lt;'PlayerGrades+'!$AF$19,"F+",IF(N17&lt;'PlayerGrades+'!$AF$18,"E-",IF(N17&lt;'PlayerGrades+'!$AF$17,"E",IF(N17&lt;'PlayerGrades+'!$AF$16,"E+",IF(N17&lt;'PlayerGrades+'!$AF$15,"D-",IF(N17&lt;'PlayerGrades+'!$AF$14,"D",IF(N17&lt;'PlayerGrades+'!$AF$13,"D+",IF(N17&lt;'PlayerGrades+'!$AF$12,"C-",IF(N17&lt;'PlayerGrades+'!$AF$11,"C",IF(N17&lt;'PlayerGrades+'!$AF$10,"C+",IF(N17&lt;'PlayerGrades+'!$AF$9,"B-",IF(N17&lt;'PlayerGrades+'!$AF$8,"B",IF(N17&lt;'PlayerGrades+'!$AF$7,"B+",IF(N17&lt;'PlayerGrades+'!$AF$6,"A-",IF(N17&lt;'PlayerGrades+'!$AF$5,"A",IF(N17&lt;'PlayerGrades+'!$AF$4,"A+",IF(N17&lt;'PlayerGrades+'!$AF$3,"S-",IF(N17&lt;'PlayerGrades+'!$AF$2,"S","S+"))))))))))))))))))))</f>
        <v>B</v>
      </c>
      <c r="P17" s="937">
        <f t="shared" si="7"/>
        <v>0</v>
      </c>
      <c r="Q17" s="937" t="str">
        <f>IF(P17&lt;'PlayerGrades+'!$AG$21,"F-",IF(P17&lt;'PlayerGrades+'!$AG$20,"F",IF(P17&lt;'PlayerGrades+'!$AG$19,"F+",IF(P17&lt;'PlayerGrades+'!$AG$18,"E-",IF(P17&lt;'PlayerGrades+'!$AG$17,"E",IF(P17&lt;'PlayerGrades+'!$AG$16,"E+",IF(P17&lt;'PlayerGrades+'!$AG$15,"D-",IF(P17&lt;'PlayerGrades+'!$AG$14,"D",IF(P17&lt;'PlayerGrades+'!$AG$13,"D+",IF(P17&lt;'PlayerGrades+'!$AG$12,"C-",IF(P17&lt;'PlayerGrades+'!$AG$11,"C",IF(P17&lt;'PlayerGrades+'!$AG$10,"C+",IF(P17&lt;'PlayerGrades+'!$AG$9,"B-",IF(P17&lt;'PlayerGrades+'!$AG$8,"B",IF(P17&lt;'PlayerGrades+'!$AG$7,"B+",IF(P17&lt;'PlayerGrades+'!$AG$6,"A-",IF(P17&lt;'PlayerGrades+'!$AG$5,"A",IF(P17&lt;'PlayerGrades+'!$AG$4,"A+",IF(P17&lt;'PlayerGrades+'!$AG$3,"S-",IF(P17&lt;'PlayerGrades+'!$AG$2,"S","S+"))))))))))))))))))))</f>
        <v>F</v>
      </c>
      <c r="R17" s="937">
        <f t="shared" si="8"/>
        <v>0.8547008547</v>
      </c>
      <c r="S17" s="937" t="str">
        <f>IF(R17&lt;'PlayerGrades+'!$AH$21,"F-",IF(R17&lt;'PlayerGrades+'!$AH$20,"F",IF(R17&lt;'PlayerGrades+'!$AH$19,"F+",IF(R17&lt;'PlayerGrades+'!$AH$18,"E-",IF(R17&lt;'PlayerGrades+'!$AH$17,"E",IF(R17&lt;'PlayerGrades+'!$AH$16,"E+",IF(R17&lt;'PlayerGrades+'!$AH$15,"D-",IF(R17&lt;'PlayerGrades+'!$AH$14,"D",IF(R17&lt;'PlayerGrades+'!$AH$13,"D+",IF(R17&lt;'PlayerGrades+'!$AH$12,"C-",IF(R17&lt;'PlayerGrades+'!$AH$11,"C",IF(R17&lt;'PlayerGrades+'!$AH$10,"C+",IF(R17&lt;'PlayerGrades+'!$AH$9,"B-",IF(R17&lt;'PlayerGrades+'!$AH$8,"B",IF(R17&lt;'PlayerGrades+'!$AH$7,"B+",IF(R17&lt;'PlayerGrades+'!$AH$6,"A-",IF(R17&lt;'PlayerGrades+'!$AH$5,"A",IF(R17&lt;'PlayerGrades+'!$AH$4,"A+",IF(R17&lt;'PlayerGrades+'!$AH$3,"S-",IF(R17&lt;'PlayerGrades+'!$AH$2,"S","S+"))))))))))))))))))))</f>
        <v>S+</v>
      </c>
      <c r="T17" s="937">
        <f t="shared" si="9"/>
        <v>2.427350427</v>
      </c>
      <c r="U17" s="937" t="str">
        <f>IF(T17&lt;'PlayerGrades+'!$AI$21,"F-",IF(T17&lt;'PlayerGrades+'!$AI$20,"F",IF(T17&lt;'PlayerGrades+'!$AI$19,"F+",IF(T17&lt;'PlayerGrades+'!$AI$18,"E-",IF(T17&lt;'PlayerGrades+'!$AI$17,"E",IF(T17&lt;'PlayerGrades+'!$AI$16,"E+",IF(T17&lt;'PlayerGrades+'!$AI$15,"D-",IF(T17&lt;'PlayerGrades+'!$AI$14,"D",IF(T17&lt;'PlayerGrades+'!$AI$13,"D+",IF(T17&lt;'PlayerGrades+'!$AI$12,"C-",IF(T17&lt;'PlayerGrades+'!$AI$11,"C",IF(T17&lt;'PlayerGrades+'!$AI$10,"C+",IF(T17&lt;'PlayerGrades+'!$AI$9,"B-",IF(T17&lt;'PlayerGrades+'!$AI$8,"B",IF(T17&lt;'PlayerGrades+'!$AI$7,"B+",IF(T17&lt;'PlayerGrades+'!$AI$6,"A-",IF(T17&lt;'PlayerGrades+'!$AI$5,"A",IF(T17&lt;'PlayerGrades+'!$AI$4,"A+",IF(T17&lt;'PlayerGrades+'!$AI$3,"S-",IF(T17&lt;'PlayerGrades+'!$AI$2,"S","S+"))))))))))))))))))))</f>
        <v>S+</v>
      </c>
      <c r="V17" s="944">
        <v>1.0</v>
      </c>
      <c r="W17" s="944">
        <v>1.0</v>
      </c>
      <c r="X17" s="944">
        <v>0.0</v>
      </c>
      <c r="Y17" s="944">
        <v>2.0</v>
      </c>
      <c r="Z17" s="944">
        <v>4.0</v>
      </c>
      <c r="AA17" s="944">
        <v>36.0</v>
      </c>
      <c r="AB17" s="944">
        <v>19.0</v>
      </c>
      <c r="AC17" s="944">
        <v>17.0</v>
      </c>
      <c r="AD17" s="944">
        <v>2.0</v>
      </c>
      <c r="AE17" s="944">
        <v>7.0</v>
      </c>
      <c r="AF17" s="944">
        <v>0.0</v>
      </c>
      <c r="AG17" s="944">
        <v>561.0</v>
      </c>
      <c r="AH17" s="944">
        <v>702.0</v>
      </c>
      <c r="AI17" s="944">
        <v>29.0</v>
      </c>
      <c r="AJ17" s="944">
        <v>58.0</v>
      </c>
      <c r="AK17" s="944">
        <v>0.0</v>
      </c>
      <c r="AL17" s="944">
        <v>1.0</v>
      </c>
      <c r="AM17" s="944">
        <v>0.0</v>
      </c>
      <c r="AN17" s="944">
        <v>0.0</v>
      </c>
      <c r="AO17" s="944">
        <v>0.0</v>
      </c>
      <c r="AP17" s="944">
        <v>0.0</v>
      </c>
      <c r="AQ17" s="944">
        <v>0.0</v>
      </c>
      <c r="AR17" s="944">
        <v>7.0</v>
      </c>
      <c r="AS17" s="944">
        <v>1.0</v>
      </c>
      <c r="AT17" s="944">
        <v>0.0</v>
      </c>
      <c r="AU17" s="944">
        <v>0.0</v>
      </c>
      <c r="AV17" s="944">
        <v>0.0</v>
      </c>
      <c r="AW17" s="944">
        <v>0.0</v>
      </c>
      <c r="AX17" s="944">
        <v>0.0</v>
      </c>
      <c r="AY17" s="944">
        <v>0.0</v>
      </c>
      <c r="AZ17" s="944">
        <v>0.0</v>
      </c>
      <c r="BA17" s="944">
        <v>0.0</v>
      </c>
      <c r="BB17" s="944">
        <v>2.0</v>
      </c>
      <c r="BC17" s="944">
        <v>0.0</v>
      </c>
      <c r="BD17" s="944">
        <v>8.0</v>
      </c>
      <c r="BE17" s="945">
        <v>5.0</v>
      </c>
      <c r="BF17" s="941">
        <v>2.0</v>
      </c>
      <c r="BG17" s="941">
        <v>0.0</v>
      </c>
    </row>
    <row r="18">
      <c r="A18" s="946" t="s">
        <v>141</v>
      </c>
      <c r="B18" s="16" t="str">
        <f>IF(C18&lt;'PlayerGrades+'!$Y$44,"F-",IF(C18&lt;'PlayerGrades+'!$Y$43,"F",IF(C18&lt;'PlayerGrades+'!$Y$42,"F+",IF(C18&lt;'PlayerGrades+'!$Y$41,"E-",IF(C18&lt;'PlayerGrades+'!$Y$40,"E",IF(C18&lt;'PlayerGrades+'!$Y$39,"E+",IF(C18&lt;'PlayerGrades+'!$Y$38,"D-",IF(C18&lt;'PlayerGrades+'!$Y$37,"D",IF(C18&lt;'PlayerGrades+'!$Y$36,"D+",IF(C18&lt;'PlayerGrades+'!$Y$35,"C-",IF(C18&lt;'PlayerGrades+'!$Y$34,"C",IF(C18&lt;'PlayerGrades+'!$Y$33,"C+",IF(C18&lt;'PlayerGrades+'!$Y$32,"B-",IF(C18&lt;'PlayerGrades+'!$Y$31,"B",IF(C18&lt;'PlayerGrades+'!$Y$30,"B+",IF(C18&lt;'PlayerGrades+'!$Y$29,"A-",IF(C18&lt;'PlayerGrades+'!$Y$28,"A",IF(C18&lt;'PlayerGrades+'!$Y$27,"A+",IF(C18&lt;'PlayerGrades+'!$Y$26,"S-",IF(C18&lt;'PlayerGrades+'!$Y$25,"S","S+"))))))))))))))))))))</f>
        <v>F-</v>
      </c>
      <c r="C18" s="936">
        <f>('PlayerGrades+'!$Y$47*(VLOOKUP(E18, 'PlayerGrades+'!$X$3:$Y$23, 2, FALSE)))+('PlayerGrades+'!$Y$48*(VLOOKUP(G18, 'PlayerGrades+'!$X$3:$Y$23, 2, FALSE)))+('PlayerGrades+'!$Y$49*(VLOOKUP(I18, 'PlayerGrades+'!$X$3:$Y$23, 2, FALSE)))+('PlayerGrades+'!$Y$50*(VLOOKUP(K18, 'PlayerGrades+'!$X$3:$Y$23, 2, FALSE)))+('PlayerGrades+'!$Y$51*(VLOOKUP(M18, 'PlayerGrades+'!$X$3:$Y$23, 2, FALSE)))+('PlayerGrades+'!$Y$52*(VLOOKUP(O18, 'PlayerGrades+'!$X$3:$Y$23, 2, FALSE)))+('PlayerGrades+'!$Y$53*(VLOOKUP(Q18, 'PlayerGrades+'!$X$3:$Y$23, 2, FALSE)))+('PlayerGrades+'!$Y$54*(VLOOKUP(S18, 'PlayerGrades+'!$X$3:$Y$23, 2, FALSE)))+('PlayerGrades+'!$Y$55*(VLOOKUP(U18, 'PlayerGrades+'!$X$3:$Y$23, 2, FALSE)))</f>
        <v>8.35</v>
      </c>
      <c r="D18" s="937">
        <f t="shared" si="1"/>
        <v>0.07843137255</v>
      </c>
      <c r="E18" s="937" t="str">
        <f>IF(D18&lt;'PlayerGrades+'!$AA$21,"F-",IF(D18&lt;'PlayerGrades+'!$AA$20,"F",IF(D18&lt;'PlayerGrades+'!$AA$19,"F+",IF(D18&lt;'PlayerGrades+'!$AA$18,"E-",IF(D18&lt;'PlayerGrades+'!$AA$17,"E",IF(D18&lt;'PlayerGrades+'!$AA$16,"E+",IF(D18&lt;'PlayerGrades+'!$AA$15,"D-",IF(D18&lt;'PlayerGrades+'!$AA$14,"D",IF(D18&lt;'PlayerGrades+'!$AA$13,"D+",IF(D18&lt;'PlayerGrades+'!$AA$12,"C-",IF(D18&lt;'PlayerGrades+'!$AA$11,"C",IF(D18&lt;'PlayerGrades+'!$AA$10,"C+",IF(D18&lt;'PlayerGrades+'!$AA$9,"B-",IF(D18&lt;'PlayerGrades+'!$AA$8,"B",IF(D18&lt;'PlayerGrades+'!$AA$7,"B+",IF(D18&lt;'PlayerGrades+'!$AA$6,"A-",IF(D18&lt;'PlayerGrades+'!$AA$5,"A",IF(D18&lt;'PlayerGrades+'!$AA$4,"A+",IF(D18&lt;'PlayerGrades+'!$AA$3,"S-",IF(D18&lt;'PlayerGrades+'!$AA$2,"S","S+"))))))))))))))))))))</f>
        <v>B</v>
      </c>
      <c r="F18" s="937">
        <f t="shared" si="2"/>
        <v>-2.431372549</v>
      </c>
      <c r="G18" s="937" t="str">
        <f>IF(F18&lt;'PlayerGrades+'!$AB$21,"F-",IF(F18&lt;'PlayerGrades+'!$AB$20,"F",IF(F18&lt;'PlayerGrades+'!$AB$19,"F+",IF(F18&lt;'PlayerGrades+'!$AB$18,"E-",IF(F18&lt;'PlayerGrades+'!$AB$17,"E",IF(F18&lt;'PlayerGrades+'!$AB$16,"E+",IF(F18&lt;'PlayerGrades+'!$AB$15,"D-",IF(F18&lt;'PlayerGrades+'!$AB$14,"D",IF(F18&lt;'PlayerGrades+'!$AB$13,"D+",IF(F18&lt;'PlayerGrades+'!$AB$12,"C-",IF(F18&lt;'PlayerGrades+'!$AB$11,"C",IF(F18&lt;'PlayerGrades+'!$AB$10,"C+",IF(F18&lt;'PlayerGrades+'!$AB$9,"B-",IF(F18&lt;'PlayerGrades+'!$AB$8,"B",IF(F18&lt;'PlayerGrades+'!$AB$7,"B+",IF(F18&lt;'PlayerGrades+'!$AB$6,"A-",IF(F18&lt;'PlayerGrades+'!$AB$5,"A",IF(F18&lt;'PlayerGrades+'!$AB$4,"A+",IF(F18&lt;'PlayerGrades+'!$AB$3,"S-",IF(F18&lt;'PlayerGrades+'!$AB$2,"S","S+"))))))))))))))))))))</f>
        <v>F-</v>
      </c>
      <c r="H18" s="937">
        <f t="shared" si="3"/>
        <v>0</v>
      </c>
      <c r="I18" s="937" t="str">
        <f>IF(H18&lt;'PlayerGrades+'!$AC$21,"F-",IF(H18&lt;'PlayerGrades+'!$AC$20,"F",IF(H18&lt;'PlayerGrades+'!$AC$19,"F+",IF(H18&lt;'PlayerGrades+'!$AC$18,"E-",IF(H18&lt;'PlayerGrades+'!$AC$17,"E",IF(H18&lt;'PlayerGrades+'!$AC$16,"E+",IF(H18&lt;'PlayerGrades+'!$AC$15,"D-",IF(H18&lt;'PlayerGrades+'!$AC$14,"D",IF(H18&lt;'PlayerGrades+'!$AC$13,"D+",IF(H18&lt;'PlayerGrades+'!$AC$12,"C-",IF(H18&lt;'PlayerGrades+'!$AC$11,"C",IF(H18&lt;'PlayerGrades+'!$AC$10,"C+",IF(H18&lt;'PlayerGrades+'!$AC$9,"B-",IF(H18&lt;'PlayerGrades+'!$AC$8,"B",IF(H18&lt;'PlayerGrades+'!$AC$7,"B+",IF(H18&lt;'PlayerGrades+'!$AC$6,"A-",IF(H18&lt;'PlayerGrades+'!$AC$5,"A",IF(H18&lt;'PlayerGrades+'!$AC$4,"A+",IF(H18&lt;'PlayerGrades+'!$AC$3,"S-",IF(H18&lt;'PlayerGrades+'!$AC$2,"S","S+"))))))))))))))))))))</f>
        <v>F-</v>
      </c>
      <c r="J18" s="937">
        <f t="shared" si="4"/>
        <v>0</v>
      </c>
      <c r="K18" s="937" t="str">
        <f>IF(J18&lt;'PlayerGrades+'!$AD$21,"F-",IF(J18&lt;'PlayerGrades+'!$AD$20,"F",IF(J18&lt;'PlayerGrades+'!$AD$19,"F+",IF(J18&lt;'PlayerGrades+'!$AD$18,"E-",IF(J18&lt;'PlayerGrades+'!$AD$17,"E",IF(J18&lt;'PlayerGrades+'!$AD$16,"E+",IF(J18&lt;'PlayerGrades+'!$AD$15,"D-",IF(J18&lt;'PlayerGrades+'!$AD$14,"D",IF(J18&lt;'PlayerGrades+'!$AD$13,"D+",IF(J18&lt;'PlayerGrades+'!$AD$12,"C-",IF(J18&lt;'PlayerGrades+'!$AD$11,"C",IF(J18&lt;'PlayerGrades+'!$AD$10,"C+",IF(J18&lt;'PlayerGrades+'!$AD$9,"B-",IF(J18&lt;'PlayerGrades+'!$AD$8,"B",IF(J18&lt;'PlayerGrades+'!$AD$7,"B+",IF(J18&lt;'PlayerGrades+'!$AD$6,"A-",IF(J18&lt;'PlayerGrades+'!$AD$5,"A",IF(J18&lt;'PlayerGrades+'!$AD$4,"A+",IF(J18&lt;'PlayerGrades+'!$AD$3,"S-",IF(J18&lt;'PlayerGrades+'!$AD$2,"S","S+"))))))))))))))))))))</f>
        <v>F-</v>
      </c>
      <c r="L18" s="677">
        <f t="shared" si="5"/>
        <v>0.1568627451</v>
      </c>
      <c r="M18" s="938" t="str">
        <f>IF(L18&lt;'PlayerGrades+'!$AE$21,"F-",IF(L18&lt;'PlayerGrades+'!$AE$20,"F",IF(L18&lt;'PlayerGrades+'!$AE$19,"F+",IF(L18&lt;'PlayerGrades+'!$AE$18,"E-",IF(L18&lt;'PlayerGrades+'!$AE$17,"E",IF(L18&lt;'PlayerGrades+'!$AE$16,"E+",IF(L18&lt;'PlayerGrades+'!$AE$15,"D-",IF(L18&lt;'PlayerGrades+'!$AE$14,"D",IF(L18&lt;'PlayerGrades+'!$AE$13,"D+",IF(L18&lt;'PlayerGrades+'!$AE$12,"C-",IF(L18&lt;'PlayerGrades+'!$AE$11,"C",IF(L18&lt;'PlayerGrades+'!$AE$10,"C+",IF(L18&lt;'PlayerGrades+'!$AE$9,"B-",IF(L18&lt;'PlayerGrades+'!$AE$8,"B",IF(L18&lt;'PlayerGrades+'!$AE$7,"B+",IF(L18&lt;'PlayerGrades+'!$AE$6,"A-",IF(L18&lt;'PlayerGrades+'!$AE$5,"A",IF(L18&lt;'PlayerGrades+'!$AE$4,"A+",IF(L18&lt;'PlayerGrades+'!$AE$3,"S-",IF(L18&lt;'PlayerGrades+'!$AE$2,"S","S+"))))))))))))))))))))</f>
        <v>F-</v>
      </c>
      <c r="N18" s="937">
        <f t="shared" si="6"/>
        <v>0</v>
      </c>
      <c r="O18" s="937" t="str">
        <f>IF(N18&lt;'PlayerGrades+'!$AF$21,"F-",IF(N18&lt;'PlayerGrades+'!$AF$20,"F",IF(N18&lt;'PlayerGrades+'!$AF$19,"F+",IF(N18&lt;'PlayerGrades+'!$AF$18,"E-",IF(N18&lt;'PlayerGrades+'!$AF$17,"E",IF(N18&lt;'PlayerGrades+'!$AF$16,"E+",IF(N18&lt;'PlayerGrades+'!$AF$15,"D-",IF(N18&lt;'PlayerGrades+'!$AF$14,"D",IF(N18&lt;'PlayerGrades+'!$AF$13,"D+",IF(N18&lt;'PlayerGrades+'!$AF$12,"C-",IF(N18&lt;'PlayerGrades+'!$AF$11,"C",IF(N18&lt;'PlayerGrades+'!$AF$10,"C+",IF(N18&lt;'PlayerGrades+'!$AF$9,"B-",IF(N18&lt;'PlayerGrades+'!$AF$8,"B",IF(N18&lt;'PlayerGrades+'!$AF$7,"B+",IF(N18&lt;'PlayerGrades+'!$AF$6,"A-",IF(N18&lt;'PlayerGrades+'!$AF$5,"A",IF(N18&lt;'PlayerGrades+'!$AF$4,"A+",IF(N18&lt;'PlayerGrades+'!$AF$3,"S-",IF(N18&lt;'PlayerGrades+'!$AF$2,"S","S+"))))))))))))))))))))</f>
        <v>F-</v>
      </c>
      <c r="P18" s="937">
        <f t="shared" si="7"/>
        <v>0</v>
      </c>
      <c r="Q18" s="937" t="str">
        <f>IF(P18&lt;'PlayerGrades+'!$AG$21,"F-",IF(P18&lt;'PlayerGrades+'!$AG$20,"F",IF(P18&lt;'PlayerGrades+'!$AG$19,"F+",IF(P18&lt;'PlayerGrades+'!$AG$18,"E-",IF(P18&lt;'PlayerGrades+'!$AG$17,"E",IF(P18&lt;'PlayerGrades+'!$AG$16,"E+",IF(P18&lt;'PlayerGrades+'!$AG$15,"D-",IF(P18&lt;'PlayerGrades+'!$AG$14,"D",IF(P18&lt;'PlayerGrades+'!$AG$13,"D+",IF(P18&lt;'PlayerGrades+'!$AG$12,"C-",IF(P18&lt;'PlayerGrades+'!$AG$11,"C",IF(P18&lt;'PlayerGrades+'!$AG$10,"C+",IF(P18&lt;'PlayerGrades+'!$AG$9,"B-",IF(P18&lt;'PlayerGrades+'!$AG$8,"B",IF(P18&lt;'PlayerGrades+'!$AG$7,"B+",IF(P18&lt;'PlayerGrades+'!$AG$6,"A-",IF(P18&lt;'PlayerGrades+'!$AG$5,"A",IF(P18&lt;'PlayerGrades+'!$AG$4,"A+",IF(P18&lt;'PlayerGrades+'!$AG$3,"S-",IF(P18&lt;'PlayerGrades+'!$AG$2,"S","S+"))))))))))))))))))))</f>
        <v>F</v>
      </c>
      <c r="R18" s="937">
        <f t="shared" si="8"/>
        <v>0.4705882353</v>
      </c>
      <c r="S18" s="937" t="str">
        <f>IF(R18&lt;'PlayerGrades+'!$AH$21,"F-",IF(R18&lt;'PlayerGrades+'!$AH$20,"F",IF(R18&lt;'PlayerGrades+'!$AH$19,"F+",IF(R18&lt;'PlayerGrades+'!$AH$18,"E-",IF(R18&lt;'PlayerGrades+'!$AH$17,"E",IF(R18&lt;'PlayerGrades+'!$AH$16,"E+",IF(R18&lt;'PlayerGrades+'!$AH$15,"D-",IF(R18&lt;'PlayerGrades+'!$AH$14,"D",IF(R18&lt;'PlayerGrades+'!$AH$13,"D+",IF(R18&lt;'PlayerGrades+'!$AH$12,"C-",IF(R18&lt;'PlayerGrades+'!$AH$11,"C",IF(R18&lt;'PlayerGrades+'!$AH$10,"C+",IF(R18&lt;'PlayerGrades+'!$AH$9,"B-",IF(R18&lt;'PlayerGrades+'!$AH$8,"B",IF(R18&lt;'PlayerGrades+'!$AH$7,"B+",IF(R18&lt;'PlayerGrades+'!$AH$6,"A-",IF(R18&lt;'PlayerGrades+'!$AH$5,"A",IF(R18&lt;'PlayerGrades+'!$AH$4,"A+",IF(R18&lt;'PlayerGrades+'!$AH$3,"S-",IF(R18&lt;'PlayerGrades+'!$AH$2,"S","S+"))))))))))))))))))))</f>
        <v>E+</v>
      </c>
      <c r="T18" s="937">
        <f t="shared" si="9"/>
        <v>1.235294118</v>
      </c>
      <c r="U18" s="937" t="str">
        <f>IF(T18&lt;'PlayerGrades+'!$AI$21,"F-",IF(T18&lt;'PlayerGrades+'!$AI$20,"F",IF(T18&lt;'PlayerGrades+'!$AI$19,"F+",IF(T18&lt;'PlayerGrades+'!$AI$18,"E-",IF(T18&lt;'PlayerGrades+'!$AI$17,"E",IF(T18&lt;'PlayerGrades+'!$AI$16,"E+",IF(T18&lt;'PlayerGrades+'!$AI$15,"D-",IF(T18&lt;'PlayerGrades+'!$AI$14,"D",IF(T18&lt;'PlayerGrades+'!$AI$13,"D+",IF(T18&lt;'PlayerGrades+'!$AI$12,"C-",IF(T18&lt;'PlayerGrades+'!$AI$11,"C",IF(T18&lt;'PlayerGrades+'!$AI$10,"C+",IF(T18&lt;'PlayerGrades+'!$AI$9,"B-",IF(T18&lt;'PlayerGrades+'!$AI$8,"B",IF(T18&lt;'PlayerGrades+'!$AI$7,"B+",IF(T18&lt;'PlayerGrades+'!$AI$6,"A-",IF(T18&lt;'PlayerGrades+'!$AI$5,"A",IF(T18&lt;'PlayerGrades+'!$AI$4,"A+",IF(T18&lt;'PlayerGrades+'!$AI$3,"S-",IF(T18&lt;'PlayerGrades+'!$AI$2,"S","S+"))))))))))))))))))))</f>
        <v>C</v>
      </c>
      <c r="V18" s="895">
        <v>1.0</v>
      </c>
      <c r="W18" s="939">
        <v>0.0</v>
      </c>
      <c r="X18" s="939">
        <v>1.0</v>
      </c>
      <c r="Y18" s="939">
        <v>0.0</v>
      </c>
      <c r="Z18" s="939">
        <v>1.0</v>
      </c>
      <c r="AA18" s="939">
        <v>16.0</v>
      </c>
      <c r="AB18" s="939">
        <v>47.0</v>
      </c>
      <c r="AC18" s="939">
        <v>-31.0</v>
      </c>
      <c r="AD18" s="939">
        <v>2.0</v>
      </c>
      <c r="AE18" s="939">
        <v>2.0</v>
      </c>
      <c r="AF18" s="939">
        <v>1.0</v>
      </c>
      <c r="AG18" s="939">
        <v>547.0</v>
      </c>
      <c r="AH18" s="939">
        <v>765.0</v>
      </c>
      <c r="AI18" s="939">
        <v>11.0</v>
      </c>
      <c r="AJ18" s="939">
        <v>2.0</v>
      </c>
      <c r="AK18" s="939">
        <v>0.0</v>
      </c>
      <c r="AL18" s="939">
        <v>0.0</v>
      </c>
      <c r="AM18" s="939">
        <v>0.0</v>
      </c>
      <c r="AN18" s="939">
        <v>0.0</v>
      </c>
      <c r="AO18" s="939">
        <v>0.0</v>
      </c>
      <c r="AP18" s="939">
        <v>0.0</v>
      </c>
      <c r="AQ18" s="939">
        <v>0.0</v>
      </c>
      <c r="AR18" s="939">
        <v>2.0</v>
      </c>
      <c r="AS18" s="939">
        <v>0.0</v>
      </c>
      <c r="AT18" s="939">
        <v>0.0</v>
      </c>
      <c r="AU18" s="939">
        <v>0.0</v>
      </c>
      <c r="AV18" s="939">
        <v>0.0</v>
      </c>
      <c r="AW18" s="939">
        <v>0.0</v>
      </c>
      <c r="AX18" s="939">
        <v>0.0</v>
      </c>
      <c r="AY18" s="939">
        <v>0.0</v>
      </c>
      <c r="AZ18" s="939">
        <v>0.0</v>
      </c>
      <c r="BA18" s="939">
        <v>0.0</v>
      </c>
      <c r="BB18" s="939">
        <v>0.0</v>
      </c>
      <c r="BC18" s="939">
        <v>0.0</v>
      </c>
      <c r="BD18" s="939">
        <v>4.0</v>
      </c>
      <c r="BE18" s="940">
        <v>3.0</v>
      </c>
      <c r="BF18" s="941">
        <v>1.0</v>
      </c>
      <c r="BG18" s="941">
        <v>1.0</v>
      </c>
    </row>
    <row r="19">
      <c r="A19" s="935" t="s">
        <v>152</v>
      </c>
      <c r="B19" s="16" t="str">
        <f>IF(C19&lt;'PlayerGrades+'!$Y$44,"F-",IF(C19&lt;'PlayerGrades+'!$Y$43,"F",IF(C19&lt;'PlayerGrades+'!$Y$42,"F+",IF(C19&lt;'PlayerGrades+'!$Y$41,"E-",IF(C19&lt;'PlayerGrades+'!$Y$40,"E",IF(C19&lt;'PlayerGrades+'!$Y$39,"E+",IF(C19&lt;'PlayerGrades+'!$Y$38,"D-",IF(C19&lt;'PlayerGrades+'!$Y$37,"D",IF(C19&lt;'PlayerGrades+'!$Y$36,"D+",IF(C19&lt;'PlayerGrades+'!$Y$35,"C-",IF(C19&lt;'PlayerGrades+'!$Y$34,"C",IF(C19&lt;'PlayerGrades+'!$Y$33,"C+",IF(C19&lt;'PlayerGrades+'!$Y$32,"B-",IF(C19&lt;'PlayerGrades+'!$Y$31,"B",IF(C19&lt;'PlayerGrades+'!$Y$30,"B+",IF(C19&lt;'PlayerGrades+'!$Y$29,"A-",IF(C19&lt;'PlayerGrades+'!$Y$28,"A",IF(C19&lt;'PlayerGrades+'!$Y$27,"A+",IF(C19&lt;'PlayerGrades+'!$Y$26,"S-",IF(C19&lt;'PlayerGrades+'!$Y$25,"S","S+"))))))))))))))))))))</f>
        <v>F-</v>
      </c>
      <c r="C19" s="936">
        <f>('PlayerGrades+'!$Y$47*(VLOOKUP(E19, 'PlayerGrades+'!$X$3:$Y$23, 2, FALSE)))+('PlayerGrades+'!$Y$48*(VLOOKUP(G19, 'PlayerGrades+'!$X$3:$Y$23, 2, FALSE)))+('PlayerGrades+'!$Y$49*(VLOOKUP(I19, 'PlayerGrades+'!$X$3:$Y$23, 2, FALSE)))+('PlayerGrades+'!$Y$50*(VLOOKUP(K19, 'PlayerGrades+'!$X$3:$Y$23, 2, FALSE)))+('PlayerGrades+'!$Y$51*(VLOOKUP(M19, 'PlayerGrades+'!$X$3:$Y$23, 2, FALSE)))+('PlayerGrades+'!$Y$52*(VLOOKUP(O19, 'PlayerGrades+'!$X$3:$Y$23, 2, FALSE)))+('PlayerGrades+'!$Y$53*(VLOOKUP(Q19, 'PlayerGrades+'!$X$3:$Y$23, 2, FALSE)))+('PlayerGrades+'!$Y$54*(VLOOKUP(S19, 'PlayerGrades+'!$X$3:$Y$23, 2, FALSE)))+('PlayerGrades+'!$Y$55*(VLOOKUP(U19, 'PlayerGrades+'!$X$3:$Y$23, 2, FALSE)))</f>
        <v>5.45</v>
      </c>
      <c r="D19" s="937">
        <f t="shared" si="1"/>
        <v>0</v>
      </c>
      <c r="E19" s="937" t="str">
        <f>IF(D19&lt;'PlayerGrades+'!$AA$21,"F-",IF(D19&lt;'PlayerGrades+'!$AA$20,"F",IF(D19&lt;'PlayerGrades+'!$AA$19,"F+",IF(D19&lt;'PlayerGrades+'!$AA$18,"E-",IF(D19&lt;'PlayerGrades+'!$AA$17,"E",IF(D19&lt;'PlayerGrades+'!$AA$16,"E+",IF(D19&lt;'PlayerGrades+'!$AA$15,"D-",IF(D19&lt;'PlayerGrades+'!$AA$14,"D",IF(D19&lt;'PlayerGrades+'!$AA$13,"D+",IF(D19&lt;'PlayerGrades+'!$AA$12,"C-",IF(D19&lt;'PlayerGrades+'!$AA$11,"C",IF(D19&lt;'PlayerGrades+'!$AA$10,"C+",IF(D19&lt;'PlayerGrades+'!$AA$9,"B-",IF(D19&lt;'PlayerGrades+'!$AA$8,"B",IF(D19&lt;'PlayerGrades+'!$AA$7,"B+",IF(D19&lt;'PlayerGrades+'!$AA$6,"A-",IF(D19&lt;'PlayerGrades+'!$AA$5,"A",IF(D19&lt;'PlayerGrades+'!$AA$4,"A+",IF(D19&lt;'PlayerGrades+'!$AA$3,"S-",IF(D19&lt;'PlayerGrades+'!$AA$2,"S","S+"))))))))))))))))))))</f>
        <v>F-</v>
      </c>
      <c r="F19" s="937">
        <f t="shared" si="2"/>
        <v>-1.254901961</v>
      </c>
      <c r="G19" s="937" t="str">
        <f>IF(F19&lt;'PlayerGrades+'!$AB$21,"F-",IF(F19&lt;'PlayerGrades+'!$AB$20,"F",IF(F19&lt;'PlayerGrades+'!$AB$19,"F+",IF(F19&lt;'PlayerGrades+'!$AB$18,"E-",IF(F19&lt;'PlayerGrades+'!$AB$17,"E",IF(F19&lt;'PlayerGrades+'!$AB$16,"E+",IF(F19&lt;'PlayerGrades+'!$AB$15,"D-",IF(F19&lt;'PlayerGrades+'!$AB$14,"D",IF(F19&lt;'PlayerGrades+'!$AB$13,"D+",IF(F19&lt;'PlayerGrades+'!$AB$12,"C-",IF(F19&lt;'PlayerGrades+'!$AB$11,"C",IF(F19&lt;'PlayerGrades+'!$AB$10,"C+",IF(F19&lt;'PlayerGrades+'!$AB$9,"B-",IF(F19&lt;'PlayerGrades+'!$AB$8,"B",IF(F19&lt;'PlayerGrades+'!$AB$7,"B+",IF(F19&lt;'PlayerGrades+'!$AB$6,"A-",IF(F19&lt;'PlayerGrades+'!$AB$5,"A",IF(F19&lt;'PlayerGrades+'!$AB$4,"A+",IF(F19&lt;'PlayerGrades+'!$AB$3,"S-",IF(F19&lt;'PlayerGrades+'!$AB$2,"S","S+"))))))))))))))))))))</f>
        <v>F-</v>
      </c>
      <c r="H19" s="937">
        <f t="shared" si="3"/>
        <v>0</v>
      </c>
      <c r="I19" s="937" t="str">
        <f>IF(H19&lt;'PlayerGrades+'!$AC$21,"F-",IF(H19&lt;'PlayerGrades+'!$AC$20,"F",IF(H19&lt;'PlayerGrades+'!$AC$19,"F+",IF(H19&lt;'PlayerGrades+'!$AC$18,"E-",IF(H19&lt;'PlayerGrades+'!$AC$17,"E",IF(H19&lt;'PlayerGrades+'!$AC$16,"E+",IF(H19&lt;'PlayerGrades+'!$AC$15,"D-",IF(H19&lt;'PlayerGrades+'!$AC$14,"D",IF(H19&lt;'PlayerGrades+'!$AC$13,"D+",IF(H19&lt;'PlayerGrades+'!$AC$12,"C-",IF(H19&lt;'PlayerGrades+'!$AC$11,"C",IF(H19&lt;'PlayerGrades+'!$AC$10,"C+",IF(H19&lt;'PlayerGrades+'!$AC$9,"B-",IF(H19&lt;'PlayerGrades+'!$AC$8,"B",IF(H19&lt;'PlayerGrades+'!$AC$7,"B+",IF(H19&lt;'PlayerGrades+'!$AC$6,"A-",IF(H19&lt;'PlayerGrades+'!$AC$5,"A",IF(H19&lt;'PlayerGrades+'!$AC$4,"A+",IF(H19&lt;'PlayerGrades+'!$AC$3,"S-",IF(H19&lt;'PlayerGrades+'!$AC$2,"S","S+"))))))))))))))))))))</f>
        <v>F-</v>
      </c>
      <c r="J19" s="937">
        <f t="shared" si="4"/>
        <v>0</v>
      </c>
      <c r="K19" s="937" t="str">
        <f>IF(J19&lt;'PlayerGrades+'!$AD$21,"F-",IF(J19&lt;'PlayerGrades+'!$AD$20,"F",IF(J19&lt;'PlayerGrades+'!$AD$19,"F+",IF(J19&lt;'PlayerGrades+'!$AD$18,"E-",IF(J19&lt;'PlayerGrades+'!$AD$17,"E",IF(J19&lt;'PlayerGrades+'!$AD$16,"E+",IF(J19&lt;'PlayerGrades+'!$AD$15,"D-",IF(J19&lt;'PlayerGrades+'!$AD$14,"D",IF(J19&lt;'PlayerGrades+'!$AD$13,"D+",IF(J19&lt;'PlayerGrades+'!$AD$12,"C-",IF(J19&lt;'PlayerGrades+'!$AD$11,"C",IF(J19&lt;'PlayerGrades+'!$AD$10,"C+",IF(J19&lt;'PlayerGrades+'!$AD$9,"B-",IF(J19&lt;'PlayerGrades+'!$AD$8,"B",IF(J19&lt;'PlayerGrades+'!$AD$7,"B+",IF(J19&lt;'PlayerGrades+'!$AD$6,"A-",IF(J19&lt;'PlayerGrades+'!$AD$5,"A",IF(J19&lt;'PlayerGrades+'!$AD$4,"A+",IF(J19&lt;'PlayerGrades+'!$AD$3,"S-",IF(J19&lt;'PlayerGrades+'!$AD$2,"S","S+"))))))))))))))))))))</f>
        <v>F-</v>
      </c>
      <c r="L19" s="677">
        <f t="shared" si="5"/>
        <v>0.1568627451</v>
      </c>
      <c r="M19" s="938" t="str">
        <f>IF(L19&lt;'PlayerGrades+'!$AE$21,"F-",IF(L19&lt;'PlayerGrades+'!$AE$20,"F",IF(L19&lt;'PlayerGrades+'!$AE$19,"F+",IF(L19&lt;'PlayerGrades+'!$AE$18,"E-",IF(L19&lt;'PlayerGrades+'!$AE$17,"E",IF(L19&lt;'PlayerGrades+'!$AE$16,"E+",IF(L19&lt;'PlayerGrades+'!$AE$15,"D-",IF(L19&lt;'PlayerGrades+'!$AE$14,"D",IF(L19&lt;'PlayerGrades+'!$AE$13,"D+",IF(L19&lt;'PlayerGrades+'!$AE$12,"C-",IF(L19&lt;'PlayerGrades+'!$AE$11,"C",IF(L19&lt;'PlayerGrades+'!$AE$10,"C+",IF(L19&lt;'PlayerGrades+'!$AE$9,"B-",IF(L19&lt;'PlayerGrades+'!$AE$8,"B",IF(L19&lt;'PlayerGrades+'!$AE$7,"B+",IF(L19&lt;'PlayerGrades+'!$AE$6,"A-",IF(L19&lt;'PlayerGrades+'!$AE$5,"A",IF(L19&lt;'PlayerGrades+'!$AE$4,"A+",IF(L19&lt;'PlayerGrades+'!$AE$3,"S-",IF(L19&lt;'PlayerGrades+'!$AE$2,"S","S+"))))))))))))))))))))</f>
        <v>F-</v>
      </c>
      <c r="N19" s="937">
        <f t="shared" si="6"/>
        <v>0</v>
      </c>
      <c r="O19" s="937" t="str">
        <f>IF(N19&lt;'PlayerGrades+'!$AF$21,"F-",IF(N19&lt;'PlayerGrades+'!$AF$20,"F",IF(N19&lt;'PlayerGrades+'!$AF$19,"F+",IF(N19&lt;'PlayerGrades+'!$AF$18,"E-",IF(N19&lt;'PlayerGrades+'!$AF$17,"E",IF(N19&lt;'PlayerGrades+'!$AF$16,"E+",IF(N19&lt;'PlayerGrades+'!$AF$15,"D-",IF(N19&lt;'PlayerGrades+'!$AF$14,"D",IF(N19&lt;'PlayerGrades+'!$AF$13,"D+",IF(N19&lt;'PlayerGrades+'!$AF$12,"C-",IF(N19&lt;'PlayerGrades+'!$AF$11,"C",IF(N19&lt;'PlayerGrades+'!$AF$10,"C+",IF(N19&lt;'PlayerGrades+'!$AF$9,"B-",IF(N19&lt;'PlayerGrades+'!$AF$8,"B",IF(N19&lt;'PlayerGrades+'!$AF$7,"B+",IF(N19&lt;'PlayerGrades+'!$AF$6,"A-",IF(N19&lt;'PlayerGrades+'!$AF$5,"A",IF(N19&lt;'PlayerGrades+'!$AF$4,"A+",IF(N19&lt;'PlayerGrades+'!$AF$3,"S-",IF(N19&lt;'PlayerGrades+'!$AF$2,"S","S+"))))))))))))))))))))</f>
        <v>F-</v>
      </c>
      <c r="P19" s="937">
        <f t="shared" si="7"/>
        <v>0</v>
      </c>
      <c r="Q19" s="937" t="str">
        <f>IF(P19&lt;'PlayerGrades+'!$AG$21,"F-",IF(P19&lt;'PlayerGrades+'!$AG$20,"F",IF(P19&lt;'PlayerGrades+'!$AG$19,"F+",IF(P19&lt;'PlayerGrades+'!$AG$18,"E-",IF(P19&lt;'PlayerGrades+'!$AG$17,"E",IF(P19&lt;'PlayerGrades+'!$AG$16,"E+",IF(P19&lt;'PlayerGrades+'!$AG$15,"D-",IF(P19&lt;'PlayerGrades+'!$AG$14,"D",IF(P19&lt;'PlayerGrades+'!$AG$13,"D+",IF(P19&lt;'PlayerGrades+'!$AG$12,"C-",IF(P19&lt;'PlayerGrades+'!$AG$11,"C",IF(P19&lt;'PlayerGrades+'!$AG$10,"C+",IF(P19&lt;'PlayerGrades+'!$AG$9,"B-",IF(P19&lt;'PlayerGrades+'!$AG$8,"B",IF(P19&lt;'PlayerGrades+'!$AG$7,"B+",IF(P19&lt;'PlayerGrades+'!$AG$6,"A-",IF(P19&lt;'PlayerGrades+'!$AG$5,"A",IF(P19&lt;'PlayerGrades+'!$AG$4,"A+",IF(P19&lt;'PlayerGrades+'!$AG$3,"S-",IF(P19&lt;'PlayerGrades+'!$AG$2,"S","S+"))))))))))))))))))))</f>
        <v>F</v>
      </c>
      <c r="R19" s="937">
        <f t="shared" si="8"/>
        <v>0.4705882353</v>
      </c>
      <c r="S19" s="937" t="str">
        <f>IF(R19&lt;'PlayerGrades+'!$AH$21,"F-",IF(R19&lt;'PlayerGrades+'!$AH$20,"F",IF(R19&lt;'PlayerGrades+'!$AH$19,"F+",IF(R19&lt;'PlayerGrades+'!$AH$18,"E-",IF(R19&lt;'PlayerGrades+'!$AH$17,"E",IF(R19&lt;'PlayerGrades+'!$AH$16,"E+",IF(R19&lt;'PlayerGrades+'!$AH$15,"D-",IF(R19&lt;'PlayerGrades+'!$AH$14,"D",IF(R19&lt;'PlayerGrades+'!$AH$13,"D+",IF(R19&lt;'PlayerGrades+'!$AH$12,"C-",IF(R19&lt;'PlayerGrades+'!$AH$11,"C",IF(R19&lt;'PlayerGrades+'!$AH$10,"C+",IF(R19&lt;'PlayerGrades+'!$AH$9,"B-",IF(R19&lt;'PlayerGrades+'!$AH$8,"B",IF(R19&lt;'PlayerGrades+'!$AH$7,"B+",IF(R19&lt;'PlayerGrades+'!$AH$6,"A-",IF(R19&lt;'PlayerGrades+'!$AH$5,"A",IF(R19&lt;'PlayerGrades+'!$AH$4,"A+",IF(R19&lt;'PlayerGrades+'!$AH$3,"S-",IF(R19&lt;'PlayerGrades+'!$AH$2,"S","S+"))))))))))))))))))))</f>
        <v>E+</v>
      </c>
      <c r="T19" s="937">
        <f t="shared" si="9"/>
        <v>1.078431373</v>
      </c>
      <c r="U19" s="937" t="str">
        <f>IF(T19&lt;'PlayerGrades+'!$AI$21,"F-",IF(T19&lt;'PlayerGrades+'!$AI$20,"F",IF(T19&lt;'PlayerGrades+'!$AI$19,"F+",IF(T19&lt;'PlayerGrades+'!$AI$18,"E-",IF(T19&lt;'PlayerGrades+'!$AI$17,"E",IF(T19&lt;'PlayerGrades+'!$AI$16,"E+",IF(T19&lt;'PlayerGrades+'!$AI$15,"D-",IF(T19&lt;'PlayerGrades+'!$AI$14,"D",IF(T19&lt;'PlayerGrades+'!$AI$13,"D+",IF(T19&lt;'PlayerGrades+'!$AI$12,"C-",IF(T19&lt;'PlayerGrades+'!$AI$11,"C",IF(T19&lt;'PlayerGrades+'!$AI$10,"C+",IF(T19&lt;'PlayerGrades+'!$AI$9,"B-",IF(T19&lt;'PlayerGrades+'!$AI$8,"B",IF(T19&lt;'PlayerGrades+'!$AI$7,"B+",IF(T19&lt;'PlayerGrades+'!$AI$6,"A-",IF(T19&lt;'PlayerGrades+'!$AI$5,"A",IF(T19&lt;'PlayerGrades+'!$AI$4,"A+",IF(T19&lt;'PlayerGrades+'!$AI$3,"S-",IF(T19&lt;'PlayerGrades+'!$AI$2,"S","S+"))))))))))))))))))))</f>
        <v>D</v>
      </c>
      <c r="V19" s="941">
        <v>1.0</v>
      </c>
      <c r="W19" s="941">
        <v>0.0</v>
      </c>
      <c r="X19" s="941">
        <v>1.0</v>
      </c>
      <c r="Y19" s="941">
        <v>0.0</v>
      </c>
      <c r="Z19" s="941">
        <v>0.0</v>
      </c>
      <c r="AA19" s="941">
        <v>24.0</v>
      </c>
      <c r="AB19" s="941">
        <v>40.0</v>
      </c>
      <c r="AC19" s="941">
        <v>-16.0</v>
      </c>
      <c r="AD19" s="941">
        <v>1.0</v>
      </c>
      <c r="AE19" s="941">
        <v>3.0</v>
      </c>
      <c r="AF19" s="941">
        <v>0.0</v>
      </c>
      <c r="AG19" s="941">
        <v>561.0</v>
      </c>
      <c r="AH19" s="941">
        <v>765.0</v>
      </c>
      <c r="AI19" s="941">
        <v>14.0</v>
      </c>
      <c r="AJ19" s="941">
        <v>0.0</v>
      </c>
      <c r="AK19" s="941">
        <v>0.0</v>
      </c>
      <c r="AL19" s="941">
        <v>0.0</v>
      </c>
      <c r="AM19" s="941">
        <v>0.0</v>
      </c>
      <c r="AN19" s="941">
        <v>0.0</v>
      </c>
      <c r="AO19" s="941">
        <v>0.0</v>
      </c>
      <c r="AP19" s="941">
        <v>0.0</v>
      </c>
      <c r="AQ19" s="941">
        <v>0.0</v>
      </c>
      <c r="AR19" s="941">
        <v>2.0</v>
      </c>
      <c r="AS19" s="941">
        <v>0.0</v>
      </c>
      <c r="AT19" s="941">
        <v>0.0</v>
      </c>
      <c r="AU19" s="941">
        <v>0.0</v>
      </c>
      <c r="AV19" s="941">
        <v>0.0</v>
      </c>
      <c r="AW19" s="941">
        <v>0.0</v>
      </c>
      <c r="AX19" s="941">
        <v>0.0</v>
      </c>
      <c r="AY19" s="941">
        <v>0.0</v>
      </c>
      <c r="AZ19" s="941">
        <v>0.0</v>
      </c>
      <c r="BA19" s="941">
        <v>0.0</v>
      </c>
      <c r="BB19" s="941">
        <v>0.0</v>
      </c>
      <c r="BC19" s="941">
        <v>0.0</v>
      </c>
      <c r="BD19" s="941">
        <v>5.0</v>
      </c>
      <c r="BE19" s="942">
        <v>1.0</v>
      </c>
      <c r="BF19" s="941">
        <v>1.0</v>
      </c>
      <c r="BG19" s="941">
        <v>1.0</v>
      </c>
    </row>
    <row r="20">
      <c r="A20" s="935" t="s">
        <v>130</v>
      </c>
      <c r="B20" s="16" t="str">
        <f>IF(C20&lt;'PlayerGrades+'!$Y$44,"F-",IF(C20&lt;'PlayerGrades+'!$Y$43,"F",IF(C20&lt;'PlayerGrades+'!$Y$42,"F+",IF(C20&lt;'PlayerGrades+'!$Y$41,"E-",IF(C20&lt;'PlayerGrades+'!$Y$40,"E",IF(C20&lt;'PlayerGrades+'!$Y$39,"E+",IF(C20&lt;'PlayerGrades+'!$Y$38,"D-",IF(C20&lt;'PlayerGrades+'!$Y$37,"D",IF(C20&lt;'PlayerGrades+'!$Y$36,"D+",IF(C20&lt;'PlayerGrades+'!$Y$35,"C-",IF(C20&lt;'PlayerGrades+'!$Y$34,"C",IF(C20&lt;'PlayerGrades+'!$Y$33,"C+",IF(C20&lt;'PlayerGrades+'!$Y$32,"B-",IF(C20&lt;'PlayerGrades+'!$Y$31,"B",IF(C20&lt;'PlayerGrades+'!$Y$30,"B+",IF(C20&lt;'PlayerGrades+'!$Y$29,"A-",IF(C20&lt;'PlayerGrades+'!$Y$28,"A",IF(C20&lt;'PlayerGrades+'!$Y$27,"A+",IF(C20&lt;'PlayerGrades+'!$Y$26,"S-",IF(C20&lt;'PlayerGrades+'!$Y$25,"S","S+"))))))))))))))))))))</f>
        <v>F-</v>
      </c>
      <c r="C20" s="936">
        <f>('PlayerGrades+'!$Y$47*(VLOOKUP(E20, 'PlayerGrades+'!$X$3:$Y$23, 2, FALSE)))+('PlayerGrades+'!$Y$48*(VLOOKUP(G20, 'PlayerGrades+'!$X$3:$Y$23, 2, FALSE)))+('PlayerGrades+'!$Y$49*(VLOOKUP(I20, 'PlayerGrades+'!$X$3:$Y$23, 2, FALSE)))+('PlayerGrades+'!$Y$50*(VLOOKUP(K20, 'PlayerGrades+'!$X$3:$Y$23, 2, FALSE)))+('PlayerGrades+'!$Y$51*(VLOOKUP(M20, 'PlayerGrades+'!$X$3:$Y$23, 2, FALSE)))+('PlayerGrades+'!$Y$52*(VLOOKUP(O20, 'PlayerGrades+'!$X$3:$Y$23, 2, FALSE)))+('PlayerGrades+'!$Y$53*(VLOOKUP(Q20, 'PlayerGrades+'!$X$3:$Y$23, 2, FALSE)))+('PlayerGrades+'!$Y$54*(VLOOKUP(S20, 'PlayerGrades+'!$X$3:$Y$23, 2, FALSE)))+('PlayerGrades+'!$Y$55*(VLOOKUP(U20, 'PlayerGrades+'!$X$3:$Y$23, 2, FALSE)))</f>
        <v>6.25</v>
      </c>
      <c r="D20" s="937">
        <f t="shared" si="1"/>
        <v>0</v>
      </c>
      <c r="E20" s="937" t="str">
        <f>IF(D20&lt;'PlayerGrades+'!$AA$21,"F-",IF(D20&lt;'PlayerGrades+'!$AA$20,"F",IF(D20&lt;'PlayerGrades+'!$AA$19,"F+",IF(D20&lt;'PlayerGrades+'!$AA$18,"E-",IF(D20&lt;'PlayerGrades+'!$AA$17,"E",IF(D20&lt;'PlayerGrades+'!$AA$16,"E+",IF(D20&lt;'PlayerGrades+'!$AA$15,"D-",IF(D20&lt;'PlayerGrades+'!$AA$14,"D",IF(D20&lt;'PlayerGrades+'!$AA$13,"D+",IF(D20&lt;'PlayerGrades+'!$AA$12,"C-",IF(D20&lt;'PlayerGrades+'!$AA$11,"C",IF(D20&lt;'PlayerGrades+'!$AA$10,"C+",IF(D20&lt;'PlayerGrades+'!$AA$9,"B-",IF(D20&lt;'PlayerGrades+'!$AA$8,"B",IF(D20&lt;'PlayerGrades+'!$AA$7,"B+",IF(D20&lt;'PlayerGrades+'!$AA$6,"A-",IF(D20&lt;'PlayerGrades+'!$AA$5,"A",IF(D20&lt;'PlayerGrades+'!$AA$4,"A+",IF(D20&lt;'PlayerGrades+'!$AA$3,"S-",IF(D20&lt;'PlayerGrades+'!$AA$2,"S","S+"))))))))))))))))))))</f>
        <v>F-</v>
      </c>
      <c r="F20" s="937">
        <f t="shared" si="2"/>
        <v>-0.1568627451</v>
      </c>
      <c r="G20" s="937" t="str">
        <f>IF(F20&lt;'PlayerGrades+'!$AB$21,"F-",IF(F20&lt;'PlayerGrades+'!$AB$20,"F",IF(F20&lt;'PlayerGrades+'!$AB$19,"F+",IF(F20&lt;'PlayerGrades+'!$AB$18,"E-",IF(F20&lt;'PlayerGrades+'!$AB$17,"E",IF(F20&lt;'PlayerGrades+'!$AB$16,"E+",IF(F20&lt;'PlayerGrades+'!$AB$15,"D-",IF(F20&lt;'PlayerGrades+'!$AB$14,"D",IF(F20&lt;'PlayerGrades+'!$AB$13,"D+",IF(F20&lt;'PlayerGrades+'!$AB$12,"C-",IF(F20&lt;'PlayerGrades+'!$AB$11,"C",IF(F20&lt;'PlayerGrades+'!$AB$10,"C+",IF(F20&lt;'PlayerGrades+'!$AB$9,"B-",IF(F20&lt;'PlayerGrades+'!$AB$8,"B",IF(F20&lt;'PlayerGrades+'!$AB$7,"B+",IF(F20&lt;'PlayerGrades+'!$AB$6,"A-",IF(F20&lt;'PlayerGrades+'!$AB$5,"A",IF(F20&lt;'PlayerGrades+'!$AB$4,"A+",IF(F20&lt;'PlayerGrades+'!$AB$3,"S-",IF(F20&lt;'PlayerGrades+'!$AB$2,"S","S+"))))))))))))))))))))</f>
        <v>C+</v>
      </c>
      <c r="H20" s="937">
        <f t="shared" si="3"/>
        <v>0</v>
      </c>
      <c r="I20" s="937" t="str">
        <f>IF(H20&lt;'PlayerGrades+'!$AC$21,"F-",IF(H20&lt;'PlayerGrades+'!$AC$20,"F",IF(H20&lt;'PlayerGrades+'!$AC$19,"F+",IF(H20&lt;'PlayerGrades+'!$AC$18,"E-",IF(H20&lt;'PlayerGrades+'!$AC$17,"E",IF(H20&lt;'PlayerGrades+'!$AC$16,"E+",IF(H20&lt;'PlayerGrades+'!$AC$15,"D-",IF(H20&lt;'PlayerGrades+'!$AC$14,"D",IF(H20&lt;'PlayerGrades+'!$AC$13,"D+",IF(H20&lt;'PlayerGrades+'!$AC$12,"C-",IF(H20&lt;'PlayerGrades+'!$AC$11,"C",IF(H20&lt;'PlayerGrades+'!$AC$10,"C+",IF(H20&lt;'PlayerGrades+'!$AC$9,"B-",IF(H20&lt;'PlayerGrades+'!$AC$8,"B",IF(H20&lt;'PlayerGrades+'!$AC$7,"B+",IF(H20&lt;'PlayerGrades+'!$AC$6,"A-",IF(H20&lt;'PlayerGrades+'!$AC$5,"A",IF(H20&lt;'PlayerGrades+'!$AC$4,"A+",IF(H20&lt;'PlayerGrades+'!$AC$3,"S-",IF(H20&lt;'PlayerGrades+'!$AC$2,"S","S+"))))))))))))))))))))</f>
        <v>F-</v>
      </c>
      <c r="J20" s="937">
        <f t="shared" si="4"/>
        <v>0</v>
      </c>
      <c r="K20" s="937" t="str">
        <f>IF(J20&lt;'PlayerGrades+'!$AD$21,"F-",IF(J20&lt;'PlayerGrades+'!$AD$20,"F",IF(J20&lt;'PlayerGrades+'!$AD$19,"F+",IF(J20&lt;'PlayerGrades+'!$AD$18,"E-",IF(J20&lt;'PlayerGrades+'!$AD$17,"E",IF(J20&lt;'PlayerGrades+'!$AD$16,"E+",IF(J20&lt;'PlayerGrades+'!$AD$15,"D-",IF(J20&lt;'PlayerGrades+'!$AD$14,"D",IF(J20&lt;'PlayerGrades+'!$AD$13,"D+",IF(J20&lt;'PlayerGrades+'!$AD$12,"C-",IF(J20&lt;'PlayerGrades+'!$AD$11,"C",IF(J20&lt;'PlayerGrades+'!$AD$10,"C+",IF(J20&lt;'PlayerGrades+'!$AD$9,"B-",IF(J20&lt;'PlayerGrades+'!$AD$8,"B",IF(J20&lt;'PlayerGrades+'!$AD$7,"B+",IF(J20&lt;'PlayerGrades+'!$AD$6,"A-",IF(J20&lt;'PlayerGrades+'!$AD$5,"A",IF(J20&lt;'PlayerGrades+'!$AD$4,"A+",IF(J20&lt;'PlayerGrades+'!$AD$3,"S-",IF(J20&lt;'PlayerGrades+'!$AD$2,"S","S+"))))))))))))))))))))</f>
        <v>F-</v>
      </c>
      <c r="L20" s="677">
        <f t="shared" si="5"/>
        <v>0.07843137255</v>
      </c>
      <c r="M20" s="938" t="str">
        <f>IF(L20&lt;'PlayerGrades+'!$AE$21,"F-",IF(L20&lt;'PlayerGrades+'!$AE$20,"F",IF(L20&lt;'PlayerGrades+'!$AE$19,"F+",IF(L20&lt;'PlayerGrades+'!$AE$18,"E-",IF(L20&lt;'PlayerGrades+'!$AE$17,"E",IF(L20&lt;'PlayerGrades+'!$AE$16,"E+",IF(L20&lt;'PlayerGrades+'!$AE$15,"D-",IF(L20&lt;'PlayerGrades+'!$AE$14,"D",IF(L20&lt;'PlayerGrades+'!$AE$13,"D+",IF(L20&lt;'PlayerGrades+'!$AE$12,"C-",IF(L20&lt;'PlayerGrades+'!$AE$11,"C",IF(L20&lt;'PlayerGrades+'!$AE$10,"C+",IF(L20&lt;'PlayerGrades+'!$AE$9,"B-",IF(L20&lt;'PlayerGrades+'!$AE$8,"B",IF(L20&lt;'PlayerGrades+'!$AE$7,"B+",IF(L20&lt;'PlayerGrades+'!$AE$6,"A-",IF(L20&lt;'PlayerGrades+'!$AE$5,"A",IF(L20&lt;'PlayerGrades+'!$AE$4,"A+",IF(L20&lt;'PlayerGrades+'!$AE$3,"S-",IF(L20&lt;'PlayerGrades+'!$AE$2,"S","S+"))))))))))))))))))))</f>
        <v>F-</v>
      </c>
      <c r="N20" s="937">
        <f t="shared" si="6"/>
        <v>0</v>
      </c>
      <c r="O20" s="937" t="str">
        <f>IF(N20&lt;'PlayerGrades+'!$AF$21,"F-",IF(N20&lt;'PlayerGrades+'!$AF$20,"F",IF(N20&lt;'PlayerGrades+'!$AF$19,"F+",IF(N20&lt;'PlayerGrades+'!$AF$18,"E-",IF(N20&lt;'PlayerGrades+'!$AF$17,"E",IF(N20&lt;'PlayerGrades+'!$AF$16,"E+",IF(N20&lt;'PlayerGrades+'!$AF$15,"D-",IF(N20&lt;'PlayerGrades+'!$AF$14,"D",IF(N20&lt;'PlayerGrades+'!$AF$13,"D+",IF(N20&lt;'PlayerGrades+'!$AF$12,"C-",IF(N20&lt;'PlayerGrades+'!$AF$11,"C",IF(N20&lt;'PlayerGrades+'!$AF$10,"C+",IF(N20&lt;'PlayerGrades+'!$AF$9,"B-",IF(N20&lt;'PlayerGrades+'!$AF$8,"B",IF(N20&lt;'PlayerGrades+'!$AF$7,"B+",IF(N20&lt;'PlayerGrades+'!$AF$6,"A-",IF(N20&lt;'PlayerGrades+'!$AF$5,"A",IF(N20&lt;'PlayerGrades+'!$AF$4,"A+",IF(N20&lt;'PlayerGrades+'!$AF$3,"S-",IF(N20&lt;'PlayerGrades+'!$AF$2,"S","S+"))))))))))))))))))))</f>
        <v>F-</v>
      </c>
      <c r="P20" s="937">
        <f t="shared" si="7"/>
        <v>0</v>
      </c>
      <c r="Q20" s="937" t="str">
        <f>IF(P20&lt;'PlayerGrades+'!$AG$21,"F-",IF(P20&lt;'PlayerGrades+'!$AG$20,"F",IF(P20&lt;'PlayerGrades+'!$AG$19,"F+",IF(P20&lt;'PlayerGrades+'!$AG$18,"E-",IF(P20&lt;'PlayerGrades+'!$AG$17,"E",IF(P20&lt;'PlayerGrades+'!$AG$16,"E+",IF(P20&lt;'PlayerGrades+'!$AG$15,"D-",IF(P20&lt;'PlayerGrades+'!$AG$14,"D",IF(P20&lt;'PlayerGrades+'!$AG$13,"D+",IF(P20&lt;'PlayerGrades+'!$AG$12,"C-",IF(P20&lt;'PlayerGrades+'!$AG$11,"C",IF(P20&lt;'PlayerGrades+'!$AG$10,"C+",IF(P20&lt;'PlayerGrades+'!$AG$9,"B-",IF(P20&lt;'PlayerGrades+'!$AG$8,"B",IF(P20&lt;'PlayerGrades+'!$AG$7,"B+",IF(P20&lt;'PlayerGrades+'!$AG$6,"A-",IF(P20&lt;'PlayerGrades+'!$AG$5,"A",IF(P20&lt;'PlayerGrades+'!$AG$4,"A+",IF(P20&lt;'PlayerGrades+'!$AG$3,"S-",IF(P20&lt;'PlayerGrades+'!$AG$2,"S","S+"))))))))))))))))))))</f>
        <v>F</v>
      </c>
      <c r="R20" s="937">
        <f t="shared" si="8"/>
        <v>0.3137254902</v>
      </c>
      <c r="S20" s="937" t="str">
        <f>IF(R20&lt;'PlayerGrades+'!$AH$21,"F-",IF(R20&lt;'PlayerGrades+'!$AH$20,"F",IF(R20&lt;'PlayerGrades+'!$AH$19,"F+",IF(R20&lt;'PlayerGrades+'!$AH$18,"E-",IF(R20&lt;'PlayerGrades+'!$AH$17,"E",IF(R20&lt;'PlayerGrades+'!$AH$16,"E+",IF(R20&lt;'PlayerGrades+'!$AH$15,"D-",IF(R20&lt;'PlayerGrades+'!$AH$14,"D",IF(R20&lt;'PlayerGrades+'!$AH$13,"D+",IF(R20&lt;'PlayerGrades+'!$AH$12,"C-",IF(R20&lt;'PlayerGrades+'!$AH$11,"C",IF(R20&lt;'PlayerGrades+'!$AH$10,"C+",IF(R20&lt;'PlayerGrades+'!$AH$9,"B-",IF(R20&lt;'PlayerGrades+'!$AH$8,"B",IF(R20&lt;'PlayerGrades+'!$AH$7,"B+",IF(R20&lt;'PlayerGrades+'!$AH$6,"A-",IF(R20&lt;'PlayerGrades+'!$AH$5,"A",IF(R20&lt;'PlayerGrades+'!$AH$4,"A+",IF(R20&lt;'PlayerGrades+'!$AH$3,"S-",IF(R20&lt;'PlayerGrades+'!$AH$2,"S","S+"))))))))))))))))))))</f>
        <v>F-</v>
      </c>
      <c r="T20" s="937">
        <f t="shared" si="9"/>
        <v>0.4705882353</v>
      </c>
      <c r="U20" s="937" t="str">
        <f>IF(T20&lt;'PlayerGrades+'!$AI$21,"F-",IF(T20&lt;'PlayerGrades+'!$AI$20,"F",IF(T20&lt;'PlayerGrades+'!$AI$19,"F+",IF(T20&lt;'PlayerGrades+'!$AI$18,"E-",IF(T20&lt;'PlayerGrades+'!$AI$17,"E",IF(T20&lt;'PlayerGrades+'!$AI$16,"E+",IF(T20&lt;'PlayerGrades+'!$AI$15,"D-",IF(T20&lt;'PlayerGrades+'!$AI$14,"D",IF(T20&lt;'PlayerGrades+'!$AI$13,"D+",IF(T20&lt;'PlayerGrades+'!$AI$12,"C-",IF(T20&lt;'PlayerGrades+'!$AI$11,"C",IF(T20&lt;'PlayerGrades+'!$AI$10,"C+",IF(T20&lt;'PlayerGrades+'!$AI$9,"B-",IF(T20&lt;'PlayerGrades+'!$AI$8,"B",IF(T20&lt;'PlayerGrades+'!$AI$7,"B+",IF(T20&lt;'PlayerGrades+'!$AI$6,"A-",IF(T20&lt;'PlayerGrades+'!$AI$5,"A",IF(T20&lt;'PlayerGrades+'!$AI$4,"A+",IF(T20&lt;'PlayerGrades+'!$AI$3,"S-",IF(T20&lt;'PlayerGrades+'!$AI$2,"S","S+"))))))))))))))))))))</f>
        <v>F-</v>
      </c>
      <c r="V20" s="941">
        <v>1.0</v>
      </c>
      <c r="W20" s="941">
        <v>0.0</v>
      </c>
      <c r="X20" s="941">
        <v>1.0</v>
      </c>
      <c r="Y20" s="941">
        <v>0.0</v>
      </c>
      <c r="Z20" s="941">
        <v>0.0</v>
      </c>
      <c r="AA20" s="941">
        <v>27.0</v>
      </c>
      <c r="AB20" s="941">
        <v>29.0</v>
      </c>
      <c r="AC20" s="941">
        <v>-2.0</v>
      </c>
      <c r="AD20" s="941">
        <v>1.0</v>
      </c>
      <c r="AE20" s="941">
        <v>3.0</v>
      </c>
      <c r="AF20" s="941">
        <v>4.0</v>
      </c>
      <c r="AG20" s="941">
        <v>597.0</v>
      </c>
      <c r="AH20" s="941">
        <v>765.0</v>
      </c>
      <c r="AI20" s="941">
        <v>20.0</v>
      </c>
      <c r="AJ20" s="941">
        <v>7.0</v>
      </c>
      <c r="AK20" s="941">
        <v>0.0</v>
      </c>
      <c r="AL20" s="941">
        <v>0.0</v>
      </c>
      <c r="AM20" s="941">
        <v>0.0</v>
      </c>
      <c r="AN20" s="941">
        <v>0.0</v>
      </c>
      <c r="AO20" s="941">
        <v>0.0</v>
      </c>
      <c r="AP20" s="941">
        <v>0.0</v>
      </c>
      <c r="AQ20" s="941">
        <v>0.0</v>
      </c>
      <c r="AR20" s="941">
        <v>1.0</v>
      </c>
      <c r="AS20" s="941">
        <v>0.0</v>
      </c>
      <c r="AT20" s="941">
        <v>0.0</v>
      </c>
      <c r="AU20" s="941">
        <v>0.0</v>
      </c>
      <c r="AV20" s="941">
        <v>0.0</v>
      </c>
      <c r="AW20" s="941">
        <v>0.0</v>
      </c>
      <c r="AX20" s="941">
        <v>0.0</v>
      </c>
      <c r="AY20" s="941">
        <v>0.0</v>
      </c>
      <c r="AZ20" s="941">
        <v>0.0</v>
      </c>
      <c r="BA20" s="941">
        <v>0.0</v>
      </c>
      <c r="BB20" s="941">
        <v>0.0</v>
      </c>
      <c r="BC20" s="941">
        <v>0.0</v>
      </c>
      <c r="BD20" s="941">
        <v>3.0</v>
      </c>
      <c r="BE20" s="942">
        <v>6.0</v>
      </c>
      <c r="BF20" s="941">
        <v>0.0</v>
      </c>
      <c r="BG20" s="941">
        <v>1.0</v>
      </c>
    </row>
    <row r="21">
      <c r="A21" s="935" t="s">
        <v>119</v>
      </c>
      <c r="B21" s="16" t="str">
        <f>IF(C21&lt;'PlayerGrades+'!$Y$44,"F-",IF(C21&lt;'PlayerGrades+'!$Y$43,"F",IF(C21&lt;'PlayerGrades+'!$Y$42,"F+",IF(C21&lt;'PlayerGrades+'!$Y$41,"E-",IF(C21&lt;'PlayerGrades+'!$Y$40,"E",IF(C21&lt;'PlayerGrades+'!$Y$39,"E+",IF(C21&lt;'PlayerGrades+'!$Y$38,"D-",IF(C21&lt;'PlayerGrades+'!$Y$37,"D",IF(C21&lt;'PlayerGrades+'!$Y$36,"D+",IF(C21&lt;'PlayerGrades+'!$Y$35,"C-",IF(C21&lt;'PlayerGrades+'!$Y$34,"C",IF(C21&lt;'PlayerGrades+'!$Y$33,"C+",IF(C21&lt;'PlayerGrades+'!$Y$32,"B-",IF(C21&lt;'PlayerGrades+'!$Y$31,"B",IF(C21&lt;'PlayerGrades+'!$Y$30,"B+",IF(C21&lt;'PlayerGrades+'!$Y$29,"A-",IF(C21&lt;'PlayerGrades+'!$Y$28,"A",IF(C21&lt;'PlayerGrades+'!$Y$27,"A+",IF(C21&lt;'PlayerGrades+'!$Y$26,"S-",IF(C21&lt;'PlayerGrades+'!$Y$25,"S","S+"))))))))))))))))))))</f>
        <v>B+</v>
      </c>
      <c r="C21" s="936">
        <f>('PlayerGrades+'!$Y$47*(VLOOKUP(E21, 'PlayerGrades+'!$X$3:$Y$23, 2, FALSE)))+('PlayerGrades+'!$Y$48*(VLOOKUP(G21, 'PlayerGrades+'!$X$3:$Y$23, 2, FALSE)))+('PlayerGrades+'!$Y$49*(VLOOKUP(I21, 'PlayerGrades+'!$X$3:$Y$23, 2, FALSE)))+('PlayerGrades+'!$Y$50*(VLOOKUP(K21, 'PlayerGrades+'!$X$3:$Y$23, 2, FALSE)))+('PlayerGrades+'!$Y$51*(VLOOKUP(M21, 'PlayerGrades+'!$X$3:$Y$23, 2, FALSE)))+('PlayerGrades+'!$Y$52*(VLOOKUP(O21, 'PlayerGrades+'!$X$3:$Y$23, 2, FALSE)))+('PlayerGrades+'!$Y$53*(VLOOKUP(Q21, 'PlayerGrades+'!$X$3:$Y$23, 2, FALSE)))+('PlayerGrades+'!$Y$54*(VLOOKUP(S21, 'PlayerGrades+'!$X$3:$Y$23, 2, FALSE)))+('PlayerGrades+'!$Y$55*(VLOOKUP(U21, 'PlayerGrades+'!$X$3:$Y$23, 2, FALSE)))</f>
        <v>23.9</v>
      </c>
      <c r="D21" s="937">
        <f t="shared" si="1"/>
        <v>0.9411764706</v>
      </c>
      <c r="E21" s="937" t="str">
        <f>IF(D21&lt;'PlayerGrades+'!$AA$21,"F-",IF(D21&lt;'PlayerGrades+'!$AA$20,"F",IF(D21&lt;'PlayerGrades+'!$AA$19,"F+",IF(D21&lt;'PlayerGrades+'!$AA$18,"E-",IF(D21&lt;'PlayerGrades+'!$AA$17,"E",IF(D21&lt;'PlayerGrades+'!$AA$16,"E+",IF(D21&lt;'PlayerGrades+'!$AA$15,"D-",IF(D21&lt;'PlayerGrades+'!$AA$14,"D",IF(D21&lt;'PlayerGrades+'!$AA$13,"D+",IF(D21&lt;'PlayerGrades+'!$AA$12,"C-",IF(D21&lt;'PlayerGrades+'!$AA$11,"C",IF(D21&lt;'PlayerGrades+'!$AA$10,"C+",IF(D21&lt;'PlayerGrades+'!$AA$9,"B-",IF(D21&lt;'PlayerGrades+'!$AA$8,"B",IF(D21&lt;'PlayerGrades+'!$AA$7,"B+",IF(D21&lt;'PlayerGrades+'!$AA$6,"A-",IF(D21&lt;'PlayerGrades+'!$AA$5,"A",IF(D21&lt;'PlayerGrades+'!$AA$4,"A+",IF(D21&lt;'PlayerGrades+'!$AA$3,"S-",IF(D21&lt;'PlayerGrades+'!$AA$2,"S","S+"))))))))))))))))))))</f>
        <v>S+</v>
      </c>
      <c r="F21" s="937">
        <f t="shared" si="2"/>
        <v>0.3921568627</v>
      </c>
      <c r="G21" s="937" t="str">
        <f>IF(F21&lt;'PlayerGrades+'!$AB$21,"F-",IF(F21&lt;'PlayerGrades+'!$AB$20,"F",IF(F21&lt;'PlayerGrades+'!$AB$19,"F+",IF(F21&lt;'PlayerGrades+'!$AB$18,"E-",IF(F21&lt;'PlayerGrades+'!$AB$17,"E",IF(F21&lt;'PlayerGrades+'!$AB$16,"E+",IF(F21&lt;'PlayerGrades+'!$AB$15,"D-",IF(F21&lt;'PlayerGrades+'!$AB$14,"D",IF(F21&lt;'PlayerGrades+'!$AB$13,"D+",IF(F21&lt;'PlayerGrades+'!$AB$12,"C-",IF(F21&lt;'PlayerGrades+'!$AB$11,"C",IF(F21&lt;'PlayerGrades+'!$AB$10,"C+",IF(F21&lt;'PlayerGrades+'!$AB$9,"B-",IF(F21&lt;'PlayerGrades+'!$AB$8,"B",IF(F21&lt;'PlayerGrades+'!$AB$7,"B+",IF(F21&lt;'PlayerGrades+'!$AB$6,"A-",IF(F21&lt;'PlayerGrades+'!$AB$5,"A",IF(F21&lt;'PlayerGrades+'!$AB$4,"A+",IF(F21&lt;'PlayerGrades+'!$AB$3,"S-",IF(F21&lt;'PlayerGrades+'!$AB$2,"S","S+"))))))))))))))))))))</f>
        <v>A</v>
      </c>
      <c r="H21" s="937">
        <f t="shared" si="3"/>
        <v>0.07843137255</v>
      </c>
      <c r="I21" s="937" t="str">
        <f>IF(H21&lt;'PlayerGrades+'!$AC$21,"F-",IF(H21&lt;'PlayerGrades+'!$AC$20,"F",IF(H21&lt;'PlayerGrades+'!$AC$19,"F+",IF(H21&lt;'PlayerGrades+'!$AC$18,"E-",IF(H21&lt;'PlayerGrades+'!$AC$17,"E",IF(H21&lt;'PlayerGrades+'!$AC$16,"E+",IF(H21&lt;'PlayerGrades+'!$AC$15,"D-",IF(H21&lt;'PlayerGrades+'!$AC$14,"D",IF(H21&lt;'PlayerGrades+'!$AC$13,"D+",IF(H21&lt;'PlayerGrades+'!$AC$12,"C-",IF(H21&lt;'PlayerGrades+'!$AC$11,"C",IF(H21&lt;'PlayerGrades+'!$AC$10,"C+",IF(H21&lt;'PlayerGrades+'!$AC$9,"B-",IF(H21&lt;'PlayerGrades+'!$AC$8,"B",IF(H21&lt;'PlayerGrades+'!$AC$7,"B+",IF(H21&lt;'PlayerGrades+'!$AC$6,"A-",IF(H21&lt;'PlayerGrades+'!$AC$5,"A",IF(H21&lt;'PlayerGrades+'!$AC$4,"A+",IF(H21&lt;'PlayerGrades+'!$AC$3,"S-",IF(H21&lt;'PlayerGrades+'!$AC$2,"S","S+"))))))))))))))))))))</f>
        <v>D-</v>
      </c>
      <c r="J21" s="937">
        <f t="shared" si="4"/>
        <v>0</v>
      </c>
      <c r="K21" s="937" t="str">
        <f>IF(J21&lt;'PlayerGrades+'!$AD$21,"F-",IF(J21&lt;'PlayerGrades+'!$AD$20,"F",IF(J21&lt;'PlayerGrades+'!$AD$19,"F+",IF(J21&lt;'PlayerGrades+'!$AD$18,"E-",IF(J21&lt;'PlayerGrades+'!$AD$17,"E",IF(J21&lt;'PlayerGrades+'!$AD$16,"E+",IF(J21&lt;'PlayerGrades+'!$AD$15,"D-",IF(J21&lt;'PlayerGrades+'!$AD$14,"D",IF(J21&lt;'PlayerGrades+'!$AD$13,"D+",IF(J21&lt;'PlayerGrades+'!$AD$12,"C-",IF(J21&lt;'PlayerGrades+'!$AD$11,"C",IF(J21&lt;'PlayerGrades+'!$AD$10,"C+",IF(J21&lt;'PlayerGrades+'!$AD$9,"B-",IF(J21&lt;'PlayerGrades+'!$AD$8,"B",IF(J21&lt;'PlayerGrades+'!$AD$7,"B+",IF(J21&lt;'PlayerGrades+'!$AD$6,"A-",IF(J21&lt;'PlayerGrades+'!$AD$5,"A",IF(J21&lt;'PlayerGrades+'!$AD$4,"A+",IF(J21&lt;'PlayerGrades+'!$AD$3,"S-",IF(J21&lt;'PlayerGrades+'!$AD$2,"S","S+"))))))))))))))))))))</f>
        <v>F-</v>
      </c>
      <c r="L21" s="677">
        <f t="shared" si="5"/>
        <v>0.5490196078</v>
      </c>
      <c r="M21" s="938" t="str">
        <f>IF(L21&lt;'PlayerGrades+'!$AE$21,"F-",IF(L21&lt;'PlayerGrades+'!$AE$20,"F",IF(L21&lt;'PlayerGrades+'!$AE$19,"F+",IF(L21&lt;'PlayerGrades+'!$AE$18,"E-",IF(L21&lt;'PlayerGrades+'!$AE$17,"E",IF(L21&lt;'PlayerGrades+'!$AE$16,"E+",IF(L21&lt;'PlayerGrades+'!$AE$15,"D-",IF(L21&lt;'PlayerGrades+'!$AE$14,"D",IF(L21&lt;'PlayerGrades+'!$AE$13,"D+",IF(L21&lt;'PlayerGrades+'!$AE$12,"C-",IF(L21&lt;'PlayerGrades+'!$AE$11,"C",IF(L21&lt;'PlayerGrades+'!$AE$10,"C+",IF(L21&lt;'PlayerGrades+'!$AE$9,"B-",IF(L21&lt;'PlayerGrades+'!$AE$8,"B",IF(L21&lt;'PlayerGrades+'!$AE$7,"B+",IF(L21&lt;'PlayerGrades+'!$AE$6,"A-",IF(L21&lt;'PlayerGrades+'!$AE$5,"A",IF(L21&lt;'PlayerGrades+'!$AE$4,"A+",IF(L21&lt;'PlayerGrades+'!$AE$3,"S-",IF(L21&lt;'PlayerGrades+'!$AE$2,"S","S+"))))))))))))))))))))</f>
        <v>A</v>
      </c>
      <c r="N21" s="937">
        <f t="shared" si="6"/>
        <v>0.1568627451</v>
      </c>
      <c r="O21" s="937" t="str">
        <f>IF(N21&lt;'PlayerGrades+'!$AF$21,"F-",IF(N21&lt;'PlayerGrades+'!$AF$20,"F",IF(N21&lt;'PlayerGrades+'!$AF$19,"F+",IF(N21&lt;'PlayerGrades+'!$AF$18,"E-",IF(N21&lt;'PlayerGrades+'!$AF$17,"E",IF(N21&lt;'PlayerGrades+'!$AF$16,"E+",IF(N21&lt;'PlayerGrades+'!$AF$15,"D-",IF(N21&lt;'PlayerGrades+'!$AF$14,"D",IF(N21&lt;'PlayerGrades+'!$AF$13,"D+",IF(N21&lt;'PlayerGrades+'!$AF$12,"C-",IF(N21&lt;'PlayerGrades+'!$AF$11,"C",IF(N21&lt;'PlayerGrades+'!$AF$10,"C+",IF(N21&lt;'PlayerGrades+'!$AF$9,"B-",IF(N21&lt;'PlayerGrades+'!$AF$8,"B",IF(N21&lt;'PlayerGrades+'!$AF$7,"B+",IF(N21&lt;'PlayerGrades+'!$AF$6,"A-",IF(N21&lt;'PlayerGrades+'!$AF$5,"A",IF(N21&lt;'PlayerGrades+'!$AF$4,"A+",IF(N21&lt;'PlayerGrades+'!$AF$3,"S-",IF(N21&lt;'PlayerGrades+'!$AF$2,"S","S+"))))))))))))))))))))</f>
        <v>S+</v>
      </c>
      <c r="P21" s="937">
        <f t="shared" si="7"/>
        <v>0</v>
      </c>
      <c r="Q21" s="937" t="str">
        <f>IF(P21&lt;'PlayerGrades+'!$AG$21,"F-",IF(P21&lt;'PlayerGrades+'!$AG$20,"F",IF(P21&lt;'PlayerGrades+'!$AG$19,"F+",IF(P21&lt;'PlayerGrades+'!$AG$18,"E-",IF(P21&lt;'PlayerGrades+'!$AG$17,"E",IF(P21&lt;'PlayerGrades+'!$AG$16,"E+",IF(P21&lt;'PlayerGrades+'!$AG$15,"D-",IF(P21&lt;'PlayerGrades+'!$AG$14,"D",IF(P21&lt;'PlayerGrades+'!$AG$13,"D+",IF(P21&lt;'PlayerGrades+'!$AG$12,"C-",IF(P21&lt;'PlayerGrades+'!$AG$11,"C",IF(P21&lt;'PlayerGrades+'!$AG$10,"C+",IF(P21&lt;'PlayerGrades+'!$AG$9,"B-",IF(P21&lt;'PlayerGrades+'!$AG$8,"B",IF(P21&lt;'PlayerGrades+'!$AG$7,"B+",IF(P21&lt;'PlayerGrades+'!$AG$6,"A-",IF(P21&lt;'PlayerGrades+'!$AG$5,"A",IF(P21&lt;'PlayerGrades+'!$AG$4,"A+",IF(P21&lt;'PlayerGrades+'!$AG$3,"S-",IF(P21&lt;'PlayerGrades+'!$AG$2,"S","S+"))))))))))))))))))))</f>
        <v>F</v>
      </c>
      <c r="R21" s="937">
        <f t="shared" si="8"/>
        <v>0.3137254902</v>
      </c>
      <c r="S21" s="937" t="str">
        <f>IF(R21&lt;'PlayerGrades+'!$AH$21,"F-",IF(R21&lt;'PlayerGrades+'!$AH$20,"F",IF(R21&lt;'PlayerGrades+'!$AH$19,"F+",IF(R21&lt;'PlayerGrades+'!$AH$18,"E-",IF(R21&lt;'PlayerGrades+'!$AH$17,"E",IF(R21&lt;'PlayerGrades+'!$AH$16,"E+",IF(R21&lt;'PlayerGrades+'!$AH$15,"D-",IF(R21&lt;'PlayerGrades+'!$AH$14,"D",IF(R21&lt;'PlayerGrades+'!$AH$13,"D+",IF(R21&lt;'PlayerGrades+'!$AH$12,"C-",IF(R21&lt;'PlayerGrades+'!$AH$11,"C",IF(R21&lt;'PlayerGrades+'!$AH$10,"C+",IF(R21&lt;'PlayerGrades+'!$AH$9,"B-",IF(R21&lt;'PlayerGrades+'!$AH$8,"B",IF(R21&lt;'PlayerGrades+'!$AH$7,"B+",IF(R21&lt;'PlayerGrades+'!$AH$6,"A-",IF(R21&lt;'PlayerGrades+'!$AH$5,"A",IF(R21&lt;'PlayerGrades+'!$AH$4,"A+",IF(R21&lt;'PlayerGrades+'!$AH$3,"S-",IF(R21&lt;'PlayerGrades+'!$AH$2,"S","S+"))))))))))))))))))))</f>
        <v>F-</v>
      </c>
      <c r="T21" s="937">
        <f t="shared" si="9"/>
        <v>2.549019608</v>
      </c>
      <c r="U21" s="937" t="str">
        <f>IF(T21&lt;'PlayerGrades+'!$AI$21,"F-",IF(T21&lt;'PlayerGrades+'!$AI$20,"F",IF(T21&lt;'PlayerGrades+'!$AI$19,"F+",IF(T21&lt;'PlayerGrades+'!$AI$18,"E-",IF(T21&lt;'PlayerGrades+'!$AI$17,"E",IF(T21&lt;'PlayerGrades+'!$AI$16,"E+",IF(T21&lt;'PlayerGrades+'!$AI$15,"D-",IF(T21&lt;'PlayerGrades+'!$AI$14,"D",IF(T21&lt;'PlayerGrades+'!$AI$13,"D+",IF(T21&lt;'PlayerGrades+'!$AI$12,"C-",IF(T21&lt;'PlayerGrades+'!$AI$11,"C",IF(T21&lt;'PlayerGrades+'!$AI$10,"C+",IF(T21&lt;'PlayerGrades+'!$AI$9,"B-",IF(T21&lt;'PlayerGrades+'!$AI$8,"B",IF(T21&lt;'PlayerGrades+'!$AI$7,"B+",IF(T21&lt;'PlayerGrades+'!$AI$6,"A-",IF(T21&lt;'PlayerGrades+'!$AI$5,"A",IF(T21&lt;'PlayerGrades+'!$AI$4,"A+",IF(T21&lt;'PlayerGrades+'!$AI$3,"S-",IF(T21&lt;'PlayerGrades+'!$AI$2,"S","S+"))))))))))))))))))))</f>
        <v>S+</v>
      </c>
      <c r="V21" s="941">
        <v>1.0</v>
      </c>
      <c r="W21" s="941">
        <v>0.0</v>
      </c>
      <c r="X21" s="941">
        <v>1.0</v>
      </c>
      <c r="Y21" s="941">
        <v>1.0</v>
      </c>
      <c r="Z21" s="941">
        <v>11.0</v>
      </c>
      <c r="AA21" s="941">
        <v>39.0</v>
      </c>
      <c r="AB21" s="941">
        <v>34.0</v>
      </c>
      <c r="AC21" s="941">
        <v>5.0</v>
      </c>
      <c r="AD21" s="941">
        <v>0.0</v>
      </c>
      <c r="AE21" s="941">
        <v>4.0</v>
      </c>
      <c r="AF21" s="941">
        <v>3.0</v>
      </c>
      <c r="AG21" s="941">
        <v>587.0</v>
      </c>
      <c r="AH21" s="941">
        <v>765.0</v>
      </c>
      <c r="AI21" s="941">
        <v>17.0</v>
      </c>
      <c r="AJ21" s="941">
        <v>132.0</v>
      </c>
      <c r="AK21" s="941">
        <v>0.0</v>
      </c>
      <c r="AL21" s="941">
        <v>0.0</v>
      </c>
      <c r="AM21" s="941">
        <v>0.0</v>
      </c>
      <c r="AN21" s="941">
        <v>0.0</v>
      </c>
      <c r="AO21" s="941">
        <v>0.0</v>
      </c>
      <c r="AP21" s="941">
        <v>0.0</v>
      </c>
      <c r="AQ21" s="941">
        <v>0.0</v>
      </c>
      <c r="AR21" s="941">
        <v>7.0</v>
      </c>
      <c r="AS21" s="941">
        <v>2.0</v>
      </c>
      <c r="AT21" s="941">
        <v>1.0</v>
      </c>
      <c r="AU21" s="941">
        <v>0.0</v>
      </c>
      <c r="AV21" s="941">
        <v>0.0</v>
      </c>
      <c r="AW21" s="941">
        <v>0.0</v>
      </c>
      <c r="AX21" s="941">
        <v>0.0</v>
      </c>
      <c r="AY21" s="941">
        <v>0.0</v>
      </c>
      <c r="AZ21" s="941">
        <v>0.0</v>
      </c>
      <c r="BA21" s="941">
        <v>0.0</v>
      </c>
      <c r="BB21" s="941">
        <v>1.0</v>
      </c>
      <c r="BC21" s="941">
        <v>0.0</v>
      </c>
      <c r="BD21" s="941">
        <v>4.0</v>
      </c>
      <c r="BE21" s="942">
        <v>7.0</v>
      </c>
      <c r="BF21" s="941">
        <v>2.0</v>
      </c>
      <c r="BG21" s="941">
        <v>1.0</v>
      </c>
    </row>
    <row r="22">
      <c r="A22" s="935" t="s">
        <v>140</v>
      </c>
      <c r="B22" s="16" t="str">
        <f>IF(C22&lt;'PlayerGrades+'!$Y$44,"F-",IF(C22&lt;'PlayerGrades+'!$Y$43,"F",IF(C22&lt;'PlayerGrades+'!$Y$42,"F+",IF(C22&lt;'PlayerGrades+'!$Y$41,"E-",IF(C22&lt;'PlayerGrades+'!$Y$40,"E",IF(C22&lt;'PlayerGrades+'!$Y$39,"E+",IF(C22&lt;'PlayerGrades+'!$Y$38,"D-",IF(C22&lt;'PlayerGrades+'!$Y$37,"D",IF(C22&lt;'PlayerGrades+'!$Y$36,"D+",IF(C22&lt;'PlayerGrades+'!$Y$35,"C-",IF(C22&lt;'PlayerGrades+'!$Y$34,"C",IF(C22&lt;'PlayerGrades+'!$Y$33,"C+",IF(C22&lt;'PlayerGrades+'!$Y$32,"B-",IF(C22&lt;'PlayerGrades+'!$Y$31,"B",IF(C22&lt;'PlayerGrades+'!$Y$30,"B+",IF(C22&lt;'PlayerGrades+'!$Y$29,"A-",IF(C22&lt;'PlayerGrades+'!$Y$28,"A",IF(C22&lt;'PlayerGrades+'!$Y$27,"A+",IF(C22&lt;'PlayerGrades+'!$Y$26,"S-",IF(C22&lt;'PlayerGrades+'!$Y$25,"S","S+"))))))))))))))))))))</f>
        <v>C+</v>
      </c>
      <c r="C22" s="936">
        <f>('PlayerGrades+'!$Y$47*(VLOOKUP(E22, 'PlayerGrades+'!$X$3:$Y$23, 2, FALSE)))+('PlayerGrades+'!$Y$48*(VLOOKUP(G22, 'PlayerGrades+'!$X$3:$Y$23, 2, FALSE)))+('PlayerGrades+'!$Y$49*(VLOOKUP(I22, 'PlayerGrades+'!$X$3:$Y$23, 2, FALSE)))+('PlayerGrades+'!$Y$50*(VLOOKUP(K22, 'PlayerGrades+'!$X$3:$Y$23, 2, FALSE)))+('PlayerGrades+'!$Y$51*(VLOOKUP(M22, 'PlayerGrades+'!$X$3:$Y$23, 2, FALSE)))+('PlayerGrades+'!$Y$52*(VLOOKUP(O22, 'PlayerGrades+'!$X$3:$Y$23, 2, FALSE)))+('PlayerGrades+'!$Y$53*(VLOOKUP(Q22, 'PlayerGrades+'!$X$3:$Y$23, 2, FALSE)))+('PlayerGrades+'!$Y$54*(VLOOKUP(S22, 'PlayerGrades+'!$X$3:$Y$23, 2, FALSE)))+('PlayerGrades+'!$Y$55*(VLOOKUP(U22, 'PlayerGrades+'!$X$3:$Y$23, 2, FALSE)))</f>
        <v>21.25</v>
      </c>
      <c r="D22" s="937">
        <f t="shared" si="1"/>
        <v>0.07843137255</v>
      </c>
      <c r="E22" s="937" t="str">
        <f>IF(D22&lt;'PlayerGrades+'!$AA$21,"F-",IF(D22&lt;'PlayerGrades+'!$AA$20,"F",IF(D22&lt;'PlayerGrades+'!$AA$19,"F+",IF(D22&lt;'PlayerGrades+'!$AA$18,"E-",IF(D22&lt;'PlayerGrades+'!$AA$17,"E",IF(D22&lt;'PlayerGrades+'!$AA$16,"E+",IF(D22&lt;'PlayerGrades+'!$AA$15,"D-",IF(D22&lt;'PlayerGrades+'!$AA$14,"D",IF(D22&lt;'PlayerGrades+'!$AA$13,"D+",IF(D22&lt;'PlayerGrades+'!$AA$12,"C-",IF(D22&lt;'PlayerGrades+'!$AA$11,"C",IF(D22&lt;'PlayerGrades+'!$AA$10,"C+",IF(D22&lt;'PlayerGrades+'!$AA$9,"B-",IF(D22&lt;'PlayerGrades+'!$AA$8,"B",IF(D22&lt;'PlayerGrades+'!$AA$7,"B+",IF(D22&lt;'PlayerGrades+'!$AA$6,"A-",IF(D22&lt;'PlayerGrades+'!$AA$5,"A",IF(D22&lt;'PlayerGrades+'!$AA$4,"A+",IF(D22&lt;'PlayerGrades+'!$AA$3,"S-",IF(D22&lt;'PlayerGrades+'!$AA$2,"S","S+"))))))))))))))))))))</f>
        <v>B</v>
      </c>
      <c r="F22" s="937">
        <f t="shared" si="2"/>
        <v>0.07843137255</v>
      </c>
      <c r="G22" s="937" t="str">
        <f>IF(F22&lt;'PlayerGrades+'!$AB$21,"F-",IF(F22&lt;'PlayerGrades+'!$AB$20,"F",IF(F22&lt;'PlayerGrades+'!$AB$19,"F+",IF(F22&lt;'PlayerGrades+'!$AB$18,"E-",IF(F22&lt;'PlayerGrades+'!$AB$17,"E",IF(F22&lt;'PlayerGrades+'!$AB$16,"E+",IF(F22&lt;'PlayerGrades+'!$AB$15,"D-",IF(F22&lt;'PlayerGrades+'!$AB$14,"D",IF(F22&lt;'PlayerGrades+'!$AB$13,"D+",IF(F22&lt;'PlayerGrades+'!$AB$12,"C-",IF(F22&lt;'PlayerGrades+'!$AB$11,"C",IF(F22&lt;'PlayerGrades+'!$AB$10,"C+",IF(F22&lt;'PlayerGrades+'!$AB$9,"B-",IF(F22&lt;'PlayerGrades+'!$AB$8,"B",IF(F22&lt;'PlayerGrades+'!$AB$7,"B+",IF(F22&lt;'PlayerGrades+'!$AB$6,"A-",IF(F22&lt;'PlayerGrades+'!$AB$5,"A",IF(F22&lt;'PlayerGrades+'!$AB$4,"A+",IF(F22&lt;'PlayerGrades+'!$AB$3,"S-",IF(F22&lt;'PlayerGrades+'!$AB$2,"S","S+"))))))))))))))))))))</f>
        <v>B</v>
      </c>
      <c r="H22" s="937">
        <f t="shared" si="3"/>
        <v>0</v>
      </c>
      <c r="I22" s="937" t="str">
        <f>IF(H22&lt;'PlayerGrades+'!$AC$21,"F-",IF(H22&lt;'PlayerGrades+'!$AC$20,"F",IF(H22&lt;'PlayerGrades+'!$AC$19,"F+",IF(H22&lt;'PlayerGrades+'!$AC$18,"E-",IF(H22&lt;'PlayerGrades+'!$AC$17,"E",IF(H22&lt;'PlayerGrades+'!$AC$16,"E+",IF(H22&lt;'PlayerGrades+'!$AC$15,"D-",IF(H22&lt;'PlayerGrades+'!$AC$14,"D",IF(H22&lt;'PlayerGrades+'!$AC$13,"D+",IF(H22&lt;'PlayerGrades+'!$AC$12,"C-",IF(H22&lt;'PlayerGrades+'!$AC$11,"C",IF(H22&lt;'PlayerGrades+'!$AC$10,"C+",IF(H22&lt;'PlayerGrades+'!$AC$9,"B-",IF(H22&lt;'PlayerGrades+'!$AC$8,"B",IF(H22&lt;'PlayerGrades+'!$AC$7,"B+",IF(H22&lt;'PlayerGrades+'!$AC$6,"A-",IF(H22&lt;'PlayerGrades+'!$AC$5,"A",IF(H22&lt;'PlayerGrades+'!$AC$4,"A+",IF(H22&lt;'PlayerGrades+'!$AC$3,"S-",IF(H22&lt;'PlayerGrades+'!$AC$2,"S","S+"))))))))))))))))))))</f>
        <v>F-</v>
      </c>
      <c r="J22" s="937">
        <f t="shared" si="4"/>
        <v>0.07843137255</v>
      </c>
      <c r="K22" s="937" t="str">
        <f>IF(J22&lt;'PlayerGrades+'!$AD$21,"F-",IF(J22&lt;'PlayerGrades+'!$AD$20,"F",IF(J22&lt;'PlayerGrades+'!$AD$19,"F+",IF(J22&lt;'PlayerGrades+'!$AD$18,"E-",IF(J22&lt;'PlayerGrades+'!$AD$17,"E",IF(J22&lt;'PlayerGrades+'!$AD$16,"E+",IF(J22&lt;'PlayerGrades+'!$AD$15,"D-",IF(J22&lt;'PlayerGrades+'!$AD$14,"D",IF(J22&lt;'PlayerGrades+'!$AD$13,"D+",IF(J22&lt;'PlayerGrades+'!$AD$12,"C-",IF(J22&lt;'PlayerGrades+'!$AD$11,"C",IF(J22&lt;'PlayerGrades+'!$AD$10,"C+",IF(J22&lt;'PlayerGrades+'!$AD$9,"B-",IF(J22&lt;'PlayerGrades+'!$AD$8,"B",IF(J22&lt;'PlayerGrades+'!$AD$7,"B+",IF(J22&lt;'PlayerGrades+'!$AD$6,"A-",IF(J22&lt;'PlayerGrades+'!$AD$5,"A",IF(J22&lt;'PlayerGrades+'!$AD$4,"A+",IF(J22&lt;'PlayerGrades+'!$AD$3,"S-",IF(J22&lt;'PlayerGrades+'!$AD$2,"S","S+"))))))))))))))))))))</f>
        <v>A+</v>
      </c>
      <c r="L22" s="677">
        <f t="shared" si="5"/>
        <v>0.5490196078</v>
      </c>
      <c r="M22" s="938" t="str">
        <f>IF(L22&lt;'PlayerGrades+'!$AE$21,"F-",IF(L22&lt;'PlayerGrades+'!$AE$20,"F",IF(L22&lt;'PlayerGrades+'!$AE$19,"F+",IF(L22&lt;'PlayerGrades+'!$AE$18,"E-",IF(L22&lt;'PlayerGrades+'!$AE$17,"E",IF(L22&lt;'PlayerGrades+'!$AE$16,"E+",IF(L22&lt;'PlayerGrades+'!$AE$15,"D-",IF(L22&lt;'PlayerGrades+'!$AE$14,"D",IF(L22&lt;'PlayerGrades+'!$AE$13,"D+",IF(L22&lt;'PlayerGrades+'!$AE$12,"C-",IF(L22&lt;'PlayerGrades+'!$AE$11,"C",IF(L22&lt;'PlayerGrades+'!$AE$10,"C+",IF(L22&lt;'PlayerGrades+'!$AE$9,"B-",IF(L22&lt;'PlayerGrades+'!$AE$8,"B",IF(L22&lt;'PlayerGrades+'!$AE$7,"B+",IF(L22&lt;'PlayerGrades+'!$AE$6,"A-",IF(L22&lt;'PlayerGrades+'!$AE$5,"A",IF(L22&lt;'PlayerGrades+'!$AE$4,"A+",IF(L22&lt;'PlayerGrades+'!$AE$3,"S-",IF(L22&lt;'PlayerGrades+'!$AE$2,"S","S+"))))))))))))))))))))</f>
        <v>A</v>
      </c>
      <c r="N22" s="937">
        <f t="shared" si="6"/>
        <v>0.07843137255</v>
      </c>
      <c r="O22" s="937" t="str">
        <f>IF(N22&lt;'PlayerGrades+'!$AF$21,"F-",IF(N22&lt;'PlayerGrades+'!$AF$20,"F",IF(N22&lt;'PlayerGrades+'!$AF$19,"F+",IF(N22&lt;'PlayerGrades+'!$AF$18,"E-",IF(N22&lt;'PlayerGrades+'!$AF$17,"E",IF(N22&lt;'PlayerGrades+'!$AF$16,"E+",IF(N22&lt;'PlayerGrades+'!$AF$15,"D-",IF(N22&lt;'PlayerGrades+'!$AF$14,"D",IF(N22&lt;'PlayerGrades+'!$AF$13,"D+",IF(N22&lt;'PlayerGrades+'!$AF$12,"C-",IF(N22&lt;'PlayerGrades+'!$AF$11,"C",IF(N22&lt;'PlayerGrades+'!$AF$10,"C+",IF(N22&lt;'PlayerGrades+'!$AF$9,"B-",IF(N22&lt;'PlayerGrades+'!$AF$8,"B",IF(N22&lt;'PlayerGrades+'!$AF$7,"B+",IF(N22&lt;'PlayerGrades+'!$AF$6,"A-",IF(N22&lt;'PlayerGrades+'!$AF$5,"A",IF(N22&lt;'PlayerGrades+'!$AF$4,"A+",IF(N22&lt;'PlayerGrades+'!$AF$3,"S-",IF(N22&lt;'PlayerGrades+'!$AF$2,"S","S+"))))))))))))))))))))</f>
        <v>B-</v>
      </c>
      <c r="P22" s="937">
        <f t="shared" si="7"/>
        <v>0.07843137255</v>
      </c>
      <c r="Q22" s="937" t="str">
        <f>IF(P22&lt;'PlayerGrades+'!$AG$21,"F-",IF(P22&lt;'PlayerGrades+'!$AG$20,"F",IF(P22&lt;'PlayerGrades+'!$AG$19,"F+",IF(P22&lt;'PlayerGrades+'!$AG$18,"E-",IF(P22&lt;'PlayerGrades+'!$AG$17,"E",IF(P22&lt;'PlayerGrades+'!$AG$16,"E+",IF(P22&lt;'PlayerGrades+'!$AG$15,"D-",IF(P22&lt;'PlayerGrades+'!$AG$14,"D",IF(P22&lt;'PlayerGrades+'!$AG$13,"D+",IF(P22&lt;'PlayerGrades+'!$AG$12,"C-",IF(P22&lt;'PlayerGrades+'!$AG$11,"C",IF(P22&lt;'PlayerGrades+'!$AG$10,"C+",IF(P22&lt;'PlayerGrades+'!$AG$9,"B-",IF(P22&lt;'PlayerGrades+'!$AG$8,"B",IF(P22&lt;'PlayerGrades+'!$AG$7,"B+",IF(P22&lt;'PlayerGrades+'!$AG$6,"A-",IF(P22&lt;'PlayerGrades+'!$AG$5,"A",IF(P22&lt;'PlayerGrades+'!$AG$4,"A+",IF(P22&lt;'PlayerGrades+'!$AG$3,"S-",IF(P22&lt;'PlayerGrades+'!$AG$2,"S","S+"))))))))))))))))))))</f>
        <v>S-</v>
      </c>
      <c r="R22" s="937">
        <f t="shared" si="8"/>
        <v>0.1568627451</v>
      </c>
      <c r="S22" s="937" t="str">
        <f>IF(R22&lt;'PlayerGrades+'!$AH$21,"F-",IF(R22&lt;'PlayerGrades+'!$AH$20,"F",IF(R22&lt;'PlayerGrades+'!$AH$19,"F+",IF(R22&lt;'PlayerGrades+'!$AH$18,"E-",IF(R22&lt;'PlayerGrades+'!$AH$17,"E",IF(R22&lt;'PlayerGrades+'!$AH$16,"E+",IF(R22&lt;'PlayerGrades+'!$AH$15,"D-",IF(R22&lt;'PlayerGrades+'!$AH$14,"D",IF(R22&lt;'PlayerGrades+'!$AH$13,"D+",IF(R22&lt;'PlayerGrades+'!$AH$12,"C-",IF(R22&lt;'PlayerGrades+'!$AH$11,"C",IF(R22&lt;'PlayerGrades+'!$AH$10,"C+",IF(R22&lt;'PlayerGrades+'!$AH$9,"B-",IF(R22&lt;'PlayerGrades+'!$AH$8,"B",IF(R22&lt;'PlayerGrades+'!$AH$7,"B+",IF(R22&lt;'PlayerGrades+'!$AH$6,"A-",IF(R22&lt;'PlayerGrades+'!$AH$5,"A",IF(R22&lt;'PlayerGrades+'!$AH$4,"A+",IF(R22&lt;'PlayerGrades+'!$AH$3,"S-",IF(R22&lt;'PlayerGrades+'!$AH$2,"S","S+"))))))))))))))))))))</f>
        <v>F-</v>
      </c>
      <c r="T22" s="937">
        <f t="shared" si="9"/>
        <v>1.549019608</v>
      </c>
      <c r="U22" s="937" t="str">
        <f>IF(T22&lt;'PlayerGrades+'!$AI$21,"F-",IF(T22&lt;'PlayerGrades+'!$AI$20,"F",IF(T22&lt;'PlayerGrades+'!$AI$19,"F+",IF(T22&lt;'PlayerGrades+'!$AI$18,"E-",IF(T22&lt;'PlayerGrades+'!$AI$17,"E",IF(T22&lt;'PlayerGrades+'!$AI$16,"E+",IF(T22&lt;'PlayerGrades+'!$AI$15,"D-",IF(T22&lt;'PlayerGrades+'!$AI$14,"D",IF(T22&lt;'PlayerGrades+'!$AI$13,"D+",IF(T22&lt;'PlayerGrades+'!$AI$12,"C-",IF(T22&lt;'PlayerGrades+'!$AI$11,"C",IF(T22&lt;'PlayerGrades+'!$AI$10,"C+",IF(T22&lt;'PlayerGrades+'!$AI$9,"B-",IF(T22&lt;'PlayerGrades+'!$AI$8,"B",IF(T22&lt;'PlayerGrades+'!$AI$7,"B+",IF(T22&lt;'PlayerGrades+'!$AI$6,"A-",IF(T22&lt;'PlayerGrades+'!$AI$5,"A",IF(T22&lt;'PlayerGrades+'!$AI$4,"A+",IF(T22&lt;'PlayerGrades+'!$AI$3,"S-",IF(T22&lt;'PlayerGrades+'!$AI$2,"S","S+"))))))))))))))))))))</f>
        <v>A+</v>
      </c>
      <c r="V22" s="941">
        <v>1.0</v>
      </c>
      <c r="W22" s="941">
        <v>1.0</v>
      </c>
      <c r="X22" s="941">
        <v>0.0</v>
      </c>
      <c r="Y22" s="941">
        <v>0.0</v>
      </c>
      <c r="Z22" s="941">
        <v>1.0</v>
      </c>
      <c r="AA22" s="941">
        <v>30.0</v>
      </c>
      <c r="AB22" s="941">
        <v>29.0</v>
      </c>
      <c r="AC22" s="941">
        <v>1.0</v>
      </c>
      <c r="AD22" s="941">
        <v>2.0</v>
      </c>
      <c r="AE22" s="941">
        <v>7.0</v>
      </c>
      <c r="AF22" s="941">
        <v>0.0</v>
      </c>
      <c r="AG22" s="941">
        <v>597.0</v>
      </c>
      <c r="AH22" s="941">
        <v>765.0</v>
      </c>
      <c r="AI22" s="941">
        <v>20.0</v>
      </c>
      <c r="AJ22" s="941">
        <v>3.0</v>
      </c>
      <c r="AK22" s="941">
        <v>0.0</v>
      </c>
      <c r="AL22" s="941">
        <v>1.0</v>
      </c>
      <c r="AM22" s="941">
        <v>0.0</v>
      </c>
      <c r="AN22" s="941">
        <v>0.0</v>
      </c>
      <c r="AO22" s="941">
        <v>0.0</v>
      </c>
      <c r="AP22" s="941">
        <v>1.0</v>
      </c>
      <c r="AQ22" s="941">
        <v>0.0</v>
      </c>
      <c r="AR22" s="941">
        <v>7.0</v>
      </c>
      <c r="AS22" s="941">
        <v>1.0</v>
      </c>
      <c r="AT22" s="941">
        <v>1.0</v>
      </c>
      <c r="AU22" s="941">
        <v>0.0</v>
      </c>
      <c r="AV22" s="941">
        <v>0.0</v>
      </c>
      <c r="AW22" s="941">
        <v>0.0</v>
      </c>
      <c r="AX22" s="941">
        <v>0.0</v>
      </c>
      <c r="AY22" s="941">
        <v>0.0</v>
      </c>
      <c r="AZ22" s="941">
        <v>0.0</v>
      </c>
      <c r="BA22" s="941">
        <v>0.0</v>
      </c>
      <c r="BB22" s="941">
        <v>0.0</v>
      </c>
      <c r="BC22" s="941">
        <v>0.0</v>
      </c>
      <c r="BD22" s="941">
        <v>0.0</v>
      </c>
      <c r="BE22" s="942">
        <v>7.0</v>
      </c>
      <c r="BF22" s="941">
        <v>1.0</v>
      </c>
      <c r="BG22" s="941">
        <v>0.0</v>
      </c>
    </row>
    <row r="23">
      <c r="A23" s="935" t="s">
        <v>151</v>
      </c>
      <c r="B23" s="16" t="str">
        <f>IF(C23&lt;'PlayerGrades+'!$Y$44,"F-",IF(C23&lt;'PlayerGrades+'!$Y$43,"F",IF(C23&lt;'PlayerGrades+'!$Y$42,"F+",IF(C23&lt;'PlayerGrades+'!$Y$41,"E-",IF(C23&lt;'PlayerGrades+'!$Y$40,"E",IF(C23&lt;'PlayerGrades+'!$Y$39,"E+",IF(C23&lt;'PlayerGrades+'!$Y$38,"D-",IF(C23&lt;'PlayerGrades+'!$Y$37,"D",IF(C23&lt;'PlayerGrades+'!$Y$36,"D+",IF(C23&lt;'PlayerGrades+'!$Y$35,"C-",IF(C23&lt;'PlayerGrades+'!$Y$34,"C",IF(C23&lt;'PlayerGrades+'!$Y$33,"C+",IF(C23&lt;'PlayerGrades+'!$Y$32,"B-",IF(C23&lt;'PlayerGrades+'!$Y$31,"B",IF(C23&lt;'PlayerGrades+'!$Y$30,"B+",IF(C23&lt;'PlayerGrades+'!$Y$29,"A-",IF(C23&lt;'PlayerGrades+'!$Y$28,"A",IF(C23&lt;'PlayerGrades+'!$Y$27,"A+",IF(C23&lt;'PlayerGrades+'!$Y$26,"S-",IF(C23&lt;'PlayerGrades+'!$Y$25,"S","S+"))))))))))))))))))))</f>
        <v>F-</v>
      </c>
      <c r="C23" s="936">
        <f>('PlayerGrades+'!$Y$47*(VLOOKUP(E23, 'PlayerGrades+'!$X$3:$Y$23, 2, FALSE)))+('PlayerGrades+'!$Y$48*(VLOOKUP(G23, 'PlayerGrades+'!$X$3:$Y$23, 2, FALSE)))+('PlayerGrades+'!$Y$49*(VLOOKUP(I23, 'PlayerGrades+'!$X$3:$Y$23, 2, FALSE)))+('PlayerGrades+'!$Y$50*(VLOOKUP(K23, 'PlayerGrades+'!$X$3:$Y$23, 2, FALSE)))+('PlayerGrades+'!$Y$51*(VLOOKUP(M23, 'PlayerGrades+'!$X$3:$Y$23, 2, FALSE)))+('PlayerGrades+'!$Y$52*(VLOOKUP(O23, 'PlayerGrades+'!$X$3:$Y$23, 2, FALSE)))+('PlayerGrades+'!$Y$53*(VLOOKUP(Q23, 'PlayerGrades+'!$X$3:$Y$23, 2, FALSE)))+('PlayerGrades+'!$Y$54*(VLOOKUP(S23, 'PlayerGrades+'!$X$3:$Y$23, 2, FALSE)))+('PlayerGrades+'!$Y$55*(VLOOKUP(U23, 'PlayerGrades+'!$X$3:$Y$23, 2, FALSE)))</f>
        <v>5.15</v>
      </c>
      <c r="D23" s="937">
        <f t="shared" si="1"/>
        <v>0</v>
      </c>
      <c r="E23" s="937" t="str">
        <f>IF(D23&lt;'PlayerGrades+'!$AA$21,"F-",IF(D23&lt;'PlayerGrades+'!$AA$20,"F",IF(D23&lt;'PlayerGrades+'!$AA$19,"F+",IF(D23&lt;'PlayerGrades+'!$AA$18,"E-",IF(D23&lt;'PlayerGrades+'!$AA$17,"E",IF(D23&lt;'PlayerGrades+'!$AA$16,"E+",IF(D23&lt;'PlayerGrades+'!$AA$15,"D-",IF(D23&lt;'PlayerGrades+'!$AA$14,"D",IF(D23&lt;'PlayerGrades+'!$AA$13,"D+",IF(D23&lt;'PlayerGrades+'!$AA$12,"C-",IF(D23&lt;'PlayerGrades+'!$AA$11,"C",IF(D23&lt;'PlayerGrades+'!$AA$10,"C+",IF(D23&lt;'PlayerGrades+'!$AA$9,"B-",IF(D23&lt;'PlayerGrades+'!$AA$8,"B",IF(D23&lt;'PlayerGrades+'!$AA$7,"B+",IF(D23&lt;'PlayerGrades+'!$AA$6,"A-",IF(D23&lt;'PlayerGrades+'!$AA$5,"A",IF(D23&lt;'PlayerGrades+'!$AA$4,"A+",IF(D23&lt;'PlayerGrades+'!$AA$3,"S-",IF(D23&lt;'PlayerGrades+'!$AA$2,"S","S+"))))))))))))))))))))</f>
        <v>F-</v>
      </c>
      <c r="F23" s="937">
        <f t="shared" si="2"/>
        <v>-1.019607843</v>
      </c>
      <c r="G23" s="937" t="str">
        <f>IF(F23&lt;'PlayerGrades+'!$AB$21,"F-",IF(F23&lt;'PlayerGrades+'!$AB$20,"F",IF(F23&lt;'PlayerGrades+'!$AB$19,"F+",IF(F23&lt;'PlayerGrades+'!$AB$18,"E-",IF(F23&lt;'PlayerGrades+'!$AB$17,"E",IF(F23&lt;'PlayerGrades+'!$AB$16,"E+",IF(F23&lt;'PlayerGrades+'!$AB$15,"D-",IF(F23&lt;'PlayerGrades+'!$AB$14,"D",IF(F23&lt;'PlayerGrades+'!$AB$13,"D+",IF(F23&lt;'PlayerGrades+'!$AB$12,"C-",IF(F23&lt;'PlayerGrades+'!$AB$11,"C",IF(F23&lt;'PlayerGrades+'!$AB$10,"C+",IF(F23&lt;'PlayerGrades+'!$AB$9,"B-",IF(F23&lt;'PlayerGrades+'!$AB$8,"B",IF(F23&lt;'PlayerGrades+'!$AB$7,"B+",IF(F23&lt;'PlayerGrades+'!$AB$6,"A-",IF(F23&lt;'PlayerGrades+'!$AB$5,"A",IF(F23&lt;'PlayerGrades+'!$AB$4,"A+",IF(F23&lt;'PlayerGrades+'!$AB$3,"S-",IF(F23&lt;'PlayerGrades+'!$AB$2,"S","S+"))))))))))))))))))))</f>
        <v>F</v>
      </c>
      <c r="H23" s="937">
        <f t="shared" si="3"/>
        <v>0.07843137255</v>
      </c>
      <c r="I23" s="937" t="str">
        <f>IF(H23&lt;'PlayerGrades+'!$AC$21,"F-",IF(H23&lt;'PlayerGrades+'!$AC$20,"F",IF(H23&lt;'PlayerGrades+'!$AC$19,"F+",IF(H23&lt;'PlayerGrades+'!$AC$18,"E-",IF(H23&lt;'PlayerGrades+'!$AC$17,"E",IF(H23&lt;'PlayerGrades+'!$AC$16,"E+",IF(H23&lt;'PlayerGrades+'!$AC$15,"D-",IF(H23&lt;'PlayerGrades+'!$AC$14,"D",IF(H23&lt;'PlayerGrades+'!$AC$13,"D+",IF(H23&lt;'PlayerGrades+'!$AC$12,"C-",IF(H23&lt;'PlayerGrades+'!$AC$11,"C",IF(H23&lt;'PlayerGrades+'!$AC$10,"C+",IF(H23&lt;'PlayerGrades+'!$AC$9,"B-",IF(H23&lt;'PlayerGrades+'!$AC$8,"B",IF(H23&lt;'PlayerGrades+'!$AC$7,"B+",IF(H23&lt;'PlayerGrades+'!$AC$6,"A-",IF(H23&lt;'PlayerGrades+'!$AC$5,"A",IF(H23&lt;'PlayerGrades+'!$AC$4,"A+",IF(H23&lt;'PlayerGrades+'!$AC$3,"S-",IF(H23&lt;'PlayerGrades+'!$AC$2,"S","S+"))))))))))))))))))))</f>
        <v>D-</v>
      </c>
      <c r="J23" s="937">
        <f t="shared" si="4"/>
        <v>0</v>
      </c>
      <c r="K23" s="937" t="str">
        <f>IF(J23&lt;'PlayerGrades+'!$AD$21,"F-",IF(J23&lt;'PlayerGrades+'!$AD$20,"F",IF(J23&lt;'PlayerGrades+'!$AD$19,"F+",IF(J23&lt;'PlayerGrades+'!$AD$18,"E-",IF(J23&lt;'PlayerGrades+'!$AD$17,"E",IF(J23&lt;'PlayerGrades+'!$AD$16,"E+",IF(J23&lt;'PlayerGrades+'!$AD$15,"D-",IF(J23&lt;'PlayerGrades+'!$AD$14,"D",IF(J23&lt;'PlayerGrades+'!$AD$13,"D+",IF(J23&lt;'PlayerGrades+'!$AD$12,"C-",IF(J23&lt;'PlayerGrades+'!$AD$11,"C",IF(J23&lt;'PlayerGrades+'!$AD$10,"C+",IF(J23&lt;'PlayerGrades+'!$AD$9,"B-",IF(J23&lt;'PlayerGrades+'!$AD$8,"B",IF(J23&lt;'PlayerGrades+'!$AD$7,"B+",IF(J23&lt;'PlayerGrades+'!$AD$6,"A-",IF(J23&lt;'PlayerGrades+'!$AD$5,"A",IF(J23&lt;'PlayerGrades+'!$AD$4,"A+",IF(J23&lt;'PlayerGrades+'!$AD$3,"S-",IF(J23&lt;'PlayerGrades+'!$AD$2,"S","S+"))))))))))))))))))))</f>
        <v>F-</v>
      </c>
      <c r="L23" s="677">
        <f t="shared" si="5"/>
        <v>0.2352941176</v>
      </c>
      <c r="M23" s="938" t="str">
        <f>IF(L23&lt;'PlayerGrades+'!$AE$21,"F-",IF(L23&lt;'PlayerGrades+'!$AE$20,"F",IF(L23&lt;'PlayerGrades+'!$AE$19,"F+",IF(L23&lt;'PlayerGrades+'!$AE$18,"E-",IF(L23&lt;'PlayerGrades+'!$AE$17,"E",IF(L23&lt;'PlayerGrades+'!$AE$16,"E+",IF(L23&lt;'PlayerGrades+'!$AE$15,"D-",IF(L23&lt;'PlayerGrades+'!$AE$14,"D",IF(L23&lt;'PlayerGrades+'!$AE$13,"D+",IF(L23&lt;'PlayerGrades+'!$AE$12,"C-",IF(L23&lt;'PlayerGrades+'!$AE$11,"C",IF(L23&lt;'PlayerGrades+'!$AE$10,"C+",IF(L23&lt;'PlayerGrades+'!$AE$9,"B-",IF(L23&lt;'PlayerGrades+'!$AE$8,"B",IF(L23&lt;'PlayerGrades+'!$AE$7,"B+",IF(L23&lt;'PlayerGrades+'!$AE$6,"A-",IF(L23&lt;'PlayerGrades+'!$AE$5,"A",IF(L23&lt;'PlayerGrades+'!$AE$4,"A+",IF(L23&lt;'PlayerGrades+'!$AE$3,"S-",IF(L23&lt;'PlayerGrades+'!$AE$2,"S","S+"))))))))))))))))))))</f>
        <v>F</v>
      </c>
      <c r="N23" s="937">
        <f t="shared" si="6"/>
        <v>0</v>
      </c>
      <c r="O23" s="937" t="str">
        <f>IF(N23&lt;'PlayerGrades+'!$AF$21,"F-",IF(N23&lt;'PlayerGrades+'!$AF$20,"F",IF(N23&lt;'PlayerGrades+'!$AF$19,"F+",IF(N23&lt;'PlayerGrades+'!$AF$18,"E-",IF(N23&lt;'PlayerGrades+'!$AF$17,"E",IF(N23&lt;'PlayerGrades+'!$AF$16,"E+",IF(N23&lt;'PlayerGrades+'!$AF$15,"D-",IF(N23&lt;'PlayerGrades+'!$AF$14,"D",IF(N23&lt;'PlayerGrades+'!$AF$13,"D+",IF(N23&lt;'PlayerGrades+'!$AF$12,"C-",IF(N23&lt;'PlayerGrades+'!$AF$11,"C",IF(N23&lt;'PlayerGrades+'!$AF$10,"C+",IF(N23&lt;'PlayerGrades+'!$AF$9,"B-",IF(N23&lt;'PlayerGrades+'!$AF$8,"B",IF(N23&lt;'PlayerGrades+'!$AF$7,"B+",IF(N23&lt;'PlayerGrades+'!$AF$6,"A-",IF(N23&lt;'PlayerGrades+'!$AF$5,"A",IF(N23&lt;'PlayerGrades+'!$AF$4,"A+",IF(N23&lt;'PlayerGrades+'!$AF$3,"S-",IF(N23&lt;'PlayerGrades+'!$AF$2,"S","S+"))))))))))))))))))))</f>
        <v>F-</v>
      </c>
      <c r="P23" s="937">
        <f t="shared" si="7"/>
        <v>0</v>
      </c>
      <c r="Q23" s="937" t="str">
        <f>IF(P23&lt;'PlayerGrades+'!$AG$21,"F-",IF(P23&lt;'PlayerGrades+'!$AG$20,"F",IF(P23&lt;'PlayerGrades+'!$AG$19,"F+",IF(P23&lt;'PlayerGrades+'!$AG$18,"E-",IF(P23&lt;'PlayerGrades+'!$AG$17,"E",IF(P23&lt;'PlayerGrades+'!$AG$16,"E+",IF(P23&lt;'PlayerGrades+'!$AG$15,"D-",IF(P23&lt;'PlayerGrades+'!$AG$14,"D",IF(P23&lt;'PlayerGrades+'!$AG$13,"D+",IF(P23&lt;'PlayerGrades+'!$AG$12,"C-",IF(P23&lt;'PlayerGrades+'!$AG$11,"C",IF(P23&lt;'PlayerGrades+'!$AG$10,"C+",IF(P23&lt;'PlayerGrades+'!$AG$9,"B-",IF(P23&lt;'PlayerGrades+'!$AG$8,"B",IF(P23&lt;'PlayerGrades+'!$AG$7,"B+",IF(P23&lt;'PlayerGrades+'!$AG$6,"A-",IF(P23&lt;'PlayerGrades+'!$AG$5,"A",IF(P23&lt;'PlayerGrades+'!$AG$4,"A+",IF(P23&lt;'PlayerGrades+'!$AG$3,"S-",IF(P23&lt;'PlayerGrades+'!$AG$2,"S","S+"))))))))))))))))))))</f>
        <v>F</v>
      </c>
      <c r="R23" s="937">
        <f t="shared" si="8"/>
        <v>0.3137254902</v>
      </c>
      <c r="S23" s="937" t="str">
        <f>IF(R23&lt;'PlayerGrades+'!$AH$21,"F-",IF(R23&lt;'PlayerGrades+'!$AH$20,"F",IF(R23&lt;'PlayerGrades+'!$AH$19,"F+",IF(R23&lt;'PlayerGrades+'!$AH$18,"E-",IF(R23&lt;'PlayerGrades+'!$AH$17,"E",IF(R23&lt;'PlayerGrades+'!$AH$16,"E+",IF(R23&lt;'PlayerGrades+'!$AH$15,"D-",IF(R23&lt;'PlayerGrades+'!$AH$14,"D",IF(R23&lt;'PlayerGrades+'!$AH$13,"D+",IF(R23&lt;'PlayerGrades+'!$AH$12,"C-",IF(R23&lt;'PlayerGrades+'!$AH$11,"C",IF(R23&lt;'PlayerGrades+'!$AH$10,"C+",IF(R23&lt;'PlayerGrades+'!$AH$9,"B-",IF(R23&lt;'PlayerGrades+'!$AH$8,"B",IF(R23&lt;'PlayerGrades+'!$AH$7,"B+",IF(R23&lt;'PlayerGrades+'!$AH$6,"A-",IF(R23&lt;'PlayerGrades+'!$AH$5,"A",IF(R23&lt;'PlayerGrades+'!$AH$4,"A+",IF(R23&lt;'PlayerGrades+'!$AH$3,"S-",IF(R23&lt;'PlayerGrades+'!$AH$2,"S","S+"))))))))))))))))))))</f>
        <v>F-</v>
      </c>
      <c r="T23" s="937">
        <f t="shared" si="9"/>
        <v>0.3137254902</v>
      </c>
      <c r="U23" s="937" t="str">
        <f>IF(T23&lt;'PlayerGrades+'!$AI$21,"F-",IF(T23&lt;'PlayerGrades+'!$AI$20,"F",IF(T23&lt;'PlayerGrades+'!$AI$19,"F+",IF(T23&lt;'PlayerGrades+'!$AI$18,"E-",IF(T23&lt;'PlayerGrades+'!$AI$17,"E",IF(T23&lt;'PlayerGrades+'!$AI$16,"E+",IF(T23&lt;'PlayerGrades+'!$AI$15,"D-",IF(T23&lt;'PlayerGrades+'!$AI$14,"D",IF(T23&lt;'PlayerGrades+'!$AI$13,"D+",IF(T23&lt;'PlayerGrades+'!$AI$12,"C-",IF(T23&lt;'PlayerGrades+'!$AI$11,"C",IF(T23&lt;'PlayerGrades+'!$AI$10,"C+",IF(T23&lt;'PlayerGrades+'!$AI$9,"B-",IF(T23&lt;'PlayerGrades+'!$AI$8,"B",IF(T23&lt;'PlayerGrades+'!$AI$7,"B+",IF(T23&lt;'PlayerGrades+'!$AI$6,"A-",IF(T23&lt;'PlayerGrades+'!$AI$5,"A",IF(T23&lt;'PlayerGrades+'!$AI$4,"A+",IF(T23&lt;'PlayerGrades+'!$AI$3,"S-",IF(T23&lt;'PlayerGrades+'!$AI$2,"S","S+"))))))))))))))))))))</f>
        <v>F-</v>
      </c>
      <c r="V23" s="941">
        <v>1.0</v>
      </c>
      <c r="W23" s="941">
        <v>1.0</v>
      </c>
      <c r="X23" s="941">
        <v>0.0</v>
      </c>
      <c r="Y23" s="941">
        <v>0.0</v>
      </c>
      <c r="Z23" s="941">
        <v>0.0</v>
      </c>
      <c r="AA23" s="941">
        <v>24.0</v>
      </c>
      <c r="AB23" s="941">
        <v>37.0</v>
      </c>
      <c r="AC23" s="941">
        <v>-13.0</v>
      </c>
      <c r="AD23" s="941">
        <v>3.0</v>
      </c>
      <c r="AE23" s="941">
        <v>3.0</v>
      </c>
      <c r="AF23" s="941">
        <v>0.0</v>
      </c>
      <c r="AG23" s="941">
        <v>571.0</v>
      </c>
      <c r="AH23" s="941">
        <v>765.0</v>
      </c>
      <c r="AI23" s="941">
        <v>15.0</v>
      </c>
      <c r="AJ23" s="941">
        <v>10.0</v>
      </c>
      <c r="AK23" s="941">
        <v>0.0</v>
      </c>
      <c r="AL23" s="941">
        <v>0.0</v>
      </c>
      <c r="AM23" s="941">
        <v>0.0</v>
      </c>
      <c r="AN23" s="941">
        <v>0.0</v>
      </c>
      <c r="AO23" s="941">
        <v>0.0</v>
      </c>
      <c r="AP23" s="941">
        <v>0.0</v>
      </c>
      <c r="AQ23" s="941">
        <v>0.0</v>
      </c>
      <c r="AR23" s="941">
        <v>3.0</v>
      </c>
      <c r="AS23" s="941">
        <v>0.0</v>
      </c>
      <c r="AT23" s="941">
        <v>0.0</v>
      </c>
      <c r="AU23" s="941">
        <v>0.0</v>
      </c>
      <c r="AV23" s="941">
        <v>0.0</v>
      </c>
      <c r="AW23" s="941">
        <v>0.0</v>
      </c>
      <c r="AX23" s="941">
        <v>0.0</v>
      </c>
      <c r="AY23" s="941">
        <v>0.0</v>
      </c>
      <c r="AZ23" s="941">
        <v>0.0</v>
      </c>
      <c r="BA23" s="941">
        <v>0.0</v>
      </c>
      <c r="BB23" s="941">
        <v>1.0</v>
      </c>
      <c r="BC23" s="941">
        <v>0.0</v>
      </c>
      <c r="BD23" s="941">
        <v>1.0</v>
      </c>
      <c r="BE23" s="942">
        <v>4.0</v>
      </c>
      <c r="BF23" s="941">
        <v>0.0</v>
      </c>
      <c r="BG23" s="941">
        <v>0.0</v>
      </c>
    </row>
    <row r="24">
      <c r="A24" s="935" t="s">
        <v>129</v>
      </c>
      <c r="B24" s="16" t="str">
        <f>IF(C24&lt;'PlayerGrades+'!$Y$44,"F-",IF(C24&lt;'PlayerGrades+'!$Y$43,"F",IF(C24&lt;'PlayerGrades+'!$Y$42,"F+",IF(C24&lt;'PlayerGrades+'!$Y$41,"E-",IF(C24&lt;'PlayerGrades+'!$Y$40,"E",IF(C24&lt;'PlayerGrades+'!$Y$39,"E+",IF(C24&lt;'PlayerGrades+'!$Y$38,"D-",IF(C24&lt;'PlayerGrades+'!$Y$37,"D",IF(C24&lt;'PlayerGrades+'!$Y$36,"D+",IF(C24&lt;'PlayerGrades+'!$Y$35,"C-",IF(C24&lt;'PlayerGrades+'!$Y$34,"C",IF(C24&lt;'PlayerGrades+'!$Y$33,"C+",IF(C24&lt;'PlayerGrades+'!$Y$32,"B-",IF(C24&lt;'PlayerGrades+'!$Y$31,"B",IF(C24&lt;'PlayerGrades+'!$Y$30,"B+",IF(C24&lt;'PlayerGrades+'!$Y$29,"A-",IF(C24&lt;'PlayerGrades+'!$Y$28,"A",IF(C24&lt;'PlayerGrades+'!$Y$27,"A+",IF(C24&lt;'PlayerGrades+'!$Y$26,"S-",IF(C24&lt;'PlayerGrades+'!$Y$25,"S","S+"))))))))))))))))))))</f>
        <v>B+</v>
      </c>
      <c r="C24" s="936">
        <f>('PlayerGrades+'!$Y$47*(VLOOKUP(E24, 'PlayerGrades+'!$X$3:$Y$23, 2, FALSE)))+('PlayerGrades+'!$Y$48*(VLOOKUP(G24, 'PlayerGrades+'!$X$3:$Y$23, 2, FALSE)))+('PlayerGrades+'!$Y$49*(VLOOKUP(I24, 'PlayerGrades+'!$X$3:$Y$23, 2, FALSE)))+('PlayerGrades+'!$Y$50*(VLOOKUP(K24, 'PlayerGrades+'!$X$3:$Y$23, 2, FALSE)))+('PlayerGrades+'!$Y$51*(VLOOKUP(M24, 'PlayerGrades+'!$X$3:$Y$23, 2, FALSE)))+('PlayerGrades+'!$Y$52*(VLOOKUP(O24, 'PlayerGrades+'!$X$3:$Y$23, 2, FALSE)))+('PlayerGrades+'!$Y$53*(VLOOKUP(Q24, 'PlayerGrades+'!$X$3:$Y$23, 2, FALSE)))+('PlayerGrades+'!$Y$54*(VLOOKUP(S24, 'PlayerGrades+'!$X$3:$Y$23, 2, FALSE)))+('PlayerGrades+'!$Y$55*(VLOOKUP(U24, 'PlayerGrades+'!$X$3:$Y$23, 2, FALSE)))</f>
        <v>23.7</v>
      </c>
      <c r="D24" s="937">
        <f t="shared" si="1"/>
        <v>0</v>
      </c>
      <c r="E24" s="937" t="str">
        <f>IF(D24&lt;'PlayerGrades+'!$AA$21,"F-",IF(D24&lt;'PlayerGrades+'!$AA$20,"F",IF(D24&lt;'PlayerGrades+'!$AA$19,"F+",IF(D24&lt;'PlayerGrades+'!$AA$18,"E-",IF(D24&lt;'PlayerGrades+'!$AA$17,"E",IF(D24&lt;'PlayerGrades+'!$AA$16,"E+",IF(D24&lt;'PlayerGrades+'!$AA$15,"D-",IF(D24&lt;'PlayerGrades+'!$AA$14,"D",IF(D24&lt;'PlayerGrades+'!$AA$13,"D+",IF(D24&lt;'PlayerGrades+'!$AA$12,"C-",IF(D24&lt;'PlayerGrades+'!$AA$11,"C",IF(D24&lt;'PlayerGrades+'!$AA$10,"C+",IF(D24&lt;'PlayerGrades+'!$AA$9,"B-",IF(D24&lt;'PlayerGrades+'!$AA$8,"B",IF(D24&lt;'PlayerGrades+'!$AA$7,"B+",IF(D24&lt;'PlayerGrades+'!$AA$6,"A-",IF(D24&lt;'PlayerGrades+'!$AA$5,"A",IF(D24&lt;'PlayerGrades+'!$AA$4,"A+",IF(D24&lt;'PlayerGrades+'!$AA$3,"S-",IF(D24&lt;'PlayerGrades+'!$AA$2,"S","S+"))))))))))))))))))))</f>
        <v>F-</v>
      </c>
      <c r="F24" s="937">
        <f t="shared" si="2"/>
        <v>2.117647059</v>
      </c>
      <c r="G24" s="937" t="str">
        <f>IF(F24&lt;'PlayerGrades+'!$AB$21,"F-",IF(F24&lt;'PlayerGrades+'!$AB$20,"F",IF(F24&lt;'PlayerGrades+'!$AB$19,"F+",IF(F24&lt;'PlayerGrades+'!$AB$18,"E-",IF(F24&lt;'PlayerGrades+'!$AB$17,"E",IF(F24&lt;'PlayerGrades+'!$AB$16,"E+",IF(F24&lt;'PlayerGrades+'!$AB$15,"D-",IF(F24&lt;'PlayerGrades+'!$AB$14,"D",IF(F24&lt;'PlayerGrades+'!$AB$13,"D+",IF(F24&lt;'PlayerGrades+'!$AB$12,"C-",IF(F24&lt;'PlayerGrades+'!$AB$11,"C",IF(F24&lt;'PlayerGrades+'!$AB$10,"C+",IF(F24&lt;'PlayerGrades+'!$AB$9,"B-",IF(F24&lt;'PlayerGrades+'!$AB$8,"B",IF(F24&lt;'PlayerGrades+'!$AB$7,"B+",IF(F24&lt;'PlayerGrades+'!$AB$6,"A-",IF(F24&lt;'PlayerGrades+'!$AB$5,"A",IF(F24&lt;'PlayerGrades+'!$AB$4,"A+",IF(F24&lt;'PlayerGrades+'!$AB$3,"S-",IF(F24&lt;'PlayerGrades+'!$AB$2,"S","S+"))))))))))))))))))))</f>
        <v>S+</v>
      </c>
      <c r="H24" s="937">
        <f t="shared" si="3"/>
        <v>0.07843137255</v>
      </c>
      <c r="I24" s="937" t="str">
        <f>IF(H24&lt;'PlayerGrades+'!$AC$21,"F-",IF(H24&lt;'PlayerGrades+'!$AC$20,"F",IF(H24&lt;'PlayerGrades+'!$AC$19,"F+",IF(H24&lt;'PlayerGrades+'!$AC$18,"E-",IF(H24&lt;'PlayerGrades+'!$AC$17,"E",IF(H24&lt;'PlayerGrades+'!$AC$16,"E+",IF(H24&lt;'PlayerGrades+'!$AC$15,"D-",IF(H24&lt;'PlayerGrades+'!$AC$14,"D",IF(H24&lt;'PlayerGrades+'!$AC$13,"D+",IF(H24&lt;'PlayerGrades+'!$AC$12,"C-",IF(H24&lt;'PlayerGrades+'!$AC$11,"C",IF(H24&lt;'PlayerGrades+'!$AC$10,"C+",IF(H24&lt;'PlayerGrades+'!$AC$9,"B-",IF(H24&lt;'PlayerGrades+'!$AC$8,"B",IF(H24&lt;'PlayerGrades+'!$AC$7,"B+",IF(H24&lt;'PlayerGrades+'!$AC$6,"A-",IF(H24&lt;'PlayerGrades+'!$AC$5,"A",IF(H24&lt;'PlayerGrades+'!$AC$4,"A+",IF(H24&lt;'PlayerGrades+'!$AC$3,"S-",IF(H24&lt;'PlayerGrades+'!$AC$2,"S","S+"))))))))))))))))))))</f>
        <v>D-</v>
      </c>
      <c r="J24" s="937">
        <f t="shared" si="4"/>
        <v>0.1568627451</v>
      </c>
      <c r="K24" s="937" t="str">
        <f>IF(J24&lt;'PlayerGrades+'!$AD$21,"F-",IF(J24&lt;'PlayerGrades+'!$AD$20,"F",IF(J24&lt;'PlayerGrades+'!$AD$19,"F+",IF(J24&lt;'PlayerGrades+'!$AD$18,"E-",IF(J24&lt;'PlayerGrades+'!$AD$17,"E",IF(J24&lt;'PlayerGrades+'!$AD$16,"E+",IF(J24&lt;'PlayerGrades+'!$AD$15,"D-",IF(J24&lt;'PlayerGrades+'!$AD$14,"D",IF(J24&lt;'PlayerGrades+'!$AD$13,"D+",IF(J24&lt;'PlayerGrades+'!$AD$12,"C-",IF(J24&lt;'PlayerGrades+'!$AD$11,"C",IF(J24&lt;'PlayerGrades+'!$AD$10,"C+",IF(J24&lt;'PlayerGrades+'!$AD$9,"B-",IF(J24&lt;'PlayerGrades+'!$AD$8,"B",IF(J24&lt;'PlayerGrades+'!$AD$7,"B+",IF(J24&lt;'PlayerGrades+'!$AD$6,"A-",IF(J24&lt;'PlayerGrades+'!$AD$5,"A",IF(J24&lt;'PlayerGrades+'!$AD$4,"A+",IF(J24&lt;'PlayerGrades+'!$AD$3,"S-",IF(J24&lt;'PlayerGrades+'!$AD$2,"S","S+"))))))))))))))))))))</f>
        <v>S+</v>
      </c>
      <c r="L24" s="677">
        <f t="shared" si="5"/>
        <v>1.176470588</v>
      </c>
      <c r="M24" s="938" t="str">
        <f>IF(L24&lt;'PlayerGrades+'!$AE$21,"F-",IF(L24&lt;'PlayerGrades+'!$AE$20,"F",IF(L24&lt;'PlayerGrades+'!$AE$19,"F+",IF(L24&lt;'PlayerGrades+'!$AE$18,"E-",IF(L24&lt;'PlayerGrades+'!$AE$17,"E",IF(L24&lt;'PlayerGrades+'!$AE$16,"E+",IF(L24&lt;'PlayerGrades+'!$AE$15,"D-",IF(L24&lt;'PlayerGrades+'!$AE$14,"D",IF(L24&lt;'PlayerGrades+'!$AE$13,"D+",IF(L24&lt;'PlayerGrades+'!$AE$12,"C-",IF(L24&lt;'PlayerGrades+'!$AE$11,"C",IF(L24&lt;'PlayerGrades+'!$AE$10,"C+",IF(L24&lt;'PlayerGrades+'!$AE$9,"B-",IF(L24&lt;'PlayerGrades+'!$AE$8,"B",IF(L24&lt;'PlayerGrades+'!$AE$7,"B+",IF(L24&lt;'PlayerGrades+'!$AE$6,"A-",IF(L24&lt;'PlayerGrades+'!$AE$5,"A",IF(L24&lt;'PlayerGrades+'!$AE$4,"A+",IF(L24&lt;'PlayerGrades+'!$AE$3,"S-",IF(L24&lt;'PlayerGrades+'!$AE$2,"S","S+"))))))))))))))))))))</f>
        <v>S+</v>
      </c>
      <c r="N24" s="937">
        <f t="shared" si="6"/>
        <v>0.5490196078</v>
      </c>
      <c r="O24" s="937" t="str">
        <f>IF(N24&lt;'PlayerGrades+'!$AF$21,"F-",IF(N24&lt;'PlayerGrades+'!$AF$20,"F",IF(N24&lt;'PlayerGrades+'!$AF$19,"F+",IF(N24&lt;'PlayerGrades+'!$AF$18,"E-",IF(N24&lt;'PlayerGrades+'!$AF$17,"E",IF(N24&lt;'PlayerGrades+'!$AF$16,"E+",IF(N24&lt;'PlayerGrades+'!$AF$15,"D-",IF(N24&lt;'PlayerGrades+'!$AF$14,"D",IF(N24&lt;'PlayerGrades+'!$AF$13,"D+",IF(N24&lt;'PlayerGrades+'!$AF$12,"C-",IF(N24&lt;'PlayerGrades+'!$AF$11,"C",IF(N24&lt;'PlayerGrades+'!$AF$10,"C+",IF(N24&lt;'PlayerGrades+'!$AF$9,"B-",IF(N24&lt;'PlayerGrades+'!$AF$8,"B",IF(N24&lt;'PlayerGrades+'!$AF$7,"B+",IF(N24&lt;'PlayerGrades+'!$AF$6,"A-",IF(N24&lt;'PlayerGrades+'!$AF$5,"A",IF(N24&lt;'PlayerGrades+'!$AF$4,"A+",IF(N24&lt;'PlayerGrades+'!$AF$3,"S-",IF(N24&lt;'PlayerGrades+'!$AF$2,"S","S+"))))))))))))))))))))</f>
        <v>S+</v>
      </c>
      <c r="P24" s="937">
        <f t="shared" si="7"/>
        <v>0.1568627451</v>
      </c>
      <c r="Q24" s="937" t="str">
        <f>IF(P24&lt;'PlayerGrades+'!$AG$21,"F-",IF(P24&lt;'PlayerGrades+'!$AG$20,"F",IF(P24&lt;'PlayerGrades+'!$AG$19,"F+",IF(P24&lt;'PlayerGrades+'!$AG$18,"E-",IF(P24&lt;'PlayerGrades+'!$AG$17,"E",IF(P24&lt;'PlayerGrades+'!$AG$16,"E+",IF(P24&lt;'PlayerGrades+'!$AG$15,"D-",IF(P24&lt;'PlayerGrades+'!$AG$14,"D",IF(P24&lt;'PlayerGrades+'!$AG$13,"D+",IF(P24&lt;'PlayerGrades+'!$AG$12,"C-",IF(P24&lt;'PlayerGrades+'!$AG$11,"C",IF(P24&lt;'PlayerGrades+'!$AG$10,"C+",IF(P24&lt;'PlayerGrades+'!$AG$9,"B-",IF(P24&lt;'PlayerGrades+'!$AG$8,"B",IF(P24&lt;'PlayerGrades+'!$AG$7,"B+",IF(P24&lt;'PlayerGrades+'!$AG$6,"A-",IF(P24&lt;'PlayerGrades+'!$AG$5,"A",IF(P24&lt;'PlayerGrades+'!$AG$4,"A+",IF(P24&lt;'PlayerGrades+'!$AG$3,"S-",IF(P24&lt;'PlayerGrades+'!$AG$2,"S","S+"))))))))))))))))))))</f>
        <v>S+</v>
      </c>
      <c r="R24" s="937">
        <f t="shared" si="8"/>
        <v>0.2352941176</v>
      </c>
      <c r="S24" s="937" t="str">
        <f>IF(R24&lt;'PlayerGrades+'!$AH$21,"F-",IF(R24&lt;'PlayerGrades+'!$AH$20,"F",IF(R24&lt;'PlayerGrades+'!$AH$19,"F+",IF(R24&lt;'PlayerGrades+'!$AH$18,"E-",IF(R24&lt;'PlayerGrades+'!$AH$17,"E",IF(R24&lt;'PlayerGrades+'!$AH$16,"E+",IF(R24&lt;'PlayerGrades+'!$AH$15,"D-",IF(R24&lt;'PlayerGrades+'!$AH$14,"D",IF(R24&lt;'PlayerGrades+'!$AH$13,"D+",IF(R24&lt;'PlayerGrades+'!$AH$12,"C-",IF(R24&lt;'PlayerGrades+'!$AH$11,"C",IF(R24&lt;'PlayerGrades+'!$AH$10,"C+",IF(R24&lt;'PlayerGrades+'!$AH$9,"B-",IF(R24&lt;'PlayerGrades+'!$AH$8,"B",IF(R24&lt;'PlayerGrades+'!$AH$7,"B+",IF(R24&lt;'PlayerGrades+'!$AH$6,"A-",IF(R24&lt;'PlayerGrades+'!$AH$5,"A",IF(R24&lt;'PlayerGrades+'!$AH$4,"A+",IF(R24&lt;'PlayerGrades+'!$AH$3,"S-",IF(R24&lt;'PlayerGrades+'!$AH$2,"S","S+"))))))))))))))))))))</f>
        <v>F-</v>
      </c>
      <c r="T24" s="937">
        <f t="shared" si="9"/>
        <v>0.7058823529</v>
      </c>
      <c r="U24" s="937" t="str">
        <f>IF(T24&lt;'PlayerGrades+'!$AI$21,"F-",IF(T24&lt;'PlayerGrades+'!$AI$20,"F",IF(T24&lt;'PlayerGrades+'!$AI$19,"F+",IF(T24&lt;'PlayerGrades+'!$AI$18,"E-",IF(T24&lt;'PlayerGrades+'!$AI$17,"E",IF(T24&lt;'PlayerGrades+'!$AI$16,"E+",IF(T24&lt;'PlayerGrades+'!$AI$15,"D-",IF(T24&lt;'PlayerGrades+'!$AI$14,"D",IF(T24&lt;'PlayerGrades+'!$AI$13,"D+",IF(T24&lt;'PlayerGrades+'!$AI$12,"C-",IF(T24&lt;'PlayerGrades+'!$AI$11,"C",IF(T24&lt;'PlayerGrades+'!$AI$10,"C+",IF(T24&lt;'PlayerGrades+'!$AI$9,"B-",IF(T24&lt;'PlayerGrades+'!$AI$8,"B",IF(T24&lt;'PlayerGrades+'!$AI$7,"B+",IF(T24&lt;'PlayerGrades+'!$AI$6,"A-",IF(T24&lt;'PlayerGrades+'!$AI$5,"A",IF(T24&lt;'PlayerGrades+'!$AI$4,"A+",IF(T24&lt;'PlayerGrades+'!$AI$3,"S-",IF(T24&lt;'PlayerGrades+'!$AI$2,"S","S+"))))))))))))))))))))</f>
        <v>F</v>
      </c>
      <c r="V24" s="941">
        <v>1.0</v>
      </c>
      <c r="W24" s="941">
        <v>1.0</v>
      </c>
      <c r="X24" s="941">
        <v>0.0</v>
      </c>
      <c r="Y24" s="941">
        <v>0.0</v>
      </c>
      <c r="Z24" s="941">
        <v>0.0</v>
      </c>
      <c r="AA24" s="941">
        <v>57.0</v>
      </c>
      <c r="AB24" s="941">
        <v>30.0</v>
      </c>
      <c r="AC24" s="941">
        <v>27.0</v>
      </c>
      <c r="AD24" s="941">
        <v>0.0</v>
      </c>
      <c r="AE24" s="941">
        <v>9.0</v>
      </c>
      <c r="AF24" s="941">
        <v>0.0</v>
      </c>
      <c r="AG24" s="941">
        <v>595.0</v>
      </c>
      <c r="AH24" s="941">
        <v>765.0</v>
      </c>
      <c r="AI24" s="941">
        <v>19.0</v>
      </c>
      <c r="AJ24" s="941">
        <v>14.0</v>
      </c>
      <c r="AK24" s="941">
        <v>0.0</v>
      </c>
      <c r="AL24" s="941">
        <v>2.0</v>
      </c>
      <c r="AM24" s="941">
        <v>0.0</v>
      </c>
      <c r="AN24" s="941">
        <v>0.0</v>
      </c>
      <c r="AO24" s="941">
        <v>0.0</v>
      </c>
      <c r="AP24" s="941">
        <v>2.0</v>
      </c>
      <c r="AQ24" s="941">
        <v>0.0</v>
      </c>
      <c r="AR24" s="941">
        <v>15.0</v>
      </c>
      <c r="AS24" s="941">
        <v>7.0</v>
      </c>
      <c r="AT24" s="941">
        <v>1.0</v>
      </c>
      <c r="AU24" s="941">
        <v>1.0</v>
      </c>
      <c r="AV24" s="941">
        <v>1.0</v>
      </c>
      <c r="AW24" s="941">
        <v>0.0</v>
      </c>
      <c r="AX24" s="941">
        <v>0.0</v>
      </c>
      <c r="AY24" s="941">
        <v>0.0</v>
      </c>
      <c r="AZ24" s="941">
        <v>0.0</v>
      </c>
      <c r="BA24" s="941">
        <v>0.0</v>
      </c>
      <c r="BB24" s="941">
        <v>1.0</v>
      </c>
      <c r="BC24" s="941">
        <v>0.0</v>
      </c>
      <c r="BD24" s="941">
        <v>3.0</v>
      </c>
      <c r="BE24" s="942">
        <v>9.0</v>
      </c>
      <c r="BF24" s="941">
        <v>0.0</v>
      </c>
      <c r="BG24" s="941">
        <v>0.0</v>
      </c>
    </row>
    <row r="25">
      <c r="A25" s="943" t="s">
        <v>118</v>
      </c>
      <c r="B25" s="16" t="str">
        <f>IF(C25&lt;'PlayerGrades+'!$Y$44,"F-",IF(C25&lt;'PlayerGrades+'!$Y$43,"F",IF(C25&lt;'PlayerGrades+'!$Y$42,"F+",IF(C25&lt;'PlayerGrades+'!$Y$41,"E-",IF(C25&lt;'PlayerGrades+'!$Y$40,"E",IF(C25&lt;'PlayerGrades+'!$Y$39,"E+",IF(C25&lt;'PlayerGrades+'!$Y$38,"D-",IF(C25&lt;'PlayerGrades+'!$Y$37,"D",IF(C25&lt;'PlayerGrades+'!$Y$36,"D+",IF(C25&lt;'PlayerGrades+'!$Y$35,"C-",IF(C25&lt;'PlayerGrades+'!$Y$34,"C",IF(C25&lt;'PlayerGrades+'!$Y$33,"C+",IF(C25&lt;'PlayerGrades+'!$Y$32,"B-",IF(C25&lt;'PlayerGrades+'!$Y$31,"B",IF(C25&lt;'PlayerGrades+'!$Y$30,"B+",IF(C25&lt;'PlayerGrades+'!$Y$29,"A-",IF(C25&lt;'PlayerGrades+'!$Y$28,"A",IF(C25&lt;'PlayerGrades+'!$Y$27,"A+",IF(C25&lt;'PlayerGrades+'!$Y$26,"S-",IF(C25&lt;'PlayerGrades+'!$Y$25,"S","S+"))))))))))))))))))))</f>
        <v>D-</v>
      </c>
      <c r="C25" s="936">
        <f>('PlayerGrades+'!$Y$47*(VLOOKUP(E25, 'PlayerGrades+'!$X$3:$Y$23, 2, FALSE)))+('PlayerGrades+'!$Y$48*(VLOOKUP(G25, 'PlayerGrades+'!$X$3:$Y$23, 2, FALSE)))+('PlayerGrades+'!$Y$49*(VLOOKUP(I25, 'PlayerGrades+'!$X$3:$Y$23, 2, FALSE)))+('PlayerGrades+'!$Y$50*(VLOOKUP(K25, 'PlayerGrades+'!$X$3:$Y$23, 2, FALSE)))+('PlayerGrades+'!$Y$51*(VLOOKUP(M25, 'PlayerGrades+'!$X$3:$Y$23, 2, FALSE)))+('PlayerGrades+'!$Y$52*(VLOOKUP(O25, 'PlayerGrades+'!$X$3:$Y$23, 2, FALSE)))+('PlayerGrades+'!$Y$53*(VLOOKUP(Q25, 'PlayerGrades+'!$X$3:$Y$23, 2, FALSE)))+('PlayerGrades+'!$Y$54*(VLOOKUP(S25, 'PlayerGrades+'!$X$3:$Y$23, 2, FALSE)))+('PlayerGrades+'!$Y$55*(VLOOKUP(U25, 'PlayerGrades+'!$X$3:$Y$23, 2, FALSE)))</f>
        <v>15.3</v>
      </c>
      <c r="D25" s="937">
        <f t="shared" si="1"/>
        <v>0.9411764706</v>
      </c>
      <c r="E25" s="937" t="str">
        <f>IF(D25&lt;'PlayerGrades+'!$AA$21,"F-",IF(D25&lt;'PlayerGrades+'!$AA$20,"F",IF(D25&lt;'PlayerGrades+'!$AA$19,"F+",IF(D25&lt;'PlayerGrades+'!$AA$18,"E-",IF(D25&lt;'PlayerGrades+'!$AA$17,"E",IF(D25&lt;'PlayerGrades+'!$AA$16,"E+",IF(D25&lt;'PlayerGrades+'!$AA$15,"D-",IF(D25&lt;'PlayerGrades+'!$AA$14,"D",IF(D25&lt;'PlayerGrades+'!$AA$13,"D+",IF(D25&lt;'PlayerGrades+'!$AA$12,"C-",IF(D25&lt;'PlayerGrades+'!$AA$11,"C",IF(D25&lt;'PlayerGrades+'!$AA$10,"C+",IF(D25&lt;'PlayerGrades+'!$AA$9,"B-",IF(D25&lt;'PlayerGrades+'!$AA$8,"B",IF(D25&lt;'PlayerGrades+'!$AA$7,"B+",IF(D25&lt;'PlayerGrades+'!$AA$6,"A-",IF(D25&lt;'PlayerGrades+'!$AA$5,"A",IF(D25&lt;'PlayerGrades+'!$AA$4,"A+",IF(D25&lt;'PlayerGrades+'!$AA$3,"S-",IF(D25&lt;'PlayerGrades+'!$AA$2,"S","S+"))))))))))))))))))))</f>
        <v>S+</v>
      </c>
      <c r="F25" s="937">
        <f t="shared" si="2"/>
        <v>0.3921568627</v>
      </c>
      <c r="G25" s="937" t="str">
        <f>IF(F25&lt;'PlayerGrades+'!$AB$21,"F-",IF(F25&lt;'PlayerGrades+'!$AB$20,"F",IF(F25&lt;'PlayerGrades+'!$AB$19,"F+",IF(F25&lt;'PlayerGrades+'!$AB$18,"E-",IF(F25&lt;'PlayerGrades+'!$AB$17,"E",IF(F25&lt;'PlayerGrades+'!$AB$16,"E+",IF(F25&lt;'PlayerGrades+'!$AB$15,"D-",IF(F25&lt;'PlayerGrades+'!$AB$14,"D",IF(F25&lt;'PlayerGrades+'!$AB$13,"D+",IF(F25&lt;'PlayerGrades+'!$AB$12,"C-",IF(F25&lt;'PlayerGrades+'!$AB$11,"C",IF(F25&lt;'PlayerGrades+'!$AB$10,"C+",IF(F25&lt;'PlayerGrades+'!$AB$9,"B-",IF(F25&lt;'PlayerGrades+'!$AB$8,"B",IF(F25&lt;'PlayerGrades+'!$AB$7,"B+",IF(F25&lt;'PlayerGrades+'!$AB$6,"A-",IF(F25&lt;'PlayerGrades+'!$AB$5,"A",IF(F25&lt;'PlayerGrades+'!$AB$4,"A+",IF(F25&lt;'PlayerGrades+'!$AB$3,"S-",IF(F25&lt;'PlayerGrades+'!$AB$2,"S","S+"))))))))))))))))))))</f>
        <v>A</v>
      </c>
      <c r="H25" s="937">
        <f t="shared" si="3"/>
        <v>0</v>
      </c>
      <c r="I25" s="937" t="str">
        <f>IF(H25&lt;'PlayerGrades+'!$AC$21,"F-",IF(H25&lt;'PlayerGrades+'!$AC$20,"F",IF(H25&lt;'PlayerGrades+'!$AC$19,"F+",IF(H25&lt;'PlayerGrades+'!$AC$18,"E-",IF(H25&lt;'PlayerGrades+'!$AC$17,"E",IF(H25&lt;'PlayerGrades+'!$AC$16,"E+",IF(H25&lt;'PlayerGrades+'!$AC$15,"D-",IF(H25&lt;'PlayerGrades+'!$AC$14,"D",IF(H25&lt;'PlayerGrades+'!$AC$13,"D+",IF(H25&lt;'PlayerGrades+'!$AC$12,"C-",IF(H25&lt;'PlayerGrades+'!$AC$11,"C",IF(H25&lt;'PlayerGrades+'!$AC$10,"C+",IF(H25&lt;'PlayerGrades+'!$AC$9,"B-",IF(H25&lt;'PlayerGrades+'!$AC$8,"B",IF(H25&lt;'PlayerGrades+'!$AC$7,"B+",IF(H25&lt;'PlayerGrades+'!$AC$6,"A-",IF(H25&lt;'PlayerGrades+'!$AC$5,"A",IF(H25&lt;'PlayerGrades+'!$AC$4,"A+",IF(H25&lt;'PlayerGrades+'!$AC$3,"S-",IF(H25&lt;'PlayerGrades+'!$AC$2,"S","S+"))))))))))))))))))))</f>
        <v>F-</v>
      </c>
      <c r="J25" s="937">
        <f t="shared" si="4"/>
        <v>0</v>
      </c>
      <c r="K25" s="937" t="str">
        <f>IF(J25&lt;'PlayerGrades+'!$AD$21,"F-",IF(J25&lt;'PlayerGrades+'!$AD$20,"F",IF(J25&lt;'PlayerGrades+'!$AD$19,"F+",IF(J25&lt;'PlayerGrades+'!$AD$18,"E-",IF(J25&lt;'PlayerGrades+'!$AD$17,"E",IF(J25&lt;'PlayerGrades+'!$AD$16,"E+",IF(J25&lt;'PlayerGrades+'!$AD$15,"D-",IF(J25&lt;'PlayerGrades+'!$AD$14,"D",IF(J25&lt;'PlayerGrades+'!$AD$13,"D+",IF(J25&lt;'PlayerGrades+'!$AD$12,"C-",IF(J25&lt;'PlayerGrades+'!$AD$11,"C",IF(J25&lt;'PlayerGrades+'!$AD$10,"C+",IF(J25&lt;'PlayerGrades+'!$AD$9,"B-",IF(J25&lt;'PlayerGrades+'!$AD$8,"B",IF(J25&lt;'PlayerGrades+'!$AD$7,"B+",IF(J25&lt;'PlayerGrades+'!$AD$6,"A-",IF(J25&lt;'PlayerGrades+'!$AD$5,"A",IF(J25&lt;'PlayerGrades+'!$AD$4,"A+",IF(J25&lt;'PlayerGrades+'!$AD$3,"S-",IF(J25&lt;'PlayerGrades+'!$AD$2,"S","S+"))))))))))))))))))))</f>
        <v>F-</v>
      </c>
      <c r="L25" s="677">
        <f t="shared" si="5"/>
        <v>0.07843137255</v>
      </c>
      <c r="M25" s="938" t="str">
        <f>IF(L25&lt;'PlayerGrades+'!$AE$21,"F-",IF(L25&lt;'PlayerGrades+'!$AE$20,"F",IF(L25&lt;'PlayerGrades+'!$AE$19,"F+",IF(L25&lt;'PlayerGrades+'!$AE$18,"E-",IF(L25&lt;'PlayerGrades+'!$AE$17,"E",IF(L25&lt;'PlayerGrades+'!$AE$16,"E+",IF(L25&lt;'PlayerGrades+'!$AE$15,"D-",IF(L25&lt;'PlayerGrades+'!$AE$14,"D",IF(L25&lt;'PlayerGrades+'!$AE$13,"D+",IF(L25&lt;'PlayerGrades+'!$AE$12,"C-",IF(L25&lt;'PlayerGrades+'!$AE$11,"C",IF(L25&lt;'PlayerGrades+'!$AE$10,"C+",IF(L25&lt;'PlayerGrades+'!$AE$9,"B-",IF(L25&lt;'PlayerGrades+'!$AE$8,"B",IF(L25&lt;'PlayerGrades+'!$AE$7,"B+",IF(L25&lt;'PlayerGrades+'!$AE$6,"A-",IF(L25&lt;'PlayerGrades+'!$AE$5,"A",IF(L25&lt;'PlayerGrades+'!$AE$4,"A+",IF(L25&lt;'PlayerGrades+'!$AE$3,"S-",IF(L25&lt;'PlayerGrades+'!$AE$2,"S","S+"))))))))))))))))))))</f>
        <v>F-</v>
      </c>
      <c r="N25" s="937">
        <f t="shared" si="6"/>
        <v>0</v>
      </c>
      <c r="O25" s="937" t="str">
        <f>IF(N25&lt;'PlayerGrades+'!$AF$21,"F-",IF(N25&lt;'PlayerGrades+'!$AF$20,"F",IF(N25&lt;'PlayerGrades+'!$AF$19,"F+",IF(N25&lt;'PlayerGrades+'!$AF$18,"E-",IF(N25&lt;'PlayerGrades+'!$AF$17,"E",IF(N25&lt;'PlayerGrades+'!$AF$16,"E+",IF(N25&lt;'PlayerGrades+'!$AF$15,"D-",IF(N25&lt;'PlayerGrades+'!$AF$14,"D",IF(N25&lt;'PlayerGrades+'!$AF$13,"D+",IF(N25&lt;'PlayerGrades+'!$AF$12,"C-",IF(N25&lt;'PlayerGrades+'!$AF$11,"C",IF(N25&lt;'PlayerGrades+'!$AF$10,"C+",IF(N25&lt;'PlayerGrades+'!$AF$9,"B-",IF(N25&lt;'PlayerGrades+'!$AF$8,"B",IF(N25&lt;'PlayerGrades+'!$AF$7,"B+",IF(N25&lt;'PlayerGrades+'!$AF$6,"A-",IF(N25&lt;'PlayerGrades+'!$AF$5,"A",IF(N25&lt;'PlayerGrades+'!$AF$4,"A+",IF(N25&lt;'PlayerGrades+'!$AF$3,"S-",IF(N25&lt;'PlayerGrades+'!$AF$2,"S","S+"))))))))))))))))))))</f>
        <v>F-</v>
      </c>
      <c r="P25" s="937">
        <f t="shared" si="7"/>
        <v>0</v>
      </c>
      <c r="Q25" s="937" t="str">
        <f>IF(P25&lt;'PlayerGrades+'!$AG$21,"F-",IF(P25&lt;'PlayerGrades+'!$AG$20,"F",IF(P25&lt;'PlayerGrades+'!$AG$19,"F+",IF(P25&lt;'PlayerGrades+'!$AG$18,"E-",IF(P25&lt;'PlayerGrades+'!$AG$17,"E",IF(P25&lt;'PlayerGrades+'!$AG$16,"E+",IF(P25&lt;'PlayerGrades+'!$AG$15,"D-",IF(P25&lt;'PlayerGrades+'!$AG$14,"D",IF(P25&lt;'PlayerGrades+'!$AG$13,"D+",IF(P25&lt;'PlayerGrades+'!$AG$12,"C-",IF(P25&lt;'PlayerGrades+'!$AG$11,"C",IF(P25&lt;'PlayerGrades+'!$AG$10,"C+",IF(P25&lt;'PlayerGrades+'!$AG$9,"B-",IF(P25&lt;'PlayerGrades+'!$AG$8,"B",IF(P25&lt;'PlayerGrades+'!$AG$7,"B+",IF(P25&lt;'PlayerGrades+'!$AG$6,"A-",IF(P25&lt;'PlayerGrades+'!$AG$5,"A",IF(P25&lt;'PlayerGrades+'!$AG$4,"A+",IF(P25&lt;'PlayerGrades+'!$AG$3,"S-",IF(P25&lt;'PlayerGrades+'!$AG$2,"S","S+"))))))))))))))))))))</f>
        <v>F</v>
      </c>
      <c r="R25" s="937">
        <f t="shared" si="8"/>
        <v>0.5490196078</v>
      </c>
      <c r="S25" s="937" t="str">
        <f>IF(R25&lt;'PlayerGrades+'!$AH$21,"F-",IF(R25&lt;'PlayerGrades+'!$AH$20,"F",IF(R25&lt;'PlayerGrades+'!$AH$19,"F+",IF(R25&lt;'PlayerGrades+'!$AH$18,"E-",IF(R25&lt;'PlayerGrades+'!$AH$17,"E",IF(R25&lt;'PlayerGrades+'!$AH$16,"E+",IF(R25&lt;'PlayerGrades+'!$AH$15,"D-",IF(R25&lt;'PlayerGrades+'!$AH$14,"D",IF(R25&lt;'PlayerGrades+'!$AH$13,"D+",IF(R25&lt;'PlayerGrades+'!$AH$12,"C-",IF(R25&lt;'PlayerGrades+'!$AH$11,"C",IF(R25&lt;'PlayerGrades+'!$AH$10,"C+",IF(R25&lt;'PlayerGrades+'!$AH$9,"B-",IF(R25&lt;'PlayerGrades+'!$AH$8,"B",IF(R25&lt;'PlayerGrades+'!$AH$7,"B+",IF(R25&lt;'PlayerGrades+'!$AH$6,"A-",IF(R25&lt;'PlayerGrades+'!$AH$5,"A",IF(R25&lt;'PlayerGrades+'!$AH$4,"A+",IF(R25&lt;'PlayerGrades+'!$AH$3,"S-",IF(R25&lt;'PlayerGrades+'!$AH$2,"S","S+"))))))))))))))))))))</f>
        <v>B-</v>
      </c>
      <c r="T25" s="937">
        <f t="shared" si="9"/>
        <v>1.156862745</v>
      </c>
      <c r="U25" s="937" t="str">
        <f>IF(T25&lt;'PlayerGrades+'!$AI$21,"F-",IF(T25&lt;'PlayerGrades+'!$AI$20,"F",IF(T25&lt;'PlayerGrades+'!$AI$19,"F+",IF(T25&lt;'PlayerGrades+'!$AI$18,"E-",IF(T25&lt;'PlayerGrades+'!$AI$17,"E",IF(T25&lt;'PlayerGrades+'!$AI$16,"E+",IF(T25&lt;'PlayerGrades+'!$AI$15,"D-",IF(T25&lt;'PlayerGrades+'!$AI$14,"D",IF(T25&lt;'PlayerGrades+'!$AI$13,"D+",IF(T25&lt;'PlayerGrades+'!$AI$12,"C-",IF(T25&lt;'PlayerGrades+'!$AI$11,"C",IF(T25&lt;'PlayerGrades+'!$AI$10,"C+",IF(T25&lt;'PlayerGrades+'!$AI$9,"B-",IF(T25&lt;'PlayerGrades+'!$AI$8,"B",IF(T25&lt;'PlayerGrades+'!$AI$7,"B+",IF(T25&lt;'PlayerGrades+'!$AI$6,"A-",IF(T25&lt;'PlayerGrades+'!$AI$5,"A",IF(T25&lt;'PlayerGrades+'!$AI$4,"A+",IF(T25&lt;'PlayerGrades+'!$AI$3,"S-",IF(T25&lt;'PlayerGrades+'!$AI$2,"S","S+"))))))))))))))))))))</f>
        <v>D+</v>
      </c>
      <c r="V25" s="882">
        <v>1.0</v>
      </c>
      <c r="W25" s="944">
        <v>1.0</v>
      </c>
      <c r="X25" s="944">
        <v>0.0</v>
      </c>
      <c r="Y25" s="944">
        <v>5.0</v>
      </c>
      <c r="Z25" s="944">
        <v>7.0</v>
      </c>
      <c r="AA25" s="944">
        <v>21.0</v>
      </c>
      <c r="AB25" s="944">
        <v>16.0</v>
      </c>
      <c r="AC25" s="944">
        <v>5.0</v>
      </c>
      <c r="AD25" s="944">
        <v>3.0</v>
      </c>
      <c r="AE25" s="944">
        <v>3.0</v>
      </c>
      <c r="AF25" s="944">
        <v>0.0</v>
      </c>
      <c r="AG25" s="944">
        <v>631.0</v>
      </c>
      <c r="AH25" s="944">
        <v>765.0</v>
      </c>
      <c r="AI25" s="944">
        <v>39.0</v>
      </c>
      <c r="AJ25" s="944">
        <v>441.0</v>
      </c>
      <c r="AK25" s="944">
        <v>0.0</v>
      </c>
      <c r="AL25" s="944">
        <v>0.0</v>
      </c>
      <c r="AM25" s="944">
        <v>0.0</v>
      </c>
      <c r="AN25" s="944">
        <v>0.0</v>
      </c>
      <c r="AO25" s="944">
        <v>0.0</v>
      </c>
      <c r="AP25" s="944">
        <v>0.0</v>
      </c>
      <c r="AQ25" s="944">
        <v>0.0</v>
      </c>
      <c r="AR25" s="944">
        <v>1.0</v>
      </c>
      <c r="AS25" s="944">
        <v>0.0</v>
      </c>
      <c r="AT25" s="944">
        <v>0.0</v>
      </c>
      <c r="AU25" s="944">
        <v>0.0</v>
      </c>
      <c r="AV25" s="944">
        <v>0.0</v>
      </c>
      <c r="AW25" s="944">
        <v>0.0</v>
      </c>
      <c r="AX25" s="944">
        <v>0.0</v>
      </c>
      <c r="AY25" s="944">
        <v>0.0</v>
      </c>
      <c r="AZ25" s="944">
        <v>0.0</v>
      </c>
      <c r="BA25" s="944">
        <v>0.0</v>
      </c>
      <c r="BB25" s="944">
        <v>0.0</v>
      </c>
      <c r="BC25" s="944">
        <v>0.0</v>
      </c>
      <c r="BD25" s="944">
        <v>4.0</v>
      </c>
      <c r="BE25" s="945">
        <v>2.0</v>
      </c>
      <c r="BF25" s="941">
        <v>1.0</v>
      </c>
      <c r="BG25" s="941">
        <v>0.0</v>
      </c>
    </row>
    <row r="26">
      <c r="A26" s="946" t="s">
        <v>117</v>
      </c>
      <c r="B26" s="16" t="str">
        <f>IF(C26&lt;'PlayerGrades+'!$Y$44,"F-",IF(C26&lt;'PlayerGrades+'!$Y$43,"F",IF(C26&lt;'PlayerGrades+'!$Y$42,"F+",IF(C26&lt;'PlayerGrades+'!$Y$41,"E-",IF(C26&lt;'PlayerGrades+'!$Y$40,"E",IF(C26&lt;'PlayerGrades+'!$Y$39,"E+",IF(C26&lt;'PlayerGrades+'!$Y$38,"D-",IF(C26&lt;'PlayerGrades+'!$Y$37,"D",IF(C26&lt;'PlayerGrades+'!$Y$36,"D+",IF(C26&lt;'PlayerGrades+'!$Y$35,"C-",IF(C26&lt;'PlayerGrades+'!$Y$34,"C",IF(C26&lt;'PlayerGrades+'!$Y$33,"C+",IF(C26&lt;'PlayerGrades+'!$Y$32,"B-",IF(C26&lt;'PlayerGrades+'!$Y$31,"B",IF(C26&lt;'PlayerGrades+'!$Y$30,"B+",IF(C26&lt;'PlayerGrades+'!$Y$29,"A-",IF(C26&lt;'PlayerGrades+'!$Y$28,"A",IF(C26&lt;'PlayerGrades+'!$Y$27,"A+",IF(C26&lt;'PlayerGrades+'!$Y$26,"S-",IF(C26&lt;'PlayerGrades+'!$Y$25,"S","S+"))))))))))))))))))))</f>
        <v>D</v>
      </c>
      <c r="C26" s="936">
        <f>('PlayerGrades+'!$Y$47*(VLOOKUP(E26, 'PlayerGrades+'!$X$3:$Y$23, 2, FALSE)))+('PlayerGrades+'!$Y$48*(VLOOKUP(G26, 'PlayerGrades+'!$X$3:$Y$23, 2, FALSE)))+('PlayerGrades+'!$Y$49*(VLOOKUP(I26, 'PlayerGrades+'!$X$3:$Y$23, 2, FALSE)))+('PlayerGrades+'!$Y$50*(VLOOKUP(K26, 'PlayerGrades+'!$X$3:$Y$23, 2, FALSE)))+('PlayerGrades+'!$Y$51*(VLOOKUP(M26, 'PlayerGrades+'!$X$3:$Y$23, 2, FALSE)))+('PlayerGrades+'!$Y$52*(VLOOKUP(O26, 'PlayerGrades+'!$X$3:$Y$23, 2, FALSE)))+('PlayerGrades+'!$Y$53*(VLOOKUP(Q26, 'PlayerGrades+'!$X$3:$Y$23, 2, FALSE)))+('PlayerGrades+'!$Y$54*(VLOOKUP(S26, 'PlayerGrades+'!$X$3:$Y$23, 2, FALSE)))+('PlayerGrades+'!$Y$55*(VLOOKUP(U26, 'PlayerGrades+'!$X$3:$Y$23, 2, FALSE)))</f>
        <v>16.1</v>
      </c>
      <c r="D26" s="937">
        <f t="shared" si="1"/>
        <v>0</v>
      </c>
      <c r="E26" s="937" t="str">
        <f>IF(D26&lt;'PlayerGrades+'!$AA$21,"F-",IF(D26&lt;'PlayerGrades+'!$AA$20,"F",IF(D26&lt;'PlayerGrades+'!$AA$19,"F+",IF(D26&lt;'PlayerGrades+'!$AA$18,"E-",IF(D26&lt;'PlayerGrades+'!$AA$17,"E",IF(D26&lt;'PlayerGrades+'!$AA$16,"E+",IF(D26&lt;'PlayerGrades+'!$AA$15,"D-",IF(D26&lt;'PlayerGrades+'!$AA$14,"D",IF(D26&lt;'PlayerGrades+'!$AA$13,"D+",IF(D26&lt;'PlayerGrades+'!$AA$12,"C-",IF(D26&lt;'PlayerGrades+'!$AA$11,"C",IF(D26&lt;'PlayerGrades+'!$AA$10,"C+",IF(D26&lt;'PlayerGrades+'!$AA$9,"B-",IF(D26&lt;'PlayerGrades+'!$AA$8,"B",IF(D26&lt;'PlayerGrades+'!$AA$7,"B+",IF(D26&lt;'PlayerGrades+'!$AA$6,"A-",IF(D26&lt;'PlayerGrades+'!$AA$5,"A",IF(D26&lt;'PlayerGrades+'!$AA$4,"A+",IF(D26&lt;'PlayerGrades+'!$AA$3,"S-",IF(D26&lt;'PlayerGrades+'!$AA$2,"S","S+"))))))))))))))))))))</f>
        <v>F-</v>
      </c>
      <c r="F26" s="937">
        <f t="shared" si="2"/>
        <v>-0.5060622035</v>
      </c>
      <c r="G26" s="937" t="str">
        <f>IF(F26&lt;'PlayerGrades+'!$AB$21,"F-",IF(F26&lt;'PlayerGrades+'!$AB$20,"F",IF(F26&lt;'PlayerGrades+'!$AB$19,"F+",IF(F26&lt;'PlayerGrades+'!$AB$18,"E-",IF(F26&lt;'PlayerGrades+'!$AB$17,"E",IF(F26&lt;'PlayerGrades+'!$AB$16,"E+",IF(F26&lt;'PlayerGrades+'!$AB$15,"D-",IF(F26&lt;'PlayerGrades+'!$AB$14,"D",IF(F26&lt;'PlayerGrades+'!$AB$13,"D+",IF(F26&lt;'PlayerGrades+'!$AB$12,"C-",IF(F26&lt;'PlayerGrades+'!$AB$11,"C",IF(F26&lt;'PlayerGrades+'!$AB$10,"C+",IF(F26&lt;'PlayerGrades+'!$AB$9,"B-",IF(F26&lt;'PlayerGrades+'!$AB$8,"B",IF(F26&lt;'PlayerGrades+'!$AB$7,"B+",IF(F26&lt;'PlayerGrades+'!$AB$6,"A-",IF(F26&lt;'PlayerGrades+'!$AB$5,"A",IF(F26&lt;'PlayerGrades+'!$AB$4,"A+",IF(F26&lt;'PlayerGrades+'!$AB$3,"S-",IF(F26&lt;'PlayerGrades+'!$AB$2,"S","S+"))))))))))))))))))))</f>
        <v>D</v>
      </c>
      <c r="H26" s="937">
        <f t="shared" si="3"/>
        <v>0.06325777543</v>
      </c>
      <c r="I26" s="937" t="str">
        <f>IF(H26&lt;'PlayerGrades+'!$AC$21,"F-",IF(H26&lt;'PlayerGrades+'!$AC$20,"F",IF(H26&lt;'PlayerGrades+'!$AC$19,"F+",IF(H26&lt;'PlayerGrades+'!$AC$18,"E-",IF(H26&lt;'PlayerGrades+'!$AC$17,"E",IF(H26&lt;'PlayerGrades+'!$AC$16,"E+",IF(H26&lt;'PlayerGrades+'!$AC$15,"D-",IF(H26&lt;'PlayerGrades+'!$AC$14,"D",IF(H26&lt;'PlayerGrades+'!$AC$13,"D+",IF(H26&lt;'PlayerGrades+'!$AC$12,"C-",IF(H26&lt;'PlayerGrades+'!$AC$11,"C",IF(H26&lt;'PlayerGrades+'!$AC$10,"C+",IF(H26&lt;'PlayerGrades+'!$AC$9,"B-",IF(H26&lt;'PlayerGrades+'!$AC$8,"B",IF(H26&lt;'PlayerGrades+'!$AC$7,"B+",IF(H26&lt;'PlayerGrades+'!$AC$6,"A-",IF(H26&lt;'PlayerGrades+'!$AC$5,"A",IF(H26&lt;'PlayerGrades+'!$AC$4,"A+",IF(H26&lt;'PlayerGrades+'!$AC$3,"S-",IF(H26&lt;'PlayerGrades+'!$AC$2,"S","S+"))))))))))))))))))))</f>
        <v>E-</v>
      </c>
      <c r="J26" s="937">
        <f t="shared" si="4"/>
        <v>0.03162888772</v>
      </c>
      <c r="K26" s="937" t="str">
        <f>IF(J26&lt;'PlayerGrades+'!$AD$21,"F-",IF(J26&lt;'PlayerGrades+'!$AD$20,"F",IF(J26&lt;'PlayerGrades+'!$AD$19,"F+",IF(J26&lt;'PlayerGrades+'!$AD$18,"E-",IF(J26&lt;'PlayerGrades+'!$AD$17,"E",IF(J26&lt;'PlayerGrades+'!$AD$16,"E+",IF(J26&lt;'PlayerGrades+'!$AD$15,"D-",IF(J26&lt;'PlayerGrades+'!$AD$14,"D",IF(J26&lt;'PlayerGrades+'!$AD$13,"D+",IF(J26&lt;'PlayerGrades+'!$AD$12,"C-",IF(J26&lt;'PlayerGrades+'!$AD$11,"C",IF(J26&lt;'PlayerGrades+'!$AD$10,"C+",IF(J26&lt;'PlayerGrades+'!$AD$9,"B-",IF(J26&lt;'PlayerGrades+'!$AD$8,"B",IF(J26&lt;'PlayerGrades+'!$AD$7,"B+",IF(J26&lt;'PlayerGrades+'!$AD$6,"A-",IF(J26&lt;'PlayerGrades+'!$AD$5,"A",IF(J26&lt;'PlayerGrades+'!$AD$4,"A+",IF(J26&lt;'PlayerGrades+'!$AD$3,"S-",IF(J26&lt;'PlayerGrades+'!$AD$2,"S","S+"))))))))))))))))))))</f>
        <v>C</v>
      </c>
      <c r="L26" s="677">
        <f t="shared" si="5"/>
        <v>0.4111755403</v>
      </c>
      <c r="M26" s="938" t="str">
        <f>IF(L26&lt;'PlayerGrades+'!$AE$21,"F-",IF(L26&lt;'PlayerGrades+'!$AE$20,"F",IF(L26&lt;'PlayerGrades+'!$AE$19,"F+",IF(L26&lt;'PlayerGrades+'!$AE$18,"E-",IF(L26&lt;'PlayerGrades+'!$AE$17,"E",IF(L26&lt;'PlayerGrades+'!$AE$16,"E+",IF(L26&lt;'PlayerGrades+'!$AE$15,"D-",IF(L26&lt;'PlayerGrades+'!$AE$14,"D",IF(L26&lt;'PlayerGrades+'!$AE$13,"D+",IF(L26&lt;'PlayerGrades+'!$AE$12,"C-",IF(L26&lt;'PlayerGrades+'!$AE$11,"C",IF(L26&lt;'PlayerGrades+'!$AE$10,"C+",IF(L26&lt;'PlayerGrades+'!$AE$9,"B-",IF(L26&lt;'PlayerGrades+'!$AE$8,"B",IF(L26&lt;'PlayerGrades+'!$AE$7,"B+",IF(L26&lt;'PlayerGrades+'!$AE$6,"A-",IF(L26&lt;'PlayerGrades+'!$AE$5,"A",IF(L26&lt;'PlayerGrades+'!$AE$4,"A+",IF(L26&lt;'PlayerGrades+'!$AE$3,"S-",IF(L26&lt;'PlayerGrades+'!$AE$2,"S","S+"))))))))))))))))))))</f>
        <v>C+</v>
      </c>
      <c r="N26" s="937">
        <f t="shared" si="6"/>
        <v>0.09488666315</v>
      </c>
      <c r="O26" s="937" t="str">
        <f>IF(N26&lt;'PlayerGrades+'!$AF$21,"F-",IF(N26&lt;'PlayerGrades+'!$AF$20,"F",IF(N26&lt;'PlayerGrades+'!$AF$19,"F+",IF(N26&lt;'PlayerGrades+'!$AF$18,"E-",IF(N26&lt;'PlayerGrades+'!$AF$17,"E",IF(N26&lt;'PlayerGrades+'!$AF$16,"E+",IF(N26&lt;'PlayerGrades+'!$AF$15,"D-",IF(N26&lt;'PlayerGrades+'!$AF$14,"D",IF(N26&lt;'PlayerGrades+'!$AF$13,"D+",IF(N26&lt;'PlayerGrades+'!$AF$12,"C-",IF(N26&lt;'PlayerGrades+'!$AF$11,"C",IF(N26&lt;'PlayerGrades+'!$AF$10,"C+",IF(N26&lt;'PlayerGrades+'!$AF$9,"B-",IF(N26&lt;'PlayerGrades+'!$AF$8,"B",IF(N26&lt;'PlayerGrades+'!$AF$7,"B+",IF(N26&lt;'PlayerGrades+'!$AF$6,"A-",IF(N26&lt;'PlayerGrades+'!$AF$5,"A",IF(N26&lt;'PlayerGrades+'!$AF$4,"A+",IF(N26&lt;'PlayerGrades+'!$AF$3,"S-",IF(N26&lt;'PlayerGrades+'!$AF$2,"S","S+"))))))))))))))))))))</f>
        <v>A-</v>
      </c>
      <c r="P26" s="937">
        <f t="shared" si="7"/>
        <v>0.03162888772</v>
      </c>
      <c r="Q26" s="937" t="str">
        <f>IF(P26&lt;'PlayerGrades+'!$AG$21,"F-",IF(P26&lt;'PlayerGrades+'!$AG$20,"F",IF(P26&lt;'PlayerGrades+'!$AG$19,"F+",IF(P26&lt;'PlayerGrades+'!$AG$18,"E-",IF(P26&lt;'PlayerGrades+'!$AG$17,"E",IF(P26&lt;'PlayerGrades+'!$AG$16,"E+",IF(P26&lt;'PlayerGrades+'!$AG$15,"D-",IF(P26&lt;'PlayerGrades+'!$AG$14,"D",IF(P26&lt;'PlayerGrades+'!$AG$13,"D+",IF(P26&lt;'PlayerGrades+'!$AG$12,"C-",IF(P26&lt;'PlayerGrades+'!$AG$11,"C",IF(P26&lt;'PlayerGrades+'!$AG$10,"C+",IF(P26&lt;'PlayerGrades+'!$AG$9,"B-",IF(P26&lt;'PlayerGrades+'!$AG$8,"B",IF(P26&lt;'PlayerGrades+'!$AG$7,"B+",IF(P26&lt;'PlayerGrades+'!$AG$6,"A-",IF(P26&lt;'PlayerGrades+'!$AG$5,"A",IF(P26&lt;'PlayerGrades+'!$AG$4,"A+",IF(P26&lt;'PlayerGrades+'!$AG$3,"S-",IF(P26&lt;'PlayerGrades+'!$AG$2,"S","S+"))))))))))))))))))))</f>
        <v>B+</v>
      </c>
      <c r="R26" s="937">
        <f t="shared" si="8"/>
        <v>0.4744333158</v>
      </c>
      <c r="S26" s="937" t="str">
        <f>IF(R26&lt;'PlayerGrades+'!$AH$21,"F-",IF(R26&lt;'PlayerGrades+'!$AH$20,"F",IF(R26&lt;'PlayerGrades+'!$AH$19,"F+",IF(R26&lt;'PlayerGrades+'!$AH$18,"E-",IF(R26&lt;'PlayerGrades+'!$AH$17,"E",IF(R26&lt;'PlayerGrades+'!$AH$16,"E+",IF(R26&lt;'PlayerGrades+'!$AH$15,"D-",IF(R26&lt;'PlayerGrades+'!$AH$14,"D",IF(R26&lt;'PlayerGrades+'!$AH$13,"D+",IF(R26&lt;'PlayerGrades+'!$AH$12,"C-",IF(R26&lt;'PlayerGrades+'!$AH$11,"C",IF(R26&lt;'PlayerGrades+'!$AH$10,"C+",IF(R26&lt;'PlayerGrades+'!$AH$9,"B-",IF(R26&lt;'PlayerGrades+'!$AH$8,"B",IF(R26&lt;'PlayerGrades+'!$AH$7,"B+",IF(R26&lt;'PlayerGrades+'!$AH$6,"A-",IF(R26&lt;'PlayerGrades+'!$AH$5,"A",IF(R26&lt;'PlayerGrades+'!$AH$4,"A+",IF(R26&lt;'PlayerGrades+'!$AH$3,"S-",IF(R26&lt;'PlayerGrades+'!$AH$2,"S","S+"))))))))))))))))))))</f>
        <v>E+</v>
      </c>
      <c r="T26" s="937">
        <f t="shared" si="9"/>
        <v>0.5060622035</v>
      </c>
      <c r="U26" s="937" t="str">
        <f>IF(T26&lt;'PlayerGrades+'!$AI$21,"F-",IF(T26&lt;'PlayerGrades+'!$AI$20,"F",IF(T26&lt;'PlayerGrades+'!$AI$19,"F+",IF(T26&lt;'PlayerGrades+'!$AI$18,"E-",IF(T26&lt;'PlayerGrades+'!$AI$17,"E",IF(T26&lt;'PlayerGrades+'!$AI$16,"E+",IF(T26&lt;'PlayerGrades+'!$AI$15,"D-",IF(T26&lt;'PlayerGrades+'!$AI$14,"D",IF(T26&lt;'PlayerGrades+'!$AI$13,"D+",IF(T26&lt;'PlayerGrades+'!$AI$12,"C-",IF(T26&lt;'PlayerGrades+'!$AI$11,"C",IF(T26&lt;'PlayerGrades+'!$AI$10,"C+",IF(T26&lt;'PlayerGrades+'!$AI$9,"B-",IF(T26&lt;'PlayerGrades+'!$AI$8,"B",IF(T26&lt;'PlayerGrades+'!$AI$7,"B+",IF(T26&lt;'PlayerGrades+'!$AI$6,"A-",IF(T26&lt;'PlayerGrades+'!$AI$5,"A",IF(T26&lt;'PlayerGrades+'!$AI$4,"A+",IF(T26&lt;'PlayerGrades+'!$AI$3,"S-",IF(T26&lt;'PlayerGrades+'!$AI$2,"S","S+"))))))))))))))))))))</f>
        <v>F-</v>
      </c>
      <c r="V26" s="939">
        <v>1.0</v>
      </c>
      <c r="W26" s="895">
        <v>0.0</v>
      </c>
      <c r="X26" s="939">
        <v>1.0</v>
      </c>
      <c r="Y26" s="939">
        <v>0.0</v>
      </c>
      <c r="Z26" s="939">
        <v>0.0</v>
      </c>
      <c r="AA26" s="939">
        <v>88.0</v>
      </c>
      <c r="AB26" s="939">
        <v>104.0</v>
      </c>
      <c r="AC26" s="939">
        <v>-16.0</v>
      </c>
      <c r="AD26" s="939">
        <v>6.0</v>
      </c>
      <c r="AE26" s="939">
        <v>7.0</v>
      </c>
      <c r="AF26" s="939">
        <v>1.0</v>
      </c>
      <c r="AG26" s="939">
        <v>1476.0</v>
      </c>
      <c r="AH26" s="939">
        <v>1897.0</v>
      </c>
      <c r="AI26" s="939">
        <v>14.0</v>
      </c>
      <c r="AJ26" s="939">
        <v>44.0</v>
      </c>
      <c r="AK26" s="939">
        <v>0.0</v>
      </c>
      <c r="AL26" s="939">
        <v>1.0</v>
      </c>
      <c r="AM26" s="939">
        <v>0.0</v>
      </c>
      <c r="AN26" s="939">
        <v>0.0</v>
      </c>
      <c r="AO26" s="939">
        <v>0.0</v>
      </c>
      <c r="AP26" s="939">
        <v>1.0</v>
      </c>
      <c r="AQ26" s="939">
        <v>0.0</v>
      </c>
      <c r="AR26" s="939">
        <v>13.0</v>
      </c>
      <c r="AS26" s="939">
        <v>3.0</v>
      </c>
      <c r="AT26" s="939">
        <v>0.0</v>
      </c>
      <c r="AU26" s="939">
        <v>0.0</v>
      </c>
      <c r="AV26" s="939">
        <v>0.0</v>
      </c>
      <c r="AW26" s="939">
        <v>0.0</v>
      </c>
      <c r="AX26" s="939">
        <v>0.0</v>
      </c>
      <c r="AY26" s="939">
        <v>0.0</v>
      </c>
      <c r="AZ26" s="939">
        <v>0.0</v>
      </c>
      <c r="BA26" s="939">
        <v>0.0</v>
      </c>
      <c r="BB26" s="939">
        <v>2.0</v>
      </c>
      <c r="BC26" s="895">
        <v>0.0</v>
      </c>
      <c r="BD26" s="895">
        <v>9.0</v>
      </c>
      <c r="BE26" s="947">
        <v>16.0</v>
      </c>
      <c r="BF26" s="941">
        <v>0.0</v>
      </c>
      <c r="BG26" s="941">
        <v>1.0</v>
      </c>
    </row>
    <row r="27">
      <c r="A27" s="935" t="s">
        <v>150</v>
      </c>
      <c r="B27" s="16" t="str">
        <f>IF(C27&lt;'PlayerGrades+'!$Y$44,"F-",IF(C27&lt;'PlayerGrades+'!$Y$43,"F",IF(C27&lt;'PlayerGrades+'!$Y$42,"F+",IF(C27&lt;'PlayerGrades+'!$Y$41,"E-",IF(C27&lt;'PlayerGrades+'!$Y$40,"E",IF(C27&lt;'PlayerGrades+'!$Y$39,"E+",IF(C27&lt;'PlayerGrades+'!$Y$38,"D-",IF(C27&lt;'PlayerGrades+'!$Y$37,"D",IF(C27&lt;'PlayerGrades+'!$Y$36,"D+",IF(C27&lt;'PlayerGrades+'!$Y$35,"C-",IF(C27&lt;'PlayerGrades+'!$Y$34,"C",IF(C27&lt;'PlayerGrades+'!$Y$33,"C+",IF(C27&lt;'PlayerGrades+'!$Y$32,"B-",IF(C27&lt;'PlayerGrades+'!$Y$31,"B",IF(C27&lt;'PlayerGrades+'!$Y$30,"B+",IF(C27&lt;'PlayerGrades+'!$Y$29,"A-",IF(C27&lt;'PlayerGrades+'!$Y$28,"A",IF(C27&lt;'PlayerGrades+'!$Y$27,"A+",IF(C27&lt;'PlayerGrades+'!$Y$26,"S-",IF(C27&lt;'PlayerGrades+'!$Y$25,"S","S+"))))))))))))))))))))</f>
        <v>E-</v>
      </c>
      <c r="C27" s="936">
        <f>('PlayerGrades+'!$Y$47*(VLOOKUP(E27, 'PlayerGrades+'!$X$3:$Y$23, 2, FALSE)))+('PlayerGrades+'!$Y$48*(VLOOKUP(G27, 'PlayerGrades+'!$X$3:$Y$23, 2, FALSE)))+('PlayerGrades+'!$Y$49*(VLOOKUP(I27, 'PlayerGrades+'!$X$3:$Y$23, 2, FALSE)))+('PlayerGrades+'!$Y$50*(VLOOKUP(K27, 'PlayerGrades+'!$X$3:$Y$23, 2, FALSE)))+('PlayerGrades+'!$Y$51*(VLOOKUP(M27, 'PlayerGrades+'!$X$3:$Y$23, 2, FALSE)))+('PlayerGrades+'!$Y$52*(VLOOKUP(O27, 'PlayerGrades+'!$X$3:$Y$23, 2, FALSE)))+('PlayerGrades+'!$Y$53*(VLOOKUP(Q27, 'PlayerGrades+'!$X$3:$Y$23, 2, FALSE)))+('PlayerGrades+'!$Y$54*(VLOOKUP(S27, 'PlayerGrades+'!$X$3:$Y$23, 2, FALSE)))+('PlayerGrades+'!$Y$55*(VLOOKUP(U27, 'PlayerGrades+'!$X$3:$Y$23, 2, FALSE)))</f>
        <v>11.35</v>
      </c>
      <c r="D27" s="937">
        <f t="shared" si="1"/>
        <v>0.06325777543</v>
      </c>
      <c r="E27" s="937" t="str">
        <f>IF(D27&lt;'PlayerGrades+'!$AA$21,"F-",IF(D27&lt;'PlayerGrades+'!$AA$20,"F",IF(D27&lt;'PlayerGrades+'!$AA$19,"F+",IF(D27&lt;'PlayerGrades+'!$AA$18,"E-",IF(D27&lt;'PlayerGrades+'!$AA$17,"E",IF(D27&lt;'PlayerGrades+'!$AA$16,"E+",IF(D27&lt;'PlayerGrades+'!$AA$15,"D-",IF(D27&lt;'PlayerGrades+'!$AA$14,"D",IF(D27&lt;'PlayerGrades+'!$AA$13,"D+",IF(D27&lt;'PlayerGrades+'!$AA$12,"C-",IF(D27&lt;'PlayerGrades+'!$AA$11,"C",IF(D27&lt;'PlayerGrades+'!$AA$10,"C+",IF(D27&lt;'PlayerGrades+'!$AA$9,"B-",IF(D27&lt;'PlayerGrades+'!$AA$8,"B",IF(D27&lt;'PlayerGrades+'!$AA$7,"B+",IF(D27&lt;'PlayerGrades+'!$AA$6,"A-",IF(D27&lt;'PlayerGrades+'!$AA$5,"A",IF(D27&lt;'PlayerGrades+'!$AA$4,"A+",IF(D27&lt;'PlayerGrades+'!$AA$3,"S-",IF(D27&lt;'PlayerGrades+'!$AA$2,"S","S+"))))))))))))))))))))</f>
        <v>B-</v>
      </c>
      <c r="F27" s="937">
        <f t="shared" si="2"/>
        <v>-1.644702161</v>
      </c>
      <c r="G27" s="937" t="str">
        <f>IF(F27&lt;'PlayerGrades+'!$AB$21,"F-",IF(F27&lt;'PlayerGrades+'!$AB$20,"F",IF(F27&lt;'PlayerGrades+'!$AB$19,"F+",IF(F27&lt;'PlayerGrades+'!$AB$18,"E-",IF(F27&lt;'PlayerGrades+'!$AB$17,"E",IF(F27&lt;'PlayerGrades+'!$AB$16,"E+",IF(F27&lt;'PlayerGrades+'!$AB$15,"D-",IF(F27&lt;'PlayerGrades+'!$AB$14,"D",IF(F27&lt;'PlayerGrades+'!$AB$13,"D+",IF(F27&lt;'PlayerGrades+'!$AB$12,"C-",IF(F27&lt;'PlayerGrades+'!$AB$11,"C",IF(F27&lt;'PlayerGrades+'!$AB$10,"C+",IF(F27&lt;'PlayerGrades+'!$AB$9,"B-",IF(F27&lt;'PlayerGrades+'!$AB$8,"B",IF(F27&lt;'PlayerGrades+'!$AB$7,"B+",IF(F27&lt;'PlayerGrades+'!$AB$6,"A-",IF(F27&lt;'PlayerGrades+'!$AB$5,"A",IF(F27&lt;'PlayerGrades+'!$AB$4,"A+",IF(F27&lt;'PlayerGrades+'!$AB$3,"S-",IF(F27&lt;'PlayerGrades+'!$AB$2,"S","S+"))))))))))))))))))))</f>
        <v>F-</v>
      </c>
      <c r="H27" s="937">
        <f t="shared" si="3"/>
        <v>0.1581444386</v>
      </c>
      <c r="I27" s="937" t="str">
        <f>IF(H27&lt;'PlayerGrades+'!$AC$21,"F-",IF(H27&lt;'PlayerGrades+'!$AC$20,"F",IF(H27&lt;'PlayerGrades+'!$AC$19,"F+",IF(H27&lt;'PlayerGrades+'!$AC$18,"E-",IF(H27&lt;'PlayerGrades+'!$AC$17,"E",IF(H27&lt;'PlayerGrades+'!$AC$16,"E+",IF(H27&lt;'PlayerGrades+'!$AC$15,"D-",IF(H27&lt;'PlayerGrades+'!$AC$14,"D",IF(H27&lt;'PlayerGrades+'!$AC$13,"D+",IF(H27&lt;'PlayerGrades+'!$AC$12,"C-",IF(H27&lt;'PlayerGrades+'!$AC$11,"C",IF(H27&lt;'PlayerGrades+'!$AC$10,"C+",IF(H27&lt;'PlayerGrades+'!$AC$9,"B-",IF(H27&lt;'PlayerGrades+'!$AC$8,"B",IF(H27&lt;'PlayerGrades+'!$AC$7,"B+",IF(H27&lt;'PlayerGrades+'!$AC$6,"A-",IF(H27&lt;'PlayerGrades+'!$AC$5,"A",IF(H27&lt;'PlayerGrades+'!$AC$4,"A+",IF(H27&lt;'PlayerGrades+'!$AC$3,"S-",IF(H27&lt;'PlayerGrades+'!$AC$2,"S","S+"))))))))))))))))))))</f>
        <v>A</v>
      </c>
      <c r="J27" s="937">
        <f t="shared" si="4"/>
        <v>0</v>
      </c>
      <c r="K27" s="937" t="str">
        <f>IF(J27&lt;'PlayerGrades+'!$AD$21,"F-",IF(J27&lt;'PlayerGrades+'!$AD$20,"F",IF(J27&lt;'PlayerGrades+'!$AD$19,"F+",IF(J27&lt;'PlayerGrades+'!$AD$18,"E-",IF(J27&lt;'PlayerGrades+'!$AD$17,"E",IF(J27&lt;'PlayerGrades+'!$AD$16,"E+",IF(J27&lt;'PlayerGrades+'!$AD$15,"D-",IF(J27&lt;'PlayerGrades+'!$AD$14,"D",IF(J27&lt;'PlayerGrades+'!$AD$13,"D+",IF(J27&lt;'PlayerGrades+'!$AD$12,"C-",IF(J27&lt;'PlayerGrades+'!$AD$11,"C",IF(J27&lt;'PlayerGrades+'!$AD$10,"C+",IF(J27&lt;'PlayerGrades+'!$AD$9,"B-",IF(J27&lt;'PlayerGrades+'!$AD$8,"B",IF(J27&lt;'PlayerGrades+'!$AD$7,"B+",IF(J27&lt;'PlayerGrades+'!$AD$6,"A-",IF(J27&lt;'PlayerGrades+'!$AD$5,"A",IF(J27&lt;'PlayerGrades+'!$AD$4,"A+",IF(J27&lt;'PlayerGrades+'!$AD$3,"S-",IF(J27&lt;'PlayerGrades+'!$AD$2,"S","S+"))))))))))))))))))))</f>
        <v>F-</v>
      </c>
      <c r="L27" s="677">
        <f t="shared" si="5"/>
        <v>0.2846599895</v>
      </c>
      <c r="M27" s="938" t="str">
        <f>IF(L27&lt;'PlayerGrades+'!$AE$21,"F-",IF(L27&lt;'PlayerGrades+'!$AE$20,"F",IF(L27&lt;'PlayerGrades+'!$AE$19,"F+",IF(L27&lt;'PlayerGrades+'!$AE$18,"E-",IF(L27&lt;'PlayerGrades+'!$AE$17,"E",IF(L27&lt;'PlayerGrades+'!$AE$16,"E+",IF(L27&lt;'PlayerGrades+'!$AE$15,"D-",IF(L27&lt;'PlayerGrades+'!$AE$14,"D",IF(L27&lt;'PlayerGrades+'!$AE$13,"D+",IF(L27&lt;'PlayerGrades+'!$AE$12,"C-",IF(L27&lt;'PlayerGrades+'!$AE$11,"C",IF(L27&lt;'PlayerGrades+'!$AE$10,"C+",IF(L27&lt;'PlayerGrades+'!$AE$9,"B-",IF(L27&lt;'PlayerGrades+'!$AE$8,"B",IF(L27&lt;'PlayerGrades+'!$AE$7,"B+",IF(L27&lt;'PlayerGrades+'!$AE$6,"A-",IF(L27&lt;'PlayerGrades+'!$AE$5,"A",IF(L27&lt;'PlayerGrades+'!$AE$4,"A+",IF(L27&lt;'PlayerGrades+'!$AE$3,"S-",IF(L27&lt;'PlayerGrades+'!$AE$2,"S","S+"))))))))))))))))))))</f>
        <v>F+</v>
      </c>
      <c r="N27" s="937">
        <f t="shared" si="6"/>
        <v>0.03162888772</v>
      </c>
      <c r="O27" s="937" t="str">
        <f>IF(N27&lt;'PlayerGrades+'!$AF$21,"F-",IF(N27&lt;'PlayerGrades+'!$AF$20,"F",IF(N27&lt;'PlayerGrades+'!$AF$19,"F+",IF(N27&lt;'PlayerGrades+'!$AF$18,"E-",IF(N27&lt;'PlayerGrades+'!$AF$17,"E",IF(N27&lt;'PlayerGrades+'!$AF$16,"E+",IF(N27&lt;'PlayerGrades+'!$AF$15,"D-",IF(N27&lt;'PlayerGrades+'!$AF$14,"D",IF(N27&lt;'PlayerGrades+'!$AF$13,"D+",IF(N27&lt;'PlayerGrades+'!$AF$12,"C-",IF(N27&lt;'PlayerGrades+'!$AF$11,"C",IF(N27&lt;'PlayerGrades+'!$AF$10,"C+",IF(N27&lt;'PlayerGrades+'!$AF$9,"B-",IF(N27&lt;'PlayerGrades+'!$AF$8,"B",IF(N27&lt;'PlayerGrades+'!$AF$7,"B+",IF(N27&lt;'PlayerGrades+'!$AF$6,"A-",IF(N27&lt;'PlayerGrades+'!$AF$5,"A",IF(N27&lt;'PlayerGrades+'!$AF$4,"A+",IF(N27&lt;'PlayerGrades+'!$AF$3,"S-",IF(N27&lt;'PlayerGrades+'!$AF$2,"S","S+"))))))))))))))))))))</f>
        <v>F</v>
      </c>
      <c r="P27" s="937">
        <f t="shared" si="7"/>
        <v>0</v>
      </c>
      <c r="Q27" s="937" t="str">
        <f>IF(P27&lt;'PlayerGrades+'!$AG$21,"F-",IF(P27&lt;'PlayerGrades+'!$AG$20,"F",IF(P27&lt;'PlayerGrades+'!$AG$19,"F+",IF(P27&lt;'PlayerGrades+'!$AG$18,"E-",IF(P27&lt;'PlayerGrades+'!$AG$17,"E",IF(P27&lt;'PlayerGrades+'!$AG$16,"E+",IF(P27&lt;'PlayerGrades+'!$AG$15,"D-",IF(P27&lt;'PlayerGrades+'!$AG$14,"D",IF(P27&lt;'PlayerGrades+'!$AG$13,"D+",IF(P27&lt;'PlayerGrades+'!$AG$12,"C-",IF(P27&lt;'PlayerGrades+'!$AG$11,"C",IF(P27&lt;'PlayerGrades+'!$AG$10,"C+",IF(P27&lt;'PlayerGrades+'!$AG$9,"B-",IF(P27&lt;'PlayerGrades+'!$AG$8,"B",IF(P27&lt;'PlayerGrades+'!$AG$7,"B+",IF(P27&lt;'PlayerGrades+'!$AG$6,"A-",IF(P27&lt;'PlayerGrades+'!$AG$5,"A",IF(P27&lt;'PlayerGrades+'!$AG$4,"A+",IF(P27&lt;'PlayerGrades+'!$AG$3,"S-",IF(P27&lt;'PlayerGrades+'!$AG$2,"S","S+"))))))))))))))))))))</f>
        <v>F</v>
      </c>
      <c r="R27" s="937">
        <f t="shared" si="8"/>
        <v>0.3479177649</v>
      </c>
      <c r="S27" s="937" t="str">
        <f>IF(R27&lt;'PlayerGrades+'!$AH$21,"F-",IF(R27&lt;'PlayerGrades+'!$AH$20,"F",IF(R27&lt;'PlayerGrades+'!$AH$19,"F+",IF(R27&lt;'PlayerGrades+'!$AH$18,"E-",IF(R27&lt;'PlayerGrades+'!$AH$17,"E",IF(R27&lt;'PlayerGrades+'!$AH$16,"E+",IF(R27&lt;'PlayerGrades+'!$AH$15,"D-",IF(R27&lt;'PlayerGrades+'!$AH$14,"D",IF(R27&lt;'PlayerGrades+'!$AH$13,"D+",IF(R27&lt;'PlayerGrades+'!$AH$12,"C-",IF(R27&lt;'PlayerGrades+'!$AH$11,"C",IF(R27&lt;'PlayerGrades+'!$AH$10,"C+",IF(R27&lt;'PlayerGrades+'!$AH$9,"B-",IF(R27&lt;'PlayerGrades+'!$AH$8,"B",IF(R27&lt;'PlayerGrades+'!$AH$7,"B+",IF(R27&lt;'PlayerGrades+'!$AH$6,"A-",IF(R27&lt;'PlayerGrades+'!$AH$5,"A",IF(R27&lt;'PlayerGrades+'!$AH$4,"A+",IF(R27&lt;'PlayerGrades+'!$AH$3,"S-",IF(R27&lt;'PlayerGrades+'!$AH$2,"S","S+"))))))))))))))))))))</f>
        <v>F</v>
      </c>
      <c r="T27" s="937">
        <f t="shared" si="9"/>
        <v>1.41117554</v>
      </c>
      <c r="U27" s="937" t="str">
        <f>IF(T27&lt;'PlayerGrades+'!$AI$21,"F-",IF(T27&lt;'PlayerGrades+'!$AI$20,"F",IF(T27&lt;'PlayerGrades+'!$AI$19,"F+",IF(T27&lt;'PlayerGrades+'!$AI$18,"E-",IF(T27&lt;'PlayerGrades+'!$AI$17,"E",IF(T27&lt;'PlayerGrades+'!$AI$16,"E+",IF(T27&lt;'PlayerGrades+'!$AI$15,"D-",IF(T27&lt;'PlayerGrades+'!$AI$14,"D",IF(T27&lt;'PlayerGrades+'!$AI$13,"D+",IF(T27&lt;'PlayerGrades+'!$AI$12,"C-",IF(T27&lt;'PlayerGrades+'!$AI$11,"C",IF(T27&lt;'PlayerGrades+'!$AI$10,"C+",IF(T27&lt;'PlayerGrades+'!$AI$9,"B-",IF(T27&lt;'PlayerGrades+'!$AI$8,"B",IF(T27&lt;'PlayerGrades+'!$AI$7,"B+",IF(T27&lt;'PlayerGrades+'!$AI$6,"A-",IF(T27&lt;'PlayerGrades+'!$AI$5,"A",IF(T27&lt;'PlayerGrades+'!$AI$4,"A+",IF(T27&lt;'PlayerGrades+'!$AI$3,"S-",IF(T27&lt;'PlayerGrades+'!$AI$2,"S","S+"))))))))))))))))))))</f>
        <v>B</v>
      </c>
      <c r="V27" s="941">
        <v>1.0</v>
      </c>
      <c r="W27" s="941">
        <v>0.0</v>
      </c>
      <c r="X27" s="941">
        <v>1.0</v>
      </c>
      <c r="Y27" s="941">
        <v>0.0</v>
      </c>
      <c r="Z27" s="941">
        <v>2.0</v>
      </c>
      <c r="AA27" s="941">
        <v>101.0</v>
      </c>
      <c r="AB27" s="941">
        <v>153.0</v>
      </c>
      <c r="AC27" s="941">
        <v>-52.0</v>
      </c>
      <c r="AD27" s="941">
        <v>3.0</v>
      </c>
      <c r="AE27" s="941">
        <v>4.0</v>
      </c>
      <c r="AF27" s="941">
        <v>1.0</v>
      </c>
      <c r="AG27" s="941">
        <v>1331.0</v>
      </c>
      <c r="AH27" s="941">
        <v>1897.0</v>
      </c>
      <c r="AI27" s="941">
        <v>8.0</v>
      </c>
      <c r="AJ27" s="941">
        <v>60.0</v>
      </c>
      <c r="AK27" s="941">
        <v>0.0</v>
      </c>
      <c r="AL27" s="941">
        <v>0.0</v>
      </c>
      <c r="AM27" s="941">
        <v>0.0</v>
      </c>
      <c r="AN27" s="941">
        <v>0.0</v>
      </c>
      <c r="AO27" s="941">
        <v>0.0</v>
      </c>
      <c r="AP27" s="941">
        <v>0.0</v>
      </c>
      <c r="AQ27" s="941">
        <v>0.0</v>
      </c>
      <c r="AR27" s="941">
        <v>9.0</v>
      </c>
      <c r="AS27" s="941">
        <v>1.0</v>
      </c>
      <c r="AT27" s="941">
        <v>0.0</v>
      </c>
      <c r="AU27" s="941">
        <v>0.0</v>
      </c>
      <c r="AV27" s="941">
        <v>0.0</v>
      </c>
      <c r="AW27" s="941">
        <v>0.0</v>
      </c>
      <c r="AX27" s="941">
        <v>0.0</v>
      </c>
      <c r="AY27" s="941">
        <v>0.0</v>
      </c>
      <c r="AZ27" s="941">
        <v>0.0</v>
      </c>
      <c r="BA27" s="941">
        <v>0.0</v>
      </c>
      <c r="BB27" s="941">
        <v>5.0</v>
      </c>
      <c r="BC27" s="941">
        <v>0.0</v>
      </c>
      <c r="BD27" s="941">
        <v>8.0</v>
      </c>
      <c r="BE27" s="942">
        <v>13.0</v>
      </c>
      <c r="BF27" s="941">
        <v>1.0</v>
      </c>
      <c r="BG27" s="941">
        <v>1.0</v>
      </c>
    </row>
    <row r="28">
      <c r="A28" s="935" t="s">
        <v>139</v>
      </c>
      <c r="B28" s="16" t="str">
        <f>IF(C28&lt;'PlayerGrades+'!$Y$44,"F-",IF(C28&lt;'PlayerGrades+'!$Y$43,"F",IF(C28&lt;'PlayerGrades+'!$Y$42,"F+",IF(C28&lt;'PlayerGrades+'!$Y$41,"E-",IF(C28&lt;'PlayerGrades+'!$Y$40,"E",IF(C28&lt;'PlayerGrades+'!$Y$39,"E+",IF(C28&lt;'PlayerGrades+'!$Y$38,"D-",IF(C28&lt;'PlayerGrades+'!$Y$37,"D",IF(C28&lt;'PlayerGrades+'!$Y$36,"D+",IF(C28&lt;'PlayerGrades+'!$Y$35,"C-",IF(C28&lt;'PlayerGrades+'!$Y$34,"C",IF(C28&lt;'PlayerGrades+'!$Y$33,"C+",IF(C28&lt;'PlayerGrades+'!$Y$32,"B-",IF(C28&lt;'PlayerGrades+'!$Y$31,"B",IF(C28&lt;'PlayerGrades+'!$Y$30,"B+",IF(C28&lt;'PlayerGrades+'!$Y$29,"A-",IF(C28&lt;'PlayerGrades+'!$Y$28,"A",IF(C28&lt;'PlayerGrades+'!$Y$27,"A+",IF(C28&lt;'PlayerGrades+'!$Y$26,"S-",IF(C28&lt;'PlayerGrades+'!$Y$25,"S","S+"))))))))))))))))))))</f>
        <v>E</v>
      </c>
      <c r="C28" s="936">
        <f>('PlayerGrades+'!$Y$47*(VLOOKUP(E28, 'PlayerGrades+'!$X$3:$Y$23, 2, FALSE)))+('PlayerGrades+'!$Y$48*(VLOOKUP(G28, 'PlayerGrades+'!$X$3:$Y$23, 2, FALSE)))+('PlayerGrades+'!$Y$49*(VLOOKUP(I28, 'PlayerGrades+'!$X$3:$Y$23, 2, FALSE)))+('PlayerGrades+'!$Y$50*(VLOOKUP(K28, 'PlayerGrades+'!$X$3:$Y$23, 2, FALSE)))+('PlayerGrades+'!$Y$51*(VLOOKUP(M28, 'PlayerGrades+'!$X$3:$Y$23, 2, FALSE)))+('PlayerGrades+'!$Y$52*(VLOOKUP(O28, 'PlayerGrades+'!$X$3:$Y$23, 2, FALSE)))+('PlayerGrades+'!$Y$53*(VLOOKUP(Q28, 'PlayerGrades+'!$X$3:$Y$23, 2, FALSE)))+('PlayerGrades+'!$Y$54*(VLOOKUP(S28, 'PlayerGrades+'!$X$3:$Y$23, 2, FALSE)))+('PlayerGrades+'!$Y$55*(VLOOKUP(U28, 'PlayerGrades+'!$X$3:$Y$23, 2, FALSE)))</f>
        <v>12.6</v>
      </c>
      <c r="D28" s="937">
        <f t="shared" si="1"/>
        <v>0</v>
      </c>
      <c r="E28" s="937" t="str">
        <f>IF(D28&lt;'PlayerGrades+'!$AA$21,"F-",IF(D28&lt;'PlayerGrades+'!$AA$20,"F",IF(D28&lt;'PlayerGrades+'!$AA$19,"F+",IF(D28&lt;'PlayerGrades+'!$AA$18,"E-",IF(D28&lt;'PlayerGrades+'!$AA$17,"E",IF(D28&lt;'PlayerGrades+'!$AA$16,"E+",IF(D28&lt;'PlayerGrades+'!$AA$15,"D-",IF(D28&lt;'PlayerGrades+'!$AA$14,"D",IF(D28&lt;'PlayerGrades+'!$AA$13,"D+",IF(D28&lt;'PlayerGrades+'!$AA$12,"C-",IF(D28&lt;'PlayerGrades+'!$AA$11,"C",IF(D28&lt;'PlayerGrades+'!$AA$10,"C+",IF(D28&lt;'PlayerGrades+'!$AA$9,"B-",IF(D28&lt;'PlayerGrades+'!$AA$8,"B",IF(D28&lt;'PlayerGrades+'!$AA$7,"B+",IF(D28&lt;'PlayerGrades+'!$AA$6,"A-",IF(D28&lt;'PlayerGrades+'!$AA$5,"A",IF(D28&lt;'PlayerGrades+'!$AA$4,"A+",IF(D28&lt;'PlayerGrades+'!$AA$3,"S-",IF(D28&lt;'PlayerGrades+'!$AA$2,"S","S+"))))))))))))))))))))</f>
        <v>F-</v>
      </c>
      <c r="F28" s="937">
        <f t="shared" si="2"/>
        <v>-0.5060622035</v>
      </c>
      <c r="G28" s="937" t="str">
        <f>IF(F28&lt;'PlayerGrades+'!$AB$21,"F-",IF(F28&lt;'PlayerGrades+'!$AB$20,"F",IF(F28&lt;'PlayerGrades+'!$AB$19,"F+",IF(F28&lt;'PlayerGrades+'!$AB$18,"E-",IF(F28&lt;'PlayerGrades+'!$AB$17,"E",IF(F28&lt;'PlayerGrades+'!$AB$16,"E+",IF(F28&lt;'PlayerGrades+'!$AB$15,"D-",IF(F28&lt;'PlayerGrades+'!$AB$14,"D",IF(F28&lt;'PlayerGrades+'!$AB$13,"D+",IF(F28&lt;'PlayerGrades+'!$AB$12,"C-",IF(F28&lt;'PlayerGrades+'!$AB$11,"C",IF(F28&lt;'PlayerGrades+'!$AB$10,"C+",IF(F28&lt;'PlayerGrades+'!$AB$9,"B-",IF(F28&lt;'PlayerGrades+'!$AB$8,"B",IF(F28&lt;'PlayerGrades+'!$AB$7,"B+",IF(F28&lt;'PlayerGrades+'!$AB$6,"A-",IF(F28&lt;'PlayerGrades+'!$AB$5,"A",IF(F28&lt;'PlayerGrades+'!$AB$4,"A+",IF(F28&lt;'PlayerGrades+'!$AB$3,"S-",IF(F28&lt;'PlayerGrades+'!$AB$2,"S","S+"))))))))))))))))))))</f>
        <v>D</v>
      </c>
      <c r="H28" s="937">
        <f t="shared" si="3"/>
        <v>0.03162888772</v>
      </c>
      <c r="I28" s="937" t="str">
        <f>IF(H28&lt;'PlayerGrades+'!$AC$21,"F-",IF(H28&lt;'PlayerGrades+'!$AC$20,"F",IF(H28&lt;'PlayerGrades+'!$AC$19,"F+",IF(H28&lt;'PlayerGrades+'!$AC$18,"E-",IF(H28&lt;'PlayerGrades+'!$AC$17,"E",IF(H28&lt;'PlayerGrades+'!$AC$16,"E+",IF(H28&lt;'PlayerGrades+'!$AC$15,"D-",IF(H28&lt;'PlayerGrades+'!$AC$14,"D",IF(H28&lt;'PlayerGrades+'!$AC$13,"D+",IF(H28&lt;'PlayerGrades+'!$AC$12,"C-",IF(H28&lt;'PlayerGrades+'!$AC$11,"C",IF(H28&lt;'PlayerGrades+'!$AC$10,"C+",IF(H28&lt;'PlayerGrades+'!$AC$9,"B-",IF(H28&lt;'PlayerGrades+'!$AC$8,"B",IF(H28&lt;'PlayerGrades+'!$AC$7,"B+",IF(H28&lt;'PlayerGrades+'!$AC$6,"A-",IF(H28&lt;'PlayerGrades+'!$AC$5,"A",IF(H28&lt;'PlayerGrades+'!$AC$4,"A+",IF(H28&lt;'PlayerGrades+'!$AC$3,"S-",IF(H28&lt;'PlayerGrades+'!$AC$2,"S","S+"))))))))))))))))))))</f>
        <v>F-</v>
      </c>
      <c r="J28" s="937">
        <f t="shared" si="4"/>
        <v>0</v>
      </c>
      <c r="K28" s="937" t="str">
        <f>IF(J28&lt;'PlayerGrades+'!$AD$21,"F-",IF(J28&lt;'PlayerGrades+'!$AD$20,"F",IF(J28&lt;'PlayerGrades+'!$AD$19,"F+",IF(J28&lt;'PlayerGrades+'!$AD$18,"E-",IF(J28&lt;'PlayerGrades+'!$AD$17,"E",IF(J28&lt;'PlayerGrades+'!$AD$16,"E+",IF(J28&lt;'PlayerGrades+'!$AD$15,"D-",IF(J28&lt;'PlayerGrades+'!$AD$14,"D",IF(J28&lt;'PlayerGrades+'!$AD$13,"D+",IF(J28&lt;'PlayerGrades+'!$AD$12,"C-",IF(J28&lt;'PlayerGrades+'!$AD$11,"C",IF(J28&lt;'PlayerGrades+'!$AD$10,"C+",IF(J28&lt;'PlayerGrades+'!$AD$9,"B-",IF(J28&lt;'PlayerGrades+'!$AD$8,"B",IF(J28&lt;'PlayerGrades+'!$AD$7,"B+",IF(J28&lt;'PlayerGrades+'!$AD$6,"A-",IF(J28&lt;'PlayerGrades+'!$AD$5,"A",IF(J28&lt;'PlayerGrades+'!$AD$4,"A+",IF(J28&lt;'PlayerGrades+'!$AD$3,"S-",IF(J28&lt;'PlayerGrades+'!$AD$2,"S","S+"))))))))))))))))))))</f>
        <v>F-</v>
      </c>
      <c r="L28" s="677">
        <f t="shared" si="5"/>
        <v>0.3479177649</v>
      </c>
      <c r="M28" s="938" t="str">
        <f>IF(L28&lt;'PlayerGrades+'!$AE$21,"F-",IF(L28&lt;'PlayerGrades+'!$AE$20,"F",IF(L28&lt;'PlayerGrades+'!$AE$19,"F+",IF(L28&lt;'PlayerGrades+'!$AE$18,"E-",IF(L28&lt;'PlayerGrades+'!$AE$17,"E",IF(L28&lt;'PlayerGrades+'!$AE$16,"E+",IF(L28&lt;'PlayerGrades+'!$AE$15,"D-",IF(L28&lt;'PlayerGrades+'!$AE$14,"D",IF(L28&lt;'PlayerGrades+'!$AE$13,"D+",IF(L28&lt;'PlayerGrades+'!$AE$12,"C-",IF(L28&lt;'PlayerGrades+'!$AE$11,"C",IF(L28&lt;'PlayerGrades+'!$AE$10,"C+",IF(L28&lt;'PlayerGrades+'!$AE$9,"B-",IF(L28&lt;'PlayerGrades+'!$AE$8,"B",IF(L28&lt;'PlayerGrades+'!$AE$7,"B+",IF(L28&lt;'PlayerGrades+'!$AE$6,"A-",IF(L28&lt;'PlayerGrades+'!$AE$5,"A",IF(L28&lt;'PlayerGrades+'!$AE$4,"A+",IF(L28&lt;'PlayerGrades+'!$AE$3,"S-",IF(L28&lt;'PlayerGrades+'!$AE$2,"S","S+"))))))))))))))))))))</f>
        <v>D</v>
      </c>
      <c r="N28" s="937">
        <f t="shared" si="6"/>
        <v>0.06325777543</v>
      </c>
      <c r="O28" s="937" t="str">
        <f>IF(N28&lt;'PlayerGrades+'!$AF$21,"F-",IF(N28&lt;'PlayerGrades+'!$AF$20,"F",IF(N28&lt;'PlayerGrades+'!$AF$19,"F+",IF(N28&lt;'PlayerGrades+'!$AF$18,"E-",IF(N28&lt;'PlayerGrades+'!$AF$17,"E",IF(N28&lt;'PlayerGrades+'!$AF$16,"E+",IF(N28&lt;'PlayerGrades+'!$AF$15,"D-",IF(N28&lt;'PlayerGrades+'!$AF$14,"D",IF(N28&lt;'PlayerGrades+'!$AF$13,"D+",IF(N28&lt;'PlayerGrades+'!$AF$12,"C-",IF(N28&lt;'PlayerGrades+'!$AF$11,"C",IF(N28&lt;'PlayerGrades+'!$AF$10,"C+",IF(N28&lt;'PlayerGrades+'!$AF$9,"B-",IF(N28&lt;'PlayerGrades+'!$AF$8,"B",IF(N28&lt;'PlayerGrades+'!$AF$7,"B+",IF(N28&lt;'PlayerGrades+'!$AF$6,"A-",IF(N28&lt;'PlayerGrades+'!$AF$5,"A",IF(N28&lt;'PlayerGrades+'!$AF$4,"A+",IF(N28&lt;'PlayerGrades+'!$AF$3,"S-",IF(N28&lt;'PlayerGrades+'!$AF$2,"S","S+"))))))))))))))))))))</f>
        <v>C-</v>
      </c>
      <c r="P28" s="937">
        <f t="shared" si="7"/>
        <v>0</v>
      </c>
      <c r="Q28" s="937" t="str">
        <f>IF(P28&lt;'PlayerGrades+'!$AG$21,"F-",IF(P28&lt;'PlayerGrades+'!$AG$20,"F",IF(P28&lt;'PlayerGrades+'!$AG$19,"F+",IF(P28&lt;'PlayerGrades+'!$AG$18,"E-",IF(P28&lt;'PlayerGrades+'!$AG$17,"E",IF(P28&lt;'PlayerGrades+'!$AG$16,"E+",IF(P28&lt;'PlayerGrades+'!$AG$15,"D-",IF(P28&lt;'PlayerGrades+'!$AG$14,"D",IF(P28&lt;'PlayerGrades+'!$AG$13,"D+",IF(P28&lt;'PlayerGrades+'!$AG$12,"C-",IF(P28&lt;'PlayerGrades+'!$AG$11,"C",IF(P28&lt;'PlayerGrades+'!$AG$10,"C+",IF(P28&lt;'PlayerGrades+'!$AG$9,"B-",IF(P28&lt;'PlayerGrades+'!$AG$8,"B",IF(P28&lt;'PlayerGrades+'!$AG$7,"B+",IF(P28&lt;'PlayerGrades+'!$AG$6,"A-",IF(P28&lt;'PlayerGrades+'!$AG$5,"A",IF(P28&lt;'PlayerGrades+'!$AG$4,"A+",IF(P28&lt;'PlayerGrades+'!$AG$3,"S-",IF(P28&lt;'PlayerGrades+'!$AG$2,"S","S+"))))))))))))))))))))</f>
        <v>F</v>
      </c>
      <c r="R28" s="937">
        <f t="shared" si="8"/>
        <v>0.4744333158</v>
      </c>
      <c r="S28" s="937" t="str">
        <f>IF(R28&lt;'PlayerGrades+'!$AH$21,"F-",IF(R28&lt;'PlayerGrades+'!$AH$20,"F",IF(R28&lt;'PlayerGrades+'!$AH$19,"F+",IF(R28&lt;'PlayerGrades+'!$AH$18,"E-",IF(R28&lt;'PlayerGrades+'!$AH$17,"E",IF(R28&lt;'PlayerGrades+'!$AH$16,"E+",IF(R28&lt;'PlayerGrades+'!$AH$15,"D-",IF(R28&lt;'PlayerGrades+'!$AH$14,"D",IF(R28&lt;'PlayerGrades+'!$AH$13,"D+",IF(R28&lt;'PlayerGrades+'!$AH$12,"C-",IF(R28&lt;'PlayerGrades+'!$AH$11,"C",IF(R28&lt;'PlayerGrades+'!$AH$10,"C+",IF(R28&lt;'PlayerGrades+'!$AH$9,"B-",IF(R28&lt;'PlayerGrades+'!$AH$8,"B",IF(R28&lt;'PlayerGrades+'!$AH$7,"B+",IF(R28&lt;'PlayerGrades+'!$AH$6,"A-",IF(R28&lt;'PlayerGrades+'!$AH$5,"A",IF(R28&lt;'PlayerGrades+'!$AH$4,"A+",IF(R28&lt;'PlayerGrades+'!$AH$3,"S-",IF(R28&lt;'PlayerGrades+'!$AH$2,"S","S+"))))))))))))))))))))</f>
        <v>E+</v>
      </c>
      <c r="T28" s="937">
        <f t="shared" si="9"/>
        <v>3.569319979</v>
      </c>
      <c r="U28" s="937" t="str">
        <f>IF(T28&lt;'PlayerGrades+'!$AI$21,"F-",IF(T28&lt;'PlayerGrades+'!$AI$20,"F",IF(T28&lt;'PlayerGrades+'!$AI$19,"F+",IF(T28&lt;'PlayerGrades+'!$AI$18,"E-",IF(T28&lt;'PlayerGrades+'!$AI$17,"E",IF(T28&lt;'PlayerGrades+'!$AI$16,"E+",IF(T28&lt;'PlayerGrades+'!$AI$15,"D-",IF(T28&lt;'PlayerGrades+'!$AI$14,"D",IF(T28&lt;'PlayerGrades+'!$AI$13,"D+",IF(T28&lt;'PlayerGrades+'!$AI$12,"C-",IF(T28&lt;'PlayerGrades+'!$AI$11,"C",IF(T28&lt;'PlayerGrades+'!$AI$10,"C+",IF(T28&lt;'PlayerGrades+'!$AI$9,"B-",IF(T28&lt;'PlayerGrades+'!$AI$8,"B",IF(T28&lt;'PlayerGrades+'!$AI$7,"B+",IF(T28&lt;'PlayerGrades+'!$AI$6,"A-",IF(T28&lt;'PlayerGrades+'!$AI$5,"A",IF(T28&lt;'PlayerGrades+'!$AI$4,"A+",IF(T28&lt;'PlayerGrades+'!$AI$3,"S-",IF(T28&lt;'PlayerGrades+'!$AI$2,"S","S+"))))))))))))))))))))</f>
        <v>S+</v>
      </c>
      <c r="V28" s="941">
        <v>1.0</v>
      </c>
      <c r="W28" s="941">
        <v>0.0</v>
      </c>
      <c r="X28" s="941">
        <v>1.0</v>
      </c>
      <c r="Y28" s="941">
        <v>0.0</v>
      </c>
      <c r="Z28" s="941">
        <v>0.0</v>
      </c>
      <c r="AA28" s="941">
        <v>121.0</v>
      </c>
      <c r="AB28" s="941">
        <v>137.0</v>
      </c>
      <c r="AC28" s="941">
        <v>-16.0</v>
      </c>
      <c r="AD28" s="941">
        <v>5.0</v>
      </c>
      <c r="AE28" s="941">
        <v>4.0</v>
      </c>
      <c r="AF28" s="941">
        <v>3.0</v>
      </c>
      <c r="AG28" s="941">
        <v>1372.0</v>
      </c>
      <c r="AH28" s="941">
        <v>1897.0</v>
      </c>
      <c r="AI28" s="941">
        <v>10.0</v>
      </c>
      <c r="AJ28" s="941">
        <v>9.0</v>
      </c>
      <c r="AK28" s="941">
        <v>0.0</v>
      </c>
      <c r="AL28" s="941">
        <v>0.0</v>
      </c>
      <c r="AM28" s="941">
        <v>0.0</v>
      </c>
      <c r="AN28" s="941">
        <v>0.0</v>
      </c>
      <c r="AO28" s="941">
        <v>0.0</v>
      </c>
      <c r="AP28" s="941">
        <v>0.0</v>
      </c>
      <c r="AQ28" s="941">
        <v>0.0</v>
      </c>
      <c r="AR28" s="941">
        <v>11.0</v>
      </c>
      <c r="AS28" s="941">
        <v>2.0</v>
      </c>
      <c r="AT28" s="941">
        <v>0.0</v>
      </c>
      <c r="AU28" s="941">
        <v>0.0</v>
      </c>
      <c r="AV28" s="941">
        <v>0.0</v>
      </c>
      <c r="AW28" s="941">
        <v>0.0</v>
      </c>
      <c r="AX28" s="941">
        <v>0.0</v>
      </c>
      <c r="AY28" s="941">
        <v>0.0</v>
      </c>
      <c r="AZ28" s="941">
        <v>0.0</v>
      </c>
      <c r="BA28" s="941">
        <v>0.0</v>
      </c>
      <c r="BB28" s="941">
        <v>1.0</v>
      </c>
      <c r="BC28" s="941">
        <v>0.0</v>
      </c>
      <c r="BD28" s="941">
        <v>10.0</v>
      </c>
      <c r="BE28" s="942">
        <v>18.0</v>
      </c>
      <c r="BF28" s="941">
        <v>3.0</v>
      </c>
      <c r="BG28" s="941">
        <v>1.0</v>
      </c>
    </row>
    <row r="29">
      <c r="A29" s="935" t="s">
        <v>128</v>
      </c>
      <c r="B29" s="16" t="str">
        <f>IF(C29&lt;'PlayerGrades+'!$Y$44,"F-",IF(C29&lt;'PlayerGrades+'!$Y$43,"F",IF(C29&lt;'PlayerGrades+'!$Y$42,"F+",IF(C29&lt;'PlayerGrades+'!$Y$41,"E-",IF(C29&lt;'PlayerGrades+'!$Y$40,"E",IF(C29&lt;'PlayerGrades+'!$Y$39,"E+",IF(C29&lt;'PlayerGrades+'!$Y$38,"D-",IF(C29&lt;'PlayerGrades+'!$Y$37,"D",IF(C29&lt;'PlayerGrades+'!$Y$36,"D+",IF(C29&lt;'PlayerGrades+'!$Y$35,"C-",IF(C29&lt;'PlayerGrades+'!$Y$34,"C",IF(C29&lt;'PlayerGrades+'!$Y$33,"C+",IF(C29&lt;'PlayerGrades+'!$Y$32,"B-",IF(C29&lt;'PlayerGrades+'!$Y$31,"B",IF(C29&lt;'PlayerGrades+'!$Y$30,"B+",IF(C29&lt;'PlayerGrades+'!$Y$29,"A-",IF(C29&lt;'PlayerGrades+'!$Y$28,"A",IF(C29&lt;'PlayerGrades+'!$Y$27,"A+",IF(C29&lt;'PlayerGrades+'!$Y$26,"S-",IF(C29&lt;'PlayerGrades+'!$Y$25,"S","S+"))))))))))))))))))))</f>
        <v>C</v>
      </c>
      <c r="C29" s="936">
        <f>('PlayerGrades+'!$Y$47*(VLOOKUP(E29, 'PlayerGrades+'!$X$3:$Y$23, 2, FALSE)))+('PlayerGrades+'!$Y$48*(VLOOKUP(G29, 'PlayerGrades+'!$X$3:$Y$23, 2, FALSE)))+('PlayerGrades+'!$Y$49*(VLOOKUP(I29, 'PlayerGrades+'!$X$3:$Y$23, 2, FALSE)))+('PlayerGrades+'!$Y$50*(VLOOKUP(K29, 'PlayerGrades+'!$X$3:$Y$23, 2, FALSE)))+('PlayerGrades+'!$Y$51*(VLOOKUP(M29, 'PlayerGrades+'!$X$3:$Y$23, 2, FALSE)))+('PlayerGrades+'!$Y$52*(VLOOKUP(O29, 'PlayerGrades+'!$X$3:$Y$23, 2, FALSE)))+('PlayerGrades+'!$Y$53*(VLOOKUP(Q29, 'PlayerGrades+'!$X$3:$Y$23, 2, FALSE)))+('PlayerGrades+'!$Y$54*(VLOOKUP(S29, 'PlayerGrades+'!$X$3:$Y$23, 2, FALSE)))+('PlayerGrades+'!$Y$55*(VLOOKUP(U29, 'PlayerGrades+'!$X$3:$Y$23, 2, FALSE)))</f>
        <v>20.05</v>
      </c>
      <c r="D29" s="937">
        <f t="shared" si="1"/>
        <v>0.3162888772</v>
      </c>
      <c r="E29" s="937" t="str">
        <f>IF(D29&lt;'PlayerGrades+'!$AA$21,"F-",IF(D29&lt;'PlayerGrades+'!$AA$20,"F",IF(D29&lt;'PlayerGrades+'!$AA$19,"F+",IF(D29&lt;'PlayerGrades+'!$AA$18,"E-",IF(D29&lt;'PlayerGrades+'!$AA$17,"E",IF(D29&lt;'PlayerGrades+'!$AA$16,"E+",IF(D29&lt;'PlayerGrades+'!$AA$15,"D-",IF(D29&lt;'PlayerGrades+'!$AA$14,"D",IF(D29&lt;'PlayerGrades+'!$AA$13,"D+",IF(D29&lt;'PlayerGrades+'!$AA$12,"C-",IF(D29&lt;'PlayerGrades+'!$AA$11,"C",IF(D29&lt;'PlayerGrades+'!$AA$10,"C+",IF(D29&lt;'PlayerGrades+'!$AA$9,"B-",IF(D29&lt;'PlayerGrades+'!$AA$8,"B",IF(D29&lt;'PlayerGrades+'!$AA$7,"B+",IF(D29&lt;'PlayerGrades+'!$AA$6,"A-",IF(D29&lt;'PlayerGrades+'!$AA$5,"A",IF(D29&lt;'PlayerGrades+'!$AA$4,"A+",IF(D29&lt;'PlayerGrades+'!$AA$3,"S-",IF(D29&lt;'PlayerGrades+'!$AA$2,"S","S+"))))))))))))))))))))</f>
        <v>A</v>
      </c>
      <c r="F29" s="937">
        <f t="shared" si="2"/>
        <v>0</v>
      </c>
      <c r="G29" s="937" t="str">
        <f>IF(F29&lt;'PlayerGrades+'!$AB$21,"F-",IF(F29&lt;'PlayerGrades+'!$AB$20,"F",IF(F29&lt;'PlayerGrades+'!$AB$19,"F+",IF(F29&lt;'PlayerGrades+'!$AB$18,"E-",IF(F29&lt;'PlayerGrades+'!$AB$17,"E",IF(F29&lt;'PlayerGrades+'!$AB$16,"E+",IF(F29&lt;'PlayerGrades+'!$AB$15,"D-",IF(F29&lt;'PlayerGrades+'!$AB$14,"D",IF(F29&lt;'PlayerGrades+'!$AB$13,"D+",IF(F29&lt;'PlayerGrades+'!$AB$12,"C-",IF(F29&lt;'PlayerGrades+'!$AB$11,"C",IF(F29&lt;'PlayerGrades+'!$AB$10,"C+",IF(F29&lt;'PlayerGrades+'!$AB$9,"B-",IF(F29&lt;'PlayerGrades+'!$AB$8,"B",IF(F29&lt;'PlayerGrades+'!$AB$7,"B+",IF(F29&lt;'PlayerGrades+'!$AB$6,"A-",IF(F29&lt;'PlayerGrades+'!$AB$5,"A",IF(F29&lt;'PlayerGrades+'!$AB$4,"A+",IF(F29&lt;'PlayerGrades+'!$AB$3,"S-",IF(F29&lt;'PlayerGrades+'!$AB$2,"S","S+"))))))))))))))))))))</f>
        <v>B</v>
      </c>
      <c r="H29" s="937">
        <f t="shared" si="3"/>
        <v>0.06325777543</v>
      </c>
      <c r="I29" s="937" t="str">
        <f>IF(H29&lt;'PlayerGrades+'!$AC$21,"F-",IF(H29&lt;'PlayerGrades+'!$AC$20,"F",IF(H29&lt;'PlayerGrades+'!$AC$19,"F+",IF(H29&lt;'PlayerGrades+'!$AC$18,"E-",IF(H29&lt;'PlayerGrades+'!$AC$17,"E",IF(H29&lt;'PlayerGrades+'!$AC$16,"E+",IF(H29&lt;'PlayerGrades+'!$AC$15,"D-",IF(H29&lt;'PlayerGrades+'!$AC$14,"D",IF(H29&lt;'PlayerGrades+'!$AC$13,"D+",IF(H29&lt;'PlayerGrades+'!$AC$12,"C-",IF(H29&lt;'PlayerGrades+'!$AC$11,"C",IF(H29&lt;'PlayerGrades+'!$AC$10,"C+",IF(H29&lt;'PlayerGrades+'!$AC$9,"B-",IF(H29&lt;'PlayerGrades+'!$AC$8,"B",IF(H29&lt;'PlayerGrades+'!$AC$7,"B+",IF(H29&lt;'PlayerGrades+'!$AC$6,"A-",IF(H29&lt;'PlayerGrades+'!$AC$5,"A",IF(H29&lt;'PlayerGrades+'!$AC$4,"A+",IF(H29&lt;'PlayerGrades+'!$AC$3,"S-",IF(H29&lt;'PlayerGrades+'!$AC$2,"S","S+"))))))))))))))))))))</f>
        <v>E-</v>
      </c>
      <c r="J29" s="937">
        <f t="shared" si="4"/>
        <v>0.06325777543</v>
      </c>
      <c r="K29" s="937" t="str">
        <f>IF(J29&lt;'PlayerGrades+'!$AD$21,"F-",IF(J29&lt;'PlayerGrades+'!$AD$20,"F",IF(J29&lt;'PlayerGrades+'!$AD$19,"F+",IF(J29&lt;'PlayerGrades+'!$AD$18,"E-",IF(J29&lt;'PlayerGrades+'!$AD$17,"E",IF(J29&lt;'PlayerGrades+'!$AD$16,"E+",IF(J29&lt;'PlayerGrades+'!$AD$15,"D-",IF(J29&lt;'PlayerGrades+'!$AD$14,"D",IF(J29&lt;'PlayerGrades+'!$AD$13,"D+",IF(J29&lt;'PlayerGrades+'!$AD$12,"C-",IF(J29&lt;'PlayerGrades+'!$AD$11,"C",IF(J29&lt;'PlayerGrades+'!$AD$10,"C+",IF(J29&lt;'PlayerGrades+'!$AD$9,"B-",IF(J29&lt;'PlayerGrades+'!$AD$8,"B",IF(J29&lt;'PlayerGrades+'!$AD$7,"B+",IF(J29&lt;'PlayerGrades+'!$AD$6,"A-",IF(J29&lt;'PlayerGrades+'!$AD$5,"A",IF(J29&lt;'PlayerGrades+'!$AD$4,"A+",IF(J29&lt;'PlayerGrades+'!$AD$3,"S-",IF(J29&lt;'PlayerGrades+'!$AD$2,"S","S+"))))))))))))))))))))</f>
        <v>A-</v>
      </c>
      <c r="L29" s="677">
        <f t="shared" si="5"/>
        <v>0.2846599895</v>
      </c>
      <c r="M29" s="938" t="str">
        <f>IF(L29&lt;'PlayerGrades+'!$AE$21,"F-",IF(L29&lt;'PlayerGrades+'!$AE$20,"F",IF(L29&lt;'PlayerGrades+'!$AE$19,"F+",IF(L29&lt;'PlayerGrades+'!$AE$18,"E-",IF(L29&lt;'PlayerGrades+'!$AE$17,"E",IF(L29&lt;'PlayerGrades+'!$AE$16,"E+",IF(L29&lt;'PlayerGrades+'!$AE$15,"D-",IF(L29&lt;'PlayerGrades+'!$AE$14,"D",IF(L29&lt;'PlayerGrades+'!$AE$13,"D+",IF(L29&lt;'PlayerGrades+'!$AE$12,"C-",IF(L29&lt;'PlayerGrades+'!$AE$11,"C",IF(L29&lt;'PlayerGrades+'!$AE$10,"C+",IF(L29&lt;'PlayerGrades+'!$AE$9,"B-",IF(L29&lt;'PlayerGrades+'!$AE$8,"B",IF(L29&lt;'PlayerGrades+'!$AE$7,"B+",IF(L29&lt;'PlayerGrades+'!$AE$6,"A-",IF(L29&lt;'PlayerGrades+'!$AE$5,"A",IF(L29&lt;'PlayerGrades+'!$AE$4,"A+",IF(L29&lt;'PlayerGrades+'!$AE$3,"S-",IF(L29&lt;'PlayerGrades+'!$AE$2,"S","S+"))))))))))))))))))))</f>
        <v>F+</v>
      </c>
      <c r="N29" s="937">
        <f t="shared" si="6"/>
        <v>0.03162888772</v>
      </c>
      <c r="O29" s="937" t="str">
        <f>IF(N29&lt;'PlayerGrades+'!$AF$21,"F-",IF(N29&lt;'PlayerGrades+'!$AF$20,"F",IF(N29&lt;'PlayerGrades+'!$AF$19,"F+",IF(N29&lt;'PlayerGrades+'!$AF$18,"E-",IF(N29&lt;'PlayerGrades+'!$AF$17,"E",IF(N29&lt;'PlayerGrades+'!$AF$16,"E+",IF(N29&lt;'PlayerGrades+'!$AF$15,"D-",IF(N29&lt;'PlayerGrades+'!$AF$14,"D",IF(N29&lt;'PlayerGrades+'!$AF$13,"D+",IF(N29&lt;'PlayerGrades+'!$AF$12,"C-",IF(N29&lt;'PlayerGrades+'!$AF$11,"C",IF(N29&lt;'PlayerGrades+'!$AF$10,"C+",IF(N29&lt;'PlayerGrades+'!$AF$9,"B-",IF(N29&lt;'PlayerGrades+'!$AF$8,"B",IF(N29&lt;'PlayerGrades+'!$AF$7,"B+",IF(N29&lt;'PlayerGrades+'!$AF$6,"A-",IF(N29&lt;'PlayerGrades+'!$AF$5,"A",IF(N29&lt;'PlayerGrades+'!$AF$4,"A+",IF(N29&lt;'PlayerGrades+'!$AF$3,"S-",IF(N29&lt;'PlayerGrades+'!$AF$2,"S","S+"))))))))))))))))))))</f>
        <v>F</v>
      </c>
      <c r="P29" s="937">
        <f t="shared" si="7"/>
        <v>0.03162888772</v>
      </c>
      <c r="Q29" s="937" t="str">
        <f>IF(P29&lt;'PlayerGrades+'!$AG$21,"F-",IF(P29&lt;'PlayerGrades+'!$AG$20,"F",IF(P29&lt;'PlayerGrades+'!$AG$19,"F+",IF(P29&lt;'PlayerGrades+'!$AG$18,"E-",IF(P29&lt;'PlayerGrades+'!$AG$17,"E",IF(P29&lt;'PlayerGrades+'!$AG$16,"E+",IF(P29&lt;'PlayerGrades+'!$AG$15,"D-",IF(P29&lt;'PlayerGrades+'!$AG$14,"D",IF(P29&lt;'PlayerGrades+'!$AG$13,"D+",IF(P29&lt;'PlayerGrades+'!$AG$12,"C-",IF(P29&lt;'PlayerGrades+'!$AG$11,"C",IF(P29&lt;'PlayerGrades+'!$AG$10,"C+",IF(P29&lt;'PlayerGrades+'!$AG$9,"B-",IF(P29&lt;'PlayerGrades+'!$AG$8,"B",IF(P29&lt;'PlayerGrades+'!$AG$7,"B+",IF(P29&lt;'PlayerGrades+'!$AG$6,"A-",IF(P29&lt;'PlayerGrades+'!$AG$5,"A",IF(P29&lt;'PlayerGrades+'!$AG$4,"A+",IF(P29&lt;'PlayerGrades+'!$AG$3,"S-",IF(P29&lt;'PlayerGrades+'!$AG$2,"S","S+"))))))))))))))))))))</f>
        <v>B+</v>
      </c>
      <c r="R29" s="937">
        <f t="shared" si="8"/>
        <v>0.7590933052</v>
      </c>
      <c r="S29" s="937" t="str">
        <f>IF(R29&lt;'PlayerGrades+'!$AH$21,"F-",IF(R29&lt;'PlayerGrades+'!$AH$20,"F",IF(R29&lt;'PlayerGrades+'!$AH$19,"F+",IF(R29&lt;'PlayerGrades+'!$AH$18,"E-",IF(R29&lt;'PlayerGrades+'!$AH$17,"E",IF(R29&lt;'PlayerGrades+'!$AH$16,"E+",IF(R29&lt;'PlayerGrades+'!$AH$15,"D-",IF(R29&lt;'PlayerGrades+'!$AH$14,"D",IF(R29&lt;'PlayerGrades+'!$AH$13,"D+",IF(R29&lt;'PlayerGrades+'!$AH$12,"C-",IF(R29&lt;'PlayerGrades+'!$AH$11,"C",IF(R29&lt;'PlayerGrades+'!$AH$10,"C+",IF(R29&lt;'PlayerGrades+'!$AH$9,"B-",IF(R29&lt;'PlayerGrades+'!$AH$8,"B",IF(R29&lt;'PlayerGrades+'!$AH$7,"B+",IF(R29&lt;'PlayerGrades+'!$AH$6,"A-",IF(R29&lt;'PlayerGrades+'!$AH$5,"A",IF(R29&lt;'PlayerGrades+'!$AH$4,"A+",IF(R29&lt;'PlayerGrades+'!$AH$3,"S-",IF(R29&lt;'PlayerGrades+'!$AH$2,"S","S+"))))))))))))))))))))</f>
        <v>S+</v>
      </c>
      <c r="T29" s="937">
        <f t="shared" si="9"/>
        <v>1.253031102</v>
      </c>
      <c r="U29" s="937" t="str">
        <f>IF(T29&lt;'PlayerGrades+'!$AI$21,"F-",IF(T29&lt;'PlayerGrades+'!$AI$20,"F",IF(T29&lt;'PlayerGrades+'!$AI$19,"F+",IF(T29&lt;'PlayerGrades+'!$AI$18,"E-",IF(T29&lt;'PlayerGrades+'!$AI$17,"E",IF(T29&lt;'PlayerGrades+'!$AI$16,"E+",IF(T29&lt;'PlayerGrades+'!$AI$15,"D-",IF(T29&lt;'PlayerGrades+'!$AI$14,"D",IF(T29&lt;'PlayerGrades+'!$AI$13,"D+",IF(T29&lt;'PlayerGrades+'!$AI$12,"C-",IF(T29&lt;'PlayerGrades+'!$AI$11,"C",IF(T29&lt;'PlayerGrades+'!$AI$10,"C+",IF(T29&lt;'PlayerGrades+'!$AI$9,"B-",IF(T29&lt;'PlayerGrades+'!$AI$8,"B",IF(T29&lt;'PlayerGrades+'!$AI$7,"B+",IF(T29&lt;'PlayerGrades+'!$AI$6,"A-",IF(T29&lt;'PlayerGrades+'!$AI$5,"A",IF(T29&lt;'PlayerGrades+'!$AI$4,"A+",IF(T29&lt;'PlayerGrades+'!$AI$3,"S-",IF(T29&lt;'PlayerGrades+'!$AI$2,"S","S+"))))))))))))))))))))</f>
        <v>C</v>
      </c>
      <c r="V29" s="941">
        <v>1.0</v>
      </c>
      <c r="W29" s="941">
        <v>0.0</v>
      </c>
      <c r="X29" s="941">
        <v>1.0</v>
      </c>
      <c r="Y29" s="941">
        <v>3.0</v>
      </c>
      <c r="Z29" s="941">
        <v>7.0</v>
      </c>
      <c r="AA29" s="941">
        <v>84.0</v>
      </c>
      <c r="AB29" s="941">
        <v>84.0</v>
      </c>
      <c r="AC29" s="941">
        <v>0.0</v>
      </c>
      <c r="AD29" s="941">
        <v>2.0</v>
      </c>
      <c r="AE29" s="941">
        <v>7.0</v>
      </c>
      <c r="AF29" s="941">
        <v>2.0</v>
      </c>
      <c r="AG29" s="941">
        <v>1544.0</v>
      </c>
      <c r="AH29" s="941">
        <v>1897.0</v>
      </c>
      <c r="AI29" s="941">
        <v>18.0</v>
      </c>
      <c r="AJ29" s="941">
        <v>579.0</v>
      </c>
      <c r="AK29" s="941">
        <v>0.0</v>
      </c>
      <c r="AL29" s="941">
        <v>2.0</v>
      </c>
      <c r="AM29" s="941">
        <v>0.0</v>
      </c>
      <c r="AN29" s="941">
        <v>0.0</v>
      </c>
      <c r="AO29" s="941">
        <v>0.0</v>
      </c>
      <c r="AP29" s="941">
        <v>1.0</v>
      </c>
      <c r="AQ29" s="941">
        <v>0.0</v>
      </c>
      <c r="AR29" s="941">
        <v>9.0</v>
      </c>
      <c r="AS29" s="941">
        <v>1.0</v>
      </c>
      <c r="AT29" s="941">
        <v>0.0</v>
      </c>
      <c r="AU29" s="941">
        <v>0.0</v>
      </c>
      <c r="AV29" s="941">
        <v>0.0</v>
      </c>
      <c r="AW29" s="941">
        <v>0.0</v>
      </c>
      <c r="AX29" s="941">
        <v>0.0</v>
      </c>
      <c r="AY29" s="941">
        <v>0.0</v>
      </c>
      <c r="AZ29" s="941">
        <v>0.0</v>
      </c>
      <c r="BA29" s="941">
        <v>0.0</v>
      </c>
      <c r="BB29" s="941">
        <v>2.0</v>
      </c>
      <c r="BC29" s="941">
        <v>0.0</v>
      </c>
      <c r="BD29" s="941">
        <v>22.0</v>
      </c>
      <c r="BE29" s="942">
        <v>8.0</v>
      </c>
      <c r="BF29" s="941">
        <v>1.0</v>
      </c>
      <c r="BG29" s="941">
        <v>1.0</v>
      </c>
    </row>
    <row r="30">
      <c r="A30" s="935" t="s">
        <v>136</v>
      </c>
      <c r="B30" s="16" t="str">
        <f>IF(C30&lt;'PlayerGrades+'!$Y$44,"F-",IF(C30&lt;'PlayerGrades+'!$Y$43,"F",IF(C30&lt;'PlayerGrades+'!$Y$42,"F+",IF(C30&lt;'PlayerGrades+'!$Y$41,"E-",IF(C30&lt;'PlayerGrades+'!$Y$40,"E",IF(C30&lt;'PlayerGrades+'!$Y$39,"E+",IF(C30&lt;'PlayerGrades+'!$Y$38,"D-",IF(C30&lt;'PlayerGrades+'!$Y$37,"D",IF(C30&lt;'PlayerGrades+'!$Y$36,"D+",IF(C30&lt;'PlayerGrades+'!$Y$35,"C-",IF(C30&lt;'PlayerGrades+'!$Y$34,"C",IF(C30&lt;'PlayerGrades+'!$Y$33,"C+",IF(C30&lt;'PlayerGrades+'!$Y$32,"B-",IF(C30&lt;'PlayerGrades+'!$Y$31,"B",IF(C30&lt;'PlayerGrades+'!$Y$30,"B+",IF(C30&lt;'PlayerGrades+'!$Y$29,"A-",IF(C30&lt;'PlayerGrades+'!$Y$28,"A",IF(C30&lt;'PlayerGrades+'!$Y$27,"A+",IF(C30&lt;'PlayerGrades+'!$Y$26,"S-",IF(C30&lt;'PlayerGrades+'!$Y$25,"S","S+"))))))))))))))))))))</f>
        <v>A+</v>
      </c>
      <c r="C30" s="936">
        <f>('PlayerGrades+'!$Y$47*(VLOOKUP(E30, 'PlayerGrades+'!$X$3:$Y$23, 2, FALSE)))+('PlayerGrades+'!$Y$48*(VLOOKUP(G30, 'PlayerGrades+'!$X$3:$Y$23, 2, FALSE)))+('PlayerGrades+'!$Y$49*(VLOOKUP(I30, 'PlayerGrades+'!$X$3:$Y$23, 2, FALSE)))+('PlayerGrades+'!$Y$50*(VLOOKUP(K30, 'PlayerGrades+'!$X$3:$Y$23, 2, FALSE)))+('PlayerGrades+'!$Y$51*(VLOOKUP(M30, 'PlayerGrades+'!$X$3:$Y$23, 2, FALSE)))+('PlayerGrades+'!$Y$52*(VLOOKUP(O30, 'PlayerGrades+'!$X$3:$Y$23, 2, FALSE)))+('PlayerGrades+'!$Y$53*(VLOOKUP(Q30, 'PlayerGrades+'!$X$3:$Y$23, 2, FALSE)))+('PlayerGrades+'!$Y$54*(VLOOKUP(S30, 'PlayerGrades+'!$X$3:$Y$23, 2, FALSE)))+('PlayerGrades+'!$Y$55*(VLOOKUP(U30, 'PlayerGrades+'!$X$3:$Y$23, 2, FALSE)))</f>
        <v>29.3</v>
      </c>
      <c r="D30" s="937">
        <f t="shared" si="1"/>
        <v>0.03162888772</v>
      </c>
      <c r="E30" s="937" t="str">
        <f>IF(D30&lt;'PlayerGrades+'!$AA$21,"F-",IF(D30&lt;'PlayerGrades+'!$AA$20,"F",IF(D30&lt;'PlayerGrades+'!$AA$19,"F+",IF(D30&lt;'PlayerGrades+'!$AA$18,"E-",IF(D30&lt;'PlayerGrades+'!$AA$17,"E",IF(D30&lt;'PlayerGrades+'!$AA$16,"E+",IF(D30&lt;'PlayerGrades+'!$AA$15,"D-",IF(D30&lt;'PlayerGrades+'!$AA$14,"D",IF(D30&lt;'PlayerGrades+'!$AA$13,"D+",IF(D30&lt;'PlayerGrades+'!$AA$12,"C-",IF(D30&lt;'PlayerGrades+'!$AA$11,"C",IF(D30&lt;'PlayerGrades+'!$AA$10,"C+",IF(D30&lt;'PlayerGrades+'!$AA$9,"B-",IF(D30&lt;'PlayerGrades+'!$AA$8,"B",IF(D30&lt;'PlayerGrades+'!$AA$7,"B+",IF(D30&lt;'PlayerGrades+'!$AA$6,"A-",IF(D30&lt;'PlayerGrades+'!$AA$5,"A",IF(D30&lt;'PlayerGrades+'!$AA$4,"A+",IF(D30&lt;'PlayerGrades+'!$AA$3,"S-",IF(D30&lt;'PlayerGrades+'!$AA$2,"S","S+"))))))))))))))))))))</f>
        <v>D+</v>
      </c>
      <c r="F30" s="937">
        <f t="shared" si="2"/>
        <v>0.1897733263</v>
      </c>
      <c r="G30" s="937" t="str">
        <f>IF(F30&lt;'PlayerGrades+'!$AB$21,"F-",IF(F30&lt;'PlayerGrades+'!$AB$20,"F",IF(F30&lt;'PlayerGrades+'!$AB$19,"F+",IF(F30&lt;'PlayerGrades+'!$AB$18,"E-",IF(F30&lt;'PlayerGrades+'!$AB$17,"E",IF(F30&lt;'PlayerGrades+'!$AB$16,"E+",IF(F30&lt;'PlayerGrades+'!$AB$15,"D-",IF(F30&lt;'PlayerGrades+'!$AB$14,"D",IF(F30&lt;'PlayerGrades+'!$AB$13,"D+",IF(F30&lt;'PlayerGrades+'!$AB$12,"C-",IF(F30&lt;'PlayerGrades+'!$AB$11,"C",IF(F30&lt;'PlayerGrades+'!$AB$10,"C+",IF(F30&lt;'PlayerGrades+'!$AB$9,"B-",IF(F30&lt;'PlayerGrades+'!$AB$8,"B",IF(F30&lt;'PlayerGrades+'!$AB$7,"B+",IF(F30&lt;'PlayerGrades+'!$AB$6,"A-",IF(F30&lt;'PlayerGrades+'!$AB$5,"A",IF(F30&lt;'PlayerGrades+'!$AB$4,"A+",IF(F30&lt;'PlayerGrades+'!$AB$3,"S-",IF(F30&lt;'PlayerGrades+'!$AB$2,"S","S+"))))))))))))))))))))</f>
        <v>B+</v>
      </c>
      <c r="H30" s="937">
        <f t="shared" si="3"/>
        <v>0.3795466526</v>
      </c>
      <c r="I30" s="937" t="str">
        <f>IF(H30&lt;'PlayerGrades+'!$AC$21,"F-",IF(H30&lt;'PlayerGrades+'!$AC$20,"F",IF(H30&lt;'PlayerGrades+'!$AC$19,"F+",IF(H30&lt;'PlayerGrades+'!$AC$18,"E-",IF(H30&lt;'PlayerGrades+'!$AC$17,"E",IF(H30&lt;'PlayerGrades+'!$AC$16,"E+",IF(H30&lt;'PlayerGrades+'!$AC$15,"D-",IF(H30&lt;'PlayerGrades+'!$AC$14,"D",IF(H30&lt;'PlayerGrades+'!$AC$13,"D+",IF(H30&lt;'PlayerGrades+'!$AC$12,"C-",IF(H30&lt;'PlayerGrades+'!$AC$11,"C",IF(H30&lt;'PlayerGrades+'!$AC$10,"C+",IF(H30&lt;'PlayerGrades+'!$AC$9,"B-",IF(H30&lt;'PlayerGrades+'!$AC$8,"B",IF(H30&lt;'PlayerGrades+'!$AC$7,"B+",IF(H30&lt;'PlayerGrades+'!$AC$6,"A-",IF(H30&lt;'PlayerGrades+'!$AC$5,"A",IF(H30&lt;'PlayerGrades+'!$AC$4,"A+",IF(H30&lt;'PlayerGrades+'!$AC$3,"S-",IF(H30&lt;'PlayerGrades+'!$AC$2,"S","S+"))))))))))))))))))))</f>
        <v>S+</v>
      </c>
      <c r="J30" s="937">
        <f t="shared" si="4"/>
        <v>0.03162888772</v>
      </c>
      <c r="K30" s="937" t="str">
        <f>IF(J30&lt;'PlayerGrades+'!$AD$21,"F-",IF(J30&lt;'PlayerGrades+'!$AD$20,"F",IF(J30&lt;'PlayerGrades+'!$AD$19,"F+",IF(J30&lt;'PlayerGrades+'!$AD$18,"E-",IF(J30&lt;'PlayerGrades+'!$AD$17,"E",IF(J30&lt;'PlayerGrades+'!$AD$16,"E+",IF(J30&lt;'PlayerGrades+'!$AD$15,"D-",IF(J30&lt;'PlayerGrades+'!$AD$14,"D",IF(J30&lt;'PlayerGrades+'!$AD$13,"D+",IF(J30&lt;'PlayerGrades+'!$AD$12,"C-",IF(J30&lt;'PlayerGrades+'!$AD$11,"C",IF(J30&lt;'PlayerGrades+'!$AD$10,"C+",IF(J30&lt;'PlayerGrades+'!$AD$9,"B-",IF(J30&lt;'PlayerGrades+'!$AD$8,"B",IF(J30&lt;'PlayerGrades+'!$AD$7,"B+",IF(J30&lt;'PlayerGrades+'!$AD$6,"A-",IF(J30&lt;'PlayerGrades+'!$AD$5,"A",IF(J30&lt;'PlayerGrades+'!$AD$4,"A+",IF(J30&lt;'PlayerGrades+'!$AD$3,"S-",IF(J30&lt;'PlayerGrades+'!$AD$2,"S","S+"))))))))))))))))))))</f>
        <v>C</v>
      </c>
      <c r="L30" s="677">
        <f t="shared" si="5"/>
        <v>0.7907221929</v>
      </c>
      <c r="M30" s="938" t="str">
        <f>IF(L30&lt;'PlayerGrades+'!$AE$21,"F-",IF(L30&lt;'PlayerGrades+'!$AE$20,"F",IF(L30&lt;'PlayerGrades+'!$AE$19,"F+",IF(L30&lt;'PlayerGrades+'!$AE$18,"E-",IF(L30&lt;'PlayerGrades+'!$AE$17,"E",IF(L30&lt;'PlayerGrades+'!$AE$16,"E+",IF(L30&lt;'PlayerGrades+'!$AE$15,"D-",IF(L30&lt;'PlayerGrades+'!$AE$14,"D",IF(L30&lt;'PlayerGrades+'!$AE$13,"D+",IF(L30&lt;'PlayerGrades+'!$AE$12,"C-",IF(L30&lt;'PlayerGrades+'!$AE$11,"C",IF(L30&lt;'PlayerGrades+'!$AE$10,"C+",IF(L30&lt;'PlayerGrades+'!$AE$9,"B-",IF(L30&lt;'PlayerGrades+'!$AE$8,"B",IF(L30&lt;'PlayerGrades+'!$AE$7,"B+",IF(L30&lt;'PlayerGrades+'!$AE$6,"A-",IF(L30&lt;'PlayerGrades+'!$AE$5,"A",IF(L30&lt;'PlayerGrades+'!$AE$4,"A+",IF(L30&lt;'PlayerGrades+'!$AE$3,"S-",IF(L30&lt;'PlayerGrades+'!$AE$2,"S","S+"))))))))))))))))))))</f>
        <v>S+</v>
      </c>
      <c r="N30" s="937">
        <f t="shared" si="6"/>
        <v>0.09488666315</v>
      </c>
      <c r="O30" s="937" t="str">
        <f>IF(N30&lt;'PlayerGrades+'!$AF$21,"F-",IF(N30&lt;'PlayerGrades+'!$AF$20,"F",IF(N30&lt;'PlayerGrades+'!$AF$19,"F+",IF(N30&lt;'PlayerGrades+'!$AF$18,"E-",IF(N30&lt;'PlayerGrades+'!$AF$17,"E",IF(N30&lt;'PlayerGrades+'!$AF$16,"E+",IF(N30&lt;'PlayerGrades+'!$AF$15,"D-",IF(N30&lt;'PlayerGrades+'!$AF$14,"D",IF(N30&lt;'PlayerGrades+'!$AF$13,"D+",IF(N30&lt;'PlayerGrades+'!$AF$12,"C-",IF(N30&lt;'PlayerGrades+'!$AF$11,"C",IF(N30&lt;'PlayerGrades+'!$AF$10,"C+",IF(N30&lt;'PlayerGrades+'!$AF$9,"B-",IF(N30&lt;'PlayerGrades+'!$AF$8,"B",IF(N30&lt;'PlayerGrades+'!$AF$7,"B+",IF(N30&lt;'PlayerGrades+'!$AF$6,"A-",IF(N30&lt;'PlayerGrades+'!$AF$5,"A",IF(N30&lt;'PlayerGrades+'!$AF$4,"A+",IF(N30&lt;'PlayerGrades+'!$AF$3,"S-",IF(N30&lt;'PlayerGrades+'!$AF$2,"S","S+"))))))))))))))))))))</f>
        <v>A-</v>
      </c>
      <c r="P30" s="937">
        <f t="shared" si="7"/>
        <v>0.03162888772</v>
      </c>
      <c r="Q30" s="937" t="str">
        <f>IF(P30&lt;'PlayerGrades+'!$AG$21,"F-",IF(P30&lt;'PlayerGrades+'!$AG$20,"F",IF(P30&lt;'PlayerGrades+'!$AG$19,"F+",IF(P30&lt;'PlayerGrades+'!$AG$18,"E-",IF(P30&lt;'PlayerGrades+'!$AG$17,"E",IF(P30&lt;'PlayerGrades+'!$AG$16,"E+",IF(P30&lt;'PlayerGrades+'!$AG$15,"D-",IF(P30&lt;'PlayerGrades+'!$AG$14,"D",IF(P30&lt;'PlayerGrades+'!$AG$13,"D+",IF(P30&lt;'PlayerGrades+'!$AG$12,"C-",IF(P30&lt;'PlayerGrades+'!$AG$11,"C",IF(P30&lt;'PlayerGrades+'!$AG$10,"C+",IF(P30&lt;'PlayerGrades+'!$AG$9,"B-",IF(P30&lt;'PlayerGrades+'!$AG$8,"B",IF(P30&lt;'PlayerGrades+'!$AG$7,"B+",IF(P30&lt;'PlayerGrades+'!$AG$6,"A-",IF(P30&lt;'PlayerGrades+'!$AG$5,"A",IF(P30&lt;'PlayerGrades+'!$AG$4,"A+",IF(P30&lt;'PlayerGrades+'!$AG$3,"S-",IF(P30&lt;'PlayerGrades+'!$AG$2,"S","S+"))))))))))))))))))))</f>
        <v>B+</v>
      </c>
      <c r="R30" s="937">
        <f t="shared" si="8"/>
        <v>0.6325777543</v>
      </c>
      <c r="S30" s="937" t="str">
        <f>IF(R30&lt;'PlayerGrades+'!$AH$21,"F-",IF(R30&lt;'PlayerGrades+'!$AH$20,"F",IF(R30&lt;'PlayerGrades+'!$AH$19,"F+",IF(R30&lt;'PlayerGrades+'!$AH$18,"E-",IF(R30&lt;'PlayerGrades+'!$AH$17,"E",IF(R30&lt;'PlayerGrades+'!$AH$16,"E+",IF(R30&lt;'PlayerGrades+'!$AH$15,"D-",IF(R30&lt;'PlayerGrades+'!$AH$14,"D",IF(R30&lt;'PlayerGrades+'!$AH$13,"D+",IF(R30&lt;'PlayerGrades+'!$AH$12,"C-",IF(R30&lt;'PlayerGrades+'!$AH$11,"C",IF(R30&lt;'PlayerGrades+'!$AH$10,"C+",IF(R30&lt;'PlayerGrades+'!$AH$9,"B-",IF(R30&lt;'PlayerGrades+'!$AH$8,"B",IF(R30&lt;'PlayerGrades+'!$AH$7,"B+",IF(R30&lt;'PlayerGrades+'!$AH$6,"A-",IF(R30&lt;'PlayerGrades+'!$AH$5,"A",IF(R30&lt;'PlayerGrades+'!$AH$4,"A+",IF(R30&lt;'PlayerGrades+'!$AH$3,"S-",IF(R30&lt;'PlayerGrades+'!$AH$2,"S","S+"))))))))))))))))))))</f>
        <v>A</v>
      </c>
      <c r="T30" s="937">
        <f t="shared" si="9"/>
        <v>1.759093305</v>
      </c>
      <c r="U30" s="937" t="str">
        <f>IF(T30&lt;'PlayerGrades+'!$AI$21,"F-",IF(T30&lt;'PlayerGrades+'!$AI$20,"F",IF(T30&lt;'PlayerGrades+'!$AI$19,"F+",IF(T30&lt;'PlayerGrades+'!$AI$18,"E-",IF(T30&lt;'PlayerGrades+'!$AI$17,"E",IF(T30&lt;'PlayerGrades+'!$AI$16,"E+",IF(T30&lt;'PlayerGrades+'!$AI$15,"D-",IF(T30&lt;'PlayerGrades+'!$AI$14,"D",IF(T30&lt;'PlayerGrades+'!$AI$13,"D+",IF(T30&lt;'PlayerGrades+'!$AI$12,"C-",IF(T30&lt;'PlayerGrades+'!$AI$11,"C",IF(T30&lt;'PlayerGrades+'!$AI$10,"C+",IF(T30&lt;'PlayerGrades+'!$AI$9,"B-",IF(T30&lt;'PlayerGrades+'!$AI$8,"B",IF(T30&lt;'PlayerGrades+'!$AI$7,"B+",IF(T30&lt;'PlayerGrades+'!$AI$6,"A-",IF(T30&lt;'PlayerGrades+'!$AI$5,"A",IF(T30&lt;'PlayerGrades+'!$AI$4,"A+",IF(T30&lt;'PlayerGrades+'!$AI$3,"S-",IF(T30&lt;'PlayerGrades+'!$AI$2,"S","S+"))))))))))))))))))))</f>
        <v>S</v>
      </c>
      <c r="V30" s="941">
        <v>1.0</v>
      </c>
      <c r="W30" s="941">
        <v>1.0</v>
      </c>
      <c r="X30" s="941">
        <v>0.0</v>
      </c>
      <c r="Y30" s="941">
        <v>0.0</v>
      </c>
      <c r="Z30" s="941">
        <v>1.0</v>
      </c>
      <c r="AA30" s="941">
        <v>152.0</v>
      </c>
      <c r="AB30" s="941">
        <v>146.0</v>
      </c>
      <c r="AC30" s="941">
        <v>6.0</v>
      </c>
      <c r="AD30" s="941">
        <v>8.0</v>
      </c>
      <c r="AE30" s="941">
        <v>5.0</v>
      </c>
      <c r="AF30" s="941">
        <v>1.0</v>
      </c>
      <c r="AG30" s="941">
        <v>1348.0</v>
      </c>
      <c r="AH30" s="941">
        <v>1897.0</v>
      </c>
      <c r="AI30" s="941">
        <v>9.0</v>
      </c>
      <c r="AJ30" s="941">
        <v>14.0</v>
      </c>
      <c r="AK30" s="941">
        <v>0.0</v>
      </c>
      <c r="AL30" s="941">
        <v>1.0</v>
      </c>
      <c r="AM30" s="941">
        <v>0.0</v>
      </c>
      <c r="AN30" s="941">
        <v>0.0</v>
      </c>
      <c r="AO30" s="941">
        <v>0.0</v>
      </c>
      <c r="AP30" s="941">
        <v>1.0</v>
      </c>
      <c r="AQ30" s="941">
        <v>0.0</v>
      </c>
      <c r="AR30" s="941">
        <v>25.0</v>
      </c>
      <c r="AS30" s="941">
        <v>3.0</v>
      </c>
      <c r="AT30" s="941">
        <v>0.0</v>
      </c>
      <c r="AU30" s="941">
        <v>0.0</v>
      </c>
      <c r="AV30" s="941">
        <v>0.0</v>
      </c>
      <c r="AW30" s="941">
        <v>0.0</v>
      </c>
      <c r="AX30" s="941">
        <v>0.0</v>
      </c>
      <c r="AY30" s="941">
        <v>0.0</v>
      </c>
      <c r="AZ30" s="941">
        <v>0.0</v>
      </c>
      <c r="BA30" s="941">
        <v>0.0</v>
      </c>
      <c r="BB30" s="941">
        <v>12.0</v>
      </c>
      <c r="BC30" s="941">
        <v>0.0</v>
      </c>
      <c r="BD30" s="941">
        <v>12.0</v>
      </c>
      <c r="BE30" s="942">
        <v>24.0</v>
      </c>
      <c r="BF30" s="941">
        <v>1.0</v>
      </c>
      <c r="BG30" s="941">
        <v>0.0</v>
      </c>
    </row>
    <row r="31">
      <c r="A31" s="935" t="s">
        <v>147</v>
      </c>
      <c r="B31" s="16" t="str">
        <f>IF(C31&lt;'PlayerGrades+'!$Y$44,"F-",IF(C31&lt;'PlayerGrades+'!$Y$43,"F",IF(C31&lt;'PlayerGrades+'!$Y$42,"F+",IF(C31&lt;'PlayerGrades+'!$Y$41,"E-",IF(C31&lt;'PlayerGrades+'!$Y$40,"E",IF(C31&lt;'PlayerGrades+'!$Y$39,"E+",IF(C31&lt;'PlayerGrades+'!$Y$38,"D-",IF(C31&lt;'PlayerGrades+'!$Y$37,"D",IF(C31&lt;'PlayerGrades+'!$Y$36,"D+",IF(C31&lt;'PlayerGrades+'!$Y$35,"C-",IF(C31&lt;'PlayerGrades+'!$Y$34,"C",IF(C31&lt;'PlayerGrades+'!$Y$33,"C+",IF(C31&lt;'PlayerGrades+'!$Y$32,"B-",IF(C31&lt;'PlayerGrades+'!$Y$31,"B",IF(C31&lt;'PlayerGrades+'!$Y$30,"B+",IF(C31&lt;'PlayerGrades+'!$Y$29,"A-",IF(C31&lt;'PlayerGrades+'!$Y$28,"A",IF(C31&lt;'PlayerGrades+'!$Y$27,"A+",IF(C31&lt;'PlayerGrades+'!$Y$26,"S-",IF(C31&lt;'PlayerGrades+'!$Y$25,"S","S+"))))))))))))))))))))</f>
        <v>D-</v>
      </c>
      <c r="C31" s="936">
        <f>('PlayerGrades+'!$Y$47*(VLOOKUP(E31, 'PlayerGrades+'!$X$3:$Y$23, 2, FALSE)))+('PlayerGrades+'!$Y$48*(VLOOKUP(G31, 'PlayerGrades+'!$X$3:$Y$23, 2, FALSE)))+('PlayerGrades+'!$Y$49*(VLOOKUP(I31, 'PlayerGrades+'!$X$3:$Y$23, 2, FALSE)))+('PlayerGrades+'!$Y$50*(VLOOKUP(K31, 'PlayerGrades+'!$X$3:$Y$23, 2, FALSE)))+('PlayerGrades+'!$Y$51*(VLOOKUP(M31, 'PlayerGrades+'!$X$3:$Y$23, 2, FALSE)))+('PlayerGrades+'!$Y$52*(VLOOKUP(O31, 'PlayerGrades+'!$X$3:$Y$23, 2, FALSE)))+('PlayerGrades+'!$Y$53*(VLOOKUP(Q31, 'PlayerGrades+'!$X$3:$Y$23, 2, FALSE)))+('PlayerGrades+'!$Y$54*(VLOOKUP(S31, 'PlayerGrades+'!$X$3:$Y$23, 2, FALSE)))+('PlayerGrades+'!$Y$55*(VLOOKUP(U31, 'PlayerGrades+'!$X$3:$Y$23, 2, FALSE)))</f>
        <v>15</v>
      </c>
      <c r="D31" s="937">
        <f t="shared" si="1"/>
        <v>0.03162888772</v>
      </c>
      <c r="E31" s="937" t="str">
        <f>IF(D31&lt;'PlayerGrades+'!$AA$21,"F-",IF(D31&lt;'PlayerGrades+'!$AA$20,"F",IF(D31&lt;'PlayerGrades+'!$AA$19,"F+",IF(D31&lt;'PlayerGrades+'!$AA$18,"E-",IF(D31&lt;'PlayerGrades+'!$AA$17,"E",IF(D31&lt;'PlayerGrades+'!$AA$16,"E+",IF(D31&lt;'PlayerGrades+'!$AA$15,"D-",IF(D31&lt;'PlayerGrades+'!$AA$14,"D",IF(D31&lt;'PlayerGrades+'!$AA$13,"D+",IF(D31&lt;'PlayerGrades+'!$AA$12,"C-",IF(D31&lt;'PlayerGrades+'!$AA$11,"C",IF(D31&lt;'PlayerGrades+'!$AA$10,"C+",IF(D31&lt;'PlayerGrades+'!$AA$9,"B-",IF(D31&lt;'PlayerGrades+'!$AA$8,"B",IF(D31&lt;'PlayerGrades+'!$AA$7,"B+",IF(D31&lt;'PlayerGrades+'!$AA$6,"A-",IF(D31&lt;'PlayerGrades+'!$AA$5,"A",IF(D31&lt;'PlayerGrades+'!$AA$4,"A+",IF(D31&lt;'PlayerGrades+'!$AA$3,"S-",IF(D31&lt;'PlayerGrades+'!$AA$2,"S","S+"))))))))))))))))))))</f>
        <v>D+</v>
      </c>
      <c r="F31" s="937">
        <f t="shared" si="2"/>
        <v>-0.3479177649</v>
      </c>
      <c r="G31" s="937" t="str">
        <f>IF(F31&lt;'PlayerGrades+'!$AB$21,"F-",IF(F31&lt;'PlayerGrades+'!$AB$20,"F",IF(F31&lt;'PlayerGrades+'!$AB$19,"F+",IF(F31&lt;'PlayerGrades+'!$AB$18,"E-",IF(F31&lt;'PlayerGrades+'!$AB$17,"E",IF(F31&lt;'PlayerGrades+'!$AB$16,"E+",IF(F31&lt;'PlayerGrades+'!$AB$15,"D-",IF(F31&lt;'PlayerGrades+'!$AB$14,"D",IF(F31&lt;'PlayerGrades+'!$AB$13,"D+",IF(F31&lt;'PlayerGrades+'!$AB$12,"C-",IF(F31&lt;'PlayerGrades+'!$AB$11,"C",IF(F31&lt;'PlayerGrades+'!$AB$10,"C+",IF(F31&lt;'PlayerGrades+'!$AB$9,"B-",IF(F31&lt;'PlayerGrades+'!$AB$8,"B",IF(F31&lt;'PlayerGrades+'!$AB$7,"B+",IF(F31&lt;'PlayerGrades+'!$AB$6,"A-",IF(F31&lt;'PlayerGrades+'!$AB$5,"A",IF(F31&lt;'PlayerGrades+'!$AB$4,"A+",IF(F31&lt;'PlayerGrades+'!$AB$3,"S-",IF(F31&lt;'PlayerGrades+'!$AB$2,"S","S+"))))))))))))))))))))</f>
        <v>C-</v>
      </c>
      <c r="H31" s="937">
        <f t="shared" si="3"/>
        <v>0.1581444386</v>
      </c>
      <c r="I31" s="937" t="str">
        <f>IF(H31&lt;'PlayerGrades+'!$AC$21,"F-",IF(H31&lt;'PlayerGrades+'!$AC$20,"F",IF(H31&lt;'PlayerGrades+'!$AC$19,"F+",IF(H31&lt;'PlayerGrades+'!$AC$18,"E-",IF(H31&lt;'PlayerGrades+'!$AC$17,"E",IF(H31&lt;'PlayerGrades+'!$AC$16,"E+",IF(H31&lt;'PlayerGrades+'!$AC$15,"D-",IF(H31&lt;'PlayerGrades+'!$AC$14,"D",IF(H31&lt;'PlayerGrades+'!$AC$13,"D+",IF(H31&lt;'PlayerGrades+'!$AC$12,"C-",IF(H31&lt;'PlayerGrades+'!$AC$11,"C",IF(H31&lt;'PlayerGrades+'!$AC$10,"C+",IF(H31&lt;'PlayerGrades+'!$AC$9,"B-",IF(H31&lt;'PlayerGrades+'!$AC$8,"B",IF(H31&lt;'PlayerGrades+'!$AC$7,"B+",IF(H31&lt;'PlayerGrades+'!$AC$6,"A-",IF(H31&lt;'PlayerGrades+'!$AC$5,"A",IF(H31&lt;'PlayerGrades+'!$AC$4,"A+",IF(H31&lt;'PlayerGrades+'!$AC$3,"S-",IF(H31&lt;'PlayerGrades+'!$AC$2,"S","S+"))))))))))))))))))))</f>
        <v>A</v>
      </c>
      <c r="J31" s="937">
        <f t="shared" si="4"/>
        <v>0</v>
      </c>
      <c r="K31" s="937" t="str">
        <f>IF(J31&lt;'PlayerGrades+'!$AD$21,"F-",IF(J31&lt;'PlayerGrades+'!$AD$20,"F",IF(J31&lt;'PlayerGrades+'!$AD$19,"F+",IF(J31&lt;'PlayerGrades+'!$AD$18,"E-",IF(J31&lt;'PlayerGrades+'!$AD$17,"E",IF(J31&lt;'PlayerGrades+'!$AD$16,"E+",IF(J31&lt;'PlayerGrades+'!$AD$15,"D-",IF(J31&lt;'PlayerGrades+'!$AD$14,"D",IF(J31&lt;'PlayerGrades+'!$AD$13,"D+",IF(J31&lt;'PlayerGrades+'!$AD$12,"C-",IF(J31&lt;'PlayerGrades+'!$AD$11,"C",IF(J31&lt;'PlayerGrades+'!$AD$10,"C+",IF(J31&lt;'PlayerGrades+'!$AD$9,"B-",IF(J31&lt;'PlayerGrades+'!$AD$8,"B",IF(J31&lt;'PlayerGrades+'!$AD$7,"B+",IF(J31&lt;'PlayerGrades+'!$AD$6,"A-",IF(J31&lt;'PlayerGrades+'!$AD$5,"A",IF(J31&lt;'PlayerGrades+'!$AD$4,"A+",IF(J31&lt;'PlayerGrades+'!$AD$3,"S-",IF(J31&lt;'PlayerGrades+'!$AD$2,"S","S+"))))))))))))))))))))</f>
        <v>F-</v>
      </c>
      <c r="L31" s="677">
        <f t="shared" si="5"/>
        <v>0.2530311017</v>
      </c>
      <c r="M31" s="938" t="str">
        <f>IF(L31&lt;'PlayerGrades+'!$AE$21,"F-",IF(L31&lt;'PlayerGrades+'!$AE$20,"F",IF(L31&lt;'PlayerGrades+'!$AE$19,"F+",IF(L31&lt;'PlayerGrades+'!$AE$18,"E-",IF(L31&lt;'PlayerGrades+'!$AE$17,"E",IF(L31&lt;'PlayerGrades+'!$AE$16,"E+",IF(L31&lt;'PlayerGrades+'!$AE$15,"D-",IF(L31&lt;'PlayerGrades+'!$AE$14,"D",IF(L31&lt;'PlayerGrades+'!$AE$13,"D+",IF(L31&lt;'PlayerGrades+'!$AE$12,"C-",IF(L31&lt;'PlayerGrades+'!$AE$11,"C",IF(L31&lt;'PlayerGrades+'!$AE$10,"C+",IF(L31&lt;'PlayerGrades+'!$AE$9,"B-",IF(L31&lt;'PlayerGrades+'!$AE$8,"B",IF(L31&lt;'PlayerGrades+'!$AE$7,"B+",IF(L31&lt;'PlayerGrades+'!$AE$6,"A-",IF(L31&lt;'PlayerGrades+'!$AE$5,"A",IF(L31&lt;'PlayerGrades+'!$AE$4,"A+",IF(L31&lt;'PlayerGrades+'!$AE$3,"S-",IF(L31&lt;'PlayerGrades+'!$AE$2,"S","S+"))))))))))))))))))))</f>
        <v>F</v>
      </c>
      <c r="N31" s="937">
        <f t="shared" si="6"/>
        <v>0.03162888772</v>
      </c>
      <c r="O31" s="937" t="str">
        <f>IF(N31&lt;'PlayerGrades+'!$AF$21,"F-",IF(N31&lt;'PlayerGrades+'!$AF$20,"F",IF(N31&lt;'PlayerGrades+'!$AF$19,"F+",IF(N31&lt;'PlayerGrades+'!$AF$18,"E-",IF(N31&lt;'PlayerGrades+'!$AF$17,"E",IF(N31&lt;'PlayerGrades+'!$AF$16,"E+",IF(N31&lt;'PlayerGrades+'!$AF$15,"D-",IF(N31&lt;'PlayerGrades+'!$AF$14,"D",IF(N31&lt;'PlayerGrades+'!$AF$13,"D+",IF(N31&lt;'PlayerGrades+'!$AF$12,"C-",IF(N31&lt;'PlayerGrades+'!$AF$11,"C",IF(N31&lt;'PlayerGrades+'!$AF$10,"C+",IF(N31&lt;'PlayerGrades+'!$AF$9,"B-",IF(N31&lt;'PlayerGrades+'!$AF$8,"B",IF(N31&lt;'PlayerGrades+'!$AF$7,"B+",IF(N31&lt;'PlayerGrades+'!$AF$6,"A-",IF(N31&lt;'PlayerGrades+'!$AF$5,"A",IF(N31&lt;'PlayerGrades+'!$AF$4,"A+",IF(N31&lt;'PlayerGrades+'!$AF$3,"S-",IF(N31&lt;'PlayerGrades+'!$AF$2,"S","S+"))))))))))))))))))))</f>
        <v>F</v>
      </c>
      <c r="P31" s="937">
        <f t="shared" si="7"/>
        <v>0</v>
      </c>
      <c r="Q31" s="937" t="str">
        <f>IF(P31&lt;'PlayerGrades+'!$AG$21,"F-",IF(P31&lt;'PlayerGrades+'!$AG$20,"F",IF(P31&lt;'PlayerGrades+'!$AG$19,"F+",IF(P31&lt;'PlayerGrades+'!$AG$18,"E-",IF(P31&lt;'PlayerGrades+'!$AG$17,"E",IF(P31&lt;'PlayerGrades+'!$AG$16,"E+",IF(P31&lt;'PlayerGrades+'!$AG$15,"D-",IF(P31&lt;'PlayerGrades+'!$AG$14,"D",IF(P31&lt;'PlayerGrades+'!$AG$13,"D+",IF(P31&lt;'PlayerGrades+'!$AG$12,"C-",IF(P31&lt;'PlayerGrades+'!$AG$11,"C",IF(P31&lt;'PlayerGrades+'!$AG$10,"C+",IF(P31&lt;'PlayerGrades+'!$AG$9,"B-",IF(P31&lt;'PlayerGrades+'!$AG$8,"B",IF(P31&lt;'PlayerGrades+'!$AG$7,"B+",IF(P31&lt;'PlayerGrades+'!$AG$6,"A-",IF(P31&lt;'PlayerGrades+'!$AG$5,"A",IF(P31&lt;'PlayerGrades+'!$AG$4,"A+",IF(P31&lt;'PlayerGrades+'!$AG$3,"S-",IF(P31&lt;'PlayerGrades+'!$AG$2,"S","S+"))))))))))))))))))))</f>
        <v>F</v>
      </c>
      <c r="R31" s="937">
        <f t="shared" si="8"/>
        <v>0.5376910912</v>
      </c>
      <c r="S31" s="937" t="str">
        <f>IF(R31&lt;'PlayerGrades+'!$AH$21,"F-",IF(R31&lt;'PlayerGrades+'!$AH$20,"F",IF(R31&lt;'PlayerGrades+'!$AH$19,"F+",IF(R31&lt;'PlayerGrades+'!$AH$18,"E-",IF(R31&lt;'PlayerGrades+'!$AH$17,"E",IF(R31&lt;'PlayerGrades+'!$AH$16,"E+",IF(R31&lt;'PlayerGrades+'!$AH$15,"D-",IF(R31&lt;'PlayerGrades+'!$AH$14,"D",IF(R31&lt;'PlayerGrades+'!$AH$13,"D+",IF(R31&lt;'PlayerGrades+'!$AH$12,"C-",IF(R31&lt;'PlayerGrades+'!$AH$11,"C",IF(R31&lt;'PlayerGrades+'!$AH$10,"C+",IF(R31&lt;'PlayerGrades+'!$AH$9,"B-",IF(R31&lt;'PlayerGrades+'!$AH$8,"B",IF(R31&lt;'PlayerGrades+'!$AH$7,"B+",IF(R31&lt;'PlayerGrades+'!$AH$6,"A-",IF(R31&lt;'PlayerGrades+'!$AH$5,"A",IF(R31&lt;'PlayerGrades+'!$AH$4,"A+",IF(R31&lt;'PlayerGrades+'!$AH$3,"S-",IF(R31&lt;'PlayerGrades+'!$AH$2,"S","S+"))))))))))))))))))))</f>
        <v>C+</v>
      </c>
      <c r="T31" s="937">
        <f t="shared" si="9"/>
        <v>1.347917765</v>
      </c>
      <c r="U31" s="937" t="str">
        <f>IF(T31&lt;'PlayerGrades+'!$AI$21,"F-",IF(T31&lt;'PlayerGrades+'!$AI$20,"F",IF(T31&lt;'PlayerGrades+'!$AI$19,"F+",IF(T31&lt;'PlayerGrades+'!$AI$18,"E-",IF(T31&lt;'PlayerGrades+'!$AI$17,"E",IF(T31&lt;'PlayerGrades+'!$AI$16,"E+",IF(T31&lt;'PlayerGrades+'!$AI$15,"D-",IF(T31&lt;'PlayerGrades+'!$AI$14,"D",IF(T31&lt;'PlayerGrades+'!$AI$13,"D+",IF(T31&lt;'PlayerGrades+'!$AI$12,"C-",IF(T31&lt;'PlayerGrades+'!$AI$11,"C",IF(T31&lt;'PlayerGrades+'!$AI$10,"C+",IF(T31&lt;'PlayerGrades+'!$AI$9,"B-",IF(T31&lt;'PlayerGrades+'!$AI$8,"B",IF(T31&lt;'PlayerGrades+'!$AI$7,"B+",IF(T31&lt;'PlayerGrades+'!$AI$6,"A-",IF(T31&lt;'PlayerGrades+'!$AI$5,"A",IF(T31&lt;'PlayerGrades+'!$AI$4,"A+",IF(T31&lt;'PlayerGrades+'!$AI$3,"S-",IF(T31&lt;'PlayerGrades+'!$AI$2,"S","S+"))))))))))))))))))))</f>
        <v>B-</v>
      </c>
      <c r="V31" s="941">
        <v>1.0</v>
      </c>
      <c r="W31" s="941">
        <v>1.0</v>
      </c>
      <c r="X31" s="941">
        <v>0.0</v>
      </c>
      <c r="Y31" s="941">
        <v>1.0</v>
      </c>
      <c r="Z31" s="941">
        <v>0.0</v>
      </c>
      <c r="AA31" s="941">
        <v>91.0</v>
      </c>
      <c r="AB31" s="941">
        <v>102.0</v>
      </c>
      <c r="AC31" s="941">
        <v>-11.0</v>
      </c>
      <c r="AD31" s="941">
        <v>10.0</v>
      </c>
      <c r="AE31" s="941">
        <v>4.0</v>
      </c>
      <c r="AF31" s="941">
        <v>2.0</v>
      </c>
      <c r="AG31" s="941">
        <v>1477.0</v>
      </c>
      <c r="AH31" s="941">
        <v>1897.0</v>
      </c>
      <c r="AI31" s="941">
        <v>14.0</v>
      </c>
      <c r="AJ31" s="941">
        <v>9.0</v>
      </c>
      <c r="AK31" s="941">
        <v>0.0</v>
      </c>
      <c r="AL31" s="941">
        <v>0.0</v>
      </c>
      <c r="AM31" s="941">
        <v>0.0</v>
      </c>
      <c r="AN31" s="941">
        <v>0.0</v>
      </c>
      <c r="AO31" s="941">
        <v>0.0</v>
      </c>
      <c r="AP31" s="941">
        <v>0.0</v>
      </c>
      <c r="AQ31" s="941">
        <v>0.0</v>
      </c>
      <c r="AR31" s="941">
        <v>8.0</v>
      </c>
      <c r="AS31" s="941">
        <v>1.0</v>
      </c>
      <c r="AT31" s="941">
        <v>0.0</v>
      </c>
      <c r="AU31" s="941">
        <v>0.0</v>
      </c>
      <c r="AV31" s="941">
        <v>0.0</v>
      </c>
      <c r="AW31" s="941">
        <v>0.0</v>
      </c>
      <c r="AX31" s="941">
        <v>0.0</v>
      </c>
      <c r="AY31" s="941">
        <v>0.0</v>
      </c>
      <c r="AZ31" s="941">
        <v>0.0</v>
      </c>
      <c r="BA31" s="941">
        <v>0.0</v>
      </c>
      <c r="BB31" s="941">
        <v>5.0</v>
      </c>
      <c r="BC31" s="941">
        <v>0.0</v>
      </c>
      <c r="BD31" s="941">
        <v>7.0</v>
      </c>
      <c r="BE31" s="942">
        <v>11.0</v>
      </c>
      <c r="BF31" s="941">
        <v>1.0</v>
      </c>
      <c r="BG31" s="941">
        <v>0.0</v>
      </c>
    </row>
    <row r="32">
      <c r="A32" s="935" t="s">
        <v>125</v>
      </c>
      <c r="B32" s="16" t="str">
        <f>IF(C32&lt;'PlayerGrades+'!$Y$44,"F-",IF(C32&lt;'PlayerGrades+'!$Y$43,"F",IF(C32&lt;'PlayerGrades+'!$Y$42,"F+",IF(C32&lt;'PlayerGrades+'!$Y$41,"E-",IF(C32&lt;'PlayerGrades+'!$Y$40,"E",IF(C32&lt;'PlayerGrades+'!$Y$39,"E+",IF(C32&lt;'PlayerGrades+'!$Y$38,"D-",IF(C32&lt;'PlayerGrades+'!$Y$37,"D",IF(C32&lt;'PlayerGrades+'!$Y$36,"D+",IF(C32&lt;'PlayerGrades+'!$Y$35,"C-",IF(C32&lt;'PlayerGrades+'!$Y$34,"C",IF(C32&lt;'PlayerGrades+'!$Y$33,"C+",IF(C32&lt;'PlayerGrades+'!$Y$32,"B-",IF(C32&lt;'PlayerGrades+'!$Y$31,"B",IF(C32&lt;'PlayerGrades+'!$Y$30,"B+",IF(C32&lt;'PlayerGrades+'!$Y$29,"A-",IF(C32&lt;'PlayerGrades+'!$Y$28,"A",IF(C32&lt;'PlayerGrades+'!$Y$27,"A+",IF(C32&lt;'PlayerGrades+'!$Y$26,"S-",IF(C32&lt;'PlayerGrades+'!$Y$25,"S","S+"))))))))))))))))))))</f>
        <v>S+</v>
      </c>
      <c r="C32" s="936">
        <f>('PlayerGrades+'!$Y$47*(VLOOKUP(E32, 'PlayerGrades+'!$X$3:$Y$23, 2, FALSE)))+('PlayerGrades+'!$Y$48*(VLOOKUP(G32, 'PlayerGrades+'!$X$3:$Y$23, 2, FALSE)))+('PlayerGrades+'!$Y$49*(VLOOKUP(I32, 'PlayerGrades+'!$X$3:$Y$23, 2, FALSE)))+('PlayerGrades+'!$Y$50*(VLOOKUP(K32, 'PlayerGrades+'!$X$3:$Y$23, 2, FALSE)))+('PlayerGrades+'!$Y$51*(VLOOKUP(M32, 'PlayerGrades+'!$X$3:$Y$23, 2, FALSE)))+('PlayerGrades+'!$Y$52*(VLOOKUP(O32, 'PlayerGrades+'!$X$3:$Y$23, 2, FALSE)))+('PlayerGrades+'!$Y$53*(VLOOKUP(Q32, 'PlayerGrades+'!$X$3:$Y$23, 2, FALSE)))+('PlayerGrades+'!$Y$54*(VLOOKUP(S32, 'PlayerGrades+'!$X$3:$Y$23, 2, FALSE)))+('PlayerGrades+'!$Y$55*(VLOOKUP(U32, 'PlayerGrades+'!$X$3:$Y$23, 2, FALSE)))</f>
        <v>35.5</v>
      </c>
      <c r="D32" s="937">
        <f t="shared" si="1"/>
        <v>0.09488666315</v>
      </c>
      <c r="E32" s="937" t="str">
        <f>IF(D32&lt;'PlayerGrades+'!$AA$21,"F-",IF(D32&lt;'PlayerGrades+'!$AA$20,"F",IF(D32&lt;'PlayerGrades+'!$AA$19,"F+",IF(D32&lt;'PlayerGrades+'!$AA$18,"E-",IF(D32&lt;'PlayerGrades+'!$AA$17,"E",IF(D32&lt;'PlayerGrades+'!$AA$16,"E+",IF(D32&lt;'PlayerGrades+'!$AA$15,"D-",IF(D32&lt;'PlayerGrades+'!$AA$14,"D",IF(D32&lt;'PlayerGrades+'!$AA$13,"D+",IF(D32&lt;'PlayerGrades+'!$AA$12,"C-",IF(D32&lt;'PlayerGrades+'!$AA$11,"C",IF(D32&lt;'PlayerGrades+'!$AA$10,"C+",IF(D32&lt;'PlayerGrades+'!$AA$9,"B-",IF(D32&lt;'PlayerGrades+'!$AA$8,"B",IF(D32&lt;'PlayerGrades+'!$AA$7,"B+",IF(D32&lt;'PlayerGrades+'!$AA$6,"A-",IF(D32&lt;'PlayerGrades+'!$AA$5,"A",IF(D32&lt;'PlayerGrades+'!$AA$4,"A+",IF(D32&lt;'PlayerGrades+'!$AA$3,"S-",IF(D32&lt;'PlayerGrades+'!$AA$2,"S","S+"))))))))))))))))))))</f>
        <v>B</v>
      </c>
      <c r="F32" s="937">
        <f t="shared" si="2"/>
        <v>1.613073274</v>
      </c>
      <c r="G32" s="937" t="str">
        <f>IF(F32&lt;'PlayerGrades+'!$AB$21,"F-",IF(F32&lt;'PlayerGrades+'!$AB$20,"F",IF(F32&lt;'PlayerGrades+'!$AB$19,"F+",IF(F32&lt;'PlayerGrades+'!$AB$18,"E-",IF(F32&lt;'PlayerGrades+'!$AB$17,"E",IF(F32&lt;'PlayerGrades+'!$AB$16,"E+",IF(F32&lt;'PlayerGrades+'!$AB$15,"D-",IF(F32&lt;'PlayerGrades+'!$AB$14,"D",IF(F32&lt;'PlayerGrades+'!$AB$13,"D+",IF(F32&lt;'PlayerGrades+'!$AB$12,"C-",IF(F32&lt;'PlayerGrades+'!$AB$11,"C",IF(F32&lt;'PlayerGrades+'!$AB$10,"C+",IF(F32&lt;'PlayerGrades+'!$AB$9,"B-",IF(F32&lt;'PlayerGrades+'!$AB$8,"B",IF(F32&lt;'PlayerGrades+'!$AB$7,"B+",IF(F32&lt;'PlayerGrades+'!$AB$6,"A-",IF(F32&lt;'PlayerGrades+'!$AB$5,"A",IF(F32&lt;'PlayerGrades+'!$AB$4,"A+",IF(F32&lt;'PlayerGrades+'!$AB$3,"S-",IF(F32&lt;'PlayerGrades+'!$AB$2,"S","S+"))))))))))))))))))))</f>
        <v>S+</v>
      </c>
      <c r="H32" s="937">
        <f t="shared" si="3"/>
        <v>0.2846599895</v>
      </c>
      <c r="I32" s="937" t="str">
        <f>IF(H32&lt;'PlayerGrades+'!$AC$21,"F-",IF(H32&lt;'PlayerGrades+'!$AC$20,"F",IF(H32&lt;'PlayerGrades+'!$AC$19,"F+",IF(H32&lt;'PlayerGrades+'!$AC$18,"E-",IF(H32&lt;'PlayerGrades+'!$AC$17,"E",IF(H32&lt;'PlayerGrades+'!$AC$16,"E+",IF(H32&lt;'PlayerGrades+'!$AC$15,"D-",IF(H32&lt;'PlayerGrades+'!$AC$14,"D",IF(H32&lt;'PlayerGrades+'!$AC$13,"D+",IF(H32&lt;'PlayerGrades+'!$AC$12,"C-",IF(H32&lt;'PlayerGrades+'!$AC$11,"C",IF(H32&lt;'PlayerGrades+'!$AC$10,"C+",IF(H32&lt;'PlayerGrades+'!$AC$9,"B-",IF(H32&lt;'PlayerGrades+'!$AC$8,"B",IF(H32&lt;'PlayerGrades+'!$AC$7,"B+",IF(H32&lt;'PlayerGrades+'!$AC$6,"A-",IF(H32&lt;'PlayerGrades+'!$AC$5,"A",IF(H32&lt;'PlayerGrades+'!$AC$4,"A+",IF(H32&lt;'PlayerGrades+'!$AC$3,"S-",IF(H32&lt;'PlayerGrades+'!$AC$2,"S","S+"))))))))))))))))))))</f>
        <v>S</v>
      </c>
      <c r="J32" s="937">
        <f t="shared" si="4"/>
        <v>0.1265155509</v>
      </c>
      <c r="K32" s="937" t="str">
        <f>IF(J32&lt;'PlayerGrades+'!$AD$21,"F-",IF(J32&lt;'PlayerGrades+'!$AD$20,"F",IF(J32&lt;'PlayerGrades+'!$AD$19,"F+",IF(J32&lt;'PlayerGrades+'!$AD$18,"E-",IF(J32&lt;'PlayerGrades+'!$AD$17,"E",IF(J32&lt;'PlayerGrades+'!$AD$16,"E+",IF(J32&lt;'PlayerGrades+'!$AD$15,"D-",IF(J32&lt;'PlayerGrades+'!$AD$14,"D",IF(J32&lt;'PlayerGrades+'!$AD$13,"D+",IF(J32&lt;'PlayerGrades+'!$AD$12,"C-",IF(J32&lt;'PlayerGrades+'!$AD$11,"C",IF(J32&lt;'PlayerGrades+'!$AD$10,"C+",IF(J32&lt;'PlayerGrades+'!$AD$9,"B-",IF(J32&lt;'PlayerGrades+'!$AD$8,"B",IF(J32&lt;'PlayerGrades+'!$AD$7,"B+",IF(J32&lt;'PlayerGrades+'!$AD$6,"A-",IF(J32&lt;'PlayerGrades+'!$AD$5,"A",IF(J32&lt;'PlayerGrades+'!$AD$4,"A+",IF(J32&lt;'PlayerGrades+'!$AD$3,"S-",IF(J32&lt;'PlayerGrades+'!$AD$2,"S","S+"))))))))))))))))))))</f>
        <v>S+</v>
      </c>
      <c r="L32" s="677">
        <f t="shared" si="5"/>
        <v>1.043753295</v>
      </c>
      <c r="M32" s="938" t="str">
        <f>IF(L32&lt;'PlayerGrades+'!$AE$21,"F-",IF(L32&lt;'PlayerGrades+'!$AE$20,"F",IF(L32&lt;'PlayerGrades+'!$AE$19,"F+",IF(L32&lt;'PlayerGrades+'!$AE$18,"E-",IF(L32&lt;'PlayerGrades+'!$AE$17,"E",IF(L32&lt;'PlayerGrades+'!$AE$16,"E+",IF(L32&lt;'PlayerGrades+'!$AE$15,"D-",IF(L32&lt;'PlayerGrades+'!$AE$14,"D",IF(L32&lt;'PlayerGrades+'!$AE$13,"D+",IF(L32&lt;'PlayerGrades+'!$AE$12,"C-",IF(L32&lt;'PlayerGrades+'!$AE$11,"C",IF(L32&lt;'PlayerGrades+'!$AE$10,"C+",IF(L32&lt;'PlayerGrades+'!$AE$9,"B-",IF(L32&lt;'PlayerGrades+'!$AE$8,"B",IF(L32&lt;'PlayerGrades+'!$AE$7,"B+",IF(L32&lt;'PlayerGrades+'!$AE$6,"A-",IF(L32&lt;'PlayerGrades+'!$AE$5,"A",IF(L32&lt;'PlayerGrades+'!$AE$4,"A+",IF(L32&lt;'PlayerGrades+'!$AE$3,"S-",IF(L32&lt;'PlayerGrades+'!$AE$2,"S","S+"))))))))))))))))))))</f>
        <v>S+</v>
      </c>
      <c r="N32" s="937">
        <f t="shared" si="6"/>
        <v>0.2846599895</v>
      </c>
      <c r="O32" s="937" t="str">
        <f>IF(N32&lt;'PlayerGrades+'!$AF$21,"F-",IF(N32&lt;'PlayerGrades+'!$AF$20,"F",IF(N32&lt;'PlayerGrades+'!$AF$19,"F+",IF(N32&lt;'PlayerGrades+'!$AF$18,"E-",IF(N32&lt;'PlayerGrades+'!$AF$17,"E",IF(N32&lt;'PlayerGrades+'!$AF$16,"E+",IF(N32&lt;'PlayerGrades+'!$AF$15,"D-",IF(N32&lt;'PlayerGrades+'!$AF$14,"D",IF(N32&lt;'PlayerGrades+'!$AF$13,"D+",IF(N32&lt;'PlayerGrades+'!$AF$12,"C-",IF(N32&lt;'PlayerGrades+'!$AF$11,"C",IF(N32&lt;'PlayerGrades+'!$AF$10,"C+",IF(N32&lt;'PlayerGrades+'!$AF$9,"B-",IF(N32&lt;'PlayerGrades+'!$AF$8,"B",IF(N32&lt;'PlayerGrades+'!$AF$7,"B+",IF(N32&lt;'PlayerGrades+'!$AF$6,"A-",IF(N32&lt;'PlayerGrades+'!$AF$5,"A",IF(N32&lt;'PlayerGrades+'!$AF$4,"A+",IF(N32&lt;'PlayerGrades+'!$AF$3,"S-",IF(N32&lt;'PlayerGrades+'!$AF$2,"S","S+"))))))))))))))))))))</f>
        <v>S+</v>
      </c>
      <c r="P32" s="937">
        <f t="shared" si="7"/>
        <v>0.1265155509</v>
      </c>
      <c r="Q32" s="937" t="str">
        <f>IF(P32&lt;'PlayerGrades+'!$AG$21,"F-",IF(P32&lt;'PlayerGrades+'!$AG$20,"F",IF(P32&lt;'PlayerGrades+'!$AG$19,"F+",IF(P32&lt;'PlayerGrades+'!$AG$18,"E-",IF(P32&lt;'PlayerGrades+'!$AG$17,"E",IF(P32&lt;'PlayerGrades+'!$AG$16,"E+",IF(P32&lt;'PlayerGrades+'!$AG$15,"D-",IF(P32&lt;'PlayerGrades+'!$AG$14,"D",IF(P32&lt;'PlayerGrades+'!$AG$13,"D+",IF(P32&lt;'PlayerGrades+'!$AG$12,"C-",IF(P32&lt;'PlayerGrades+'!$AG$11,"C",IF(P32&lt;'PlayerGrades+'!$AG$10,"C+",IF(P32&lt;'PlayerGrades+'!$AG$9,"B-",IF(P32&lt;'PlayerGrades+'!$AG$8,"B",IF(P32&lt;'PlayerGrades+'!$AG$7,"B+",IF(P32&lt;'PlayerGrades+'!$AG$6,"A-",IF(P32&lt;'PlayerGrades+'!$AG$5,"A",IF(P32&lt;'PlayerGrades+'!$AG$4,"A+",IF(P32&lt;'PlayerGrades+'!$AG$3,"S-",IF(P32&lt;'PlayerGrades+'!$AG$2,"S","S+"))))))))))))))))))))</f>
        <v>S+</v>
      </c>
      <c r="R32" s="937">
        <f t="shared" si="8"/>
        <v>0.8539799684</v>
      </c>
      <c r="S32" s="937" t="str">
        <f>IF(R32&lt;'PlayerGrades+'!$AH$21,"F-",IF(R32&lt;'PlayerGrades+'!$AH$20,"F",IF(R32&lt;'PlayerGrades+'!$AH$19,"F+",IF(R32&lt;'PlayerGrades+'!$AH$18,"E-",IF(R32&lt;'PlayerGrades+'!$AH$17,"E",IF(R32&lt;'PlayerGrades+'!$AH$16,"E+",IF(R32&lt;'PlayerGrades+'!$AH$15,"D-",IF(R32&lt;'PlayerGrades+'!$AH$14,"D",IF(R32&lt;'PlayerGrades+'!$AH$13,"D+",IF(R32&lt;'PlayerGrades+'!$AH$12,"C-",IF(R32&lt;'PlayerGrades+'!$AH$11,"C",IF(R32&lt;'PlayerGrades+'!$AH$10,"C+",IF(R32&lt;'PlayerGrades+'!$AH$9,"B-",IF(R32&lt;'PlayerGrades+'!$AH$8,"B",IF(R32&lt;'PlayerGrades+'!$AH$7,"B+",IF(R32&lt;'PlayerGrades+'!$AH$6,"A-",IF(R32&lt;'PlayerGrades+'!$AH$5,"A",IF(R32&lt;'PlayerGrades+'!$AH$4,"A+",IF(R32&lt;'PlayerGrades+'!$AH$3,"S-",IF(R32&lt;'PlayerGrades+'!$AH$2,"S","S+"))))))))))))))))))))</f>
        <v>S+</v>
      </c>
      <c r="T32" s="937">
        <f t="shared" si="9"/>
        <v>1.537691091</v>
      </c>
      <c r="U32" s="937" t="str">
        <f>IF(T32&lt;'PlayerGrades+'!$AI$21,"F-",IF(T32&lt;'PlayerGrades+'!$AI$20,"F",IF(T32&lt;'PlayerGrades+'!$AI$19,"F+",IF(T32&lt;'PlayerGrades+'!$AI$18,"E-",IF(T32&lt;'PlayerGrades+'!$AI$17,"E",IF(T32&lt;'PlayerGrades+'!$AI$16,"E+",IF(T32&lt;'PlayerGrades+'!$AI$15,"D-",IF(T32&lt;'PlayerGrades+'!$AI$14,"D",IF(T32&lt;'PlayerGrades+'!$AI$13,"D+",IF(T32&lt;'PlayerGrades+'!$AI$12,"C-",IF(T32&lt;'PlayerGrades+'!$AI$11,"C",IF(T32&lt;'PlayerGrades+'!$AI$10,"C+",IF(T32&lt;'PlayerGrades+'!$AI$9,"B-",IF(T32&lt;'PlayerGrades+'!$AI$8,"B",IF(T32&lt;'PlayerGrades+'!$AI$7,"B+",IF(T32&lt;'PlayerGrades+'!$AI$6,"A-",IF(T32&lt;'PlayerGrades+'!$AI$5,"A",IF(T32&lt;'PlayerGrades+'!$AI$4,"A+",IF(T32&lt;'PlayerGrades+'!$AI$3,"S-",IF(T32&lt;'PlayerGrades+'!$AI$2,"S","S+"))))))))))))))))))))</f>
        <v>A+</v>
      </c>
      <c r="V32" s="941">
        <v>1.0</v>
      </c>
      <c r="W32" s="941">
        <v>1.0</v>
      </c>
      <c r="X32" s="941">
        <v>0.0</v>
      </c>
      <c r="Y32" s="941">
        <v>2.0</v>
      </c>
      <c r="Z32" s="941">
        <v>1.0</v>
      </c>
      <c r="AA32" s="941">
        <v>158.0</v>
      </c>
      <c r="AB32" s="941">
        <v>107.0</v>
      </c>
      <c r="AC32" s="941">
        <v>51.0</v>
      </c>
      <c r="AD32" s="941">
        <v>9.0</v>
      </c>
      <c r="AE32" s="941">
        <v>7.0</v>
      </c>
      <c r="AF32" s="941">
        <v>7.0</v>
      </c>
      <c r="AG32" s="941">
        <v>1466.0</v>
      </c>
      <c r="AH32" s="941">
        <v>1897.0</v>
      </c>
      <c r="AI32" s="941">
        <v>13.0</v>
      </c>
      <c r="AJ32" s="941">
        <v>15.0</v>
      </c>
      <c r="AK32" s="941">
        <v>0.0</v>
      </c>
      <c r="AL32" s="941">
        <v>4.0</v>
      </c>
      <c r="AM32" s="941">
        <v>0.0</v>
      </c>
      <c r="AN32" s="941">
        <v>0.0</v>
      </c>
      <c r="AO32" s="941">
        <v>0.0</v>
      </c>
      <c r="AP32" s="941">
        <v>4.0</v>
      </c>
      <c r="AQ32" s="941">
        <v>0.0</v>
      </c>
      <c r="AR32" s="941">
        <v>33.0</v>
      </c>
      <c r="AS32" s="941">
        <v>9.0</v>
      </c>
      <c r="AT32" s="941">
        <v>0.0</v>
      </c>
      <c r="AU32" s="941">
        <v>0.0</v>
      </c>
      <c r="AV32" s="941">
        <v>0.0</v>
      </c>
      <c r="AW32" s="941">
        <v>0.0</v>
      </c>
      <c r="AX32" s="941">
        <v>0.0</v>
      </c>
      <c r="AY32" s="941">
        <v>0.0</v>
      </c>
      <c r="AZ32" s="941">
        <v>0.0</v>
      </c>
      <c r="BA32" s="941">
        <v>0.0</v>
      </c>
      <c r="BB32" s="941">
        <v>9.0</v>
      </c>
      <c r="BC32" s="941">
        <v>0.0</v>
      </c>
      <c r="BD32" s="941">
        <v>18.0</v>
      </c>
      <c r="BE32" s="942">
        <v>17.0</v>
      </c>
      <c r="BF32" s="941">
        <v>1.0</v>
      </c>
      <c r="BG32" s="941">
        <v>0.0</v>
      </c>
    </row>
    <row r="33">
      <c r="A33" s="943" t="s">
        <v>114</v>
      </c>
      <c r="B33" s="16" t="str">
        <f>IF(C33&lt;'PlayerGrades+'!$Y$44,"F-",IF(C33&lt;'PlayerGrades+'!$Y$43,"F",IF(C33&lt;'PlayerGrades+'!$Y$42,"F+",IF(C33&lt;'PlayerGrades+'!$Y$41,"E-",IF(C33&lt;'PlayerGrades+'!$Y$40,"E",IF(C33&lt;'PlayerGrades+'!$Y$39,"E+",IF(C33&lt;'PlayerGrades+'!$Y$38,"D-",IF(C33&lt;'PlayerGrades+'!$Y$37,"D",IF(C33&lt;'PlayerGrades+'!$Y$36,"D+",IF(C33&lt;'PlayerGrades+'!$Y$35,"C-",IF(C33&lt;'PlayerGrades+'!$Y$34,"C",IF(C33&lt;'PlayerGrades+'!$Y$33,"C+",IF(C33&lt;'PlayerGrades+'!$Y$32,"B-",IF(C33&lt;'PlayerGrades+'!$Y$31,"B",IF(C33&lt;'PlayerGrades+'!$Y$30,"B+",IF(C33&lt;'PlayerGrades+'!$Y$29,"A-",IF(C33&lt;'PlayerGrades+'!$Y$28,"A",IF(C33&lt;'PlayerGrades+'!$Y$27,"A+",IF(C33&lt;'PlayerGrades+'!$Y$26,"S-",IF(C33&lt;'PlayerGrades+'!$Y$25,"S","S+"))))))))))))))))))))</f>
        <v>D-</v>
      </c>
      <c r="C33" s="936">
        <f>('PlayerGrades+'!$Y$47*(VLOOKUP(E33, 'PlayerGrades+'!$X$3:$Y$23, 2, FALSE)))+('PlayerGrades+'!$Y$48*(VLOOKUP(G33, 'PlayerGrades+'!$X$3:$Y$23, 2, FALSE)))+('PlayerGrades+'!$Y$49*(VLOOKUP(I33, 'PlayerGrades+'!$X$3:$Y$23, 2, FALSE)))+('PlayerGrades+'!$Y$50*(VLOOKUP(K33, 'PlayerGrades+'!$X$3:$Y$23, 2, FALSE)))+('PlayerGrades+'!$Y$51*(VLOOKUP(M33, 'PlayerGrades+'!$X$3:$Y$23, 2, FALSE)))+('PlayerGrades+'!$Y$52*(VLOOKUP(O33, 'PlayerGrades+'!$X$3:$Y$23, 2, FALSE)))+('PlayerGrades+'!$Y$53*(VLOOKUP(Q33, 'PlayerGrades+'!$X$3:$Y$23, 2, FALSE)))+('PlayerGrades+'!$Y$54*(VLOOKUP(S33, 'PlayerGrades+'!$X$3:$Y$23, 2, FALSE)))+('PlayerGrades+'!$Y$55*(VLOOKUP(U33, 'PlayerGrades+'!$X$3:$Y$23, 2, FALSE)))</f>
        <v>15.15</v>
      </c>
      <c r="D33" s="937">
        <f t="shared" si="1"/>
        <v>0.6958355298</v>
      </c>
      <c r="E33" s="937" t="str">
        <f>IF(D33&lt;'PlayerGrades+'!$AA$21,"F-",IF(D33&lt;'PlayerGrades+'!$AA$20,"F",IF(D33&lt;'PlayerGrades+'!$AA$19,"F+",IF(D33&lt;'PlayerGrades+'!$AA$18,"E-",IF(D33&lt;'PlayerGrades+'!$AA$17,"E",IF(D33&lt;'PlayerGrades+'!$AA$16,"E+",IF(D33&lt;'PlayerGrades+'!$AA$15,"D-",IF(D33&lt;'PlayerGrades+'!$AA$14,"D",IF(D33&lt;'PlayerGrades+'!$AA$13,"D+",IF(D33&lt;'PlayerGrades+'!$AA$12,"C-",IF(D33&lt;'PlayerGrades+'!$AA$11,"C",IF(D33&lt;'PlayerGrades+'!$AA$10,"C+",IF(D33&lt;'PlayerGrades+'!$AA$9,"B-",IF(D33&lt;'PlayerGrades+'!$AA$8,"B",IF(D33&lt;'PlayerGrades+'!$AA$7,"B+",IF(D33&lt;'PlayerGrades+'!$AA$6,"A-",IF(D33&lt;'PlayerGrades+'!$AA$5,"A",IF(D33&lt;'PlayerGrades+'!$AA$4,"A+",IF(D33&lt;'PlayerGrades+'!$AA$3,"S-",IF(D33&lt;'PlayerGrades+'!$AA$2,"S","S+"))))))))))))))))))))</f>
        <v>S</v>
      </c>
      <c r="F33" s="937">
        <f t="shared" si="2"/>
        <v>0.1265155509</v>
      </c>
      <c r="G33" s="937" t="str">
        <f>IF(F33&lt;'PlayerGrades+'!$AB$21,"F-",IF(F33&lt;'PlayerGrades+'!$AB$20,"F",IF(F33&lt;'PlayerGrades+'!$AB$19,"F+",IF(F33&lt;'PlayerGrades+'!$AB$18,"E-",IF(F33&lt;'PlayerGrades+'!$AB$17,"E",IF(F33&lt;'PlayerGrades+'!$AB$16,"E+",IF(F33&lt;'PlayerGrades+'!$AB$15,"D-",IF(F33&lt;'PlayerGrades+'!$AB$14,"D",IF(F33&lt;'PlayerGrades+'!$AB$13,"D+",IF(F33&lt;'PlayerGrades+'!$AB$12,"C-",IF(F33&lt;'PlayerGrades+'!$AB$11,"C",IF(F33&lt;'PlayerGrades+'!$AB$10,"C+",IF(F33&lt;'PlayerGrades+'!$AB$9,"B-",IF(F33&lt;'PlayerGrades+'!$AB$8,"B",IF(F33&lt;'PlayerGrades+'!$AB$7,"B+",IF(F33&lt;'PlayerGrades+'!$AB$6,"A-",IF(F33&lt;'PlayerGrades+'!$AB$5,"A",IF(F33&lt;'PlayerGrades+'!$AB$4,"A+",IF(F33&lt;'PlayerGrades+'!$AB$3,"S-",IF(F33&lt;'PlayerGrades+'!$AB$2,"S","S+"))))))))))))))))))))</f>
        <v>B+</v>
      </c>
      <c r="H33" s="937">
        <f t="shared" si="3"/>
        <v>0.06325777543</v>
      </c>
      <c r="I33" s="937" t="str">
        <f>IF(H33&lt;'PlayerGrades+'!$AC$21,"F-",IF(H33&lt;'PlayerGrades+'!$AC$20,"F",IF(H33&lt;'PlayerGrades+'!$AC$19,"F+",IF(H33&lt;'PlayerGrades+'!$AC$18,"E-",IF(H33&lt;'PlayerGrades+'!$AC$17,"E",IF(H33&lt;'PlayerGrades+'!$AC$16,"E+",IF(H33&lt;'PlayerGrades+'!$AC$15,"D-",IF(H33&lt;'PlayerGrades+'!$AC$14,"D",IF(H33&lt;'PlayerGrades+'!$AC$13,"D+",IF(H33&lt;'PlayerGrades+'!$AC$12,"C-",IF(H33&lt;'PlayerGrades+'!$AC$11,"C",IF(H33&lt;'PlayerGrades+'!$AC$10,"C+",IF(H33&lt;'PlayerGrades+'!$AC$9,"B-",IF(H33&lt;'PlayerGrades+'!$AC$8,"B",IF(H33&lt;'PlayerGrades+'!$AC$7,"B+",IF(H33&lt;'PlayerGrades+'!$AC$6,"A-",IF(H33&lt;'PlayerGrades+'!$AC$5,"A",IF(H33&lt;'PlayerGrades+'!$AC$4,"A+",IF(H33&lt;'PlayerGrades+'!$AC$3,"S-",IF(H33&lt;'PlayerGrades+'!$AC$2,"S","S+"))))))))))))))))))))</f>
        <v>E-</v>
      </c>
      <c r="J33" s="937">
        <f t="shared" si="4"/>
        <v>0.03162888772</v>
      </c>
      <c r="K33" s="937" t="str">
        <f>IF(J33&lt;'PlayerGrades+'!$AD$21,"F-",IF(J33&lt;'PlayerGrades+'!$AD$20,"F",IF(J33&lt;'PlayerGrades+'!$AD$19,"F+",IF(J33&lt;'PlayerGrades+'!$AD$18,"E-",IF(J33&lt;'PlayerGrades+'!$AD$17,"E",IF(J33&lt;'PlayerGrades+'!$AD$16,"E+",IF(J33&lt;'PlayerGrades+'!$AD$15,"D-",IF(J33&lt;'PlayerGrades+'!$AD$14,"D",IF(J33&lt;'PlayerGrades+'!$AD$13,"D+",IF(J33&lt;'PlayerGrades+'!$AD$12,"C-",IF(J33&lt;'PlayerGrades+'!$AD$11,"C",IF(J33&lt;'PlayerGrades+'!$AD$10,"C+",IF(J33&lt;'PlayerGrades+'!$AD$9,"B-",IF(J33&lt;'PlayerGrades+'!$AD$8,"B",IF(J33&lt;'PlayerGrades+'!$AD$7,"B+",IF(J33&lt;'PlayerGrades+'!$AD$6,"A-",IF(J33&lt;'PlayerGrades+'!$AD$5,"A",IF(J33&lt;'PlayerGrades+'!$AD$4,"A+",IF(J33&lt;'PlayerGrades+'!$AD$3,"S-",IF(J33&lt;'PlayerGrades+'!$AD$2,"S","S+"))))))))))))))))))))</f>
        <v>C</v>
      </c>
      <c r="L33" s="677">
        <f t="shared" si="5"/>
        <v>0.1581444386</v>
      </c>
      <c r="M33" s="938" t="str">
        <f>IF(L33&lt;'PlayerGrades+'!$AE$21,"F-",IF(L33&lt;'PlayerGrades+'!$AE$20,"F",IF(L33&lt;'PlayerGrades+'!$AE$19,"F+",IF(L33&lt;'PlayerGrades+'!$AE$18,"E-",IF(L33&lt;'PlayerGrades+'!$AE$17,"E",IF(L33&lt;'PlayerGrades+'!$AE$16,"E+",IF(L33&lt;'PlayerGrades+'!$AE$15,"D-",IF(L33&lt;'PlayerGrades+'!$AE$14,"D",IF(L33&lt;'PlayerGrades+'!$AE$13,"D+",IF(L33&lt;'PlayerGrades+'!$AE$12,"C-",IF(L33&lt;'PlayerGrades+'!$AE$11,"C",IF(L33&lt;'PlayerGrades+'!$AE$10,"C+",IF(L33&lt;'PlayerGrades+'!$AE$9,"B-",IF(L33&lt;'PlayerGrades+'!$AE$8,"B",IF(L33&lt;'PlayerGrades+'!$AE$7,"B+",IF(L33&lt;'PlayerGrades+'!$AE$6,"A-",IF(L33&lt;'PlayerGrades+'!$AE$5,"A",IF(L33&lt;'PlayerGrades+'!$AE$4,"A+",IF(L33&lt;'PlayerGrades+'!$AE$3,"S-",IF(L33&lt;'PlayerGrades+'!$AE$2,"S","S+"))))))))))))))))))))</f>
        <v>F-</v>
      </c>
      <c r="N33" s="937">
        <f t="shared" si="6"/>
        <v>0</v>
      </c>
      <c r="O33" s="937" t="str">
        <f>IF(N33&lt;'PlayerGrades+'!$AF$21,"F-",IF(N33&lt;'PlayerGrades+'!$AF$20,"F",IF(N33&lt;'PlayerGrades+'!$AF$19,"F+",IF(N33&lt;'PlayerGrades+'!$AF$18,"E-",IF(N33&lt;'PlayerGrades+'!$AF$17,"E",IF(N33&lt;'PlayerGrades+'!$AF$16,"E+",IF(N33&lt;'PlayerGrades+'!$AF$15,"D-",IF(N33&lt;'PlayerGrades+'!$AF$14,"D",IF(N33&lt;'PlayerGrades+'!$AF$13,"D+",IF(N33&lt;'PlayerGrades+'!$AF$12,"C-",IF(N33&lt;'PlayerGrades+'!$AF$11,"C",IF(N33&lt;'PlayerGrades+'!$AF$10,"C+",IF(N33&lt;'PlayerGrades+'!$AF$9,"B-",IF(N33&lt;'PlayerGrades+'!$AF$8,"B",IF(N33&lt;'PlayerGrades+'!$AF$7,"B+",IF(N33&lt;'PlayerGrades+'!$AF$6,"A-",IF(N33&lt;'PlayerGrades+'!$AF$5,"A",IF(N33&lt;'PlayerGrades+'!$AF$4,"A+",IF(N33&lt;'PlayerGrades+'!$AF$3,"S-",IF(N33&lt;'PlayerGrades+'!$AF$2,"S","S+"))))))))))))))))))))</f>
        <v>F-</v>
      </c>
      <c r="P33" s="937">
        <f t="shared" si="7"/>
        <v>0</v>
      </c>
      <c r="Q33" s="937" t="str">
        <f>IF(P33&lt;'PlayerGrades+'!$AG$21,"F-",IF(P33&lt;'PlayerGrades+'!$AG$20,"F",IF(P33&lt;'PlayerGrades+'!$AG$19,"F+",IF(P33&lt;'PlayerGrades+'!$AG$18,"E-",IF(P33&lt;'PlayerGrades+'!$AG$17,"E",IF(P33&lt;'PlayerGrades+'!$AG$16,"E+",IF(P33&lt;'PlayerGrades+'!$AG$15,"D-",IF(P33&lt;'PlayerGrades+'!$AG$14,"D",IF(P33&lt;'PlayerGrades+'!$AG$13,"D+",IF(P33&lt;'PlayerGrades+'!$AG$12,"C-",IF(P33&lt;'PlayerGrades+'!$AG$11,"C",IF(P33&lt;'PlayerGrades+'!$AG$10,"C+",IF(P33&lt;'PlayerGrades+'!$AG$9,"B-",IF(P33&lt;'PlayerGrades+'!$AG$8,"B",IF(P33&lt;'PlayerGrades+'!$AG$7,"B+",IF(P33&lt;'PlayerGrades+'!$AG$6,"A-",IF(P33&lt;'PlayerGrades+'!$AG$5,"A",IF(P33&lt;'PlayerGrades+'!$AG$4,"A+",IF(P33&lt;'PlayerGrades+'!$AG$3,"S-",IF(P33&lt;'PlayerGrades+'!$AG$2,"S","S+"))))))))))))))))))))</f>
        <v>F</v>
      </c>
      <c r="R33" s="937">
        <f t="shared" si="8"/>
        <v>0.5376910912</v>
      </c>
      <c r="S33" s="937" t="str">
        <f>IF(R33&lt;'PlayerGrades+'!$AH$21,"F-",IF(R33&lt;'PlayerGrades+'!$AH$20,"F",IF(R33&lt;'PlayerGrades+'!$AH$19,"F+",IF(R33&lt;'PlayerGrades+'!$AH$18,"E-",IF(R33&lt;'PlayerGrades+'!$AH$17,"E",IF(R33&lt;'PlayerGrades+'!$AH$16,"E+",IF(R33&lt;'PlayerGrades+'!$AH$15,"D-",IF(R33&lt;'PlayerGrades+'!$AH$14,"D",IF(R33&lt;'PlayerGrades+'!$AH$13,"D+",IF(R33&lt;'PlayerGrades+'!$AH$12,"C-",IF(R33&lt;'PlayerGrades+'!$AH$11,"C",IF(R33&lt;'PlayerGrades+'!$AH$10,"C+",IF(R33&lt;'PlayerGrades+'!$AH$9,"B-",IF(R33&lt;'PlayerGrades+'!$AH$8,"B",IF(R33&lt;'PlayerGrades+'!$AH$7,"B+",IF(R33&lt;'PlayerGrades+'!$AH$6,"A-",IF(R33&lt;'PlayerGrades+'!$AH$5,"A",IF(R33&lt;'PlayerGrades+'!$AH$4,"A+",IF(R33&lt;'PlayerGrades+'!$AH$3,"S-",IF(R33&lt;'PlayerGrades+'!$AH$2,"S","S+"))))))))))))))))))))</f>
        <v>C+</v>
      </c>
      <c r="T33" s="937">
        <f t="shared" si="9"/>
        <v>0.3162888772</v>
      </c>
      <c r="U33" s="937" t="str">
        <f>IF(T33&lt;'PlayerGrades+'!$AI$21,"F-",IF(T33&lt;'PlayerGrades+'!$AI$20,"F",IF(T33&lt;'PlayerGrades+'!$AI$19,"F+",IF(T33&lt;'PlayerGrades+'!$AI$18,"E-",IF(T33&lt;'PlayerGrades+'!$AI$17,"E",IF(T33&lt;'PlayerGrades+'!$AI$16,"E+",IF(T33&lt;'PlayerGrades+'!$AI$15,"D-",IF(T33&lt;'PlayerGrades+'!$AI$14,"D",IF(T33&lt;'PlayerGrades+'!$AI$13,"D+",IF(T33&lt;'PlayerGrades+'!$AI$12,"C-",IF(T33&lt;'PlayerGrades+'!$AI$11,"C",IF(T33&lt;'PlayerGrades+'!$AI$10,"C+",IF(T33&lt;'PlayerGrades+'!$AI$9,"B-",IF(T33&lt;'PlayerGrades+'!$AI$8,"B",IF(T33&lt;'PlayerGrades+'!$AI$7,"B+",IF(T33&lt;'PlayerGrades+'!$AI$6,"A-",IF(T33&lt;'PlayerGrades+'!$AI$5,"A",IF(T33&lt;'PlayerGrades+'!$AI$4,"A+",IF(T33&lt;'PlayerGrades+'!$AI$3,"S-",IF(T33&lt;'PlayerGrades+'!$AI$2,"S","S+"))))))))))))))))))))</f>
        <v>F-</v>
      </c>
      <c r="V33" s="944">
        <v>1.0</v>
      </c>
      <c r="W33" s="944">
        <v>1.0</v>
      </c>
      <c r="X33" s="882">
        <v>0.0</v>
      </c>
      <c r="Y33" s="944">
        <v>2.0</v>
      </c>
      <c r="Z33" s="944">
        <v>20.0</v>
      </c>
      <c r="AA33" s="944">
        <v>61.0</v>
      </c>
      <c r="AB33" s="944">
        <v>57.0</v>
      </c>
      <c r="AC33" s="944">
        <v>4.0</v>
      </c>
      <c r="AD33" s="944">
        <v>5.0</v>
      </c>
      <c r="AE33" s="944">
        <v>7.0</v>
      </c>
      <c r="AF33" s="944">
        <v>1.0</v>
      </c>
      <c r="AG33" s="944">
        <v>1620.0</v>
      </c>
      <c r="AH33" s="944">
        <v>1897.0</v>
      </c>
      <c r="AI33" s="944">
        <v>28.0</v>
      </c>
      <c r="AJ33" s="944">
        <v>909.0</v>
      </c>
      <c r="AK33" s="944">
        <v>0.0</v>
      </c>
      <c r="AL33" s="944">
        <v>1.0</v>
      </c>
      <c r="AM33" s="944">
        <v>0.0</v>
      </c>
      <c r="AN33" s="944">
        <v>0.0</v>
      </c>
      <c r="AO33" s="944">
        <v>0.0</v>
      </c>
      <c r="AP33" s="944">
        <v>0.0</v>
      </c>
      <c r="AQ33" s="944">
        <v>0.0</v>
      </c>
      <c r="AR33" s="944">
        <v>5.0</v>
      </c>
      <c r="AS33" s="944">
        <v>0.0</v>
      </c>
      <c r="AT33" s="944">
        <v>0.0</v>
      </c>
      <c r="AU33" s="944">
        <v>0.0</v>
      </c>
      <c r="AV33" s="944">
        <v>0.0</v>
      </c>
      <c r="AW33" s="944">
        <v>0.0</v>
      </c>
      <c r="AX33" s="944">
        <v>0.0</v>
      </c>
      <c r="AY33" s="944">
        <v>0.0</v>
      </c>
      <c r="AZ33" s="944">
        <v>0.0</v>
      </c>
      <c r="BA33" s="944">
        <v>0.0</v>
      </c>
      <c r="BB33" s="944">
        <v>2.0</v>
      </c>
      <c r="BC33" s="882">
        <v>0.0</v>
      </c>
      <c r="BD33" s="882">
        <v>12.0</v>
      </c>
      <c r="BE33" s="948">
        <v>10.0</v>
      </c>
      <c r="BF33" s="941">
        <v>0.0</v>
      </c>
      <c r="BG33" s="941">
        <v>0.0</v>
      </c>
    </row>
    <row r="34">
      <c r="A34" s="949" t="s">
        <v>154</v>
      </c>
      <c r="B34" s="16" t="str">
        <f>IF(C34&lt;'PlayerGrades+'!$Y$44,"F-",IF(C34&lt;'PlayerGrades+'!$Y$43,"F",IF(C34&lt;'PlayerGrades+'!$Y$42,"F+",IF(C34&lt;'PlayerGrades+'!$Y$41,"E-",IF(C34&lt;'PlayerGrades+'!$Y$40,"E",IF(C34&lt;'PlayerGrades+'!$Y$39,"E+",IF(C34&lt;'PlayerGrades+'!$Y$38,"D-",IF(C34&lt;'PlayerGrades+'!$Y$37,"D",IF(C34&lt;'PlayerGrades+'!$Y$36,"D+",IF(C34&lt;'PlayerGrades+'!$Y$35,"C-",IF(C34&lt;'PlayerGrades+'!$Y$34,"C",IF(C34&lt;'PlayerGrades+'!$Y$33,"C+",IF(C34&lt;'PlayerGrades+'!$Y$32,"B-",IF(C34&lt;'PlayerGrades+'!$Y$31,"B",IF(C34&lt;'PlayerGrades+'!$Y$30,"B+",IF(C34&lt;'PlayerGrades+'!$Y$29,"A-",IF(C34&lt;'PlayerGrades+'!$Y$28,"A",IF(C34&lt;'PlayerGrades+'!$Y$27,"A+",IF(C34&lt;'PlayerGrades+'!$Y$26,"S-",IF(C34&lt;'PlayerGrades+'!$Y$25,"S","S+"))))))))))))))))))))</f>
        <v>F-</v>
      </c>
      <c r="C34" s="936">
        <f>('PlayerGrades+'!$Y$47*(VLOOKUP(E34, 'PlayerGrades+'!$X$3:$Y$23, 2, FALSE)))+('PlayerGrades+'!$Y$48*(VLOOKUP(G34, 'PlayerGrades+'!$X$3:$Y$23, 2, FALSE)))+('PlayerGrades+'!$Y$49*(VLOOKUP(I34, 'PlayerGrades+'!$X$3:$Y$23, 2, FALSE)))+('PlayerGrades+'!$Y$50*(VLOOKUP(K34, 'PlayerGrades+'!$X$3:$Y$23, 2, FALSE)))+('PlayerGrades+'!$Y$51*(VLOOKUP(M34, 'PlayerGrades+'!$X$3:$Y$23, 2, FALSE)))+('PlayerGrades+'!$Y$52*(VLOOKUP(O34, 'PlayerGrades+'!$X$3:$Y$23, 2, FALSE)))+('PlayerGrades+'!$Y$53*(VLOOKUP(Q34, 'PlayerGrades+'!$X$3:$Y$23, 2, FALSE)))+('PlayerGrades+'!$Y$54*(VLOOKUP(S34, 'PlayerGrades+'!$X$3:$Y$23, 2, FALSE)))+('PlayerGrades+'!$Y$55*(VLOOKUP(U34, 'PlayerGrades+'!$X$3:$Y$23, 2, FALSE)))</f>
        <v>8</v>
      </c>
      <c r="D34" s="937">
        <f t="shared" si="1"/>
        <v>0</v>
      </c>
      <c r="E34" s="937" t="str">
        <f>IF(D34&lt;'PlayerGrades+'!$AA$21,"F-",IF(D34&lt;'PlayerGrades+'!$AA$20,"F",IF(D34&lt;'PlayerGrades+'!$AA$19,"F+",IF(D34&lt;'PlayerGrades+'!$AA$18,"E-",IF(D34&lt;'PlayerGrades+'!$AA$17,"E",IF(D34&lt;'PlayerGrades+'!$AA$16,"E+",IF(D34&lt;'PlayerGrades+'!$AA$15,"D-",IF(D34&lt;'PlayerGrades+'!$AA$14,"D",IF(D34&lt;'PlayerGrades+'!$AA$13,"D+",IF(D34&lt;'PlayerGrades+'!$AA$12,"C-",IF(D34&lt;'PlayerGrades+'!$AA$11,"C",IF(D34&lt;'PlayerGrades+'!$AA$10,"C+",IF(D34&lt;'PlayerGrades+'!$AA$9,"B-",IF(D34&lt;'PlayerGrades+'!$AA$8,"B",IF(D34&lt;'PlayerGrades+'!$AA$7,"B+",IF(D34&lt;'PlayerGrades+'!$AA$6,"A-",IF(D34&lt;'PlayerGrades+'!$AA$5,"A",IF(D34&lt;'PlayerGrades+'!$AA$4,"A+",IF(D34&lt;'PlayerGrades+'!$AA$3,"S-",IF(D34&lt;'PlayerGrades+'!$AA$2,"S","S+"))))))))))))))))))))</f>
        <v>F-</v>
      </c>
      <c r="F34" s="937">
        <f t="shared" si="2"/>
        <v>-1.688654354</v>
      </c>
      <c r="G34" s="937" t="str">
        <f>IF(F34&lt;'PlayerGrades+'!$AB$21,"F-",IF(F34&lt;'PlayerGrades+'!$AB$20,"F",IF(F34&lt;'PlayerGrades+'!$AB$19,"F+",IF(F34&lt;'PlayerGrades+'!$AB$18,"E-",IF(F34&lt;'PlayerGrades+'!$AB$17,"E",IF(F34&lt;'PlayerGrades+'!$AB$16,"E+",IF(F34&lt;'PlayerGrades+'!$AB$15,"D-",IF(F34&lt;'PlayerGrades+'!$AB$14,"D",IF(F34&lt;'PlayerGrades+'!$AB$13,"D+",IF(F34&lt;'PlayerGrades+'!$AB$12,"C-",IF(F34&lt;'PlayerGrades+'!$AB$11,"C",IF(F34&lt;'PlayerGrades+'!$AB$10,"C+",IF(F34&lt;'PlayerGrades+'!$AB$9,"B-",IF(F34&lt;'PlayerGrades+'!$AB$8,"B",IF(F34&lt;'PlayerGrades+'!$AB$7,"B+",IF(F34&lt;'PlayerGrades+'!$AB$6,"A-",IF(F34&lt;'PlayerGrades+'!$AB$5,"A",IF(F34&lt;'PlayerGrades+'!$AB$4,"A+",IF(F34&lt;'PlayerGrades+'!$AB$3,"S-",IF(F34&lt;'PlayerGrades+'!$AB$2,"S","S+"))))))))))))))))))))</f>
        <v>F-</v>
      </c>
      <c r="H34" s="937">
        <f t="shared" si="3"/>
        <v>0.1055408971</v>
      </c>
      <c r="I34" s="937" t="str">
        <f>IF(H34&lt;'PlayerGrades+'!$AC$21,"F-",IF(H34&lt;'PlayerGrades+'!$AC$20,"F",IF(H34&lt;'PlayerGrades+'!$AC$19,"F+",IF(H34&lt;'PlayerGrades+'!$AC$18,"E-",IF(H34&lt;'PlayerGrades+'!$AC$17,"E",IF(H34&lt;'PlayerGrades+'!$AC$16,"E+",IF(H34&lt;'PlayerGrades+'!$AC$15,"D-",IF(H34&lt;'PlayerGrades+'!$AC$14,"D",IF(H34&lt;'PlayerGrades+'!$AC$13,"D+",IF(H34&lt;'PlayerGrades+'!$AC$12,"C-",IF(H34&lt;'PlayerGrades+'!$AC$11,"C",IF(H34&lt;'PlayerGrades+'!$AC$10,"C+",IF(H34&lt;'PlayerGrades+'!$AC$9,"B-",IF(H34&lt;'PlayerGrades+'!$AC$8,"B",IF(H34&lt;'PlayerGrades+'!$AC$7,"B+",IF(H34&lt;'PlayerGrades+'!$AC$6,"A-",IF(H34&lt;'PlayerGrades+'!$AC$5,"A",IF(H34&lt;'PlayerGrades+'!$AC$4,"A+",IF(H34&lt;'PlayerGrades+'!$AC$3,"S-",IF(H34&lt;'PlayerGrades+'!$AC$2,"S","S+"))))))))))))))))))))</f>
        <v>C-</v>
      </c>
      <c r="J34" s="937">
        <f t="shared" si="4"/>
        <v>0</v>
      </c>
      <c r="K34" s="937" t="str">
        <f>IF(J34&lt;'PlayerGrades+'!$AD$21,"F-",IF(J34&lt;'PlayerGrades+'!$AD$20,"F",IF(J34&lt;'PlayerGrades+'!$AD$19,"F+",IF(J34&lt;'PlayerGrades+'!$AD$18,"E-",IF(J34&lt;'PlayerGrades+'!$AD$17,"E",IF(J34&lt;'PlayerGrades+'!$AD$16,"E+",IF(J34&lt;'PlayerGrades+'!$AD$15,"D-",IF(J34&lt;'PlayerGrades+'!$AD$14,"D",IF(J34&lt;'PlayerGrades+'!$AD$13,"D+",IF(J34&lt;'PlayerGrades+'!$AD$12,"C-",IF(J34&lt;'PlayerGrades+'!$AD$11,"C",IF(J34&lt;'PlayerGrades+'!$AD$10,"C+",IF(J34&lt;'PlayerGrades+'!$AD$9,"B-",IF(J34&lt;'PlayerGrades+'!$AD$8,"B",IF(J34&lt;'PlayerGrades+'!$AD$7,"B+",IF(J34&lt;'PlayerGrades+'!$AD$6,"A-",IF(J34&lt;'PlayerGrades+'!$AD$5,"A",IF(J34&lt;'PlayerGrades+'!$AD$4,"A+",IF(J34&lt;'PlayerGrades+'!$AD$3,"S-",IF(J34&lt;'PlayerGrades+'!$AD$2,"S","S+"))))))))))))))))))))</f>
        <v>F-</v>
      </c>
      <c r="L34" s="677">
        <f t="shared" si="5"/>
        <v>0.2638522427</v>
      </c>
      <c r="M34" s="938" t="str">
        <f>IF(L34&lt;'PlayerGrades+'!$AE$21,"F-",IF(L34&lt;'PlayerGrades+'!$AE$20,"F",IF(L34&lt;'PlayerGrades+'!$AE$19,"F+",IF(L34&lt;'PlayerGrades+'!$AE$18,"E-",IF(L34&lt;'PlayerGrades+'!$AE$17,"E",IF(L34&lt;'PlayerGrades+'!$AE$16,"E+",IF(L34&lt;'PlayerGrades+'!$AE$15,"D-",IF(L34&lt;'PlayerGrades+'!$AE$14,"D",IF(L34&lt;'PlayerGrades+'!$AE$13,"D+",IF(L34&lt;'PlayerGrades+'!$AE$12,"C-",IF(L34&lt;'PlayerGrades+'!$AE$11,"C",IF(L34&lt;'PlayerGrades+'!$AE$10,"C+",IF(L34&lt;'PlayerGrades+'!$AE$9,"B-",IF(L34&lt;'PlayerGrades+'!$AE$8,"B",IF(L34&lt;'PlayerGrades+'!$AE$7,"B+",IF(L34&lt;'PlayerGrades+'!$AE$6,"A-",IF(L34&lt;'PlayerGrades+'!$AE$5,"A",IF(L34&lt;'PlayerGrades+'!$AE$4,"A+",IF(L34&lt;'PlayerGrades+'!$AE$3,"S-",IF(L34&lt;'PlayerGrades+'!$AE$2,"S","S+"))))))))))))))))))))</f>
        <v>F</v>
      </c>
      <c r="N34" s="937">
        <f t="shared" si="6"/>
        <v>0</v>
      </c>
      <c r="O34" s="937" t="str">
        <f>IF(N34&lt;'PlayerGrades+'!$AF$21,"F-",IF(N34&lt;'PlayerGrades+'!$AF$20,"F",IF(N34&lt;'PlayerGrades+'!$AF$19,"F+",IF(N34&lt;'PlayerGrades+'!$AF$18,"E-",IF(N34&lt;'PlayerGrades+'!$AF$17,"E",IF(N34&lt;'PlayerGrades+'!$AF$16,"E+",IF(N34&lt;'PlayerGrades+'!$AF$15,"D-",IF(N34&lt;'PlayerGrades+'!$AF$14,"D",IF(N34&lt;'PlayerGrades+'!$AF$13,"D+",IF(N34&lt;'PlayerGrades+'!$AF$12,"C-",IF(N34&lt;'PlayerGrades+'!$AF$11,"C",IF(N34&lt;'PlayerGrades+'!$AF$10,"C+",IF(N34&lt;'PlayerGrades+'!$AF$9,"B-",IF(N34&lt;'PlayerGrades+'!$AF$8,"B",IF(N34&lt;'PlayerGrades+'!$AF$7,"B+",IF(N34&lt;'PlayerGrades+'!$AF$6,"A-",IF(N34&lt;'PlayerGrades+'!$AF$5,"A",IF(N34&lt;'PlayerGrades+'!$AF$4,"A+",IF(N34&lt;'PlayerGrades+'!$AF$3,"S-",IF(N34&lt;'PlayerGrades+'!$AF$2,"S","S+"))))))))))))))))))))</f>
        <v>F-</v>
      </c>
      <c r="P34" s="937">
        <f t="shared" si="7"/>
        <v>0</v>
      </c>
      <c r="Q34" s="937" t="str">
        <f>IF(P34&lt;'PlayerGrades+'!$AG$21,"F-",IF(P34&lt;'PlayerGrades+'!$AG$20,"F",IF(P34&lt;'PlayerGrades+'!$AG$19,"F+",IF(P34&lt;'PlayerGrades+'!$AG$18,"E-",IF(P34&lt;'PlayerGrades+'!$AG$17,"E",IF(P34&lt;'PlayerGrades+'!$AG$16,"E+",IF(P34&lt;'PlayerGrades+'!$AG$15,"D-",IF(P34&lt;'PlayerGrades+'!$AG$14,"D",IF(P34&lt;'PlayerGrades+'!$AG$13,"D+",IF(P34&lt;'PlayerGrades+'!$AG$12,"C-",IF(P34&lt;'PlayerGrades+'!$AG$11,"C",IF(P34&lt;'PlayerGrades+'!$AG$10,"C+",IF(P34&lt;'PlayerGrades+'!$AG$9,"B-",IF(P34&lt;'PlayerGrades+'!$AG$8,"B",IF(P34&lt;'PlayerGrades+'!$AG$7,"B+",IF(P34&lt;'PlayerGrades+'!$AG$6,"A-",IF(P34&lt;'PlayerGrades+'!$AG$5,"A",IF(P34&lt;'PlayerGrades+'!$AG$4,"A+",IF(P34&lt;'PlayerGrades+'!$AG$3,"S-",IF(P34&lt;'PlayerGrades+'!$AG$2,"S","S+"))))))))))))))))))))</f>
        <v>F</v>
      </c>
      <c r="R34" s="937">
        <f t="shared" si="8"/>
        <v>0.5277044855</v>
      </c>
      <c r="S34" s="937" t="str">
        <f>IF(R34&lt;'PlayerGrades+'!$AH$21,"F-",IF(R34&lt;'PlayerGrades+'!$AH$20,"F",IF(R34&lt;'PlayerGrades+'!$AH$19,"F+",IF(R34&lt;'PlayerGrades+'!$AH$18,"E-",IF(R34&lt;'PlayerGrades+'!$AH$17,"E",IF(R34&lt;'PlayerGrades+'!$AH$16,"E+",IF(R34&lt;'PlayerGrades+'!$AH$15,"D-",IF(R34&lt;'PlayerGrades+'!$AH$14,"D",IF(R34&lt;'PlayerGrades+'!$AH$13,"D+",IF(R34&lt;'PlayerGrades+'!$AH$12,"C-",IF(R34&lt;'PlayerGrades+'!$AH$11,"C",IF(R34&lt;'PlayerGrades+'!$AH$10,"C+",IF(R34&lt;'PlayerGrades+'!$AH$9,"B-",IF(R34&lt;'PlayerGrades+'!$AH$8,"B",IF(R34&lt;'PlayerGrades+'!$AH$7,"B+",IF(R34&lt;'PlayerGrades+'!$AH$6,"A-",IF(R34&lt;'PlayerGrades+'!$AH$5,"A",IF(R34&lt;'PlayerGrades+'!$AH$4,"A+",IF(R34&lt;'PlayerGrades+'!$AH$3,"S-",IF(R34&lt;'PlayerGrades+'!$AH$2,"S","S+"))))))))))))))))))))</f>
        <v>C</v>
      </c>
      <c r="T34" s="937">
        <f t="shared" si="9"/>
        <v>0.4221635884</v>
      </c>
      <c r="U34" s="937" t="str">
        <f>IF(T34&lt;'PlayerGrades+'!$AI$21,"F-",IF(T34&lt;'PlayerGrades+'!$AI$20,"F",IF(T34&lt;'PlayerGrades+'!$AI$19,"F+",IF(T34&lt;'PlayerGrades+'!$AI$18,"E-",IF(T34&lt;'PlayerGrades+'!$AI$17,"E",IF(T34&lt;'PlayerGrades+'!$AI$16,"E+",IF(T34&lt;'PlayerGrades+'!$AI$15,"D-",IF(T34&lt;'PlayerGrades+'!$AI$14,"D",IF(T34&lt;'PlayerGrades+'!$AI$13,"D+",IF(T34&lt;'PlayerGrades+'!$AI$12,"C-",IF(T34&lt;'PlayerGrades+'!$AI$11,"C",IF(T34&lt;'PlayerGrades+'!$AI$10,"C+",IF(T34&lt;'PlayerGrades+'!$AI$9,"B-",IF(T34&lt;'PlayerGrades+'!$AI$8,"B",IF(T34&lt;'PlayerGrades+'!$AI$7,"B+",IF(T34&lt;'PlayerGrades+'!$AI$6,"A-",IF(T34&lt;'PlayerGrades+'!$AI$5,"A",IF(T34&lt;'PlayerGrades+'!$AI$4,"A+",IF(T34&lt;'PlayerGrades+'!$AI$3,"S-",IF(T34&lt;'PlayerGrades+'!$AI$2,"S","S+"))))))))))))))))))))</f>
        <v>F-</v>
      </c>
      <c r="V34" s="939">
        <v>1.0</v>
      </c>
      <c r="W34" s="939">
        <v>0.0</v>
      </c>
      <c r="X34" s="939">
        <v>1.0</v>
      </c>
      <c r="Y34" s="939">
        <v>0.0</v>
      </c>
      <c r="Z34" s="939">
        <v>0.0</v>
      </c>
      <c r="AA34" s="950">
        <v>53.0</v>
      </c>
      <c r="AB34" s="950">
        <v>85.0</v>
      </c>
      <c r="AC34" s="950">
        <v>-32.0</v>
      </c>
      <c r="AD34" s="950">
        <v>2.0</v>
      </c>
      <c r="AE34" s="950">
        <v>4.0</v>
      </c>
      <c r="AF34" s="950">
        <v>1.0</v>
      </c>
      <c r="AG34" s="950">
        <v>800.0</v>
      </c>
      <c r="AH34" s="950">
        <v>1137.0</v>
      </c>
      <c r="AI34" s="950">
        <v>9.0</v>
      </c>
      <c r="AJ34" s="950">
        <v>12.0</v>
      </c>
      <c r="AK34" s="950">
        <v>0.0</v>
      </c>
      <c r="AL34" s="950">
        <v>0.0</v>
      </c>
      <c r="AM34" s="950">
        <v>0.0</v>
      </c>
      <c r="AN34" s="950">
        <v>0.0</v>
      </c>
      <c r="AO34" s="950">
        <v>0.0</v>
      </c>
      <c r="AP34" s="950">
        <v>0.0</v>
      </c>
      <c r="AQ34" s="950">
        <v>0.0</v>
      </c>
      <c r="AR34" s="950">
        <v>5.0</v>
      </c>
      <c r="AS34" s="950">
        <v>0.0</v>
      </c>
      <c r="AT34" s="950">
        <v>0.0</v>
      </c>
      <c r="AU34" s="950">
        <v>0.0</v>
      </c>
      <c r="AV34" s="950">
        <v>0.0</v>
      </c>
      <c r="AW34" s="950">
        <v>0.0</v>
      </c>
      <c r="AX34" s="950">
        <v>0.0</v>
      </c>
      <c r="AY34" s="950">
        <v>0.0</v>
      </c>
      <c r="AZ34" s="950">
        <v>0.0</v>
      </c>
      <c r="BA34" s="950">
        <v>0.0</v>
      </c>
      <c r="BB34" s="950">
        <v>2.0</v>
      </c>
      <c r="BC34" s="950">
        <v>0.0</v>
      </c>
      <c r="BD34" s="950">
        <v>8.0</v>
      </c>
      <c r="BE34" s="951">
        <v>8.0</v>
      </c>
      <c r="BF34" s="952">
        <v>0.0</v>
      </c>
      <c r="BG34" s="952">
        <v>1.0</v>
      </c>
    </row>
    <row r="35">
      <c r="A35" s="953" t="s">
        <v>514</v>
      </c>
      <c r="B35" s="16" t="str">
        <f>IF(C35&lt;'PlayerGrades+'!$Y$44,"F-",IF(C35&lt;'PlayerGrades+'!$Y$43,"F",IF(C35&lt;'PlayerGrades+'!$Y$42,"F+",IF(C35&lt;'PlayerGrades+'!$Y$41,"E-",IF(C35&lt;'PlayerGrades+'!$Y$40,"E",IF(C35&lt;'PlayerGrades+'!$Y$39,"E+",IF(C35&lt;'PlayerGrades+'!$Y$38,"D-",IF(C35&lt;'PlayerGrades+'!$Y$37,"D",IF(C35&lt;'PlayerGrades+'!$Y$36,"D+",IF(C35&lt;'PlayerGrades+'!$Y$35,"C-",IF(C35&lt;'PlayerGrades+'!$Y$34,"C",IF(C35&lt;'PlayerGrades+'!$Y$33,"C+",IF(C35&lt;'PlayerGrades+'!$Y$32,"B-",IF(C35&lt;'PlayerGrades+'!$Y$31,"B",IF(C35&lt;'PlayerGrades+'!$Y$30,"B+",IF(C35&lt;'PlayerGrades+'!$Y$29,"A-",IF(C35&lt;'PlayerGrades+'!$Y$28,"A",IF(C35&lt;'PlayerGrades+'!$Y$27,"A+",IF(C35&lt;'PlayerGrades+'!$Y$26,"S-",IF(C35&lt;'PlayerGrades+'!$Y$25,"S","S+"))))))))))))))))))))</f>
        <v>B+</v>
      </c>
      <c r="C35" s="936">
        <f>('PlayerGrades+'!$Y$47*(VLOOKUP(E35, 'PlayerGrades+'!$X$3:$Y$23, 2, FALSE)))+('PlayerGrades+'!$Y$48*(VLOOKUP(G35, 'PlayerGrades+'!$X$3:$Y$23, 2, FALSE)))+('PlayerGrades+'!$Y$49*(VLOOKUP(I35, 'PlayerGrades+'!$X$3:$Y$23, 2, FALSE)))+('PlayerGrades+'!$Y$50*(VLOOKUP(K35, 'PlayerGrades+'!$X$3:$Y$23, 2, FALSE)))+('PlayerGrades+'!$Y$51*(VLOOKUP(M35, 'PlayerGrades+'!$X$3:$Y$23, 2, FALSE)))+('PlayerGrades+'!$Y$52*(VLOOKUP(O35, 'PlayerGrades+'!$X$3:$Y$23, 2, FALSE)))+('PlayerGrades+'!$Y$53*(VLOOKUP(Q35, 'PlayerGrades+'!$X$3:$Y$23, 2, FALSE)))+('PlayerGrades+'!$Y$54*(VLOOKUP(S35, 'PlayerGrades+'!$X$3:$Y$23, 2, FALSE)))+('PlayerGrades+'!$Y$55*(VLOOKUP(U35, 'PlayerGrades+'!$X$3:$Y$23, 2, FALSE)))</f>
        <v>24.2</v>
      </c>
      <c r="D35" s="937">
        <f t="shared" si="1"/>
        <v>0</v>
      </c>
      <c r="E35" s="937" t="str">
        <f>IF(D35&lt;'PlayerGrades+'!$AA$21,"F-",IF(D35&lt;'PlayerGrades+'!$AA$20,"F",IF(D35&lt;'PlayerGrades+'!$AA$19,"F+",IF(D35&lt;'PlayerGrades+'!$AA$18,"E-",IF(D35&lt;'PlayerGrades+'!$AA$17,"E",IF(D35&lt;'PlayerGrades+'!$AA$16,"E+",IF(D35&lt;'PlayerGrades+'!$AA$15,"D-",IF(D35&lt;'PlayerGrades+'!$AA$14,"D",IF(D35&lt;'PlayerGrades+'!$AA$13,"D+",IF(D35&lt;'PlayerGrades+'!$AA$12,"C-",IF(D35&lt;'PlayerGrades+'!$AA$11,"C",IF(D35&lt;'PlayerGrades+'!$AA$10,"C+",IF(D35&lt;'PlayerGrades+'!$AA$9,"B-",IF(D35&lt;'PlayerGrades+'!$AA$8,"B",IF(D35&lt;'PlayerGrades+'!$AA$7,"B+",IF(D35&lt;'PlayerGrades+'!$AA$6,"A-",IF(D35&lt;'PlayerGrades+'!$AA$5,"A",IF(D35&lt;'PlayerGrades+'!$AA$4,"A+",IF(D35&lt;'PlayerGrades+'!$AA$3,"S-",IF(D35&lt;'PlayerGrades+'!$AA$2,"S","S+"))))))))))))))))))))</f>
        <v>F-</v>
      </c>
      <c r="F35" s="937">
        <f t="shared" si="2"/>
        <v>-0.2110817942</v>
      </c>
      <c r="G35" s="937" t="str">
        <f>IF(F35&lt;'PlayerGrades+'!$AB$21,"F-",IF(F35&lt;'PlayerGrades+'!$AB$20,"F",IF(F35&lt;'PlayerGrades+'!$AB$19,"F+",IF(F35&lt;'PlayerGrades+'!$AB$18,"E-",IF(F35&lt;'PlayerGrades+'!$AB$17,"E",IF(F35&lt;'PlayerGrades+'!$AB$16,"E+",IF(F35&lt;'PlayerGrades+'!$AB$15,"D-",IF(F35&lt;'PlayerGrades+'!$AB$14,"D",IF(F35&lt;'PlayerGrades+'!$AB$13,"D+",IF(F35&lt;'PlayerGrades+'!$AB$12,"C-",IF(F35&lt;'PlayerGrades+'!$AB$11,"C",IF(F35&lt;'PlayerGrades+'!$AB$10,"C+",IF(F35&lt;'PlayerGrades+'!$AB$9,"B-",IF(F35&lt;'PlayerGrades+'!$AB$8,"B",IF(F35&lt;'PlayerGrades+'!$AB$7,"B+",IF(F35&lt;'PlayerGrades+'!$AB$6,"A-",IF(F35&lt;'PlayerGrades+'!$AB$5,"A",IF(F35&lt;'PlayerGrades+'!$AB$4,"A+",IF(F35&lt;'PlayerGrades+'!$AB$3,"S-",IF(F35&lt;'PlayerGrades+'!$AB$2,"S","S+"))))))))))))))))))))</f>
        <v>C+</v>
      </c>
      <c r="H35" s="937">
        <f t="shared" si="3"/>
        <v>0.4749340369</v>
      </c>
      <c r="I35" s="937" t="str">
        <f>IF(H35&lt;'PlayerGrades+'!$AC$21,"F-",IF(H35&lt;'PlayerGrades+'!$AC$20,"F",IF(H35&lt;'PlayerGrades+'!$AC$19,"F+",IF(H35&lt;'PlayerGrades+'!$AC$18,"E-",IF(H35&lt;'PlayerGrades+'!$AC$17,"E",IF(H35&lt;'PlayerGrades+'!$AC$16,"E+",IF(H35&lt;'PlayerGrades+'!$AC$15,"D-",IF(H35&lt;'PlayerGrades+'!$AC$14,"D",IF(H35&lt;'PlayerGrades+'!$AC$13,"D+",IF(H35&lt;'PlayerGrades+'!$AC$12,"C-",IF(H35&lt;'PlayerGrades+'!$AC$11,"C",IF(H35&lt;'PlayerGrades+'!$AC$10,"C+",IF(H35&lt;'PlayerGrades+'!$AC$9,"B-",IF(H35&lt;'PlayerGrades+'!$AC$8,"B",IF(H35&lt;'PlayerGrades+'!$AC$7,"B+",IF(H35&lt;'PlayerGrades+'!$AC$6,"A-",IF(H35&lt;'PlayerGrades+'!$AC$5,"A",IF(H35&lt;'PlayerGrades+'!$AC$4,"A+",IF(H35&lt;'PlayerGrades+'!$AC$3,"S-",IF(H35&lt;'PlayerGrades+'!$AC$2,"S","S+"))))))))))))))))))))</f>
        <v>S+</v>
      </c>
      <c r="J35" s="937">
        <f t="shared" si="4"/>
        <v>0</v>
      </c>
      <c r="K35" s="937" t="str">
        <f>IF(J35&lt;'PlayerGrades+'!$AD$21,"F-",IF(J35&lt;'PlayerGrades+'!$AD$20,"F",IF(J35&lt;'PlayerGrades+'!$AD$19,"F+",IF(J35&lt;'PlayerGrades+'!$AD$18,"E-",IF(J35&lt;'PlayerGrades+'!$AD$17,"E",IF(J35&lt;'PlayerGrades+'!$AD$16,"E+",IF(J35&lt;'PlayerGrades+'!$AD$15,"D-",IF(J35&lt;'PlayerGrades+'!$AD$14,"D",IF(J35&lt;'PlayerGrades+'!$AD$13,"D+",IF(J35&lt;'PlayerGrades+'!$AD$12,"C-",IF(J35&lt;'PlayerGrades+'!$AD$11,"C",IF(J35&lt;'PlayerGrades+'!$AD$10,"C+",IF(J35&lt;'PlayerGrades+'!$AD$9,"B-",IF(J35&lt;'PlayerGrades+'!$AD$8,"B",IF(J35&lt;'PlayerGrades+'!$AD$7,"B+",IF(J35&lt;'PlayerGrades+'!$AD$6,"A-",IF(J35&lt;'PlayerGrades+'!$AD$5,"A",IF(J35&lt;'PlayerGrades+'!$AD$4,"A+",IF(J35&lt;'PlayerGrades+'!$AD$3,"S-",IF(J35&lt;'PlayerGrades+'!$AD$2,"S","S+"))))))))))))))))))))</f>
        <v>F-</v>
      </c>
      <c r="L35" s="677">
        <f t="shared" si="5"/>
        <v>0.6860158311</v>
      </c>
      <c r="M35" s="938" t="str">
        <f>IF(L35&lt;'PlayerGrades+'!$AE$21,"F-",IF(L35&lt;'PlayerGrades+'!$AE$20,"F",IF(L35&lt;'PlayerGrades+'!$AE$19,"F+",IF(L35&lt;'PlayerGrades+'!$AE$18,"E-",IF(L35&lt;'PlayerGrades+'!$AE$17,"E",IF(L35&lt;'PlayerGrades+'!$AE$16,"E+",IF(L35&lt;'PlayerGrades+'!$AE$15,"D-",IF(L35&lt;'PlayerGrades+'!$AE$14,"D",IF(L35&lt;'PlayerGrades+'!$AE$13,"D+",IF(L35&lt;'PlayerGrades+'!$AE$12,"C-",IF(L35&lt;'PlayerGrades+'!$AE$11,"C",IF(L35&lt;'PlayerGrades+'!$AE$10,"C+",IF(L35&lt;'PlayerGrades+'!$AE$9,"B-",IF(L35&lt;'PlayerGrades+'!$AE$8,"B",IF(L35&lt;'PlayerGrades+'!$AE$7,"B+",IF(L35&lt;'PlayerGrades+'!$AE$6,"A-",IF(L35&lt;'PlayerGrades+'!$AE$5,"A",IF(L35&lt;'PlayerGrades+'!$AE$4,"A+",IF(L35&lt;'PlayerGrades+'!$AE$3,"S-",IF(L35&lt;'PlayerGrades+'!$AE$2,"S","S+"))))))))))))))))))))</f>
        <v>S</v>
      </c>
      <c r="N35" s="937">
        <f t="shared" si="6"/>
        <v>0.1055408971</v>
      </c>
      <c r="O35" s="937" t="str">
        <f>IF(N35&lt;'PlayerGrades+'!$AF$21,"F-",IF(N35&lt;'PlayerGrades+'!$AF$20,"F",IF(N35&lt;'PlayerGrades+'!$AF$19,"F+",IF(N35&lt;'PlayerGrades+'!$AF$18,"E-",IF(N35&lt;'PlayerGrades+'!$AF$17,"E",IF(N35&lt;'PlayerGrades+'!$AF$16,"E+",IF(N35&lt;'PlayerGrades+'!$AF$15,"D-",IF(N35&lt;'PlayerGrades+'!$AF$14,"D",IF(N35&lt;'PlayerGrades+'!$AF$13,"D+",IF(N35&lt;'PlayerGrades+'!$AF$12,"C-",IF(N35&lt;'PlayerGrades+'!$AF$11,"C",IF(N35&lt;'PlayerGrades+'!$AF$10,"C+",IF(N35&lt;'PlayerGrades+'!$AF$9,"B-",IF(N35&lt;'PlayerGrades+'!$AF$8,"B",IF(N35&lt;'PlayerGrades+'!$AF$7,"B+",IF(N35&lt;'PlayerGrades+'!$AF$6,"A-",IF(N35&lt;'PlayerGrades+'!$AF$5,"A",IF(N35&lt;'PlayerGrades+'!$AF$4,"A+",IF(N35&lt;'PlayerGrades+'!$AF$3,"S-",IF(N35&lt;'PlayerGrades+'!$AF$2,"S","S+"))))))))))))))))))))</f>
        <v>S-</v>
      </c>
      <c r="P35" s="937">
        <f t="shared" si="7"/>
        <v>0</v>
      </c>
      <c r="Q35" s="937" t="str">
        <f>IF(P35&lt;'PlayerGrades+'!$AG$21,"F-",IF(P35&lt;'PlayerGrades+'!$AG$20,"F",IF(P35&lt;'PlayerGrades+'!$AG$19,"F+",IF(P35&lt;'PlayerGrades+'!$AG$18,"E-",IF(P35&lt;'PlayerGrades+'!$AG$17,"E",IF(P35&lt;'PlayerGrades+'!$AG$16,"E+",IF(P35&lt;'PlayerGrades+'!$AG$15,"D-",IF(P35&lt;'PlayerGrades+'!$AG$14,"D",IF(P35&lt;'PlayerGrades+'!$AG$13,"D+",IF(P35&lt;'PlayerGrades+'!$AG$12,"C-",IF(P35&lt;'PlayerGrades+'!$AG$11,"C",IF(P35&lt;'PlayerGrades+'!$AG$10,"C+",IF(P35&lt;'PlayerGrades+'!$AG$9,"B-",IF(P35&lt;'PlayerGrades+'!$AG$8,"B",IF(P35&lt;'PlayerGrades+'!$AG$7,"B+",IF(P35&lt;'PlayerGrades+'!$AG$6,"A-",IF(P35&lt;'PlayerGrades+'!$AG$5,"A",IF(P35&lt;'PlayerGrades+'!$AG$4,"A+",IF(P35&lt;'PlayerGrades+'!$AG$3,"S-",IF(P35&lt;'PlayerGrades+'!$AG$2,"S","S+"))))))))))))))))))))</f>
        <v>F</v>
      </c>
      <c r="R35" s="937">
        <f t="shared" si="8"/>
        <v>0.7387862797</v>
      </c>
      <c r="S35" s="937" t="str">
        <f>IF(R35&lt;'PlayerGrades+'!$AH$21,"F-",IF(R35&lt;'PlayerGrades+'!$AH$20,"F",IF(R35&lt;'PlayerGrades+'!$AH$19,"F+",IF(R35&lt;'PlayerGrades+'!$AH$18,"E-",IF(R35&lt;'PlayerGrades+'!$AH$17,"E",IF(R35&lt;'PlayerGrades+'!$AH$16,"E+",IF(R35&lt;'PlayerGrades+'!$AH$15,"D-",IF(R35&lt;'PlayerGrades+'!$AH$14,"D",IF(R35&lt;'PlayerGrades+'!$AH$13,"D+",IF(R35&lt;'PlayerGrades+'!$AH$12,"C-",IF(R35&lt;'PlayerGrades+'!$AH$11,"C",IF(R35&lt;'PlayerGrades+'!$AH$10,"C+",IF(R35&lt;'PlayerGrades+'!$AH$9,"B-",IF(R35&lt;'PlayerGrades+'!$AH$8,"B",IF(R35&lt;'PlayerGrades+'!$AH$7,"B+",IF(R35&lt;'PlayerGrades+'!$AH$6,"A-",IF(R35&lt;'PlayerGrades+'!$AH$5,"A",IF(R35&lt;'PlayerGrades+'!$AH$4,"A+",IF(R35&lt;'PlayerGrades+'!$AH$3,"S-",IF(R35&lt;'PlayerGrades+'!$AH$2,"S","S+"))))))))))))))))))))</f>
        <v>S</v>
      </c>
      <c r="T35" s="937">
        <f t="shared" si="9"/>
        <v>0.4749340369</v>
      </c>
      <c r="U35" s="937" t="str">
        <f>IF(T35&lt;'PlayerGrades+'!$AI$21,"F-",IF(T35&lt;'PlayerGrades+'!$AI$20,"F",IF(T35&lt;'PlayerGrades+'!$AI$19,"F+",IF(T35&lt;'PlayerGrades+'!$AI$18,"E-",IF(T35&lt;'PlayerGrades+'!$AI$17,"E",IF(T35&lt;'PlayerGrades+'!$AI$16,"E+",IF(T35&lt;'PlayerGrades+'!$AI$15,"D-",IF(T35&lt;'PlayerGrades+'!$AI$14,"D",IF(T35&lt;'PlayerGrades+'!$AI$13,"D+",IF(T35&lt;'PlayerGrades+'!$AI$12,"C-",IF(T35&lt;'PlayerGrades+'!$AI$11,"C",IF(T35&lt;'PlayerGrades+'!$AI$10,"C+",IF(T35&lt;'PlayerGrades+'!$AI$9,"B-",IF(T35&lt;'PlayerGrades+'!$AI$8,"B",IF(T35&lt;'PlayerGrades+'!$AI$7,"B+",IF(T35&lt;'PlayerGrades+'!$AI$6,"A-",IF(T35&lt;'PlayerGrades+'!$AI$5,"A",IF(T35&lt;'PlayerGrades+'!$AI$4,"A+",IF(T35&lt;'PlayerGrades+'!$AI$3,"S-",IF(T35&lt;'PlayerGrades+'!$AI$2,"S","S+"))))))))))))))))))))</f>
        <v>F-</v>
      </c>
      <c r="V35" s="941">
        <v>1.0</v>
      </c>
      <c r="W35" s="941">
        <v>0.0</v>
      </c>
      <c r="X35" s="941">
        <v>1.0</v>
      </c>
      <c r="Y35" s="941">
        <v>0.0</v>
      </c>
      <c r="Z35" s="941">
        <v>0.0</v>
      </c>
      <c r="AA35" s="952">
        <v>83.0</v>
      </c>
      <c r="AB35" s="952">
        <v>87.0</v>
      </c>
      <c r="AC35" s="952">
        <v>-4.0</v>
      </c>
      <c r="AD35" s="952">
        <v>7.0</v>
      </c>
      <c r="AE35" s="952">
        <v>4.0</v>
      </c>
      <c r="AF35" s="952">
        <v>2.0</v>
      </c>
      <c r="AG35" s="952">
        <v>802.0</v>
      </c>
      <c r="AH35" s="952">
        <v>1137.0</v>
      </c>
      <c r="AI35" s="952">
        <v>9.0</v>
      </c>
      <c r="AJ35" s="952">
        <v>0.0</v>
      </c>
      <c r="AK35" s="952">
        <v>0.0</v>
      </c>
      <c r="AL35" s="952">
        <v>0.0</v>
      </c>
      <c r="AM35" s="952">
        <v>0.0</v>
      </c>
      <c r="AN35" s="952">
        <v>0.0</v>
      </c>
      <c r="AO35" s="952">
        <v>0.0</v>
      </c>
      <c r="AP35" s="952">
        <v>0.0</v>
      </c>
      <c r="AQ35" s="952">
        <v>0.0</v>
      </c>
      <c r="AR35" s="952">
        <v>13.0</v>
      </c>
      <c r="AS35" s="952">
        <v>2.0</v>
      </c>
      <c r="AT35" s="952">
        <v>1.0</v>
      </c>
      <c r="AU35" s="952">
        <v>0.0</v>
      </c>
      <c r="AV35" s="952">
        <v>0.0</v>
      </c>
      <c r="AW35" s="952">
        <v>0.0</v>
      </c>
      <c r="AX35" s="952">
        <v>0.0</v>
      </c>
      <c r="AY35" s="952">
        <v>0.0</v>
      </c>
      <c r="AZ35" s="952">
        <v>0.0</v>
      </c>
      <c r="BA35" s="952">
        <v>0.0</v>
      </c>
      <c r="BB35" s="952">
        <v>9.0</v>
      </c>
      <c r="BC35" s="952">
        <v>0.0</v>
      </c>
      <c r="BD35" s="952">
        <v>7.0</v>
      </c>
      <c r="BE35" s="954">
        <v>9.0</v>
      </c>
      <c r="BF35" s="952">
        <v>0.0</v>
      </c>
      <c r="BG35" s="952">
        <v>1.0</v>
      </c>
    </row>
    <row r="36">
      <c r="A36" s="953" t="s">
        <v>132</v>
      </c>
      <c r="B36" s="16" t="str">
        <f>IF(C36&lt;'PlayerGrades+'!$Y$44,"F-",IF(C36&lt;'PlayerGrades+'!$Y$43,"F",IF(C36&lt;'PlayerGrades+'!$Y$42,"F+",IF(C36&lt;'PlayerGrades+'!$Y$41,"E-",IF(C36&lt;'PlayerGrades+'!$Y$40,"E",IF(C36&lt;'PlayerGrades+'!$Y$39,"E+",IF(C36&lt;'PlayerGrades+'!$Y$38,"D-",IF(C36&lt;'PlayerGrades+'!$Y$37,"D",IF(C36&lt;'PlayerGrades+'!$Y$36,"D+",IF(C36&lt;'PlayerGrades+'!$Y$35,"C-",IF(C36&lt;'PlayerGrades+'!$Y$34,"C",IF(C36&lt;'PlayerGrades+'!$Y$33,"C+",IF(C36&lt;'PlayerGrades+'!$Y$32,"B-",IF(C36&lt;'PlayerGrades+'!$Y$31,"B",IF(C36&lt;'PlayerGrades+'!$Y$30,"B+",IF(C36&lt;'PlayerGrades+'!$Y$29,"A-",IF(C36&lt;'PlayerGrades+'!$Y$28,"A",IF(C36&lt;'PlayerGrades+'!$Y$27,"A+",IF(C36&lt;'PlayerGrades+'!$Y$26,"S-",IF(C36&lt;'PlayerGrades+'!$Y$25,"S","S+"))))))))))))))))))))</f>
        <v>S-</v>
      </c>
      <c r="C36" s="936">
        <f>('PlayerGrades+'!$Y$47*(VLOOKUP(E36, 'PlayerGrades+'!$X$3:$Y$23, 2, FALSE)))+('PlayerGrades+'!$Y$48*(VLOOKUP(G36, 'PlayerGrades+'!$X$3:$Y$23, 2, FALSE)))+('PlayerGrades+'!$Y$49*(VLOOKUP(I36, 'PlayerGrades+'!$X$3:$Y$23, 2, FALSE)))+('PlayerGrades+'!$Y$50*(VLOOKUP(K36, 'PlayerGrades+'!$X$3:$Y$23, 2, FALSE)))+('PlayerGrades+'!$Y$51*(VLOOKUP(M36, 'PlayerGrades+'!$X$3:$Y$23, 2, FALSE)))+('PlayerGrades+'!$Y$52*(VLOOKUP(O36, 'PlayerGrades+'!$X$3:$Y$23, 2, FALSE)))+('PlayerGrades+'!$Y$53*(VLOOKUP(Q36, 'PlayerGrades+'!$X$3:$Y$23, 2, FALSE)))+('PlayerGrades+'!$Y$54*(VLOOKUP(S36, 'PlayerGrades+'!$X$3:$Y$23, 2, FALSE)))+('PlayerGrades+'!$Y$55*(VLOOKUP(U36, 'PlayerGrades+'!$X$3:$Y$23, 2, FALSE)))</f>
        <v>31.05</v>
      </c>
      <c r="D36" s="937">
        <f t="shared" si="1"/>
        <v>0.4221635884</v>
      </c>
      <c r="E36" s="937" t="str">
        <f>IF(D36&lt;'PlayerGrades+'!$AA$21,"F-",IF(D36&lt;'PlayerGrades+'!$AA$20,"F",IF(D36&lt;'PlayerGrades+'!$AA$19,"F+",IF(D36&lt;'PlayerGrades+'!$AA$18,"E-",IF(D36&lt;'PlayerGrades+'!$AA$17,"E",IF(D36&lt;'PlayerGrades+'!$AA$16,"E+",IF(D36&lt;'PlayerGrades+'!$AA$15,"D-",IF(D36&lt;'PlayerGrades+'!$AA$14,"D",IF(D36&lt;'PlayerGrades+'!$AA$13,"D+",IF(D36&lt;'PlayerGrades+'!$AA$12,"C-",IF(D36&lt;'PlayerGrades+'!$AA$11,"C",IF(D36&lt;'PlayerGrades+'!$AA$10,"C+",IF(D36&lt;'PlayerGrades+'!$AA$9,"B-",IF(D36&lt;'PlayerGrades+'!$AA$8,"B",IF(D36&lt;'PlayerGrades+'!$AA$7,"B+",IF(D36&lt;'PlayerGrades+'!$AA$6,"A-",IF(D36&lt;'PlayerGrades+'!$AA$5,"A",IF(D36&lt;'PlayerGrades+'!$AA$4,"A+",IF(D36&lt;'PlayerGrades+'!$AA$3,"S-",IF(D36&lt;'PlayerGrades+'!$AA$2,"S","S+"))))))))))))))))))))</f>
        <v>A+</v>
      </c>
      <c r="F36" s="937">
        <f t="shared" si="2"/>
        <v>1.266490765</v>
      </c>
      <c r="G36" s="937" t="str">
        <f>IF(F36&lt;'PlayerGrades+'!$AB$21,"F-",IF(F36&lt;'PlayerGrades+'!$AB$20,"F",IF(F36&lt;'PlayerGrades+'!$AB$19,"F+",IF(F36&lt;'PlayerGrades+'!$AB$18,"E-",IF(F36&lt;'PlayerGrades+'!$AB$17,"E",IF(F36&lt;'PlayerGrades+'!$AB$16,"E+",IF(F36&lt;'PlayerGrades+'!$AB$15,"D-",IF(F36&lt;'PlayerGrades+'!$AB$14,"D",IF(F36&lt;'PlayerGrades+'!$AB$13,"D+",IF(F36&lt;'PlayerGrades+'!$AB$12,"C-",IF(F36&lt;'PlayerGrades+'!$AB$11,"C",IF(F36&lt;'PlayerGrades+'!$AB$10,"C+",IF(F36&lt;'PlayerGrades+'!$AB$9,"B-",IF(F36&lt;'PlayerGrades+'!$AB$8,"B",IF(F36&lt;'PlayerGrades+'!$AB$7,"B+",IF(F36&lt;'PlayerGrades+'!$AB$6,"A-",IF(F36&lt;'PlayerGrades+'!$AB$5,"A",IF(F36&lt;'PlayerGrades+'!$AB$4,"A+",IF(F36&lt;'PlayerGrades+'!$AB$3,"S-",IF(F36&lt;'PlayerGrades+'!$AB$2,"S","S+"))))))))))))))))))))</f>
        <v>S+</v>
      </c>
      <c r="H36" s="937">
        <f t="shared" si="3"/>
        <v>0.1583113456</v>
      </c>
      <c r="I36" s="937" t="str">
        <f>IF(H36&lt;'PlayerGrades+'!$AC$21,"F-",IF(H36&lt;'PlayerGrades+'!$AC$20,"F",IF(H36&lt;'PlayerGrades+'!$AC$19,"F+",IF(H36&lt;'PlayerGrades+'!$AC$18,"E-",IF(H36&lt;'PlayerGrades+'!$AC$17,"E",IF(H36&lt;'PlayerGrades+'!$AC$16,"E+",IF(H36&lt;'PlayerGrades+'!$AC$15,"D-",IF(H36&lt;'PlayerGrades+'!$AC$14,"D",IF(H36&lt;'PlayerGrades+'!$AC$13,"D+",IF(H36&lt;'PlayerGrades+'!$AC$12,"C-",IF(H36&lt;'PlayerGrades+'!$AC$11,"C",IF(H36&lt;'PlayerGrades+'!$AC$10,"C+",IF(H36&lt;'PlayerGrades+'!$AC$9,"B-",IF(H36&lt;'PlayerGrades+'!$AC$8,"B",IF(H36&lt;'PlayerGrades+'!$AC$7,"B+",IF(H36&lt;'PlayerGrades+'!$AC$6,"A-",IF(H36&lt;'PlayerGrades+'!$AC$5,"A",IF(H36&lt;'PlayerGrades+'!$AC$4,"A+",IF(H36&lt;'PlayerGrades+'!$AC$3,"S-",IF(H36&lt;'PlayerGrades+'!$AC$2,"S","S+"))))))))))))))))))))</f>
        <v>A</v>
      </c>
      <c r="J36" s="937">
        <f t="shared" si="4"/>
        <v>0.1583113456</v>
      </c>
      <c r="K36" s="937" t="str">
        <f>IF(J36&lt;'PlayerGrades+'!$AD$21,"F-",IF(J36&lt;'PlayerGrades+'!$AD$20,"F",IF(J36&lt;'PlayerGrades+'!$AD$19,"F+",IF(J36&lt;'PlayerGrades+'!$AD$18,"E-",IF(J36&lt;'PlayerGrades+'!$AD$17,"E",IF(J36&lt;'PlayerGrades+'!$AD$16,"E+",IF(J36&lt;'PlayerGrades+'!$AD$15,"D-",IF(J36&lt;'PlayerGrades+'!$AD$14,"D",IF(J36&lt;'PlayerGrades+'!$AD$13,"D+",IF(J36&lt;'PlayerGrades+'!$AD$12,"C-",IF(J36&lt;'PlayerGrades+'!$AD$11,"C",IF(J36&lt;'PlayerGrades+'!$AD$10,"C+",IF(J36&lt;'PlayerGrades+'!$AD$9,"B-",IF(J36&lt;'PlayerGrades+'!$AD$8,"B",IF(J36&lt;'PlayerGrades+'!$AD$7,"B+",IF(J36&lt;'PlayerGrades+'!$AD$6,"A-",IF(J36&lt;'PlayerGrades+'!$AD$5,"A",IF(J36&lt;'PlayerGrades+'!$AD$4,"A+",IF(J36&lt;'PlayerGrades+'!$AD$3,"S-",IF(J36&lt;'PlayerGrades+'!$AD$2,"S","S+"))))))))))))))))))))</f>
        <v>S+</v>
      </c>
      <c r="L36" s="677">
        <f t="shared" si="5"/>
        <v>0.580474934</v>
      </c>
      <c r="M36" s="938" t="str">
        <f>IF(L36&lt;'PlayerGrades+'!$AE$21,"F-",IF(L36&lt;'PlayerGrades+'!$AE$20,"F",IF(L36&lt;'PlayerGrades+'!$AE$19,"F+",IF(L36&lt;'PlayerGrades+'!$AE$18,"E-",IF(L36&lt;'PlayerGrades+'!$AE$17,"E",IF(L36&lt;'PlayerGrades+'!$AE$16,"E+",IF(L36&lt;'PlayerGrades+'!$AE$15,"D-",IF(L36&lt;'PlayerGrades+'!$AE$14,"D",IF(L36&lt;'PlayerGrades+'!$AE$13,"D+",IF(L36&lt;'PlayerGrades+'!$AE$12,"C-",IF(L36&lt;'PlayerGrades+'!$AE$11,"C",IF(L36&lt;'PlayerGrades+'!$AE$10,"C+",IF(L36&lt;'PlayerGrades+'!$AE$9,"B-",IF(L36&lt;'PlayerGrades+'!$AE$8,"B",IF(L36&lt;'PlayerGrades+'!$AE$7,"B+",IF(L36&lt;'PlayerGrades+'!$AE$6,"A-",IF(L36&lt;'PlayerGrades+'!$AE$5,"A",IF(L36&lt;'PlayerGrades+'!$AE$4,"A+",IF(L36&lt;'PlayerGrades+'!$AE$3,"S-",IF(L36&lt;'PlayerGrades+'!$AE$2,"S","S+"))))))))))))))))))))</f>
        <v>A</v>
      </c>
      <c r="N36" s="937">
        <f t="shared" si="6"/>
        <v>0.2110817942</v>
      </c>
      <c r="O36" s="937" t="str">
        <f>IF(N36&lt;'PlayerGrades+'!$AF$21,"F-",IF(N36&lt;'PlayerGrades+'!$AF$20,"F",IF(N36&lt;'PlayerGrades+'!$AF$19,"F+",IF(N36&lt;'PlayerGrades+'!$AF$18,"E-",IF(N36&lt;'PlayerGrades+'!$AF$17,"E",IF(N36&lt;'PlayerGrades+'!$AF$16,"E+",IF(N36&lt;'PlayerGrades+'!$AF$15,"D-",IF(N36&lt;'PlayerGrades+'!$AF$14,"D",IF(N36&lt;'PlayerGrades+'!$AF$13,"D+",IF(N36&lt;'PlayerGrades+'!$AF$12,"C-",IF(N36&lt;'PlayerGrades+'!$AF$11,"C",IF(N36&lt;'PlayerGrades+'!$AF$10,"C+",IF(N36&lt;'PlayerGrades+'!$AF$9,"B-",IF(N36&lt;'PlayerGrades+'!$AF$8,"B",IF(N36&lt;'PlayerGrades+'!$AF$7,"B+",IF(N36&lt;'PlayerGrades+'!$AF$6,"A-",IF(N36&lt;'PlayerGrades+'!$AF$5,"A",IF(N36&lt;'PlayerGrades+'!$AF$4,"A+",IF(N36&lt;'PlayerGrades+'!$AF$3,"S-",IF(N36&lt;'PlayerGrades+'!$AF$2,"S","S+"))))))))))))))))))))</f>
        <v>S+</v>
      </c>
      <c r="P36" s="937">
        <f t="shared" si="7"/>
        <v>0.05277044855</v>
      </c>
      <c r="Q36" s="937" t="str">
        <f>IF(P36&lt;'PlayerGrades+'!$AG$21,"F-",IF(P36&lt;'PlayerGrades+'!$AG$20,"F",IF(P36&lt;'PlayerGrades+'!$AG$19,"F+",IF(P36&lt;'PlayerGrades+'!$AG$18,"E-",IF(P36&lt;'PlayerGrades+'!$AG$17,"E",IF(P36&lt;'PlayerGrades+'!$AG$16,"E+",IF(P36&lt;'PlayerGrades+'!$AG$15,"D-",IF(P36&lt;'PlayerGrades+'!$AG$14,"D",IF(P36&lt;'PlayerGrades+'!$AG$13,"D+",IF(P36&lt;'PlayerGrades+'!$AG$12,"C-",IF(P36&lt;'PlayerGrades+'!$AG$11,"C",IF(P36&lt;'PlayerGrades+'!$AG$10,"C+",IF(P36&lt;'PlayerGrades+'!$AG$9,"B-",IF(P36&lt;'PlayerGrades+'!$AG$8,"B",IF(P36&lt;'PlayerGrades+'!$AG$7,"B+",IF(P36&lt;'PlayerGrades+'!$AG$6,"A-",IF(P36&lt;'PlayerGrades+'!$AG$5,"A",IF(P36&lt;'PlayerGrades+'!$AG$4,"A+",IF(P36&lt;'PlayerGrades+'!$AG$3,"S-",IF(P36&lt;'PlayerGrades+'!$AG$2,"S","S+"))))))))))))))))))))</f>
        <v>A</v>
      </c>
      <c r="R36" s="937">
        <f t="shared" si="8"/>
        <v>0.4749340369</v>
      </c>
      <c r="S36" s="937" t="str">
        <f>IF(R36&lt;'PlayerGrades+'!$AH$21,"F-",IF(R36&lt;'PlayerGrades+'!$AH$20,"F",IF(R36&lt;'PlayerGrades+'!$AH$19,"F+",IF(R36&lt;'PlayerGrades+'!$AH$18,"E-",IF(R36&lt;'PlayerGrades+'!$AH$17,"E",IF(R36&lt;'PlayerGrades+'!$AH$16,"E+",IF(R36&lt;'PlayerGrades+'!$AH$15,"D-",IF(R36&lt;'PlayerGrades+'!$AH$14,"D",IF(R36&lt;'PlayerGrades+'!$AH$13,"D+",IF(R36&lt;'PlayerGrades+'!$AH$12,"C-",IF(R36&lt;'PlayerGrades+'!$AH$11,"C",IF(R36&lt;'PlayerGrades+'!$AH$10,"C+",IF(R36&lt;'PlayerGrades+'!$AH$9,"B-",IF(R36&lt;'PlayerGrades+'!$AH$8,"B",IF(R36&lt;'PlayerGrades+'!$AH$7,"B+",IF(R36&lt;'PlayerGrades+'!$AH$6,"A-",IF(R36&lt;'PlayerGrades+'!$AH$5,"A",IF(R36&lt;'PlayerGrades+'!$AH$4,"A+",IF(R36&lt;'PlayerGrades+'!$AH$3,"S-",IF(R36&lt;'PlayerGrades+'!$AH$2,"S","S+"))))))))))))))))))))</f>
        <v>E+</v>
      </c>
      <c r="T36" s="937">
        <f t="shared" si="9"/>
        <v>3.316622691</v>
      </c>
      <c r="U36" s="937" t="str">
        <f>IF(T36&lt;'PlayerGrades+'!$AI$21,"F-",IF(T36&lt;'PlayerGrades+'!$AI$20,"F",IF(T36&lt;'PlayerGrades+'!$AI$19,"F+",IF(T36&lt;'PlayerGrades+'!$AI$18,"E-",IF(T36&lt;'PlayerGrades+'!$AI$17,"E",IF(T36&lt;'PlayerGrades+'!$AI$16,"E+",IF(T36&lt;'PlayerGrades+'!$AI$15,"D-",IF(T36&lt;'PlayerGrades+'!$AI$14,"D",IF(T36&lt;'PlayerGrades+'!$AI$13,"D+",IF(T36&lt;'PlayerGrades+'!$AI$12,"C-",IF(T36&lt;'PlayerGrades+'!$AI$11,"C",IF(T36&lt;'PlayerGrades+'!$AI$10,"C+",IF(T36&lt;'PlayerGrades+'!$AI$9,"B-",IF(T36&lt;'PlayerGrades+'!$AI$8,"B",IF(T36&lt;'PlayerGrades+'!$AI$7,"B+",IF(T36&lt;'PlayerGrades+'!$AI$6,"A-",IF(T36&lt;'PlayerGrades+'!$AI$5,"A",IF(T36&lt;'PlayerGrades+'!$AI$4,"A+",IF(T36&lt;'PlayerGrades+'!$AI$3,"S-",IF(T36&lt;'PlayerGrades+'!$AI$2,"S","S+"))))))))))))))))))))</f>
        <v>S+</v>
      </c>
      <c r="V36" s="941">
        <v>1.0</v>
      </c>
      <c r="W36" s="941">
        <v>0.0</v>
      </c>
      <c r="X36" s="941">
        <v>1.0</v>
      </c>
      <c r="Y36" s="941">
        <v>0.0</v>
      </c>
      <c r="Z36" s="941">
        <v>8.0</v>
      </c>
      <c r="AA36" s="952">
        <v>81.0</v>
      </c>
      <c r="AB36" s="952">
        <v>57.0</v>
      </c>
      <c r="AC36" s="952">
        <v>24.0</v>
      </c>
      <c r="AD36" s="952">
        <v>3.0</v>
      </c>
      <c r="AE36" s="952">
        <v>8.0</v>
      </c>
      <c r="AF36" s="952">
        <v>3.0</v>
      </c>
      <c r="AG36" s="952">
        <v>892.0</v>
      </c>
      <c r="AH36" s="952">
        <v>1137.0</v>
      </c>
      <c r="AI36" s="952">
        <v>15.0</v>
      </c>
      <c r="AJ36" s="952">
        <v>238.0</v>
      </c>
      <c r="AK36" s="952">
        <v>0.0</v>
      </c>
      <c r="AL36" s="952">
        <v>3.0</v>
      </c>
      <c r="AM36" s="952">
        <v>0.0</v>
      </c>
      <c r="AN36" s="952">
        <v>0.0</v>
      </c>
      <c r="AO36" s="952">
        <v>0.0</v>
      </c>
      <c r="AP36" s="952">
        <v>1.0</v>
      </c>
      <c r="AQ36" s="952">
        <v>0.0</v>
      </c>
      <c r="AR36" s="952">
        <v>11.0</v>
      </c>
      <c r="AS36" s="952">
        <v>4.0</v>
      </c>
      <c r="AT36" s="952">
        <v>2.0</v>
      </c>
      <c r="AU36" s="952">
        <v>0.0</v>
      </c>
      <c r="AV36" s="952">
        <v>0.0</v>
      </c>
      <c r="AW36" s="952">
        <v>0.0</v>
      </c>
      <c r="AX36" s="952">
        <v>0.0</v>
      </c>
      <c r="AY36" s="952">
        <v>0.0</v>
      </c>
      <c r="AZ36" s="952">
        <v>0.0</v>
      </c>
      <c r="BA36" s="952">
        <v>0.0</v>
      </c>
      <c r="BB36" s="952">
        <v>3.0</v>
      </c>
      <c r="BC36" s="952">
        <v>0.0</v>
      </c>
      <c r="BD36" s="952">
        <v>6.0</v>
      </c>
      <c r="BE36" s="954">
        <v>6.0</v>
      </c>
      <c r="BF36" s="952">
        <v>3.0</v>
      </c>
      <c r="BG36" s="952">
        <v>1.0</v>
      </c>
    </row>
    <row r="37">
      <c r="A37" s="953" t="s">
        <v>121</v>
      </c>
      <c r="B37" s="16" t="str">
        <f>IF(C37&lt;'PlayerGrades+'!$Y$44,"F-",IF(C37&lt;'PlayerGrades+'!$Y$43,"F",IF(C37&lt;'PlayerGrades+'!$Y$42,"F+",IF(C37&lt;'PlayerGrades+'!$Y$41,"E-",IF(C37&lt;'PlayerGrades+'!$Y$40,"E",IF(C37&lt;'PlayerGrades+'!$Y$39,"E+",IF(C37&lt;'PlayerGrades+'!$Y$38,"D-",IF(C37&lt;'PlayerGrades+'!$Y$37,"D",IF(C37&lt;'PlayerGrades+'!$Y$36,"D+",IF(C37&lt;'PlayerGrades+'!$Y$35,"C-",IF(C37&lt;'PlayerGrades+'!$Y$34,"C",IF(C37&lt;'PlayerGrades+'!$Y$33,"C+",IF(C37&lt;'PlayerGrades+'!$Y$32,"B-",IF(C37&lt;'PlayerGrades+'!$Y$31,"B",IF(C37&lt;'PlayerGrades+'!$Y$30,"B+",IF(C37&lt;'PlayerGrades+'!$Y$29,"A-",IF(C37&lt;'PlayerGrades+'!$Y$28,"A",IF(C37&lt;'PlayerGrades+'!$Y$27,"A+",IF(C37&lt;'PlayerGrades+'!$Y$26,"S-",IF(C37&lt;'PlayerGrades+'!$Y$25,"S","S+"))))))))))))))))))))</f>
        <v>C-</v>
      </c>
      <c r="C37" s="936">
        <f>('PlayerGrades+'!$Y$47*(VLOOKUP(E37, 'PlayerGrades+'!$X$3:$Y$23, 2, FALSE)))+('PlayerGrades+'!$Y$48*(VLOOKUP(G37, 'PlayerGrades+'!$X$3:$Y$23, 2, FALSE)))+('PlayerGrades+'!$Y$49*(VLOOKUP(I37, 'PlayerGrades+'!$X$3:$Y$23, 2, FALSE)))+('PlayerGrades+'!$Y$50*(VLOOKUP(K37, 'PlayerGrades+'!$X$3:$Y$23, 2, FALSE)))+('PlayerGrades+'!$Y$51*(VLOOKUP(M37, 'PlayerGrades+'!$X$3:$Y$23, 2, FALSE)))+('PlayerGrades+'!$Y$52*(VLOOKUP(O37, 'PlayerGrades+'!$X$3:$Y$23, 2, FALSE)))+('PlayerGrades+'!$Y$53*(VLOOKUP(Q37, 'PlayerGrades+'!$X$3:$Y$23, 2, FALSE)))+('PlayerGrades+'!$Y$54*(VLOOKUP(S37, 'PlayerGrades+'!$X$3:$Y$23, 2, FALSE)))+('PlayerGrades+'!$Y$55*(VLOOKUP(U37, 'PlayerGrades+'!$X$3:$Y$23, 2, FALSE)))</f>
        <v>18.3</v>
      </c>
      <c r="D37" s="937">
        <f t="shared" si="1"/>
        <v>0.3693931398</v>
      </c>
      <c r="E37" s="937" t="str">
        <f>IF(D37&lt;'PlayerGrades+'!$AA$21,"F-",IF(D37&lt;'PlayerGrades+'!$AA$20,"F",IF(D37&lt;'PlayerGrades+'!$AA$19,"F+",IF(D37&lt;'PlayerGrades+'!$AA$18,"E-",IF(D37&lt;'PlayerGrades+'!$AA$17,"E",IF(D37&lt;'PlayerGrades+'!$AA$16,"E+",IF(D37&lt;'PlayerGrades+'!$AA$15,"D-",IF(D37&lt;'PlayerGrades+'!$AA$14,"D",IF(D37&lt;'PlayerGrades+'!$AA$13,"D+",IF(D37&lt;'PlayerGrades+'!$AA$12,"C-",IF(D37&lt;'PlayerGrades+'!$AA$11,"C",IF(D37&lt;'PlayerGrades+'!$AA$10,"C+",IF(D37&lt;'PlayerGrades+'!$AA$9,"B-",IF(D37&lt;'PlayerGrades+'!$AA$8,"B",IF(D37&lt;'PlayerGrades+'!$AA$7,"B+",IF(D37&lt;'PlayerGrades+'!$AA$6,"A-",IF(D37&lt;'PlayerGrades+'!$AA$5,"A",IF(D37&lt;'PlayerGrades+'!$AA$4,"A+",IF(D37&lt;'PlayerGrades+'!$AA$3,"S-",IF(D37&lt;'PlayerGrades+'!$AA$2,"S","S+"))))))))))))))))))))</f>
        <v>A</v>
      </c>
      <c r="F37" s="937">
        <f t="shared" si="2"/>
        <v>0.1583113456</v>
      </c>
      <c r="G37" s="937" t="str">
        <f>IF(F37&lt;'PlayerGrades+'!$AB$21,"F-",IF(F37&lt;'PlayerGrades+'!$AB$20,"F",IF(F37&lt;'PlayerGrades+'!$AB$19,"F+",IF(F37&lt;'PlayerGrades+'!$AB$18,"E-",IF(F37&lt;'PlayerGrades+'!$AB$17,"E",IF(F37&lt;'PlayerGrades+'!$AB$16,"E+",IF(F37&lt;'PlayerGrades+'!$AB$15,"D-",IF(F37&lt;'PlayerGrades+'!$AB$14,"D",IF(F37&lt;'PlayerGrades+'!$AB$13,"D+",IF(F37&lt;'PlayerGrades+'!$AB$12,"C-",IF(F37&lt;'PlayerGrades+'!$AB$11,"C",IF(F37&lt;'PlayerGrades+'!$AB$10,"C+",IF(F37&lt;'PlayerGrades+'!$AB$9,"B-",IF(F37&lt;'PlayerGrades+'!$AB$8,"B",IF(F37&lt;'PlayerGrades+'!$AB$7,"B+",IF(F37&lt;'PlayerGrades+'!$AB$6,"A-",IF(F37&lt;'PlayerGrades+'!$AB$5,"A",IF(F37&lt;'PlayerGrades+'!$AB$4,"A+",IF(F37&lt;'PlayerGrades+'!$AB$3,"S-",IF(F37&lt;'PlayerGrades+'!$AB$2,"S","S+"))))))))))))))))))))</f>
        <v>B+</v>
      </c>
      <c r="H37" s="937">
        <f t="shared" si="3"/>
        <v>0.1055408971</v>
      </c>
      <c r="I37" s="937" t="str">
        <f>IF(H37&lt;'PlayerGrades+'!$AC$21,"F-",IF(H37&lt;'PlayerGrades+'!$AC$20,"F",IF(H37&lt;'PlayerGrades+'!$AC$19,"F+",IF(H37&lt;'PlayerGrades+'!$AC$18,"E-",IF(H37&lt;'PlayerGrades+'!$AC$17,"E",IF(H37&lt;'PlayerGrades+'!$AC$16,"E+",IF(H37&lt;'PlayerGrades+'!$AC$15,"D-",IF(H37&lt;'PlayerGrades+'!$AC$14,"D",IF(H37&lt;'PlayerGrades+'!$AC$13,"D+",IF(H37&lt;'PlayerGrades+'!$AC$12,"C-",IF(H37&lt;'PlayerGrades+'!$AC$11,"C",IF(H37&lt;'PlayerGrades+'!$AC$10,"C+",IF(H37&lt;'PlayerGrades+'!$AC$9,"B-",IF(H37&lt;'PlayerGrades+'!$AC$8,"B",IF(H37&lt;'PlayerGrades+'!$AC$7,"B+",IF(H37&lt;'PlayerGrades+'!$AC$6,"A-",IF(H37&lt;'PlayerGrades+'!$AC$5,"A",IF(H37&lt;'PlayerGrades+'!$AC$4,"A+",IF(H37&lt;'PlayerGrades+'!$AC$3,"S-",IF(H37&lt;'PlayerGrades+'!$AC$2,"S","S+"))))))))))))))))))))</f>
        <v>C-</v>
      </c>
      <c r="J37" s="937">
        <f t="shared" si="4"/>
        <v>0</v>
      </c>
      <c r="K37" s="937" t="str">
        <f>IF(J37&lt;'PlayerGrades+'!$AD$21,"F-",IF(J37&lt;'PlayerGrades+'!$AD$20,"F",IF(J37&lt;'PlayerGrades+'!$AD$19,"F+",IF(J37&lt;'PlayerGrades+'!$AD$18,"E-",IF(J37&lt;'PlayerGrades+'!$AD$17,"E",IF(J37&lt;'PlayerGrades+'!$AD$16,"E+",IF(J37&lt;'PlayerGrades+'!$AD$15,"D-",IF(J37&lt;'PlayerGrades+'!$AD$14,"D",IF(J37&lt;'PlayerGrades+'!$AD$13,"D+",IF(J37&lt;'PlayerGrades+'!$AD$12,"C-",IF(J37&lt;'PlayerGrades+'!$AD$11,"C",IF(J37&lt;'PlayerGrades+'!$AD$10,"C+",IF(J37&lt;'PlayerGrades+'!$AD$9,"B-",IF(J37&lt;'PlayerGrades+'!$AD$8,"B",IF(J37&lt;'PlayerGrades+'!$AD$7,"B+",IF(J37&lt;'PlayerGrades+'!$AD$6,"A-",IF(J37&lt;'PlayerGrades+'!$AD$5,"A",IF(J37&lt;'PlayerGrades+'!$AD$4,"A+",IF(J37&lt;'PlayerGrades+'!$AD$3,"S-",IF(J37&lt;'PlayerGrades+'!$AD$2,"S","S+"))))))))))))))))))))</f>
        <v>F-</v>
      </c>
      <c r="L37" s="677">
        <f t="shared" si="5"/>
        <v>0.2110817942</v>
      </c>
      <c r="M37" s="938" t="str">
        <f>IF(L37&lt;'PlayerGrades+'!$AE$21,"F-",IF(L37&lt;'PlayerGrades+'!$AE$20,"F",IF(L37&lt;'PlayerGrades+'!$AE$19,"F+",IF(L37&lt;'PlayerGrades+'!$AE$18,"E-",IF(L37&lt;'PlayerGrades+'!$AE$17,"E",IF(L37&lt;'PlayerGrades+'!$AE$16,"E+",IF(L37&lt;'PlayerGrades+'!$AE$15,"D-",IF(L37&lt;'PlayerGrades+'!$AE$14,"D",IF(L37&lt;'PlayerGrades+'!$AE$13,"D+",IF(L37&lt;'PlayerGrades+'!$AE$12,"C-",IF(L37&lt;'PlayerGrades+'!$AE$11,"C",IF(L37&lt;'PlayerGrades+'!$AE$10,"C+",IF(L37&lt;'PlayerGrades+'!$AE$9,"B-",IF(L37&lt;'PlayerGrades+'!$AE$8,"B",IF(L37&lt;'PlayerGrades+'!$AE$7,"B+",IF(L37&lt;'PlayerGrades+'!$AE$6,"A-",IF(L37&lt;'PlayerGrades+'!$AE$5,"A",IF(L37&lt;'PlayerGrades+'!$AE$4,"A+",IF(L37&lt;'PlayerGrades+'!$AE$3,"S-",IF(L37&lt;'PlayerGrades+'!$AE$2,"S","S+"))))))))))))))))))))</f>
        <v>F</v>
      </c>
      <c r="N37" s="937">
        <f t="shared" si="6"/>
        <v>0.05277044855</v>
      </c>
      <c r="O37" s="937" t="str">
        <f>IF(N37&lt;'PlayerGrades+'!$AF$21,"F-",IF(N37&lt;'PlayerGrades+'!$AF$20,"F",IF(N37&lt;'PlayerGrades+'!$AF$19,"F+",IF(N37&lt;'PlayerGrades+'!$AF$18,"E-",IF(N37&lt;'PlayerGrades+'!$AF$17,"E",IF(N37&lt;'PlayerGrades+'!$AF$16,"E+",IF(N37&lt;'PlayerGrades+'!$AF$15,"D-",IF(N37&lt;'PlayerGrades+'!$AF$14,"D",IF(N37&lt;'PlayerGrades+'!$AF$13,"D+",IF(N37&lt;'PlayerGrades+'!$AF$12,"C-",IF(N37&lt;'PlayerGrades+'!$AF$11,"C",IF(N37&lt;'PlayerGrades+'!$AF$10,"C+",IF(N37&lt;'PlayerGrades+'!$AF$9,"B-",IF(N37&lt;'PlayerGrades+'!$AF$8,"B",IF(N37&lt;'PlayerGrades+'!$AF$7,"B+",IF(N37&lt;'PlayerGrades+'!$AF$6,"A-",IF(N37&lt;'PlayerGrades+'!$AF$5,"A",IF(N37&lt;'PlayerGrades+'!$AF$4,"A+",IF(N37&lt;'PlayerGrades+'!$AF$3,"S-",IF(N37&lt;'PlayerGrades+'!$AF$2,"S","S+"))))))))))))))))))))</f>
        <v>D</v>
      </c>
      <c r="P37" s="937">
        <f t="shared" si="7"/>
        <v>0</v>
      </c>
      <c r="Q37" s="937" t="str">
        <f>IF(P37&lt;'PlayerGrades+'!$AG$21,"F-",IF(P37&lt;'PlayerGrades+'!$AG$20,"F",IF(P37&lt;'PlayerGrades+'!$AG$19,"F+",IF(P37&lt;'PlayerGrades+'!$AG$18,"E-",IF(P37&lt;'PlayerGrades+'!$AG$17,"E",IF(P37&lt;'PlayerGrades+'!$AG$16,"E+",IF(P37&lt;'PlayerGrades+'!$AG$15,"D-",IF(P37&lt;'PlayerGrades+'!$AG$14,"D",IF(P37&lt;'PlayerGrades+'!$AG$13,"D+",IF(P37&lt;'PlayerGrades+'!$AG$12,"C-",IF(P37&lt;'PlayerGrades+'!$AG$11,"C",IF(P37&lt;'PlayerGrades+'!$AG$10,"C+",IF(P37&lt;'PlayerGrades+'!$AG$9,"B-",IF(P37&lt;'PlayerGrades+'!$AG$8,"B",IF(P37&lt;'PlayerGrades+'!$AG$7,"B+",IF(P37&lt;'PlayerGrades+'!$AG$6,"A-",IF(P37&lt;'PlayerGrades+'!$AG$5,"A",IF(P37&lt;'PlayerGrades+'!$AG$4,"A+",IF(P37&lt;'PlayerGrades+'!$AG$3,"S-",IF(P37&lt;'PlayerGrades+'!$AG$2,"S","S+"))))))))))))))))))))</f>
        <v>F</v>
      </c>
      <c r="R37" s="937">
        <f t="shared" si="8"/>
        <v>0.6332453826</v>
      </c>
      <c r="S37" s="937" t="str">
        <f>IF(R37&lt;'PlayerGrades+'!$AH$21,"F-",IF(R37&lt;'PlayerGrades+'!$AH$20,"F",IF(R37&lt;'PlayerGrades+'!$AH$19,"F+",IF(R37&lt;'PlayerGrades+'!$AH$18,"E-",IF(R37&lt;'PlayerGrades+'!$AH$17,"E",IF(R37&lt;'PlayerGrades+'!$AH$16,"E+",IF(R37&lt;'PlayerGrades+'!$AH$15,"D-",IF(R37&lt;'PlayerGrades+'!$AH$14,"D",IF(R37&lt;'PlayerGrades+'!$AH$13,"D+",IF(R37&lt;'PlayerGrades+'!$AH$12,"C-",IF(R37&lt;'PlayerGrades+'!$AH$11,"C",IF(R37&lt;'PlayerGrades+'!$AH$10,"C+",IF(R37&lt;'PlayerGrades+'!$AH$9,"B-",IF(R37&lt;'PlayerGrades+'!$AH$8,"B",IF(R37&lt;'PlayerGrades+'!$AH$7,"B+",IF(R37&lt;'PlayerGrades+'!$AH$6,"A-",IF(R37&lt;'PlayerGrades+'!$AH$5,"A",IF(R37&lt;'PlayerGrades+'!$AH$4,"A+",IF(R37&lt;'PlayerGrades+'!$AH$3,"S-",IF(R37&lt;'PlayerGrades+'!$AH$2,"S","S+"))))))))))))))))))))</f>
        <v>A</v>
      </c>
      <c r="T37" s="937">
        <f t="shared" si="9"/>
        <v>0.2110817942</v>
      </c>
      <c r="U37" s="937" t="str">
        <f>IF(T37&lt;'PlayerGrades+'!$AI$21,"F-",IF(T37&lt;'PlayerGrades+'!$AI$20,"F",IF(T37&lt;'PlayerGrades+'!$AI$19,"F+",IF(T37&lt;'PlayerGrades+'!$AI$18,"E-",IF(T37&lt;'PlayerGrades+'!$AI$17,"E",IF(T37&lt;'PlayerGrades+'!$AI$16,"E+",IF(T37&lt;'PlayerGrades+'!$AI$15,"D-",IF(T37&lt;'PlayerGrades+'!$AI$14,"D",IF(T37&lt;'PlayerGrades+'!$AI$13,"D+",IF(T37&lt;'PlayerGrades+'!$AI$12,"C-",IF(T37&lt;'PlayerGrades+'!$AI$11,"C",IF(T37&lt;'PlayerGrades+'!$AI$10,"C+",IF(T37&lt;'PlayerGrades+'!$AI$9,"B-",IF(T37&lt;'PlayerGrades+'!$AI$8,"B",IF(T37&lt;'PlayerGrades+'!$AI$7,"B+",IF(T37&lt;'PlayerGrades+'!$AI$6,"A-",IF(T37&lt;'PlayerGrades+'!$AI$5,"A",IF(T37&lt;'PlayerGrades+'!$AI$4,"A+",IF(T37&lt;'PlayerGrades+'!$AI$3,"S-",IF(T37&lt;'PlayerGrades+'!$AI$2,"S","S+"))))))))))))))))))))</f>
        <v>F-</v>
      </c>
      <c r="V37" s="941">
        <v>1.0</v>
      </c>
      <c r="W37" s="941">
        <v>0.0</v>
      </c>
      <c r="X37" s="941">
        <v>1.0</v>
      </c>
      <c r="Y37" s="941">
        <v>1.0</v>
      </c>
      <c r="Z37" s="941">
        <v>6.0</v>
      </c>
      <c r="AA37" s="952">
        <v>45.0</v>
      </c>
      <c r="AB37" s="952">
        <v>42.0</v>
      </c>
      <c r="AC37" s="952">
        <v>3.0</v>
      </c>
      <c r="AD37" s="952">
        <v>3.0</v>
      </c>
      <c r="AE37" s="952">
        <v>4.0</v>
      </c>
      <c r="AF37" s="952">
        <v>0.0</v>
      </c>
      <c r="AG37" s="952">
        <v>938.0</v>
      </c>
      <c r="AH37" s="952">
        <v>1137.0</v>
      </c>
      <c r="AI37" s="952">
        <v>22.0</v>
      </c>
      <c r="AJ37" s="952">
        <v>363.0</v>
      </c>
      <c r="AK37" s="952">
        <v>0.0</v>
      </c>
      <c r="AL37" s="952">
        <v>0.0</v>
      </c>
      <c r="AM37" s="952">
        <v>0.0</v>
      </c>
      <c r="AN37" s="952">
        <v>0.0</v>
      </c>
      <c r="AO37" s="952">
        <v>0.0</v>
      </c>
      <c r="AP37" s="952">
        <v>0.0</v>
      </c>
      <c r="AQ37" s="952">
        <v>0.0</v>
      </c>
      <c r="AR37" s="952">
        <v>4.0</v>
      </c>
      <c r="AS37" s="952">
        <v>1.0</v>
      </c>
      <c r="AT37" s="952">
        <v>0.0</v>
      </c>
      <c r="AU37" s="952">
        <v>0.0</v>
      </c>
      <c r="AV37" s="952">
        <v>0.0</v>
      </c>
      <c r="AW37" s="952">
        <v>0.0</v>
      </c>
      <c r="AX37" s="952">
        <v>0.0</v>
      </c>
      <c r="AY37" s="952">
        <v>0.0</v>
      </c>
      <c r="AZ37" s="952">
        <v>0.0</v>
      </c>
      <c r="BA37" s="952">
        <v>0.0</v>
      </c>
      <c r="BB37" s="952">
        <v>2.0</v>
      </c>
      <c r="BC37" s="952">
        <v>0.0</v>
      </c>
      <c r="BD37" s="952">
        <v>9.0</v>
      </c>
      <c r="BE37" s="954">
        <v>4.0</v>
      </c>
      <c r="BF37" s="952">
        <v>0.0</v>
      </c>
      <c r="BG37" s="952">
        <v>1.0</v>
      </c>
    </row>
    <row r="38">
      <c r="A38" s="953" t="s">
        <v>150</v>
      </c>
      <c r="B38" s="16" t="str">
        <f>IF(C38&lt;'PlayerGrades+'!$Y$44,"F-",IF(C38&lt;'PlayerGrades+'!$Y$43,"F",IF(C38&lt;'PlayerGrades+'!$Y$42,"F+",IF(C38&lt;'PlayerGrades+'!$Y$41,"E-",IF(C38&lt;'PlayerGrades+'!$Y$40,"E",IF(C38&lt;'PlayerGrades+'!$Y$39,"E+",IF(C38&lt;'PlayerGrades+'!$Y$38,"D-",IF(C38&lt;'PlayerGrades+'!$Y$37,"D",IF(C38&lt;'PlayerGrades+'!$Y$36,"D+",IF(C38&lt;'PlayerGrades+'!$Y$35,"C-",IF(C38&lt;'PlayerGrades+'!$Y$34,"C",IF(C38&lt;'PlayerGrades+'!$Y$33,"C+",IF(C38&lt;'PlayerGrades+'!$Y$32,"B-",IF(C38&lt;'PlayerGrades+'!$Y$31,"B",IF(C38&lt;'PlayerGrades+'!$Y$30,"B+",IF(C38&lt;'PlayerGrades+'!$Y$29,"A-",IF(C38&lt;'PlayerGrades+'!$Y$28,"A",IF(C38&lt;'PlayerGrades+'!$Y$27,"A+",IF(C38&lt;'PlayerGrades+'!$Y$26,"S-",IF(C38&lt;'PlayerGrades+'!$Y$25,"S","S+"))))))))))))))))))))</f>
        <v>E</v>
      </c>
      <c r="C38" s="936">
        <f>('PlayerGrades+'!$Y$47*(VLOOKUP(E38, 'PlayerGrades+'!$X$3:$Y$23, 2, FALSE)))+('PlayerGrades+'!$Y$48*(VLOOKUP(G38, 'PlayerGrades+'!$X$3:$Y$23, 2, FALSE)))+('PlayerGrades+'!$Y$49*(VLOOKUP(I38, 'PlayerGrades+'!$X$3:$Y$23, 2, FALSE)))+('PlayerGrades+'!$Y$50*(VLOOKUP(K38, 'PlayerGrades+'!$X$3:$Y$23, 2, FALSE)))+('PlayerGrades+'!$Y$51*(VLOOKUP(M38, 'PlayerGrades+'!$X$3:$Y$23, 2, FALSE)))+('PlayerGrades+'!$Y$52*(VLOOKUP(O38, 'PlayerGrades+'!$X$3:$Y$23, 2, FALSE)))+('PlayerGrades+'!$Y$53*(VLOOKUP(Q38, 'PlayerGrades+'!$X$3:$Y$23, 2, FALSE)))+('PlayerGrades+'!$Y$54*(VLOOKUP(S38, 'PlayerGrades+'!$X$3:$Y$23, 2, FALSE)))+('PlayerGrades+'!$Y$55*(VLOOKUP(U38, 'PlayerGrades+'!$X$3:$Y$23, 2, FALSE)))</f>
        <v>13.05</v>
      </c>
      <c r="D38" s="937">
        <f t="shared" si="1"/>
        <v>0.05277044855</v>
      </c>
      <c r="E38" s="937" t="str">
        <f>IF(D38&lt;'PlayerGrades+'!$AA$21,"F-",IF(D38&lt;'PlayerGrades+'!$AA$20,"F",IF(D38&lt;'PlayerGrades+'!$AA$19,"F+",IF(D38&lt;'PlayerGrades+'!$AA$18,"E-",IF(D38&lt;'PlayerGrades+'!$AA$17,"E",IF(D38&lt;'PlayerGrades+'!$AA$16,"E+",IF(D38&lt;'PlayerGrades+'!$AA$15,"D-",IF(D38&lt;'PlayerGrades+'!$AA$14,"D",IF(D38&lt;'PlayerGrades+'!$AA$13,"D+",IF(D38&lt;'PlayerGrades+'!$AA$12,"C-",IF(D38&lt;'PlayerGrades+'!$AA$11,"C",IF(D38&lt;'PlayerGrades+'!$AA$10,"C+",IF(D38&lt;'PlayerGrades+'!$AA$9,"B-",IF(D38&lt;'PlayerGrades+'!$AA$8,"B",IF(D38&lt;'PlayerGrades+'!$AA$7,"B+",IF(D38&lt;'PlayerGrades+'!$AA$6,"A-",IF(D38&lt;'PlayerGrades+'!$AA$5,"A",IF(D38&lt;'PlayerGrades+'!$AA$4,"A+",IF(D38&lt;'PlayerGrades+'!$AA$3,"S-",IF(D38&lt;'PlayerGrades+'!$AA$2,"S","S+"))))))))))))))))))))</f>
        <v>B-</v>
      </c>
      <c r="F38" s="937">
        <f t="shared" si="2"/>
        <v>-1.266490765</v>
      </c>
      <c r="G38" s="937" t="str">
        <f>IF(F38&lt;'PlayerGrades+'!$AB$21,"F-",IF(F38&lt;'PlayerGrades+'!$AB$20,"F",IF(F38&lt;'PlayerGrades+'!$AB$19,"F+",IF(F38&lt;'PlayerGrades+'!$AB$18,"E-",IF(F38&lt;'PlayerGrades+'!$AB$17,"E",IF(F38&lt;'PlayerGrades+'!$AB$16,"E+",IF(F38&lt;'PlayerGrades+'!$AB$15,"D-",IF(F38&lt;'PlayerGrades+'!$AB$14,"D",IF(F38&lt;'PlayerGrades+'!$AB$13,"D+",IF(F38&lt;'PlayerGrades+'!$AB$12,"C-",IF(F38&lt;'PlayerGrades+'!$AB$11,"C",IF(F38&lt;'PlayerGrades+'!$AB$10,"C+",IF(F38&lt;'PlayerGrades+'!$AB$9,"B-",IF(F38&lt;'PlayerGrades+'!$AB$8,"B",IF(F38&lt;'PlayerGrades+'!$AB$7,"B+",IF(F38&lt;'PlayerGrades+'!$AB$6,"A-",IF(F38&lt;'PlayerGrades+'!$AB$5,"A",IF(F38&lt;'PlayerGrades+'!$AB$4,"A+",IF(F38&lt;'PlayerGrades+'!$AB$3,"S-",IF(F38&lt;'PlayerGrades+'!$AB$2,"S","S+"))))))))))))))))))))</f>
        <v>F-</v>
      </c>
      <c r="H38" s="937">
        <f t="shared" si="3"/>
        <v>0</v>
      </c>
      <c r="I38" s="937" t="str">
        <f>IF(H38&lt;'PlayerGrades+'!$AC$21,"F-",IF(H38&lt;'PlayerGrades+'!$AC$20,"F",IF(H38&lt;'PlayerGrades+'!$AC$19,"F+",IF(H38&lt;'PlayerGrades+'!$AC$18,"E-",IF(H38&lt;'PlayerGrades+'!$AC$17,"E",IF(H38&lt;'PlayerGrades+'!$AC$16,"E+",IF(H38&lt;'PlayerGrades+'!$AC$15,"D-",IF(H38&lt;'PlayerGrades+'!$AC$14,"D",IF(H38&lt;'PlayerGrades+'!$AC$13,"D+",IF(H38&lt;'PlayerGrades+'!$AC$12,"C-",IF(H38&lt;'PlayerGrades+'!$AC$11,"C",IF(H38&lt;'PlayerGrades+'!$AC$10,"C+",IF(H38&lt;'PlayerGrades+'!$AC$9,"B-",IF(H38&lt;'PlayerGrades+'!$AC$8,"B",IF(H38&lt;'PlayerGrades+'!$AC$7,"B+",IF(H38&lt;'PlayerGrades+'!$AC$6,"A-",IF(H38&lt;'PlayerGrades+'!$AC$5,"A",IF(H38&lt;'PlayerGrades+'!$AC$4,"A+",IF(H38&lt;'PlayerGrades+'!$AC$3,"S-",IF(H38&lt;'PlayerGrades+'!$AC$2,"S","S+"))))))))))))))))))))</f>
        <v>F-</v>
      </c>
      <c r="J38" s="937">
        <f t="shared" si="4"/>
        <v>0</v>
      </c>
      <c r="K38" s="937" t="str">
        <f>IF(J38&lt;'PlayerGrades+'!$AD$21,"F-",IF(J38&lt;'PlayerGrades+'!$AD$20,"F",IF(J38&lt;'PlayerGrades+'!$AD$19,"F+",IF(J38&lt;'PlayerGrades+'!$AD$18,"E-",IF(J38&lt;'PlayerGrades+'!$AD$17,"E",IF(J38&lt;'PlayerGrades+'!$AD$16,"E+",IF(J38&lt;'PlayerGrades+'!$AD$15,"D-",IF(J38&lt;'PlayerGrades+'!$AD$14,"D",IF(J38&lt;'PlayerGrades+'!$AD$13,"D+",IF(J38&lt;'PlayerGrades+'!$AD$12,"C-",IF(J38&lt;'PlayerGrades+'!$AD$11,"C",IF(J38&lt;'PlayerGrades+'!$AD$10,"C+",IF(J38&lt;'PlayerGrades+'!$AD$9,"B-",IF(J38&lt;'PlayerGrades+'!$AD$8,"B",IF(J38&lt;'PlayerGrades+'!$AD$7,"B+",IF(J38&lt;'PlayerGrades+'!$AD$6,"A-",IF(J38&lt;'PlayerGrades+'!$AD$5,"A",IF(J38&lt;'PlayerGrades+'!$AD$4,"A+",IF(J38&lt;'PlayerGrades+'!$AD$3,"S-",IF(J38&lt;'PlayerGrades+'!$AD$2,"S","S+"))))))))))))))))))))</f>
        <v>F-</v>
      </c>
      <c r="L38" s="677">
        <f t="shared" si="5"/>
        <v>0.3693931398</v>
      </c>
      <c r="M38" s="938" t="str">
        <f>IF(L38&lt;'PlayerGrades+'!$AE$21,"F-",IF(L38&lt;'PlayerGrades+'!$AE$20,"F",IF(L38&lt;'PlayerGrades+'!$AE$19,"F+",IF(L38&lt;'PlayerGrades+'!$AE$18,"E-",IF(L38&lt;'PlayerGrades+'!$AE$17,"E",IF(L38&lt;'PlayerGrades+'!$AE$16,"E+",IF(L38&lt;'PlayerGrades+'!$AE$15,"D-",IF(L38&lt;'PlayerGrades+'!$AE$14,"D",IF(L38&lt;'PlayerGrades+'!$AE$13,"D+",IF(L38&lt;'PlayerGrades+'!$AE$12,"C-",IF(L38&lt;'PlayerGrades+'!$AE$11,"C",IF(L38&lt;'PlayerGrades+'!$AE$10,"C+",IF(L38&lt;'PlayerGrades+'!$AE$9,"B-",IF(L38&lt;'PlayerGrades+'!$AE$8,"B",IF(L38&lt;'PlayerGrades+'!$AE$7,"B+",IF(L38&lt;'PlayerGrades+'!$AE$6,"A-",IF(L38&lt;'PlayerGrades+'!$AE$5,"A",IF(L38&lt;'PlayerGrades+'!$AE$4,"A+",IF(L38&lt;'PlayerGrades+'!$AE$3,"S-",IF(L38&lt;'PlayerGrades+'!$AE$2,"S","S+"))))))))))))))))))))</f>
        <v>C-</v>
      </c>
      <c r="N38" s="937">
        <f t="shared" si="6"/>
        <v>0.05277044855</v>
      </c>
      <c r="O38" s="937" t="str">
        <f>IF(N38&lt;'PlayerGrades+'!$AF$21,"F-",IF(N38&lt;'PlayerGrades+'!$AF$20,"F",IF(N38&lt;'PlayerGrades+'!$AF$19,"F+",IF(N38&lt;'PlayerGrades+'!$AF$18,"E-",IF(N38&lt;'PlayerGrades+'!$AF$17,"E",IF(N38&lt;'PlayerGrades+'!$AF$16,"E+",IF(N38&lt;'PlayerGrades+'!$AF$15,"D-",IF(N38&lt;'PlayerGrades+'!$AF$14,"D",IF(N38&lt;'PlayerGrades+'!$AF$13,"D+",IF(N38&lt;'PlayerGrades+'!$AF$12,"C-",IF(N38&lt;'PlayerGrades+'!$AF$11,"C",IF(N38&lt;'PlayerGrades+'!$AF$10,"C+",IF(N38&lt;'PlayerGrades+'!$AF$9,"B-",IF(N38&lt;'PlayerGrades+'!$AF$8,"B",IF(N38&lt;'PlayerGrades+'!$AF$7,"B+",IF(N38&lt;'PlayerGrades+'!$AF$6,"A-",IF(N38&lt;'PlayerGrades+'!$AF$5,"A",IF(N38&lt;'PlayerGrades+'!$AF$4,"A+",IF(N38&lt;'PlayerGrades+'!$AF$3,"S-",IF(N38&lt;'PlayerGrades+'!$AF$2,"S","S+"))))))))))))))))))))</f>
        <v>D</v>
      </c>
      <c r="P38" s="937">
        <f t="shared" si="7"/>
        <v>0</v>
      </c>
      <c r="Q38" s="937" t="str">
        <f>IF(P38&lt;'PlayerGrades+'!$AG$21,"F-",IF(P38&lt;'PlayerGrades+'!$AG$20,"F",IF(P38&lt;'PlayerGrades+'!$AG$19,"F+",IF(P38&lt;'PlayerGrades+'!$AG$18,"E-",IF(P38&lt;'PlayerGrades+'!$AG$17,"E",IF(P38&lt;'PlayerGrades+'!$AG$16,"E+",IF(P38&lt;'PlayerGrades+'!$AG$15,"D-",IF(P38&lt;'PlayerGrades+'!$AG$14,"D",IF(P38&lt;'PlayerGrades+'!$AG$13,"D+",IF(P38&lt;'PlayerGrades+'!$AG$12,"C-",IF(P38&lt;'PlayerGrades+'!$AG$11,"C",IF(P38&lt;'PlayerGrades+'!$AG$10,"C+",IF(P38&lt;'PlayerGrades+'!$AG$9,"B-",IF(P38&lt;'PlayerGrades+'!$AG$8,"B",IF(P38&lt;'PlayerGrades+'!$AG$7,"B+",IF(P38&lt;'PlayerGrades+'!$AG$6,"A-",IF(P38&lt;'PlayerGrades+'!$AG$5,"A",IF(P38&lt;'PlayerGrades+'!$AG$4,"A+",IF(P38&lt;'PlayerGrades+'!$AG$3,"S-",IF(P38&lt;'PlayerGrades+'!$AG$2,"S","S+"))))))))))))))))))))</f>
        <v>F</v>
      </c>
      <c r="R38" s="937">
        <f t="shared" si="8"/>
        <v>0.580474934</v>
      </c>
      <c r="S38" s="937" t="str">
        <f>IF(R38&lt;'PlayerGrades+'!$AH$21,"F-",IF(R38&lt;'PlayerGrades+'!$AH$20,"F",IF(R38&lt;'PlayerGrades+'!$AH$19,"F+",IF(R38&lt;'PlayerGrades+'!$AH$18,"E-",IF(R38&lt;'PlayerGrades+'!$AH$17,"E",IF(R38&lt;'PlayerGrades+'!$AH$16,"E+",IF(R38&lt;'PlayerGrades+'!$AH$15,"D-",IF(R38&lt;'PlayerGrades+'!$AH$14,"D",IF(R38&lt;'PlayerGrades+'!$AH$13,"D+",IF(R38&lt;'PlayerGrades+'!$AH$12,"C-",IF(R38&lt;'PlayerGrades+'!$AH$11,"C",IF(R38&lt;'PlayerGrades+'!$AH$10,"C+",IF(R38&lt;'PlayerGrades+'!$AH$9,"B-",IF(R38&lt;'PlayerGrades+'!$AH$8,"B",IF(R38&lt;'PlayerGrades+'!$AH$7,"B+",IF(R38&lt;'PlayerGrades+'!$AH$6,"A-",IF(R38&lt;'PlayerGrades+'!$AH$5,"A",IF(R38&lt;'PlayerGrades+'!$AH$4,"A+",IF(R38&lt;'PlayerGrades+'!$AH$3,"S-",IF(R38&lt;'PlayerGrades+'!$AH$2,"S","S+"))))))))))))))))))))</f>
        <v>B</v>
      </c>
      <c r="T38" s="937">
        <f t="shared" si="9"/>
        <v>0.2638522427</v>
      </c>
      <c r="U38" s="937" t="str">
        <f>IF(T38&lt;'PlayerGrades+'!$AI$21,"F-",IF(T38&lt;'PlayerGrades+'!$AI$20,"F",IF(T38&lt;'PlayerGrades+'!$AI$19,"F+",IF(T38&lt;'PlayerGrades+'!$AI$18,"E-",IF(T38&lt;'PlayerGrades+'!$AI$17,"E",IF(T38&lt;'PlayerGrades+'!$AI$16,"E+",IF(T38&lt;'PlayerGrades+'!$AI$15,"D-",IF(T38&lt;'PlayerGrades+'!$AI$14,"D",IF(T38&lt;'PlayerGrades+'!$AI$13,"D+",IF(T38&lt;'PlayerGrades+'!$AI$12,"C-",IF(T38&lt;'PlayerGrades+'!$AI$11,"C",IF(T38&lt;'PlayerGrades+'!$AI$10,"C+",IF(T38&lt;'PlayerGrades+'!$AI$9,"B-",IF(T38&lt;'PlayerGrades+'!$AI$8,"B",IF(T38&lt;'PlayerGrades+'!$AI$7,"B+",IF(T38&lt;'PlayerGrades+'!$AI$6,"A-",IF(T38&lt;'PlayerGrades+'!$AI$5,"A",IF(T38&lt;'PlayerGrades+'!$AI$4,"A+",IF(T38&lt;'PlayerGrades+'!$AI$3,"S-",IF(T38&lt;'PlayerGrades+'!$AI$2,"S","S+"))))))))))))))))))))</f>
        <v>F-</v>
      </c>
      <c r="V38" s="941">
        <v>1.0</v>
      </c>
      <c r="W38" s="941">
        <v>1.0</v>
      </c>
      <c r="X38" s="941">
        <v>0.0</v>
      </c>
      <c r="Y38" s="941">
        <v>0.0</v>
      </c>
      <c r="Z38" s="941">
        <v>1.0</v>
      </c>
      <c r="AA38" s="952">
        <v>62.0</v>
      </c>
      <c r="AB38" s="952">
        <v>86.0</v>
      </c>
      <c r="AC38" s="952">
        <v>-24.0</v>
      </c>
      <c r="AD38" s="952">
        <v>3.0</v>
      </c>
      <c r="AE38" s="952">
        <v>3.0</v>
      </c>
      <c r="AF38" s="952">
        <v>0.0</v>
      </c>
      <c r="AG38" s="952">
        <v>802.0</v>
      </c>
      <c r="AH38" s="952">
        <v>1137.0</v>
      </c>
      <c r="AI38" s="952">
        <v>9.0</v>
      </c>
      <c r="AJ38" s="952">
        <v>19.0</v>
      </c>
      <c r="AK38" s="952">
        <v>0.0</v>
      </c>
      <c r="AL38" s="952">
        <v>0.0</v>
      </c>
      <c r="AM38" s="952">
        <v>0.0</v>
      </c>
      <c r="AN38" s="952">
        <v>0.0</v>
      </c>
      <c r="AO38" s="952">
        <v>0.0</v>
      </c>
      <c r="AP38" s="952">
        <v>0.0</v>
      </c>
      <c r="AQ38" s="952">
        <v>0.0</v>
      </c>
      <c r="AR38" s="952">
        <v>7.0</v>
      </c>
      <c r="AS38" s="952">
        <v>1.0</v>
      </c>
      <c r="AT38" s="952">
        <v>0.0</v>
      </c>
      <c r="AU38" s="952">
        <v>0.0</v>
      </c>
      <c r="AV38" s="952">
        <v>0.0</v>
      </c>
      <c r="AW38" s="952">
        <v>0.0</v>
      </c>
      <c r="AX38" s="952">
        <v>0.0</v>
      </c>
      <c r="AY38" s="952">
        <v>0.0</v>
      </c>
      <c r="AZ38" s="952">
        <v>0.0</v>
      </c>
      <c r="BA38" s="952">
        <v>0.0</v>
      </c>
      <c r="BB38" s="952">
        <v>0.0</v>
      </c>
      <c r="BC38" s="952">
        <v>0.0</v>
      </c>
      <c r="BD38" s="952">
        <v>8.0</v>
      </c>
      <c r="BE38" s="954">
        <v>5.0</v>
      </c>
      <c r="BF38" s="952">
        <v>0.0</v>
      </c>
      <c r="BG38" s="952">
        <v>0.0</v>
      </c>
    </row>
    <row r="39">
      <c r="A39" s="953" t="s">
        <v>139</v>
      </c>
      <c r="B39" s="16" t="str">
        <f>IF(C39&lt;'PlayerGrades+'!$Y$44,"F-",IF(C39&lt;'PlayerGrades+'!$Y$43,"F",IF(C39&lt;'PlayerGrades+'!$Y$42,"F+",IF(C39&lt;'PlayerGrades+'!$Y$41,"E-",IF(C39&lt;'PlayerGrades+'!$Y$40,"E",IF(C39&lt;'PlayerGrades+'!$Y$39,"E+",IF(C39&lt;'PlayerGrades+'!$Y$38,"D-",IF(C39&lt;'PlayerGrades+'!$Y$37,"D",IF(C39&lt;'PlayerGrades+'!$Y$36,"D+",IF(C39&lt;'PlayerGrades+'!$Y$35,"C-",IF(C39&lt;'PlayerGrades+'!$Y$34,"C",IF(C39&lt;'PlayerGrades+'!$Y$33,"C+",IF(C39&lt;'PlayerGrades+'!$Y$32,"B-",IF(C39&lt;'PlayerGrades+'!$Y$31,"B",IF(C39&lt;'PlayerGrades+'!$Y$30,"B+",IF(C39&lt;'PlayerGrades+'!$Y$29,"A-",IF(C39&lt;'PlayerGrades+'!$Y$28,"A",IF(C39&lt;'PlayerGrades+'!$Y$27,"A+",IF(C39&lt;'PlayerGrades+'!$Y$26,"S-",IF(C39&lt;'PlayerGrades+'!$Y$25,"S","S+"))))))))))))))))))))</f>
        <v>D+</v>
      </c>
      <c r="C39" s="936">
        <f>('PlayerGrades+'!$Y$47*(VLOOKUP(E39, 'PlayerGrades+'!$X$3:$Y$23, 2, FALSE)))+('PlayerGrades+'!$Y$48*(VLOOKUP(G39, 'PlayerGrades+'!$X$3:$Y$23, 2, FALSE)))+('PlayerGrades+'!$Y$49*(VLOOKUP(I39, 'PlayerGrades+'!$X$3:$Y$23, 2, FALSE)))+('PlayerGrades+'!$Y$50*(VLOOKUP(K39, 'PlayerGrades+'!$X$3:$Y$23, 2, FALSE)))+('PlayerGrades+'!$Y$51*(VLOOKUP(M39, 'PlayerGrades+'!$X$3:$Y$23, 2, FALSE)))+('PlayerGrades+'!$Y$52*(VLOOKUP(O39, 'PlayerGrades+'!$X$3:$Y$23, 2, FALSE)))+('PlayerGrades+'!$Y$53*(VLOOKUP(Q39, 'PlayerGrades+'!$X$3:$Y$23, 2, FALSE)))+('PlayerGrades+'!$Y$54*(VLOOKUP(S39, 'PlayerGrades+'!$X$3:$Y$23, 2, FALSE)))+('PlayerGrades+'!$Y$55*(VLOOKUP(U39, 'PlayerGrades+'!$X$3:$Y$23, 2, FALSE)))</f>
        <v>17.5</v>
      </c>
      <c r="D39" s="937">
        <f t="shared" si="1"/>
        <v>0</v>
      </c>
      <c r="E39" s="937" t="str">
        <f>IF(D39&lt;'PlayerGrades+'!$AA$21,"F-",IF(D39&lt;'PlayerGrades+'!$AA$20,"F",IF(D39&lt;'PlayerGrades+'!$AA$19,"F+",IF(D39&lt;'PlayerGrades+'!$AA$18,"E-",IF(D39&lt;'PlayerGrades+'!$AA$17,"E",IF(D39&lt;'PlayerGrades+'!$AA$16,"E+",IF(D39&lt;'PlayerGrades+'!$AA$15,"D-",IF(D39&lt;'PlayerGrades+'!$AA$14,"D",IF(D39&lt;'PlayerGrades+'!$AA$13,"D+",IF(D39&lt;'PlayerGrades+'!$AA$12,"C-",IF(D39&lt;'PlayerGrades+'!$AA$11,"C",IF(D39&lt;'PlayerGrades+'!$AA$10,"C+",IF(D39&lt;'PlayerGrades+'!$AA$9,"B-",IF(D39&lt;'PlayerGrades+'!$AA$8,"B",IF(D39&lt;'PlayerGrades+'!$AA$7,"B+",IF(D39&lt;'PlayerGrades+'!$AA$6,"A-",IF(D39&lt;'PlayerGrades+'!$AA$5,"A",IF(D39&lt;'PlayerGrades+'!$AA$4,"A+",IF(D39&lt;'PlayerGrades+'!$AA$3,"S-",IF(D39&lt;'PlayerGrades+'!$AA$2,"S","S+"))))))))))))))))))))</f>
        <v>F-</v>
      </c>
      <c r="F39" s="937">
        <f t="shared" si="2"/>
        <v>-0.1055408971</v>
      </c>
      <c r="G39" s="937" t="str">
        <f>IF(F39&lt;'PlayerGrades+'!$AB$21,"F-",IF(F39&lt;'PlayerGrades+'!$AB$20,"F",IF(F39&lt;'PlayerGrades+'!$AB$19,"F+",IF(F39&lt;'PlayerGrades+'!$AB$18,"E-",IF(F39&lt;'PlayerGrades+'!$AB$17,"E",IF(F39&lt;'PlayerGrades+'!$AB$16,"E+",IF(F39&lt;'PlayerGrades+'!$AB$15,"D-",IF(F39&lt;'PlayerGrades+'!$AB$14,"D",IF(F39&lt;'PlayerGrades+'!$AB$13,"D+",IF(F39&lt;'PlayerGrades+'!$AB$12,"C-",IF(F39&lt;'PlayerGrades+'!$AB$11,"C",IF(F39&lt;'PlayerGrades+'!$AB$10,"C+",IF(F39&lt;'PlayerGrades+'!$AB$9,"B-",IF(F39&lt;'PlayerGrades+'!$AB$8,"B",IF(F39&lt;'PlayerGrades+'!$AB$7,"B+",IF(F39&lt;'PlayerGrades+'!$AB$6,"A-",IF(F39&lt;'PlayerGrades+'!$AB$5,"A",IF(F39&lt;'PlayerGrades+'!$AB$4,"A+",IF(F39&lt;'PlayerGrades+'!$AB$3,"S-",IF(F39&lt;'PlayerGrades+'!$AB$2,"S","S+"))))))))))))))))))))</f>
        <v>B-</v>
      </c>
      <c r="H39" s="937">
        <f t="shared" si="3"/>
        <v>0</v>
      </c>
      <c r="I39" s="937" t="str">
        <f>IF(H39&lt;'PlayerGrades+'!$AC$21,"F-",IF(H39&lt;'PlayerGrades+'!$AC$20,"F",IF(H39&lt;'PlayerGrades+'!$AC$19,"F+",IF(H39&lt;'PlayerGrades+'!$AC$18,"E-",IF(H39&lt;'PlayerGrades+'!$AC$17,"E",IF(H39&lt;'PlayerGrades+'!$AC$16,"E+",IF(H39&lt;'PlayerGrades+'!$AC$15,"D-",IF(H39&lt;'PlayerGrades+'!$AC$14,"D",IF(H39&lt;'PlayerGrades+'!$AC$13,"D+",IF(H39&lt;'PlayerGrades+'!$AC$12,"C-",IF(H39&lt;'PlayerGrades+'!$AC$11,"C",IF(H39&lt;'PlayerGrades+'!$AC$10,"C+",IF(H39&lt;'PlayerGrades+'!$AC$9,"B-",IF(H39&lt;'PlayerGrades+'!$AC$8,"B",IF(H39&lt;'PlayerGrades+'!$AC$7,"B+",IF(H39&lt;'PlayerGrades+'!$AC$6,"A-",IF(H39&lt;'PlayerGrades+'!$AC$5,"A",IF(H39&lt;'PlayerGrades+'!$AC$4,"A+",IF(H39&lt;'PlayerGrades+'!$AC$3,"S-",IF(H39&lt;'PlayerGrades+'!$AC$2,"S","S+"))))))))))))))))))))</f>
        <v>F-</v>
      </c>
      <c r="J39" s="937">
        <f t="shared" si="4"/>
        <v>0</v>
      </c>
      <c r="K39" s="937" t="str">
        <f>IF(J39&lt;'PlayerGrades+'!$AD$21,"F-",IF(J39&lt;'PlayerGrades+'!$AD$20,"F",IF(J39&lt;'PlayerGrades+'!$AD$19,"F+",IF(J39&lt;'PlayerGrades+'!$AD$18,"E-",IF(J39&lt;'PlayerGrades+'!$AD$17,"E",IF(J39&lt;'PlayerGrades+'!$AD$16,"E+",IF(J39&lt;'PlayerGrades+'!$AD$15,"D-",IF(J39&lt;'PlayerGrades+'!$AD$14,"D",IF(J39&lt;'PlayerGrades+'!$AD$13,"D+",IF(J39&lt;'PlayerGrades+'!$AD$12,"C-",IF(J39&lt;'PlayerGrades+'!$AD$11,"C",IF(J39&lt;'PlayerGrades+'!$AD$10,"C+",IF(J39&lt;'PlayerGrades+'!$AD$9,"B-",IF(J39&lt;'PlayerGrades+'!$AD$8,"B",IF(J39&lt;'PlayerGrades+'!$AD$7,"B+",IF(J39&lt;'PlayerGrades+'!$AD$6,"A-",IF(J39&lt;'PlayerGrades+'!$AD$5,"A",IF(J39&lt;'PlayerGrades+'!$AD$4,"A+",IF(J39&lt;'PlayerGrades+'!$AD$3,"S-",IF(J39&lt;'PlayerGrades+'!$AD$2,"S","S+"))))))))))))))))))))</f>
        <v>F-</v>
      </c>
      <c r="L39" s="677">
        <f t="shared" si="5"/>
        <v>0.5277044855</v>
      </c>
      <c r="M39" s="938" t="str">
        <f>IF(L39&lt;'PlayerGrades+'!$AE$21,"F-",IF(L39&lt;'PlayerGrades+'!$AE$20,"F",IF(L39&lt;'PlayerGrades+'!$AE$19,"F+",IF(L39&lt;'PlayerGrades+'!$AE$18,"E-",IF(L39&lt;'PlayerGrades+'!$AE$17,"E",IF(L39&lt;'PlayerGrades+'!$AE$16,"E+",IF(L39&lt;'PlayerGrades+'!$AE$15,"D-",IF(L39&lt;'PlayerGrades+'!$AE$14,"D",IF(L39&lt;'PlayerGrades+'!$AE$13,"D+",IF(L39&lt;'PlayerGrades+'!$AE$12,"C-",IF(L39&lt;'PlayerGrades+'!$AE$11,"C",IF(L39&lt;'PlayerGrades+'!$AE$10,"C+",IF(L39&lt;'PlayerGrades+'!$AE$9,"B-",IF(L39&lt;'PlayerGrades+'!$AE$8,"B",IF(L39&lt;'PlayerGrades+'!$AE$7,"B+",IF(L39&lt;'PlayerGrades+'!$AE$6,"A-",IF(L39&lt;'PlayerGrades+'!$AE$5,"A",IF(L39&lt;'PlayerGrades+'!$AE$4,"A+",IF(L39&lt;'PlayerGrades+'!$AE$3,"S-",IF(L39&lt;'PlayerGrades+'!$AE$2,"S","S+"))))))))))))))))))))</f>
        <v>A-</v>
      </c>
      <c r="N39" s="937">
        <f t="shared" si="6"/>
        <v>0.2110817942</v>
      </c>
      <c r="O39" s="937" t="str">
        <f>IF(N39&lt;'PlayerGrades+'!$AF$21,"F-",IF(N39&lt;'PlayerGrades+'!$AF$20,"F",IF(N39&lt;'PlayerGrades+'!$AF$19,"F+",IF(N39&lt;'PlayerGrades+'!$AF$18,"E-",IF(N39&lt;'PlayerGrades+'!$AF$17,"E",IF(N39&lt;'PlayerGrades+'!$AF$16,"E+",IF(N39&lt;'PlayerGrades+'!$AF$15,"D-",IF(N39&lt;'PlayerGrades+'!$AF$14,"D",IF(N39&lt;'PlayerGrades+'!$AF$13,"D+",IF(N39&lt;'PlayerGrades+'!$AF$12,"C-",IF(N39&lt;'PlayerGrades+'!$AF$11,"C",IF(N39&lt;'PlayerGrades+'!$AF$10,"C+",IF(N39&lt;'PlayerGrades+'!$AF$9,"B-",IF(N39&lt;'PlayerGrades+'!$AF$8,"B",IF(N39&lt;'PlayerGrades+'!$AF$7,"B+",IF(N39&lt;'PlayerGrades+'!$AF$6,"A-",IF(N39&lt;'PlayerGrades+'!$AF$5,"A",IF(N39&lt;'PlayerGrades+'!$AF$4,"A+",IF(N39&lt;'PlayerGrades+'!$AF$3,"S-",IF(N39&lt;'PlayerGrades+'!$AF$2,"S","S+"))))))))))))))))))))</f>
        <v>S+</v>
      </c>
      <c r="P39" s="937">
        <f t="shared" si="7"/>
        <v>0</v>
      </c>
      <c r="Q39" s="937" t="str">
        <f>IF(P39&lt;'PlayerGrades+'!$AG$21,"F-",IF(P39&lt;'PlayerGrades+'!$AG$20,"F",IF(P39&lt;'PlayerGrades+'!$AG$19,"F+",IF(P39&lt;'PlayerGrades+'!$AG$18,"E-",IF(P39&lt;'PlayerGrades+'!$AG$17,"E",IF(P39&lt;'PlayerGrades+'!$AG$16,"E+",IF(P39&lt;'PlayerGrades+'!$AG$15,"D-",IF(P39&lt;'PlayerGrades+'!$AG$14,"D",IF(P39&lt;'PlayerGrades+'!$AG$13,"D+",IF(P39&lt;'PlayerGrades+'!$AG$12,"C-",IF(P39&lt;'PlayerGrades+'!$AG$11,"C",IF(P39&lt;'PlayerGrades+'!$AG$10,"C+",IF(P39&lt;'PlayerGrades+'!$AG$9,"B-",IF(P39&lt;'PlayerGrades+'!$AG$8,"B",IF(P39&lt;'PlayerGrades+'!$AG$7,"B+",IF(P39&lt;'PlayerGrades+'!$AG$6,"A-",IF(P39&lt;'PlayerGrades+'!$AG$5,"A",IF(P39&lt;'PlayerGrades+'!$AG$4,"A+",IF(P39&lt;'PlayerGrades+'!$AG$3,"S-",IF(P39&lt;'PlayerGrades+'!$AG$2,"S","S+"))))))))))))))))))))</f>
        <v>F</v>
      </c>
      <c r="R39" s="937">
        <f t="shared" si="8"/>
        <v>0.3166226913</v>
      </c>
      <c r="S39" s="937" t="str">
        <f>IF(R39&lt;'PlayerGrades+'!$AH$21,"F-",IF(R39&lt;'PlayerGrades+'!$AH$20,"F",IF(R39&lt;'PlayerGrades+'!$AH$19,"F+",IF(R39&lt;'PlayerGrades+'!$AH$18,"E-",IF(R39&lt;'PlayerGrades+'!$AH$17,"E",IF(R39&lt;'PlayerGrades+'!$AH$16,"E+",IF(R39&lt;'PlayerGrades+'!$AH$15,"D-",IF(R39&lt;'PlayerGrades+'!$AH$14,"D",IF(R39&lt;'PlayerGrades+'!$AH$13,"D+",IF(R39&lt;'PlayerGrades+'!$AH$12,"C-",IF(R39&lt;'PlayerGrades+'!$AH$11,"C",IF(R39&lt;'PlayerGrades+'!$AH$10,"C+",IF(R39&lt;'PlayerGrades+'!$AH$9,"B-",IF(R39&lt;'PlayerGrades+'!$AH$8,"B",IF(R39&lt;'PlayerGrades+'!$AH$7,"B+",IF(R39&lt;'PlayerGrades+'!$AH$6,"A-",IF(R39&lt;'PlayerGrades+'!$AH$5,"A",IF(R39&lt;'PlayerGrades+'!$AH$4,"A+",IF(R39&lt;'PlayerGrades+'!$AH$3,"S-",IF(R39&lt;'PlayerGrades+'!$AH$2,"S","S+"))))))))))))))))))))</f>
        <v>F-</v>
      </c>
      <c r="T39" s="937">
        <f t="shared" si="9"/>
        <v>2.422163588</v>
      </c>
      <c r="U39" s="937" t="str">
        <f>IF(T39&lt;'PlayerGrades+'!$AI$21,"F-",IF(T39&lt;'PlayerGrades+'!$AI$20,"F",IF(T39&lt;'PlayerGrades+'!$AI$19,"F+",IF(T39&lt;'PlayerGrades+'!$AI$18,"E-",IF(T39&lt;'PlayerGrades+'!$AI$17,"E",IF(T39&lt;'PlayerGrades+'!$AI$16,"E+",IF(T39&lt;'PlayerGrades+'!$AI$15,"D-",IF(T39&lt;'PlayerGrades+'!$AI$14,"D",IF(T39&lt;'PlayerGrades+'!$AI$13,"D+",IF(T39&lt;'PlayerGrades+'!$AI$12,"C-",IF(T39&lt;'PlayerGrades+'!$AI$11,"C",IF(T39&lt;'PlayerGrades+'!$AI$10,"C+",IF(T39&lt;'PlayerGrades+'!$AI$9,"B-",IF(T39&lt;'PlayerGrades+'!$AI$8,"B",IF(T39&lt;'PlayerGrades+'!$AI$7,"B+",IF(T39&lt;'PlayerGrades+'!$AI$6,"A-",IF(T39&lt;'PlayerGrades+'!$AI$5,"A",IF(T39&lt;'PlayerGrades+'!$AI$4,"A+",IF(T39&lt;'PlayerGrades+'!$AI$3,"S-",IF(T39&lt;'PlayerGrades+'!$AI$2,"S","S+"))))))))))))))))))))</f>
        <v>S+</v>
      </c>
      <c r="V39" s="941">
        <v>1.0</v>
      </c>
      <c r="W39" s="941">
        <v>1.0</v>
      </c>
      <c r="X39" s="941">
        <v>0.0</v>
      </c>
      <c r="Y39" s="941">
        <v>0.0</v>
      </c>
      <c r="Z39" s="941">
        <v>0.0</v>
      </c>
      <c r="AA39" s="952">
        <v>73.0</v>
      </c>
      <c r="AB39" s="952">
        <v>75.0</v>
      </c>
      <c r="AC39" s="952">
        <v>-2.0</v>
      </c>
      <c r="AD39" s="952">
        <v>5.0</v>
      </c>
      <c r="AE39" s="952">
        <v>4.0</v>
      </c>
      <c r="AF39" s="952">
        <v>3.0</v>
      </c>
      <c r="AG39" s="952">
        <v>833.0</v>
      </c>
      <c r="AH39" s="952">
        <v>1137.0</v>
      </c>
      <c r="AI39" s="952">
        <v>11.0</v>
      </c>
      <c r="AJ39" s="952">
        <v>15.0</v>
      </c>
      <c r="AK39" s="952">
        <v>0.0</v>
      </c>
      <c r="AL39" s="952">
        <v>0.0</v>
      </c>
      <c r="AM39" s="952">
        <v>0.0</v>
      </c>
      <c r="AN39" s="952">
        <v>0.0</v>
      </c>
      <c r="AO39" s="952">
        <v>0.0</v>
      </c>
      <c r="AP39" s="952">
        <v>0.0</v>
      </c>
      <c r="AQ39" s="952">
        <v>0.0</v>
      </c>
      <c r="AR39" s="952">
        <v>10.0</v>
      </c>
      <c r="AS39" s="952">
        <v>4.0</v>
      </c>
      <c r="AT39" s="952">
        <v>1.0</v>
      </c>
      <c r="AU39" s="952">
        <v>0.0</v>
      </c>
      <c r="AV39" s="952">
        <v>0.0</v>
      </c>
      <c r="AW39" s="952">
        <v>0.0</v>
      </c>
      <c r="AX39" s="952">
        <v>0.0</v>
      </c>
      <c r="AY39" s="952">
        <v>0.0</v>
      </c>
      <c r="AZ39" s="952">
        <v>0.0</v>
      </c>
      <c r="BA39" s="952">
        <v>0.0</v>
      </c>
      <c r="BB39" s="952">
        <v>0.0</v>
      </c>
      <c r="BC39" s="952">
        <v>0.0</v>
      </c>
      <c r="BD39" s="952">
        <v>1.0</v>
      </c>
      <c r="BE39" s="954">
        <v>8.0</v>
      </c>
      <c r="BF39" s="952">
        <v>2.0</v>
      </c>
      <c r="BG39" s="952">
        <v>0.0</v>
      </c>
    </row>
    <row r="40">
      <c r="A40" s="953" t="s">
        <v>128</v>
      </c>
      <c r="B40" s="16" t="str">
        <f>IF(C40&lt;'PlayerGrades+'!$Y$44,"F-",IF(C40&lt;'PlayerGrades+'!$Y$43,"F",IF(C40&lt;'PlayerGrades+'!$Y$42,"F+",IF(C40&lt;'PlayerGrades+'!$Y$41,"E-",IF(C40&lt;'PlayerGrades+'!$Y$40,"E",IF(C40&lt;'PlayerGrades+'!$Y$39,"E+",IF(C40&lt;'PlayerGrades+'!$Y$38,"D-",IF(C40&lt;'PlayerGrades+'!$Y$37,"D",IF(C40&lt;'PlayerGrades+'!$Y$36,"D+",IF(C40&lt;'PlayerGrades+'!$Y$35,"C-",IF(C40&lt;'PlayerGrades+'!$Y$34,"C",IF(C40&lt;'PlayerGrades+'!$Y$33,"C+",IF(C40&lt;'PlayerGrades+'!$Y$32,"B-",IF(C40&lt;'PlayerGrades+'!$Y$31,"B",IF(C40&lt;'PlayerGrades+'!$Y$30,"B+",IF(C40&lt;'PlayerGrades+'!$Y$29,"A-",IF(C40&lt;'PlayerGrades+'!$Y$28,"A",IF(C40&lt;'PlayerGrades+'!$Y$27,"A+",IF(C40&lt;'PlayerGrades+'!$Y$26,"S-",IF(C40&lt;'PlayerGrades+'!$Y$25,"S","S+"))))))))))))))))))))</f>
        <v>C+</v>
      </c>
      <c r="C40" s="936">
        <f>('PlayerGrades+'!$Y$47*(VLOOKUP(E40, 'PlayerGrades+'!$X$3:$Y$23, 2, FALSE)))+('PlayerGrades+'!$Y$48*(VLOOKUP(G40, 'PlayerGrades+'!$X$3:$Y$23, 2, FALSE)))+('PlayerGrades+'!$Y$49*(VLOOKUP(I40, 'PlayerGrades+'!$X$3:$Y$23, 2, FALSE)))+('PlayerGrades+'!$Y$50*(VLOOKUP(K40, 'PlayerGrades+'!$X$3:$Y$23, 2, FALSE)))+('PlayerGrades+'!$Y$51*(VLOOKUP(M40, 'PlayerGrades+'!$X$3:$Y$23, 2, FALSE)))+('PlayerGrades+'!$Y$52*(VLOOKUP(O40, 'PlayerGrades+'!$X$3:$Y$23, 2, FALSE)))+('PlayerGrades+'!$Y$53*(VLOOKUP(Q40, 'PlayerGrades+'!$X$3:$Y$23, 2, FALSE)))+('PlayerGrades+'!$Y$54*(VLOOKUP(S40, 'PlayerGrades+'!$X$3:$Y$23, 2, FALSE)))+('PlayerGrades+'!$Y$55*(VLOOKUP(U40, 'PlayerGrades+'!$X$3:$Y$23, 2, FALSE)))</f>
        <v>21.2</v>
      </c>
      <c r="D40" s="937">
        <f t="shared" si="1"/>
        <v>0.1583113456</v>
      </c>
      <c r="E40" s="937" t="str">
        <f>IF(D40&lt;'PlayerGrades+'!$AA$21,"F-",IF(D40&lt;'PlayerGrades+'!$AA$20,"F",IF(D40&lt;'PlayerGrades+'!$AA$19,"F+",IF(D40&lt;'PlayerGrades+'!$AA$18,"E-",IF(D40&lt;'PlayerGrades+'!$AA$17,"E",IF(D40&lt;'PlayerGrades+'!$AA$16,"E+",IF(D40&lt;'PlayerGrades+'!$AA$15,"D-",IF(D40&lt;'PlayerGrades+'!$AA$14,"D",IF(D40&lt;'PlayerGrades+'!$AA$13,"D+",IF(D40&lt;'PlayerGrades+'!$AA$12,"C-",IF(D40&lt;'PlayerGrades+'!$AA$11,"C",IF(D40&lt;'PlayerGrades+'!$AA$10,"C+",IF(D40&lt;'PlayerGrades+'!$AA$9,"B-",IF(D40&lt;'PlayerGrades+'!$AA$8,"B",IF(D40&lt;'PlayerGrades+'!$AA$7,"B+",IF(D40&lt;'PlayerGrades+'!$AA$6,"A-",IF(D40&lt;'PlayerGrades+'!$AA$5,"A",IF(D40&lt;'PlayerGrades+'!$AA$4,"A+",IF(D40&lt;'PlayerGrades+'!$AA$3,"S-",IF(D40&lt;'PlayerGrades+'!$AA$2,"S","S+"))))))))))))))))))))</f>
        <v>B+</v>
      </c>
      <c r="F40" s="937">
        <f t="shared" si="2"/>
        <v>-0.3693931398</v>
      </c>
      <c r="G40" s="937" t="str">
        <f>IF(F40&lt;'PlayerGrades+'!$AB$21,"F-",IF(F40&lt;'PlayerGrades+'!$AB$20,"F",IF(F40&lt;'PlayerGrades+'!$AB$19,"F+",IF(F40&lt;'PlayerGrades+'!$AB$18,"E-",IF(F40&lt;'PlayerGrades+'!$AB$17,"E",IF(F40&lt;'PlayerGrades+'!$AB$16,"E+",IF(F40&lt;'PlayerGrades+'!$AB$15,"D-",IF(F40&lt;'PlayerGrades+'!$AB$14,"D",IF(F40&lt;'PlayerGrades+'!$AB$13,"D+",IF(F40&lt;'PlayerGrades+'!$AB$12,"C-",IF(F40&lt;'PlayerGrades+'!$AB$11,"C",IF(F40&lt;'PlayerGrades+'!$AB$10,"C+",IF(F40&lt;'PlayerGrades+'!$AB$9,"B-",IF(F40&lt;'PlayerGrades+'!$AB$8,"B",IF(F40&lt;'PlayerGrades+'!$AB$7,"B+",IF(F40&lt;'PlayerGrades+'!$AB$6,"A-",IF(F40&lt;'PlayerGrades+'!$AB$5,"A",IF(F40&lt;'PlayerGrades+'!$AB$4,"A+",IF(F40&lt;'PlayerGrades+'!$AB$3,"S-",IF(F40&lt;'PlayerGrades+'!$AB$2,"S","S+"))))))))))))))))))))</f>
        <v>C-</v>
      </c>
      <c r="H40" s="937">
        <f t="shared" si="3"/>
        <v>0.05277044855</v>
      </c>
      <c r="I40" s="937" t="str">
        <f>IF(H40&lt;'PlayerGrades+'!$AC$21,"F-",IF(H40&lt;'PlayerGrades+'!$AC$20,"F",IF(H40&lt;'PlayerGrades+'!$AC$19,"F+",IF(H40&lt;'PlayerGrades+'!$AC$18,"E-",IF(H40&lt;'PlayerGrades+'!$AC$17,"E",IF(H40&lt;'PlayerGrades+'!$AC$16,"E+",IF(H40&lt;'PlayerGrades+'!$AC$15,"D-",IF(H40&lt;'PlayerGrades+'!$AC$14,"D",IF(H40&lt;'PlayerGrades+'!$AC$13,"D+",IF(H40&lt;'PlayerGrades+'!$AC$12,"C-",IF(H40&lt;'PlayerGrades+'!$AC$11,"C",IF(H40&lt;'PlayerGrades+'!$AC$10,"C+",IF(H40&lt;'PlayerGrades+'!$AC$9,"B-",IF(H40&lt;'PlayerGrades+'!$AC$8,"B",IF(H40&lt;'PlayerGrades+'!$AC$7,"B+",IF(H40&lt;'PlayerGrades+'!$AC$6,"A-",IF(H40&lt;'PlayerGrades+'!$AC$5,"A",IF(H40&lt;'PlayerGrades+'!$AC$4,"A+",IF(H40&lt;'PlayerGrades+'!$AC$3,"S-",IF(H40&lt;'PlayerGrades+'!$AC$2,"S","S+"))))))))))))))))))))</f>
        <v>F+</v>
      </c>
      <c r="J40" s="937">
        <f t="shared" si="4"/>
        <v>0.05277044855</v>
      </c>
      <c r="K40" s="937" t="str">
        <f>IF(J40&lt;'PlayerGrades+'!$AD$21,"F-",IF(J40&lt;'PlayerGrades+'!$AD$20,"F",IF(J40&lt;'PlayerGrades+'!$AD$19,"F+",IF(J40&lt;'PlayerGrades+'!$AD$18,"E-",IF(J40&lt;'PlayerGrades+'!$AD$17,"E",IF(J40&lt;'PlayerGrades+'!$AD$16,"E+",IF(J40&lt;'PlayerGrades+'!$AD$15,"D-",IF(J40&lt;'PlayerGrades+'!$AD$14,"D",IF(J40&lt;'PlayerGrades+'!$AD$13,"D+",IF(J40&lt;'PlayerGrades+'!$AD$12,"C-",IF(J40&lt;'PlayerGrades+'!$AD$11,"C",IF(J40&lt;'PlayerGrades+'!$AD$10,"C+",IF(J40&lt;'PlayerGrades+'!$AD$9,"B-",IF(J40&lt;'PlayerGrades+'!$AD$8,"B",IF(J40&lt;'PlayerGrades+'!$AD$7,"B+",IF(J40&lt;'PlayerGrades+'!$AD$6,"A-",IF(J40&lt;'PlayerGrades+'!$AD$5,"A",IF(J40&lt;'PlayerGrades+'!$AD$4,"A+",IF(J40&lt;'PlayerGrades+'!$AD$3,"S-",IF(J40&lt;'PlayerGrades+'!$AD$2,"S","S+"))))))))))))))))))))</f>
        <v>B</v>
      </c>
      <c r="L40" s="677">
        <f t="shared" si="5"/>
        <v>0.3166226913</v>
      </c>
      <c r="M40" s="938" t="str">
        <f>IF(L40&lt;'PlayerGrades+'!$AE$21,"F-",IF(L40&lt;'PlayerGrades+'!$AE$20,"F",IF(L40&lt;'PlayerGrades+'!$AE$19,"F+",IF(L40&lt;'PlayerGrades+'!$AE$18,"E-",IF(L40&lt;'PlayerGrades+'!$AE$17,"E",IF(L40&lt;'PlayerGrades+'!$AE$16,"E+",IF(L40&lt;'PlayerGrades+'!$AE$15,"D-",IF(L40&lt;'PlayerGrades+'!$AE$14,"D",IF(L40&lt;'PlayerGrades+'!$AE$13,"D+",IF(L40&lt;'PlayerGrades+'!$AE$12,"C-",IF(L40&lt;'PlayerGrades+'!$AE$11,"C",IF(L40&lt;'PlayerGrades+'!$AE$10,"C+",IF(L40&lt;'PlayerGrades+'!$AE$9,"B-",IF(L40&lt;'PlayerGrades+'!$AE$8,"B",IF(L40&lt;'PlayerGrades+'!$AE$7,"B+",IF(L40&lt;'PlayerGrades+'!$AE$6,"A-",IF(L40&lt;'PlayerGrades+'!$AE$5,"A",IF(L40&lt;'PlayerGrades+'!$AE$4,"A+",IF(L40&lt;'PlayerGrades+'!$AE$3,"S-",IF(L40&lt;'PlayerGrades+'!$AE$2,"S","S+"))))))))))))))))))))</f>
        <v>E</v>
      </c>
      <c r="N40" s="937">
        <f t="shared" si="6"/>
        <v>0.1055408971</v>
      </c>
      <c r="O40" s="937" t="str">
        <f>IF(N40&lt;'PlayerGrades+'!$AF$21,"F-",IF(N40&lt;'PlayerGrades+'!$AF$20,"F",IF(N40&lt;'PlayerGrades+'!$AF$19,"F+",IF(N40&lt;'PlayerGrades+'!$AF$18,"E-",IF(N40&lt;'PlayerGrades+'!$AF$17,"E",IF(N40&lt;'PlayerGrades+'!$AF$16,"E+",IF(N40&lt;'PlayerGrades+'!$AF$15,"D-",IF(N40&lt;'PlayerGrades+'!$AF$14,"D",IF(N40&lt;'PlayerGrades+'!$AF$13,"D+",IF(N40&lt;'PlayerGrades+'!$AF$12,"C-",IF(N40&lt;'PlayerGrades+'!$AF$11,"C",IF(N40&lt;'PlayerGrades+'!$AF$10,"C+",IF(N40&lt;'PlayerGrades+'!$AF$9,"B-",IF(N40&lt;'PlayerGrades+'!$AF$8,"B",IF(N40&lt;'PlayerGrades+'!$AF$7,"B+",IF(N40&lt;'PlayerGrades+'!$AF$6,"A-",IF(N40&lt;'PlayerGrades+'!$AF$5,"A",IF(N40&lt;'PlayerGrades+'!$AF$4,"A+",IF(N40&lt;'PlayerGrades+'!$AF$3,"S-",IF(N40&lt;'PlayerGrades+'!$AF$2,"S","S+"))))))))))))))))))))</f>
        <v>S-</v>
      </c>
      <c r="P40" s="937">
        <f t="shared" si="7"/>
        <v>0.05277044855</v>
      </c>
      <c r="Q40" s="937" t="str">
        <f>IF(P40&lt;'PlayerGrades+'!$AG$21,"F-",IF(P40&lt;'PlayerGrades+'!$AG$20,"F",IF(P40&lt;'PlayerGrades+'!$AG$19,"F+",IF(P40&lt;'PlayerGrades+'!$AG$18,"E-",IF(P40&lt;'PlayerGrades+'!$AG$17,"E",IF(P40&lt;'PlayerGrades+'!$AG$16,"E+",IF(P40&lt;'PlayerGrades+'!$AG$15,"D-",IF(P40&lt;'PlayerGrades+'!$AG$14,"D",IF(P40&lt;'PlayerGrades+'!$AG$13,"D+",IF(P40&lt;'PlayerGrades+'!$AG$12,"C-",IF(P40&lt;'PlayerGrades+'!$AG$11,"C",IF(P40&lt;'PlayerGrades+'!$AG$10,"C+",IF(P40&lt;'PlayerGrades+'!$AG$9,"B-",IF(P40&lt;'PlayerGrades+'!$AG$8,"B",IF(P40&lt;'PlayerGrades+'!$AG$7,"B+",IF(P40&lt;'PlayerGrades+'!$AG$6,"A-",IF(P40&lt;'PlayerGrades+'!$AG$5,"A",IF(P40&lt;'PlayerGrades+'!$AG$4,"A+",IF(P40&lt;'PlayerGrades+'!$AG$3,"S-",IF(P40&lt;'PlayerGrades+'!$AG$2,"S","S+"))))))))))))))))))))</f>
        <v>A</v>
      </c>
      <c r="R40" s="937">
        <f t="shared" si="8"/>
        <v>0.580474934</v>
      </c>
      <c r="S40" s="937" t="str">
        <f>IF(R40&lt;'PlayerGrades+'!$AH$21,"F-",IF(R40&lt;'PlayerGrades+'!$AH$20,"F",IF(R40&lt;'PlayerGrades+'!$AH$19,"F+",IF(R40&lt;'PlayerGrades+'!$AH$18,"E-",IF(R40&lt;'PlayerGrades+'!$AH$17,"E",IF(R40&lt;'PlayerGrades+'!$AH$16,"E+",IF(R40&lt;'PlayerGrades+'!$AH$15,"D-",IF(R40&lt;'PlayerGrades+'!$AH$14,"D",IF(R40&lt;'PlayerGrades+'!$AH$13,"D+",IF(R40&lt;'PlayerGrades+'!$AH$12,"C-",IF(R40&lt;'PlayerGrades+'!$AH$11,"C",IF(R40&lt;'PlayerGrades+'!$AH$10,"C+",IF(R40&lt;'PlayerGrades+'!$AH$9,"B-",IF(R40&lt;'PlayerGrades+'!$AH$8,"B",IF(R40&lt;'PlayerGrades+'!$AH$7,"B+",IF(R40&lt;'PlayerGrades+'!$AH$6,"A-",IF(R40&lt;'PlayerGrades+'!$AH$5,"A",IF(R40&lt;'PlayerGrades+'!$AH$4,"A+",IF(R40&lt;'PlayerGrades+'!$AH$3,"S-",IF(R40&lt;'PlayerGrades+'!$AH$2,"S","S+"))))))))))))))))))))</f>
        <v>B</v>
      </c>
      <c r="T40" s="937">
        <f t="shared" si="9"/>
        <v>0.3166226913</v>
      </c>
      <c r="U40" s="937" t="str">
        <f>IF(T40&lt;'PlayerGrades+'!$AI$21,"F-",IF(T40&lt;'PlayerGrades+'!$AI$20,"F",IF(T40&lt;'PlayerGrades+'!$AI$19,"F+",IF(T40&lt;'PlayerGrades+'!$AI$18,"E-",IF(T40&lt;'PlayerGrades+'!$AI$17,"E",IF(T40&lt;'PlayerGrades+'!$AI$16,"E+",IF(T40&lt;'PlayerGrades+'!$AI$15,"D-",IF(T40&lt;'PlayerGrades+'!$AI$14,"D",IF(T40&lt;'PlayerGrades+'!$AI$13,"D+",IF(T40&lt;'PlayerGrades+'!$AI$12,"C-",IF(T40&lt;'PlayerGrades+'!$AI$11,"C",IF(T40&lt;'PlayerGrades+'!$AI$10,"C+",IF(T40&lt;'PlayerGrades+'!$AI$9,"B-",IF(T40&lt;'PlayerGrades+'!$AI$8,"B",IF(T40&lt;'PlayerGrades+'!$AI$7,"B+",IF(T40&lt;'PlayerGrades+'!$AI$6,"A-",IF(T40&lt;'PlayerGrades+'!$AI$5,"A",IF(T40&lt;'PlayerGrades+'!$AI$4,"A+",IF(T40&lt;'PlayerGrades+'!$AI$3,"S-",IF(T40&lt;'PlayerGrades+'!$AI$2,"S","S+"))))))))))))))))))))</f>
        <v>F-</v>
      </c>
      <c r="V40" s="941">
        <v>1.0</v>
      </c>
      <c r="W40" s="941">
        <v>1.0</v>
      </c>
      <c r="X40" s="941">
        <v>0.0</v>
      </c>
      <c r="Y40" s="941">
        <v>2.0</v>
      </c>
      <c r="Z40" s="941">
        <v>1.0</v>
      </c>
      <c r="AA40" s="952">
        <v>52.0</v>
      </c>
      <c r="AB40" s="952">
        <v>59.0</v>
      </c>
      <c r="AC40" s="952">
        <v>-7.0</v>
      </c>
      <c r="AD40" s="952">
        <v>2.0</v>
      </c>
      <c r="AE40" s="952">
        <v>5.0</v>
      </c>
      <c r="AF40" s="952">
        <v>2.0</v>
      </c>
      <c r="AG40" s="952">
        <v>876.0</v>
      </c>
      <c r="AH40" s="952">
        <v>1137.0</v>
      </c>
      <c r="AI40" s="952">
        <v>14.0</v>
      </c>
      <c r="AJ40" s="952">
        <v>153.0</v>
      </c>
      <c r="AK40" s="952">
        <v>0.0</v>
      </c>
      <c r="AL40" s="952">
        <v>1.0</v>
      </c>
      <c r="AM40" s="952">
        <v>0.0</v>
      </c>
      <c r="AN40" s="952">
        <v>0.0</v>
      </c>
      <c r="AO40" s="952">
        <v>0.0</v>
      </c>
      <c r="AP40" s="952">
        <v>1.0</v>
      </c>
      <c r="AQ40" s="952">
        <v>0.0</v>
      </c>
      <c r="AR40" s="952">
        <v>6.0</v>
      </c>
      <c r="AS40" s="952">
        <v>2.0</v>
      </c>
      <c r="AT40" s="952">
        <v>1.0</v>
      </c>
      <c r="AU40" s="952">
        <v>0.0</v>
      </c>
      <c r="AV40" s="952">
        <v>0.0</v>
      </c>
      <c r="AW40" s="952">
        <v>0.0</v>
      </c>
      <c r="AX40" s="952">
        <v>0.0</v>
      </c>
      <c r="AY40" s="952">
        <v>0.0</v>
      </c>
      <c r="AZ40" s="952">
        <v>0.0</v>
      </c>
      <c r="BA40" s="952">
        <v>0.0</v>
      </c>
      <c r="BB40" s="952">
        <v>1.0</v>
      </c>
      <c r="BC40" s="952">
        <v>0.0</v>
      </c>
      <c r="BD40" s="952">
        <v>9.0</v>
      </c>
      <c r="BE40" s="954">
        <v>6.0</v>
      </c>
      <c r="BF40" s="952">
        <v>0.0</v>
      </c>
      <c r="BG40" s="952">
        <v>0.0</v>
      </c>
    </row>
    <row r="41">
      <c r="A41" s="955" t="s">
        <v>117</v>
      </c>
      <c r="B41" s="16" t="str">
        <f>IF(C41&lt;'PlayerGrades+'!$Y$44,"F-",IF(C41&lt;'PlayerGrades+'!$Y$43,"F",IF(C41&lt;'PlayerGrades+'!$Y$42,"F+",IF(C41&lt;'PlayerGrades+'!$Y$41,"E-",IF(C41&lt;'PlayerGrades+'!$Y$40,"E",IF(C41&lt;'PlayerGrades+'!$Y$39,"E+",IF(C41&lt;'PlayerGrades+'!$Y$38,"D-",IF(C41&lt;'PlayerGrades+'!$Y$37,"D",IF(C41&lt;'PlayerGrades+'!$Y$36,"D+",IF(C41&lt;'PlayerGrades+'!$Y$35,"C-",IF(C41&lt;'PlayerGrades+'!$Y$34,"C",IF(C41&lt;'PlayerGrades+'!$Y$33,"C+",IF(C41&lt;'PlayerGrades+'!$Y$32,"B-",IF(C41&lt;'PlayerGrades+'!$Y$31,"B",IF(C41&lt;'PlayerGrades+'!$Y$30,"B+",IF(C41&lt;'PlayerGrades+'!$Y$29,"A-",IF(C41&lt;'PlayerGrades+'!$Y$28,"A",IF(C41&lt;'PlayerGrades+'!$Y$27,"A+",IF(C41&lt;'PlayerGrades+'!$Y$26,"S-",IF(C41&lt;'PlayerGrades+'!$Y$25,"S","S+"))))))))))))))))))))</f>
        <v>B+</v>
      </c>
      <c r="C41" s="936">
        <f>('PlayerGrades+'!$Y$47*(VLOOKUP(E41, 'PlayerGrades+'!$X$3:$Y$23, 2, FALSE)))+('PlayerGrades+'!$Y$48*(VLOOKUP(G41, 'PlayerGrades+'!$X$3:$Y$23, 2, FALSE)))+('PlayerGrades+'!$Y$49*(VLOOKUP(I41, 'PlayerGrades+'!$X$3:$Y$23, 2, FALSE)))+('PlayerGrades+'!$Y$50*(VLOOKUP(K41, 'PlayerGrades+'!$X$3:$Y$23, 2, FALSE)))+('PlayerGrades+'!$Y$51*(VLOOKUP(M41, 'PlayerGrades+'!$X$3:$Y$23, 2, FALSE)))+('PlayerGrades+'!$Y$52*(VLOOKUP(O41, 'PlayerGrades+'!$X$3:$Y$23, 2, FALSE)))+('PlayerGrades+'!$Y$53*(VLOOKUP(Q41, 'PlayerGrades+'!$X$3:$Y$23, 2, FALSE)))+('PlayerGrades+'!$Y$54*(VLOOKUP(S41, 'PlayerGrades+'!$X$3:$Y$23, 2, FALSE)))+('PlayerGrades+'!$Y$55*(VLOOKUP(U41, 'PlayerGrades+'!$X$3:$Y$23, 2, FALSE)))</f>
        <v>23.7</v>
      </c>
      <c r="D41" s="937">
        <f t="shared" si="1"/>
        <v>0.5277044855</v>
      </c>
      <c r="E41" s="937" t="str">
        <f>IF(D41&lt;'PlayerGrades+'!$AA$21,"F-",IF(D41&lt;'PlayerGrades+'!$AA$20,"F",IF(D41&lt;'PlayerGrades+'!$AA$19,"F+",IF(D41&lt;'PlayerGrades+'!$AA$18,"E-",IF(D41&lt;'PlayerGrades+'!$AA$17,"E",IF(D41&lt;'PlayerGrades+'!$AA$16,"E+",IF(D41&lt;'PlayerGrades+'!$AA$15,"D-",IF(D41&lt;'PlayerGrades+'!$AA$14,"D",IF(D41&lt;'PlayerGrades+'!$AA$13,"D+",IF(D41&lt;'PlayerGrades+'!$AA$12,"C-",IF(D41&lt;'PlayerGrades+'!$AA$11,"C",IF(D41&lt;'PlayerGrades+'!$AA$10,"C+",IF(D41&lt;'PlayerGrades+'!$AA$9,"B-",IF(D41&lt;'PlayerGrades+'!$AA$8,"B",IF(D41&lt;'PlayerGrades+'!$AA$7,"B+",IF(D41&lt;'PlayerGrades+'!$AA$6,"A-",IF(D41&lt;'PlayerGrades+'!$AA$5,"A",IF(D41&lt;'PlayerGrades+'!$AA$4,"A+",IF(D41&lt;'PlayerGrades+'!$AA$3,"S-",IF(D41&lt;'PlayerGrades+'!$AA$2,"S","S+"))))))))))))))))))))</f>
        <v>A+</v>
      </c>
      <c r="F41" s="937">
        <f t="shared" si="2"/>
        <v>0.6332453826</v>
      </c>
      <c r="G41" s="937" t="str">
        <f>IF(F41&lt;'PlayerGrades+'!$AB$21,"F-",IF(F41&lt;'PlayerGrades+'!$AB$20,"F",IF(F41&lt;'PlayerGrades+'!$AB$19,"F+",IF(F41&lt;'PlayerGrades+'!$AB$18,"E-",IF(F41&lt;'PlayerGrades+'!$AB$17,"E",IF(F41&lt;'PlayerGrades+'!$AB$16,"E+",IF(F41&lt;'PlayerGrades+'!$AB$15,"D-",IF(F41&lt;'PlayerGrades+'!$AB$14,"D",IF(F41&lt;'PlayerGrades+'!$AB$13,"D+",IF(F41&lt;'PlayerGrades+'!$AB$12,"C-",IF(F41&lt;'PlayerGrades+'!$AB$11,"C",IF(F41&lt;'PlayerGrades+'!$AB$10,"C+",IF(F41&lt;'PlayerGrades+'!$AB$9,"B-",IF(F41&lt;'PlayerGrades+'!$AB$8,"B",IF(F41&lt;'PlayerGrades+'!$AB$7,"B+",IF(F41&lt;'PlayerGrades+'!$AB$6,"A-",IF(F41&lt;'PlayerGrades+'!$AB$5,"A",IF(F41&lt;'PlayerGrades+'!$AB$4,"A+",IF(F41&lt;'PlayerGrades+'!$AB$3,"S-",IF(F41&lt;'PlayerGrades+'!$AB$2,"S","S+"))))))))))))))))))))</f>
        <v>S-</v>
      </c>
      <c r="H41" s="937">
        <f t="shared" si="3"/>
        <v>0</v>
      </c>
      <c r="I41" s="937" t="str">
        <f>IF(H41&lt;'PlayerGrades+'!$AC$21,"F-",IF(H41&lt;'PlayerGrades+'!$AC$20,"F",IF(H41&lt;'PlayerGrades+'!$AC$19,"F+",IF(H41&lt;'PlayerGrades+'!$AC$18,"E-",IF(H41&lt;'PlayerGrades+'!$AC$17,"E",IF(H41&lt;'PlayerGrades+'!$AC$16,"E+",IF(H41&lt;'PlayerGrades+'!$AC$15,"D-",IF(H41&lt;'PlayerGrades+'!$AC$14,"D",IF(H41&lt;'PlayerGrades+'!$AC$13,"D+",IF(H41&lt;'PlayerGrades+'!$AC$12,"C-",IF(H41&lt;'PlayerGrades+'!$AC$11,"C",IF(H41&lt;'PlayerGrades+'!$AC$10,"C+",IF(H41&lt;'PlayerGrades+'!$AC$9,"B-",IF(H41&lt;'PlayerGrades+'!$AC$8,"B",IF(H41&lt;'PlayerGrades+'!$AC$7,"B+",IF(H41&lt;'PlayerGrades+'!$AC$6,"A-",IF(H41&lt;'PlayerGrades+'!$AC$5,"A",IF(H41&lt;'PlayerGrades+'!$AC$4,"A+",IF(H41&lt;'PlayerGrades+'!$AC$3,"S-",IF(H41&lt;'PlayerGrades+'!$AC$2,"S","S+"))))))))))))))))))))</f>
        <v>F-</v>
      </c>
      <c r="J41" s="937">
        <f t="shared" si="4"/>
        <v>0.05277044855</v>
      </c>
      <c r="K41" s="937" t="str">
        <f>IF(J41&lt;'PlayerGrades+'!$AD$21,"F-",IF(J41&lt;'PlayerGrades+'!$AD$20,"F",IF(J41&lt;'PlayerGrades+'!$AD$19,"F+",IF(J41&lt;'PlayerGrades+'!$AD$18,"E-",IF(J41&lt;'PlayerGrades+'!$AD$17,"E",IF(J41&lt;'PlayerGrades+'!$AD$16,"E+",IF(J41&lt;'PlayerGrades+'!$AD$15,"D-",IF(J41&lt;'PlayerGrades+'!$AD$14,"D",IF(J41&lt;'PlayerGrades+'!$AD$13,"D+",IF(J41&lt;'PlayerGrades+'!$AD$12,"C-",IF(J41&lt;'PlayerGrades+'!$AD$11,"C",IF(J41&lt;'PlayerGrades+'!$AD$10,"C+",IF(J41&lt;'PlayerGrades+'!$AD$9,"B-",IF(J41&lt;'PlayerGrades+'!$AD$8,"B",IF(J41&lt;'PlayerGrades+'!$AD$7,"B+",IF(J41&lt;'PlayerGrades+'!$AD$6,"A-",IF(J41&lt;'PlayerGrades+'!$AD$5,"A",IF(J41&lt;'PlayerGrades+'!$AD$4,"A+",IF(J41&lt;'PlayerGrades+'!$AD$3,"S-",IF(J41&lt;'PlayerGrades+'!$AD$2,"S","S+"))))))))))))))))))))</f>
        <v>B</v>
      </c>
      <c r="L41" s="677">
        <f t="shared" si="5"/>
        <v>0.5277044855</v>
      </c>
      <c r="M41" s="938" t="str">
        <f>IF(L41&lt;'PlayerGrades+'!$AE$21,"F-",IF(L41&lt;'PlayerGrades+'!$AE$20,"F",IF(L41&lt;'PlayerGrades+'!$AE$19,"F+",IF(L41&lt;'PlayerGrades+'!$AE$18,"E-",IF(L41&lt;'PlayerGrades+'!$AE$17,"E",IF(L41&lt;'PlayerGrades+'!$AE$16,"E+",IF(L41&lt;'PlayerGrades+'!$AE$15,"D-",IF(L41&lt;'PlayerGrades+'!$AE$14,"D",IF(L41&lt;'PlayerGrades+'!$AE$13,"D+",IF(L41&lt;'PlayerGrades+'!$AE$12,"C-",IF(L41&lt;'PlayerGrades+'!$AE$11,"C",IF(L41&lt;'PlayerGrades+'!$AE$10,"C+",IF(L41&lt;'PlayerGrades+'!$AE$9,"B-",IF(L41&lt;'PlayerGrades+'!$AE$8,"B",IF(L41&lt;'PlayerGrades+'!$AE$7,"B+",IF(L41&lt;'PlayerGrades+'!$AE$6,"A-",IF(L41&lt;'PlayerGrades+'!$AE$5,"A",IF(L41&lt;'PlayerGrades+'!$AE$4,"A+",IF(L41&lt;'PlayerGrades+'!$AE$3,"S-",IF(L41&lt;'PlayerGrades+'!$AE$2,"S","S+"))))))))))))))))))))</f>
        <v>A-</v>
      </c>
      <c r="N41" s="937">
        <f t="shared" si="6"/>
        <v>0</v>
      </c>
      <c r="O41" s="937" t="str">
        <f>IF(N41&lt;'PlayerGrades+'!$AF$21,"F-",IF(N41&lt;'PlayerGrades+'!$AF$20,"F",IF(N41&lt;'PlayerGrades+'!$AF$19,"F+",IF(N41&lt;'PlayerGrades+'!$AF$18,"E-",IF(N41&lt;'PlayerGrades+'!$AF$17,"E",IF(N41&lt;'PlayerGrades+'!$AF$16,"E+",IF(N41&lt;'PlayerGrades+'!$AF$15,"D-",IF(N41&lt;'PlayerGrades+'!$AF$14,"D",IF(N41&lt;'PlayerGrades+'!$AF$13,"D+",IF(N41&lt;'PlayerGrades+'!$AF$12,"C-",IF(N41&lt;'PlayerGrades+'!$AF$11,"C",IF(N41&lt;'PlayerGrades+'!$AF$10,"C+",IF(N41&lt;'PlayerGrades+'!$AF$9,"B-",IF(N41&lt;'PlayerGrades+'!$AF$8,"B",IF(N41&lt;'PlayerGrades+'!$AF$7,"B+",IF(N41&lt;'PlayerGrades+'!$AF$6,"A-",IF(N41&lt;'PlayerGrades+'!$AF$5,"A",IF(N41&lt;'PlayerGrades+'!$AF$4,"A+",IF(N41&lt;'PlayerGrades+'!$AF$3,"S-",IF(N41&lt;'PlayerGrades+'!$AF$2,"S","S+"))))))))))))))))))))</f>
        <v>F-</v>
      </c>
      <c r="P41" s="937">
        <f t="shared" si="7"/>
        <v>0.05277044855</v>
      </c>
      <c r="Q41" s="937" t="str">
        <f>IF(P41&lt;'PlayerGrades+'!$AG$21,"F-",IF(P41&lt;'PlayerGrades+'!$AG$20,"F",IF(P41&lt;'PlayerGrades+'!$AG$19,"F+",IF(P41&lt;'PlayerGrades+'!$AG$18,"E-",IF(P41&lt;'PlayerGrades+'!$AG$17,"E",IF(P41&lt;'PlayerGrades+'!$AG$16,"E+",IF(P41&lt;'PlayerGrades+'!$AG$15,"D-",IF(P41&lt;'PlayerGrades+'!$AG$14,"D",IF(P41&lt;'PlayerGrades+'!$AG$13,"D+",IF(P41&lt;'PlayerGrades+'!$AG$12,"C-",IF(P41&lt;'PlayerGrades+'!$AG$11,"C",IF(P41&lt;'PlayerGrades+'!$AG$10,"C+",IF(P41&lt;'PlayerGrades+'!$AG$9,"B-",IF(P41&lt;'PlayerGrades+'!$AG$8,"B",IF(P41&lt;'PlayerGrades+'!$AG$7,"B+",IF(P41&lt;'PlayerGrades+'!$AG$6,"A-",IF(P41&lt;'PlayerGrades+'!$AG$5,"A",IF(P41&lt;'PlayerGrades+'!$AG$4,"A+",IF(P41&lt;'PlayerGrades+'!$AG$3,"S-",IF(P41&lt;'PlayerGrades+'!$AG$2,"S","S+"))))))))))))))))))))</f>
        <v>A</v>
      </c>
      <c r="R41" s="937">
        <f t="shared" si="8"/>
        <v>0.8443271768</v>
      </c>
      <c r="S41" s="937" t="str">
        <f>IF(R41&lt;'PlayerGrades+'!$AH$21,"F-",IF(R41&lt;'PlayerGrades+'!$AH$20,"F",IF(R41&lt;'PlayerGrades+'!$AH$19,"F+",IF(R41&lt;'PlayerGrades+'!$AH$18,"E-",IF(R41&lt;'PlayerGrades+'!$AH$17,"E",IF(R41&lt;'PlayerGrades+'!$AH$16,"E+",IF(R41&lt;'PlayerGrades+'!$AH$15,"D-",IF(R41&lt;'PlayerGrades+'!$AH$14,"D",IF(R41&lt;'PlayerGrades+'!$AH$13,"D+",IF(R41&lt;'PlayerGrades+'!$AH$12,"C-",IF(R41&lt;'PlayerGrades+'!$AH$11,"C",IF(R41&lt;'PlayerGrades+'!$AH$10,"C+",IF(R41&lt;'PlayerGrades+'!$AH$9,"B-",IF(R41&lt;'PlayerGrades+'!$AH$8,"B",IF(R41&lt;'PlayerGrades+'!$AH$7,"B+",IF(R41&lt;'PlayerGrades+'!$AH$6,"A-",IF(R41&lt;'PlayerGrades+'!$AH$5,"A",IF(R41&lt;'PlayerGrades+'!$AH$4,"A+",IF(R41&lt;'PlayerGrades+'!$AH$3,"S-",IF(R41&lt;'PlayerGrades+'!$AH$2,"S","S+"))))))))))))))))))))</f>
        <v>S+</v>
      </c>
      <c r="T41" s="937">
        <f t="shared" si="9"/>
        <v>1.474934037</v>
      </c>
      <c r="U41" s="937" t="str">
        <f>IF(T41&lt;'PlayerGrades+'!$AI$21,"F-",IF(T41&lt;'PlayerGrades+'!$AI$20,"F",IF(T41&lt;'PlayerGrades+'!$AI$19,"F+",IF(T41&lt;'PlayerGrades+'!$AI$18,"E-",IF(T41&lt;'PlayerGrades+'!$AI$17,"E",IF(T41&lt;'PlayerGrades+'!$AI$16,"E+",IF(T41&lt;'PlayerGrades+'!$AI$15,"D-",IF(T41&lt;'PlayerGrades+'!$AI$14,"D",IF(T41&lt;'PlayerGrades+'!$AI$13,"D+",IF(T41&lt;'PlayerGrades+'!$AI$12,"C-",IF(T41&lt;'PlayerGrades+'!$AI$11,"C",IF(T41&lt;'PlayerGrades+'!$AI$10,"C+",IF(T41&lt;'PlayerGrades+'!$AI$9,"B-",IF(T41&lt;'PlayerGrades+'!$AI$8,"B",IF(T41&lt;'PlayerGrades+'!$AI$7,"B+",IF(T41&lt;'PlayerGrades+'!$AI$6,"A-",IF(T41&lt;'PlayerGrades+'!$AI$5,"A",IF(T41&lt;'PlayerGrades+'!$AI$4,"A+",IF(T41&lt;'PlayerGrades+'!$AI$3,"S-",IF(T41&lt;'PlayerGrades+'!$AI$2,"S","S+"))))))))))))))))))))</f>
        <v>A-</v>
      </c>
      <c r="V41" s="944">
        <v>1.0</v>
      </c>
      <c r="W41" s="944">
        <v>1.0</v>
      </c>
      <c r="X41" s="944">
        <v>0.0</v>
      </c>
      <c r="Y41" s="944">
        <v>3.0</v>
      </c>
      <c r="Z41" s="944">
        <v>7.0</v>
      </c>
      <c r="AA41" s="956">
        <v>68.0</v>
      </c>
      <c r="AB41" s="956">
        <v>56.0</v>
      </c>
      <c r="AC41" s="956">
        <v>12.0</v>
      </c>
      <c r="AD41" s="956">
        <v>6.0</v>
      </c>
      <c r="AE41" s="956">
        <v>5.0</v>
      </c>
      <c r="AF41" s="956">
        <v>2.0</v>
      </c>
      <c r="AG41" s="956">
        <v>889.0</v>
      </c>
      <c r="AH41" s="956">
        <v>1137.0</v>
      </c>
      <c r="AI41" s="956">
        <v>15.0</v>
      </c>
      <c r="AJ41" s="956">
        <v>167.0</v>
      </c>
      <c r="AK41" s="956">
        <v>0.0</v>
      </c>
      <c r="AL41" s="956">
        <v>1.0</v>
      </c>
      <c r="AM41" s="956">
        <v>0.0</v>
      </c>
      <c r="AN41" s="956">
        <v>0.0</v>
      </c>
      <c r="AO41" s="956">
        <v>0.0</v>
      </c>
      <c r="AP41" s="956">
        <v>1.0</v>
      </c>
      <c r="AQ41" s="956">
        <v>0.0</v>
      </c>
      <c r="AR41" s="956">
        <v>10.0</v>
      </c>
      <c r="AS41" s="956">
        <v>0.0</v>
      </c>
      <c r="AT41" s="956">
        <v>0.0</v>
      </c>
      <c r="AU41" s="956">
        <v>0.0</v>
      </c>
      <c r="AV41" s="956">
        <v>0.0</v>
      </c>
      <c r="AW41" s="956">
        <v>0.0</v>
      </c>
      <c r="AX41" s="956">
        <v>0.0</v>
      </c>
      <c r="AY41" s="956">
        <v>0.0</v>
      </c>
      <c r="AZ41" s="956">
        <v>0.0</v>
      </c>
      <c r="BA41" s="956">
        <v>0.0</v>
      </c>
      <c r="BB41" s="956">
        <v>0.0</v>
      </c>
      <c r="BC41" s="956">
        <v>0.0</v>
      </c>
      <c r="BD41" s="956">
        <v>10.0</v>
      </c>
      <c r="BE41" s="957">
        <v>9.0</v>
      </c>
      <c r="BF41" s="952">
        <v>1.0</v>
      </c>
      <c r="BG41" s="952">
        <v>0.0</v>
      </c>
    </row>
    <row r="42">
      <c r="A42" s="946" t="s">
        <v>150</v>
      </c>
      <c r="B42" s="16" t="str">
        <f>IF(C42&lt;'PlayerGrades+'!$Y$44,"F-",IF(C42&lt;'PlayerGrades+'!$Y$43,"F",IF(C42&lt;'PlayerGrades+'!$Y$42,"F+",IF(C42&lt;'PlayerGrades+'!$Y$41,"E-",IF(C42&lt;'PlayerGrades+'!$Y$40,"E",IF(C42&lt;'PlayerGrades+'!$Y$39,"E+",IF(C42&lt;'PlayerGrades+'!$Y$38,"D-",IF(C42&lt;'PlayerGrades+'!$Y$37,"D",IF(C42&lt;'PlayerGrades+'!$Y$36,"D+",IF(C42&lt;'PlayerGrades+'!$Y$35,"C-",IF(C42&lt;'PlayerGrades+'!$Y$34,"C",IF(C42&lt;'PlayerGrades+'!$Y$33,"C+",IF(C42&lt;'PlayerGrades+'!$Y$32,"B-",IF(C42&lt;'PlayerGrades+'!$Y$31,"B",IF(C42&lt;'PlayerGrades+'!$Y$30,"B+",IF(C42&lt;'PlayerGrades+'!$Y$29,"A-",IF(C42&lt;'PlayerGrades+'!$Y$28,"A",IF(C42&lt;'PlayerGrades+'!$Y$27,"A+",IF(C42&lt;'PlayerGrades+'!$Y$26,"S-",IF(C42&lt;'PlayerGrades+'!$Y$25,"S","S+"))))))))))))))))))))</f>
        <v>E-</v>
      </c>
      <c r="C42" s="936">
        <f>('PlayerGrades+'!$Y$47*(VLOOKUP(E42, 'PlayerGrades+'!$X$3:$Y$23, 2, FALSE)))+('PlayerGrades+'!$Y$48*(VLOOKUP(G42, 'PlayerGrades+'!$X$3:$Y$23, 2, FALSE)))+('PlayerGrades+'!$Y$49*(VLOOKUP(I42, 'PlayerGrades+'!$X$3:$Y$23, 2, FALSE)))+('PlayerGrades+'!$Y$50*(VLOOKUP(K42, 'PlayerGrades+'!$X$3:$Y$23, 2, FALSE)))+('PlayerGrades+'!$Y$51*(VLOOKUP(M42, 'PlayerGrades+'!$X$3:$Y$23, 2, FALSE)))+('PlayerGrades+'!$Y$52*(VLOOKUP(O42, 'PlayerGrades+'!$X$3:$Y$23, 2, FALSE)))+('PlayerGrades+'!$Y$53*(VLOOKUP(Q42, 'PlayerGrades+'!$X$3:$Y$23, 2, FALSE)))+('PlayerGrades+'!$Y$54*(VLOOKUP(S42, 'PlayerGrades+'!$X$3:$Y$23, 2, FALSE)))+('PlayerGrades+'!$Y$55*(VLOOKUP(U42, 'PlayerGrades+'!$X$3:$Y$23, 2, FALSE)))</f>
        <v>11</v>
      </c>
      <c r="D42" s="937">
        <f t="shared" si="1"/>
        <v>0.2220166512</v>
      </c>
      <c r="E42" s="937" t="str">
        <f>IF(D42&lt;'PlayerGrades+'!$AA$21,"F-",IF(D42&lt;'PlayerGrades+'!$AA$20,"F",IF(D42&lt;'PlayerGrades+'!$AA$19,"F+",IF(D42&lt;'PlayerGrades+'!$AA$18,"E-",IF(D42&lt;'PlayerGrades+'!$AA$17,"E",IF(D42&lt;'PlayerGrades+'!$AA$16,"E+",IF(D42&lt;'PlayerGrades+'!$AA$15,"D-",IF(D42&lt;'PlayerGrades+'!$AA$14,"D",IF(D42&lt;'PlayerGrades+'!$AA$13,"D+",IF(D42&lt;'PlayerGrades+'!$AA$12,"C-",IF(D42&lt;'PlayerGrades+'!$AA$11,"C",IF(D42&lt;'PlayerGrades+'!$AA$10,"C+",IF(D42&lt;'PlayerGrades+'!$AA$9,"B-",IF(D42&lt;'PlayerGrades+'!$AA$8,"B",IF(D42&lt;'PlayerGrades+'!$AA$7,"B+",IF(D42&lt;'PlayerGrades+'!$AA$6,"A-",IF(D42&lt;'PlayerGrades+'!$AA$5,"A",IF(D42&lt;'PlayerGrades+'!$AA$4,"A+",IF(D42&lt;'PlayerGrades+'!$AA$3,"S-",IF(D42&lt;'PlayerGrades+'!$AA$2,"S","S+"))))))))))))))))))))</f>
        <v>A-</v>
      </c>
      <c r="F42" s="937">
        <f t="shared" si="2"/>
        <v>-1.332099907</v>
      </c>
      <c r="G42" s="937" t="str">
        <f>IF(F42&lt;'PlayerGrades+'!$AB$21,"F-",IF(F42&lt;'PlayerGrades+'!$AB$20,"F",IF(F42&lt;'PlayerGrades+'!$AB$19,"F+",IF(F42&lt;'PlayerGrades+'!$AB$18,"E-",IF(F42&lt;'PlayerGrades+'!$AB$17,"E",IF(F42&lt;'PlayerGrades+'!$AB$16,"E+",IF(F42&lt;'PlayerGrades+'!$AB$15,"D-",IF(F42&lt;'PlayerGrades+'!$AB$14,"D",IF(F42&lt;'PlayerGrades+'!$AB$13,"D+",IF(F42&lt;'PlayerGrades+'!$AB$12,"C-",IF(F42&lt;'PlayerGrades+'!$AB$11,"C",IF(F42&lt;'PlayerGrades+'!$AB$10,"C+",IF(F42&lt;'PlayerGrades+'!$AB$9,"B-",IF(F42&lt;'PlayerGrades+'!$AB$8,"B",IF(F42&lt;'PlayerGrades+'!$AB$7,"B+",IF(F42&lt;'PlayerGrades+'!$AB$6,"A-",IF(F42&lt;'PlayerGrades+'!$AB$5,"A",IF(F42&lt;'PlayerGrades+'!$AB$4,"A+",IF(F42&lt;'PlayerGrades+'!$AB$3,"S-",IF(F42&lt;'PlayerGrades+'!$AB$2,"S","S+"))))))))))))))))))))</f>
        <v>F-</v>
      </c>
      <c r="H42" s="937">
        <f t="shared" si="3"/>
        <v>0.1110083256</v>
      </c>
      <c r="I42" s="937" t="str">
        <f>IF(H42&lt;'PlayerGrades+'!$AC$21,"F-",IF(H42&lt;'PlayerGrades+'!$AC$20,"F",IF(H42&lt;'PlayerGrades+'!$AC$19,"F+",IF(H42&lt;'PlayerGrades+'!$AC$18,"E-",IF(H42&lt;'PlayerGrades+'!$AC$17,"E",IF(H42&lt;'PlayerGrades+'!$AC$16,"E+",IF(H42&lt;'PlayerGrades+'!$AC$15,"D-",IF(H42&lt;'PlayerGrades+'!$AC$14,"D",IF(H42&lt;'PlayerGrades+'!$AC$13,"D+",IF(H42&lt;'PlayerGrades+'!$AC$12,"C-",IF(H42&lt;'PlayerGrades+'!$AC$11,"C",IF(H42&lt;'PlayerGrades+'!$AC$10,"C+",IF(H42&lt;'PlayerGrades+'!$AC$9,"B-",IF(H42&lt;'PlayerGrades+'!$AC$8,"B",IF(H42&lt;'PlayerGrades+'!$AC$7,"B+",IF(H42&lt;'PlayerGrades+'!$AC$6,"A-",IF(H42&lt;'PlayerGrades+'!$AC$5,"A",IF(H42&lt;'PlayerGrades+'!$AC$4,"A+",IF(H42&lt;'PlayerGrades+'!$AC$3,"S-",IF(H42&lt;'PlayerGrades+'!$AC$2,"S","S+"))))))))))))))))))))</f>
        <v>C</v>
      </c>
      <c r="J42" s="937">
        <f t="shared" si="4"/>
        <v>0</v>
      </c>
      <c r="K42" s="937" t="str">
        <f>IF(J42&lt;'PlayerGrades+'!$AD$21,"F-",IF(J42&lt;'PlayerGrades+'!$AD$20,"F",IF(J42&lt;'PlayerGrades+'!$AD$19,"F+",IF(J42&lt;'PlayerGrades+'!$AD$18,"E-",IF(J42&lt;'PlayerGrades+'!$AD$17,"E",IF(J42&lt;'PlayerGrades+'!$AD$16,"E+",IF(J42&lt;'PlayerGrades+'!$AD$15,"D-",IF(J42&lt;'PlayerGrades+'!$AD$14,"D",IF(J42&lt;'PlayerGrades+'!$AD$13,"D+",IF(J42&lt;'PlayerGrades+'!$AD$12,"C-",IF(J42&lt;'PlayerGrades+'!$AD$11,"C",IF(J42&lt;'PlayerGrades+'!$AD$10,"C+",IF(J42&lt;'PlayerGrades+'!$AD$9,"B-",IF(J42&lt;'PlayerGrades+'!$AD$8,"B",IF(J42&lt;'PlayerGrades+'!$AD$7,"B+",IF(J42&lt;'PlayerGrades+'!$AD$6,"A-",IF(J42&lt;'PlayerGrades+'!$AD$5,"A",IF(J42&lt;'PlayerGrades+'!$AD$4,"A+",IF(J42&lt;'PlayerGrades+'!$AD$3,"S-",IF(J42&lt;'PlayerGrades+'!$AD$2,"S","S+"))))))))))))))))))))</f>
        <v>F-</v>
      </c>
      <c r="L42" s="677">
        <f t="shared" si="5"/>
        <v>0.2775208141</v>
      </c>
      <c r="M42" s="938" t="str">
        <f>IF(L42&lt;'PlayerGrades+'!$AE$21,"F-",IF(L42&lt;'PlayerGrades+'!$AE$20,"F",IF(L42&lt;'PlayerGrades+'!$AE$19,"F+",IF(L42&lt;'PlayerGrades+'!$AE$18,"E-",IF(L42&lt;'PlayerGrades+'!$AE$17,"E",IF(L42&lt;'PlayerGrades+'!$AE$16,"E+",IF(L42&lt;'PlayerGrades+'!$AE$15,"D-",IF(L42&lt;'PlayerGrades+'!$AE$14,"D",IF(L42&lt;'PlayerGrades+'!$AE$13,"D+",IF(L42&lt;'PlayerGrades+'!$AE$12,"C-",IF(L42&lt;'PlayerGrades+'!$AE$11,"C",IF(L42&lt;'PlayerGrades+'!$AE$10,"C+",IF(L42&lt;'PlayerGrades+'!$AE$9,"B-",IF(L42&lt;'PlayerGrades+'!$AE$8,"B",IF(L42&lt;'PlayerGrades+'!$AE$7,"B+",IF(L42&lt;'PlayerGrades+'!$AE$6,"A-",IF(L42&lt;'PlayerGrades+'!$AE$5,"A",IF(L42&lt;'PlayerGrades+'!$AE$4,"A+",IF(L42&lt;'PlayerGrades+'!$AE$3,"S-",IF(L42&lt;'PlayerGrades+'!$AE$2,"S","S+"))))))))))))))))))))</f>
        <v>F+</v>
      </c>
      <c r="N42" s="937">
        <f t="shared" si="6"/>
        <v>0.05550416281</v>
      </c>
      <c r="O42" s="937" t="str">
        <f>IF(N42&lt;'PlayerGrades+'!$AF$21,"F-",IF(N42&lt;'PlayerGrades+'!$AF$20,"F",IF(N42&lt;'PlayerGrades+'!$AF$19,"F+",IF(N42&lt;'PlayerGrades+'!$AF$18,"E-",IF(N42&lt;'PlayerGrades+'!$AF$17,"E",IF(N42&lt;'PlayerGrades+'!$AF$16,"E+",IF(N42&lt;'PlayerGrades+'!$AF$15,"D-",IF(N42&lt;'PlayerGrades+'!$AF$14,"D",IF(N42&lt;'PlayerGrades+'!$AF$13,"D+",IF(N42&lt;'PlayerGrades+'!$AF$12,"C-",IF(N42&lt;'PlayerGrades+'!$AF$11,"C",IF(N42&lt;'PlayerGrades+'!$AF$10,"C+",IF(N42&lt;'PlayerGrades+'!$AF$9,"B-",IF(N42&lt;'PlayerGrades+'!$AF$8,"B",IF(N42&lt;'PlayerGrades+'!$AF$7,"B+",IF(N42&lt;'PlayerGrades+'!$AF$6,"A-",IF(N42&lt;'PlayerGrades+'!$AF$5,"A",IF(N42&lt;'PlayerGrades+'!$AF$4,"A+",IF(N42&lt;'PlayerGrades+'!$AF$3,"S-",IF(N42&lt;'PlayerGrades+'!$AF$2,"S","S+"))))))))))))))))))))</f>
        <v>D</v>
      </c>
      <c r="P42" s="937">
        <f t="shared" si="7"/>
        <v>0</v>
      </c>
      <c r="Q42" s="937" t="str">
        <f>IF(P42&lt;'PlayerGrades+'!$AG$21,"F-",IF(P42&lt;'PlayerGrades+'!$AG$20,"F",IF(P42&lt;'PlayerGrades+'!$AG$19,"F+",IF(P42&lt;'PlayerGrades+'!$AG$18,"E-",IF(P42&lt;'PlayerGrades+'!$AG$17,"E",IF(P42&lt;'PlayerGrades+'!$AG$16,"E+",IF(P42&lt;'PlayerGrades+'!$AG$15,"D-",IF(P42&lt;'PlayerGrades+'!$AG$14,"D",IF(P42&lt;'PlayerGrades+'!$AG$13,"D+",IF(P42&lt;'PlayerGrades+'!$AG$12,"C-",IF(P42&lt;'PlayerGrades+'!$AG$11,"C",IF(P42&lt;'PlayerGrades+'!$AG$10,"C+",IF(P42&lt;'PlayerGrades+'!$AG$9,"B-",IF(P42&lt;'PlayerGrades+'!$AG$8,"B",IF(P42&lt;'PlayerGrades+'!$AG$7,"B+",IF(P42&lt;'PlayerGrades+'!$AG$6,"A-",IF(P42&lt;'PlayerGrades+'!$AG$5,"A",IF(P42&lt;'PlayerGrades+'!$AG$4,"A+",IF(P42&lt;'PlayerGrades+'!$AG$3,"S-",IF(P42&lt;'PlayerGrades+'!$AG$2,"S","S+"))))))))))))))))))))</f>
        <v>F</v>
      </c>
      <c r="R42" s="937">
        <f t="shared" si="8"/>
        <v>0.2775208141</v>
      </c>
      <c r="S42" s="937" t="str">
        <f>IF(R42&lt;'PlayerGrades+'!$AH$21,"F-",IF(R42&lt;'PlayerGrades+'!$AH$20,"F",IF(R42&lt;'PlayerGrades+'!$AH$19,"F+",IF(R42&lt;'PlayerGrades+'!$AH$18,"E-",IF(R42&lt;'PlayerGrades+'!$AH$17,"E",IF(R42&lt;'PlayerGrades+'!$AH$16,"E+",IF(R42&lt;'PlayerGrades+'!$AH$15,"D-",IF(R42&lt;'PlayerGrades+'!$AH$14,"D",IF(R42&lt;'PlayerGrades+'!$AH$13,"D+",IF(R42&lt;'PlayerGrades+'!$AH$12,"C-",IF(R42&lt;'PlayerGrades+'!$AH$11,"C",IF(R42&lt;'PlayerGrades+'!$AH$10,"C+",IF(R42&lt;'PlayerGrades+'!$AH$9,"B-",IF(R42&lt;'PlayerGrades+'!$AH$8,"B",IF(R42&lt;'PlayerGrades+'!$AH$7,"B+",IF(R42&lt;'PlayerGrades+'!$AH$6,"A-",IF(R42&lt;'PlayerGrades+'!$AH$5,"A",IF(R42&lt;'PlayerGrades+'!$AH$4,"A+",IF(R42&lt;'PlayerGrades+'!$AH$3,"S-",IF(R42&lt;'PlayerGrades+'!$AH$2,"S","S+"))))))))))))))))))))</f>
        <v>F-</v>
      </c>
      <c r="T42" s="937">
        <f t="shared" si="9"/>
        <v>0.3885291397</v>
      </c>
      <c r="U42" s="937" t="str">
        <f>IF(T42&lt;'PlayerGrades+'!$AI$21,"F-",IF(T42&lt;'PlayerGrades+'!$AI$20,"F",IF(T42&lt;'PlayerGrades+'!$AI$19,"F+",IF(T42&lt;'PlayerGrades+'!$AI$18,"E-",IF(T42&lt;'PlayerGrades+'!$AI$17,"E",IF(T42&lt;'PlayerGrades+'!$AI$16,"E+",IF(T42&lt;'PlayerGrades+'!$AI$15,"D-",IF(T42&lt;'PlayerGrades+'!$AI$14,"D",IF(T42&lt;'PlayerGrades+'!$AI$13,"D+",IF(T42&lt;'PlayerGrades+'!$AI$12,"C-",IF(T42&lt;'PlayerGrades+'!$AI$11,"C",IF(T42&lt;'PlayerGrades+'!$AI$10,"C+",IF(T42&lt;'PlayerGrades+'!$AI$9,"B-",IF(T42&lt;'PlayerGrades+'!$AI$8,"B",IF(T42&lt;'PlayerGrades+'!$AI$7,"B+",IF(T42&lt;'PlayerGrades+'!$AI$6,"A-",IF(T42&lt;'PlayerGrades+'!$AI$5,"A",IF(T42&lt;'PlayerGrades+'!$AI$4,"A+",IF(T42&lt;'PlayerGrades+'!$AI$3,"S-",IF(T42&lt;'PlayerGrades+'!$AI$2,"S","S+"))))))))))))))))))))</f>
        <v>F-</v>
      </c>
      <c r="V42" s="939">
        <v>1.0</v>
      </c>
      <c r="W42" s="939">
        <v>0.0</v>
      </c>
      <c r="X42" s="939">
        <v>1.0</v>
      </c>
      <c r="Y42" s="939">
        <v>0.0</v>
      </c>
      <c r="Z42" s="939">
        <v>4.0</v>
      </c>
      <c r="AA42" s="939">
        <v>51.0</v>
      </c>
      <c r="AB42" s="939">
        <v>75.0</v>
      </c>
      <c r="AC42" s="939">
        <v>-24.0</v>
      </c>
      <c r="AD42" s="939">
        <v>0.0</v>
      </c>
      <c r="AE42" s="939">
        <v>3.0</v>
      </c>
      <c r="AF42" s="939">
        <v>0.0</v>
      </c>
      <c r="AG42" s="939">
        <v>745.0</v>
      </c>
      <c r="AH42" s="939">
        <v>1081.0</v>
      </c>
      <c r="AI42" s="939">
        <v>9.0</v>
      </c>
      <c r="AJ42" s="939">
        <v>133.0</v>
      </c>
      <c r="AK42" s="939">
        <v>0.0</v>
      </c>
      <c r="AL42" s="939">
        <v>0.0</v>
      </c>
      <c r="AM42" s="939">
        <v>0.0</v>
      </c>
      <c r="AN42" s="939">
        <v>0.0</v>
      </c>
      <c r="AO42" s="939">
        <v>0.0</v>
      </c>
      <c r="AP42" s="939">
        <v>0.0</v>
      </c>
      <c r="AQ42" s="939">
        <v>0.0</v>
      </c>
      <c r="AR42" s="939">
        <v>5.0</v>
      </c>
      <c r="AS42" s="939">
        <v>1.0</v>
      </c>
      <c r="AT42" s="939">
        <v>0.0</v>
      </c>
      <c r="AU42" s="939">
        <v>0.0</v>
      </c>
      <c r="AV42" s="939">
        <v>0.0</v>
      </c>
      <c r="AW42" s="939">
        <v>0.0</v>
      </c>
      <c r="AX42" s="939">
        <v>0.0</v>
      </c>
      <c r="AY42" s="939">
        <v>0.0</v>
      </c>
      <c r="AZ42" s="939">
        <v>0.0</v>
      </c>
      <c r="BA42" s="939">
        <v>0.0</v>
      </c>
      <c r="BB42" s="939">
        <v>2.0</v>
      </c>
      <c r="BC42" s="895">
        <v>0.0</v>
      </c>
      <c r="BD42" s="895">
        <v>5.0</v>
      </c>
      <c r="BE42" s="947">
        <v>7.0</v>
      </c>
      <c r="BF42" s="941">
        <v>0.0</v>
      </c>
      <c r="BG42" s="941">
        <v>0.0</v>
      </c>
    </row>
    <row r="43">
      <c r="A43" s="935" t="s">
        <v>117</v>
      </c>
      <c r="B43" s="16" t="str">
        <f>IF(C43&lt;'PlayerGrades+'!$Y$44,"F-",IF(C43&lt;'PlayerGrades+'!$Y$43,"F",IF(C43&lt;'PlayerGrades+'!$Y$42,"F+",IF(C43&lt;'PlayerGrades+'!$Y$41,"E-",IF(C43&lt;'PlayerGrades+'!$Y$40,"E",IF(C43&lt;'PlayerGrades+'!$Y$39,"E+",IF(C43&lt;'PlayerGrades+'!$Y$38,"D-",IF(C43&lt;'PlayerGrades+'!$Y$37,"D",IF(C43&lt;'PlayerGrades+'!$Y$36,"D+",IF(C43&lt;'PlayerGrades+'!$Y$35,"C-",IF(C43&lt;'PlayerGrades+'!$Y$34,"C",IF(C43&lt;'PlayerGrades+'!$Y$33,"C+",IF(C43&lt;'PlayerGrades+'!$Y$32,"B-",IF(C43&lt;'PlayerGrades+'!$Y$31,"B",IF(C43&lt;'PlayerGrades+'!$Y$30,"B+",IF(C43&lt;'PlayerGrades+'!$Y$29,"A-",IF(C43&lt;'PlayerGrades+'!$Y$28,"A",IF(C43&lt;'PlayerGrades+'!$Y$27,"A+",IF(C43&lt;'PlayerGrades+'!$Y$26,"S-",IF(C43&lt;'PlayerGrades+'!$Y$25,"S","S+"))))))))))))))))))))</f>
        <v>E-</v>
      </c>
      <c r="C43" s="936">
        <f>('PlayerGrades+'!$Y$47*(VLOOKUP(E43, 'PlayerGrades+'!$X$3:$Y$23, 2, FALSE)))+('PlayerGrades+'!$Y$48*(VLOOKUP(G43, 'PlayerGrades+'!$X$3:$Y$23, 2, FALSE)))+('PlayerGrades+'!$Y$49*(VLOOKUP(I43, 'PlayerGrades+'!$X$3:$Y$23, 2, FALSE)))+('PlayerGrades+'!$Y$50*(VLOOKUP(K43, 'PlayerGrades+'!$X$3:$Y$23, 2, FALSE)))+('PlayerGrades+'!$Y$51*(VLOOKUP(M43, 'PlayerGrades+'!$X$3:$Y$23, 2, FALSE)))+('PlayerGrades+'!$Y$52*(VLOOKUP(O43, 'PlayerGrades+'!$X$3:$Y$23, 2, FALSE)))+('PlayerGrades+'!$Y$53*(VLOOKUP(Q43, 'PlayerGrades+'!$X$3:$Y$23, 2, FALSE)))+('PlayerGrades+'!$Y$54*(VLOOKUP(S43, 'PlayerGrades+'!$X$3:$Y$23, 2, FALSE)))+('PlayerGrades+'!$Y$55*(VLOOKUP(U43, 'PlayerGrades+'!$X$3:$Y$23, 2, FALSE)))</f>
        <v>11.45</v>
      </c>
      <c r="D43" s="937">
        <f t="shared" si="1"/>
        <v>0.1110083256</v>
      </c>
      <c r="E43" s="937" t="str">
        <f>IF(D43&lt;'PlayerGrades+'!$AA$21,"F-",IF(D43&lt;'PlayerGrades+'!$AA$20,"F",IF(D43&lt;'PlayerGrades+'!$AA$19,"F+",IF(D43&lt;'PlayerGrades+'!$AA$18,"E-",IF(D43&lt;'PlayerGrades+'!$AA$17,"E",IF(D43&lt;'PlayerGrades+'!$AA$16,"E+",IF(D43&lt;'PlayerGrades+'!$AA$15,"D-",IF(D43&lt;'PlayerGrades+'!$AA$14,"D",IF(D43&lt;'PlayerGrades+'!$AA$13,"D+",IF(D43&lt;'PlayerGrades+'!$AA$12,"C-",IF(D43&lt;'PlayerGrades+'!$AA$11,"C",IF(D43&lt;'PlayerGrades+'!$AA$10,"C+",IF(D43&lt;'PlayerGrades+'!$AA$9,"B-",IF(D43&lt;'PlayerGrades+'!$AA$8,"B",IF(D43&lt;'PlayerGrades+'!$AA$7,"B+",IF(D43&lt;'PlayerGrades+'!$AA$6,"A-",IF(D43&lt;'PlayerGrades+'!$AA$5,"A",IF(D43&lt;'PlayerGrades+'!$AA$4,"A+",IF(D43&lt;'PlayerGrades+'!$AA$3,"S-",IF(D43&lt;'PlayerGrades+'!$AA$2,"S","S+"))))))))))))))))))))</f>
        <v>B</v>
      </c>
      <c r="F43" s="937">
        <f t="shared" si="2"/>
        <v>-1.498612396</v>
      </c>
      <c r="G43" s="937" t="str">
        <f>IF(F43&lt;'PlayerGrades+'!$AB$21,"F-",IF(F43&lt;'PlayerGrades+'!$AB$20,"F",IF(F43&lt;'PlayerGrades+'!$AB$19,"F+",IF(F43&lt;'PlayerGrades+'!$AB$18,"E-",IF(F43&lt;'PlayerGrades+'!$AB$17,"E",IF(F43&lt;'PlayerGrades+'!$AB$16,"E+",IF(F43&lt;'PlayerGrades+'!$AB$15,"D-",IF(F43&lt;'PlayerGrades+'!$AB$14,"D",IF(F43&lt;'PlayerGrades+'!$AB$13,"D+",IF(F43&lt;'PlayerGrades+'!$AB$12,"C-",IF(F43&lt;'PlayerGrades+'!$AB$11,"C",IF(F43&lt;'PlayerGrades+'!$AB$10,"C+",IF(F43&lt;'PlayerGrades+'!$AB$9,"B-",IF(F43&lt;'PlayerGrades+'!$AB$8,"B",IF(F43&lt;'PlayerGrades+'!$AB$7,"B+",IF(F43&lt;'PlayerGrades+'!$AB$6,"A-",IF(F43&lt;'PlayerGrades+'!$AB$5,"A",IF(F43&lt;'PlayerGrades+'!$AB$4,"A+",IF(F43&lt;'PlayerGrades+'!$AB$3,"S-",IF(F43&lt;'PlayerGrades+'!$AB$2,"S","S+"))))))))))))))))))))</f>
        <v>F-</v>
      </c>
      <c r="H43" s="937">
        <f t="shared" si="3"/>
        <v>0.1665124884</v>
      </c>
      <c r="I43" s="937" t="str">
        <f>IF(H43&lt;'PlayerGrades+'!$AC$21,"F-",IF(H43&lt;'PlayerGrades+'!$AC$20,"F",IF(H43&lt;'PlayerGrades+'!$AC$19,"F+",IF(H43&lt;'PlayerGrades+'!$AC$18,"E-",IF(H43&lt;'PlayerGrades+'!$AC$17,"E",IF(H43&lt;'PlayerGrades+'!$AC$16,"E+",IF(H43&lt;'PlayerGrades+'!$AC$15,"D-",IF(H43&lt;'PlayerGrades+'!$AC$14,"D",IF(H43&lt;'PlayerGrades+'!$AC$13,"D+",IF(H43&lt;'PlayerGrades+'!$AC$12,"C-",IF(H43&lt;'PlayerGrades+'!$AC$11,"C",IF(H43&lt;'PlayerGrades+'!$AC$10,"C+",IF(H43&lt;'PlayerGrades+'!$AC$9,"B-",IF(H43&lt;'PlayerGrades+'!$AC$8,"B",IF(H43&lt;'PlayerGrades+'!$AC$7,"B+",IF(H43&lt;'PlayerGrades+'!$AC$6,"A-",IF(H43&lt;'PlayerGrades+'!$AC$5,"A",IF(H43&lt;'PlayerGrades+'!$AC$4,"A+",IF(H43&lt;'PlayerGrades+'!$AC$3,"S-",IF(H43&lt;'PlayerGrades+'!$AC$2,"S","S+"))))))))))))))))))))</f>
        <v>A+</v>
      </c>
      <c r="J43" s="937">
        <f t="shared" si="4"/>
        <v>0</v>
      </c>
      <c r="K43" s="937" t="str">
        <f>IF(J43&lt;'PlayerGrades+'!$AD$21,"F-",IF(J43&lt;'PlayerGrades+'!$AD$20,"F",IF(J43&lt;'PlayerGrades+'!$AD$19,"F+",IF(J43&lt;'PlayerGrades+'!$AD$18,"E-",IF(J43&lt;'PlayerGrades+'!$AD$17,"E",IF(J43&lt;'PlayerGrades+'!$AD$16,"E+",IF(J43&lt;'PlayerGrades+'!$AD$15,"D-",IF(J43&lt;'PlayerGrades+'!$AD$14,"D",IF(J43&lt;'PlayerGrades+'!$AD$13,"D+",IF(J43&lt;'PlayerGrades+'!$AD$12,"C-",IF(J43&lt;'PlayerGrades+'!$AD$11,"C",IF(J43&lt;'PlayerGrades+'!$AD$10,"C+",IF(J43&lt;'PlayerGrades+'!$AD$9,"B-",IF(J43&lt;'PlayerGrades+'!$AD$8,"B",IF(J43&lt;'PlayerGrades+'!$AD$7,"B+",IF(J43&lt;'PlayerGrades+'!$AD$6,"A-",IF(J43&lt;'PlayerGrades+'!$AD$5,"A",IF(J43&lt;'PlayerGrades+'!$AD$4,"A+",IF(J43&lt;'PlayerGrades+'!$AD$3,"S-",IF(J43&lt;'PlayerGrades+'!$AD$2,"S","S+"))))))))))))))))))))</f>
        <v>F-</v>
      </c>
      <c r="L43" s="677">
        <f t="shared" si="5"/>
        <v>0.1665124884</v>
      </c>
      <c r="M43" s="938" t="str">
        <f>IF(L43&lt;'PlayerGrades+'!$AE$21,"F-",IF(L43&lt;'PlayerGrades+'!$AE$20,"F",IF(L43&lt;'PlayerGrades+'!$AE$19,"F+",IF(L43&lt;'PlayerGrades+'!$AE$18,"E-",IF(L43&lt;'PlayerGrades+'!$AE$17,"E",IF(L43&lt;'PlayerGrades+'!$AE$16,"E+",IF(L43&lt;'PlayerGrades+'!$AE$15,"D-",IF(L43&lt;'PlayerGrades+'!$AE$14,"D",IF(L43&lt;'PlayerGrades+'!$AE$13,"D+",IF(L43&lt;'PlayerGrades+'!$AE$12,"C-",IF(L43&lt;'PlayerGrades+'!$AE$11,"C",IF(L43&lt;'PlayerGrades+'!$AE$10,"C+",IF(L43&lt;'PlayerGrades+'!$AE$9,"B-",IF(L43&lt;'PlayerGrades+'!$AE$8,"B",IF(L43&lt;'PlayerGrades+'!$AE$7,"B+",IF(L43&lt;'PlayerGrades+'!$AE$6,"A-",IF(L43&lt;'PlayerGrades+'!$AE$5,"A",IF(L43&lt;'PlayerGrades+'!$AE$4,"A+",IF(L43&lt;'PlayerGrades+'!$AE$3,"S-",IF(L43&lt;'PlayerGrades+'!$AE$2,"S","S+"))))))))))))))))))))</f>
        <v>F-</v>
      </c>
      <c r="N43" s="937">
        <f t="shared" si="6"/>
        <v>0</v>
      </c>
      <c r="O43" s="937" t="str">
        <f>IF(N43&lt;'PlayerGrades+'!$AF$21,"F-",IF(N43&lt;'PlayerGrades+'!$AF$20,"F",IF(N43&lt;'PlayerGrades+'!$AF$19,"F+",IF(N43&lt;'PlayerGrades+'!$AF$18,"E-",IF(N43&lt;'PlayerGrades+'!$AF$17,"E",IF(N43&lt;'PlayerGrades+'!$AF$16,"E+",IF(N43&lt;'PlayerGrades+'!$AF$15,"D-",IF(N43&lt;'PlayerGrades+'!$AF$14,"D",IF(N43&lt;'PlayerGrades+'!$AF$13,"D+",IF(N43&lt;'PlayerGrades+'!$AF$12,"C-",IF(N43&lt;'PlayerGrades+'!$AF$11,"C",IF(N43&lt;'PlayerGrades+'!$AF$10,"C+",IF(N43&lt;'PlayerGrades+'!$AF$9,"B-",IF(N43&lt;'PlayerGrades+'!$AF$8,"B",IF(N43&lt;'PlayerGrades+'!$AF$7,"B+",IF(N43&lt;'PlayerGrades+'!$AF$6,"A-",IF(N43&lt;'PlayerGrades+'!$AF$5,"A",IF(N43&lt;'PlayerGrades+'!$AF$4,"A+",IF(N43&lt;'PlayerGrades+'!$AF$3,"S-",IF(N43&lt;'PlayerGrades+'!$AF$2,"S","S+"))))))))))))))))))))</f>
        <v>F-</v>
      </c>
      <c r="P43" s="937">
        <f t="shared" si="7"/>
        <v>0</v>
      </c>
      <c r="Q43" s="937" t="str">
        <f>IF(P43&lt;'PlayerGrades+'!$AG$21,"F-",IF(P43&lt;'PlayerGrades+'!$AG$20,"F",IF(P43&lt;'PlayerGrades+'!$AG$19,"F+",IF(P43&lt;'PlayerGrades+'!$AG$18,"E-",IF(P43&lt;'PlayerGrades+'!$AG$17,"E",IF(P43&lt;'PlayerGrades+'!$AG$16,"E+",IF(P43&lt;'PlayerGrades+'!$AG$15,"D-",IF(P43&lt;'PlayerGrades+'!$AG$14,"D",IF(P43&lt;'PlayerGrades+'!$AG$13,"D+",IF(P43&lt;'PlayerGrades+'!$AG$12,"C-",IF(P43&lt;'PlayerGrades+'!$AG$11,"C",IF(P43&lt;'PlayerGrades+'!$AG$10,"C+",IF(P43&lt;'PlayerGrades+'!$AG$9,"B-",IF(P43&lt;'PlayerGrades+'!$AG$8,"B",IF(P43&lt;'PlayerGrades+'!$AG$7,"B+",IF(P43&lt;'PlayerGrades+'!$AG$6,"A-",IF(P43&lt;'PlayerGrades+'!$AG$5,"A",IF(P43&lt;'PlayerGrades+'!$AG$4,"A+",IF(P43&lt;'PlayerGrades+'!$AG$3,"S-",IF(P43&lt;'PlayerGrades+'!$AG$2,"S","S+"))))))))))))))))))))</f>
        <v>F</v>
      </c>
      <c r="R43" s="937">
        <f t="shared" si="8"/>
        <v>0.4440333025</v>
      </c>
      <c r="S43" s="937" t="str">
        <f>IF(R43&lt;'PlayerGrades+'!$AH$21,"F-",IF(R43&lt;'PlayerGrades+'!$AH$20,"F",IF(R43&lt;'PlayerGrades+'!$AH$19,"F+",IF(R43&lt;'PlayerGrades+'!$AH$18,"E-",IF(R43&lt;'PlayerGrades+'!$AH$17,"E",IF(R43&lt;'PlayerGrades+'!$AH$16,"E+",IF(R43&lt;'PlayerGrades+'!$AH$15,"D-",IF(R43&lt;'PlayerGrades+'!$AH$14,"D",IF(R43&lt;'PlayerGrades+'!$AH$13,"D+",IF(R43&lt;'PlayerGrades+'!$AH$12,"C-",IF(R43&lt;'PlayerGrades+'!$AH$11,"C",IF(R43&lt;'PlayerGrades+'!$AH$10,"C+",IF(R43&lt;'PlayerGrades+'!$AH$9,"B-",IF(R43&lt;'PlayerGrades+'!$AH$8,"B",IF(R43&lt;'PlayerGrades+'!$AH$7,"B+",IF(R43&lt;'PlayerGrades+'!$AH$6,"A-",IF(R43&lt;'PlayerGrades+'!$AH$5,"A",IF(R43&lt;'PlayerGrades+'!$AH$4,"A+",IF(R43&lt;'PlayerGrades+'!$AH$3,"S-",IF(R43&lt;'PlayerGrades+'!$AH$2,"S","S+"))))))))))))))))))))</f>
        <v>E-</v>
      </c>
      <c r="T43" s="937">
        <f t="shared" si="9"/>
        <v>1.333024977</v>
      </c>
      <c r="U43" s="937" t="str">
        <f>IF(T43&lt;'PlayerGrades+'!$AI$21,"F-",IF(T43&lt;'PlayerGrades+'!$AI$20,"F",IF(T43&lt;'PlayerGrades+'!$AI$19,"F+",IF(T43&lt;'PlayerGrades+'!$AI$18,"E-",IF(T43&lt;'PlayerGrades+'!$AI$17,"E",IF(T43&lt;'PlayerGrades+'!$AI$16,"E+",IF(T43&lt;'PlayerGrades+'!$AI$15,"D-",IF(T43&lt;'PlayerGrades+'!$AI$14,"D",IF(T43&lt;'PlayerGrades+'!$AI$13,"D+",IF(T43&lt;'PlayerGrades+'!$AI$12,"C-",IF(T43&lt;'PlayerGrades+'!$AI$11,"C",IF(T43&lt;'PlayerGrades+'!$AI$10,"C+",IF(T43&lt;'PlayerGrades+'!$AI$9,"B-",IF(T43&lt;'PlayerGrades+'!$AI$8,"B",IF(T43&lt;'PlayerGrades+'!$AI$7,"B+",IF(T43&lt;'PlayerGrades+'!$AI$6,"A-",IF(T43&lt;'PlayerGrades+'!$AI$5,"A",IF(T43&lt;'PlayerGrades+'!$AI$4,"A+",IF(T43&lt;'PlayerGrades+'!$AI$3,"S-",IF(T43&lt;'PlayerGrades+'!$AI$2,"S","S+"))))))))))))))))))))</f>
        <v>B-</v>
      </c>
      <c r="V43" s="941">
        <v>1.0</v>
      </c>
      <c r="W43" s="941">
        <v>0.0</v>
      </c>
      <c r="X43" s="941">
        <v>1.0</v>
      </c>
      <c r="Y43" s="941">
        <v>1.0</v>
      </c>
      <c r="Z43" s="941">
        <v>1.0</v>
      </c>
      <c r="AA43" s="941">
        <v>40.0</v>
      </c>
      <c r="AB43" s="941">
        <v>67.0</v>
      </c>
      <c r="AC43" s="941">
        <v>-27.0</v>
      </c>
      <c r="AD43" s="941">
        <v>4.0</v>
      </c>
      <c r="AE43" s="941">
        <v>3.0</v>
      </c>
      <c r="AF43" s="941">
        <v>1.0</v>
      </c>
      <c r="AG43" s="941">
        <v>769.0</v>
      </c>
      <c r="AH43" s="941">
        <v>1081.0</v>
      </c>
      <c r="AI43" s="941">
        <v>11.0</v>
      </c>
      <c r="AJ43" s="941">
        <v>86.0</v>
      </c>
      <c r="AK43" s="941">
        <v>0.0</v>
      </c>
      <c r="AL43" s="941">
        <v>0.0</v>
      </c>
      <c r="AM43" s="941">
        <v>0.0</v>
      </c>
      <c r="AN43" s="941">
        <v>0.0</v>
      </c>
      <c r="AO43" s="941">
        <v>0.0</v>
      </c>
      <c r="AP43" s="941">
        <v>0.0</v>
      </c>
      <c r="AQ43" s="941">
        <v>0.0</v>
      </c>
      <c r="AR43" s="941">
        <v>3.0</v>
      </c>
      <c r="AS43" s="941">
        <v>0.0</v>
      </c>
      <c r="AT43" s="941">
        <v>0.0</v>
      </c>
      <c r="AU43" s="941">
        <v>0.0</v>
      </c>
      <c r="AV43" s="941">
        <v>0.0</v>
      </c>
      <c r="AW43" s="941">
        <v>0.0</v>
      </c>
      <c r="AX43" s="941">
        <v>0.0</v>
      </c>
      <c r="AY43" s="941">
        <v>0.0</v>
      </c>
      <c r="AZ43" s="941">
        <v>0.0</v>
      </c>
      <c r="BA43" s="941">
        <v>0.0</v>
      </c>
      <c r="BB43" s="941">
        <v>3.0</v>
      </c>
      <c r="BC43" s="941">
        <v>0.0</v>
      </c>
      <c r="BD43" s="941">
        <v>4.0</v>
      </c>
      <c r="BE43" s="942">
        <v>6.0</v>
      </c>
      <c r="BF43" s="941">
        <v>1.0</v>
      </c>
      <c r="BG43" s="941">
        <v>0.0</v>
      </c>
    </row>
    <row r="44">
      <c r="A44" s="935" t="s">
        <v>139</v>
      </c>
      <c r="B44" s="16" t="str">
        <f>IF(C44&lt;'PlayerGrades+'!$Y$44,"F-",IF(C44&lt;'PlayerGrades+'!$Y$43,"F",IF(C44&lt;'PlayerGrades+'!$Y$42,"F+",IF(C44&lt;'PlayerGrades+'!$Y$41,"E-",IF(C44&lt;'PlayerGrades+'!$Y$40,"E",IF(C44&lt;'PlayerGrades+'!$Y$39,"E+",IF(C44&lt;'PlayerGrades+'!$Y$38,"D-",IF(C44&lt;'PlayerGrades+'!$Y$37,"D",IF(C44&lt;'PlayerGrades+'!$Y$36,"D+",IF(C44&lt;'PlayerGrades+'!$Y$35,"C-",IF(C44&lt;'PlayerGrades+'!$Y$34,"C",IF(C44&lt;'PlayerGrades+'!$Y$33,"C+",IF(C44&lt;'PlayerGrades+'!$Y$32,"B-",IF(C44&lt;'PlayerGrades+'!$Y$31,"B",IF(C44&lt;'PlayerGrades+'!$Y$30,"B+",IF(C44&lt;'PlayerGrades+'!$Y$29,"A-",IF(C44&lt;'PlayerGrades+'!$Y$28,"A",IF(C44&lt;'PlayerGrades+'!$Y$27,"A+",IF(C44&lt;'PlayerGrades+'!$Y$26,"S-",IF(C44&lt;'PlayerGrades+'!$Y$25,"S","S+"))))))))))))))))))))</f>
        <v>A</v>
      </c>
      <c r="C44" s="936">
        <f>('PlayerGrades+'!$Y$47*(VLOOKUP(E44, 'PlayerGrades+'!$X$3:$Y$23, 2, FALSE)))+('PlayerGrades+'!$Y$48*(VLOOKUP(G44, 'PlayerGrades+'!$X$3:$Y$23, 2, FALSE)))+('PlayerGrades+'!$Y$49*(VLOOKUP(I44, 'PlayerGrades+'!$X$3:$Y$23, 2, FALSE)))+('PlayerGrades+'!$Y$50*(VLOOKUP(K44, 'PlayerGrades+'!$X$3:$Y$23, 2, FALSE)))+('PlayerGrades+'!$Y$51*(VLOOKUP(M44, 'PlayerGrades+'!$X$3:$Y$23, 2, FALSE)))+('PlayerGrades+'!$Y$52*(VLOOKUP(O44, 'PlayerGrades+'!$X$3:$Y$23, 2, FALSE)))+('PlayerGrades+'!$Y$53*(VLOOKUP(Q44, 'PlayerGrades+'!$X$3:$Y$23, 2, FALSE)))+('PlayerGrades+'!$Y$54*(VLOOKUP(S44, 'PlayerGrades+'!$X$3:$Y$23, 2, FALSE)))+('PlayerGrades+'!$Y$55*(VLOOKUP(U44, 'PlayerGrades+'!$X$3:$Y$23, 2, FALSE)))</f>
        <v>25.75</v>
      </c>
      <c r="D44" s="937">
        <f t="shared" si="1"/>
        <v>0.05550416281</v>
      </c>
      <c r="E44" s="937" t="str">
        <f>IF(D44&lt;'PlayerGrades+'!$AA$21,"F-",IF(D44&lt;'PlayerGrades+'!$AA$20,"F",IF(D44&lt;'PlayerGrades+'!$AA$19,"F+",IF(D44&lt;'PlayerGrades+'!$AA$18,"E-",IF(D44&lt;'PlayerGrades+'!$AA$17,"E",IF(D44&lt;'PlayerGrades+'!$AA$16,"E+",IF(D44&lt;'PlayerGrades+'!$AA$15,"D-",IF(D44&lt;'PlayerGrades+'!$AA$14,"D",IF(D44&lt;'PlayerGrades+'!$AA$13,"D+",IF(D44&lt;'PlayerGrades+'!$AA$12,"C-",IF(D44&lt;'PlayerGrades+'!$AA$11,"C",IF(D44&lt;'PlayerGrades+'!$AA$10,"C+",IF(D44&lt;'PlayerGrades+'!$AA$9,"B-",IF(D44&lt;'PlayerGrades+'!$AA$8,"B",IF(D44&lt;'PlayerGrades+'!$AA$7,"B+",IF(D44&lt;'PlayerGrades+'!$AA$6,"A-",IF(D44&lt;'PlayerGrades+'!$AA$5,"A",IF(D44&lt;'PlayerGrades+'!$AA$4,"A+",IF(D44&lt;'PlayerGrades+'!$AA$3,"S-",IF(D44&lt;'PlayerGrades+'!$AA$2,"S","S+"))))))))))))))))))))</f>
        <v>B-</v>
      </c>
      <c r="F44" s="937">
        <f t="shared" si="2"/>
        <v>-0.5550416281</v>
      </c>
      <c r="G44" s="937" t="str">
        <f>IF(F44&lt;'PlayerGrades+'!$AB$21,"F-",IF(F44&lt;'PlayerGrades+'!$AB$20,"F",IF(F44&lt;'PlayerGrades+'!$AB$19,"F+",IF(F44&lt;'PlayerGrades+'!$AB$18,"E-",IF(F44&lt;'PlayerGrades+'!$AB$17,"E",IF(F44&lt;'PlayerGrades+'!$AB$16,"E+",IF(F44&lt;'PlayerGrades+'!$AB$15,"D-",IF(F44&lt;'PlayerGrades+'!$AB$14,"D",IF(F44&lt;'PlayerGrades+'!$AB$13,"D+",IF(F44&lt;'PlayerGrades+'!$AB$12,"C-",IF(F44&lt;'PlayerGrades+'!$AB$11,"C",IF(F44&lt;'PlayerGrades+'!$AB$10,"C+",IF(F44&lt;'PlayerGrades+'!$AB$9,"B-",IF(F44&lt;'PlayerGrades+'!$AB$8,"B",IF(F44&lt;'PlayerGrades+'!$AB$7,"B+",IF(F44&lt;'PlayerGrades+'!$AB$6,"A-",IF(F44&lt;'PlayerGrades+'!$AB$5,"A",IF(F44&lt;'PlayerGrades+'!$AB$4,"A+",IF(F44&lt;'PlayerGrades+'!$AB$3,"S-",IF(F44&lt;'PlayerGrades+'!$AB$2,"S","S+"))))))))))))))))))))</f>
        <v>D</v>
      </c>
      <c r="H44" s="937">
        <f t="shared" si="3"/>
        <v>0</v>
      </c>
      <c r="I44" s="937" t="str">
        <f>IF(H44&lt;'PlayerGrades+'!$AC$21,"F-",IF(H44&lt;'PlayerGrades+'!$AC$20,"F",IF(H44&lt;'PlayerGrades+'!$AC$19,"F+",IF(H44&lt;'PlayerGrades+'!$AC$18,"E-",IF(H44&lt;'PlayerGrades+'!$AC$17,"E",IF(H44&lt;'PlayerGrades+'!$AC$16,"E+",IF(H44&lt;'PlayerGrades+'!$AC$15,"D-",IF(H44&lt;'PlayerGrades+'!$AC$14,"D",IF(H44&lt;'PlayerGrades+'!$AC$13,"D+",IF(H44&lt;'PlayerGrades+'!$AC$12,"C-",IF(H44&lt;'PlayerGrades+'!$AC$11,"C",IF(H44&lt;'PlayerGrades+'!$AC$10,"C+",IF(H44&lt;'PlayerGrades+'!$AC$9,"B-",IF(H44&lt;'PlayerGrades+'!$AC$8,"B",IF(H44&lt;'PlayerGrades+'!$AC$7,"B+",IF(H44&lt;'PlayerGrades+'!$AC$6,"A-",IF(H44&lt;'PlayerGrades+'!$AC$5,"A",IF(H44&lt;'PlayerGrades+'!$AC$4,"A+",IF(H44&lt;'PlayerGrades+'!$AC$3,"S-",IF(H44&lt;'PlayerGrades+'!$AC$2,"S","S+"))))))))))))))))))))</f>
        <v>F-</v>
      </c>
      <c r="J44" s="937">
        <f t="shared" si="4"/>
        <v>0.05550416281</v>
      </c>
      <c r="K44" s="937" t="str">
        <f>IF(J44&lt;'PlayerGrades+'!$AD$21,"F-",IF(J44&lt;'PlayerGrades+'!$AD$20,"F",IF(J44&lt;'PlayerGrades+'!$AD$19,"F+",IF(J44&lt;'PlayerGrades+'!$AD$18,"E-",IF(J44&lt;'PlayerGrades+'!$AD$17,"E",IF(J44&lt;'PlayerGrades+'!$AD$16,"E+",IF(J44&lt;'PlayerGrades+'!$AD$15,"D-",IF(J44&lt;'PlayerGrades+'!$AD$14,"D",IF(J44&lt;'PlayerGrades+'!$AD$13,"D+",IF(J44&lt;'PlayerGrades+'!$AD$12,"C-",IF(J44&lt;'PlayerGrades+'!$AD$11,"C",IF(J44&lt;'PlayerGrades+'!$AD$10,"C+",IF(J44&lt;'PlayerGrades+'!$AD$9,"B-",IF(J44&lt;'PlayerGrades+'!$AD$8,"B",IF(J44&lt;'PlayerGrades+'!$AD$7,"B+",IF(J44&lt;'PlayerGrades+'!$AD$6,"A-",IF(J44&lt;'PlayerGrades+'!$AD$5,"A",IF(J44&lt;'PlayerGrades+'!$AD$4,"A+",IF(J44&lt;'PlayerGrades+'!$AD$3,"S-",IF(J44&lt;'PlayerGrades+'!$AD$2,"S","S+"))))))))))))))))))))</f>
        <v>B+</v>
      </c>
      <c r="L44" s="677">
        <f t="shared" si="5"/>
        <v>0.4995374653</v>
      </c>
      <c r="M44" s="938" t="str">
        <f>IF(L44&lt;'PlayerGrades+'!$AE$21,"F-",IF(L44&lt;'PlayerGrades+'!$AE$20,"F",IF(L44&lt;'PlayerGrades+'!$AE$19,"F+",IF(L44&lt;'PlayerGrades+'!$AE$18,"E-",IF(L44&lt;'PlayerGrades+'!$AE$17,"E",IF(L44&lt;'PlayerGrades+'!$AE$16,"E+",IF(L44&lt;'PlayerGrades+'!$AE$15,"D-",IF(L44&lt;'PlayerGrades+'!$AE$14,"D",IF(L44&lt;'PlayerGrades+'!$AE$13,"D+",IF(L44&lt;'PlayerGrades+'!$AE$12,"C-",IF(L44&lt;'PlayerGrades+'!$AE$11,"C",IF(L44&lt;'PlayerGrades+'!$AE$10,"C+",IF(L44&lt;'PlayerGrades+'!$AE$9,"B-",IF(L44&lt;'PlayerGrades+'!$AE$8,"B",IF(L44&lt;'PlayerGrades+'!$AE$7,"B+",IF(L44&lt;'PlayerGrades+'!$AE$6,"A-",IF(L44&lt;'PlayerGrades+'!$AE$5,"A",IF(L44&lt;'PlayerGrades+'!$AE$4,"A+",IF(L44&lt;'PlayerGrades+'!$AE$3,"S-",IF(L44&lt;'PlayerGrades+'!$AE$2,"S","S+"))))))))))))))))))))</f>
        <v>A-</v>
      </c>
      <c r="N44" s="937">
        <f t="shared" si="6"/>
        <v>0.1110083256</v>
      </c>
      <c r="O44" s="937" t="str">
        <f>IF(N44&lt;'PlayerGrades+'!$AF$21,"F-",IF(N44&lt;'PlayerGrades+'!$AF$20,"F",IF(N44&lt;'PlayerGrades+'!$AF$19,"F+",IF(N44&lt;'PlayerGrades+'!$AF$18,"E-",IF(N44&lt;'PlayerGrades+'!$AF$17,"E",IF(N44&lt;'PlayerGrades+'!$AF$16,"E+",IF(N44&lt;'PlayerGrades+'!$AF$15,"D-",IF(N44&lt;'PlayerGrades+'!$AF$14,"D",IF(N44&lt;'PlayerGrades+'!$AF$13,"D+",IF(N44&lt;'PlayerGrades+'!$AF$12,"C-",IF(N44&lt;'PlayerGrades+'!$AF$11,"C",IF(N44&lt;'PlayerGrades+'!$AF$10,"C+",IF(N44&lt;'PlayerGrades+'!$AF$9,"B-",IF(N44&lt;'PlayerGrades+'!$AF$8,"B",IF(N44&lt;'PlayerGrades+'!$AF$7,"B+",IF(N44&lt;'PlayerGrades+'!$AF$6,"A-",IF(N44&lt;'PlayerGrades+'!$AF$5,"A",IF(N44&lt;'PlayerGrades+'!$AF$4,"A+",IF(N44&lt;'PlayerGrades+'!$AF$3,"S-",IF(N44&lt;'PlayerGrades+'!$AF$2,"S","S+"))))))))))))))))))))</f>
        <v>S-</v>
      </c>
      <c r="P44" s="937">
        <f t="shared" si="7"/>
        <v>0.05550416281</v>
      </c>
      <c r="Q44" s="937" t="str">
        <f>IF(P44&lt;'PlayerGrades+'!$AG$21,"F-",IF(P44&lt;'PlayerGrades+'!$AG$20,"F",IF(P44&lt;'PlayerGrades+'!$AG$19,"F+",IF(P44&lt;'PlayerGrades+'!$AG$18,"E-",IF(P44&lt;'PlayerGrades+'!$AG$17,"E",IF(P44&lt;'PlayerGrades+'!$AG$16,"E+",IF(P44&lt;'PlayerGrades+'!$AG$15,"D-",IF(P44&lt;'PlayerGrades+'!$AG$14,"D",IF(P44&lt;'PlayerGrades+'!$AG$13,"D+",IF(P44&lt;'PlayerGrades+'!$AG$12,"C-",IF(P44&lt;'PlayerGrades+'!$AG$11,"C",IF(P44&lt;'PlayerGrades+'!$AG$10,"C+",IF(P44&lt;'PlayerGrades+'!$AG$9,"B-",IF(P44&lt;'PlayerGrades+'!$AG$8,"B",IF(P44&lt;'PlayerGrades+'!$AG$7,"B+",IF(P44&lt;'PlayerGrades+'!$AG$6,"A-",IF(P44&lt;'PlayerGrades+'!$AG$5,"A",IF(P44&lt;'PlayerGrades+'!$AG$4,"A+",IF(P44&lt;'PlayerGrades+'!$AG$3,"S-",IF(P44&lt;'PlayerGrades+'!$AG$2,"S","S+"))))))))))))))))))))</f>
        <v>A</v>
      </c>
      <c r="R44" s="937">
        <f t="shared" si="8"/>
        <v>0.7770582794</v>
      </c>
      <c r="S44" s="937" t="str">
        <f>IF(R44&lt;'PlayerGrades+'!$AH$21,"F-",IF(R44&lt;'PlayerGrades+'!$AH$20,"F",IF(R44&lt;'PlayerGrades+'!$AH$19,"F+",IF(R44&lt;'PlayerGrades+'!$AH$18,"E-",IF(R44&lt;'PlayerGrades+'!$AH$17,"E",IF(R44&lt;'PlayerGrades+'!$AH$16,"E+",IF(R44&lt;'PlayerGrades+'!$AH$15,"D-",IF(R44&lt;'PlayerGrades+'!$AH$14,"D",IF(R44&lt;'PlayerGrades+'!$AH$13,"D+",IF(R44&lt;'PlayerGrades+'!$AH$12,"C-",IF(R44&lt;'PlayerGrades+'!$AH$11,"C",IF(R44&lt;'PlayerGrades+'!$AH$10,"C+",IF(R44&lt;'PlayerGrades+'!$AH$9,"B-",IF(R44&lt;'PlayerGrades+'!$AH$8,"B",IF(R44&lt;'PlayerGrades+'!$AH$7,"B+",IF(R44&lt;'PlayerGrades+'!$AH$6,"A-",IF(R44&lt;'PlayerGrades+'!$AH$5,"A",IF(R44&lt;'PlayerGrades+'!$AH$4,"A+",IF(R44&lt;'PlayerGrades+'!$AH$3,"S-",IF(R44&lt;'PlayerGrades+'!$AH$2,"S","S+"))))))))))))))))))))</f>
        <v>S+</v>
      </c>
      <c r="T44" s="937">
        <f t="shared" si="9"/>
        <v>1.610545791</v>
      </c>
      <c r="U44" s="937" t="str">
        <f>IF(T44&lt;'PlayerGrades+'!$AI$21,"F-",IF(T44&lt;'PlayerGrades+'!$AI$20,"F",IF(T44&lt;'PlayerGrades+'!$AI$19,"F+",IF(T44&lt;'PlayerGrades+'!$AI$18,"E-",IF(T44&lt;'PlayerGrades+'!$AI$17,"E",IF(T44&lt;'PlayerGrades+'!$AI$16,"E+",IF(T44&lt;'PlayerGrades+'!$AI$15,"D-",IF(T44&lt;'PlayerGrades+'!$AI$14,"D",IF(T44&lt;'PlayerGrades+'!$AI$13,"D+",IF(T44&lt;'PlayerGrades+'!$AI$12,"C-",IF(T44&lt;'PlayerGrades+'!$AI$11,"C",IF(T44&lt;'PlayerGrades+'!$AI$10,"C+",IF(T44&lt;'PlayerGrades+'!$AI$9,"B-",IF(T44&lt;'PlayerGrades+'!$AI$8,"B",IF(T44&lt;'PlayerGrades+'!$AI$7,"B+",IF(T44&lt;'PlayerGrades+'!$AI$6,"A-",IF(T44&lt;'PlayerGrades+'!$AI$5,"A",IF(T44&lt;'PlayerGrades+'!$AI$4,"A+",IF(T44&lt;'PlayerGrades+'!$AI$3,"S-",IF(T44&lt;'PlayerGrades+'!$AI$2,"S","S+"))))))))))))))))))))</f>
        <v>S-</v>
      </c>
      <c r="V44" s="941">
        <v>1.0</v>
      </c>
      <c r="W44" s="941">
        <v>0.0</v>
      </c>
      <c r="X44" s="941">
        <v>1.0</v>
      </c>
      <c r="Y44" s="941">
        <v>1.0</v>
      </c>
      <c r="Z44" s="941">
        <v>0.0</v>
      </c>
      <c r="AA44" s="941">
        <v>66.0</v>
      </c>
      <c r="AB44" s="941">
        <v>76.0</v>
      </c>
      <c r="AC44" s="941">
        <v>-10.0</v>
      </c>
      <c r="AD44" s="941">
        <v>3.0</v>
      </c>
      <c r="AE44" s="941">
        <v>6.0</v>
      </c>
      <c r="AF44" s="941">
        <v>5.0</v>
      </c>
      <c r="AG44" s="941">
        <v>747.0</v>
      </c>
      <c r="AH44" s="941">
        <v>1081.0</v>
      </c>
      <c r="AI44" s="941">
        <v>9.0</v>
      </c>
      <c r="AJ44" s="941">
        <v>7.0</v>
      </c>
      <c r="AK44" s="941">
        <v>0.0</v>
      </c>
      <c r="AL44" s="941">
        <v>1.0</v>
      </c>
      <c r="AM44" s="941">
        <v>0.0</v>
      </c>
      <c r="AN44" s="941">
        <v>0.0</v>
      </c>
      <c r="AO44" s="941">
        <v>0.0</v>
      </c>
      <c r="AP44" s="941">
        <v>1.0</v>
      </c>
      <c r="AQ44" s="941">
        <v>0.0</v>
      </c>
      <c r="AR44" s="941">
        <v>9.0</v>
      </c>
      <c r="AS44" s="941">
        <v>2.0</v>
      </c>
      <c r="AT44" s="941">
        <v>1.0</v>
      </c>
      <c r="AU44" s="941">
        <v>1.0</v>
      </c>
      <c r="AV44" s="941">
        <v>0.0</v>
      </c>
      <c r="AW44" s="941">
        <v>0.0</v>
      </c>
      <c r="AX44" s="941">
        <v>0.0</v>
      </c>
      <c r="AY44" s="941">
        <v>0.0</v>
      </c>
      <c r="AZ44" s="941">
        <v>0.0</v>
      </c>
      <c r="BA44" s="941">
        <v>0.0</v>
      </c>
      <c r="BB44" s="941">
        <v>0.0</v>
      </c>
      <c r="BC44" s="941">
        <v>0.0</v>
      </c>
      <c r="BD44" s="941">
        <v>11.0</v>
      </c>
      <c r="BE44" s="942">
        <v>11.0</v>
      </c>
      <c r="BF44" s="941">
        <v>1.0</v>
      </c>
      <c r="BG44" s="941">
        <v>0.0</v>
      </c>
    </row>
    <row r="45">
      <c r="A45" s="935" t="s">
        <v>128</v>
      </c>
      <c r="B45" s="16" t="str">
        <f>IF(C45&lt;'PlayerGrades+'!$Y$44,"F-",IF(C45&lt;'PlayerGrades+'!$Y$43,"F",IF(C45&lt;'PlayerGrades+'!$Y$42,"F+",IF(C45&lt;'PlayerGrades+'!$Y$41,"E-",IF(C45&lt;'PlayerGrades+'!$Y$40,"E",IF(C45&lt;'PlayerGrades+'!$Y$39,"E+",IF(C45&lt;'PlayerGrades+'!$Y$38,"D-",IF(C45&lt;'PlayerGrades+'!$Y$37,"D",IF(C45&lt;'PlayerGrades+'!$Y$36,"D+",IF(C45&lt;'PlayerGrades+'!$Y$35,"C-",IF(C45&lt;'PlayerGrades+'!$Y$34,"C",IF(C45&lt;'PlayerGrades+'!$Y$33,"C+",IF(C45&lt;'PlayerGrades+'!$Y$32,"B-",IF(C45&lt;'PlayerGrades+'!$Y$31,"B",IF(C45&lt;'PlayerGrades+'!$Y$30,"B+",IF(C45&lt;'PlayerGrades+'!$Y$29,"A-",IF(C45&lt;'PlayerGrades+'!$Y$28,"A",IF(C45&lt;'PlayerGrades+'!$Y$27,"A+",IF(C45&lt;'PlayerGrades+'!$Y$26,"S-",IF(C45&lt;'PlayerGrades+'!$Y$25,"S","S+"))))))))))))))))))))</f>
        <v>E</v>
      </c>
      <c r="C45" s="936">
        <f>('PlayerGrades+'!$Y$47*(VLOOKUP(E45, 'PlayerGrades+'!$X$3:$Y$23, 2, FALSE)))+('PlayerGrades+'!$Y$48*(VLOOKUP(G45, 'PlayerGrades+'!$X$3:$Y$23, 2, FALSE)))+('PlayerGrades+'!$Y$49*(VLOOKUP(I45, 'PlayerGrades+'!$X$3:$Y$23, 2, FALSE)))+('PlayerGrades+'!$Y$50*(VLOOKUP(K45, 'PlayerGrades+'!$X$3:$Y$23, 2, FALSE)))+('PlayerGrades+'!$Y$51*(VLOOKUP(M45, 'PlayerGrades+'!$X$3:$Y$23, 2, FALSE)))+('PlayerGrades+'!$Y$52*(VLOOKUP(O45, 'PlayerGrades+'!$X$3:$Y$23, 2, FALSE)))+('PlayerGrades+'!$Y$53*(VLOOKUP(Q45, 'PlayerGrades+'!$X$3:$Y$23, 2, FALSE)))+('PlayerGrades+'!$Y$54*(VLOOKUP(S45, 'PlayerGrades+'!$X$3:$Y$23, 2, FALSE)))+('PlayerGrades+'!$Y$55*(VLOOKUP(U45, 'PlayerGrades+'!$X$3:$Y$23, 2, FALSE)))</f>
        <v>12.9</v>
      </c>
      <c r="D45" s="937">
        <f t="shared" si="1"/>
        <v>0.1665124884</v>
      </c>
      <c r="E45" s="937" t="str">
        <f>IF(D45&lt;'PlayerGrades+'!$AA$21,"F-",IF(D45&lt;'PlayerGrades+'!$AA$20,"F",IF(D45&lt;'PlayerGrades+'!$AA$19,"F+",IF(D45&lt;'PlayerGrades+'!$AA$18,"E-",IF(D45&lt;'PlayerGrades+'!$AA$17,"E",IF(D45&lt;'PlayerGrades+'!$AA$16,"E+",IF(D45&lt;'PlayerGrades+'!$AA$15,"D-",IF(D45&lt;'PlayerGrades+'!$AA$14,"D",IF(D45&lt;'PlayerGrades+'!$AA$13,"D+",IF(D45&lt;'PlayerGrades+'!$AA$12,"C-",IF(D45&lt;'PlayerGrades+'!$AA$11,"C",IF(D45&lt;'PlayerGrades+'!$AA$10,"C+",IF(D45&lt;'PlayerGrades+'!$AA$9,"B-",IF(D45&lt;'PlayerGrades+'!$AA$8,"B",IF(D45&lt;'PlayerGrades+'!$AA$7,"B+",IF(D45&lt;'PlayerGrades+'!$AA$6,"A-",IF(D45&lt;'PlayerGrades+'!$AA$5,"A",IF(D45&lt;'PlayerGrades+'!$AA$4,"A+",IF(D45&lt;'PlayerGrades+'!$AA$3,"S-",IF(D45&lt;'PlayerGrades+'!$AA$2,"S","S+"))))))))))))))))))))</f>
        <v>B+</v>
      </c>
      <c r="F45" s="937">
        <f t="shared" si="2"/>
        <v>-1.77613321</v>
      </c>
      <c r="G45" s="937" t="str">
        <f>IF(F45&lt;'PlayerGrades+'!$AB$21,"F-",IF(F45&lt;'PlayerGrades+'!$AB$20,"F",IF(F45&lt;'PlayerGrades+'!$AB$19,"F+",IF(F45&lt;'PlayerGrades+'!$AB$18,"E-",IF(F45&lt;'PlayerGrades+'!$AB$17,"E",IF(F45&lt;'PlayerGrades+'!$AB$16,"E+",IF(F45&lt;'PlayerGrades+'!$AB$15,"D-",IF(F45&lt;'PlayerGrades+'!$AB$14,"D",IF(F45&lt;'PlayerGrades+'!$AB$13,"D+",IF(F45&lt;'PlayerGrades+'!$AB$12,"C-",IF(F45&lt;'PlayerGrades+'!$AB$11,"C",IF(F45&lt;'PlayerGrades+'!$AB$10,"C+",IF(F45&lt;'PlayerGrades+'!$AB$9,"B-",IF(F45&lt;'PlayerGrades+'!$AB$8,"B",IF(F45&lt;'PlayerGrades+'!$AB$7,"B+",IF(F45&lt;'PlayerGrades+'!$AB$6,"A-",IF(F45&lt;'PlayerGrades+'!$AB$5,"A",IF(F45&lt;'PlayerGrades+'!$AB$4,"A+",IF(F45&lt;'PlayerGrades+'!$AB$3,"S-",IF(F45&lt;'PlayerGrades+'!$AB$2,"S","S+"))))))))))))))))))))</f>
        <v>F-</v>
      </c>
      <c r="H45" s="937">
        <f t="shared" si="3"/>
        <v>0.1665124884</v>
      </c>
      <c r="I45" s="937" t="str">
        <f>IF(H45&lt;'PlayerGrades+'!$AC$21,"F-",IF(H45&lt;'PlayerGrades+'!$AC$20,"F",IF(H45&lt;'PlayerGrades+'!$AC$19,"F+",IF(H45&lt;'PlayerGrades+'!$AC$18,"E-",IF(H45&lt;'PlayerGrades+'!$AC$17,"E",IF(H45&lt;'PlayerGrades+'!$AC$16,"E+",IF(H45&lt;'PlayerGrades+'!$AC$15,"D-",IF(H45&lt;'PlayerGrades+'!$AC$14,"D",IF(H45&lt;'PlayerGrades+'!$AC$13,"D+",IF(H45&lt;'PlayerGrades+'!$AC$12,"C-",IF(H45&lt;'PlayerGrades+'!$AC$11,"C",IF(H45&lt;'PlayerGrades+'!$AC$10,"C+",IF(H45&lt;'PlayerGrades+'!$AC$9,"B-",IF(H45&lt;'PlayerGrades+'!$AC$8,"B",IF(H45&lt;'PlayerGrades+'!$AC$7,"B+",IF(H45&lt;'PlayerGrades+'!$AC$6,"A-",IF(H45&lt;'PlayerGrades+'!$AC$5,"A",IF(H45&lt;'PlayerGrades+'!$AC$4,"A+",IF(H45&lt;'PlayerGrades+'!$AC$3,"S-",IF(H45&lt;'PlayerGrades+'!$AC$2,"S","S+"))))))))))))))))))))</f>
        <v>A+</v>
      </c>
      <c r="J45" s="937">
        <f t="shared" si="4"/>
        <v>0</v>
      </c>
      <c r="K45" s="937" t="str">
        <f>IF(J45&lt;'PlayerGrades+'!$AD$21,"F-",IF(J45&lt;'PlayerGrades+'!$AD$20,"F",IF(J45&lt;'PlayerGrades+'!$AD$19,"F+",IF(J45&lt;'PlayerGrades+'!$AD$18,"E-",IF(J45&lt;'PlayerGrades+'!$AD$17,"E",IF(J45&lt;'PlayerGrades+'!$AD$16,"E+",IF(J45&lt;'PlayerGrades+'!$AD$15,"D-",IF(J45&lt;'PlayerGrades+'!$AD$14,"D",IF(J45&lt;'PlayerGrades+'!$AD$13,"D+",IF(J45&lt;'PlayerGrades+'!$AD$12,"C-",IF(J45&lt;'PlayerGrades+'!$AD$11,"C",IF(J45&lt;'PlayerGrades+'!$AD$10,"C+",IF(J45&lt;'PlayerGrades+'!$AD$9,"B-",IF(J45&lt;'PlayerGrades+'!$AD$8,"B",IF(J45&lt;'PlayerGrades+'!$AD$7,"B+",IF(J45&lt;'PlayerGrades+'!$AD$6,"A-",IF(J45&lt;'PlayerGrades+'!$AD$5,"A",IF(J45&lt;'PlayerGrades+'!$AD$4,"A+",IF(J45&lt;'PlayerGrades+'!$AD$3,"S-",IF(J45&lt;'PlayerGrades+'!$AD$2,"S","S+"))))))))))))))))))))</f>
        <v>F-</v>
      </c>
      <c r="L45" s="677">
        <f t="shared" si="5"/>
        <v>0.1110083256</v>
      </c>
      <c r="M45" s="938" t="str">
        <f>IF(L45&lt;'PlayerGrades+'!$AE$21,"F-",IF(L45&lt;'PlayerGrades+'!$AE$20,"F",IF(L45&lt;'PlayerGrades+'!$AE$19,"F+",IF(L45&lt;'PlayerGrades+'!$AE$18,"E-",IF(L45&lt;'PlayerGrades+'!$AE$17,"E",IF(L45&lt;'PlayerGrades+'!$AE$16,"E+",IF(L45&lt;'PlayerGrades+'!$AE$15,"D-",IF(L45&lt;'PlayerGrades+'!$AE$14,"D",IF(L45&lt;'PlayerGrades+'!$AE$13,"D+",IF(L45&lt;'PlayerGrades+'!$AE$12,"C-",IF(L45&lt;'PlayerGrades+'!$AE$11,"C",IF(L45&lt;'PlayerGrades+'!$AE$10,"C+",IF(L45&lt;'PlayerGrades+'!$AE$9,"B-",IF(L45&lt;'PlayerGrades+'!$AE$8,"B",IF(L45&lt;'PlayerGrades+'!$AE$7,"B+",IF(L45&lt;'PlayerGrades+'!$AE$6,"A-",IF(L45&lt;'PlayerGrades+'!$AE$5,"A",IF(L45&lt;'PlayerGrades+'!$AE$4,"A+",IF(L45&lt;'PlayerGrades+'!$AE$3,"S-",IF(L45&lt;'PlayerGrades+'!$AE$2,"S","S+"))))))))))))))))))))</f>
        <v>F-</v>
      </c>
      <c r="N45" s="937">
        <f t="shared" si="6"/>
        <v>0</v>
      </c>
      <c r="O45" s="937" t="str">
        <f>IF(N45&lt;'PlayerGrades+'!$AF$21,"F-",IF(N45&lt;'PlayerGrades+'!$AF$20,"F",IF(N45&lt;'PlayerGrades+'!$AF$19,"F+",IF(N45&lt;'PlayerGrades+'!$AF$18,"E-",IF(N45&lt;'PlayerGrades+'!$AF$17,"E",IF(N45&lt;'PlayerGrades+'!$AF$16,"E+",IF(N45&lt;'PlayerGrades+'!$AF$15,"D-",IF(N45&lt;'PlayerGrades+'!$AF$14,"D",IF(N45&lt;'PlayerGrades+'!$AF$13,"D+",IF(N45&lt;'PlayerGrades+'!$AF$12,"C-",IF(N45&lt;'PlayerGrades+'!$AF$11,"C",IF(N45&lt;'PlayerGrades+'!$AF$10,"C+",IF(N45&lt;'PlayerGrades+'!$AF$9,"B-",IF(N45&lt;'PlayerGrades+'!$AF$8,"B",IF(N45&lt;'PlayerGrades+'!$AF$7,"B+",IF(N45&lt;'PlayerGrades+'!$AF$6,"A-",IF(N45&lt;'PlayerGrades+'!$AF$5,"A",IF(N45&lt;'PlayerGrades+'!$AF$4,"A+",IF(N45&lt;'PlayerGrades+'!$AF$3,"S-",IF(N45&lt;'PlayerGrades+'!$AF$2,"S","S+"))))))))))))))))))))</f>
        <v>F-</v>
      </c>
      <c r="P45" s="937">
        <f t="shared" si="7"/>
        <v>0</v>
      </c>
      <c r="Q45" s="937" t="str">
        <f>IF(P45&lt;'PlayerGrades+'!$AG$21,"F-",IF(P45&lt;'PlayerGrades+'!$AG$20,"F",IF(P45&lt;'PlayerGrades+'!$AG$19,"F+",IF(P45&lt;'PlayerGrades+'!$AG$18,"E-",IF(P45&lt;'PlayerGrades+'!$AG$17,"E",IF(P45&lt;'PlayerGrades+'!$AG$16,"E+",IF(P45&lt;'PlayerGrades+'!$AG$15,"D-",IF(P45&lt;'PlayerGrades+'!$AG$14,"D",IF(P45&lt;'PlayerGrades+'!$AG$13,"D+",IF(P45&lt;'PlayerGrades+'!$AG$12,"C-",IF(P45&lt;'PlayerGrades+'!$AG$11,"C",IF(P45&lt;'PlayerGrades+'!$AG$10,"C+",IF(P45&lt;'PlayerGrades+'!$AG$9,"B-",IF(P45&lt;'PlayerGrades+'!$AG$8,"B",IF(P45&lt;'PlayerGrades+'!$AG$7,"B+",IF(P45&lt;'PlayerGrades+'!$AG$6,"A-",IF(P45&lt;'PlayerGrades+'!$AG$5,"A",IF(P45&lt;'PlayerGrades+'!$AG$4,"A+",IF(P45&lt;'PlayerGrades+'!$AG$3,"S-",IF(P45&lt;'PlayerGrades+'!$AG$2,"S","S+"))))))))))))))))))))</f>
        <v>F</v>
      </c>
      <c r="R45" s="937">
        <f t="shared" si="8"/>
        <v>0.4995374653</v>
      </c>
      <c r="S45" s="937" t="str">
        <f>IF(R45&lt;'PlayerGrades+'!$AH$21,"F-",IF(R45&lt;'PlayerGrades+'!$AH$20,"F",IF(R45&lt;'PlayerGrades+'!$AH$19,"F+",IF(R45&lt;'PlayerGrades+'!$AH$18,"E-",IF(R45&lt;'PlayerGrades+'!$AH$17,"E",IF(R45&lt;'PlayerGrades+'!$AH$16,"E+",IF(R45&lt;'PlayerGrades+'!$AH$15,"D-",IF(R45&lt;'PlayerGrades+'!$AH$14,"D",IF(R45&lt;'PlayerGrades+'!$AH$13,"D+",IF(R45&lt;'PlayerGrades+'!$AH$12,"C-",IF(R45&lt;'PlayerGrades+'!$AH$11,"C",IF(R45&lt;'PlayerGrades+'!$AH$10,"C+",IF(R45&lt;'PlayerGrades+'!$AH$9,"B-",IF(R45&lt;'PlayerGrades+'!$AH$8,"B",IF(R45&lt;'PlayerGrades+'!$AH$7,"B+",IF(R45&lt;'PlayerGrades+'!$AH$6,"A-",IF(R45&lt;'PlayerGrades+'!$AH$5,"A",IF(R45&lt;'PlayerGrades+'!$AH$4,"A+",IF(R45&lt;'PlayerGrades+'!$AH$3,"S-",IF(R45&lt;'PlayerGrades+'!$AH$2,"S","S+"))))))))))))))))))))</f>
        <v>D-</v>
      </c>
      <c r="T45" s="937">
        <f t="shared" si="9"/>
        <v>1.555041628</v>
      </c>
      <c r="U45" s="937" t="str">
        <f>IF(T45&lt;'PlayerGrades+'!$AI$21,"F-",IF(T45&lt;'PlayerGrades+'!$AI$20,"F",IF(T45&lt;'PlayerGrades+'!$AI$19,"F+",IF(T45&lt;'PlayerGrades+'!$AI$18,"E-",IF(T45&lt;'PlayerGrades+'!$AI$17,"E",IF(T45&lt;'PlayerGrades+'!$AI$16,"E+",IF(T45&lt;'PlayerGrades+'!$AI$15,"D-",IF(T45&lt;'PlayerGrades+'!$AI$14,"D",IF(T45&lt;'PlayerGrades+'!$AI$13,"D+",IF(T45&lt;'PlayerGrades+'!$AI$12,"C-",IF(T45&lt;'PlayerGrades+'!$AI$11,"C",IF(T45&lt;'PlayerGrades+'!$AI$10,"C+",IF(T45&lt;'PlayerGrades+'!$AI$9,"B-",IF(T45&lt;'PlayerGrades+'!$AI$8,"B",IF(T45&lt;'PlayerGrades+'!$AI$7,"B+",IF(T45&lt;'PlayerGrades+'!$AI$6,"A-",IF(T45&lt;'PlayerGrades+'!$AI$5,"A",IF(T45&lt;'PlayerGrades+'!$AI$4,"A+",IF(T45&lt;'PlayerGrades+'!$AI$3,"S-",IF(T45&lt;'PlayerGrades+'!$AI$2,"S","S+"))))))))))))))))))))</f>
        <v>A+</v>
      </c>
      <c r="V45" s="941">
        <v>1.0</v>
      </c>
      <c r="W45" s="941">
        <v>0.0</v>
      </c>
      <c r="X45" s="941">
        <v>1.0</v>
      </c>
      <c r="Y45" s="941">
        <v>1.0</v>
      </c>
      <c r="Z45" s="941">
        <v>2.0</v>
      </c>
      <c r="AA45" s="941">
        <v>45.0</v>
      </c>
      <c r="AB45" s="941">
        <v>77.0</v>
      </c>
      <c r="AC45" s="941">
        <v>-32.0</v>
      </c>
      <c r="AD45" s="941">
        <v>1.0</v>
      </c>
      <c r="AE45" s="941">
        <v>3.0</v>
      </c>
      <c r="AF45" s="941">
        <v>2.0</v>
      </c>
      <c r="AG45" s="941">
        <v>747.0</v>
      </c>
      <c r="AH45" s="941">
        <v>1081.0</v>
      </c>
      <c r="AI45" s="941">
        <v>9.0</v>
      </c>
      <c r="AJ45" s="941">
        <v>43.0</v>
      </c>
      <c r="AK45" s="941">
        <v>0.0</v>
      </c>
      <c r="AL45" s="941">
        <v>0.0</v>
      </c>
      <c r="AM45" s="941">
        <v>0.0</v>
      </c>
      <c r="AN45" s="941">
        <v>0.0</v>
      </c>
      <c r="AO45" s="941">
        <v>0.0</v>
      </c>
      <c r="AP45" s="941">
        <v>0.0</v>
      </c>
      <c r="AQ45" s="941">
        <v>0.0</v>
      </c>
      <c r="AR45" s="941">
        <v>2.0</v>
      </c>
      <c r="AS45" s="941">
        <v>0.0</v>
      </c>
      <c r="AT45" s="941">
        <v>0.0</v>
      </c>
      <c r="AU45" s="941">
        <v>0.0</v>
      </c>
      <c r="AV45" s="941">
        <v>0.0</v>
      </c>
      <c r="AW45" s="941">
        <v>0.0</v>
      </c>
      <c r="AX45" s="941">
        <v>0.0</v>
      </c>
      <c r="AY45" s="941">
        <v>0.0</v>
      </c>
      <c r="AZ45" s="941">
        <v>0.0</v>
      </c>
      <c r="BA45" s="941">
        <v>0.0</v>
      </c>
      <c r="BB45" s="941">
        <v>3.0</v>
      </c>
      <c r="BC45" s="941">
        <v>0.0</v>
      </c>
      <c r="BD45" s="941">
        <v>8.0</v>
      </c>
      <c r="BE45" s="942">
        <v>10.0</v>
      </c>
      <c r="BF45" s="941">
        <v>1.0</v>
      </c>
      <c r="BG45" s="941">
        <v>0.0</v>
      </c>
    </row>
    <row r="46">
      <c r="A46" s="935" t="s">
        <v>121</v>
      </c>
      <c r="B46" s="16" t="str">
        <f>IF(C46&lt;'PlayerGrades+'!$Y$44,"F-",IF(C46&lt;'PlayerGrades+'!$Y$43,"F",IF(C46&lt;'PlayerGrades+'!$Y$42,"F+",IF(C46&lt;'PlayerGrades+'!$Y$41,"E-",IF(C46&lt;'PlayerGrades+'!$Y$40,"E",IF(C46&lt;'PlayerGrades+'!$Y$39,"E+",IF(C46&lt;'PlayerGrades+'!$Y$38,"D-",IF(C46&lt;'PlayerGrades+'!$Y$37,"D",IF(C46&lt;'PlayerGrades+'!$Y$36,"D+",IF(C46&lt;'PlayerGrades+'!$Y$35,"C-",IF(C46&lt;'PlayerGrades+'!$Y$34,"C",IF(C46&lt;'PlayerGrades+'!$Y$33,"C+",IF(C46&lt;'PlayerGrades+'!$Y$32,"B-",IF(C46&lt;'PlayerGrades+'!$Y$31,"B",IF(C46&lt;'PlayerGrades+'!$Y$30,"B+",IF(C46&lt;'PlayerGrades+'!$Y$29,"A-",IF(C46&lt;'PlayerGrades+'!$Y$28,"A",IF(C46&lt;'PlayerGrades+'!$Y$27,"A+",IF(C46&lt;'PlayerGrades+'!$Y$26,"S-",IF(C46&lt;'PlayerGrades+'!$Y$25,"S","S+"))))))))))))))))))))</f>
        <v>S-</v>
      </c>
      <c r="C46" s="936">
        <f>('PlayerGrades+'!$Y$47*(VLOOKUP(E46, 'PlayerGrades+'!$X$3:$Y$23, 2, FALSE)))+('PlayerGrades+'!$Y$48*(VLOOKUP(G46, 'PlayerGrades+'!$X$3:$Y$23, 2, FALSE)))+('PlayerGrades+'!$Y$49*(VLOOKUP(I46, 'PlayerGrades+'!$X$3:$Y$23, 2, FALSE)))+('PlayerGrades+'!$Y$50*(VLOOKUP(K46, 'PlayerGrades+'!$X$3:$Y$23, 2, FALSE)))+('PlayerGrades+'!$Y$51*(VLOOKUP(M46, 'PlayerGrades+'!$X$3:$Y$23, 2, FALSE)))+('PlayerGrades+'!$Y$52*(VLOOKUP(O46, 'PlayerGrades+'!$X$3:$Y$23, 2, FALSE)))+('PlayerGrades+'!$Y$53*(VLOOKUP(Q46, 'PlayerGrades+'!$X$3:$Y$23, 2, FALSE)))+('PlayerGrades+'!$Y$54*(VLOOKUP(S46, 'PlayerGrades+'!$X$3:$Y$23, 2, FALSE)))+('PlayerGrades+'!$Y$55*(VLOOKUP(U46, 'PlayerGrades+'!$X$3:$Y$23, 2, FALSE)))</f>
        <v>31.4</v>
      </c>
      <c r="D46" s="937">
        <f t="shared" si="1"/>
        <v>0</v>
      </c>
      <c r="E46" s="937" t="str">
        <f>IF(D46&lt;'PlayerGrades+'!$AA$21,"F-",IF(D46&lt;'PlayerGrades+'!$AA$20,"F",IF(D46&lt;'PlayerGrades+'!$AA$19,"F+",IF(D46&lt;'PlayerGrades+'!$AA$18,"E-",IF(D46&lt;'PlayerGrades+'!$AA$17,"E",IF(D46&lt;'PlayerGrades+'!$AA$16,"E+",IF(D46&lt;'PlayerGrades+'!$AA$15,"D-",IF(D46&lt;'PlayerGrades+'!$AA$14,"D",IF(D46&lt;'PlayerGrades+'!$AA$13,"D+",IF(D46&lt;'PlayerGrades+'!$AA$12,"C-",IF(D46&lt;'PlayerGrades+'!$AA$11,"C",IF(D46&lt;'PlayerGrades+'!$AA$10,"C+",IF(D46&lt;'PlayerGrades+'!$AA$9,"B-",IF(D46&lt;'PlayerGrades+'!$AA$8,"B",IF(D46&lt;'PlayerGrades+'!$AA$7,"B+",IF(D46&lt;'PlayerGrades+'!$AA$6,"A-",IF(D46&lt;'PlayerGrades+'!$AA$5,"A",IF(D46&lt;'PlayerGrades+'!$AA$4,"A+",IF(D46&lt;'PlayerGrades+'!$AA$3,"S-",IF(D46&lt;'PlayerGrades+'!$AA$2,"S","S+"))))))))))))))))))))</f>
        <v>F-</v>
      </c>
      <c r="F46" s="937">
        <f t="shared" si="2"/>
        <v>2.664199815</v>
      </c>
      <c r="G46" s="937" t="str">
        <f>IF(F46&lt;'PlayerGrades+'!$AB$21,"F-",IF(F46&lt;'PlayerGrades+'!$AB$20,"F",IF(F46&lt;'PlayerGrades+'!$AB$19,"F+",IF(F46&lt;'PlayerGrades+'!$AB$18,"E-",IF(F46&lt;'PlayerGrades+'!$AB$17,"E",IF(F46&lt;'PlayerGrades+'!$AB$16,"E+",IF(F46&lt;'PlayerGrades+'!$AB$15,"D-",IF(F46&lt;'PlayerGrades+'!$AB$14,"D",IF(F46&lt;'PlayerGrades+'!$AB$13,"D+",IF(F46&lt;'PlayerGrades+'!$AB$12,"C-",IF(F46&lt;'PlayerGrades+'!$AB$11,"C",IF(F46&lt;'PlayerGrades+'!$AB$10,"C+",IF(F46&lt;'PlayerGrades+'!$AB$9,"B-",IF(F46&lt;'PlayerGrades+'!$AB$8,"B",IF(F46&lt;'PlayerGrades+'!$AB$7,"B+",IF(F46&lt;'PlayerGrades+'!$AB$6,"A-",IF(F46&lt;'PlayerGrades+'!$AB$5,"A",IF(F46&lt;'PlayerGrades+'!$AB$4,"A+",IF(F46&lt;'PlayerGrades+'!$AB$3,"S-",IF(F46&lt;'PlayerGrades+'!$AB$2,"S","S+"))))))))))))))))))))</f>
        <v>S+</v>
      </c>
      <c r="H46" s="937">
        <f t="shared" si="3"/>
        <v>0.5550416281</v>
      </c>
      <c r="I46" s="937" t="str">
        <f>IF(H46&lt;'PlayerGrades+'!$AC$21,"F-",IF(H46&lt;'PlayerGrades+'!$AC$20,"F",IF(H46&lt;'PlayerGrades+'!$AC$19,"F+",IF(H46&lt;'PlayerGrades+'!$AC$18,"E-",IF(H46&lt;'PlayerGrades+'!$AC$17,"E",IF(H46&lt;'PlayerGrades+'!$AC$16,"E+",IF(H46&lt;'PlayerGrades+'!$AC$15,"D-",IF(H46&lt;'PlayerGrades+'!$AC$14,"D",IF(H46&lt;'PlayerGrades+'!$AC$13,"D+",IF(H46&lt;'PlayerGrades+'!$AC$12,"C-",IF(H46&lt;'PlayerGrades+'!$AC$11,"C",IF(H46&lt;'PlayerGrades+'!$AC$10,"C+",IF(H46&lt;'PlayerGrades+'!$AC$9,"B-",IF(H46&lt;'PlayerGrades+'!$AC$8,"B",IF(H46&lt;'PlayerGrades+'!$AC$7,"B+",IF(H46&lt;'PlayerGrades+'!$AC$6,"A-",IF(H46&lt;'PlayerGrades+'!$AC$5,"A",IF(H46&lt;'PlayerGrades+'!$AC$4,"A+",IF(H46&lt;'PlayerGrades+'!$AC$3,"S-",IF(H46&lt;'PlayerGrades+'!$AC$2,"S","S+"))))))))))))))))))))</f>
        <v>S+</v>
      </c>
      <c r="J46" s="937">
        <f t="shared" si="4"/>
        <v>0.2220166512</v>
      </c>
      <c r="K46" s="937" t="str">
        <f>IF(J46&lt;'PlayerGrades+'!$AD$21,"F-",IF(J46&lt;'PlayerGrades+'!$AD$20,"F",IF(J46&lt;'PlayerGrades+'!$AD$19,"F+",IF(J46&lt;'PlayerGrades+'!$AD$18,"E-",IF(J46&lt;'PlayerGrades+'!$AD$17,"E",IF(J46&lt;'PlayerGrades+'!$AD$16,"E+",IF(J46&lt;'PlayerGrades+'!$AD$15,"D-",IF(J46&lt;'PlayerGrades+'!$AD$14,"D",IF(J46&lt;'PlayerGrades+'!$AD$13,"D+",IF(J46&lt;'PlayerGrades+'!$AD$12,"C-",IF(J46&lt;'PlayerGrades+'!$AD$11,"C",IF(J46&lt;'PlayerGrades+'!$AD$10,"C+",IF(J46&lt;'PlayerGrades+'!$AD$9,"B-",IF(J46&lt;'PlayerGrades+'!$AD$8,"B",IF(J46&lt;'PlayerGrades+'!$AD$7,"B+",IF(J46&lt;'PlayerGrades+'!$AD$6,"A-",IF(J46&lt;'PlayerGrades+'!$AD$5,"A",IF(J46&lt;'PlayerGrades+'!$AD$4,"A+",IF(J46&lt;'PlayerGrades+'!$AD$3,"S-",IF(J46&lt;'PlayerGrades+'!$AD$2,"S","S+"))))))))))))))))))))</f>
        <v>S+</v>
      </c>
      <c r="L46" s="677">
        <f t="shared" si="5"/>
        <v>1.332099907</v>
      </c>
      <c r="M46" s="938" t="str">
        <f>IF(L46&lt;'PlayerGrades+'!$AE$21,"F-",IF(L46&lt;'PlayerGrades+'!$AE$20,"F",IF(L46&lt;'PlayerGrades+'!$AE$19,"F+",IF(L46&lt;'PlayerGrades+'!$AE$18,"E-",IF(L46&lt;'PlayerGrades+'!$AE$17,"E",IF(L46&lt;'PlayerGrades+'!$AE$16,"E+",IF(L46&lt;'PlayerGrades+'!$AE$15,"D-",IF(L46&lt;'PlayerGrades+'!$AE$14,"D",IF(L46&lt;'PlayerGrades+'!$AE$13,"D+",IF(L46&lt;'PlayerGrades+'!$AE$12,"C-",IF(L46&lt;'PlayerGrades+'!$AE$11,"C",IF(L46&lt;'PlayerGrades+'!$AE$10,"C+",IF(L46&lt;'PlayerGrades+'!$AE$9,"B-",IF(L46&lt;'PlayerGrades+'!$AE$8,"B",IF(L46&lt;'PlayerGrades+'!$AE$7,"B+",IF(L46&lt;'PlayerGrades+'!$AE$6,"A-",IF(L46&lt;'PlayerGrades+'!$AE$5,"A",IF(L46&lt;'PlayerGrades+'!$AE$4,"A+",IF(L46&lt;'PlayerGrades+'!$AE$3,"S-",IF(L46&lt;'PlayerGrades+'!$AE$2,"S","S+"))))))))))))))))))))</f>
        <v>S+</v>
      </c>
      <c r="N46" s="937">
        <f t="shared" si="6"/>
        <v>0.3885291397</v>
      </c>
      <c r="O46" s="937" t="str">
        <f>IF(N46&lt;'PlayerGrades+'!$AF$21,"F-",IF(N46&lt;'PlayerGrades+'!$AF$20,"F",IF(N46&lt;'PlayerGrades+'!$AF$19,"F+",IF(N46&lt;'PlayerGrades+'!$AF$18,"E-",IF(N46&lt;'PlayerGrades+'!$AF$17,"E",IF(N46&lt;'PlayerGrades+'!$AF$16,"E+",IF(N46&lt;'PlayerGrades+'!$AF$15,"D-",IF(N46&lt;'PlayerGrades+'!$AF$14,"D",IF(N46&lt;'PlayerGrades+'!$AF$13,"D+",IF(N46&lt;'PlayerGrades+'!$AF$12,"C-",IF(N46&lt;'PlayerGrades+'!$AF$11,"C",IF(N46&lt;'PlayerGrades+'!$AF$10,"C+",IF(N46&lt;'PlayerGrades+'!$AF$9,"B-",IF(N46&lt;'PlayerGrades+'!$AF$8,"B",IF(N46&lt;'PlayerGrades+'!$AF$7,"B+",IF(N46&lt;'PlayerGrades+'!$AF$6,"A-",IF(N46&lt;'PlayerGrades+'!$AF$5,"A",IF(N46&lt;'PlayerGrades+'!$AF$4,"A+",IF(N46&lt;'PlayerGrades+'!$AF$3,"S-",IF(N46&lt;'PlayerGrades+'!$AF$2,"S","S+"))))))))))))))))))))</f>
        <v>S+</v>
      </c>
      <c r="P46" s="937">
        <f t="shared" si="7"/>
        <v>0.2220166512</v>
      </c>
      <c r="Q46" s="937" t="str">
        <f>IF(P46&lt;'PlayerGrades+'!$AG$21,"F-",IF(P46&lt;'PlayerGrades+'!$AG$20,"F",IF(P46&lt;'PlayerGrades+'!$AG$19,"F+",IF(P46&lt;'PlayerGrades+'!$AG$18,"E-",IF(P46&lt;'PlayerGrades+'!$AG$17,"E",IF(P46&lt;'PlayerGrades+'!$AG$16,"E+",IF(P46&lt;'PlayerGrades+'!$AG$15,"D-",IF(P46&lt;'PlayerGrades+'!$AG$14,"D",IF(P46&lt;'PlayerGrades+'!$AG$13,"D+",IF(P46&lt;'PlayerGrades+'!$AG$12,"C-",IF(P46&lt;'PlayerGrades+'!$AG$11,"C",IF(P46&lt;'PlayerGrades+'!$AG$10,"C+",IF(P46&lt;'PlayerGrades+'!$AG$9,"B-",IF(P46&lt;'PlayerGrades+'!$AG$8,"B",IF(P46&lt;'PlayerGrades+'!$AG$7,"B+",IF(P46&lt;'PlayerGrades+'!$AG$6,"A-",IF(P46&lt;'PlayerGrades+'!$AG$5,"A",IF(P46&lt;'PlayerGrades+'!$AG$4,"A+",IF(P46&lt;'PlayerGrades+'!$AG$3,"S-",IF(P46&lt;'PlayerGrades+'!$AG$2,"S","S+"))))))))))))))))))))</f>
        <v>S+</v>
      </c>
      <c r="R46" s="937">
        <f t="shared" si="8"/>
        <v>1.332099907</v>
      </c>
      <c r="S46" s="937" t="str">
        <f>IF(R46&lt;'PlayerGrades+'!$AH$21,"F-",IF(R46&lt;'PlayerGrades+'!$AH$20,"F",IF(R46&lt;'PlayerGrades+'!$AH$19,"F+",IF(R46&lt;'PlayerGrades+'!$AH$18,"E-",IF(R46&lt;'PlayerGrades+'!$AH$17,"E",IF(R46&lt;'PlayerGrades+'!$AH$16,"E+",IF(R46&lt;'PlayerGrades+'!$AH$15,"D-",IF(R46&lt;'PlayerGrades+'!$AH$14,"D",IF(R46&lt;'PlayerGrades+'!$AH$13,"D+",IF(R46&lt;'PlayerGrades+'!$AH$12,"C-",IF(R46&lt;'PlayerGrades+'!$AH$11,"C",IF(R46&lt;'PlayerGrades+'!$AH$10,"C+",IF(R46&lt;'PlayerGrades+'!$AH$9,"B-",IF(R46&lt;'PlayerGrades+'!$AH$8,"B",IF(R46&lt;'PlayerGrades+'!$AH$7,"B+",IF(R46&lt;'PlayerGrades+'!$AH$6,"A-",IF(R46&lt;'PlayerGrades+'!$AH$5,"A",IF(R46&lt;'PlayerGrades+'!$AH$4,"A+",IF(R46&lt;'PlayerGrades+'!$AH$3,"S-",IF(R46&lt;'PlayerGrades+'!$AH$2,"S","S+"))))))))))))))))))))</f>
        <v>S+</v>
      </c>
      <c r="T46" s="937">
        <f t="shared" si="9"/>
        <v>0.6105457909</v>
      </c>
      <c r="U46" s="937" t="str">
        <f>IF(T46&lt;'PlayerGrades+'!$AI$21,"F-",IF(T46&lt;'PlayerGrades+'!$AI$20,"F",IF(T46&lt;'PlayerGrades+'!$AI$19,"F+",IF(T46&lt;'PlayerGrades+'!$AI$18,"E-",IF(T46&lt;'PlayerGrades+'!$AI$17,"E",IF(T46&lt;'PlayerGrades+'!$AI$16,"E+",IF(T46&lt;'PlayerGrades+'!$AI$15,"D-",IF(T46&lt;'PlayerGrades+'!$AI$14,"D",IF(T46&lt;'PlayerGrades+'!$AI$13,"D+",IF(T46&lt;'PlayerGrades+'!$AI$12,"C-",IF(T46&lt;'PlayerGrades+'!$AI$11,"C",IF(T46&lt;'PlayerGrades+'!$AI$10,"C+",IF(T46&lt;'PlayerGrades+'!$AI$9,"B-",IF(T46&lt;'PlayerGrades+'!$AI$8,"B",IF(T46&lt;'PlayerGrades+'!$AI$7,"B+",IF(T46&lt;'PlayerGrades+'!$AI$6,"A-",IF(T46&lt;'PlayerGrades+'!$AI$5,"A",IF(T46&lt;'PlayerGrades+'!$AI$4,"A+",IF(T46&lt;'PlayerGrades+'!$AI$3,"S-",IF(T46&lt;'PlayerGrades+'!$AI$2,"S","S+"))))))))))))))))))))</f>
        <v>F-</v>
      </c>
      <c r="V46" s="941">
        <v>1.0</v>
      </c>
      <c r="W46" s="941">
        <v>1.0</v>
      </c>
      <c r="X46" s="941">
        <v>0.0</v>
      </c>
      <c r="Y46" s="941">
        <v>0.0</v>
      </c>
      <c r="Z46" s="941">
        <v>0.0</v>
      </c>
      <c r="AA46" s="941">
        <v>98.0</v>
      </c>
      <c r="AB46" s="941">
        <v>50.0</v>
      </c>
      <c r="AC46" s="941">
        <v>48.0</v>
      </c>
      <c r="AD46" s="941">
        <v>7.0</v>
      </c>
      <c r="AE46" s="941">
        <v>8.0</v>
      </c>
      <c r="AF46" s="941">
        <v>1.0</v>
      </c>
      <c r="AG46" s="941">
        <v>821.0</v>
      </c>
      <c r="AH46" s="941">
        <v>1081.0</v>
      </c>
      <c r="AI46" s="941">
        <v>16.0</v>
      </c>
      <c r="AJ46" s="941">
        <v>42.0</v>
      </c>
      <c r="AK46" s="941">
        <v>0.0</v>
      </c>
      <c r="AL46" s="941">
        <v>4.0</v>
      </c>
      <c r="AM46" s="941">
        <v>0.0</v>
      </c>
      <c r="AN46" s="941">
        <v>0.0</v>
      </c>
      <c r="AO46" s="941">
        <v>0.0</v>
      </c>
      <c r="AP46" s="941">
        <v>4.0</v>
      </c>
      <c r="AQ46" s="941">
        <v>0.0</v>
      </c>
      <c r="AR46" s="941">
        <v>24.0</v>
      </c>
      <c r="AS46" s="941">
        <v>7.0</v>
      </c>
      <c r="AT46" s="941">
        <v>1.0</v>
      </c>
      <c r="AU46" s="941">
        <v>0.0</v>
      </c>
      <c r="AV46" s="941">
        <v>0.0</v>
      </c>
      <c r="AW46" s="941">
        <v>0.0</v>
      </c>
      <c r="AX46" s="941">
        <v>0.0</v>
      </c>
      <c r="AY46" s="941">
        <v>0.0</v>
      </c>
      <c r="AZ46" s="941">
        <v>0.0</v>
      </c>
      <c r="BA46" s="941">
        <v>0.0</v>
      </c>
      <c r="BB46" s="941">
        <v>10.0</v>
      </c>
      <c r="BC46" s="941">
        <v>0.0</v>
      </c>
      <c r="BD46" s="941">
        <v>17.0</v>
      </c>
      <c r="BE46" s="942">
        <v>11.0</v>
      </c>
      <c r="BF46" s="941">
        <v>0.0</v>
      </c>
      <c r="BG46" s="941">
        <v>1.0</v>
      </c>
    </row>
    <row r="47">
      <c r="A47" s="935" t="s">
        <v>514</v>
      </c>
      <c r="B47" s="16" t="str">
        <f>IF(C47&lt;'PlayerGrades+'!$Y$44,"F-",IF(C47&lt;'PlayerGrades+'!$Y$43,"F",IF(C47&lt;'PlayerGrades+'!$Y$42,"F+",IF(C47&lt;'PlayerGrades+'!$Y$41,"E-",IF(C47&lt;'PlayerGrades+'!$Y$40,"E",IF(C47&lt;'PlayerGrades+'!$Y$39,"E+",IF(C47&lt;'PlayerGrades+'!$Y$38,"D-",IF(C47&lt;'PlayerGrades+'!$Y$37,"D",IF(C47&lt;'PlayerGrades+'!$Y$36,"D+",IF(C47&lt;'PlayerGrades+'!$Y$35,"C-",IF(C47&lt;'PlayerGrades+'!$Y$34,"C",IF(C47&lt;'PlayerGrades+'!$Y$33,"C+",IF(C47&lt;'PlayerGrades+'!$Y$32,"B-",IF(C47&lt;'PlayerGrades+'!$Y$31,"B",IF(C47&lt;'PlayerGrades+'!$Y$30,"B+",IF(C47&lt;'PlayerGrades+'!$Y$29,"A-",IF(C47&lt;'PlayerGrades+'!$Y$28,"A",IF(C47&lt;'PlayerGrades+'!$Y$27,"A+",IF(C47&lt;'PlayerGrades+'!$Y$26,"S-",IF(C47&lt;'PlayerGrades+'!$Y$25,"S","S+"))))))))))))))))))))</f>
        <v>A</v>
      </c>
      <c r="C47" s="936">
        <f>('PlayerGrades+'!$Y$47*(VLOOKUP(E47, 'PlayerGrades+'!$X$3:$Y$23, 2, FALSE)))+('PlayerGrades+'!$Y$48*(VLOOKUP(G47, 'PlayerGrades+'!$X$3:$Y$23, 2, FALSE)))+('PlayerGrades+'!$Y$49*(VLOOKUP(I47, 'PlayerGrades+'!$X$3:$Y$23, 2, FALSE)))+('PlayerGrades+'!$Y$50*(VLOOKUP(K47, 'PlayerGrades+'!$X$3:$Y$23, 2, FALSE)))+('PlayerGrades+'!$Y$51*(VLOOKUP(M47, 'PlayerGrades+'!$X$3:$Y$23, 2, FALSE)))+('PlayerGrades+'!$Y$52*(VLOOKUP(O47, 'PlayerGrades+'!$X$3:$Y$23, 2, FALSE)))+('PlayerGrades+'!$Y$53*(VLOOKUP(Q47, 'PlayerGrades+'!$X$3:$Y$23, 2, FALSE)))+('PlayerGrades+'!$Y$54*(VLOOKUP(S47, 'PlayerGrades+'!$X$3:$Y$23, 2, FALSE)))+('PlayerGrades+'!$Y$55*(VLOOKUP(U47, 'PlayerGrades+'!$X$3:$Y$23, 2, FALSE)))</f>
        <v>26.1</v>
      </c>
      <c r="D47" s="937">
        <f t="shared" si="1"/>
        <v>0</v>
      </c>
      <c r="E47" s="937" t="str">
        <f>IF(D47&lt;'PlayerGrades+'!$AA$21,"F-",IF(D47&lt;'PlayerGrades+'!$AA$20,"F",IF(D47&lt;'PlayerGrades+'!$AA$19,"F+",IF(D47&lt;'PlayerGrades+'!$AA$18,"E-",IF(D47&lt;'PlayerGrades+'!$AA$17,"E",IF(D47&lt;'PlayerGrades+'!$AA$16,"E+",IF(D47&lt;'PlayerGrades+'!$AA$15,"D-",IF(D47&lt;'PlayerGrades+'!$AA$14,"D",IF(D47&lt;'PlayerGrades+'!$AA$13,"D+",IF(D47&lt;'PlayerGrades+'!$AA$12,"C-",IF(D47&lt;'PlayerGrades+'!$AA$11,"C",IF(D47&lt;'PlayerGrades+'!$AA$10,"C+",IF(D47&lt;'PlayerGrades+'!$AA$9,"B-",IF(D47&lt;'PlayerGrades+'!$AA$8,"B",IF(D47&lt;'PlayerGrades+'!$AA$7,"B+",IF(D47&lt;'PlayerGrades+'!$AA$6,"A-",IF(D47&lt;'PlayerGrades+'!$AA$5,"A",IF(D47&lt;'PlayerGrades+'!$AA$4,"A+",IF(D47&lt;'PlayerGrades+'!$AA$3,"S-",IF(D47&lt;'PlayerGrades+'!$AA$2,"S","S+"))))))))))))))))))))</f>
        <v>F-</v>
      </c>
      <c r="F47" s="937">
        <f t="shared" si="2"/>
        <v>0.4440333025</v>
      </c>
      <c r="G47" s="937" t="str">
        <f>IF(F47&lt;'PlayerGrades+'!$AB$21,"F-",IF(F47&lt;'PlayerGrades+'!$AB$20,"F",IF(F47&lt;'PlayerGrades+'!$AB$19,"F+",IF(F47&lt;'PlayerGrades+'!$AB$18,"E-",IF(F47&lt;'PlayerGrades+'!$AB$17,"E",IF(F47&lt;'PlayerGrades+'!$AB$16,"E+",IF(F47&lt;'PlayerGrades+'!$AB$15,"D-",IF(F47&lt;'PlayerGrades+'!$AB$14,"D",IF(F47&lt;'PlayerGrades+'!$AB$13,"D+",IF(F47&lt;'PlayerGrades+'!$AB$12,"C-",IF(F47&lt;'PlayerGrades+'!$AB$11,"C",IF(F47&lt;'PlayerGrades+'!$AB$10,"C+",IF(F47&lt;'PlayerGrades+'!$AB$9,"B-",IF(F47&lt;'PlayerGrades+'!$AB$8,"B",IF(F47&lt;'PlayerGrades+'!$AB$7,"B+",IF(F47&lt;'PlayerGrades+'!$AB$6,"A-",IF(F47&lt;'PlayerGrades+'!$AB$5,"A",IF(F47&lt;'PlayerGrades+'!$AB$4,"A+",IF(F47&lt;'PlayerGrades+'!$AB$3,"S-",IF(F47&lt;'PlayerGrades+'!$AB$2,"S","S+"))))))))))))))))))))</f>
        <v>A+</v>
      </c>
      <c r="H47" s="937">
        <f t="shared" si="3"/>
        <v>0.3330249769</v>
      </c>
      <c r="I47" s="937" t="str">
        <f>IF(H47&lt;'PlayerGrades+'!$AC$21,"F-",IF(H47&lt;'PlayerGrades+'!$AC$20,"F",IF(H47&lt;'PlayerGrades+'!$AC$19,"F+",IF(H47&lt;'PlayerGrades+'!$AC$18,"E-",IF(H47&lt;'PlayerGrades+'!$AC$17,"E",IF(H47&lt;'PlayerGrades+'!$AC$16,"E+",IF(H47&lt;'PlayerGrades+'!$AC$15,"D-",IF(H47&lt;'PlayerGrades+'!$AC$14,"D",IF(H47&lt;'PlayerGrades+'!$AC$13,"D+",IF(H47&lt;'PlayerGrades+'!$AC$12,"C-",IF(H47&lt;'PlayerGrades+'!$AC$11,"C",IF(H47&lt;'PlayerGrades+'!$AC$10,"C+",IF(H47&lt;'PlayerGrades+'!$AC$9,"B-",IF(H47&lt;'PlayerGrades+'!$AC$8,"B",IF(H47&lt;'PlayerGrades+'!$AC$7,"B+",IF(H47&lt;'PlayerGrades+'!$AC$6,"A-",IF(H47&lt;'PlayerGrades+'!$AC$5,"A",IF(H47&lt;'PlayerGrades+'!$AC$4,"A+",IF(H47&lt;'PlayerGrades+'!$AC$3,"S-",IF(H47&lt;'PlayerGrades+'!$AC$2,"S","S+"))))))))))))))))))))</f>
        <v>S+</v>
      </c>
      <c r="J47" s="937">
        <f t="shared" si="4"/>
        <v>0.05550416281</v>
      </c>
      <c r="K47" s="937" t="str">
        <f>IF(J47&lt;'PlayerGrades+'!$AD$21,"F-",IF(J47&lt;'PlayerGrades+'!$AD$20,"F",IF(J47&lt;'PlayerGrades+'!$AD$19,"F+",IF(J47&lt;'PlayerGrades+'!$AD$18,"E-",IF(J47&lt;'PlayerGrades+'!$AD$17,"E",IF(J47&lt;'PlayerGrades+'!$AD$16,"E+",IF(J47&lt;'PlayerGrades+'!$AD$15,"D-",IF(J47&lt;'PlayerGrades+'!$AD$14,"D",IF(J47&lt;'PlayerGrades+'!$AD$13,"D+",IF(J47&lt;'PlayerGrades+'!$AD$12,"C-",IF(J47&lt;'PlayerGrades+'!$AD$11,"C",IF(J47&lt;'PlayerGrades+'!$AD$10,"C+",IF(J47&lt;'PlayerGrades+'!$AD$9,"B-",IF(J47&lt;'PlayerGrades+'!$AD$8,"B",IF(J47&lt;'PlayerGrades+'!$AD$7,"B+",IF(J47&lt;'PlayerGrades+'!$AD$6,"A-",IF(J47&lt;'PlayerGrades+'!$AD$5,"A",IF(J47&lt;'PlayerGrades+'!$AD$4,"A+",IF(J47&lt;'PlayerGrades+'!$AD$3,"S-",IF(J47&lt;'PlayerGrades+'!$AD$2,"S","S+"))))))))))))))))))))</f>
        <v>B+</v>
      </c>
      <c r="L47" s="677">
        <f t="shared" si="5"/>
        <v>0.5550416281</v>
      </c>
      <c r="M47" s="938" t="str">
        <f>IF(L47&lt;'PlayerGrades+'!$AE$21,"F-",IF(L47&lt;'PlayerGrades+'!$AE$20,"F",IF(L47&lt;'PlayerGrades+'!$AE$19,"F+",IF(L47&lt;'PlayerGrades+'!$AE$18,"E-",IF(L47&lt;'PlayerGrades+'!$AE$17,"E",IF(L47&lt;'PlayerGrades+'!$AE$16,"E+",IF(L47&lt;'PlayerGrades+'!$AE$15,"D-",IF(L47&lt;'PlayerGrades+'!$AE$14,"D",IF(L47&lt;'PlayerGrades+'!$AE$13,"D+",IF(L47&lt;'PlayerGrades+'!$AE$12,"C-",IF(L47&lt;'PlayerGrades+'!$AE$11,"C",IF(L47&lt;'PlayerGrades+'!$AE$10,"C+",IF(L47&lt;'PlayerGrades+'!$AE$9,"B-",IF(L47&lt;'PlayerGrades+'!$AE$8,"B",IF(L47&lt;'PlayerGrades+'!$AE$7,"B+",IF(L47&lt;'PlayerGrades+'!$AE$6,"A-",IF(L47&lt;'PlayerGrades+'!$AE$5,"A",IF(L47&lt;'PlayerGrades+'!$AE$4,"A+",IF(L47&lt;'PlayerGrades+'!$AE$3,"S-",IF(L47&lt;'PlayerGrades+'!$AE$2,"S","S+"))))))))))))))))))))</f>
        <v>A</v>
      </c>
      <c r="N47" s="937">
        <f t="shared" si="6"/>
        <v>0.2775208141</v>
      </c>
      <c r="O47" s="937" t="str">
        <f>IF(N47&lt;'PlayerGrades+'!$AF$21,"F-",IF(N47&lt;'PlayerGrades+'!$AF$20,"F",IF(N47&lt;'PlayerGrades+'!$AF$19,"F+",IF(N47&lt;'PlayerGrades+'!$AF$18,"E-",IF(N47&lt;'PlayerGrades+'!$AF$17,"E",IF(N47&lt;'PlayerGrades+'!$AF$16,"E+",IF(N47&lt;'PlayerGrades+'!$AF$15,"D-",IF(N47&lt;'PlayerGrades+'!$AF$14,"D",IF(N47&lt;'PlayerGrades+'!$AF$13,"D+",IF(N47&lt;'PlayerGrades+'!$AF$12,"C-",IF(N47&lt;'PlayerGrades+'!$AF$11,"C",IF(N47&lt;'PlayerGrades+'!$AF$10,"C+",IF(N47&lt;'PlayerGrades+'!$AF$9,"B-",IF(N47&lt;'PlayerGrades+'!$AF$8,"B",IF(N47&lt;'PlayerGrades+'!$AF$7,"B+",IF(N47&lt;'PlayerGrades+'!$AF$6,"A-",IF(N47&lt;'PlayerGrades+'!$AF$5,"A",IF(N47&lt;'PlayerGrades+'!$AF$4,"A+",IF(N47&lt;'PlayerGrades+'!$AF$3,"S-",IF(N47&lt;'PlayerGrades+'!$AF$2,"S","S+"))))))))))))))))))))</f>
        <v>S+</v>
      </c>
      <c r="P47" s="937">
        <f t="shared" si="7"/>
        <v>0.05550416281</v>
      </c>
      <c r="Q47" s="937" t="str">
        <f>IF(P47&lt;'PlayerGrades+'!$AG$21,"F-",IF(P47&lt;'PlayerGrades+'!$AG$20,"F",IF(P47&lt;'PlayerGrades+'!$AG$19,"F+",IF(P47&lt;'PlayerGrades+'!$AG$18,"E-",IF(P47&lt;'PlayerGrades+'!$AG$17,"E",IF(P47&lt;'PlayerGrades+'!$AG$16,"E+",IF(P47&lt;'PlayerGrades+'!$AG$15,"D-",IF(P47&lt;'PlayerGrades+'!$AG$14,"D",IF(P47&lt;'PlayerGrades+'!$AG$13,"D+",IF(P47&lt;'PlayerGrades+'!$AG$12,"C-",IF(P47&lt;'PlayerGrades+'!$AG$11,"C",IF(P47&lt;'PlayerGrades+'!$AG$10,"C+",IF(P47&lt;'PlayerGrades+'!$AG$9,"B-",IF(P47&lt;'PlayerGrades+'!$AG$8,"B",IF(P47&lt;'PlayerGrades+'!$AG$7,"B+",IF(P47&lt;'PlayerGrades+'!$AG$6,"A-",IF(P47&lt;'PlayerGrades+'!$AG$5,"A",IF(P47&lt;'PlayerGrades+'!$AG$4,"A+",IF(P47&lt;'PlayerGrades+'!$AG$3,"S-",IF(P47&lt;'PlayerGrades+'!$AG$2,"S","S+"))))))))))))))))))))</f>
        <v>A</v>
      </c>
      <c r="R47" s="937">
        <f t="shared" si="8"/>
        <v>0.3885291397</v>
      </c>
      <c r="S47" s="937" t="str">
        <f>IF(R47&lt;'PlayerGrades+'!$AH$21,"F-",IF(R47&lt;'PlayerGrades+'!$AH$20,"F",IF(R47&lt;'PlayerGrades+'!$AH$19,"F+",IF(R47&lt;'PlayerGrades+'!$AH$18,"E-",IF(R47&lt;'PlayerGrades+'!$AH$17,"E",IF(R47&lt;'PlayerGrades+'!$AH$16,"E+",IF(R47&lt;'PlayerGrades+'!$AH$15,"D-",IF(R47&lt;'PlayerGrades+'!$AH$14,"D",IF(R47&lt;'PlayerGrades+'!$AH$13,"D+",IF(R47&lt;'PlayerGrades+'!$AH$12,"C-",IF(R47&lt;'PlayerGrades+'!$AH$11,"C",IF(R47&lt;'PlayerGrades+'!$AH$10,"C+",IF(R47&lt;'PlayerGrades+'!$AH$9,"B-",IF(R47&lt;'PlayerGrades+'!$AH$8,"B",IF(R47&lt;'PlayerGrades+'!$AH$7,"B+",IF(R47&lt;'PlayerGrades+'!$AH$6,"A-",IF(R47&lt;'PlayerGrades+'!$AH$5,"A",IF(R47&lt;'PlayerGrades+'!$AH$4,"A+",IF(R47&lt;'PlayerGrades+'!$AH$3,"S-",IF(R47&lt;'PlayerGrades+'!$AH$2,"S","S+"))))))))))))))))))))</f>
        <v>F</v>
      </c>
      <c r="T47" s="937">
        <f t="shared" si="9"/>
        <v>2.666049954</v>
      </c>
      <c r="U47" s="937" t="str">
        <f>IF(T47&lt;'PlayerGrades+'!$AI$21,"F-",IF(T47&lt;'PlayerGrades+'!$AI$20,"F",IF(T47&lt;'PlayerGrades+'!$AI$19,"F+",IF(T47&lt;'PlayerGrades+'!$AI$18,"E-",IF(T47&lt;'PlayerGrades+'!$AI$17,"E",IF(T47&lt;'PlayerGrades+'!$AI$16,"E+",IF(T47&lt;'PlayerGrades+'!$AI$15,"D-",IF(T47&lt;'PlayerGrades+'!$AI$14,"D",IF(T47&lt;'PlayerGrades+'!$AI$13,"D+",IF(T47&lt;'PlayerGrades+'!$AI$12,"C-",IF(T47&lt;'PlayerGrades+'!$AI$11,"C",IF(T47&lt;'PlayerGrades+'!$AI$10,"C+",IF(T47&lt;'PlayerGrades+'!$AI$9,"B-",IF(T47&lt;'PlayerGrades+'!$AI$8,"B",IF(T47&lt;'PlayerGrades+'!$AI$7,"B+",IF(T47&lt;'PlayerGrades+'!$AI$6,"A-",IF(T47&lt;'PlayerGrades+'!$AI$5,"A",IF(T47&lt;'PlayerGrades+'!$AI$4,"A+",IF(T47&lt;'PlayerGrades+'!$AI$3,"S-",IF(T47&lt;'PlayerGrades+'!$AI$2,"S","S+"))))))))))))))))))))</f>
        <v>S+</v>
      </c>
      <c r="V47" s="941">
        <v>1.0</v>
      </c>
      <c r="W47" s="941">
        <v>1.0</v>
      </c>
      <c r="X47" s="941">
        <v>0.0</v>
      </c>
      <c r="Y47" s="941">
        <v>0.0</v>
      </c>
      <c r="Z47" s="941">
        <v>0.0</v>
      </c>
      <c r="AA47" s="941">
        <v>76.0</v>
      </c>
      <c r="AB47" s="941">
        <v>68.0</v>
      </c>
      <c r="AC47" s="941">
        <v>8.0</v>
      </c>
      <c r="AD47" s="941">
        <v>5.0</v>
      </c>
      <c r="AE47" s="941">
        <v>5.0</v>
      </c>
      <c r="AF47" s="941">
        <v>3.0</v>
      </c>
      <c r="AG47" s="941">
        <v>765.0</v>
      </c>
      <c r="AH47" s="941">
        <v>1081.0</v>
      </c>
      <c r="AI47" s="941">
        <v>11.0</v>
      </c>
      <c r="AJ47" s="941">
        <v>3.0</v>
      </c>
      <c r="AK47" s="941">
        <v>0.0</v>
      </c>
      <c r="AL47" s="941">
        <v>1.0</v>
      </c>
      <c r="AM47" s="941">
        <v>0.0</v>
      </c>
      <c r="AN47" s="941">
        <v>0.0</v>
      </c>
      <c r="AO47" s="941">
        <v>0.0</v>
      </c>
      <c r="AP47" s="941">
        <v>1.0</v>
      </c>
      <c r="AQ47" s="941">
        <v>0.0</v>
      </c>
      <c r="AR47" s="941">
        <v>10.0</v>
      </c>
      <c r="AS47" s="941">
        <v>5.0</v>
      </c>
      <c r="AT47" s="941">
        <v>0.0</v>
      </c>
      <c r="AU47" s="941">
        <v>0.0</v>
      </c>
      <c r="AV47" s="941">
        <v>0.0</v>
      </c>
      <c r="AW47" s="941">
        <v>0.0</v>
      </c>
      <c r="AX47" s="941">
        <v>0.0</v>
      </c>
      <c r="AY47" s="941">
        <v>0.0</v>
      </c>
      <c r="AZ47" s="941">
        <v>0.0</v>
      </c>
      <c r="BA47" s="941">
        <v>0.0</v>
      </c>
      <c r="BB47" s="941">
        <v>6.0</v>
      </c>
      <c r="BC47" s="941">
        <v>0.0</v>
      </c>
      <c r="BD47" s="941">
        <v>2.0</v>
      </c>
      <c r="BE47" s="942">
        <v>12.0</v>
      </c>
      <c r="BF47" s="941">
        <v>2.0</v>
      </c>
      <c r="BG47" s="941">
        <v>1.0</v>
      </c>
    </row>
    <row r="48">
      <c r="A48" s="935" t="s">
        <v>132</v>
      </c>
      <c r="B48" s="16" t="str">
        <f>IF(C48&lt;'PlayerGrades+'!$Y$44,"F-",IF(C48&lt;'PlayerGrades+'!$Y$43,"F",IF(C48&lt;'PlayerGrades+'!$Y$42,"F+",IF(C48&lt;'PlayerGrades+'!$Y$41,"E-",IF(C48&lt;'PlayerGrades+'!$Y$40,"E",IF(C48&lt;'PlayerGrades+'!$Y$39,"E+",IF(C48&lt;'PlayerGrades+'!$Y$38,"D-",IF(C48&lt;'PlayerGrades+'!$Y$37,"D",IF(C48&lt;'PlayerGrades+'!$Y$36,"D+",IF(C48&lt;'PlayerGrades+'!$Y$35,"C-",IF(C48&lt;'PlayerGrades+'!$Y$34,"C",IF(C48&lt;'PlayerGrades+'!$Y$33,"C+",IF(C48&lt;'PlayerGrades+'!$Y$32,"B-",IF(C48&lt;'PlayerGrades+'!$Y$31,"B",IF(C48&lt;'PlayerGrades+'!$Y$30,"B+",IF(C48&lt;'PlayerGrades+'!$Y$29,"A-",IF(C48&lt;'PlayerGrades+'!$Y$28,"A",IF(C48&lt;'PlayerGrades+'!$Y$27,"A+",IF(C48&lt;'PlayerGrades+'!$Y$26,"S-",IF(C48&lt;'PlayerGrades+'!$Y$25,"S","S+"))))))))))))))))))))</f>
        <v>S+</v>
      </c>
      <c r="C48" s="936">
        <f>('PlayerGrades+'!$Y$47*(VLOOKUP(E48, 'PlayerGrades+'!$X$3:$Y$23, 2, FALSE)))+('PlayerGrades+'!$Y$48*(VLOOKUP(G48, 'PlayerGrades+'!$X$3:$Y$23, 2, FALSE)))+('PlayerGrades+'!$Y$49*(VLOOKUP(I48, 'PlayerGrades+'!$X$3:$Y$23, 2, FALSE)))+('PlayerGrades+'!$Y$50*(VLOOKUP(K48, 'PlayerGrades+'!$X$3:$Y$23, 2, FALSE)))+('PlayerGrades+'!$Y$51*(VLOOKUP(M48, 'PlayerGrades+'!$X$3:$Y$23, 2, FALSE)))+('PlayerGrades+'!$Y$52*(VLOOKUP(O48, 'PlayerGrades+'!$X$3:$Y$23, 2, FALSE)))+('PlayerGrades+'!$Y$53*(VLOOKUP(Q48, 'PlayerGrades+'!$X$3:$Y$23, 2, FALSE)))+('PlayerGrades+'!$Y$54*(VLOOKUP(S48, 'PlayerGrades+'!$X$3:$Y$23, 2, FALSE)))+('PlayerGrades+'!$Y$55*(VLOOKUP(U48, 'PlayerGrades+'!$X$3:$Y$23, 2, FALSE)))</f>
        <v>35.55</v>
      </c>
      <c r="D48" s="937">
        <f t="shared" si="1"/>
        <v>0.1665124884</v>
      </c>
      <c r="E48" s="937" t="str">
        <f>IF(D48&lt;'PlayerGrades+'!$AA$21,"F-",IF(D48&lt;'PlayerGrades+'!$AA$20,"F",IF(D48&lt;'PlayerGrades+'!$AA$19,"F+",IF(D48&lt;'PlayerGrades+'!$AA$18,"E-",IF(D48&lt;'PlayerGrades+'!$AA$17,"E",IF(D48&lt;'PlayerGrades+'!$AA$16,"E+",IF(D48&lt;'PlayerGrades+'!$AA$15,"D-",IF(D48&lt;'PlayerGrades+'!$AA$14,"D",IF(D48&lt;'PlayerGrades+'!$AA$13,"D+",IF(D48&lt;'PlayerGrades+'!$AA$12,"C-",IF(D48&lt;'PlayerGrades+'!$AA$11,"C",IF(D48&lt;'PlayerGrades+'!$AA$10,"C+",IF(D48&lt;'PlayerGrades+'!$AA$9,"B-",IF(D48&lt;'PlayerGrades+'!$AA$8,"B",IF(D48&lt;'PlayerGrades+'!$AA$7,"B+",IF(D48&lt;'PlayerGrades+'!$AA$6,"A-",IF(D48&lt;'PlayerGrades+'!$AA$5,"A",IF(D48&lt;'PlayerGrades+'!$AA$4,"A+",IF(D48&lt;'PlayerGrades+'!$AA$3,"S-",IF(D48&lt;'PlayerGrades+'!$AA$2,"S","S+"))))))))))))))))))))</f>
        <v>B+</v>
      </c>
      <c r="F48" s="937">
        <f t="shared" si="2"/>
        <v>0.888066605</v>
      </c>
      <c r="G48" s="937" t="str">
        <f>IF(F48&lt;'PlayerGrades+'!$AB$21,"F-",IF(F48&lt;'PlayerGrades+'!$AB$20,"F",IF(F48&lt;'PlayerGrades+'!$AB$19,"F+",IF(F48&lt;'PlayerGrades+'!$AB$18,"E-",IF(F48&lt;'PlayerGrades+'!$AB$17,"E",IF(F48&lt;'PlayerGrades+'!$AB$16,"E+",IF(F48&lt;'PlayerGrades+'!$AB$15,"D-",IF(F48&lt;'PlayerGrades+'!$AB$14,"D",IF(F48&lt;'PlayerGrades+'!$AB$13,"D+",IF(F48&lt;'PlayerGrades+'!$AB$12,"C-",IF(F48&lt;'PlayerGrades+'!$AB$11,"C",IF(F48&lt;'PlayerGrades+'!$AB$10,"C+",IF(F48&lt;'PlayerGrades+'!$AB$9,"B-",IF(F48&lt;'PlayerGrades+'!$AB$8,"B",IF(F48&lt;'PlayerGrades+'!$AB$7,"B+",IF(F48&lt;'PlayerGrades+'!$AB$6,"A-",IF(F48&lt;'PlayerGrades+'!$AB$5,"A",IF(F48&lt;'PlayerGrades+'!$AB$4,"A+",IF(F48&lt;'PlayerGrades+'!$AB$3,"S-",IF(F48&lt;'PlayerGrades+'!$AB$2,"S","S+"))))))))))))))))))))</f>
        <v>S</v>
      </c>
      <c r="H48" s="937">
        <f t="shared" si="3"/>
        <v>0.3330249769</v>
      </c>
      <c r="I48" s="937" t="str">
        <f>IF(H48&lt;'PlayerGrades+'!$AC$21,"F-",IF(H48&lt;'PlayerGrades+'!$AC$20,"F",IF(H48&lt;'PlayerGrades+'!$AC$19,"F+",IF(H48&lt;'PlayerGrades+'!$AC$18,"E-",IF(H48&lt;'PlayerGrades+'!$AC$17,"E",IF(H48&lt;'PlayerGrades+'!$AC$16,"E+",IF(H48&lt;'PlayerGrades+'!$AC$15,"D-",IF(H48&lt;'PlayerGrades+'!$AC$14,"D",IF(H48&lt;'PlayerGrades+'!$AC$13,"D+",IF(H48&lt;'PlayerGrades+'!$AC$12,"C-",IF(H48&lt;'PlayerGrades+'!$AC$11,"C",IF(H48&lt;'PlayerGrades+'!$AC$10,"C+",IF(H48&lt;'PlayerGrades+'!$AC$9,"B-",IF(H48&lt;'PlayerGrades+'!$AC$8,"B",IF(H48&lt;'PlayerGrades+'!$AC$7,"B+",IF(H48&lt;'PlayerGrades+'!$AC$6,"A-",IF(H48&lt;'PlayerGrades+'!$AC$5,"A",IF(H48&lt;'PlayerGrades+'!$AC$4,"A+",IF(H48&lt;'PlayerGrades+'!$AC$3,"S-",IF(H48&lt;'PlayerGrades+'!$AC$2,"S","S+"))))))))))))))))))))</f>
        <v>S+</v>
      </c>
      <c r="J48" s="937">
        <f t="shared" si="4"/>
        <v>0.1110083256</v>
      </c>
      <c r="K48" s="937" t="str">
        <f>IF(J48&lt;'PlayerGrades+'!$AD$21,"F-",IF(J48&lt;'PlayerGrades+'!$AD$20,"F",IF(J48&lt;'PlayerGrades+'!$AD$19,"F+",IF(J48&lt;'PlayerGrades+'!$AD$18,"E-",IF(J48&lt;'PlayerGrades+'!$AD$17,"E",IF(J48&lt;'PlayerGrades+'!$AD$16,"E+",IF(J48&lt;'PlayerGrades+'!$AD$15,"D-",IF(J48&lt;'PlayerGrades+'!$AD$14,"D",IF(J48&lt;'PlayerGrades+'!$AD$13,"D+",IF(J48&lt;'PlayerGrades+'!$AD$12,"C-",IF(J48&lt;'PlayerGrades+'!$AD$11,"C",IF(J48&lt;'PlayerGrades+'!$AD$10,"C+",IF(J48&lt;'PlayerGrades+'!$AD$9,"B-",IF(J48&lt;'PlayerGrades+'!$AD$8,"B",IF(J48&lt;'PlayerGrades+'!$AD$7,"B+",IF(J48&lt;'PlayerGrades+'!$AD$6,"A-",IF(J48&lt;'PlayerGrades+'!$AD$5,"A",IF(J48&lt;'PlayerGrades+'!$AD$4,"A+",IF(J48&lt;'PlayerGrades+'!$AD$3,"S-",IF(J48&lt;'PlayerGrades+'!$AD$2,"S","S+"))))))))))))))))))))</f>
        <v>S+</v>
      </c>
      <c r="L48" s="677">
        <f t="shared" si="5"/>
        <v>0.7215541166</v>
      </c>
      <c r="M48" s="938" t="str">
        <f>IF(L48&lt;'PlayerGrades+'!$AE$21,"F-",IF(L48&lt;'PlayerGrades+'!$AE$20,"F",IF(L48&lt;'PlayerGrades+'!$AE$19,"F+",IF(L48&lt;'PlayerGrades+'!$AE$18,"E-",IF(L48&lt;'PlayerGrades+'!$AE$17,"E",IF(L48&lt;'PlayerGrades+'!$AE$16,"E+",IF(L48&lt;'PlayerGrades+'!$AE$15,"D-",IF(L48&lt;'PlayerGrades+'!$AE$14,"D",IF(L48&lt;'PlayerGrades+'!$AE$13,"D+",IF(L48&lt;'PlayerGrades+'!$AE$12,"C-",IF(L48&lt;'PlayerGrades+'!$AE$11,"C",IF(L48&lt;'PlayerGrades+'!$AE$10,"C+",IF(L48&lt;'PlayerGrades+'!$AE$9,"B-",IF(L48&lt;'PlayerGrades+'!$AE$8,"B",IF(L48&lt;'PlayerGrades+'!$AE$7,"B+",IF(L48&lt;'PlayerGrades+'!$AE$6,"A-",IF(L48&lt;'PlayerGrades+'!$AE$5,"A",IF(L48&lt;'PlayerGrades+'!$AE$4,"A+",IF(L48&lt;'PlayerGrades+'!$AE$3,"S-",IF(L48&lt;'PlayerGrades+'!$AE$2,"S","S+"))))))))))))))))))))</f>
        <v>S+</v>
      </c>
      <c r="N48" s="937">
        <f t="shared" si="6"/>
        <v>0.1665124884</v>
      </c>
      <c r="O48" s="937" t="str">
        <f>IF(N48&lt;'PlayerGrades+'!$AF$21,"F-",IF(N48&lt;'PlayerGrades+'!$AF$20,"F",IF(N48&lt;'PlayerGrades+'!$AF$19,"F+",IF(N48&lt;'PlayerGrades+'!$AF$18,"E-",IF(N48&lt;'PlayerGrades+'!$AF$17,"E",IF(N48&lt;'PlayerGrades+'!$AF$16,"E+",IF(N48&lt;'PlayerGrades+'!$AF$15,"D-",IF(N48&lt;'PlayerGrades+'!$AF$14,"D",IF(N48&lt;'PlayerGrades+'!$AF$13,"D+",IF(N48&lt;'PlayerGrades+'!$AF$12,"C-",IF(N48&lt;'PlayerGrades+'!$AF$11,"C",IF(N48&lt;'PlayerGrades+'!$AF$10,"C+",IF(N48&lt;'PlayerGrades+'!$AF$9,"B-",IF(N48&lt;'PlayerGrades+'!$AF$8,"B",IF(N48&lt;'PlayerGrades+'!$AF$7,"B+",IF(N48&lt;'PlayerGrades+'!$AF$6,"A-",IF(N48&lt;'PlayerGrades+'!$AF$5,"A",IF(N48&lt;'PlayerGrades+'!$AF$4,"A+",IF(N48&lt;'PlayerGrades+'!$AF$3,"S-",IF(N48&lt;'PlayerGrades+'!$AF$2,"S","S+"))))))))))))))))))))</f>
        <v>S+</v>
      </c>
      <c r="P48" s="937">
        <f t="shared" si="7"/>
        <v>0.05550416281</v>
      </c>
      <c r="Q48" s="937" t="str">
        <f>IF(P48&lt;'PlayerGrades+'!$AG$21,"F-",IF(P48&lt;'PlayerGrades+'!$AG$20,"F",IF(P48&lt;'PlayerGrades+'!$AG$19,"F+",IF(P48&lt;'PlayerGrades+'!$AG$18,"E-",IF(P48&lt;'PlayerGrades+'!$AG$17,"E",IF(P48&lt;'PlayerGrades+'!$AG$16,"E+",IF(P48&lt;'PlayerGrades+'!$AG$15,"D-",IF(P48&lt;'PlayerGrades+'!$AG$14,"D",IF(P48&lt;'PlayerGrades+'!$AG$13,"D+",IF(P48&lt;'PlayerGrades+'!$AG$12,"C-",IF(P48&lt;'PlayerGrades+'!$AG$11,"C",IF(P48&lt;'PlayerGrades+'!$AG$10,"C+",IF(P48&lt;'PlayerGrades+'!$AG$9,"B-",IF(P48&lt;'PlayerGrades+'!$AG$8,"B",IF(P48&lt;'PlayerGrades+'!$AG$7,"B+",IF(P48&lt;'PlayerGrades+'!$AG$6,"A-",IF(P48&lt;'PlayerGrades+'!$AG$5,"A",IF(P48&lt;'PlayerGrades+'!$AG$4,"A+",IF(P48&lt;'PlayerGrades+'!$AG$3,"S-",IF(P48&lt;'PlayerGrades+'!$AG$2,"S","S+"))))))))))))))))))))</f>
        <v>A</v>
      </c>
      <c r="R48" s="937">
        <f t="shared" si="8"/>
        <v>0.9990749306</v>
      </c>
      <c r="S48" s="937" t="str">
        <f>IF(R48&lt;'PlayerGrades+'!$AH$21,"F-",IF(R48&lt;'PlayerGrades+'!$AH$20,"F",IF(R48&lt;'PlayerGrades+'!$AH$19,"F+",IF(R48&lt;'PlayerGrades+'!$AH$18,"E-",IF(R48&lt;'PlayerGrades+'!$AH$17,"E",IF(R48&lt;'PlayerGrades+'!$AH$16,"E+",IF(R48&lt;'PlayerGrades+'!$AH$15,"D-",IF(R48&lt;'PlayerGrades+'!$AH$14,"D",IF(R48&lt;'PlayerGrades+'!$AH$13,"D+",IF(R48&lt;'PlayerGrades+'!$AH$12,"C-",IF(R48&lt;'PlayerGrades+'!$AH$11,"C",IF(R48&lt;'PlayerGrades+'!$AH$10,"C+",IF(R48&lt;'PlayerGrades+'!$AH$9,"B-",IF(R48&lt;'PlayerGrades+'!$AH$8,"B",IF(R48&lt;'PlayerGrades+'!$AH$7,"B+",IF(R48&lt;'PlayerGrades+'!$AH$6,"A-",IF(R48&lt;'PlayerGrades+'!$AH$5,"A",IF(R48&lt;'PlayerGrades+'!$AH$4,"A+",IF(R48&lt;'PlayerGrades+'!$AH$3,"S-",IF(R48&lt;'PlayerGrades+'!$AH$2,"S","S+"))))))))))))))))))))</f>
        <v>S+</v>
      </c>
      <c r="T48" s="937">
        <f t="shared" si="9"/>
        <v>2.333024977</v>
      </c>
      <c r="U48" s="937" t="str">
        <f>IF(T48&lt;'PlayerGrades+'!$AI$21,"F-",IF(T48&lt;'PlayerGrades+'!$AI$20,"F",IF(T48&lt;'PlayerGrades+'!$AI$19,"F+",IF(T48&lt;'PlayerGrades+'!$AI$18,"E-",IF(T48&lt;'PlayerGrades+'!$AI$17,"E",IF(T48&lt;'PlayerGrades+'!$AI$16,"E+",IF(T48&lt;'PlayerGrades+'!$AI$15,"D-",IF(T48&lt;'PlayerGrades+'!$AI$14,"D",IF(T48&lt;'PlayerGrades+'!$AI$13,"D+",IF(T48&lt;'PlayerGrades+'!$AI$12,"C-",IF(T48&lt;'PlayerGrades+'!$AI$11,"C",IF(T48&lt;'PlayerGrades+'!$AI$10,"C+",IF(T48&lt;'PlayerGrades+'!$AI$9,"B-",IF(T48&lt;'PlayerGrades+'!$AI$8,"B",IF(T48&lt;'PlayerGrades+'!$AI$7,"B+",IF(T48&lt;'PlayerGrades+'!$AI$6,"A-",IF(T48&lt;'PlayerGrades+'!$AI$5,"A",IF(T48&lt;'PlayerGrades+'!$AI$4,"A+",IF(T48&lt;'PlayerGrades+'!$AI$3,"S-",IF(T48&lt;'PlayerGrades+'!$AI$2,"S","S+"))))))))))))))))))))</f>
        <v>S+</v>
      </c>
      <c r="V48" s="941">
        <v>1.0</v>
      </c>
      <c r="W48" s="941">
        <v>1.0</v>
      </c>
      <c r="X48" s="941">
        <v>0.0</v>
      </c>
      <c r="Y48" s="941">
        <v>1.0</v>
      </c>
      <c r="Z48" s="941">
        <v>2.0</v>
      </c>
      <c r="AA48" s="941">
        <v>77.0</v>
      </c>
      <c r="AB48" s="941">
        <v>61.0</v>
      </c>
      <c r="AC48" s="941">
        <v>16.0</v>
      </c>
      <c r="AD48" s="941">
        <v>10.0</v>
      </c>
      <c r="AE48" s="941">
        <v>6.0</v>
      </c>
      <c r="AF48" s="941">
        <v>4.0</v>
      </c>
      <c r="AG48" s="941">
        <v>785.0</v>
      </c>
      <c r="AH48" s="941">
        <v>1081.0</v>
      </c>
      <c r="AI48" s="941">
        <v>12.0</v>
      </c>
      <c r="AJ48" s="941">
        <v>65.0</v>
      </c>
      <c r="AK48" s="941">
        <v>0.0</v>
      </c>
      <c r="AL48" s="941">
        <v>2.0</v>
      </c>
      <c r="AM48" s="941">
        <v>0.0</v>
      </c>
      <c r="AN48" s="941">
        <v>0.0</v>
      </c>
      <c r="AO48" s="941">
        <v>0.0</v>
      </c>
      <c r="AP48" s="941">
        <v>1.0</v>
      </c>
      <c r="AQ48" s="941">
        <v>0.0</v>
      </c>
      <c r="AR48" s="941">
        <v>13.0</v>
      </c>
      <c r="AS48" s="941">
        <v>3.0</v>
      </c>
      <c r="AT48" s="941">
        <v>1.0</v>
      </c>
      <c r="AU48" s="941">
        <v>1.0</v>
      </c>
      <c r="AV48" s="941">
        <v>0.0</v>
      </c>
      <c r="AW48" s="941">
        <v>0.0</v>
      </c>
      <c r="AX48" s="941">
        <v>0.0</v>
      </c>
      <c r="AY48" s="941">
        <v>0.0</v>
      </c>
      <c r="AZ48" s="941">
        <v>0.0</v>
      </c>
      <c r="BA48" s="941">
        <v>0.0</v>
      </c>
      <c r="BB48" s="941">
        <v>6.0</v>
      </c>
      <c r="BC48" s="941">
        <v>0.0</v>
      </c>
      <c r="BD48" s="941">
        <v>8.0</v>
      </c>
      <c r="BE48" s="942">
        <v>6.0</v>
      </c>
      <c r="BF48" s="941">
        <v>2.0</v>
      </c>
      <c r="BG48" s="941">
        <v>1.0</v>
      </c>
    </row>
    <row r="49">
      <c r="A49" s="943" t="s">
        <v>154</v>
      </c>
      <c r="B49" s="16" t="str">
        <f>IF(C49&lt;'PlayerGrades+'!$Y$44,"F-",IF(C49&lt;'PlayerGrades+'!$Y$43,"F",IF(C49&lt;'PlayerGrades+'!$Y$42,"F+",IF(C49&lt;'PlayerGrades+'!$Y$41,"E-",IF(C49&lt;'PlayerGrades+'!$Y$40,"E",IF(C49&lt;'PlayerGrades+'!$Y$39,"E+",IF(C49&lt;'PlayerGrades+'!$Y$38,"D-",IF(C49&lt;'PlayerGrades+'!$Y$37,"D",IF(C49&lt;'PlayerGrades+'!$Y$36,"D+",IF(C49&lt;'PlayerGrades+'!$Y$35,"C-",IF(C49&lt;'PlayerGrades+'!$Y$34,"C",IF(C49&lt;'PlayerGrades+'!$Y$33,"C+",IF(C49&lt;'PlayerGrades+'!$Y$32,"B-",IF(C49&lt;'PlayerGrades+'!$Y$31,"B",IF(C49&lt;'PlayerGrades+'!$Y$30,"B+",IF(C49&lt;'PlayerGrades+'!$Y$29,"A-",IF(C49&lt;'PlayerGrades+'!$Y$28,"A",IF(C49&lt;'PlayerGrades+'!$Y$27,"A+",IF(C49&lt;'PlayerGrades+'!$Y$26,"S-",IF(C49&lt;'PlayerGrades+'!$Y$25,"S","S+"))))))))))))))))))))</f>
        <v>E-</v>
      </c>
      <c r="C49" s="936">
        <f>('PlayerGrades+'!$Y$47*(VLOOKUP(E49, 'PlayerGrades+'!$X$3:$Y$23, 2, FALSE)))+('PlayerGrades+'!$Y$48*(VLOOKUP(G49, 'PlayerGrades+'!$X$3:$Y$23, 2, FALSE)))+('PlayerGrades+'!$Y$49*(VLOOKUP(I49, 'PlayerGrades+'!$X$3:$Y$23, 2, FALSE)))+('PlayerGrades+'!$Y$50*(VLOOKUP(K49, 'PlayerGrades+'!$X$3:$Y$23, 2, FALSE)))+('PlayerGrades+'!$Y$51*(VLOOKUP(M49, 'PlayerGrades+'!$X$3:$Y$23, 2, FALSE)))+('PlayerGrades+'!$Y$52*(VLOOKUP(O49, 'PlayerGrades+'!$X$3:$Y$23, 2, FALSE)))+('PlayerGrades+'!$Y$53*(VLOOKUP(Q49, 'PlayerGrades+'!$X$3:$Y$23, 2, FALSE)))+('PlayerGrades+'!$Y$54*(VLOOKUP(S49, 'PlayerGrades+'!$X$3:$Y$23, 2, FALSE)))+('PlayerGrades+'!$Y$55*(VLOOKUP(U49, 'PlayerGrades+'!$X$3:$Y$23, 2, FALSE)))</f>
        <v>12.35</v>
      </c>
      <c r="D49" s="937">
        <f t="shared" si="1"/>
        <v>0.3885291397</v>
      </c>
      <c r="E49" s="937" t="str">
        <f>IF(D49&lt;'PlayerGrades+'!$AA$21,"F-",IF(D49&lt;'PlayerGrades+'!$AA$20,"F",IF(D49&lt;'PlayerGrades+'!$AA$19,"F+",IF(D49&lt;'PlayerGrades+'!$AA$18,"E-",IF(D49&lt;'PlayerGrades+'!$AA$17,"E",IF(D49&lt;'PlayerGrades+'!$AA$16,"E+",IF(D49&lt;'PlayerGrades+'!$AA$15,"D-",IF(D49&lt;'PlayerGrades+'!$AA$14,"D",IF(D49&lt;'PlayerGrades+'!$AA$13,"D+",IF(D49&lt;'PlayerGrades+'!$AA$12,"C-",IF(D49&lt;'PlayerGrades+'!$AA$11,"C",IF(D49&lt;'PlayerGrades+'!$AA$10,"C+",IF(D49&lt;'PlayerGrades+'!$AA$9,"B-",IF(D49&lt;'PlayerGrades+'!$AA$8,"B",IF(D49&lt;'PlayerGrades+'!$AA$7,"B+",IF(D49&lt;'PlayerGrades+'!$AA$6,"A-",IF(D49&lt;'PlayerGrades+'!$AA$5,"A",IF(D49&lt;'PlayerGrades+'!$AA$4,"A+",IF(D49&lt;'PlayerGrades+'!$AA$3,"S-",IF(D49&lt;'PlayerGrades+'!$AA$2,"S","S+"))))))))))))))))))))</f>
        <v>A+</v>
      </c>
      <c r="F49" s="937">
        <f t="shared" si="2"/>
        <v>-0.6105457909</v>
      </c>
      <c r="G49" s="937" t="str">
        <f>IF(F49&lt;'PlayerGrades+'!$AB$21,"F-",IF(F49&lt;'PlayerGrades+'!$AB$20,"F",IF(F49&lt;'PlayerGrades+'!$AB$19,"F+",IF(F49&lt;'PlayerGrades+'!$AB$18,"E-",IF(F49&lt;'PlayerGrades+'!$AB$17,"E",IF(F49&lt;'PlayerGrades+'!$AB$16,"E+",IF(F49&lt;'PlayerGrades+'!$AB$15,"D-",IF(F49&lt;'PlayerGrades+'!$AB$14,"D",IF(F49&lt;'PlayerGrades+'!$AB$13,"D+",IF(F49&lt;'PlayerGrades+'!$AB$12,"C-",IF(F49&lt;'PlayerGrades+'!$AB$11,"C",IF(F49&lt;'PlayerGrades+'!$AB$10,"C+",IF(F49&lt;'PlayerGrades+'!$AB$9,"B-",IF(F49&lt;'PlayerGrades+'!$AB$8,"B",IF(F49&lt;'PlayerGrades+'!$AB$7,"B+",IF(F49&lt;'PlayerGrades+'!$AB$6,"A-",IF(F49&lt;'PlayerGrades+'!$AB$5,"A",IF(F49&lt;'PlayerGrades+'!$AB$4,"A+",IF(F49&lt;'PlayerGrades+'!$AB$3,"S-",IF(F49&lt;'PlayerGrades+'!$AB$2,"S","S+"))))))))))))))))))))</f>
        <v>D</v>
      </c>
      <c r="H49" s="937">
        <f t="shared" si="3"/>
        <v>0</v>
      </c>
      <c r="I49" s="937" t="str">
        <f>IF(H49&lt;'PlayerGrades+'!$AC$21,"F-",IF(H49&lt;'PlayerGrades+'!$AC$20,"F",IF(H49&lt;'PlayerGrades+'!$AC$19,"F+",IF(H49&lt;'PlayerGrades+'!$AC$18,"E-",IF(H49&lt;'PlayerGrades+'!$AC$17,"E",IF(H49&lt;'PlayerGrades+'!$AC$16,"E+",IF(H49&lt;'PlayerGrades+'!$AC$15,"D-",IF(H49&lt;'PlayerGrades+'!$AC$14,"D",IF(H49&lt;'PlayerGrades+'!$AC$13,"D+",IF(H49&lt;'PlayerGrades+'!$AC$12,"C-",IF(H49&lt;'PlayerGrades+'!$AC$11,"C",IF(H49&lt;'PlayerGrades+'!$AC$10,"C+",IF(H49&lt;'PlayerGrades+'!$AC$9,"B-",IF(H49&lt;'PlayerGrades+'!$AC$8,"B",IF(H49&lt;'PlayerGrades+'!$AC$7,"B+",IF(H49&lt;'PlayerGrades+'!$AC$6,"A-",IF(H49&lt;'PlayerGrades+'!$AC$5,"A",IF(H49&lt;'PlayerGrades+'!$AC$4,"A+",IF(H49&lt;'PlayerGrades+'!$AC$3,"S-",IF(H49&lt;'PlayerGrades+'!$AC$2,"S","S+"))))))))))))))))))))</f>
        <v>F-</v>
      </c>
      <c r="J49" s="937">
        <f t="shared" si="4"/>
        <v>0</v>
      </c>
      <c r="K49" s="937" t="str">
        <f>IF(J49&lt;'PlayerGrades+'!$AD$21,"F-",IF(J49&lt;'PlayerGrades+'!$AD$20,"F",IF(J49&lt;'PlayerGrades+'!$AD$19,"F+",IF(J49&lt;'PlayerGrades+'!$AD$18,"E-",IF(J49&lt;'PlayerGrades+'!$AD$17,"E",IF(J49&lt;'PlayerGrades+'!$AD$16,"E+",IF(J49&lt;'PlayerGrades+'!$AD$15,"D-",IF(J49&lt;'PlayerGrades+'!$AD$14,"D",IF(J49&lt;'PlayerGrades+'!$AD$13,"D+",IF(J49&lt;'PlayerGrades+'!$AD$12,"C-",IF(J49&lt;'PlayerGrades+'!$AD$11,"C",IF(J49&lt;'PlayerGrades+'!$AD$10,"C+",IF(J49&lt;'PlayerGrades+'!$AD$9,"B-",IF(J49&lt;'PlayerGrades+'!$AD$8,"B",IF(J49&lt;'PlayerGrades+'!$AD$7,"B+",IF(J49&lt;'PlayerGrades+'!$AD$6,"A-",IF(J49&lt;'PlayerGrades+'!$AD$5,"A",IF(J49&lt;'PlayerGrades+'!$AD$4,"A+",IF(J49&lt;'PlayerGrades+'!$AD$3,"S-",IF(J49&lt;'PlayerGrades+'!$AD$2,"S","S+"))))))))))))))))))))</f>
        <v>F-</v>
      </c>
      <c r="L49" s="677">
        <f t="shared" si="5"/>
        <v>0.05550416281</v>
      </c>
      <c r="M49" s="938" t="str">
        <f>IF(L49&lt;'PlayerGrades+'!$AE$21,"F-",IF(L49&lt;'PlayerGrades+'!$AE$20,"F",IF(L49&lt;'PlayerGrades+'!$AE$19,"F+",IF(L49&lt;'PlayerGrades+'!$AE$18,"E-",IF(L49&lt;'PlayerGrades+'!$AE$17,"E",IF(L49&lt;'PlayerGrades+'!$AE$16,"E+",IF(L49&lt;'PlayerGrades+'!$AE$15,"D-",IF(L49&lt;'PlayerGrades+'!$AE$14,"D",IF(L49&lt;'PlayerGrades+'!$AE$13,"D+",IF(L49&lt;'PlayerGrades+'!$AE$12,"C-",IF(L49&lt;'PlayerGrades+'!$AE$11,"C",IF(L49&lt;'PlayerGrades+'!$AE$10,"C+",IF(L49&lt;'PlayerGrades+'!$AE$9,"B-",IF(L49&lt;'PlayerGrades+'!$AE$8,"B",IF(L49&lt;'PlayerGrades+'!$AE$7,"B+",IF(L49&lt;'PlayerGrades+'!$AE$6,"A-",IF(L49&lt;'PlayerGrades+'!$AE$5,"A",IF(L49&lt;'PlayerGrades+'!$AE$4,"A+",IF(L49&lt;'PlayerGrades+'!$AE$3,"S-",IF(L49&lt;'PlayerGrades+'!$AE$2,"S","S+"))))))))))))))))))))</f>
        <v>F-</v>
      </c>
      <c r="N49" s="937">
        <f t="shared" si="6"/>
        <v>0</v>
      </c>
      <c r="O49" s="937" t="str">
        <f>IF(N49&lt;'PlayerGrades+'!$AF$21,"F-",IF(N49&lt;'PlayerGrades+'!$AF$20,"F",IF(N49&lt;'PlayerGrades+'!$AF$19,"F+",IF(N49&lt;'PlayerGrades+'!$AF$18,"E-",IF(N49&lt;'PlayerGrades+'!$AF$17,"E",IF(N49&lt;'PlayerGrades+'!$AF$16,"E+",IF(N49&lt;'PlayerGrades+'!$AF$15,"D-",IF(N49&lt;'PlayerGrades+'!$AF$14,"D",IF(N49&lt;'PlayerGrades+'!$AF$13,"D+",IF(N49&lt;'PlayerGrades+'!$AF$12,"C-",IF(N49&lt;'PlayerGrades+'!$AF$11,"C",IF(N49&lt;'PlayerGrades+'!$AF$10,"C+",IF(N49&lt;'PlayerGrades+'!$AF$9,"B-",IF(N49&lt;'PlayerGrades+'!$AF$8,"B",IF(N49&lt;'PlayerGrades+'!$AF$7,"B+",IF(N49&lt;'PlayerGrades+'!$AF$6,"A-",IF(N49&lt;'PlayerGrades+'!$AF$5,"A",IF(N49&lt;'PlayerGrades+'!$AF$4,"A+",IF(N49&lt;'PlayerGrades+'!$AF$3,"S-",IF(N49&lt;'PlayerGrades+'!$AF$2,"S","S+"))))))))))))))))))))</f>
        <v>F-</v>
      </c>
      <c r="P49" s="937">
        <f t="shared" si="7"/>
        <v>0</v>
      </c>
      <c r="Q49" s="937" t="str">
        <f>IF(P49&lt;'PlayerGrades+'!$AG$21,"F-",IF(P49&lt;'PlayerGrades+'!$AG$20,"F",IF(P49&lt;'PlayerGrades+'!$AG$19,"F+",IF(P49&lt;'PlayerGrades+'!$AG$18,"E-",IF(P49&lt;'PlayerGrades+'!$AG$17,"E",IF(P49&lt;'PlayerGrades+'!$AG$16,"E+",IF(P49&lt;'PlayerGrades+'!$AG$15,"D-",IF(P49&lt;'PlayerGrades+'!$AG$14,"D",IF(P49&lt;'PlayerGrades+'!$AG$13,"D+",IF(P49&lt;'PlayerGrades+'!$AG$12,"C-",IF(P49&lt;'PlayerGrades+'!$AG$11,"C",IF(P49&lt;'PlayerGrades+'!$AG$10,"C+",IF(P49&lt;'PlayerGrades+'!$AG$9,"B-",IF(P49&lt;'PlayerGrades+'!$AG$8,"B",IF(P49&lt;'PlayerGrades+'!$AG$7,"B+",IF(P49&lt;'PlayerGrades+'!$AG$6,"A-",IF(P49&lt;'PlayerGrades+'!$AG$5,"A",IF(P49&lt;'PlayerGrades+'!$AG$4,"A+",IF(P49&lt;'PlayerGrades+'!$AG$3,"S-",IF(P49&lt;'PlayerGrades+'!$AG$2,"S","S+"))))))))))))))))))))</f>
        <v>F</v>
      </c>
      <c r="R49" s="937">
        <f t="shared" si="8"/>
        <v>0.5550416281</v>
      </c>
      <c r="S49" s="937" t="str">
        <f>IF(R49&lt;'PlayerGrades+'!$AH$21,"F-",IF(R49&lt;'PlayerGrades+'!$AH$20,"F",IF(R49&lt;'PlayerGrades+'!$AH$19,"F+",IF(R49&lt;'PlayerGrades+'!$AH$18,"E-",IF(R49&lt;'PlayerGrades+'!$AH$17,"E",IF(R49&lt;'PlayerGrades+'!$AH$16,"E+",IF(R49&lt;'PlayerGrades+'!$AH$15,"D-",IF(R49&lt;'PlayerGrades+'!$AH$14,"D",IF(R49&lt;'PlayerGrades+'!$AH$13,"D+",IF(R49&lt;'PlayerGrades+'!$AH$12,"C-",IF(R49&lt;'PlayerGrades+'!$AH$11,"C",IF(R49&lt;'PlayerGrades+'!$AH$10,"C+",IF(R49&lt;'PlayerGrades+'!$AH$9,"B-",IF(R49&lt;'PlayerGrades+'!$AH$8,"B",IF(R49&lt;'PlayerGrades+'!$AH$7,"B+",IF(R49&lt;'PlayerGrades+'!$AH$6,"A-",IF(R49&lt;'PlayerGrades+'!$AH$5,"A",IF(R49&lt;'PlayerGrades+'!$AH$4,"A+",IF(R49&lt;'PlayerGrades+'!$AH$3,"S-",IF(R49&lt;'PlayerGrades+'!$AH$2,"S","S+"))))))))))))))))))))</f>
        <v>B-</v>
      </c>
      <c r="T49" s="937">
        <f t="shared" si="9"/>
        <v>1.111008326</v>
      </c>
      <c r="U49" s="937" t="str">
        <f>IF(T49&lt;'PlayerGrades+'!$AI$21,"F-",IF(T49&lt;'PlayerGrades+'!$AI$20,"F",IF(T49&lt;'PlayerGrades+'!$AI$19,"F+",IF(T49&lt;'PlayerGrades+'!$AI$18,"E-",IF(T49&lt;'PlayerGrades+'!$AI$17,"E",IF(T49&lt;'PlayerGrades+'!$AI$16,"E+",IF(T49&lt;'PlayerGrades+'!$AI$15,"D-",IF(T49&lt;'PlayerGrades+'!$AI$14,"D",IF(T49&lt;'PlayerGrades+'!$AI$13,"D+",IF(T49&lt;'PlayerGrades+'!$AI$12,"C-",IF(T49&lt;'PlayerGrades+'!$AI$11,"C",IF(T49&lt;'PlayerGrades+'!$AI$10,"C+",IF(T49&lt;'PlayerGrades+'!$AI$9,"B-",IF(T49&lt;'PlayerGrades+'!$AI$8,"B",IF(T49&lt;'PlayerGrades+'!$AI$7,"B+",IF(T49&lt;'PlayerGrades+'!$AI$6,"A-",IF(T49&lt;'PlayerGrades+'!$AI$5,"A",IF(T49&lt;'PlayerGrades+'!$AI$4,"A+",IF(T49&lt;'PlayerGrades+'!$AI$3,"S-",IF(T49&lt;'PlayerGrades+'!$AI$2,"S","S+"))))))))))))))))))))</f>
        <v>D</v>
      </c>
      <c r="V49" s="944">
        <v>1.0</v>
      </c>
      <c r="W49" s="944">
        <v>1.0</v>
      </c>
      <c r="X49" s="944">
        <v>0.0</v>
      </c>
      <c r="Y49" s="944">
        <v>4.0</v>
      </c>
      <c r="Z49" s="944">
        <v>3.0</v>
      </c>
      <c r="AA49" s="944">
        <v>27.0</v>
      </c>
      <c r="AB49" s="944">
        <v>38.0</v>
      </c>
      <c r="AC49" s="944">
        <v>-11.0</v>
      </c>
      <c r="AD49" s="944">
        <v>2.0</v>
      </c>
      <c r="AE49" s="944">
        <v>4.0</v>
      </c>
      <c r="AF49" s="944">
        <v>2.0</v>
      </c>
      <c r="AG49" s="944">
        <v>856.0</v>
      </c>
      <c r="AH49" s="944">
        <v>1081.0</v>
      </c>
      <c r="AI49" s="944">
        <v>22.0</v>
      </c>
      <c r="AJ49" s="944">
        <v>493.0</v>
      </c>
      <c r="AK49" s="944">
        <v>0.0</v>
      </c>
      <c r="AL49" s="944">
        <v>0.0</v>
      </c>
      <c r="AM49" s="944">
        <v>0.0</v>
      </c>
      <c r="AN49" s="944">
        <v>0.0</v>
      </c>
      <c r="AO49" s="944">
        <v>0.0</v>
      </c>
      <c r="AP49" s="944">
        <v>0.0</v>
      </c>
      <c r="AQ49" s="944">
        <v>0.0</v>
      </c>
      <c r="AR49" s="944">
        <v>1.0</v>
      </c>
      <c r="AS49" s="944">
        <v>0.0</v>
      </c>
      <c r="AT49" s="944">
        <v>0.0</v>
      </c>
      <c r="AU49" s="944">
        <v>0.0</v>
      </c>
      <c r="AV49" s="944">
        <v>0.0</v>
      </c>
      <c r="AW49" s="944">
        <v>0.0</v>
      </c>
      <c r="AX49" s="944">
        <v>0.0</v>
      </c>
      <c r="AY49" s="944">
        <v>0.0</v>
      </c>
      <c r="AZ49" s="944">
        <v>0.0</v>
      </c>
      <c r="BA49" s="944">
        <v>0.0</v>
      </c>
      <c r="BB49" s="944">
        <v>0.0</v>
      </c>
      <c r="BC49" s="944">
        <v>0.0</v>
      </c>
      <c r="BD49" s="944">
        <v>8.0</v>
      </c>
      <c r="BE49" s="945">
        <v>2.0</v>
      </c>
      <c r="BF49" s="941">
        <v>1.0</v>
      </c>
      <c r="BG49" s="941">
        <v>1.0</v>
      </c>
    </row>
    <row r="50">
      <c r="A50" s="946" t="s">
        <v>514</v>
      </c>
      <c r="B50" s="16" t="str">
        <f>IF(C50&lt;'PlayerGrades+'!$Y$44,"F-",IF(C50&lt;'PlayerGrades+'!$Y$43,"F",IF(C50&lt;'PlayerGrades+'!$Y$42,"F+",IF(C50&lt;'PlayerGrades+'!$Y$41,"E-",IF(C50&lt;'PlayerGrades+'!$Y$40,"E",IF(C50&lt;'PlayerGrades+'!$Y$39,"E+",IF(C50&lt;'PlayerGrades+'!$Y$38,"D-",IF(C50&lt;'PlayerGrades+'!$Y$37,"D",IF(C50&lt;'PlayerGrades+'!$Y$36,"D+",IF(C50&lt;'PlayerGrades+'!$Y$35,"C-",IF(C50&lt;'PlayerGrades+'!$Y$34,"C",IF(C50&lt;'PlayerGrades+'!$Y$33,"C+",IF(C50&lt;'PlayerGrades+'!$Y$32,"B-",IF(C50&lt;'PlayerGrades+'!$Y$31,"B",IF(C50&lt;'PlayerGrades+'!$Y$30,"B+",IF(C50&lt;'PlayerGrades+'!$Y$29,"A-",IF(C50&lt;'PlayerGrades+'!$Y$28,"A",IF(C50&lt;'PlayerGrades+'!$Y$27,"A+",IF(C50&lt;'PlayerGrades+'!$Y$26,"S-",IF(C50&lt;'PlayerGrades+'!$Y$25,"S","S+"))))))))))))))))))))</f>
        <v>B</v>
      </c>
      <c r="C50" s="936">
        <f>('PlayerGrades+'!$Y$47*(VLOOKUP(E50, 'PlayerGrades+'!$X$3:$Y$23, 2, FALSE)))+('PlayerGrades+'!$Y$48*(VLOOKUP(G50, 'PlayerGrades+'!$X$3:$Y$23, 2, FALSE)))+('PlayerGrades+'!$Y$49*(VLOOKUP(I50, 'PlayerGrades+'!$X$3:$Y$23, 2, FALSE)))+('PlayerGrades+'!$Y$50*(VLOOKUP(K50, 'PlayerGrades+'!$X$3:$Y$23, 2, FALSE)))+('PlayerGrades+'!$Y$51*(VLOOKUP(M50, 'PlayerGrades+'!$X$3:$Y$23, 2, FALSE)))+('PlayerGrades+'!$Y$52*(VLOOKUP(O50, 'PlayerGrades+'!$X$3:$Y$23, 2, FALSE)))+('PlayerGrades+'!$Y$53*(VLOOKUP(Q50, 'PlayerGrades+'!$X$3:$Y$23, 2, FALSE)))+('PlayerGrades+'!$Y$54*(VLOOKUP(S50, 'PlayerGrades+'!$X$3:$Y$23, 2, FALSE)))+('PlayerGrades+'!$Y$55*(VLOOKUP(U50, 'PlayerGrades+'!$X$3:$Y$23, 2, FALSE)))</f>
        <v>23.05</v>
      </c>
      <c r="D50" s="937">
        <f t="shared" si="1"/>
        <v>0</v>
      </c>
      <c r="E50" s="937" t="str">
        <f>IF(D50&lt;'PlayerGrades+'!$AA$21,"F-",IF(D50&lt;'PlayerGrades+'!$AA$20,"F",IF(D50&lt;'PlayerGrades+'!$AA$19,"F+",IF(D50&lt;'PlayerGrades+'!$AA$18,"E-",IF(D50&lt;'PlayerGrades+'!$AA$17,"E",IF(D50&lt;'PlayerGrades+'!$AA$16,"E+",IF(D50&lt;'PlayerGrades+'!$AA$15,"D-",IF(D50&lt;'PlayerGrades+'!$AA$14,"D",IF(D50&lt;'PlayerGrades+'!$AA$13,"D+",IF(D50&lt;'PlayerGrades+'!$AA$12,"C-",IF(D50&lt;'PlayerGrades+'!$AA$11,"C",IF(D50&lt;'PlayerGrades+'!$AA$10,"C+",IF(D50&lt;'PlayerGrades+'!$AA$9,"B-",IF(D50&lt;'PlayerGrades+'!$AA$8,"B",IF(D50&lt;'PlayerGrades+'!$AA$7,"B+",IF(D50&lt;'PlayerGrades+'!$AA$6,"A-",IF(D50&lt;'PlayerGrades+'!$AA$5,"A",IF(D50&lt;'PlayerGrades+'!$AA$4,"A+",IF(D50&lt;'PlayerGrades+'!$AA$3,"S-",IF(D50&lt;'PlayerGrades+'!$AA$2,"S","S+"))))))))))))))))))))</f>
        <v>F-</v>
      </c>
      <c r="F50" s="937">
        <f t="shared" si="2"/>
        <v>-0.8017103153</v>
      </c>
      <c r="G50" s="937" t="str">
        <f>IF(F50&lt;'PlayerGrades+'!$AB$21,"F-",IF(F50&lt;'PlayerGrades+'!$AB$20,"F",IF(F50&lt;'PlayerGrades+'!$AB$19,"F+",IF(F50&lt;'PlayerGrades+'!$AB$18,"E-",IF(F50&lt;'PlayerGrades+'!$AB$17,"E",IF(F50&lt;'PlayerGrades+'!$AB$16,"E+",IF(F50&lt;'PlayerGrades+'!$AB$15,"D-",IF(F50&lt;'PlayerGrades+'!$AB$14,"D",IF(F50&lt;'PlayerGrades+'!$AB$13,"D+",IF(F50&lt;'PlayerGrades+'!$AB$12,"C-",IF(F50&lt;'PlayerGrades+'!$AB$11,"C",IF(F50&lt;'PlayerGrades+'!$AB$10,"C+",IF(F50&lt;'PlayerGrades+'!$AB$9,"B-",IF(F50&lt;'PlayerGrades+'!$AB$8,"B",IF(F50&lt;'PlayerGrades+'!$AB$7,"B+",IF(F50&lt;'PlayerGrades+'!$AB$6,"A-",IF(F50&lt;'PlayerGrades+'!$AB$5,"A",IF(F50&lt;'PlayerGrades+'!$AB$4,"A+",IF(F50&lt;'PlayerGrades+'!$AB$3,"S-",IF(F50&lt;'PlayerGrades+'!$AB$2,"S","S+"))))))))))))))))))))</f>
        <v>E</v>
      </c>
      <c r="H50" s="937">
        <f t="shared" si="3"/>
        <v>0.2244788883</v>
      </c>
      <c r="I50" s="937" t="str">
        <f>IF(H50&lt;'PlayerGrades+'!$AC$21,"F-",IF(H50&lt;'PlayerGrades+'!$AC$20,"F",IF(H50&lt;'PlayerGrades+'!$AC$19,"F+",IF(H50&lt;'PlayerGrades+'!$AC$18,"E-",IF(H50&lt;'PlayerGrades+'!$AC$17,"E",IF(H50&lt;'PlayerGrades+'!$AC$16,"E+",IF(H50&lt;'PlayerGrades+'!$AC$15,"D-",IF(H50&lt;'PlayerGrades+'!$AC$14,"D",IF(H50&lt;'PlayerGrades+'!$AC$13,"D+",IF(H50&lt;'PlayerGrades+'!$AC$12,"C-",IF(H50&lt;'PlayerGrades+'!$AC$11,"C",IF(H50&lt;'PlayerGrades+'!$AC$10,"C+",IF(H50&lt;'PlayerGrades+'!$AC$9,"B-",IF(H50&lt;'PlayerGrades+'!$AC$8,"B",IF(H50&lt;'PlayerGrades+'!$AC$7,"B+",IF(H50&lt;'PlayerGrades+'!$AC$6,"A-",IF(H50&lt;'PlayerGrades+'!$AC$5,"A",IF(H50&lt;'PlayerGrades+'!$AC$4,"A+",IF(H50&lt;'PlayerGrades+'!$AC$3,"S-",IF(H50&lt;'PlayerGrades+'!$AC$2,"S","S+"))))))))))))))))))))</f>
        <v>S</v>
      </c>
      <c r="J50" s="937">
        <f t="shared" si="4"/>
        <v>0.03206841261</v>
      </c>
      <c r="K50" s="937" t="str">
        <f>IF(J50&lt;'PlayerGrades+'!$AD$21,"F-",IF(J50&lt;'PlayerGrades+'!$AD$20,"F",IF(J50&lt;'PlayerGrades+'!$AD$19,"F+",IF(J50&lt;'PlayerGrades+'!$AD$18,"E-",IF(J50&lt;'PlayerGrades+'!$AD$17,"E",IF(J50&lt;'PlayerGrades+'!$AD$16,"E+",IF(J50&lt;'PlayerGrades+'!$AD$15,"D-",IF(J50&lt;'PlayerGrades+'!$AD$14,"D",IF(J50&lt;'PlayerGrades+'!$AD$13,"D+",IF(J50&lt;'PlayerGrades+'!$AD$12,"C-",IF(J50&lt;'PlayerGrades+'!$AD$11,"C",IF(J50&lt;'PlayerGrades+'!$AD$10,"C+",IF(J50&lt;'PlayerGrades+'!$AD$9,"B-",IF(J50&lt;'PlayerGrades+'!$AD$8,"B",IF(J50&lt;'PlayerGrades+'!$AD$7,"B+",IF(J50&lt;'PlayerGrades+'!$AD$6,"A-",IF(J50&lt;'PlayerGrades+'!$AD$5,"A",IF(J50&lt;'PlayerGrades+'!$AD$4,"A+",IF(J50&lt;'PlayerGrades+'!$AD$3,"S-",IF(J50&lt;'PlayerGrades+'!$AD$2,"S","S+"))))))))))))))))))))</f>
        <v>C</v>
      </c>
      <c r="L50" s="677">
        <f t="shared" si="5"/>
        <v>0.577231427</v>
      </c>
      <c r="M50" s="938" t="str">
        <f>IF(L50&lt;'PlayerGrades+'!$AE$21,"F-",IF(L50&lt;'PlayerGrades+'!$AE$20,"F",IF(L50&lt;'PlayerGrades+'!$AE$19,"F+",IF(L50&lt;'PlayerGrades+'!$AE$18,"E-",IF(L50&lt;'PlayerGrades+'!$AE$17,"E",IF(L50&lt;'PlayerGrades+'!$AE$16,"E+",IF(L50&lt;'PlayerGrades+'!$AE$15,"D-",IF(L50&lt;'PlayerGrades+'!$AE$14,"D",IF(L50&lt;'PlayerGrades+'!$AE$13,"D+",IF(L50&lt;'PlayerGrades+'!$AE$12,"C-",IF(L50&lt;'PlayerGrades+'!$AE$11,"C",IF(L50&lt;'PlayerGrades+'!$AE$10,"C+",IF(L50&lt;'PlayerGrades+'!$AE$9,"B-",IF(L50&lt;'PlayerGrades+'!$AE$8,"B",IF(L50&lt;'PlayerGrades+'!$AE$7,"B+",IF(L50&lt;'PlayerGrades+'!$AE$6,"A-",IF(L50&lt;'PlayerGrades+'!$AE$5,"A",IF(L50&lt;'PlayerGrades+'!$AE$4,"A+",IF(L50&lt;'PlayerGrades+'!$AE$3,"S-",IF(L50&lt;'PlayerGrades+'!$AE$2,"S","S+"))))))))))))))))))))</f>
        <v>A</v>
      </c>
      <c r="N50" s="937">
        <f t="shared" si="6"/>
        <v>0.09620523784</v>
      </c>
      <c r="O50" s="937" t="str">
        <f>IF(N50&lt;'PlayerGrades+'!$AF$21,"F-",IF(N50&lt;'PlayerGrades+'!$AF$20,"F",IF(N50&lt;'PlayerGrades+'!$AF$19,"F+",IF(N50&lt;'PlayerGrades+'!$AF$18,"E-",IF(N50&lt;'PlayerGrades+'!$AF$17,"E",IF(N50&lt;'PlayerGrades+'!$AF$16,"E+",IF(N50&lt;'PlayerGrades+'!$AF$15,"D-",IF(N50&lt;'PlayerGrades+'!$AF$14,"D",IF(N50&lt;'PlayerGrades+'!$AF$13,"D+",IF(N50&lt;'PlayerGrades+'!$AF$12,"C-",IF(N50&lt;'PlayerGrades+'!$AF$11,"C",IF(N50&lt;'PlayerGrades+'!$AF$10,"C+",IF(N50&lt;'PlayerGrades+'!$AF$9,"B-",IF(N50&lt;'PlayerGrades+'!$AF$8,"B",IF(N50&lt;'PlayerGrades+'!$AF$7,"B+",IF(N50&lt;'PlayerGrades+'!$AF$6,"A-",IF(N50&lt;'PlayerGrades+'!$AF$5,"A",IF(N50&lt;'PlayerGrades+'!$AF$4,"A+",IF(N50&lt;'PlayerGrades+'!$AF$3,"S-",IF(N50&lt;'PlayerGrades+'!$AF$2,"S","S+"))))))))))))))))))))</f>
        <v>A-</v>
      </c>
      <c r="P50" s="937">
        <f t="shared" si="7"/>
        <v>0.03206841261</v>
      </c>
      <c r="Q50" s="937" t="str">
        <f>IF(P50&lt;'PlayerGrades+'!$AG$21,"F-",IF(P50&lt;'PlayerGrades+'!$AG$20,"F",IF(P50&lt;'PlayerGrades+'!$AG$19,"F+",IF(P50&lt;'PlayerGrades+'!$AG$18,"E-",IF(P50&lt;'PlayerGrades+'!$AG$17,"E",IF(P50&lt;'PlayerGrades+'!$AG$16,"E+",IF(P50&lt;'PlayerGrades+'!$AG$15,"D-",IF(P50&lt;'PlayerGrades+'!$AG$14,"D",IF(P50&lt;'PlayerGrades+'!$AG$13,"D+",IF(P50&lt;'PlayerGrades+'!$AG$12,"C-",IF(P50&lt;'PlayerGrades+'!$AG$11,"C",IF(P50&lt;'PlayerGrades+'!$AG$10,"C+",IF(P50&lt;'PlayerGrades+'!$AG$9,"B-",IF(P50&lt;'PlayerGrades+'!$AG$8,"B",IF(P50&lt;'PlayerGrades+'!$AG$7,"B+",IF(P50&lt;'PlayerGrades+'!$AG$6,"A-",IF(P50&lt;'PlayerGrades+'!$AG$5,"A",IF(P50&lt;'PlayerGrades+'!$AG$4,"A+",IF(P50&lt;'PlayerGrades+'!$AG$3,"S-",IF(P50&lt;'PlayerGrades+'!$AG$2,"S","S+"))))))))))))))))))))</f>
        <v>B+</v>
      </c>
      <c r="R50" s="937">
        <f t="shared" si="8"/>
        <v>0.7375734901</v>
      </c>
      <c r="S50" s="937" t="str">
        <f>IF(R50&lt;'PlayerGrades+'!$AH$21,"F-",IF(R50&lt;'PlayerGrades+'!$AH$20,"F",IF(R50&lt;'PlayerGrades+'!$AH$19,"F+",IF(R50&lt;'PlayerGrades+'!$AH$18,"E-",IF(R50&lt;'PlayerGrades+'!$AH$17,"E",IF(R50&lt;'PlayerGrades+'!$AH$16,"E+",IF(R50&lt;'PlayerGrades+'!$AH$15,"D-",IF(R50&lt;'PlayerGrades+'!$AH$14,"D",IF(R50&lt;'PlayerGrades+'!$AH$13,"D+",IF(R50&lt;'PlayerGrades+'!$AH$12,"C-",IF(R50&lt;'PlayerGrades+'!$AH$11,"C",IF(R50&lt;'PlayerGrades+'!$AH$10,"C+",IF(R50&lt;'PlayerGrades+'!$AH$9,"B-",IF(R50&lt;'PlayerGrades+'!$AH$8,"B",IF(R50&lt;'PlayerGrades+'!$AH$7,"B+",IF(R50&lt;'PlayerGrades+'!$AH$6,"A-",IF(R50&lt;'PlayerGrades+'!$AH$5,"A",IF(R50&lt;'PlayerGrades+'!$AH$4,"A+",IF(R50&lt;'PlayerGrades+'!$AH$3,"S-",IF(R50&lt;'PlayerGrades+'!$AH$2,"S","S+"))))))))))))))))))))</f>
        <v>S</v>
      </c>
      <c r="T50" s="937">
        <f t="shared" si="9"/>
        <v>0.2244788883</v>
      </c>
      <c r="U50" s="937" t="str">
        <f>IF(T50&lt;'PlayerGrades+'!$AI$21,"F-",IF(T50&lt;'PlayerGrades+'!$AI$20,"F",IF(T50&lt;'PlayerGrades+'!$AI$19,"F+",IF(T50&lt;'PlayerGrades+'!$AI$18,"E-",IF(T50&lt;'PlayerGrades+'!$AI$17,"E",IF(T50&lt;'PlayerGrades+'!$AI$16,"E+",IF(T50&lt;'PlayerGrades+'!$AI$15,"D-",IF(T50&lt;'PlayerGrades+'!$AI$14,"D",IF(T50&lt;'PlayerGrades+'!$AI$13,"D+",IF(T50&lt;'PlayerGrades+'!$AI$12,"C-",IF(T50&lt;'PlayerGrades+'!$AI$11,"C",IF(T50&lt;'PlayerGrades+'!$AI$10,"C+",IF(T50&lt;'PlayerGrades+'!$AI$9,"B-",IF(T50&lt;'PlayerGrades+'!$AI$8,"B",IF(T50&lt;'PlayerGrades+'!$AI$7,"B+",IF(T50&lt;'PlayerGrades+'!$AI$6,"A-",IF(T50&lt;'PlayerGrades+'!$AI$5,"A",IF(T50&lt;'PlayerGrades+'!$AI$4,"A+",IF(T50&lt;'PlayerGrades+'!$AI$3,"S-",IF(T50&lt;'PlayerGrades+'!$AI$2,"S","S+"))))))))))))))))))))</f>
        <v>F-</v>
      </c>
      <c r="V50" s="939">
        <v>1.0</v>
      </c>
      <c r="W50" s="939">
        <v>0.0</v>
      </c>
      <c r="X50" s="939">
        <v>1.0</v>
      </c>
      <c r="Y50" s="939">
        <v>0.0</v>
      </c>
      <c r="Z50" s="939">
        <v>0.0</v>
      </c>
      <c r="AA50" s="939">
        <v>109.0</v>
      </c>
      <c r="AB50" s="939">
        <v>134.0</v>
      </c>
      <c r="AC50" s="939">
        <v>-25.0</v>
      </c>
      <c r="AD50" s="939">
        <v>13.0</v>
      </c>
      <c r="AE50" s="939">
        <v>5.0</v>
      </c>
      <c r="AF50" s="939">
        <v>4.0</v>
      </c>
      <c r="AG50" s="939">
        <v>1352.0</v>
      </c>
      <c r="AH50" s="939">
        <v>1871.0</v>
      </c>
      <c r="AI50" s="939">
        <v>10.0</v>
      </c>
      <c r="AJ50" s="939">
        <v>5.0</v>
      </c>
      <c r="AK50" s="939">
        <v>0.0</v>
      </c>
      <c r="AL50" s="939">
        <v>1.0</v>
      </c>
      <c r="AM50" s="939">
        <v>0.0</v>
      </c>
      <c r="AN50" s="939">
        <v>0.0</v>
      </c>
      <c r="AO50" s="939">
        <v>0.0</v>
      </c>
      <c r="AP50" s="939">
        <v>1.0</v>
      </c>
      <c r="AQ50" s="939">
        <v>0.0</v>
      </c>
      <c r="AR50" s="939">
        <v>18.0</v>
      </c>
      <c r="AS50" s="939">
        <v>3.0</v>
      </c>
      <c r="AT50" s="939">
        <v>0.0</v>
      </c>
      <c r="AU50" s="939">
        <v>0.0</v>
      </c>
      <c r="AV50" s="939">
        <v>0.0</v>
      </c>
      <c r="AW50" s="939">
        <v>0.0</v>
      </c>
      <c r="AX50" s="939">
        <v>0.0</v>
      </c>
      <c r="AY50" s="939">
        <v>0.0</v>
      </c>
      <c r="AZ50" s="939">
        <v>0.0</v>
      </c>
      <c r="BA50" s="939">
        <v>0.0</v>
      </c>
      <c r="BB50" s="939">
        <v>7.0</v>
      </c>
      <c r="BC50" s="895">
        <v>0.0</v>
      </c>
      <c r="BD50" s="895">
        <v>10.0</v>
      </c>
      <c r="BE50" s="947">
        <v>7.0</v>
      </c>
      <c r="BF50" s="941">
        <v>0.0</v>
      </c>
      <c r="BG50" s="941">
        <v>1.0</v>
      </c>
    </row>
    <row r="51">
      <c r="A51" s="935" t="s">
        <v>132</v>
      </c>
      <c r="B51" s="16" t="str">
        <f>IF(C51&lt;'PlayerGrades+'!$Y$44,"F-",IF(C51&lt;'PlayerGrades+'!$Y$43,"F",IF(C51&lt;'PlayerGrades+'!$Y$42,"F+",IF(C51&lt;'PlayerGrades+'!$Y$41,"E-",IF(C51&lt;'PlayerGrades+'!$Y$40,"E",IF(C51&lt;'PlayerGrades+'!$Y$39,"E+",IF(C51&lt;'PlayerGrades+'!$Y$38,"D-",IF(C51&lt;'PlayerGrades+'!$Y$37,"D",IF(C51&lt;'PlayerGrades+'!$Y$36,"D+",IF(C51&lt;'PlayerGrades+'!$Y$35,"C-",IF(C51&lt;'PlayerGrades+'!$Y$34,"C",IF(C51&lt;'PlayerGrades+'!$Y$33,"C+",IF(C51&lt;'PlayerGrades+'!$Y$32,"B-",IF(C51&lt;'PlayerGrades+'!$Y$31,"B",IF(C51&lt;'PlayerGrades+'!$Y$30,"B+",IF(C51&lt;'PlayerGrades+'!$Y$29,"A-",IF(C51&lt;'PlayerGrades+'!$Y$28,"A",IF(C51&lt;'PlayerGrades+'!$Y$27,"A+",IF(C51&lt;'PlayerGrades+'!$Y$26,"S-",IF(C51&lt;'PlayerGrades+'!$Y$25,"S","S+"))))))))))))))))))))</f>
        <v>A+</v>
      </c>
      <c r="C51" s="936">
        <f>('PlayerGrades+'!$Y$47*(VLOOKUP(E51, 'PlayerGrades+'!$X$3:$Y$23, 2, FALSE)))+('PlayerGrades+'!$Y$48*(VLOOKUP(G51, 'PlayerGrades+'!$X$3:$Y$23, 2, FALSE)))+('PlayerGrades+'!$Y$49*(VLOOKUP(I51, 'PlayerGrades+'!$X$3:$Y$23, 2, FALSE)))+('PlayerGrades+'!$Y$50*(VLOOKUP(K51, 'PlayerGrades+'!$X$3:$Y$23, 2, FALSE)))+('PlayerGrades+'!$Y$51*(VLOOKUP(M51, 'PlayerGrades+'!$X$3:$Y$23, 2, FALSE)))+('PlayerGrades+'!$Y$52*(VLOOKUP(O51, 'PlayerGrades+'!$X$3:$Y$23, 2, FALSE)))+('PlayerGrades+'!$Y$53*(VLOOKUP(Q51, 'PlayerGrades+'!$X$3:$Y$23, 2, FALSE)))+('PlayerGrades+'!$Y$54*(VLOOKUP(S51, 'PlayerGrades+'!$X$3:$Y$23, 2, FALSE)))+('PlayerGrades+'!$Y$55*(VLOOKUP(U51, 'PlayerGrades+'!$X$3:$Y$23, 2, FALSE)))</f>
        <v>29.25</v>
      </c>
      <c r="D51" s="937">
        <f t="shared" si="1"/>
        <v>0.2244788883</v>
      </c>
      <c r="E51" s="937" t="str">
        <f>IF(D51&lt;'PlayerGrades+'!$AA$21,"F-",IF(D51&lt;'PlayerGrades+'!$AA$20,"F",IF(D51&lt;'PlayerGrades+'!$AA$19,"F+",IF(D51&lt;'PlayerGrades+'!$AA$18,"E-",IF(D51&lt;'PlayerGrades+'!$AA$17,"E",IF(D51&lt;'PlayerGrades+'!$AA$16,"E+",IF(D51&lt;'PlayerGrades+'!$AA$15,"D-",IF(D51&lt;'PlayerGrades+'!$AA$14,"D",IF(D51&lt;'PlayerGrades+'!$AA$13,"D+",IF(D51&lt;'PlayerGrades+'!$AA$12,"C-",IF(D51&lt;'PlayerGrades+'!$AA$11,"C",IF(D51&lt;'PlayerGrades+'!$AA$10,"C+",IF(D51&lt;'PlayerGrades+'!$AA$9,"B-",IF(D51&lt;'PlayerGrades+'!$AA$8,"B",IF(D51&lt;'PlayerGrades+'!$AA$7,"B+",IF(D51&lt;'PlayerGrades+'!$AA$6,"A-",IF(D51&lt;'PlayerGrades+'!$AA$5,"A",IF(D51&lt;'PlayerGrades+'!$AA$4,"A+",IF(D51&lt;'PlayerGrades+'!$AA$3,"S-",IF(D51&lt;'PlayerGrades+'!$AA$2,"S","S+"))))))))))))))))))))</f>
        <v>A-</v>
      </c>
      <c r="F51" s="937">
        <f t="shared" si="2"/>
        <v>0.6413682523</v>
      </c>
      <c r="G51" s="937" t="str">
        <f>IF(F51&lt;'PlayerGrades+'!$AB$21,"F-",IF(F51&lt;'PlayerGrades+'!$AB$20,"F",IF(F51&lt;'PlayerGrades+'!$AB$19,"F+",IF(F51&lt;'PlayerGrades+'!$AB$18,"E-",IF(F51&lt;'PlayerGrades+'!$AB$17,"E",IF(F51&lt;'PlayerGrades+'!$AB$16,"E+",IF(F51&lt;'PlayerGrades+'!$AB$15,"D-",IF(F51&lt;'PlayerGrades+'!$AB$14,"D",IF(F51&lt;'PlayerGrades+'!$AB$13,"D+",IF(F51&lt;'PlayerGrades+'!$AB$12,"C-",IF(F51&lt;'PlayerGrades+'!$AB$11,"C",IF(F51&lt;'PlayerGrades+'!$AB$10,"C+",IF(F51&lt;'PlayerGrades+'!$AB$9,"B-",IF(F51&lt;'PlayerGrades+'!$AB$8,"B",IF(F51&lt;'PlayerGrades+'!$AB$7,"B+",IF(F51&lt;'PlayerGrades+'!$AB$6,"A-",IF(F51&lt;'PlayerGrades+'!$AB$5,"A",IF(F51&lt;'PlayerGrades+'!$AB$4,"A+",IF(F51&lt;'PlayerGrades+'!$AB$3,"S-",IF(F51&lt;'PlayerGrades+'!$AB$2,"S","S+"))))))))))))))))))))</f>
        <v>S-</v>
      </c>
      <c r="H51" s="937">
        <f t="shared" si="3"/>
        <v>0.09620523784</v>
      </c>
      <c r="I51" s="937" t="str">
        <f>IF(H51&lt;'PlayerGrades+'!$AC$21,"F-",IF(H51&lt;'PlayerGrades+'!$AC$20,"F",IF(H51&lt;'PlayerGrades+'!$AC$19,"F+",IF(H51&lt;'PlayerGrades+'!$AC$18,"E-",IF(H51&lt;'PlayerGrades+'!$AC$17,"E",IF(H51&lt;'PlayerGrades+'!$AC$16,"E+",IF(H51&lt;'PlayerGrades+'!$AC$15,"D-",IF(H51&lt;'PlayerGrades+'!$AC$14,"D",IF(H51&lt;'PlayerGrades+'!$AC$13,"D+",IF(H51&lt;'PlayerGrades+'!$AC$12,"C-",IF(H51&lt;'PlayerGrades+'!$AC$11,"C",IF(H51&lt;'PlayerGrades+'!$AC$10,"C+",IF(H51&lt;'PlayerGrades+'!$AC$9,"B-",IF(H51&lt;'PlayerGrades+'!$AC$8,"B",IF(H51&lt;'PlayerGrades+'!$AC$7,"B+",IF(H51&lt;'PlayerGrades+'!$AC$6,"A-",IF(H51&lt;'PlayerGrades+'!$AC$5,"A",IF(H51&lt;'PlayerGrades+'!$AC$4,"A+",IF(H51&lt;'PlayerGrades+'!$AC$3,"S-",IF(H51&lt;'PlayerGrades+'!$AC$2,"S","S+"))))))))))))))))))))</f>
        <v>D+</v>
      </c>
      <c r="J51" s="937">
        <f t="shared" si="4"/>
        <v>0.1282736505</v>
      </c>
      <c r="K51" s="937" t="str">
        <f>IF(J51&lt;'PlayerGrades+'!$AD$21,"F-",IF(J51&lt;'PlayerGrades+'!$AD$20,"F",IF(J51&lt;'PlayerGrades+'!$AD$19,"F+",IF(J51&lt;'PlayerGrades+'!$AD$18,"E-",IF(J51&lt;'PlayerGrades+'!$AD$17,"E",IF(J51&lt;'PlayerGrades+'!$AD$16,"E+",IF(J51&lt;'PlayerGrades+'!$AD$15,"D-",IF(J51&lt;'PlayerGrades+'!$AD$14,"D",IF(J51&lt;'PlayerGrades+'!$AD$13,"D+",IF(J51&lt;'PlayerGrades+'!$AD$12,"C-",IF(J51&lt;'PlayerGrades+'!$AD$11,"C",IF(J51&lt;'PlayerGrades+'!$AD$10,"C+",IF(J51&lt;'PlayerGrades+'!$AD$9,"B-",IF(J51&lt;'PlayerGrades+'!$AD$8,"B",IF(J51&lt;'PlayerGrades+'!$AD$7,"B+",IF(J51&lt;'PlayerGrades+'!$AD$6,"A-",IF(J51&lt;'PlayerGrades+'!$AD$5,"A",IF(J51&lt;'PlayerGrades+'!$AD$4,"A+",IF(J51&lt;'PlayerGrades+'!$AD$3,"S-",IF(J51&lt;'PlayerGrades+'!$AD$2,"S","S+"))))))))))))))))))))</f>
        <v>S+</v>
      </c>
      <c r="L51" s="677">
        <f t="shared" si="5"/>
        <v>0.6092998397</v>
      </c>
      <c r="M51" s="938" t="str">
        <f>IF(L51&lt;'PlayerGrades+'!$AE$21,"F-",IF(L51&lt;'PlayerGrades+'!$AE$20,"F",IF(L51&lt;'PlayerGrades+'!$AE$19,"F+",IF(L51&lt;'PlayerGrades+'!$AE$18,"E-",IF(L51&lt;'PlayerGrades+'!$AE$17,"E",IF(L51&lt;'PlayerGrades+'!$AE$16,"E+",IF(L51&lt;'PlayerGrades+'!$AE$15,"D-",IF(L51&lt;'PlayerGrades+'!$AE$14,"D",IF(L51&lt;'PlayerGrades+'!$AE$13,"D+",IF(L51&lt;'PlayerGrades+'!$AE$12,"C-",IF(L51&lt;'PlayerGrades+'!$AE$11,"C",IF(L51&lt;'PlayerGrades+'!$AE$10,"C+",IF(L51&lt;'PlayerGrades+'!$AE$9,"B-",IF(L51&lt;'PlayerGrades+'!$AE$8,"B",IF(L51&lt;'PlayerGrades+'!$AE$7,"B+",IF(L51&lt;'PlayerGrades+'!$AE$6,"A-",IF(L51&lt;'PlayerGrades+'!$AE$5,"A",IF(L51&lt;'PlayerGrades+'!$AE$4,"A+",IF(L51&lt;'PlayerGrades+'!$AE$3,"S-",IF(L51&lt;'PlayerGrades+'!$AE$2,"S","S+"))))))))))))))))))))</f>
        <v>S-</v>
      </c>
      <c r="N51" s="937">
        <f t="shared" si="6"/>
        <v>0.1282736505</v>
      </c>
      <c r="O51" s="937" t="str">
        <f>IF(N51&lt;'PlayerGrades+'!$AF$21,"F-",IF(N51&lt;'PlayerGrades+'!$AF$20,"F",IF(N51&lt;'PlayerGrades+'!$AF$19,"F+",IF(N51&lt;'PlayerGrades+'!$AF$18,"E-",IF(N51&lt;'PlayerGrades+'!$AF$17,"E",IF(N51&lt;'PlayerGrades+'!$AF$16,"E+",IF(N51&lt;'PlayerGrades+'!$AF$15,"D-",IF(N51&lt;'PlayerGrades+'!$AF$14,"D",IF(N51&lt;'PlayerGrades+'!$AF$13,"D+",IF(N51&lt;'PlayerGrades+'!$AF$12,"C-",IF(N51&lt;'PlayerGrades+'!$AF$11,"C",IF(N51&lt;'PlayerGrades+'!$AF$10,"C+",IF(N51&lt;'PlayerGrades+'!$AF$9,"B-",IF(N51&lt;'PlayerGrades+'!$AF$8,"B",IF(N51&lt;'PlayerGrades+'!$AF$7,"B+",IF(N51&lt;'PlayerGrades+'!$AF$6,"A-",IF(N51&lt;'PlayerGrades+'!$AF$5,"A",IF(N51&lt;'PlayerGrades+'!$AF$4,"A+",IF(N51&lt;'PlayerGrades+'!$AF$3,"S-",IF(N51&lt;'PlayerGrades+'!$AF$2,"S","S+"))))))))))))))))))))</f>
        <v>S</v>
      </c>
      <c r="P51" s="937">
        <f t="shared" si="7"/>
        <v>0.06413682523</v>
      </c>
      <c r="Q51" s="937" t="str">
        <f>IF(P51&lt;'PlayerGrades+'!$AG$21,"F-",IF(P51&lt;'PlayerGrades+'!$AG$20,"F",IF(P51&lt;'PlayerGrades+'!$AG$19,"F+",IF(P51&lt;'PlayerGrades+'!$AG$18,"E-",IF(P51&lt;'PlayerGrades+'!$AG$17,"E",IF(P51&lt;'PlayerGrades+'!$AG$16,"E+",IF(P51&lt;'PlayerGrades+'!$AG$15,"D-",IF(P51&lt;'PlayerGrades+'!$AG$14,"D",IF(P51&lt;'PlayerGrades+'!$AG$13,"D+",IF(P51&lt;'PlayerGrades+'!$AG$12,"C-",IF(P51&lt;'PlayerGrades+'!$AG$11,"C",IF(P51&lt;'PlayerGrades+'!$AG$10,"C+",IF(P51&lt;'PlayerGrades+'!$AG$9,"B-",IF(P51&lt;'PlayerGrades+'!$AG$8,"B",IF(P51&lt;'PlayerGrades+'!$AG$7,"B+",IF(P51&lt;'PlayerGrades+'!$AG$6,"A-",IF(P51&lt;'PlayerGrades+'!$AG$5,"A",IF(P51&lt;'PlayerGrades+'!$AG$4,"A+",IF(P51&lt;'PlayerGrades+'!$AG$3,"S-",IF(P51&lt;'PlayerGrades+'!$AG$2,"S","S+"))))))))))))))))))))</f>
        <v>A+</v>
      </c>
      <c r="R51" s="937">
        <f t="shared" si="8"/>
        <v>0.6092998397</v>
      </c>
      <c r="S51" s="937" t="str">
        <f>IF(R51&lt;'PlayerGrades+'!$AH$21,"F-",IF(R51&lt;'PlayerGrades+'!$AH$20,"F",IF(R51&lt;'PlayerGrades+'!$AH$19,"F+",IF(R51&lt;'PlayerGrades+'!$AH$18,"E-",IF(R51&lt;'PlayerGrades+'!$AH$17,"E",IF(R51&lt;'PlayerGrades+'!$AH$16,"E+",IF(R51&lt;'PlayerGrades+'!$AH$15,"D-",IF(R51&lt;'PlayerGrades+'!$AH$14,"D",IF(R51&lt;'PlayerGrades+'!$AH$13,"D+",IF(R51&lt;'PlayerGrades+'!$AH$12,"C-",IF(R51&lt;'PlayerGrades+'!$AH$11,"C",IF(R51&lt;'PlayerGrades+'!$AH$10,"C+",IF(R51&lt;'PlayerGrades+'!$AH$9,"B-",IF(R51&lt;'PlayerGrades+'!$AH$8,"B",IF(R51&lt;'PlayerGrades+'!$AH$7,"B+",IF(R51&lt;'PlayerGrades+'!$AH$6,"A-",IF(R51&lt;'PlayerGrades+'!$AH$5,"A",IF(R51&lt;'PlayerGrades+'!$AH$4,"A+",IF(R51&lt;'PlayerGrades+'!$AH$3,"S-",IF(R51&lt;'PlayerGrades+'!$AH$2,"S","S+"))))))))))))))))))))</f>
        <v>A-</v>
      </c>
      <c r="T51" s="937">
        <f t="shared" si="9"/>
        <v>0.3848209514</v>
      </c>
      <c r="U51" s="937" t="str">
        <f>IF(T51&lt;'PlayerGrades+'!$AI$21,"F-",IF(T51&lt;'PlayerGrades+'!$AI$20,"F",IF(T51&lt;'PlayerGrades+'!$AI$19,"F+",IF(T51&lt;'PlayerGrades+'!$AI$18,"E-",IF(T51&lt;'PlayerGrades+'!$AI$17,"E",IF(T51&lt;'PlayerGrades+'!$AI$16,"E+",IF(T51&lt;'PlayerGrades+'!$AI$15,"D-",IF(T51&lt;'PlayerGrades+'!$AI$14,"D",IF(T51&lt;'PlayerGrades+'!$AI$13,"D+",IF(T51&lt;'PlayerGrades+'!$AI$12,"C-",IF(T51&lt;'PlayerGrades+'!$AI$11,"C",IF(T51&lt;'PlayerGrades+'!$AI$10,"C+",IF(T51&lt;'PlayerGrades+'!$AI$9,"B-",IF(T51&lt;'PlayerGrades+'!$AI$8,"B",IF(T51&lt;'PlayerGrades+'!$AI$7,"B+",IF(T51&lt;'PlayerGrades+'!$AI$6,"A-",IF(T51&lt;'PlayerGrades+'!$AI$5,"A",IF(T51&lt;'PlayerGrades+'!$AI$4,"A+",IF(T51&lt;'PlayerGrades+'!$AI$3,"S-",IF(T51&lt;'PlayerGrades+'!$AI$2,"S","S+"))))))))))))))))))))</f>
        <v>F-</v>
      </c>
      <c r="V51" s="941">
        <v>1.0</v>
      </c>
      <c r="W51" s="941">
        <v>0.0</v>
      </c>
      <c r="X51" s="941">
        <v>1.0</v>
      </c>
      <c r="Y51" s="941">
        <v>0.0</v>
      </c>
      <c r="Z51" s="941">
        <v>7.0</v>
      </c>
      <c r="AA51" s="941">
        <v>115.0</v>
      </c>
      <c r="AB51" s="941">
        <v>95.0</v>
      </c>
      <c r="AC51" s="941">
        <v>20.0</v>
      </c>
      <c r="AD51" s="941">
        <v>5.0</v>
      </c>
      <c r="AE51" s="941">
        <v>7.0</v>
      </c>
      <c r="AF51" s="941">
        <v>3.0</v>
      </c>
      <c r="AG51" s="941">
        <v>1461.0</v>
      </c>
      <c r="AH51" s="941">
        <v>1871.0</v>
      </c>
      <c r="AI51" s="941">
        <v>15.0</v>
      </c>
      <c r="AJ51" s="941">
        <v>310.0</v>
      </c>
      <c r="AK51" s="941">
        <v>0.0</v>
      </c>
      <c r="AL51" s="941">
        <v>4.0</v>
      </c>
      <c r="AM51" s="941">
        <v>0.0</v>
      </c>
      <c r="AN51" s="941">
        <v>0.0</v>
      </c>
      <c r="AO51" s="941">
        <v>0.0</v>
      </c>
      <c r="AP51" s="941">
        <v>2.0</v>
      </c>
      <c r="AQ51" s="941">
        <v>0.0</v>
      </c>
      <c r="AR51" s="941">
        <v>19.0</v>
      </c>
      <c r="AS51" s="941">
        <v>4.0</v>
      </c>
      <c r="AT51" s="941">
        <v>1.0</v>
      </c>
      <c r="AU51" s="941">
        <v>1.0</v>
      </c>
      <c r="AV51" s="941">
        <v>0.0</v>
      </c>
      <c r="AW51" s="941">
        <v>0.0</v>
      </c>
      <c r="AX51" s="941">
        <v>0.0</v>
      </c>
      <c r="AY51" s="941">
        <v>0.0</v>
      </c>
      <c r="AZ51" s="941">
        <v>0.0</v>
      </c>
      <c r="BA51" s="941">
        <v>0.0</v>
      </c>
      <c r="BB51" s="941">
        <v>3.0</v>
      </c>
      <c r="BC51" s="941">
        <v>0.0</v>
      </c>
      <c r="BD51" s="941">
        <v>14.0</v>
      </c>
      <c r="BE51" s="942">
        <v>12.0</v>
      </c>
      <c r="BF51" s="941">
        <v>0.0</v>
      </c>
      <c r="BG51" s="941">
        <v>1.0</v>
      </c>
    </row>
    <row r="52">
      <c r="A52" s="935" t="s">
        <v>154</v>
      </c>
      <c r="B52" s="16" t="str">
        <f>IF(C52&lt;'PlayerGrades+'!$Y$44,"F-",IF(C52&lt;'PlayerGrades+'!$Y$43,"F",IF(C52&lt;'PlayerGrades+'!$Y$42,"F+",IF(C52&lt;'PlayerGrades+'!$Y$41,"E-",IF(C52&lt;'PlayerGrades+'!$Y$40,"E",IF(C52&lt;'PlayerGrades+'!$Y$39,"E+",IF(C52&lt;'PlayerGrades+'!$Y$38,"D-",IF(C52&lt;'PlayerGrades+'!$Y$37,"D",IF(C52&lt;'PlayerGrades+'!$Y$36,"D+",IF(C52&lt;'PlayerGrades+'!$Y$35,"C-",IF(C52&lt;'PlayerGrades+'!$Y$34,"C",IF(C52&lt;'PlayerGrades+'!$Y$33,"C+",IF(C52&lt;'PlayerGrades+'!$Y$32,"B-",IF(C52&lt;'PlayerGrades+'!$Y$31,"B",IF(C52&lt;'PlayerGrades+'!$Y$30,"B+",IF(C52&lt;'PlayerGrades+'!$Y$29,"A-",IF(C52&lt;'PlayerGrades+'!$Y$28,"A",IF(C52&lt;'PlayerGrades+'!$Y$27,"A+",IF(C52&lt;'PlayerGrades+'!$Y$26,"S-",IF(C52&lt;'PlayerGrades+'!$Y$25,"S","S+"))))))))))))))))))))</f>
        <v>F</v>
      </c>
      <c r="C52" s="936">
        <f>('PlayerGrades+'!$Y$47*(VLOOKUP(E52, 'PlayerGrades+'!$X$3:$Y$23, 2, FALSE)))+('PlayerGrades+'!$Y$48*(VLOOKUP(G52, 'PlayerGrades+'!$X$3:$Y$23, 2, FALSE)))+('PlayerGrades+'!$Y$49*(VLOOKUP(I52, 'PlayerGrades+'!$X$3:$Y$23, 2, FALSE)))+('PlayerGrades+'!$Y$50*(VLOOKUP(K52, 'PlayerGrades+'!$X$3:$Y$23, 2, FALSE)))+('PlayerGrades+'!$Y$51*(VLOOKUP(M52, 'PlayerGrades+'!$X$3:$Y$23, 2, FALSE)))+('PlayerGrades+'!$Y$52*(VLOOKUP(O52, 'PlayerGrades+'!$X$3:$Y$23, 2, FALSE)))+('PlayerGrades+'!$Y$53*(VLOOKUP(Q52, 'PlayerGrades+'!$X$3:$Y$23, 2, FALSE)))+('PlayerGrades+'!$Y$54*(VLOOKUP(S52, 'PlayerGrades+'!$X$3:$Y$23, 2, FALSE)))+('PlayerGrades+'!$Y$55*(VLOOKUP(U52, 'PlayerGrades+'!$X$3:$Y$23, 2, FALSE)))</f>
        <v>9.4</v>
      </c>
      <c r="D52" s="937">
        <f t="shared" si="1"/>
        <v>0.09620523784</v>
      </c>
      <c r="E52" s="937" t="str">
        <f>IF(D52&lt;'PlayerGrades+'!$AA$21,"F-",IF(D52&lt;'PlayerGrades+'!$AA$20,"F",IF(D52&lt;'PlayerGrades+'!$AA$19,"F+",IF(D52&lt;'PlayerGrades+'!$AA$18,"E-",IF(D52&lt;'PlayerGrades+'!$AA$17,"E",IF(D52&lt;'PlayerGrades+'!$AA$16,"E+",IF(D52&lt;'PlayerGrades+'!$AA$15,"D-",IF(D52&lt;'PlayerGrades+'!$AA$14,"D",IF(D52&lt;'PlayerGrades+'!$AA$13,"D+",IF(D52&lt;'PlayerGrades+'!$AA$12,"C-",IF(D52&lt;'PlayerGrades+'!$AA$11,"C",IF(D52&lt;'PlayerGrades+'!$AA$10,"C+",IF(D52&lt;'PlayerGrades+'!$AA$9,"B-",IF(D52&lt;'PlayerGrades+'!$AA$8,"B",IF(D52&lt;'PlayerGrades+'!$AA$7,"B+",IF(D52&lt;'PlayerGrades+'!$AA$6,"A-",IF(D52&lt;'PlayerGrades+'!$AA$5,"A",IF(D52&lt;'PlayerGrades+'!$AA$4,"A+",IF(D52&lt;'PlayerGrades+'!$AA$3,"S-",IF(D52&lt;'PlayerGrades+'!$AA$2,"S","S+"))))))))))))))))))))</f>
        <v>B</v>
      </c>
      <c r="F52" s="937">
        <f t="shared" si="2"/>
        <v>-1.058257616</v>
      </c>
      <c r="G52" s="937" t="str">
        <f>IF(F52&lt;'PlayerGrades+'!$AB$21,"F-",IF(F52&lt;'PlayerGrades+'!$AB$20,"F",IF(F52&lt;'PlayerGrades+'!$AB$19,"F+",IF(F52&lt;'PlayerGrades+'!$AB$18,"E-",IF(F52&lt;'PlayerGrades+'!$AB$17,"E",IF(F52&lt;'PlayerGrades+'!$AB$16,"E+",IF(F52&lt;'PlayerGrades+'!$AB$15,"D-",IF(F52&lt;'PlayerGrades+'!$AB$14,"D",IF(F52&lt;'PlayerGrades+'!$AB$13,"D+",IF(F52&lt;'PlayerGrades+'!$AB$12,"C-",IF(F52&lt;'PlayerGrades+'!$AB$11,"C",IF(F52&lt;'PlayerGrades+'!$AB$10,"C+",IF(F52&lt;'PlayerGrades+'!$AB$9,"B-",IF(F52&lt;'PlayerGrades+'!$AB$8,"B",IF(F52&lt;'PlayerGrades+'!$AB$7,"B+",IF(F52&lt;'PlayerGrades+'!$AB$6,"A-",IF(F52&lt;'PlayerGrades+'!$AB$5,"A",IF(F52&lt;'PlayerGrades+'!$AB$4,"A+",IF(F52&lt;'PlayerGrades+'!$AB$3,"S-",IF(F52&lt;'PlayerGrades+'!$AB$2,"S","S+"))))))))))))))))))))</f>
        <v>F</v>
      </c>
      <c r="H52" s="937">
        <f t="shared" si="3"/>
        <v>0.06413682523</v>
      </c>
      <c r="I52" s="937" t="str">
        <f>IF(H52&lt;'PlayerGrades+'!$AC$21,"F-",IF(H52&lt;'PlayerGrades+'!$AC$20,"F",IF(H52&lt;'PlayerGrades+'!$AC$19,"F+",IF(H52&lt;'PlayerGrades+'!$AC$18,"E-",IF(H52&lt;'PlayerGrades+'!$AC$17,"E",IF(H52&lt;'PlayerGrades+'!$AC$16,"E+",IF(H52&lt;'PlayerGrades+'!$AC$15,"D-",IF(H52&lt;'PlayerGrades+'!$AC$14,"D",IF(H52&lt;'PlayerGrades+'!$AC$13,"D+",IF(H52&lt;'PlayerGrades+'!$AC$12,"C-",IF(H52&lt;'PlayerGrades+'!$AC$11,"C",IF(H52&lt;'PlayerGrades+'!$AC$10,"C+",IF(H52&lt;'PlayerGrades+'!$AC$9,"B-",IF(H52&lt;'PlayerGrades+'!$AC$8,"B",IF(H52&lt;'PlayerGrades+'!$AC$7,"B+",IF(H52&lt;'PlayerGrades+'!$AC$6,"A-",IF(H52&lt;'PlayerGrades+'!$AC$5,"A",IF(H52&lt;'PlayerGrades+'!$AC$4,"A+",IF(H52&lt;'PlayerGrades+'!$AC$3,"S-",IF(H52&lt;'PlayerGrades+'!$AC$2,"S","S+"))))))))))))))))))))</f>
        <v>E-</v>
      </c>
      <c r="J52" s="937">
        <f t="shared" si="4"/>
        <v>0</v>
      </c>
      <c r="K52" s="937" t="str">
        <f>IF(J52&lt;'PlayerGrades+'!$AD$21,"F-",IF(J52&lt;'PlayerGrades+'!$AD$20,"F",IF(J52&lt;'PlayerGrades+'!$AD$19,"F+",IF(J52&lt;'PlayerGrades+'!$AD$18,"E-",IF(J52&lt;'PlayerGrades+'!$AD$17,"E",IF(J52&lt;'PlayerGrades+'!$AD$16,"E+",IF(J52&lt;'PlayerGrades+'!$AD$15,"D-",IF(J52&lt;'PlayerGrades+'!$AD$14,"D",IF(J52&lt;'PlayerGrades+'!$AD$13,"D+",IF(J52&lt;'PlayerGrades+'!$AD$12,"C-",IF(J52&lt;'PlayerGrades+'!$AD$11,"C",IF(J52&lt;'PlayerGrades+'!$AD$10,"C+",IF(J52&lt;'PlayerGrades+'!$AD$9,"B-",IF(J52&lt;'PlayerGrades+'!$AD$8,"B",IF(J52&lt;'PlayerGrades+'!$AD$7,"B+",IF(J52&lt;'PlayerGrades+'!$AD$6,"A-",IF(J52&lt;'PlayerGrades+'!$AD$5,"A",IF(J52&lt;'PlayerGrades+'!$AD$4,"A+",IF(J52&lt;'PlayerGrades+'!$AD$3,"S-",IF(J52&lt;'PlayerGrades+'!$AD$2,"S","S+"))))))))))))))))))))</f>
        <v>F-</v>
      </c>
      <c r="L52" s="677">
        <f t="shared" si="5"/>
        <v>0.2244788883</v>
      </c>
      <c r="M52" s="938" t="str">
        <f>IF(L52&lt;'PlayerGrades+'!$AE$21,"F-",IF(L52&lt;'PlayerGrades+'!$AE$20,"F",IF(L52&lt;'PlayerGrades+'!$AE$19,"F+",IF(L52&lt;'PlayerGrades+'!$AE$18,"E-",IF(L52&lt;'PlayerGrades+'!$AE$17,"E",IF(L52&lt;'PlayerGrades+'!$AE$16,"E+",IF(L52&lt;'PlayerGrades+'!$AE$15,"D-",IF(L52&lt;'PlayerGrades+'!$AE$14,"D",IF(L52&lt;'PlayerGrades+'!$AE$13,"D+",IF(L52&lt;'PlayerGrades+'!$AE$12,"C-",IF(L52&lt;'PlayerGrades+'!$AE$11,"C",IF(L52&lt;'PlayerGrades+'!$AE$10,"C+",IF(L52&lt;'PlayerGrades+'!$AE$9,"B-",IF(L52&lt;'PlayerGrades+'!$AE$8,"B",IF(L52&lt;'PlayerGrades+'!$AE$7,"B+",IF(L52&lt;'PlayerGrades+'!$AE$6,"A-",IF(L52&lt;'PlayerGrades+'!$AE$5,"A",IF(L52&lt;'PlayerGrades+'!$AE$4,"A+",IF(L52&lt;'PlayerGrades+'!$AE$3,"S-",IF(L52&lt;'PlayerGrades+'!$AE$2,"S","S+"))))))))))))))))))))</f>
        <v>F</v>
      </c>
      <c r="N52" s="937">
        <f t="shared" si="6"/>
        <v>0</v>
      </c>
      <c r="O52" s="937" t="str">
        <f>IF(N52&lt;'PlayerGrades+'!$AF$21,"F-",IF(N52&lt;'PlayerGrades+'!$AF$20,"F",IF(N52&lt;'PlayerGrades+'!$AF$19,"F+",IF(N52&lt;'PlayerGrades+'!$AF$18,"E-",IF(N52&lt;'PlayerGrades+'!$AF$17,"E",IF(N52&lt;'PlayerGrades+'!$AF$16,"E+",IF(N52&lt;'PlayerGrades+'!$AF$15,"D-",IF(N52&lt;'PlayerGrades+'!$AF$14,"D",IF(N52&lt;'PlayerGrades+'!$AF$13,"D+",IF(N52&lt;'PlayerGrades+'!$AF$12,"C-",IF(N52&lt;'PlayerGrades+'!$AF$11,"C",IF(N52&lt;'PlayerGrades+'!$AF$10,"C+",IF(N52&lt;'PlayerGrades+'!$AF$9,"B-",IF(N52&lt;'PlayerGrades+'!$AF$8,"B",IF(N52&lt;'PlayerGrades+'!$AF$7,"B+",IF(N52&lt;'PlayerGrades+'!$AF$6,"A-",IF(N52&lt;'PlayerGrades+'!$AF$5,"A",IF(N52&lt;'PlayerGrades+'!$AF$4,"A+",IF(N52&lt;'PlayerGrades+'!$AF$3,"S-",IF(N52&lt;'PlayerGrades+'!$AF$2,"S","S+"))))))))))))))))))))</f>
        <v>F-</v>
      </c>
      <c r="P52" s="937">
        <f t="shared" si="7"/>
        <v>0</v>
      </c>
      <c r="Q52" s="937" t="str">
        <f>IF(P52&lt;'PlayerGrades+'!$AG$21,"F-",IF(P52&lt;'PlayerGrades+'!$AG$20,"F",IF(P52&lt;'PlayerGrades+'!$AG$19,"F+",IF(P52&lt;'PlayerGrades+'!$AG$18,"E-",IF(P52&lt;'PlayerGrades+'!$AG$17,"E",IF(P52&lt;'PlayerGrades+'!$AG$16,"E+",IF(P52&lt;'PlayerGrades+'!$AG$15,"D-",IF(P52&lt;'PlayerGrades+'!$AG$14,"D",IF(P52&lt;'PlayerGrades+'!$AG$13,"D+",IF(P52&lt;'PlayerGrades+'!$AG$12,"C-",IF(P52&lt;'PlayerGrades+'!$AG$11,"C",IF(P52&lt;'PlayerGrades+'!$AG$10,"C+",IF(P52&lt;'PlayerGrades+'!$AG$9,"B-",IF(P52&lt;'PlayerGrades+'!$AG$8,"B",IF(P52&lt;'PlayerGrades+'!$AG$7,"B+",IF(P52&lt;'PlayerGrades+'!$AG$6,"A-",IF(P52&lt;'PlayerGrades+'!$AG$5,"A",IF(P52&lt;'PlayerGrades+'!$AG$4,"A+",IF(P52&lt;'PlayerGrades+'!$AG$3,"S-",IF(P52&lt;'PlayerGrades+'!$AG$2,"S","S+"))))))))))))))))))))</f>
        <v>F</v>
      </c>
      <c r="R52" s="937">
        <f t="shared" si="8"/>
        <v>0.3206841261</v>
      </c>
      <c r="S52" s="937" t="str">
        <f>IF(R52&lt;'PlayerGrades+'!$AH$21,"F-",IF(R52&lt;'PlayerGrades+'!$AH$20,"F",IF(R52&lt;'PlayerGrades+'!$AH$19,"F+",IF(R52&lt;'PlayerGrades+'!$AH$18,"E-",IF(R52&lt;'PlayerGrades+'!$AH$17,"E",IF(R52&lt;'PlayerGrades+'!$AH$16,"E+",IF(R52&lt;'PlayerGrades+'!$AH$15,"D-",IF(R52&lt;'PlayerGrades+'!$AH$14,"D",IF(R52&lt;'PlayerGrades+'!$AH$13,"D+",IF(R52&lt;'PlayerGrades+'!$AH$12,"C-",IF(R52&lt;'PlayerGrades+'!$AH$11,"C",IF(R52&lt;'PlayerGrades+'!$AH$10,"C+",IF(R52&lt;'PlayerGrades+'!$AH$9,"B-",IF(R52&lt;'PlayerGrades+'!$AH$8,"B",IF(R52&lt;'PlayerGrades+'!$AH$7,"B+",IF(R52&lt;'PlayerGrades+'!$AH$6,"A-",IF(R52&lt;'PlayerGrades+'!$AH$5,"A",IF(R52&lt;'PlayerGrades+'!$AH$4,"A+",IF(R52&lt;'PlayerGrades+'!$AH$3,"S-",IF(R52&lt;'PlayerGrades+'!$AH$2,"S","S+"))))))))))))))))))))</f>
        <v>F</v>
      </c>
      <c r="T52" s="937">
        <f t="shared" si="9"/>
        <v>2.416889364</v>
      </c>
      <c r="U52" s="937" t="str">
        <f>IF(T52&lt;'PlayerGrades+'!$AI$21,"F-",IF(T52&lt;'PlayerGrades+'!$AI$20,"F",IF(T52&lt;'PlayerGrades+'!$AI$19,"F+",IF(T52&lt;'PlayerGrades+'!$AI$18,"E-",IF(T52&lt;'PlayerGrades+'!$AI$17,"E",IF(T52&lt;'PlayerGrades+'!$AI$16,"E+",IF(T52&lt;'PlayerGrades+'!$AI$15,"D-",IF(T52&lt;'PlayerGrades+'!$AI$14,"D",IF(T52&lt;'PlayerGrades+'!$AI$13,"D+",IF(T52&lt;'PlayerGrades+'!$AI$12,"C-",IF(T52&lt;'PlayerGrades+'!$AI$11,"C",IF(T52&lt;'PlayerGrades+'!$AI$10,"C+",IF(T52&lt;'PlayerGrades+'!$AI$9,"B-",IF(T52&lt;'PlayerGrades+'!$AI$8,"B",IF(T52&lt;'PlayerGrades+'!$AI$7,"B+",IF(T52&lt;'PlayerGrades+'!$AI$6,"A-",IF(T52&lt;'PlayerGrades+'!$AI$5,"A",IF(T52&lt;'PlayerGrades+'!$AI$4,"A+",IF(T52&lt;'PlayerGrades+'!$AI$3,"S-",IF(T52&lt;'PlayerGrades+'!$AI$2,"S","S+"))))))))))))))))))))</f>
        <v>S+</v>
      </c>
      <c r="V52" s="941">
        <v>1.0</v>
      </c>
      <c r="W52" s="941">
        <v>0.0</v>
      </c>
      <c r="X52" s="941">
        <v>1.0</v>
      </c>
      <c r="Y52" s="941">
        <v>2.0</v>
      </c>
      <c r="Z52" s="941">
        <v>1.0</v>
      </c>
      <c r="AA52" s="941">
        <v>69.0</v>
      </c>
      <c r="AB52" s="941">
        <v>102.0</v>
      </c>
      <c r="AC52" s="941">
        <v>-33.0</v>
      </c>
      <c r="AD52" s="941">
        <v>1.0</v>
      </c>
      <c r="AE52" s="941">
        <v>4.0</v>
      </c>
      <c r="AF52" s="941">
        <v>0.0</v>
      </c>
      <c r="AG52" s="941">
        <v>1446.0</v>
      </c>
      <c r="AH52" s="941">
        <v>1871.0</v>
      </c>
      <c r="AI52" s="941">
        <v>14.0</v>
      </c>
      <c r="AJ52" s="941">
        <v>382.0</v>
      </c>
      <c r="AK52" s="941">
        <v>0.0</v>
      </c>
      <c r="AL52" s="941">
        <v>0.0</v>
      </c>
      <c r="AM52" s="941">
        <v>0.0</v>
      </c>
      <c r="AN52" s="941">
        <v>0.0</v>
      </c>
      <c r="AO52" s="941">
        <v>0.0</v>
      </c>
      <c r="AP52" s="941">
        <v>0.0</v>
      </c>
      <c r="AQ52" s="941">
        <v>0.0</v>
      </c>
      <c r="AR52" s="941">
        <v>7.0</v>
      </c>
      <c r="AS52" s="941">
        <v>0.0</v>
      </c>
      <c r="AT52" s="941">
        <v>0.0</v>
      </c>
      <c r="AU52" s="941">
        <v>0.0</v>
      </c>
      <c r="AV52" s="941">
        <v>0.0</v>
      </c>
      <c r="AW52" s="941">
        <v>0.0</v>
      </c>
      <c r="AX52" s="941">
        <v>0.0</v>
      </c>
      <c r="AY52" s="941">
        <v>0.0</v>
      </c>
      <c r="AZ52" s="941">
        <v>0.0</v>
      </c>
      <c r="BA52" s="941">
        <v>0.0</v>
      </c>
      <c r="BB52" s="941">
        <v>2.0</v>
      </c>
      <c r="BC52" s="941">
        <v>0.0</v>
      </c>
      <c r="BD52" s="941">
        <v>9.0</v>
      </c>
      <c r="BE52" s="942">
        <v>13.0</v>
      </c>
      <c r="BF52" s="941">
        <v>2.0</v>
      </c>
      <c r="BG52" s="941">
        <v>1.0</v>
      </c>
    </row>
    <row r="53">
      <c r="A53" s="935" t="s">
        <v>121</v>
      </c>
      <c r="B53" s="16" t="str">
        <f>IF(C53&lt;'PlayerGrades+'!$Y$44,"F-",IF(C53&lt;'PlayerGrades+'!$Y$43,"F",IF(C53&lt;'PlayerGrades+'!$Y$42,"F+",IF(C53&lt;'PlayerGrades+'!$Y$41,"E-",IF(C53&lt;'PlayerGrades+'!$Y$40,"E",IF(C53&lt;'PlayerGrades+'!$Y$39,"E+",IF(C53&lt;'PlayerGrades+'!$Y$38,"D-",IF(C53&lt;'PlayerGrades+'!$Y$37,"D",IF(C53&lt;'PlayerGrades+'!$Y$36,"D+",IF(C53&lt;'PlayerGrades+'!$Y$35,"C-",IF(C53&lt;'PlayerGrades+'!$Y$34,"C",IF(C53&lt;'PlayerGrades+'!$Y$33,"C+",IF(C53&lt;'PlayerGrades+'!$Y$32,"B-",IF(C53&lt;'PlayerGrades+'!$Y$31,"B",IF(C53&lt;'PlayerGrades+'!$Y$30,"B+",IF(C53&lt;'PlayerGrades+'!$Y$29,"A-",IF(C53&lt;'PlayerGrades+'!$Y$28,"A",IF(C53&lt;'PlayerGrades+'!$Y$27,"A+",IF(C53&lt;'PlayerGrades+'!$Y$26,"S-",IF(C53&lt;'PlayerGrades+'!$Y$25,"S","S+"))))))))))))))))))))</f>
        <v>S</v>
      </c>
      <c r="C53" s="936">
        <f>('PlayerGrades+'!$Y$47*(VLOOKUP(E53, 'PlayerGrades+'!$X$3:$Y$23, 2, FALSE)))+('PlayerGrades+'!$Y$48*(VLOOKUP(G53, 'PlayerGrades+'!$X$3:$Y$23, 2, FALSE)))+('PlayerGrades+'!$Y$49*(VLOOKUP(I53, 'PlayerGrades+'!$X$3:$Y$23, 2, FALSE)))+('PlayerGrades+'!$Y$50*(VLOOKUP(K53, 'PlayerGrades+'!$X$3:$Y$23, 2, FALSE)))+('PlayerGrades+'!$Y$51*(VLOOKUP(M53, 'PlayerGrades+'!$X$3:$Y$23, 2, FALSE)))+('PlayerGrades+'!$Y$52*(VLOOKUP(O53, 'PlayerGrades+'!$X$3:$Y$23, 2, FALSE)))+('PlayerGrades+'!$Y$53*(VLOOKUP(Q53, 'PlayerGrades+'!$X$3:$Y$23, 2, FALSE)))+('PlayerGrades+'!$Y$54*(VLOOKUP(S53, 'PlayerGrades+'!$X$3:$Y$23, 2, FALSE)))+('PlayerGrades+'!$Y$55*(VLOOKUP(U53, 'PlayerGrades+'!$X$3:$Y$23, 2, FALSE)))</f>
        <v>32.95</v>
      </c>
      <c r="D53" s="937">
        <f t="shared" si="1"/>
        <v>0.09620523784</v>
      </c>
      <c r="E53" s="937" t="str">
        <f>IF(D53&lt;'PlayerGrades+'!$AA$21,"F-",IF(D53&lt;'PlayerGrades+'!$AA$20,"F",IF(D53&lt;'PlayerGrades+'!$AA$19,"F+",IF(D53&lt;'PlayerGrades+'!$AA$18,"E-",IF(D53&lt;'PlayerGrades+'!$AA$17,"E",IF(D53&lt;'PlayerGrades+'!$AA$16,"E+",IF(D53&lt;'PlayerGrades+'!$AA$15,"D-",IF(D53&lt;'PlayerGrades+'!$AA$14,"D",IF(D53&lt;'PlayerGrades+'!$AA$13,"D+",IF(D53&lt;'PlayerGrades+'!$AA$12,"C-",IF(D53&lt;'PlayerGrades+'!$AA$11,"C",IF(D53&lt;'PlayerGrades+'!$AA$10,"C+",IF(D53&lt;'PlayerGrades+'!$AA$9,"B-",IF(D53&lt;'PlayerGrades+'!$AA$8,"B",IF(D53&lt;'PlayerGrades+'!$AA$7,"B+",IF(D53&lt;'PlayerGrades+'!$AA$6,"A-",IF(D53&lt;'PlayerGrades+'!$AA$5,"A",IF(D53&lt;'PlayerGrades+'!$AA$4,"A+",IF(D53&lt;'PlayerGrades+'!$AA$3,"S-",IF(D53&lt;'PlayerGrades+'!$AA$2,"S","S+"))))))))))))))))))))</f>
        <v>B</v>
      </c>
      <c r="F53" s="937">
        <f t="shared" si="2"/>
        <v>0.8017103153</v>
      </c>
      <c r="G53" s="937" t="str">
        <f>IF(F53&lt;'PlayerGrades+'!$AB$21,"F-",IF(F53&lt;'PlayerGrades+'!$AB$20,"F",IF(F53&lt;'PlayerGrades+'!$AB$19,"F+",IF(F53&lt;'PlayerGrades+'!$AB$18,"E-",IF(F53&lt;'PlayerGrades+'!$AB$17,"E",IF(F53&lt;'PlayerGrades+'!$AB$16,"E+",IF(F53&lt;'PlayerGrades+'!$AB$15,"D-",IF(F53&lt;'PlayerGrades+'!$AB$14,"D",IF(F53&lt;'PlayerGrades+'!$AB$13,"D+",IF(F53&lt;'PlayerGrades+'!$AB$12,"C-",IF(F53&lt;'PlayerGrades+'!$AB$11,"C",IF(F53&lt;'PlayerGrades+'!$AB$10,"C+",IF(F53&lt;'PlayerGrades+'!$AB$9,"B-",IF(F53&lt;'PlayerGrades+'!$AB$8,"B",IF(F53&lt;'PlayerGrades+'!$AB$7,"B+",IF(F53&lt;'PlayerGrades+'!$AB$6,"A-",IF(F53&lt;'PlayerGrades+'!$AB$5,"A",IF(F53&lt;'PlayerGrades+'!$AB$4,"A+",IF(F53&lt;'PlayerGrades+'!$AB$3,"S-",IF(F53&lt;'PlayerGrades+'!$AB$2,"S","S+"))))))))))))))))))))</f>
        <v>S</v>
      </c>
      <c r="H53" s="937">
        <f t="shared" si="3"/>
        <v>0.3206841261</v>
      </c>
      <c r="I53" s="937" t="str">
        <f>IF(H53&lt;'PlayerGrades+'!$AC$21,"F-",IF(H53&lt;'PlayerGrades+'!$AC$20,"F",IF(H53&lt;'PlayerGrades+'!$AC$19,"F+",IF(H53&lt;'PlayerGrades+'!$AC$18,"E-",IF(H53&lt;'PlayerGrades+'!$AC$17,"E",IF(H53&lt;'PlayerGrades+'!$AC$16,"E+",IF(H53&lt;'PlayerGrades+'!$AC$15,"D-",IF(H53&lt;'PlayerGrades+'!$AC$14,"D",IF(H53&lt;'PlayerGrades+'!$AC$13,"D+",IF(H53&lt;'PlayerGrades+'!$AC$12,"C-",IF(H53&lt;'PlayerGrades+'!$AC$11,"C",IF(H53&lt;'PlayerGrades+'!$AC$10,"C+",IF(H53&lt;'PlayerGrades+'!$AC$9,"B-",IF(H53&lt;'PlayerGrades+'!$AC$8,"B",IF(H53&lt;'PlayerGrades+'!$AC$7,"B+",IF(H53&lt;'PlayerGrades+'!$AC$6,"A-",IF(H53&lt;'PlayerGrades+'!$AC$5,"A",IF(H53&lt;'PlayerGrades+'!$AC$4,"A+",IF(H53&lt;'PlayerGrades+'!$AC$3,"S-",IF(H53&lt;'PlayerGrades+'!$AC$2,"S","S+"))))))))))))))))))))</f>
        <v>S+</v>
      </c>
      <c r="J53" s="937">
        <f t="shared" si="4"/>
        <v>0.09620523784</v>
      </c>
      <c r="K53" s="937" t="str">
        <f>IF(J53&lt;'PlayerGrades+'!$AD$21,"F-",IF(J53&lt;'PlayerGrades+'!$AD$20,"F",IF(J53&lt;'PlayerGrades+'!$AD$19,"F+",IF(J53&lt;'PlayerGrades+'!$AD$18,"E-",IF(J53&lt;'PlayerGrades+'!$AD$17,"E",IF(J53&lt;'PlayerGrades+'!$AD$16,"E+",IF(J53&lt;'PlayerGrades+'!$AD$15,"D-",IF(J53&lt;'PlayerGrades+'!$AD$14,"D",IF(J53&lt;'PlayerGrades+'!$AD$13,"D+",IF(J53&lt;'PlayerGrades+'!$AD$12,"C-",IF(J53&lt;'PlayerGrades+'!$AD$11,"C",IF(J53&lt;'PlayerGrades+'!$AD$10,"C+",IF(J53&lt;'PlayerGrades+'!$AD$9,"B-",IF(J53&lt;'PlayerGrades+'!$AD$8,"B",IF(J53&lt;'PlayerGrades+'!$AD$7,"B+",IF(J53&lt;'PlayerGrades+'!$AD$6,"A-",IF(J53&lt;'PlayerGrades+'!$AD$5,"A",IF(J53&lt;'PlayerGrades+'!$AD$4,"A+",IF(J53&lt;'PlayerGrades+'!$AD$3,"S-",IF(J53&lt;'PlayerGrades+'!$AD$2,"S","S+"))))))))))))))))))))</f>
        <v>S</v>
      </c>
      <c r="L53" s="677">
        <f t="shared" si="5"/>
        <v>0.7375734901</v>
      </c>
      <c r="M53" s="938" t="str">
        <f>IF(L53&lt;'PlayerGrades+'!$AE$21,"F-",IF(L53&lt;'PlayerGrades+'!$AE$20,"F",IF(L53&lt;'PlayerGrades+'!$AE$19,"F+",IF(L53&lt;'PlayerGrades+'!$AE$18,"E-",IF(L53&lt;'PlayerGrades+'!$AE$17,"E",IF(L53&lt;'PlayerGrades+'!$AE$16,"E+",IF(L53&lt;'PlayerGrades+'!$AE$15,"D-",IF(L53&lt;'PlayerGrades+'!$AE$14,"D",IF(L53&lt;'PlayerGrades+'!$AE$13,"D+",IF(L53&lt;'PlayerGrades+'!$AE$12,"C-",IF(L53&lt;'PlayerGrades+'!$AE$11,"C",IF(L53&lt;'PlayerGrades+'!$AE$10,"C+",IF(L53&lt;'PlayerGrades+'!$AE$9,"B-",IF(L53&lt;'PlayerGrades+'!$AE$8,"B",IF(L53&lt;'PlayerGrades+'!$AE$7,"B+",IF(L53&lt;'PlayerGrades+'!$AE$6,"A-",IF(L53&lt;'PlayerGrades+'!$AE$5,"A",IF(L53&lt;'PlayerGrades+'!$AE$4,"A+",IF(L53&lt;'PlayerGrades+'!$AE$3,"S-",IF(L53&lt;'PlayerGrades+'!$AE$2,"S","S+"))))))))))))))))))))</f>
        <v>S+</v>
      </c>
      <c r="N53" s="937">
        <f t="shared" si="6"/>
        <v>0.09620523784</v>
      </c>
      <c r="O53" s="937" t="str">
        <f>IF(N53&lt;'PlayerGrades+'!$AF$21,"F-",IF(N53&lt;'PlayerGrades+'!$AF$20,"F",IF(N53&lt;'PlayerGrades+'!$AF$19,"F+",IF(N53&lt;'PlayerGrades+'!$AF$18,"E-",IF(N53&lt;'PlayerGrades+'!$AF$17,"E",IF(N53&lt;'PlayerGrades+'!$AF$16,"E+",IF(N53&lt;'PlayerGrades+'!$AF$15,"D-",IF(N53&lt;'PlayerGrades+'!$AF$14,"D",IF(N53&lt;'PlayerGrades+'!$AF$13,"D+",IF(N53&lt;'PlayerGrades+'!$AF$12,"C-",IF(N53&lt;'PlayerGrades+'!$AF$11,"C",IF(N53&lt;'PlayerGrades+'!$AF$10,"C+",IF(N53&lt;'PlayerGrades+'!$AF$9,"B-",IF(N53&lt;'PlayerGrades+'!$AF$8,"B",IF(N53&lt;'PlayerGrades+'!$AF$7,"B+",IF(N53&lt;'PlayerGrades+'!$AF$6,"A-",IF(N53&lt;'PlayerGrades+'!$AF$5,"A",IF(N53&lt;'PlayerGrades+'!$AF$4,"A+",IF(N53&lt;'PlayerGrades+'!$AF$3,"S-",IF(N53&lt;'PlayerGrades+'!$AF$2,"S","S+"))))))))))))))))))))</f>
        <v>A-</v>
      </c>
      <c r="P53" s="937">
        <f t="shared" si="7"/>
        <v>0.09620523784</v>
      </c>
      <c r="Q53" s="937" t="str">
        <f>IF(P53&lt;'PlayerGrades+'!$AG$21,"F-",IF(P53&lt;'PlayerGrades+'!$AG$20,"F",IF(P53&lt;'PlayerGrades+'!$AG$19,"F+",IF(P53&lt;'PlayerGrades+'!$AG$18,"E-",IF(P53&lt;'PlayerGrades+'!$AG$17,"E",IF(P53&lt;'PlayerGrades+'!$AG$16,"E+",IF(P53&lt;'PlayerGrades+'!$AG$15,"D-",IF(P53&lt;'PlayerGrades+'!$AG$14,"D",IF(P53&lt;'PlayerGrades+'!$AG$13,"D+",IF(P53&lt;'PlayerGrades+'!$AG$12,"C-",IF(P53&lt;'PlayerGrades+'!$AG$11,"C",IF(P53&lt;'PlayerGrades+'!$AG$10,"C+",IF(P53&lt;'PlayerGrades+'!$AG$9,"B-",IF(P53&lt;'PlayerGrades+'!$AG$8,"B",IF(P53&lt;'PlayerGrades+'!$AG$7,"B+",IF(P53&lt;'PlayerGrades+'!$AG$6,"A-",IF(P53&lt;'PlayerGrades+'!$AG$5,"A",IF(P53&lt;'PlayerGrades+'!$AG$4,"A+",IF(P53&lt;'PlayerGrades+'!$AG$3,"S-",IF(P53&lt;'PlayerGrades+'!$AG$2,"S","S+"))))))))))))))))))))</f>
        <v>S+</v>
      </c>
      <c r="R53" s="937">
        <f t="shared" si="8"/>
        <v>0.7055050775</v>
      </c>
      <c r="S53" s="937" t="str">
        <f>IF(R53&lt;'PlayerGrades+'!$AH$21,"F-",IF(R53&lt;'PlayerGrades+'!$AH$20,"F",IF(R53&lt;'PlayerGrades+'!$AH$19,"F+",IF(R53&lt;'PlayerGrades+'!$AH$18,"E-",IF(R53&lt;'PlayerGrades+'!$AH$17,"E",IF(R53&lt;'PlayerGrades+'!$AH$16,"E+",IF(R53&lt;'PlayerGrades+'!$AH$15,"D-",IF(R53&lt;'PlayerGrades+'!$AH$14,"D",IF(R53&lt;'PlayerGrades+'!$AH$13,"D+",IF(R53&lt;'PlayerGrades+'!$AH$12,"C-",IF(R53&lt;'PlayerGrades+'!$AH$11,"C",IF(R53&lt;'PlayerGrades+'!$AH$10,"C+",IF(R53&lt;'PlayerGrades+'!$AH$9,"B-",IF(R53&lt;'PlayerGrades+'!$AH$8,"B",IF(R53&lt;'PlayerGrades+'!$AH$7,"B+",IF(R53&lt;'PlayerGrades+'!$AH$6,"A-",IF(R53&lt;'PlayerGrades+'!$AH$5,"A",IF(R53&lt;'PlayerGrades+'!$AH$4,"A+",IF(R53&lt;'PlayerGrades+'!$AH$3,"S-",IF(R53&lt;'PlayerGrades+'!$AH$2,"S","S+"))))))))))))))))))))</f>
        <v>S-</v>
      </c>
      <c r="T53" s="937">
        <f t="shared" si="9"/>
        <v>1.416889364</v>
      </c>
      <c r="U53" s="937" t="str">
        <f>IF(T53&lt;'PlayerGrades+'!$AI$21,"F-",IF(T53&lt;'PlayerGrades+'!$AI$20,"F",IF(T53&lt;'PlayerGrades+'!$AI$19,"F+",IF(T53&lt;'PlayerGrades+'!$AI$18,"E-",IF(T53&lt;'PlayerGrades+'!$AI$17,"E",IF(T53&lt;'PlayerGrades+'!$AI$16,"E+",IF(T53&lt;'PlayerGrades+'!$AI$15,"D-",IF(T53&lt;'PlayerGrades+'!$AI$14,"D",IF(T53&lt;'PlayerGrades+'!$AI$13,"D+",IF(T53&lt;'PlayerGrades+'!$AI$12,"C-",IF(T53&lt;'PlayerGrades+'!$AI$11,"C",IF(T53&lt;'PlayerGrades+'!$AI$10,"C+",IF(T53&lt;'PlayerGrades+'!$AI$9,"B-",IF(T53&lt;'PlayerGrades+'!$AI$8,"B",IF(T53&lt;'PlayerGrades+'!$AI$7,"B+",IF(T53&lt;'PlayerGrades+'!$AI$6,"A-",IF(T53&lt;'PlayerGrades+'!$AI$5,"A",IF(T53&lt;'PlayerGrades+'!$AI$4,"A+",IF(T53&lt;'PlayerGrades+'!$AI$3,"S-",IF(T53&lt;'PlayerGrades+'!$AI$2,"S","S+"))))))))))))))))))))</f>
        <v>B</v>
      </c>
      <c r="V53" s="941">
        <v>1.0</v>
      </c>
      <c r="W53" s="941">
        <v>0.0</v>
      </c>
      <c r="X53" s="941">
        <v>1.0</v>
      </c>
      <c r="Y53" s="941">
        <v>2.0</v>
      </c>
      <c r="Z53" s="941">
        <v>1.0</v>
      </c>
      <c r="AA53" s="941">
        <v>124.0</v>
      </c>
      <c r="AB53" s="941">
        <v>99.0</v>
      </c>
      <c r="AC53" s="941">
        <v>25.0</v>
      </c>
      <c r="AD53" s="941">
        <v>2.0</v>
      </c>
      <c r="AE53" s="941">
        <v>6.0</v>
      </c>
      <c r="AF53" s="941">
        <v>1.0</v>
      </c>
      <c r="AG53" s="941">
        <v>1451.0</v>
      </c>
      <c r="AH53" s="941">
        <v>1871.0</v>
      </c>
      <c r="AI53" s="941">
        <v>14.0</v>
      </c>
      <c r="AJ53" s="941">
        <v>18.0</v>
      </c>
      <c r="AK53" s="941">
        <v>0.0</v>
      </c>
      <c r="AL53" s="941">
        <v>3.0</v>
      </c>
      <c r="AM53" s="941">
        <v>0.0</v>
      </c>
      <c r="AN53" s="941">
        <v>0.0</v>
      </c>
      <c r="AO53" s="941">
        <v>0.0</v>
      </c>
      <c r="AP53" s="941">
        <v>3.0</v>
      </c>
      <c r="AQ53" s="941">
        <v>0.0</v>
      </c>
      <c r="AR53" s="941">
        <v>23.0</v>
      </c>
      <c r="AS53" s="941">
        <v>3.0</v>
      </c>
      <c r="AT53" s="941">
        <v>0.0</v>
      </c>
      <c r="AU53" s="941">
        <v>0.0</v>
      </c>
      <c r="AV53" s="941">
        <v>0.0</v>
      </c>
      <c r="AW53" s="941">
        <v>0.0</v>
      </c>
      <c r="AX53" s="941">
        <v>0.0</v>
      </c>
      <c r="AY53" s="941">
        <v>0.0</v>
      </c>
      <c r="AZ53" s="941">
        <v>0.0</v>
      </c>
      <c r="BA53" s="941">
        <v>0.0</v>
      </c>
      <c r="BB53" s="941">
        <v>10.0</v>
      </c>
      <c r="BC53" s="941">
        <v>0.0</v>
      </c>
      <c r="BD53" s="941">
        <v>20.0</v>
      </c>
      <c r="BE53" s="942">
        <v>13.0</v>
      </c>
      <c r="BF53" s="941">
        <v>1.0</v>
      </c>
      <c r="BG53" s="941">
        <v>1.0</v>
      </c>
    </row>
    <row r="54">
      <c r="A54" s="935" t="s">
        <v>140</v>
      </c>
      <c r="B54" s="16" t="str">
        <f>IF(C54&lt;'PlayerGrades+'!$Y$44,"F-",IF(C54&lt;'PlayerGrades+'!$Y$43,"F",IF(C54&lt;'PlayerGrades+'!$Y$42,"F+",IF(C54&lt;'PlayerGrades+'!$Y$41,"E-",IF(C54&lt;'PlayerGrades+'!$Y$40,"E",IF(C54&lt;'PlayerGrades+'!$Y$39,"E+",IF(C54&lt;'PlayerGrades+'!$Y$38,"D-",IF(C54&lt;'PlayerGrades+'!$Y$37,"D",IF(C54&lt;'PlayerGrades+'!$Y$36,"D+",IF(C54&lt;'PlayerGrades+'!$Y$35,"C-",IF(C54&lt;'PlayerGrades+'!$Y$34,"C",IF(C54&lt;'PlayerGrades+'!$Y$33,"C+",IF(C54&lt;'PlayerGrades+'!$Y$32,"B-",IF(C54&lt;'PlayerGrades+'!$Y$31,"B",IF(C54&lt;'PlayerGrades+'!$Y$30,"B+",IF(C54&lt;'PlayerGrades+'!$Y$29,"A-",IF(C54&lt;'PlayerGrades+'!$Y$28,"A",IF(C54&lt;'PlayerGrades+'!$Y$27,"A+",IF(C54&lt;'PlayerGrades+'!$Y$26,"S-",IF(C54&lt;'PlayerGrades+'!$Y$25,"S","S+"))))))))))))))))))))</f>
        <v>B</v>
      </c>
      <c r="C54" s="936">
        <f>('PlayerGrades+'!$Y$47*(VLOOKUP(E54, 'PlayerGrades+'!$X$3:$Y$23, 2, FALSE)))+('PlayerGrades+'!$Y$48*(VLOOKUP(G54, 'PlayerGrades+'!$X$3:$Y$23, 2, FALSE)))+('PlayerGrades+'!$Y$49*(VLOOKUP(I54, 'PlayerGrades+'!$X$3:$Y$23, 2, FALSE)))+('PlayerGrades+'!$Y$50*(VLOOKUP(K54, 'PlayerGrades+'!$X$3:$Y$23, 2, FALSE)))+('PlayerGrades+'!$Y$51*(VLOOKUP(M54, 'PlayerGrades+'!$X$3:$Y$23, 2, FALSE)))+('PlayerGrades+'!$Y$52*(VLOOKUP(O54, 'PlayerGrades+'!$X$3:$Y$23, 2, FALSE)))+('PlayerGrades+'!$Y$53*(VLOOKUP(Q54, 'PlayerGrades+'!$X$3:$Y$23, 2, FALSE)))+('PlayerGrades+'!$Y$54*(VLOOKUP(S54, 'PlayerGrades+'!$X$3:$Y$23, 2, FALSE)))+('PlayerGrades+'!$Y$55*(VLOOKUP(U54, 'PlayerGrades+'!$X$3:$Y$23, 2, FALSE)))</f>
        <v>22.45</v>
      </c>
      <c r="D54" s="937">
        <f t="shared" si="1"/>
        <v>0</v>
      </c>
      <c r="E54" s="937" t="str">
        <f>IF(D54&lt;'PlayerGrades+'!$AA$21,"F-",IF(D54&lt;'PlayerGrades+'!$AA$20,"F",IF(D54&lt;'PlayerGrades+'!$AA$19,"F+",IF(D54&lt;'PlayerGrades+'!$AA$18,"E-",IF(D54&lt;'PlayerGrades+'!$AA$17,"E",IF(D54&lt;'PlayerGrades+'!$AA$16,"E+",IF(D54&lt;'PlayerGrades+'!$AA$15,"D-",IF(D54&lt;'PlayerGrades+'!$AA$14,"D",IF(D54&lt;'PlayerGrades+'!$AA$13,"D+",IF(D54&lt;'PlayerGrades+'!$AA$12,"C-",IF(D54&lt;'PlayerGrades+'!$AA$11,"C",IF(D54&lt;'PlayerGrades+'!$AA$10,"C+",IF(D54&lt;'PlayerGrades+'!$AA$9,"B-",IF(D54&lt;'PlayerGrades+'!$AA$8,"B",IF(D54&lt;'PlayerGrades+'!$AA$7,"B+",IF(D54&lt;'PlayerGrades+'!$AA$6,"A-",IF(D54&lt;'PlayerGrades+'!$AA$5,"A",IF(D54&lt;'PlayerGrades+'!$AA$4,"A+",IF(D54&lt;'PlayerGrades+'!$AA$3,"S-",IF(D54&lt;'PlayerGrades+'!$AA$2,"S","S+"))))))))))))))))))))</f>
        <v>F-</v>
      </c>
      <c r="F54" s="937">
        <f t="shared" si="2"/>
        <v>-0.3848209514</v>
      </c>
      <c r="G54" s="937" t="str">
        <f>IF(F54&lt;'PlayerGrades+'!$AB$21,"F-",IF(F54&lt;'PlayerGrades+'!$AB$20,"F",IF(F54&lt;'PlayerGrades+'!$AB$19,"F+",IF(F54&lt;'PlayerGrades+'!$AB$18,"E-",IF(F54&lt;'PlayerGrades+'!$AB$17,"E",IF(F54&lt;'PlayerGrades+'!$AB$16,"E+",IF(F54&lt;'PlayerGrades+'!$AB$15,"D-",IF(F54&lt;'PlayerGrades+'!$AB$14,"D",IF(F54&lt;'PlayerGrades+'!$AB$13,"D+",IF(F54&lt;'PlayerGrades+'!$AB$12,"C-",IF(F54&lt;'PlayerGrades+'!$AB$11,"C",IF(F54&lt;'PlayerGrades+'!$AB$10,"C+",IF(F54&lt;'PlayerGrades+'!$AB$9,"B-",IF(F54&lt;'PlayerGrades+'!$AB$8,"B",IF(F54&lt;'PlayerGrades+'!$AB$7,"B+",IF(F54&lt;'PlayerGrades+'!$AB$6,"A-",IF(F54&lt;'PlayerGrades+'!$AB$5,"A",IF(F54&lt;'PlayerGrades+'!$AB$4,"A+",IF(F54&lt;'PlayerGrades+'!$AB$3,"S-",IF(F54&lt;'PlayerGrades+'!$AB$2,"S","S+"))))))))))))))))))))</f>
        <v>C-</v>
      </c>
      <c r="H54" s="937">
        <f t="shared" si="3"/>
        <v>0.1603420631</v>
      </c>
      <c r="I54" s="937" t="str">
        <f>IF(H54&lt;'PlayerGrades+'!$AC$21,"F-",IF(H54&lt;'PlayerGrades+'!$AC$20,"F",IF(H54&lt;'PlayerGrades+'!$AC$19,"F+",IF(H54&lt;'PlayerGrades+'!$AC$18,"E-",IF(H54&lt;'PlayerGrades+'!$AC$17,"E",IF(H54&lt;'PlayerGrades+'!$AC$16,"E+",IF(H54&lt;'PlayerGrades+'!$AC$15,"D-",IF(H54&lt;'PlayerGrades+'!$AC$14,"D",IF(H54&lt;'PlayerGrades+'!$AC$13,"D+",IF(H54&lt;'PlayerGrades+'!$AC$12,"C-",IF(H54&lt;'PlayerGrades+'!$AC$11,"C",IF(H54&lt;'PlayerGrades+'!$AC$10,"C+",IF(H54&lt;'PlayerGrades+'!$AC$9,"B-",IF(H54&lt;'PlayerGrades+'!$AC$8,"B",IF(H54&lt;'PlayerGrades+'!$AC$7,"B+",IF(H54&lt;'PlayerGrades+'!$AC$6,"A-",IF(H54&lt;'PlayerGrades+'!$AC$5,"A",IF(H54&lt;'PlayerGrades+'!$AC$4,"A+",IF(H54&lt;'PlayerGrades+'!$AC$3,"S-",IF(H54&lt;'PlayerGrades+'!$AC$2,"S","S+"))))))))))))))))))))</f>
        <v>A</v>
      </c>
      <c r="J54" s="937">
        <f t="shared" si="4"/>
        <v>0</v>
      </c>
      <c r="K54" s="937" t="str">
        <f>IF(J54&lt;'PlayerGrades+'!$AD$21,"F-",IF(J54&lt;'PlayerGrades+'!$AD$20,"F",IF(J54&lt;'PlayerGrades+'!$AD$19,"F+",IF(J54&lt;'PlayerGrades+'!$AD$18,"E-",IF(J54&lt;'PlayerGrades+'!$AD$17,"E",IF(J54&lt;'PlayerGrades+'!$AD$16,"E+",IF(J54&lt;'PlayerGrades+'!$AD$15,"D-",IF(J54&lt;'PlayerGrades+'!$AD$14,"D",IF(J54&lt;'PlayerGrades+'!$AD$13,"D+",IF(J54&lt;'PlayerGrades+'!$AD$12,"C-",IF(J54&lt;'PlayerGrades+'!$AD$11,"C",IF(J54&lt;'PlayerGrades+'!$AD$10,"C+",IF(J54&lt;'PlayerGrades+'!$AD$9,"B-",IF(J54&lt;'PlayerGrades+'!$AD$8,"B",IF(J54&lt;'PlayerGrades+'!$AD$7,"B+",IF(J54&lt;'PlayerGrades+'!$AD$6,"A-",IF(J54&lt;'PlayerGrades+'!$AD$5,"A",IF(J54&lt;'PlayerGrades+'!$AD$4,"A+",IF(J54&lt;'PlayerGrades+'!$AD$3,"S-",IF(J54&lt;'PlayerGrades+'!$AD$2,"S","S+"))))))))))))))))))))</f>
        <v>F-</v>
      </c>
      <c r="L54" s="677">
        <f t="shared" si="5"/>
        <v>0.5451630144</v>
      </c>
      <c r="M54" s="938" t="str">
        <f>IF(L54&lt;'PlayerGrades+'!$AE$21,"F-",IF(L54&lt;'PlayerGrades+'!$AE$20,"F",IF(L54&lt;'PlayerGrades+'!$AE$19,"F+",IF(L54&lt;'PlayerGrades+'!$AE$18,"E-",IF(L54&lt;'PlayerGrades+'!$AE$17,"E",IF(L54&lt;'PlayerGrades+'!$AE$16,"E+",IF(L54&lt;'PlayerGrades+'!$AE$15,"D-",IF(L54&lt;'PlayerGrades+'!$AE$14,"D",IF(L54&lt;'PlayerGrades+'!$AE$13,"D+",IF(L54&lt;'PlayerGrades+'!$AE$12,"C-",IF(L54&lt;'PlayerGrades+'!$AE$11,"C",IF(L54&lt;'PlayerGrades+'!$AE$10,"C+",IF(L54&lt;'PlayerGrades+'!$AE$9,"B-",IF(L54&lt;'PlayerGrades+'!$AE$8,"B",IF(L54&lt;'PlayerGrades+'!$AE$7,"B+",IF(L54&lt;'PlayerGrades+'!$AE$6,"A-",IF(L54&lt;'PlayerGrades+'!$AE$5,"A",IF(L54&lt;'PlayerGrades+'!$AE$4,"A+",IF(L54&lt;'PlayerGrades+'!$AE$3,"S-",IF(L54&lt;'PlayerGrades+'!$AE$2,"S","S+"))))))))))))))))))))</f>
        <v>A</v>
      </c>
      <c r="N54" s="937">
        <f t="shared" si="6"/>
        <v>0.1603420631</v>
      </c>
      <c r="O54" s="937" t="str">
        <f>IF(N54&lt;'PlayerGrades+'!$AF$21,"F-",IF(N54&lt;'PlayerGrades+'!$AF$20,"F",IF(N54&lt;'PlayerGrades+'!$AF$19,"F+",IF(N54&lt;'PlayerGrades+'!$AF$18,"E-",IF(N54&lt;'PlayerGrades+'!$AF$17,"E",IF(N54&lt;'PlayerGrades+'!$AF$16,"E+",IF(N54&lt;'PlayerGrades+'!$AF$15,"D-",IF(N54&lt;'PlayerGrades+'!$AF$14,"D",IF(N54&lt;'PlayerGrades+'!$AF$13,"D+",IF(N54&lt;'PlayerGrades+'!$AF$12,"C-",IF(N54&lt;'PlayerGrades+'!$AF$11,"C",IF(N54&lt;'PlayerGrades+'!$AF$10,"C+",IF(N54&lt;'PlayerGrades+'!$AF$9,"B-",IF(N54&lt;'PlayerGrades+'!$AF$8,"B",IF(N54&lt;'PlayerGrades+'!$AF$7,"B+",IF(N54&lt;'PlayerGrades+'!$AF$6,"A-",IF(N54&lt;'PlayerGrades+'!$AF$5,"A",IF(N54&lt;'PlayerGrades+'!$AF$4,"A+",IF(N54&lt;'PlayerGrades+'!$AF$3,"S-",IF(N54&lt;'PlayerGrades+'!$AF$2,"S","S+"))))))))))))))))))))</f>
        <v>S+</v>
      </c>
      <c r="P54" s="937">
        <f t="shared" si="7"/>
        <v>0</v>
      </c>
      <c r="Q54" s="937" t="str">
        <f>IF(P54&lt;'PlayerGrades+'!$AG$21,"F-",IF(P54&lt;'PlayerGrades+'!$AG$20,"F",IF(P54&lt;'PlayerGrades+'!$AG$19,"F+",IF(P54&lt;'PlayerGrades+'!$AG$18,"E-",IF(P54&lt;'PlayerGrades+'!$AG$17,"E",IF(P54&lt;'PlayerGrades+'!$AG$16,"E+",IF(P54&lt;'PlayerGrades+'!$AG$15,"D-",IF(P54&lt;'PlayerGrades+'!$AG$14,"D",IF(P54&lt;'PlayerGrades+'!$AG$13,"D+",IF(P54&lt;'PlayerGrades+'!$AG$12,"C-",IF(P54&lt;'PlayerGrades+'!$AG$11,"C",IF(P54&lt;'PlayerGrades+'!$AG$10,"C+",IF(P54&lt;'PlayerGrades+'!$AG$9,"B-",IF(P54&lt;'PlayerGrades+'!$AG$8,"B",IF(P54&lt;'PlayerGrades+'!$AG$7,"B+",IF(P54&lt;'PlayerGrades+'!$AG$6,"A-",IF(P54&lt;'PlayerGrades+'!$AG$5,"A",IF(P54&lt;'PlayerGrades+'!$AG$4,"A+",IF(P54&lt;'PlayerGrades+'!$AG$3,"S-",IF(P54&lt;'PlayerGrades+'!$AG$2,"S","S+"))))))))))))))))))))</f>
        <v>F</v>
      </c>
      <c r="R54" s="937">
        <f t="shared" si="8"/>
        <v>0.5451630144</v>
      </c>
      <c r="S54" s="937" t="str">
        <f>IF(R54&lt;'PlayerGrades+'!$AH$21,"F-",IF(R54&lt;'PlayerGrades+'!$AH$20,"F",IF(R54&lt;'PlayerGrades+'!$AH$19,"F+",IF(R54&lt;'PlayerGrades+'!$AH$18,"E-",IF(R54&lt;'PlayerGrades+'!$AH$17,"E",IF(R54&lt;'PlayerGrades+'!$AH$16,"E+",IF(R54&lt;'PlayerGrades+'!$AH$15,"D-",IF(R54&lt;'PlayerGrades+'!$AH$14,"D",IF(R54&lt;'PlayerGrades+'!$AH$13,"D+",IF(R54&lt;'PlayerGrades+'!$AH$12,"C-",IF(R54&lt;'PlayerGrades+'!$AH$11,"C",IF(R54&lt;'PlayerGrades+'!$AH$10,"C+",IF(R54&lt;'PlayerGrades+'!$AH$9,"B-",IF(R54&lt;'PlayerGrades+'!$AH$8,"B",IF(R54&lt;'PlayerGrades+'!$AH$7,"B+",IF(R54&lt;'PlayerGrades+'!$AH$6,"A-",IF(R54&lt;'PlayerGrades+'!$AH$5,"A",IF(R54&lt;'PlayerGrades+'!$AH$4,"A+",IF(R54&lt;'PlayerGrades+'!$AH$3,"S-",IF(R54&lt;'PlayerGrades+'!$AH$2,"S","S+"))))))))))))))))))))</f>
        <v>B-</v>
      </c>
      <c r="T54" s="937">
        <f t="shared" si="9"/>
        <v>1.416889364</v>
      </c>
      <c r="U54" s="937" t="str">
        <f>IF(T54&lt;'PlayerGrades+'!$AI$21,"F-",IF(T54&lt;'PlayerGrades+'!$AI$20,"F",IF(T54&lt;'PlayerGrades+'!$AI$19,"F+",IF(T54&lt;'PlayerGrades+'!$AI$18,"E-",IF(T54&lt;'PlayerGrades+'!$AI$17,"E",IF(T54&lt;'PlayerGrades+'!$AI$16,"E+",IF(T54&lt;'PlayerGrades+'!$AI$15,"D-",IF(T54&lt;'PlayerGrades+'!$AI$14,"D",IF(T54&lt;'PlayerGrades+'!$AI$13,"D+",IF(T54&lt;'PlayerGrades+'!$AI$12,"C-",IF(T54&lt;'PlayerGrades+'!$AI$11,"C",IF(T54&lt;'PlayerGrades+'!$AI$10,"C+",IF(T54&lt;'PlayerGrades+'!$AI$9,"B-",IF(T54&lt;'PlayerGrades+'!$AI$8,"B",IF(T54&lt;'PlayerGrades+'!$AI$7,"B+",IF(T54&lt;'PlayerGrades+'!$AI$6,"A-",IF(T54&lt;'PlayerGrades+'!$AI$5,"A",IF(T54&lt;'PlayerGrades+'!$AI$4,"A+",IF(T54&lt;'PlayerGrades+'!$AI$3,"S-",IF(T54&lt;'PlayerGrades+'!$AI$2,"S","S+"))))))))))))))))))))</f>
        <v>B</v>
      </c>
      <c r="V54" s="941">
        <v>1.0</v>
      </c>
      <c r="W54" s="941">
        <v>1.0</v>
      </c>
      <c r="X54" s="941">
        <v>0.0</v>
      </c>
      <c r="Y54" s="941">
        <v>0.0</v>
      </c>
      <c r="Z54" s="941">
        <v>0.0</v>
      </c>
      <c r="AA54" s="941">
        <v>98.0</v>
      </c>
      <c r="AB54" s="941">
        <v>110.0</v>
      </c>
      <c r="AC54" s="941">
        <v>-12.0</v>
      </c>
      <c r="AD54" s="941">
        <v>7.0</v>
      </c>
      <c r="AE54" s="941">
        <v>3.0</v>
      </c>
      <c r="AF54" s="941">
        <v>1.0</v>
      </c>
      <c r="AG54" s="941">
        <v>1426.0</v>
      </c>
      <c r="AH54" s="941">
        <v>1871.0</v>
      </c>
      <c r="AI54" s="941">
        <v>12.0</v>
      </c>
      <c r="AJ54" s="941">
        <v>13.0</v>
      </c>
      <c r="AK54" s="941">
        <v>0.0</v>
      </c>
      <c r="AL54" s="941">
        <v>0.0</v>
      </c>
      <c r="AM54" s="941">
        <v>0.0</v>
      </c>
      <c r="AN54" s="941">
        <v>0.0</v>
      </c>
      <c r="AO54" s="941">
        <v>0.0</v>
      </c>
      <c r="AP54" s="941">
        <v>0.0</v>
      </c>
      <c r="AQ54" s="941">
        <v>0.0</v>
      </c>
      <c r="AR54" s="941">
        <v>17.0</v>
      </c>
      <c r="AS54" s="941">
        <v>5.0</v>
      </c>
      <c r="AT54" s="941">
        <v>0.0</v>
      </c>
      <c r="AU54" s="941">
        <v>0.0</v>
      </c>
      <c r="AV54" s="941">
        <v>0.0</v>
      </c>
      <c r="AW54" s="941">
        <v>0.0</v>
      </c>
      <c r="AX54" s="941">
        <v>0.0</v>
      </c>
      <c r="AY54" s="941">
        <v>0.0</v>
      </c>
      <c r="AZ54" s="941">
        <v>0.0</v>
      </c>
      <c r="BA54" s="941">
        <v>0.0</v>
      </c>
      <c r="BB54" s="941">
        <v>5.0</v>
      </c>
      <c r="BC54" s="941">
        <v>0.0</v>
      </c>
      <c r="BD54" s="941">
        <v>10.0</v>
      </c>
      <c r="BE54" s="942">
        <v>13.0</v>
      </c>
      <c r="BF54" s="941">
        <v>1.0</v>
      </c>
      <c r="BG54" s="941">
        <v>0.0</v>
      </c>
    </row>
    <row r="55">
      <c r="A55" s="935" t="s">
        <v>152</v>
      </c>
      <c r="B55" s="16" t="str">
        <f>IF(C55&lt;'PlayerGrades+'!$Y$44,"F-",IF(C55&lt;'PlayerGrades+'!$Y$43,"F",IF(C55&lt;'PlayerGrades+'!$Y$42,"F+",IF(C55&lt;'PlayerGrades+'!$Y$41,"E-",IF(C55&lt;'PlayerGrades+'!$Y$40,"E",IF(C55&lt;'PlayerGrades+'!$Y$39,"E+",IF(C55&lt;'PlayerGrades+'!$Y$38,"D-",IF(C55&lt;'PlayerGrades+'!$Y$37,"D",IF(C55&lt;'PlayerGrades+'!$Y$36,"D+",IF(C55&lt;'PlayerGrades+'!$Y$35,"C-",IF(C55&lt;'PlayerGrades+'!$Y$34,"C",IF(C55&lt;'PlayerGrades+'!$Y$33,"C+",IF(C55&lt;'PlayerGrades+'!$Y$32,"B-",IF(C55&lt;'PlayerGrades+'!$Y$31,"B",IF(C55&lt;'PlayerGrades+'!$Y$30,"B+",IF(C55&lt;'PlayerGrades+'!$Y$29,"A-",IF(C55&lt;'PlayerGrades+'!$Y$28,"A",IF(C55&lt;'PlayerGrades+'!$Y$27,"A+",IF(C55&lt;'PlayerGrades+'!$Y$26,"S-",IF(C55&lt;'PlayerGrades+'!$Y$25,"S","S+"))))))))))))))))))))</f>
        <v>F</v>
      </c>
      <c r="C55" s="936">
        <f>('PlayerGrades+'!$Y$47*(VLOOKUP(E55, 'PlayerGrades+'!$X$3:$Y$23, 2, FALSE)))+('PlayerGrades+'!$Y$48*(VLOOKUP(G55, 'PlayerGrades+'!$X$3:$Y$23, 2, FALSE)))+('PlayerGrades+'!$Y$49*(VLOOKUP(I55, 'PlayerGrades+'!$X$3:$Y$23, 2, FALSE)))+('PlayerGrades+'!$Y$50*(VLOOKUP(K55, 'PlayerGrades+'!$X$3:$Y$23, 2, FALSE)))+('PlayerGrades+'!$Y$51*(VLOOKUP(M55, 'PlayerGrades+'!$X$3:$Y$23, 2, FALSE)))+('PlayerGrades+'!$Y$52*(VLOOKUP(O55, 'PlayerGrades+'!$X$3:$Y$23, 2, FALSE)))+('PlayerGrades+'!$Y$53*(VLOOKUP(Q55, 'PlayerGrades+'!$X$3:$Y$23, 2, FALSE)))+('PlayerGrades+'!$Y$54*(VLOOKUP(S55, 'PlayerGrades+'!$X$3:$Y$23, 2, FALSE)))+('PlayerGrades+'!$Y$55*(VLOOKUP(U55, 'PlayerGrades+'!$X$3:$Y$23, 2, FALSE)))</f>
        <v>9.55</v>
      </c>
      <c r="D55" s="937">
        <f t="shared" si="1"/>
        <v>0</v>
      </c>
      <c r="E55" s="937" t="str">
        <f>IF(D55&lt;'PlayerGrades+'!$AA$21,"F-",IF(D55&lt;'PlayerGrades+'!$AA$20,"F",IF(D55&lt;'PlayerGrades+'!$AA$19,"F+",IF(D55&lt;'PlayerGrades+'!$AA$18,"E-",IF(D55&lt;'PlayerGrades+'!$AA$17,"E",IF(D55&lt;'PlayerGrades+'!$AA$16,"E+",IF(D55&lt;'PlayerGrades+'!$AA$15,"D-",IF(D55&lt;'PlayerGrades+'!$AA$14,"D",IF(D55&lt;'PlayerGrades+'!$AA$13,"D+",IF(D55&lt;'PlayerGrades+'!$AA$12,"C-",IF(D55&lt;'PlayerGrades+'!$AA$11,"C",IF(D55&lt;'PlayerGrades+'!$AA$10,"C+",IF(D55&lt;'PlayerGrades+'!$AA$9,"B-",IF(D55&lt;'PlayerGrades+'!$AA$8,"B",IF(D55&lt;'PlayerGrades+'!$AA$7,"B+",IF(D55&lt;'PlayerGrades+'!$AA$6,"A-",IF(D55&lt;'PlayerGrades+'!$AA$5,"A",IF(D55&lt;'PlayerGrades+'!$AA$4,"A+",IF(D55&lt;'PlayerGrades+'!$AA$3,"S-",IF(D55&lt;'PlayerGrades+'!$AA$2,"S","S+"))))))))))))))))))))</f>
        <v>F-</v>
      </c>
      <c r="F55" s="937">
        <f t="shared" si="2"/>
        <v>-1.250668092</v>
      </c>
      <c r="G55" s="937" t="str">
        <f>IF(F55&lt;'PlayerGrades+'!$AB$21,"F-",IF(F55&lt;'PlayerGrades+'!$AB$20,"F",IF(F55&lt;'PlayerGrades+'!$AB$19,"F+",IF(F55&lt;'PlayerGrades+'!$AB$18,"E-",IF(F55&lt;'PlayerGrades+'!$AB$17,"E",IF(F55&lt;'PlayerGrades+'!$AB$16,"E+",IF(F55&lt;'PlayerGrades+'!$AB$15,"D-",IF(F55&lt;'PlayerGrades+'!$AB$14,"D",IF(F55&lt;'PlayerGrades+'!$AB$13,"D+",IF(F55&lt;'PlayerGrades+'!$AB$12,"C-",IF(F55&lt;'PlayerGrades+'!$AB$11,"C",IF(F55&lt;'PlayerGrades+'!$AB$10,"C+",IF(F55&lt;'PlayerGrades+'!$AB$9,"B-",IF(F55&lt;'PlayerGrades+'!$AB$8,"B",IF(F55&lt;'PlayerGrades+'!$AB$7,"B+",IF(F55&lt;'PlayerGrades+'!$AB$6,"A-",IF(F55&lt;'PlayerGrades+'!$AB$5,"A",IF(F55&lt;'PlayerGrades+'!$AB$4,"A+",IF(F55&lt;'PlayerGrades+'!$AB$3,"S-",IF(F55&lt;'PlayerGrades+'!$AB$2,"S","S+"))))))))))))))))))))</f>
        <v>F-</v>
      </c>
      <c r="H55" s="937">
        <f t="shared" si="3"/>
        <v>0.3848209514</v>
      </c>
      <c r="I55" s="937" t="str">
        <f>IF(H55&lt;'PlayerGrades+'!$AC$21,"F-",IF(H55&lt;'PlayerGrades+'!$AC$20,"F",IF(H55&lt;'PlayerGrades+'!$AC$19,"F+",IF(H55&lt;'PlayerGrades+'!$AC$18,"E-",IF(H55&lt;'PlayerGrades+'!$AC$17,"E",IF(H55&lt;'PlayerGrades+'!$AC$16,"E+",IF(H55&lt;'PlayerGrades+'!$AC$15,"D-",IF(H55&lt;'PlayerGrades+'!$AC$14,"D",IF(H55&lt;'PlayerGrades+'!$AC$13,"D+",IF(H55&lt;'PlayerGrades+'!$AC$12,"C-",IF(H55&lt;'PlayerGrades+'!$AC$11,"C",IF(H55&lt;'PlayerGrades+'!$AC$10,"C+",IF(H55&lt;'PlayerGrades+'!$AC$9,"B-",IF(H55&lt;'PlayerGrades+'!$AC$8,"B",IF(H55&lt;'PlayerGrades+'!$AC$7,"B+",IF(H55&lt;'PlayerGrades+'!$AC$6,"A-",IF(H55&lt;'PlayerGrades+'!$AC$5,"A",IF(H55&lt;'PlayerGrades+'!$AC$4,"A+",IF(H55&lt;'PlayerGrades+'!$AC$3,"S-",IF(H55&lt;'PlayerGrades+'!$AC$2,"S","S+"))))))))))))))))))))</f>
        <v>S+</v>
      </c>
      <c r="J55" s="937">
        <f t="shared" si="4"/>
        <v>0</v>
      </c>
      <c r="K55" s="937" t="str">
        <f>IF(J55&lt;'PlayerGrades+'!$AD$21,"F-",IF(J55&lt;'PlayerGrades+'!$AD$20,"F",IF(J55&lt;'PlayerGrades+'!$AD$19,"F+",IF(J55&lt;'PlayerGrades+'!$AD$18,"E-",IF(J55&lt;'PlayerGrades+'!$AD$17,"E",IF(J55&lt;'PlayerGrades+'!$AD$16,"E+",IF(J55&lt;'PlayerGrades+'!$AD$15,"D-",IF(J55&lt;'PlayerGrades+'!$AD$14,"D",IF(J55&lt;'PlayerGrades+'!$AD$13,"D+",IF(J55&lt;'PlayerGrades+'!$AD$12,"C-",IF(J55&lt;'PlayerGrades+'!$AD$11,"C",IF(J55&lt;'PlayerGrades+'!$AD$10,"C+",IF(J55&lt;'PlayerGrades+'!$AD$9,"B-",IF(J55&lt;'PlayerGrades+'!$AD$8,"B",IF(J55&lt;'PlayerGrades+'!$AD$7,"B+",IF(J55&lt;'PlayerGrades+'!$AD$6,"A-",IF(J55&lt;'PlayerGrades+'!$AD$5,"A",IF(J55&lt;'PlayerGrades+'!$AD$4,"A+",IF(J55&lt;'PlayerGrades+'!$AD$3,"S-",IF(J55&lt;'PlayerGrades+'!$AD$2,"S","S+"))))))))))))))))))))</f>
        <v>F-</v>
      </c>
      <c r="L55" s="677">
        <f t="shared" si="5"/>
        <v>0.2886157135</v>
      </c>
      <c r="M55" s="938" t="str">
        <f>IF(L55&lt;'PlayerGrades+'!$AE$21,"F-",IF(L55&lt;'PlayerGrades+'!$AE$20,"F",IF(L55&lt;'PlayerGrades+'!$AE$19,"F+",IF(L55&lt;'PlayerGrades+'!$AE$18,"E-",IF(L55&lt;'PlayerGrades+'!$AE$17,"E",IF(L55&lt;'PlayerGrades+'!$AE$16,"E+",IF(L55&lt;'PlayerGrades+'!$AE$15,"D-",IF(L55&lt;'PlayerGrades+'!$AE$14,"D",IF(L55&lt;'PlayerGrades+'!$AE$13,"D+",IF(L55&lt;'PlayerGrades+'!$AE$12,"C-",IF(L55&lt;'PlayerGrades+'!$AE$11,"C",IF(L55&lt;'PlayerGrades+'!$AE$10,"C+",IF(L55&lt;'PlayerGrades+'!$AE$9,"B-",IF(L55&lt;'PlayerGrades+'!$AE$8,"B",IF(L55&lt;'PlayerGrades+'!$AE$7,"B+",IF(L55&lt;'PlayerGrades+'!$AE$6,"A-",IF(L55&lt;'PlayerGrades+'!$AE$5,"A",IF(L55&lt;'PlayerGrades+'!$AE$4,"A+",IF(L55&lt;'PlayerGrades+'!$AE$3,"S-",IF(L55&lt;'PlayerGrades+'!$AE$2,"S","S+"))))))))))))))))))))</f>
        <v>F+</v>
      </c>
      <c r="N55" s="937">
        <f t="shared" si="6"/>
        <v>0</v>
      </c>
      <c r="O55" s="937" t="str">
        <f>IF(N55&lt;'PlayerGrades+'!$AF$21,"F-",IF(N55&lt;'PlayerGrades+'!$AF$20,"F",IF(N55&lt;'PlayerGrades+'!$AF$19,"F+",IF(N55&lt;'PlayerGrades+'!$AF$18,"E-",IF(N55&lt;'PlayerGrades+'!$AF$17,"E",IF(N55&lt;'PlayerGrades+'!$AF$16,"E+",IF(N55&lt;'PlayerGrades+'!$AF$15,"D-",IF(N55&lt;'PlayerGrades+'!$AF$14,"D",IF(N55&lt;'PlayerGrades+'!$AF$13,"D+",IF(N55&lt;'PlayerGrades+'!$AF$12,"C-",IF(N55&lt;'PlayerGrades+'!$AF$11,"C",IF(N55&lt;'PlayerGrades+'!$AF$10,"C+",IF(N55&lt;'PlayerGrades+'!$AF$9,"B-",IF(N55&lt;'PlayerGrades+'!$AF$8,"B",IF(N55&lt;'PlayerGrades+'!$AF$7,"B+",IF(N55&lt;'PlayerGrades+'!$AF$6,"A-",IF(N55&lt;'PlayerGrades+'!$AF$5,"A",IF(N55&lt;'PlayerGrades+'!$AF$4,"A+",IF(N55&lt;'PlayerGrades+'!$AF$3,"S-",IF(N55&lt;'PlayerGrades+'!$AF$2,"S","S+"))))))))))))))))))))</f>
        <v>F-</v>
      </c>
      <c r="P55" s="937">
        <f t="shared" si="7"/>
        <v>0</v>
      </c>
      <c r="Q55" s="937" t="str">
        <f>IF(P55&lt;'PlayerGrades+'!$AG$21,"F-",IF(P55&lt;'PlayerGrades+'!$AG$20,"F",IF(P55&lt;'PlayerGrades+'!$AG$19,"F+",IF(P55&lt;'PlayerGrades+'!$AG$18,"E-",IF(P55&lt;'PlayerGrades+'!$AG$17,"E",IF(P55&lt;'PlayerGrades+'!$AG$16,"E+",IF(P55&lt;'PlayerGrades+'!$AG$15,"D-",IF(P55&lt;'PlayerGrades+'!$AG$14,"D",IF(P55&lt;'PlayerGrades+'!$AG$13,"D+",IF(P55&lt;'PlayerGrades+'!$AG$12,"C-",IF(P55&lt;'PlayerGrades+'!$AG$11,"C",IF(P55&lt;'PlayerGrades+'!$AG$10,"C+",IF(P55&lt;'PlayerGrades+'!$AG$9,"B-",IF(P55&lt;'PlayerGrades+'!$AG$8,"B",IF(P55&lt;'PlayerGrades+'!$AG$7,"B+",IF(P55&lt;'PlayerGrades+'!$AG$6,"A-",IF(P55&lt;'PlayerGrades+'!$AG$5,"A",IF(P55&lt;'PlayerGrades+'!$AG$4,"A+",IF(P55&lt;'PlayerGrades+'!$AG$3,"S-",IF(P55&lt;'PlayerGrades+'!$AG$2,"S","S+"))))))))))))))))))))</f>
        <v>F</v>
      </c>
      <c r="R55" s="937">
        <f t="shared" si="8"/>
        <v>0.3527525387</v>
      </c>
      <c r="S55" s="937" t="str">
        <f>IF(R55&lt;'PlayerGrades+'!$AH$21,"F-",IF(R55&lt;'PlayerGrades+'!$AH$20,"F",IF(R55&lt;'PlayerGrades+'!$AH$19,"F+",IF(R55&lt;'PlayerGrades+'!$AH$18,"E-",IF(R55&lt;'PlayerGrades+'!$AH$17,"E",IF(R55&lt;'PlayerGrades+'!$AH$16,"E+",IF(R55&lt;'PlayerGrades+'!$AH$15,"D-",IF(R55&lt;'PlayerGrades+'!$AH$14,"D",IF(R55&lt;'PlayerGrades+'!$AH$13,"D+",IF(R55&lt;'PlayerGrades+'!$AH$12,"C-",IF(R55&lt;'PlayerGrades+'!$AH$11,"C",IF(R55&lt;'PlayerGrades+'!$AH$10,"C+",IF(R55&lt;'PlayerGrades+'!$AH$9,"B-",IF(R55&lt;'PlayerGrades+'!$AH$8,"B",IF(R55&lt;'PlayerGrades+'!$AH$7,"B+",IF(R55&lt;'PlayerGrades+'!$AH$6,"A-",IF(R55&lt;'PlayerGrades+'!$AH$5,"A",IF(R55&lt;'PlayerGrades+'!$AH$4,"A+",IF(R55&lt;'PlayerGrades+'!$AH$3,"S-",IF(R55&lt;'PlayerGrades+'!$AH$2,"S","S+"))))))))))))))))))))</f>
        <v>F</v>
      </c>
      <c r="T55" s="937">
        <f t="shared" si="9"/>
        <v>1.448957777</v>
      </c>
      <c r="U55" s="937" t="str">
        <f>IF(T55&lt;'PlayerGrades+'!$AI$21,"F-",IF(T55&lt;'PlayerGrades+'!$AI$20,"F",IF(T55&lt;'PlayerGrades+'!$AI$19,"F+",IF(T55&lt;'PlayerGrades+'!$AI$18,"E-",IF(T55&lt;'PlayerGrades+'!$AI$17,"E",IF(T55&lt;'PlayerGrades+'!$AI$16,"E+",IF(T55&lt;'PlayerGrades+'!$AI$15,"D-",IF(T55&lt;'PlayerGrades+'!$AI$14,"D",IF(T55&lt;'PlayerGrades+'!$AI$13,"D+",IF(T55&lt;'PlayerGrades+'!$AI$12,"C-",IF(T55&lt;'PlayerGrades+'!$AI$11,"C",IF(T55&lt;'PlayerGrades+'!$AI$10,"C+",IF(T55&lt;'PlayerGrades+'!$AI$9,"B-",IF(T55&lt;'PlayerGrades+'!$AI$8,"B",IF(T55&lt;'PlayerGrades+'!$AI$7,"B+",IF(T55&lt;'PlayerGrades+'!$AI$6,"A-",IF(T55&lt;'PlayerGrades+'!$AI$5,"A",IF(T55&lt;'PlayerGrades+'!$AI$4,"A+",IF(T55&lt;'PlayerGrades+'!$AI$3,"S-",IF(T55&lt;'PlayerGrades+'!$AI$2,"S","S+"))))))))))))))))))))</f>
        <v>B+</v>
      </c>
      <c r="V55" s="941">
        <v>1.0</v>
      </c>
      <c r="W55" s="941">
        <v>1.0</v>
      </c>
      <c r="X55" s="941">
        <v>0.0</v>
      </c>
      <c r="Y55" s="941">
        <v>0.0</v>
      </c>
      <c r="Z55" s="941">
        <v>0.0</v>
      </c>
      <c r="AA55" s="941">
        <v>100.0</v>
      </c>
      <c r="AB55" s="941">
        <v>139.0</v>
      </c>
      <c r="AC55" s="941">
        <v>-39.0</v>
      </c>
      <c r="AD55" s="941">
        <v>3.0</v>
      </c>
      <c r="AE55" s="941">
        <v>4.0</v>
      </c>
      <c r="AF55" s="941">
        <v>0.0</v>
      </c>
      <c r="AG55" s="941">
        <v>1329.0</v>
      </c>
      <c r="AH55" s="941">
        <v>1871.0</v>
      </c>
      <c r="AI55" s="941">
        <v>9.0</v>
      </c>
      <c r="AJ55" s="941">
        <v>2.0</v>
      </c>
      <c r="AK55" s="941">
        <v>0.0</v>
      </c>
      <c r="AL55" s="941">
        <v>0.0</v>
      </c>
      <c r="AM55" s="941">
        <v>0.0</v>
      </c>
      <c r="AN55" s="941">
        <v>0.0</v>
      </c>
      <c r="AO55" s="941">
        <v>0.0</v>
      </c>
      <c r="AP55" s="941">
        <v>0.0</v>
      </c>
      <c r="AQ55" s="941">
        <v>0.0</v>
      </c>
      <c r="AR55" s="941">
        <v>9.0</v>
      </c>
      <c r="AS55" s="941">
        <v>0.0</v>
      </c>
      <c r="AT55" s="941">
        <v>0.0</v>
      </c>
      <c r="AU55" s="941">
        <v>0.0</v>
      </c>
      <c r="AV55" s="941">
        <v>0.0</v>
      </c>
      <c r="AW55" s="941">
        <v>0.0</v>
      </c>
      <c r="AX55" s="941">
        <v>0.0</v>
      </c>
      <c r="AY55" s="941">
        <v>0.0</v>
      </c>
      <c r="AZ55" s="941">
        <v>0.0</v>
      </c>
      <c r="BA55" s="941">
        <v>0.0</v>
      </c>
      <c r="BB55" s="941">
        <v>12.0</v>
      </c>
      <c r="BC55" s="941">
        <v>0.0</v>
      </c>
      <c r="BD55" s="941">
        <v>8.0</v>
      </c>
      <c r="BE55" s="942">
        <v>14.0</v>
      </c>
      <c r="BF55" s="941">
        <v>1.0</v>
      </c>
      <c r="BG55" s="941">
        <v>0.0</v>
      </c>
    </row>
    <row r="56">
      <c r="A56" s="935" t="s">
        <v>129</v>
      </c>
      <c r="B56" s="16" t="str">
        <f>IF(C56&lt;'PlayerGrades+'!$Y$44,"F-",IF(C56&lt;'PlayerGrades+'!$Y$43,"F",IF(C56&lt;'PlayerGrades+'!$Y$42,"F+",IF(C56&lt;'PlayerGrades+'!$Y$41,"E-",IF(C56&lt;'PlayerGrades+'!$Y$40,"E",IF(C56&lt;'PlayerGrades+'!$Y$39,"E+",IF(C56&lt;'PlayerGrades+'!$Y$38,"D-",IF(C56&lt;'PlayerGrades+'!$Y$37,"D",IF(C56&lt;'PlayerGrades+'!$Y$36,"D+",IF(C56&lt;'PlayerGrades+'!$Y$35,"C-",IF(C56&lt;'PlayerGrades+'!$Y$34,"C",IF(C56&lt;'PlayerGrades+'!$Y$33,"C+",IF(C56&lt;'PlayerGrades+'!$Y$32,"B-",IF(C56&lt;'PlayerGrades+'!$Y$31,"B",IF(C56&lt;'PlayerGrades+'!$Y$30,"B+",IF(C56&lt;'PlayerGrades+'!$Y$29,"A-",IF(C56&lt;'PlayerGrades+'!$Y$28,"A",IF(C56&lt;'PlayerGrades+'!$Y$27,"A+",IF(C56&lt;'PlayerGrades+'!$Y$26,"S-",IF(C56&lt;'PlayerGrades+'!$Y$25,"S","S+"))))))))))))))))))))</f>
        <v>A+</v>
      </c>
      <c r="C56" s="936">
        <f>('PlayerGrades+'!$Y$47*(VLOOKUP(E56, 'PlayerGrades+'!$X$3:$Y$23, 2, FALSE)))+('PlayerGrades+'!$Y$48*(VLOOKUP(G56, 'PlayerGrades+'!$X$3:$Y$23, 2, FALSE)))+('PlayerGrades+'!$Y$49*(VLOOKUP(I56, 'PlayerGrades+'!$X$3:$Y$23, 2, FALSE)))+('PlayerGrades+'!$Y$50*(VLOOKUP(K56, 'PlayerGrades+'!$X$3:$Y$23, 2, FALSE)))+('PlayerGrades+'!$Y$51*(VLOOKUP(M56, 'PlayerGrades+'!$X$3:$Y$23, 2, FALSE)))+('PlayerGrades+'!$Y$52*(VLOOKUP(O56, 'PlayerGrades+'!$X$3:$Y$23, 2, FALSE)))+('PlayerGrades+'!$Y$53*(VLOOKUP(Q56, 'PlayerGrades+'!$X$3:$Y$23, 2, FALSE)))+('PlayerGrades+'!$Y$54*(VLOOKUP(S56, 'PlayerGrades+'!$X$3:$Y$23, 2, FALSE)))+('PlayerGrades+'!$Y$55*(VLOOKUP(U56, 'PlayerGrades+'!$X$3:$Y$23, 2, FALSE)))</f>
        <v>29.8</v>
      </c>
      <c r="D56" s="937">
        <f t="shared" si="1"/>
        <v>0.09620523784</v>
      </c>
      <c r="E56" s="937" t="str">
        <f>IF(D56&lt;'PlayerGrades+'!$AA$21,"F-",IF(D56&lt;'PlayerGrades+'!$AA$20,"F",IF(D56&lt;'PlayerGrades+'!$AA$19,"F+",IF(D56&lt;'PlayerGrades+'!$AA$18,"E-",IF(D56&lt;'PlayerGrades+'!$AA$17,"E",IF(D56&lt;'PlayerGrades+'!$AA$16,"E+",IF(D56&lt;'PlayerGrades+'!$AA$15,"D-",IF(D56&lt;'PlayerGrades+'!$AA$14,"D",IF(D56&lt;'PlayerGrades+'!$AA$13,"D+",IF(D56&lt;'PlayerGrades+'!$AA$12,"C-",IF(D56&lt;'PlayerGrades+'!$AA$11,"C",IF(D56&lt;'PlayerGrades+'!$AA$10,"C+",IF(D56&lt;'PlayerGrades+'!$AA$9,"B-",IF(D56&lt;'PlayerGrades+'!$AA$8,"B",IF(D56&lt;'PlayerGrades+'!$AA$7,"B+",IF(D56&lt;'PlayerGrades+'!$AA$6,"A-",IF(D56&lt;'PlayerGrades+'!$AA$5,"A",IF(D56&lt;'PlayerGrades+'!$AA$4,"A+",IF(D56&lt;'PlayerGrades+'!$AA$3,"S-",IF(D56&lt;'PlayerGrades+'!$AA$2,"S","S+"))))))))))))))))))))</f>
        <v>B</v>
      </c>
      <c r="F56" s="937">
        <f t="shared" si="2"/>
        <v>0.416889364</v>
      </c>
      <c r="G56" s="937" t="str">
        <f>IF(F56&lt;'PlayerGrades+'!$AB$21,"F-",IF(F56&lt;'PlayerGrades+'!$AB$20,"F",IF(F56&lt;'PlayerGrades+'!$AB$19,"F+",IF(F56&lt;'PlayerGrades+'!$AB$18,"E-",IF(F56&lt;'PlayerGrades+'!$AB$17,"E",IF(F56&lt;'PlayerGrades+'!$AB$16,"E+",IF(F56&lt;'PlayerGrades+'!$AB$15,"D-",IF(F56&lt;'PlayerGrades+'!$AB$14,"D",IF(F56&lt;'PlayerGrades+'!$AB$13,"D+",IF(F56&lt;'PlayerGrades+'!$AB$12,"C-",IF(F56&lt;'PlayerGrades+'!$AB$11,"C",IF(F56&lt;'PlayerGrades+'!$AB$10,"C+",IF(F56&lt;'PlayerGrades+'!$AB$9,"B-",IF(F56&lt;'PlayerGrades+'!$AB$8,"B",IF(F56&lt;'PlayerGrades+'!$AB$7,"B+",IF(F56&lt;'PlayerGrades+'!$AB$6,"A-",IF(F56&lt;'PlayerGrades+'!$AB$5,"A",IF(F56&lt;'PlayerGrades+'!$AB$4,"A+",IF(F56&lt;'PlayerGrades+'!$AB$3,"S-",IF(F56&lt;'PlayerGrades+'!$AB$2,"S","S+"))))))))))))))))))))</f>
        <v>A</v>
      </c>
      <c r="H56" s="937">
        <f t="shared" si="3"/>
        <v>0.3206841261</v>
      </c>
      <c r="I56" s="937" t="str">
        <f>IF(H56&lt;'PlayerGrades+'!$AC$21,"F-",IF(H56&lt;'PlayerGrades+'!$AC$20,"F",IF(H56&lt;'PlayerGrades+'!$AC$19,"F+",IF(H56&lt;'PlayerGrades+'!$AC$18,"E-",IF(H56&lt;'PlayerGrades+'!$AC$17,"E",IF(H56&lt;'PlayerGrades+'!$AC$16,"E+",IF(H56&lt;'PlayerGrades+'!$AC$15,"D-",IF(H56&lt;'PlayerGrades+'!$AC$14,"D",IF(H56&lt;'PlayerGrades+'!$AC$13,"D+",IF(H56&lt;'PlayerGrades+'!$AC$12,"C-",IF(H56&lt;'PlayerGrades+'!$AC$11,"C",IF(H56&lt;'PlayerGrades+'!$AC$10,"C+",IF(H56&lt;'PlayerGrades+'!$AC$9,"B-",IF(H56&lt;'PlayerGrades+'!$AC$8,"B",IF(H56&lt;'PlayerGrades+'!$AC$7,"B+",IF(H56&lt;'PlayerGrades+'!$AC$6,"A-",IF(H56&lt;'PlayerGrades+'!$AC$5,"A",IF(H56&lt;'PlayerGrades+'!$AC$4,"A+",IF(H56&lt;'PlayerGrades+'!$AC$3,"S-",IF(H56&lt;'PlayerGrades+'!$AC$2,"S","S+"))))))))))))))))))))</f>
        <v>S+</v>
      </c>
      <c r="J56" s="937">
        <f t="shared" si="4"/>
        <v>0.06413682523</v>
      </c>
      <c r="K56" s="937" t="str">
        <f>IF(J56&lt;'PlayerGrades+'!$AD$21,"F-",IF(J56&lt;'PlayerGrades+'!$AD$20,"F",IF(J56&lt;'PlayerGrades+'!$AD$19,"F+",IF(J56&lt;'PlayerGrades+'!$AD$18,"E-",IF(J56&lt;'PlayerGrades+'!$AD$17,"E",IF(J56&lt;'PlayerGrades+'!$AD$16,"E+",IF(J56&lt;'PlayerGrades+'!$AD$15,"D-",IF(J56&lt;'PlayerGrades+'!$AD$14,"D",IF(J56&lt;'PlayerGrades+'!$AD$13,"D+",IF(J56&lt;'PlayerGrades+'!$AD$12,"C-",IF(J56&lt;'PlayerGrades+'!$AD$11,"C",IF(J56&lt;'PlayerGrades+'!$AD$10,"C+",IF(J56&lt;'PlayerGrades+'!$AD$9,"B-",IF(J56&lt;'PlayerGrades+'!$AD$8,"B",IF(J56&lt;'PlayerGrades+'!$AD$7,"B+",IF(J56&lt;'PlayerGrades+'!$AD$6,"A-",IF(J56&lt;'PlayerGrades+'!$AD$5,"A",IF(J56&lt;'PlayerGrades+'!$AD$4,"A+",IF(J56&lt;'PlayerGrades+'!$AD$3,"S-",IF(J56&lt;'PlayerGrades+'!$AD$2,"S","S+"))))))))))))))))))))</f>
        <v>A-</v>
      </c>
      <c r="L56" s="677">
        <f t="shared" si="5"/>
        <v>0.6092998397</v>
      </c>
      <c r="M56" s="938" t="str">
        <f>IF(L56&lt;'PlayerGrades+'!$AE$21,"F-",IF(L56&lt;'PlayerGrades+'!$AE$20,"F",IF(L56&lt;'PlayerGrades+'!$AE$19,"F+",IF(L56&lt;'PlayerGrades+'!$AE$18,"E-",IF(L56&lt;'PlayerGrades+'!$AE$17,"E",IF(L56&lt;'PlayerGrades+'!$AE$16,"E+",IF(L56&lt;'PlayerGrades+'!$AE$15,"D-",IF(L56&lt;'PlayerGrades+'!$AE$14,"D",IF(L56&lt;'PlayerGrades+'!$AE$13,"D+",IF(L56&lt;'PlayerGrades+'!$AE$12,"C-",IF(L56&lt;'PlayerGrades+'!$AE$11,"C",IF(L56&lt;'PlayerGrades+'!$AE$10,"C+",IF(L56&lt;'PlayerGrades+'!$AE$9,"B-",IF(L56&lt;'PlayerGrades+'!$AE$8,"B",IF(L56&lt;'PlayerGrades+'!$AE$7,"B+",IF(L56&lt;'PlayerGrades+'!$AE$6,"A-",IF(L56&lt;'PlayerGrades+'!$AE$5,"A",IF(L56&lt;'PlayerGrades+'!$AE$4,"A+",IF(L56&lt;'PlayerGrades+'!$AE$3,"S-",IF(L56&lt;'PlayerGrades+'!$AE$2,"S","S+"))))))))))))))))))))</f>
        <v>S-</v>
      </c>
      <c r="N56" s="937">
        <f t="shared" si="6"/>
        <v>0.06413682523</v>
      </c>
      <c r="O56" s="937" t="str">
        <f>IF(N56&lt;'PlayerGrades+'!$AF$21,"F-",IF(N56&lt;'PlayerGrades+'!$AF$20,"F",IF(N56&lt;'PlayerGrades+'!$AF$19,"F+",IF(N56&lt;'PlayerGrades+'!$AF$18,"E-",IF(N56&lt;'PlayerGrades+'!$AF$17,"E",IF(N56&lt;'PlayerGrades+'!$AF$16,"E+",IF(N56&lt;'PlayerGrades+'!$AF$15,"D-",IF(N56&lt;'PlayerGrades+'!$AF$14,"D",IF(N56&lt;'PlayerGrades+'!$AF$13,"D+",IF(N56&lt;'PlayerGrades+'!$AF$12,"C-",IF(N56&lt;'PlayerGrades+'!$AF$11,"C",IF(N56&lt;'PlayerGrades+'!$AF$10,"C+",IF(N56&lt;'PlayerGrades+'!$AF$9,"B-",IF(N56&lt;'PlayerGrades+'!$AF$8,"B",IF(N56&lt;'PlayerGrades+'!$AF$7,"B+",IF(N56&lt;'PlayerGrades+'!$AF$6,"A-",IF(N56&lt;'PlayerGrades+'!$AF$5,"A",IF(N56&lt;'PlayerGrades+'!$AF$4,"A+",IF(N56&lt;'PlayerGrades+'!$AF$3,"S-",IF(N56&lt;'PlayerGrades+'!$AF$2,"S","S+"))))))))))))))))))))</f>
        <v>C-</v>
      </c>
      <c r="P56" s="937">
        <f t="shared" si="7"/>
        <v>0.06413682523</v>
      </c>
      <c r="Q56" s="937" t="str">
        <f>IF(P56&lt;'PlayerGrades+'!$AG$21,"F-",IF(P56&lt;'PlayerGrades+'!$AG$20,"F",IF(P56&lt;'PlayerGrades+'!$AG$19,"F+",IF(P56&lt;'PlayerGrades+'!$AG$18,"E-",IF(P56&lt;'PlayerGrades+'!$AG$17,"E",IF(P56&lt;'PlayerGrades+'!$AG$16,"E+",IF(P56&lt;'PlayerGrades+'!$AG$15,"D-",IF(P56&lt;'PlayerGrades+'!$AG$14,"D",IF(P56&lt;'PlayerGrades+'!$AG$13,"D+",IF(P56&lt;'PlayerGrades+'!$AG$12,"C-",IF(P56&lt;'PlayerGrades+'!$AG$11,"C",IF(P56&lt;'PlayerGrades+'!$AG$10,"C+",IF(P56&lt;'PlayerGrades+'!$AG$9,"B-",IF(P56&lt;'PlayerGrades+'!$AG$8,"B",IF(P56&lt;'PlayerGrades+'!$AG$7,"B+",IF(P56&lt;'PlayerGrades+'!$AG$6,"A-",IF(P56&lt;'PlayerGrades+'!$AG$5,"A",IF(P56&lt;'PlayerGrades+'!$AG$4,"A+",IF(P56&lt;'PlayerGrades+'!$AG$3,"S-",IF(P56&lt;'PlayerGrades+'!$AG$2,"S","S+"))))))))))))))))))))</f>
        <v>A+</v>
      </c>
      <c r="R56" s="937">
        <f t="shared" si="8"/>
        <v>0.7055050775</v>
      </c>
      <c r="S56" s="937" t="str">
        <f>IF(R56&lt;'PlayerGrades+'!$AH$21,"F-",IF(R56&lt;'PlayerGrades+'!$AH$20,"F",IF(R56&lt;'PlayerGrades+'!$AH$19,"F+",IF(R56&lt;'PlayerGrades+'!$AH$18,"E-",IF(R56&lt;'PlayerGrades+'!$AH$17,"E",IF(R56&lt;'PlayerGrades+'!$AH$16,"E+",IF(R56&lt;'PlayerGrades+'!$AH$15,"D-",IF(R56&lt;'PlayerGrades+'!$AH$14,"D",IF(R56&lt;'PlayerGrades+'!$AH$13,"D+",IF(R56&lt;'PlayerGrades+'!$AH$12,"C-",IF(R56&lt;'PlayerGrades+'!$AH$11,"C",IF(R56&lt;'PlayerGrades+'!$AH$10,"C+",IF(R56&lt;'PlayerGrades+'!$AH$9,"B-",IF(R56&lt;'PlayerGrades+'!$AH$8,"B",IF(R56&lt;'PlayerGrades+'!$AH$7,"B+",IF(R56&lt;'PlayerGrades+'!$AH$6,"A-",IF(R56&lt;'PlayerGrades+'!$AH$5,"A",IF(R56&lt;'PlayerGrades+'!$AH$4,"A+",IF(R56&lt;'PlayerGrades+'!$AH$3,"S-",IF(R56&lt;'PlayerGrades+'!$AH$2,"S","S+"))))))))))))))))))))</f>
        <v>S-</v>
      </c>
      <c r="T56" s="937">
        <f t="shared" si="9"/>
        <v>1.641368252</v>
      </c>
      <c r="U56" s="937" t="str">
        <f>IF(T56&lt;'PlayerGrades+'!$AI$21,"F-",IF(T56&lt;'PlayerGrades+'!$AI$20,"F",IF(T56&lt;'PlayerGrades+'!$AI$19,"F+",IF(T56&lt;'PlayerGrades+'!$AI$18,"E-",IF(T56&lt;'PlayerGrades+'!$AI$17,"E",IF(T56&lt;'PlayerGrades+'!$AI$16,"E+",IF(T56&lt;'PlayerGrades+'!$AI$15,"D-",IF(T56&lt;'PlayerGrades+'!$AI$14,"D",IF(T56&lt;'PlayerGrades+'!$AI$13,"D+",IF(T56&lt;'PlayerGrades+'!$AI$12,"C-",IF(T56&lt;'PlayerGrades+'!$AI$11,"C",IF(T56&lt;'PlayerGrades+'!$AI$10,"C+",IF(T56&lt;'PlayerGrades+'!$AI$9,"B-",IF(T56&lt;'PlayerGrades+'!$AI$8,"B",IF(T56&lt;'PlayerGrades+'!$AI$7,"B+",IF(T56&lt;'PlayerGrades+'!$AI$6,"A-",IF(T56&lt;'PlayerGrades+'!$AI$5,"A",IF(T56&lt;'PlayerGrades+'!$AI$4,"A+",IF(T56&lt;'PlayerGrades+'!$AI$3,"S-",IF(T56&lt;'PlayerGrades+'!$AI$2,"S","S+"))))))))))))))))))))</f>
        <v>S-</v>
      </c>
      <c r="V56" s="941">
        <v>1.0</v>
      </c>
      <c r="W56" s="941">
        <v>1.0</v>
      </c>
      <c r="X56" s="941">
        <v>0.0</v>
      </c>
      <c r="Y56" s="941">
        <v>2.0</v>
      </c>
      <c r="Z56" s="941">
        <v>1.0</v>
      </c>
      <c r="AA56" s="941">
        <v>133.0</v>
      </c>
      <c r="AB56" s="941">
        <v>120.0</v>
      </c>
      <c r="AC56" s="941">
        <v>13.0</v>
      </c>
      <c r="AD56" s="941">
        <v>8.0</v>
      </c>
      <c r="AE56" s="941">
        <v>5.0</v>
      </c>
      <c r="AF56" s="941">
        <v>1.0</v>
      </c>
      <c r="AG56" s="941">
        <v>1395.0</v>
      </c>
      <c r="AH56" s="941">
        <v>1871.0</v>
      </c>
      <c r="AI56" s="941">
        <v>11.0</v>
      </c>
      <c r="AJ56" s="941">
        <v>32.0</v>
      </c>
      <c r="AK56" s="941">
        <v>0.0</v>
      </c>
      <c r="AL56" s="941">
        <v>2.0</v>
      </c>
      <c r="AM56" s="941">
        <v>0.0</v>
      </c>
      <c r="AN56" s="941">
        <v>0.0</v>
      </c>
      <c r="AO56" s="941">
        <v>0.0</v>
      </c>
      <c r="AP56" s="941">
        <v>2.0</v>
      </c>
      <c r="AQ56" s="941">
        <v>0.0</v>
      </c>
      <c r="AR56" s="941">
        <v>19.0</v>
      </c>
      <c r="AS56" s="941">
        <v>2.0</v>
      </c>
      <c r="AT56" s="941">
        <v>0.0</v>
      </c>
      <c r="AU56" s="941">
        <v>0.0</v>
      </c>
      <c r="AV56" s="941">
        <v>0.0</v>
      </c>
      <c r="AW56" s="941">
        <v>0.0</v>
      </c>
      <c r="AX56" s="941">
        <v>0.0</v>
      </c>
      <c r="AY56" s="941">
        <v>0.0</v>
      </c>
      <c r="AZ56" s="941">
        <v>0.0</v>
      </c>
      <c r="BA56" s="941">
        <v>0.0</v>
      </c>
      <c r="BB56" s="941">
        <v>10.0</v>
      </c>
      <c r="BC56" s="941">
        <v>0.0</v>
      </c>
      <c r="BD56" s="941">
        <v>14.0</v>
      </c>
      <c r="BE56" s="942">
        <v>20.0</v>
      </c>
      <c r="BF56" s="941">
        <v>1.0</v>
      </c>
      <c r="BG56" s="941">
        <v>0.0</v>
      </c>
    </row>
    <row r="57">
      <c r="A57" s="943" t="s">
        <v>118</v>
      </c>
      <c r="B57" s="16" t="str">
        <f>IF(C57&lt;'PlayerGrades+'!$Y$44,"F-",IF(C57&lt;'PlayerGrades+'!$Y$43,"F",IF(C57&lt;'PlayerGrades+'!$Y$42,"F+",IF(C57&lt;'PlayerGrades+'!$Y$41,"E-",IF(C57&lt;'PlayerGrades+'!$Y$40,"E",IF(C57&lt;'PlayerGrades+'!$Y$39,"E+",IF(C57&lt;'PlayerGrades+'!$Y$38,"D-",IF(C57&lt;'PlayerGrades+'!$Y$37,"D",IF(C57&lt;'PlayerGrades+'!$Y$36,"D+",IF(C57&lt;'PlayerGrades+'!$Y$35,"C-",IF(C57&lt;'PlayerGrades+'!$Y$34,"C",IF(C57&lt;'PlayerGrades+'!$Y$33,"C+",IF(C57&lt;'PlayerGrades+'!$Y$32,"B-",IF(C57&lt;'PlayerGrades+'!$Y$31,"B",IF(C57&lt;'PlayerGrades+'!$Y$30,"B+",IF(C57&lt;'PlayerGrades+'!$Y$29,"A-",IF(C57&lt;'PlayerGrades+'!$Y$28,"A",IF(C57&lt;'PlayerGrades+'!$Y$27,"A+",IF(C57&lt;'PlayerGrades+'!$Y$26,"S-",IF(C57&lt;'PlayerGrades+'!$Y$25,"S","S+"))))))))))))))))))))</f>
        <v>C+</v>
      </c>
      <c r="C57" s="936">
        <f>('PlayerGrades+'!$Y$47*(VLOOKUP(E57, 'PlayerGrades+'!$X$3:$Y$23, 2, FALSE)))+('PlayerGrades+'!$Y$48*(VLOOKUP(G57, 'PlayerGrades+'!$X$3:$Y$23, 2, FALSE)))+('PlayerGrades+'!$Y$49*(VLOOKUP(I57, 'PlayerGrades+'!$X$3:$Y$23, 2, FALSE)))+('PlayerGrades+'!$Y$50*(VLOOKUP(K57, 'PlayerGrades+'!$X$3:$Y$23, 2, FALSE)))+('PlayerGrades+'!$Y$51*(VLOOKUP(M57, 'PlayerGrades+'!$X$3:$Y$23, 2, FALSE)))+('PlayerGrades+'!$Y$52*(VLOOKUP(O57, 'PlayerGrades+'!$X$3:$Y$23, 2, FALSE)))+('PlayerGrades+'!$Y$53*(VLOOKUP(Q57, 'PlayerGrades+'!$X$3:$Y$23, 2, FALSE)))+('PlayerGrades+'!$Y$54*(VLOOKUP(S57, 'PlayerGrades+'!$X$3:$Y$23, 2, FALSE)))+('PlayerGrades+'!$Y$55*(VLOOKUP(U57, 'PlayerGrades+'!$X$3:$Y$23, 2, FALSE)))</f>
        <v>21.25</v>
      </c>
      <c r="D57" s="937">
        <f t="shared" si="1"/>
        <v>0.5451630144</v>
      </c>
      <c r="E57" s="937" t="str">
        <f>IF(D57&lt;'PlayerGrades+'!$AA$21,"F-",IF(D57&lt;'PlayerGrades+'!$AA$20,"F",IF(D57&lt;'PlayerGrades+'!$AA$19,"F+",IF(D57&lt;'PlayerGrades+'!$AA$18,"E-",IF(D57&lt;'PlayerGrades+'!$AA$17,"E",IF(D57&lt;'PlayerGrades+'!$AA$16,"E+",IF(D57&lt;'PlayerGrades+'!$AA$15,"D-",IF(D57&lt;'PlayerGrades+'!$AA$14,"D",IF(D57&lt;'PlayerGrades+'!$AA$13,"D+",IF(D57&lt;'PlayerGrades+'!$AA$12,"C-",IF(D57&lt;'PlayerGrades+'!$AA$11,"C",IF(D57&lt;'PlayerGrades+'!$AA$10,"C+",IF(D57&lt;'PlayerGrades+'!$AA$9,"B-",IF(D57&lt;'PlayerGrades+'!$AA$8,"B",IF(D57&lt;'PlayerGrades+'!$AA$7,"B+",IF(D57&lt;'PlayerGrades+'!$AA$6,"A-",IF(D57&lt;'PlayerGrades+'!$AA$5,"A",IF(D57&lt;'PlayerGrades+'!$AA$4,"A+",IF(D57&lt;'PlayerGrades+'!$AA$3,"S-",IF(D57&lt;'PlayerGrades+'!$AA$2,"S","S+"))))))))))))))))))))</f>
        <v>S-</v>
      </c>
      <c r="F57" s="937">
        <f t="shared" si="2"/>
        <v>0.577231427</v>
      </c>
      <c r="G57" s="937" t="str">
        <f>IF(F57&lt;'PlayerGrades+'!$AB$21,"F-",IF(F57&lt;'PlayerGrades+'!$AB$20,"F",IF(F57&lt;'PlayerGrades+'!$AB$19,"F+",IF(F57&lt;'PlayerGrades+'!$AB$18,"E-",IF(F57&lt;'PlayerGrades+'!$AB$17,"E",IF(F57&lt;'PlayerGrades+'!$AB$16,"E+",IF(F57&lt;'PlayerGrades+'!$AB$15,"D-",IF(F57&lt;'PlayerGrades+'!$AB$14,"D",IF(F57&lt;'PlayerGrades+'!$AB$13,"D+",IF(F57&lt;'PlayerGrades+'!$AB$12,"C-",IF(F57&lt;'PlayerGrades+'!$AB$11,"C",IF(F57&lt;'PlayerGrades+'!$AB$10,"C+",IF(F57&lt;'PlayerGrades+'!$AB$9,"B-",IF(F57&lt;'PlayerGrades+'!$AB$8,"B",IF(F57&lt;'PlayerGrades+'!$AB$7,"B+",IF(F57&lt;'PlayerGrades+'!$AB$6,"A-",IF(F57&lt;'PlayerGrades+'!$AB$5,"A",IF(F57&lt;'PlayerGrades+'!$AB$4,"A+",IF(F57&lt;'PlayerGrades+'!$AB$3,"S-",IF(F57&lt;'PlayerGrades+'!$AB$2,"S","S+"))))))))))))))))))))</f>
        <v>S-</v>
      </c>
      <c r="H57" s="937">
        <f t="shared" si="3"/>
        <v>0</v>
      </c>
      <c r="I57" s="937" t="str">
        <f>IF(H57&lt;'PlayerGrades+'!$AC$21,"F-",IF(H57&lt;'PlayerGrades+'!$AC$20,"F",IF(H57&lt;'PlayerGrades+'!$AC$19,"F+",IF(H57&lt;'PlayerGrades+'!$AC$18,"E-",IF(H57&lt;'PlayerGrades+'!$AC$17,"E",IF(H57&lt;'PlayerGrades+'!$AC$16,"E+",IF(H57&lt;'PlayerGrades+'!$AC$15,"D-",IF(H57&lt;'PlayerGrades+'!$AC$14,"D",IF(H57&lt;'PlayerGrades+'!$AC$13,"D+",IF(H57&lt;'PlayerGrades+'!$AC$12,"C-",IF(H57&lt;'PlayerGrades+'!$AC$11,"C",IF(H57&lt;'PlayerGrades+'!$AC$10,"C+",IF(H57&lt;'PlayerGrades+'!$AC$9,"B-",IF(H57&lt;'PlayerGrades+'!$AC$8,"B",IF(H57&lt;'PlayerGrades+'!$AC$7,"B+",IF(H57&lt;'PlayerGrades+'!$AC$6,"A-",IF(H57&lt;'PlayerGrades+'!$AC$5,"A",IF(H57&lt;'PlayerGrades+'!$AC$4,"A+",IF(H57&lt;'PlayerGrades+'!$AC$3,"S-",IF(H57&lt;'PlayerGrades+'!$AC$2,"S","S+"))))))))))))))))))))</f>
        <v>F-</v>
      </c>
      <c r="J57" s="937">
        <f t="shared" si="4"/>
        <v>0.03206841261</v>
      </c>
      <c r="K57" s="937" t="str">
        <f>IF(J57&lt;'PlayerGrades+'!$AD$21,"F-",IF(J57&lt;'PlayerGrades+'!$AD$20,"F",IF(J57&lt;'PlayerGrades+'!$AD$19,"F+",IF(J57&lt;'PlayerGrades+'!$AD$18,"E-",IF(J57&lt;'PlayerGrades+'!$AD$17,"E",IF(J57&lt;'PlayerGrades+'!$AD$16,"E+",IF(J57&lt;'PlayerGrades+'!$AD$15,"D-",IF(J57&lt;'PlayerGrades+'!$AD$14,"D",IF(J57&lt;'PlayerGrades+'!$AD$13,"D+",IF(J57&lt;'PlayerGrades+'!$AD$12,"C-",IF(J57&lt;'PlayerGrades+'!$AD$11,"C",IF(J57&lt;'PlayerGrades+'!$AD$10,"C+",IF(J57&lt;'PlayerGrades+'!$AD$9,"B-",IF(J57&lt;'PlayerGrades+'!$AD$8,"B",IF(J57&lt;'PlayerGrades+'!$AD$7,"B+",IF(J57&lt;'PlayerGrades+'!$AD$6,"A-",IF(J57&lt;'PlayerGrades+'!$AD$5,"A",IF(J57&lt;'PlayerGrades+'!$AD$4,"A+",IF(J57&lt;'PlayerGrades+'!$AD$3,"S-",IF(J57&lt;'PlayerGrades+'!$AD$2,"S","S+"))))))))))))))))))))</f>
        <v>C</v>
      </c>
      <c r="L57" s="677">
        <f t="shared" si="5"/>
        <v>0.416889364</v>
      </c>
      <c r="M57" s="938" t="str">
        <f>IF(L57&lt;'PlayerGrades+'!$AE$21,"F-",IF(L57&lt;'PlayerGrades+'!$AE$20,"F",IF(L57&lt;'PlayerGrades+'!$AE$19,"F+",IF(L57&lt;'PlayerGrades+'!$AE$18,"E-",IF(L57&lt;'PlayerGrades+'!$AE$17,"E",IF(L57&lt;'PlayerGrades+'!$AE$16,"E+",IF(L57&lt;'PlayerGrades+'!$AE$15,"D-",IF(L57&lt;'PlayerGrades+'!$AE$14,"D",IF(L57&lt;'PlayerGrades+'!$AE$13,"D+",IF(L57&lt;'PlayerGrades+'!$AE$12,"C-",IF(L57&lt;'PlayerGrades+'!$AE$11,"C",IF(L57&lt;'PlayerGrades+'!$AE$10,"C+",IF(L57&lt;'PlayerGrades+'!$AE$9,"B-",IF(L57&lt;'PlayerGrades+'!$AE$8,"B",IF(L57&lt;'PlayerGrades+'!$AE$7,"B+",IF(L57&lt;'PlayerGrades+'!$AE$6,"A-",IF(L57&lt;'PlayerGrades+'!$AE$5,"A",IF(L57&lt;'PlayerGrades+'!$AE$4,"A+",IF(L57&lt;'PlayerGrades+'!$AE$3,"S-",IF(L57&lt;'PlayerGrades+'!$AE$2,"S","S+"))))))))))))))))))))</f>
        <v>C+</v>
      </c>
      <c r="N57" s="937">
        <f t="shared" si="6"/>
        <v>0.06413682523</v>
      </c>
      <c r="O57" s="937" t="str">
        <f>IF(N57&lt;'PlayerGrades+'!$AF$21,"F-",IF(N57&lt;'PlayerGrades+'!$AF$20,"F",IF(N57&lt;'PlayerGrades+'!$AF$19,"F+",IF(N57&lt;'PlayerGrades+'!$AF$18,"E-",IF(N57&lt;'PlayerGrades+'!$AF$17,"E",IF(N57&lt;'PlayerGrades+'!$AF$16,"E+",IF(N57&lt;'PlayerGrades+'!$AF$15,"D-",IF(N57&lt;'PlayerGrades+'!$AF$14,"D",IF(N57&lt;'PlayerGrades+'!$AF$13,"D+",IF(N57&lt;'PlayerGrades+'!$AF$12,"C-",IF(N57&lt;'PlayerGrades+'!$AF$11,"C",IF(N57&lt;'PlayerGrades+'!$AF$10,"C+",IF(N57&lt;'PlayerGrades+'!$AF$9,"B-",IF(N57&lt;'PlayerGrades+'!$AF$8,"B",IF(N57&lt;'PlayerGrades+'!$AF$7,"B+",IF(N57&lt;'PlayerGrades+'!$AF$6,"A-",IF(N57&lt;'PlayerGrades+'!$AF$5,"A",IF(N57&lt;'PlayerGrades+'!$AF$4,"A+",IF(N57&lt;'PlayerGrades+'!$AF$3,"S-",IF(N57&lt;'PlayerGrades+'!$AF$2,"S","S+"))))))))))))))))))))</f>
        <v>C-</v>
      </c>
      <c r="P57" s="937">
        <f t="shared" si="7"/>
        <v>0</v>
      </c>
      <c r="Q57" s="937" t="str">
        <f>IF(P57&lt;'PlayerGrades+'!$AG$21,"F-",IF(P57&lt;'PlayerGrades+'!$AG$20,"F",IF(P57&lt;'PlayerGrades+'!$AG$19,"F+",IF(P57&lt;'PlayerGrades+'!$AG$18,"E-",IF(P57&lt;'PlayerGrades+'!$AG$17,"E",IF(P57&lt;'PlayerGrades+'!$AG$16,"E+",IF(P57&lt;'PlayerGrades+'!$AG$15,"D-",IF(P57&lt;'PlayerGrades+'!$AG$14,"D",IF(P57&lt;'PlayerGrades+'!$AG$13,"D+",IF(P57&lt;'PlayerGrades+'!$AG$12,"C-",IF(P57&lt;'PlayerGrades+'!$AG$11,"C",IF(P57&lt;'PlayerGrades+'!$AG$10,"C+",IF(P57&lt;'PlayerGrades+'!$AG$9,"B-",IF(P57&lt;'PlayerGrades+'!$AG$8,"B",IF(P57&lt;'PlayerGrades+'!$AG$7,"B+",IF(P57&lt;'PlayerGrades+'!$AG$6,"A-",IF(P57&lt;'PlayerGrades+'!$AG$5,"A",IF(P57&lt;'PlayerGrades+'!$AG$4,"A+",IF(P57&lt;'PlayerGrades+'!$AG$3,"S-",IF(P57&lt;'PlayerGrades+'!$AG$2,"S","S+"))))))))))))))))))))</f>
        <v>F</v>
      </c>
      <c r="R57" s="937">
        <f t="shared" si="8"/>
        <v>0.5130946018</v>
      </c>
      <c r="S57" s="937" t="str">
        <f>IF(R57&lt;'PlayerGrades+'!$AH$21,"F-",IF(R57&lt;'PlayerGrades+'!$AH$20,"F",IF(R57&lt;'PlayerGrades+'!$AH$19,"F+",IF(R57&lt;'PlayerGrades+'!$AH$18,"E-",IF(R57&lt;'PlayerGrades+'!$AH$17,"E",IF(R57&lt;'PlayerGrades+'!$AH$16,"E+",IF(R57&lt;'PlayerGrades+'!$AH$15,"D-",IF(R57&lt;'PlayerGrades+'!$AH$14,"D",IF(R57&lt;'PlayerGrades+'!$AH$13,"D+",IF(R57&lt;'PlayerGrades+'!$AH$12,"C-",IF(R57&lt;'PlayerGrades+'!$AH$11,"C",IF(R57&lt;'PlayerGrades+'!$AH$10,"C+",IF(R57&lt;'PlayerGrades+'!$AH$9,"B-",IF(R57&lt;'PlayerGrades+'!$AH$8,"B",IF(R57&lt;'PlayerGrades+'!$AH$7,"B+",IF(R57&lt;'PlayerGrades+'!$AH$6,"A-",IF(R57&lt;'PlayerGrades+'!$AH$5,"A",IF(R57&lt;'PlayerGrades+'!$AH$4,"A+",IF(R57&lt;'PlayerGrades+'!$AH$3,"S-",IF(R57&lt;'PlayerGrades+'!$AH$2,"S","S+"))))))))))))))))))))</f>
        <v>D</v>
      </c>
      <c r="T57" s="937">
        <f t="shared" si="9"/>
        <v>3.192410476</v>
      </c>
      <c r="U57" s="937" t="str">
        <f>IF(T57&lt;'PlayerGrades+'!$AI$21,"F-",IF(T57&lt;'PlayerGrades+'!$AI$20,"F",IF(T57&lt;'PlayerGrades+'!$AI$19,"F+",IF(T57&lt;'PlayerGrades+'!$AI$18,"E-",IF(T57&lt;'PlayerGrades+'!$AI$17,"E",IF(T57&lt;'PlayerGrades+'!$AI$16,"E+",IF(T57&lt;'PlayerGrades+'!$AI$15,"D-",IF(T57&lt;'PlayerGrades+'!$AI$14,"D",IF(T57&lt;'PlayerGrades+'!$AI$13,"D+",IF(T57&lt;'PlayerGrades+'!$AI$12,"C-",IF(T57&lt;'PlayerGrades+'!$AI$11,"C",IF(T57&lt;'PlayerGrades+'!$AI$10,"C+",IF(T57&lt;'PlayerGrades+'!$AI$9,"B-",IF(T57&lt;'PlayerGrades+'!$AI$8,"B",IF(T57&lt;'PlayerGrades+'!$AI$7,"B+",IF(T57&lt;'PlayerGrades+'!$AI$6,"A-",IF(T57&lt;'PlayerGrades+'!$AI$5,"A",IF(T57&lt;'PlayerGrades+'!$AI$4,"A+",IF(T57&lt;'PlayerGrades+'!$AI$3,"S-",IF(T57&lt;'PlayerGrades+'!$AI$2,"S","S+"))))))))))))))))))))</f>
        <v>S+</v>
      </c>
      <c r="V57" s="944">
        <v>1.0</v>
      </c>
      <c r="W57" s="944">
        <v>1.0</v>
      </c>
      <c r="X57" s="944">
        <v>0.0</v>
      </c>
      <c r="Y57" s="944">
        <v>3.0</v>
      </c>
      <c r="Z57" s="944">
        <v>14.0</v>
      </c>
      <c r="AA57" s="944">
        <v>80.0</v>
      </c>
      <c r="AB57" s="944">
        <v>62.0</v>
      </c>
      <c r="AC57" s="944">
        <v>18.0</v>
      </c>
      <c r="AD57" s="944">
        <v>3.0</v>
      </c>
      <c r="AE57" s="944">
        <v>5.0</v>
      </c>
      <c r="AF57" s="944">
        <v>0.0</v>
      </c>
      <c r="AG57" s="944">
        <v>1558.0</v>
      </c>
      <c r="AH57" s="944">
        <v>1871.0</v>
      </c>
      <c r="AI57" s="944">
        <v>25.0</v>
      </c>
      <c r="AJ57" s="944">
        <v>847.0</v>
      </c>
      <c r="AK57" s="944">
        <v>0.0</v>
      </c>
      <c r="AL57" s="944">
        <v>1.0</v>
      </c>
      <c r="AM57" s="944">
        <v>0.0</v>
      </c>
      <c r="AN57" s="944">
        <v>0.0</v>
      </c>
      <c r="AO57" s="944">
        <v>0.0</v>
      </c>
      <c r="AP57" s="944">
        <v>0.0</v>
      </c>
      <c r="AQ57" s="944">
        <v>0.0</v>
      </c>
      <c r="AR57" s="944">
        <v>13.0</v>
      </c>
      <c r="AS57" s="944">
        <v>2.0</v>
      </c>
      <c r="AT57" s="944">
        <v>0.0</v>
      </c>
      <c r="AU57" s="944">
        <v>0.0</v>
      </c>
      <c r="AV57" s="944">
        <v>0.0</v>
      </c>
      <c r="AW57" s="944">
        <v>0.0</v>
      </c>
      <c r="AX57" s="944">
        <v>0.0</v>
      </c>
      <c r="AY57" s="944">
        <v>0.0</v>
      </c>
      <c r="AZ57" s="944">
        <v>0.0</v>
      </c>
      <c r="BA57" s="944">
        <v>0.0</v>
      </c>
      <c r="BB57" s="944">
        <v>0.0</v>
      </c>
      <c r="BC57" s="882">
        <v>0.0</v>
      </c>
      <c r="BD57" s="882">
        <v>13.0</v>
      </c>
      <c r="BE57" s="948">
        <v>6.0</v>
      </c>
      <c r="BF57" s="941">
        <v>3.0</v>
      </c>
      <c r="BG57" s="941">
        <v>0.0</v>
      </c>
    </row>
    <row r="58">
      <c r="A58" s="946" t="s">
        <v>130</v>
      </c>
      <c r="B58" s="16" t="str">
        <f>IF(C58&lt;'PlayerGrades+'!$Y$44,"F-",IF(C58&lt;'PlayerGrades+'!$Y$43,"F",IF(C58&lt;'PlayerGrades+'!$Y$42,"F+",IF(C58&lt;'PlayerGrades+'!$Y$41,"E-",IF(C58&lt;'PlayerGrades+'!$Y$40,"E",IF(C58&lt;'PlayerGrades+'!$Y$39,"E+",IF(C58&lt;'PlayerGrades+'!$Y$38,"D-",IF(C58&lt;'PlayerGrades+'!$Y$37,"D",IF(C58&lt;'PlayerGrades+'!$Y$36,"D+",IF(C58&lt;'PlayerGrades+'!$Y$35,"C-",IF(C58&lt;'PlayerGrades+'!$Y$34,"C",IF(C58&lt;'PlayerGrades+'!$Y$33,"C+",IF(C58&lt;'PlayerGrades+'!$Y$32,"B-",IF(C58&lt;'PlayerGrades+'!$Y$31,"B",IF(C58&lt;'PlayerGrades+'!$Y$30,"B+",IF(C58&lt;'PlayerGrades+'!$Y$29,"A-",IF(C58&lt;'PlayerGrades+'!$Y$28,"A",IF(C58&lt;'PlayerGrades+'!$Y$27,"A+",IF(C58&lt;'PlayerGrades+'!$Y$26,"S-",IF(C58&lt;'PlayerGrades+'!$Y$25,"S","S+"))))))))))))))))))))</f>
        <v>B-</v>
      </c>
      <c r="C58" s="936">
        <f>('PlayerGrades+'!$Y$47*(VLOOKUP(E58, 'PlayerGrades+'!$X$3:$Y$23, 2, FALSE)))+('PlayerGrades+'!$Y$48*(VLOOKUP(G58, 'PlayerGrades+'!$X$3:$Y$23, 2, FALSE)))+('PlayerGrades+'!$Y$49*(VLOOKUP(I58, 'PlayerGrades+'!$X$3:$Y$23, 2, FALSE)))+('PlayerGrades+'!$Y$50*(VLOOKUP(K58, 'PlayerGrades+'!$X$3:$Y$23, 2, FALSE)))+('PlayerGrades+'!$Y$51*(VLOOKUP(M58, 'PlayerGrades+'!$X$3:$Y$23, 2, FALSE)))+('PlayerGrades+'!$Y$52*(VLOOKUP(O58, 'PlayerGrades+'!$X$3:$Y$23, 2, FALSE)))+('PlayerGrades+'!$Y$53*(VLOOKUP(Q58, 'PlayerGrades+'!$X$3:$Y$23, 2, FALSE)))+('PlayerGrades+'!$Y$54*(VLOOKUP(S58, 'PlayerGrades+'!$X$3:$Y$23, 2, FALSE)))+('PlayerGrades+'!$Y$55*(VLOOKUP(U58, 'PlayerGrades+'!$X$3:$Y$23, 2, FALSE)))</f>
        <v>22.3</v>
      </c>
      <c r="D58" s="937">
        <f t="shared" si="1"/>
        <v>0</v>
      </c>
      <c r="E58" s="937" t="str">
        <f>IF(D58&lt;'PlayerGrades+'!$AA$21,"F-",IF(D58&lt;'PlayerGrades+'!$AA$20,"F",IF(D58&lt;'PlayerGrades+'!$AA$19,"F+",IF(D58&lt;'PlayerGrades+'!$AA$18,"E-",IF(D58&lt;'PlayerGrades+'!$AA$17,"E",IF(D58&lt;'PlayerGrades+'!$AA$16,"E+",IF(D58&lt;'PlayerGrades+'!$AA$15,"D-",IF(D58&lt;'PlayerGrades+'!$AA$14,"D",IF(D58&lt;'PlayerGrades+'!$AA$13,"D+",IF(D58&lt;'PlayerGrades+'!$AA$12,"C-",IF(D58&lt;'PlayerGrades+'!$AA$11,"C",IF(D58&lt;'PlayerGrades+'!$AA$10,"C+",IF(D58&lt;'PlayerGrades+'!$AA$9,"B-",IF(D58&lt;'PlayerGrades+'!$AA$8,"B",IF(D58&lt;'PlayerGrades+'!$AA$7,"B+",IF(D58&lt;'PlayerGrades+'!$AA$6,"A-",IF(D58&lt;'PlayerGrades+'!$AA$5,"A",IF(D58&lt;'PlayerGrades+'!$AA$4,"A+",IF(D58&lt;'PlayerGrades+'!$AA$3,"S-",IF(D58&lt;'PlayerGrades+'!$AA$2,"S","S+"))))))))))))))))))))</f>
        <v>F-</v>
      </c>
      <c r="F58" s="937">
        <f t="shared" si="2"/>
        <v>0.2711251695</v>
      </c>
      <c r="G58" s="937" t="str">
        <f>IF(F58&lt;'PlayerGrades+'!$AB$21,"F-",IF(F58&lt;'PlayerGrades+'!$AB$20,"F",IF(F58&lt;'PlayerGrades+'!$AB$19,"F+",IF(F58&lt;'PlayerGrades+'!$AB$18,"E-",IF(F58&lt;'PlayerGrades+'!$AB$17,"E",IF(F58&lt;'PlayerGrades+'!$AB$16,"E+",IF(F58&lt;'PlayerGrades+'!$AB$15,"D-",IF(F58&lt;'PlayerGrades+'!$AB$14,"D",IF(F58&lt;'PlayerGrades+'!$AB$13,"D+",IF(F58&lt;'PlayerGrades+'!$AB$12,"C-",IF(F58&lt;'PlayerGrades+'!$AB$11,"C",IF(F58&lt;'PlayerGrades+'!$AB$10,"C+",IF(F58&lt;'PlayerGrades+'!$AB$9,"B-",IF(F58&lt;'PlayerGrades+'!$AB$8,"B",IF(F58&lt;'PlayerGrades+'!$AB$7,"B+",IF(F58&lt;'PlayerGrades+'!$AB$6,"A-",IF(F58&lt;'PlayerGrades+'!$AB$5,"A",IF(F58&lt;'PlayerGrades+'!$AB$4,"A+",IF(F58&lt;'PlayerGrades+'!$AB$3,"S-",IF(F58&lt;'PlayerGrades+'!$AB$2,"S","S+"))))))))))))))))))))</f>
        <v>B+</v>
      </c>
      <c r="H58" s="937">
        <f t="shared" si="3"/>
        <v>0.4338002711</v>
      </c>
      <c r="I58" s="937" t="str">
        <f>IF(H58&lt;'PlayerGrades+'!$AC$21,"F-",IF(H58&lt;'PlayerGrades+'!$AC$20,"F",IF(H58&lt;'PlayerGrades+'!$AC$19,"F+",IF(H58&lt;'PlayerGrades+'!$AC$18,"E-",IF(H58&lt;'PlayerGrades+'!$AC$17,"E",IF(H58&lt;'PlayerGrades+'!$AC$16,"E+",IF(H58&lt;'PlayerGrades+'!$AC$15,"D-",IF(H58&lt;'PlayerGrades+'!$AC$14,"D",IF(H58&lt;'PlayerGrades+'!$AC$13,"D+",IF(H58&lt;'PlayerGrades+'!$AC$12,"C-",IF(H58&lt;'PlayerGrades+'!$AC$11,"C",IF(H58&lt;'PlayerGrades+'!$AC$10,"C+",IF(H58&lt;'PlayerGrades+'!$AC$9,"B-",IF(H58&lt;'PlayerGrades+'!$AC$8,"B",IF(H58&lt;'PlayerGrades+'!$AC$7,"B+",IF(H58&lt;'PlayerGrades+'!$AC$6,"A-",IF(H58&lt;'PlayerGrades+'!$AC$5,"A",IF(H58&lt;'PlayerGrades+'!$AC$4,"A+",IF(H58&lt;'PlayerGrades+'!$AC$3,"S-",IF(H58&lt;'PlayerGrades+'!$AC$2,"S","S+"))))))))))))))))))))</f>
        <v>S+</v>
      </c>
      <c r="J58" s="937">
        <f t="shared" si="4"/>
        <v>0.02711251695</v>
      </c>
      <c r="K58" s="937" t="str">
        <f>IF(J58&lt;'PlayerGrades+'!$AD$21,"F-",IF(J58&lt;'PlayerGrades+'!$AD$20,"F",IF(J58&lt;'PlayerGrades+'!$AD$19,"F+",IF(J58&lt;'PlayerGrades+'!$AD$18,"E-",IF(J58&lt;'PlayerGrades+'!$AD$17,"E",IF(J58&lt;'PlayerGrades+'!$AD$16,"E+",IF(J58&lt;'PlayerGrades+'!$AD$15,"D-",IF(J58&lt;'PlayerGrades+'!$AD$14,"D",IF(J58&lt;'PlayerGrades+'!$AD$13,"D+",IF(J58&lt;'PlayerGrades+'!$AD$12,"C-",IF(J58&lt;'PlayerGrades+'!$AD$11,"C",IF(J58&lt;'PlayerGrades+'!$AD$10,"C+",IF(J58&lt;'PlayerGrades+'!$AD$9,"B-",IF(J58&lt;'PlayerGrades+'!$AD$8,"B",IF(J58&lt;'PlayerGrades+'!$AD$7,"B+",IF(J58&lt;'PlayerGrades+'!$AD$6,"A-",IF(J58&lt;'PlayerGrades+'!$AD$5,"A",IF(J58&lt;'PlayerGrades+'!$AD$4,"A+",IF(J58&lt;'PlayerGrades+'!$AD$3,"S-",IF(J58&lt;'PlayerGrades+'!$AD$2,"S","S+"))))))))))))))))))))</f>
        <v>D+</v>
      </c>
      <c r="L58" s="677">
        <f t="shared" si="5"/>
        <v>0.3795752372</v>
      </c>
      <c r="M58" s="938" t="str">
        <f>IF(L58&lt;'PlayerGrades+'!$AE$21,"F-",IF(L58&lt;'PlayerGrades+'!$AE$20,"F",IF(L58&lt;'PlayerGrades+'!$AE$19,"F+",IF(L58&lt;'PlayerGrades+'!$AE$18,"E-",IF(L58&lt;'PlayerGrades+'!$AE$17,"E",IF(L58&lt;'PlayerGrades+'!$AE$16,"E+",IF(L58&lt;'PlayerGrades+'!$AE$15,"D-",IF(L58&lt;'PlayerGrades+'!$AE$14,"D",IF(L58&lt;'PlayerGrades+'!$AE$13,"D+",IF(L58&lt;'PlayerGrades+'!$AE$12,"C-",IF(L58&lt;'PlayerGrades+'!$AE$11,"C",IF(L58&lt;'PlayerGrades+'!$AE$10,"C+",IF(L58&lt;'PlayerGrades+'!$AE$9,"B-",IF(L58&lt;'PlayerGrades+'!$AE$8,"B",IF(L58&lt;'PlayerGrades+'!$AE$7,"B+",IF(L58&lt;'PlayerGrades+'!$AE$6,"A-",IF(L58&lt;'PlayerGrades+'!$AE$5,"A",IF(L58&lt;'PlayerGrades+'!$AE$4,"A+",IF(L58&lt;'PlayerGrades+'!$AE$3,"S-",IF(L58&lt;'PlayerGrades+'!$AE$2,"S","S+"))))))))))))))))))))</f>
        <v>C</v>
      </c>
      <c r="N58" s="937">
        <f t="shared" si="6"/>
        <v>0.02711251695</v>
      </c>
      <c r="O58" s="937" t="str">
        <f>IF(N58&lt;'PlayerGrades+'!$AF$21,"F-",IF(N58&lt;'PlayerGrades+'!$AF$20,"F",IF(N58&lt;'PlayerGrades+'!$AF$19,"F+",IF(N58&lt;'PlayerGrades+'!$AF$18,"E-",IF(N58&lt;'PlayerGrades+'!$AF$17,"E",IF(N58&lt;'PlayerGrades+'!$AF$16,"E+",IF(N58&lt;'PlayerGrades+'!$AF$15,"D-",IF(N58&lt;'PlayerGrades+'!$AF$14,"D",IF(N58&lt;'PlayerGrades+'!$AF$13,"D+",IF(N58&lt;'PlayerGrades+'!$AF$12,"C-",IF(N58&lt;'PlayerGrades+'!$AF$11,"C",IF(N58&lt;'PlayerGrades+'!$AF$10,"C+",IF(N58&lt;'PlayerGrades+'!$AF$9,"B-",IF(N58&lt;'PlayerGrades+'!$AF$8,"B",IF(N58&lt;'PlayerGrades+'!$AF$7,"B+",IF(N58&lt;'PlayerGrades+'!$AF$6,"A-",IF(N58&lt;'PlayerGrades+'!$AF$5,"A",IF(N58&lt;'PlayerGrades+'!$AF$4,"A+",IF(N58&lt;'PlayerGrades+'!$AF$3,"S-",IF(N58&lt;'PlayerGrades+'!$AF$2,"S","S+"))))))))))))))))))))</f>
        <v>F</v>
      </c>
      <c r="P58" s="937">
        <f t="shared" si="7"/>
        <v>0.02711251695</v>
      </c>
      <c r="Q58" s="937" t="str">
        <f>IF(P58&lt;'PlayerGrades+'!$AG$21,"F-",IF(P58&lt;'PlayerGrades+'!$AG$20,"F",IF(P58&lt;'PlayerGrades+'!$AG$19,"F+",IF(P58&lt;'PlayerGrades+'!$AG$18,"E-",IF(P58&lt;'PlayerGrades+'!$AG$17,"E",IF(P58&lt;'PlayerGrades+'!$AG$16,"E+",IF(P58&lt;'PlayerGrades+'!$AG$15,"D-",IF(P58&lt;'PlayerGrades+'!$AG$14,"D",IF(P58&lt;'PlayerGrades+'!$AG$13,"D+",IF(P58&lt;'PlayerGrades+'!$AG$12,"C-",IF(P58&lt;'PlayerGrades+'!$AG$11,"C",IF(P58&lt;'PlayerGrades+'!$AG$10,"C+",IF(P58&lt;'PlayerGrades+'!$AG$9,"B-",IF(P58&lt;'PlayerGrades+'!$AG$8,"B",IF(P58&lt;'PlayerGrades+'!$AG$7,"B+",IF(P58&lt;'PlayerGrades+'!$AG$6,"A-",IF(P58&lt;'PlayerGrades+'!$AG$5,"A",IF(P58&lt;'PlayerGrades+'!$AG$4,"A+",IF(P58&lt;'PlayerGrades+'!$AG$3,"S-",IF(P58&lt;'PlayerGrades+'!$AG$2,"S","S+"))))))))))))))))))))</f>
        <v>B</v>
      </c>
      <c r="R58" s="937">
        <f t="shared" si="8"/>
        <v>0.8133755084</v>
      </c>
      <c r="S58" s="937" t="str">
        <f>IF(R58&lt;'PlayerGrades+'!$AH$21,"F-",IF(R58&lt;'PlayerGrades+'!$AH$20,"F",IF(R58&lt;'PlayerGrades+'!$AH$19,"F+",IF(R58&lt;'PlayerGrades+'!$AH$18,"E-",IF(R58&lt;'PlayerGrades+'!$AH$17,"E",IF(R58&lt;'PlayerGrades+'!$AH$16,"E+",IF(R58&lt;'PlayerGrades+'!$AH$15,"D-",IF(R58&lt;'PlayerGrades+'!$AH$14,"D",IF(R58&lt;'PlayerGrades+'!$AH$13,"D+",IF(R58&lt;'PlayerGrades+'!$AH$12,"C-",IF(R58&lt;'PlayerGrades+'!$AH$11,"C",IF(R58&lt;'PlayerGrades+'!$AH$10,"C+",IF(R58&lt;'PlayerGrades+'!$AH$9,"B-",IF(R58&lt;'PlayerGrades+'!$AH$8,"B",IF(R58&lt;'PlayerGrades+'!$AH$7,"B+",IF(R58&lt;'PlayerGrades+'!$AH$6,"A-",IF(R58&lt;'PlayerGrades+'!$AH$5,"A",IF(R58&lt;'PlayerGrades+'!$AH$4,"A+",IF(R58&lt;'PlayerGrades+'!$AH$3,"S-",IF(R58&lt;'PlayerGrades+'!$AH$2,"S","S+"))))))))))))))))))))</f>
        <v>S+</v>
      </c>
      <c r="T58" s="937">
        <f t="shared" si="9"/>
        <v>2.244012653</v>
      </c>
      <c r="U58" s="937" t="str">
        <f>IF(T58&lt;'PlayerGrades+'!$AI$21,"F-",IF(T58&lt;'PlayerGrades+'!$AI$20,"F",IF(T58&lt;'PlayerGrades+'!$AI$19,"F+",IF(T58&lt;'PlayerGrades+'!$AI$18,"E-",IF(T58&lt;'PlayerGrades+'!$AI$17,"E",IF(T58&lt;'PlayerGrades+'!$AI$16,"E+",IF(T58&lt;'PlayerGrades+'!$AI$15,"D-",IF(T58&lt;'PlayerGrades+'!$AI$14,"D",IF(T58&lt;'PlayerGrades+'!$AI$13,"D+",IF(T58&lt;'PlayerGrades+'!$AI$12,"C-",IF(T58&lt;'PlayerGrades+'!$AI$11,"C",IF(T58&lt;'PlayerGrades+'!$AI$10,"C+",IF(T58&lt;'PlayerGrades+'!$AI$9,"B-",IF(T58&lt;'PlayerGrades+'!$AI$8,"B",IF(T58&lt;'PlayerGrades+'!$AI$7,"B+",IF(T58&lt;'PlayerGrades+'!$AI$6,"A-",IF(T58&lt;'PlayerGrades+'!$AI$5,"A",IF(T58&lt;'PlayerGrades+'!$AI$4,"A+",IF(T58&lt;'PlayerGrades+'!$AI$3,"S-",IF(T58&lt;'PlayerGrades+'!$AI$2,"S","S+"))))))))))))))))))))</f>
        <v>S+</v>
      </c>
      <c r="V58" s="939">
        <v>1.0</v>
      </c>
      <c r="W58" s="939">
        <v>0.0</v>
      </c>
      <c r="X58" s="939">
        <v>1.0</v>
      </c>
      <c r="Y58" s="939">
        <v>0.0</v>
      </c>
      <c r="Z58" s="939">
        <v>0.0</v>
      </c>
      <c r="AA58" s="939">
        <v>113.0</v>
      </c>
      <c r="AB58" s="939">
        <v>103.0</v>
      </c>
      <c r="AC58" s="939">
        <v>10.0</v>
      </c>
      <c r="AD58" s="939">
        <v>18.0</v>
      </c>
      <c r="AE58" s="939">
        <v>6.0</v>
      </c>
      <c r="AF58" s="939">
        <v>7.0</v>
      </c>
      <c r="AG58" s="939">
        <v>1781.0</v>
      </c>
      <c r="AH58" s="939">
        <v>2213.0</v>
      </c>
      <c r="AI58" s="939">
        <v>17.0</v>
      </c>
      <c r="AJ58" s="939">
        <v>18.0</v>
      </c>
      <c r="AK58" s="939">
        <v>0.0</v>
      </c>
      <c r="AL58" s="939">
        <v>1.0</v>
      </c>
      <c r="AM58" s="939">
        <v>0.0</v>
      </c>
      <c r="AN58" s="939">
        <v>0.0</v>
      </c>
      <c r="AO58" s="939">
        <v>0.0</v>
      </c>
      <c r="AP58" s="939">
        <v>1.0</v>
      </c>
      <c r="AQ58" s="939">
        <v>0.0</v>
      </c>
      <c r="AR58" s="939">
        <v>14.0</v>
      </c>
      <c r="AS58" s="939">
        <v>1.0</v>
      </c>
      <c r="AT58" s="939">
        <v>1.0</v>
      </c>
      <c r="AU58" s="939">
        <v>0.0</v>
      </c>
      <c r="AV58" s="939">
        <v>0.0</v>
      </c>
      <c r="AW58" s="939">
        <v>0.0</v>
      </c>
      <c r="AX58" s="939">
        <v>0.0</v>
      </c>
      <c r="AY58" s="939">
        <v>0.0</v>
      </c>
      <c r="AZ58" s="939">
        <v>0.0</v>
      </c>
      <c r="BA58" s="939">
        <v>0.0</v>
      </c>
      <c r="BB58" s="939">
        <v>16.0</v>
      </c>
      <c r="BC58" s="895">
        <v>0.0</v>
      </c>
      <c r="BD58" s="895">
        <v>12.0</v>
      </c>
      <c r="BE58" s="947">
        <v>9.0</v>
      </c>
      <c r="BF58" s="941">
        <v>2.0</v>
      </c>
      <c r="BG58" s="941">
        <v>1.0</v>
      </c>
    </row>
    <row r="59">
      <c r="A59" s="935" t="s">
        <v>141</v>
      </c>
      <c r="B59" s="16" t="str">
        <f>IF(C59&lt;'PlayerGrades+'!$Y$44,"F-",IF(C59&lt;'PlayerGrades+'!$Y$43,"F",IF(C59&lt;'PlayerGrades+'!$Y$42,"F+",IF(C59&lt;'PlayerGrades+'!$Y$41,"E-",IF(C59&lt;'PlayerGrades+'!$Y$40,"E",IF(C59&lt;'PlayerGrades+'!$Y$39,"E+",IF(C59&lt;'PlayerGrades+'!$Y$38,"D-",IF(C59&lt;'PlayerGrades+'!$Y$37,"D",IF(C59&lt;'PlayerGrades+'!$Y$36,"D+",IF(C59&lt;'PlayerGrades+'!$Y$35,"C-",IF(C59&lt;'PlayerGrades+'!$Y$34,"C",IF(C59&lt;'PlayerGrades+'!$Y$33,"C+",IF(C59&lt;'PlayerGrades+'!$Y$32,"B-",IF(C59&lt;'PlayerGrades+'!$Y$31,"B",IF(C59&lt;'PlayerGrades+'!$Y$30,"B+",IF(C59&lt;'PlayerGrades+'!$Y$29,"A-",IF(C59&lt;'PlayerGrades+'!$Y$28,"A",IF(C59&lt;'PlayerGrades+'!$Y$27,"A+",IF(C59&lt;'PlayerGrades+'!$Y$26,"S-",IF(C59&lt;'PlayerGrades+'!$Y$25,"S","S+"))))))))))))))))))))</f>
        <v>C</v>
      </c>
      <c r="C59" s="936">
        <f>('PlayerGrades+'!$Y$47*(VLOOKUP(E59, 'PlayerGrades+'!$X$3:$Y$23, 2, FALSE)))+('PlayerGrades+'!$Y$48*(VLOOKUP(G59, 'PlayerGrades+'!$X$3:$Y$23, 2, FALSE)))+('PlayerGrades+'!$Y$49*(VLOOKUP(I59, 'PlayerGrades+'!$X$3:$Y$23, 2, FALSE)))+('PlayerGrades+'!$Y$50*(VLOOKUP(K59, 'PlayerGrades+'!$X$3:$Y$23, 2, FALSE)))+('PlayerGrades+'!$Y$51*(VLOOKUP(M59, 'PlayerGrades+'!$X$3:$Y$23, 2, FALSE)))+('PlayerGrades+'!$Y$52*(VLOOKUP(O59, 'PlayerGrades+'!$X$3:$Y$23, 2, FALSE)))+('PlayerGrades+'!$Y$53*(VLOOKUP(Q59, 'PlayerGrades+'!$X$3:$Y$23, 2, FALSE)))+('PlayerGrades+'!$Y$54*(VLOOKUP(S59, 'PlayerGrades+'!$X$3:$Y$23, 2, FALSE)))+('PlayerGrades+'!$Y$55*(VLOOKUP(U59, 'PlayerGrades+'!$X$3:$Y$23, 2, FALSE)))</f>
        <v>20.1</v>
      </c>
      <c r="D59" s="937">
        <f t="shared" si="1"/>
        <v>0</v>
      </c>
      <c r="E59" s="937" t="str">
        <f>IF(D59&lt;'PlayerGrades+'!$AA$21,"F-",IF(D59&lt;'PlayerGrades+'!$AA$20,"F",IF(D59&lt;'PlayerGrades+'!$AA$19,"F+",IF(D59&lt;'PlayerGrades+'!$AA$18,"E-",IF(D59&lt;'PlayerGrades+'!$AA$17,"E",IF(D59&lt;'PlayerGrades+'!$AA$16,"E+",IF(D59&lt;'PlayerGrades+'!$AA$15,"D-",IF(D59&lt;'PlayerGrades+'!$AA$14,"D",IF(D59&lt;'PlayerGrades+'!$AA$13,"D+",IF(D59&lt;'PlayerGrades+'!$AA$12,"C-",IF(D59&lt;'PlayerGrades+'!$AA$11,"C",IF(D59&lt;'PlayerGrades+'!$AA$10,"C+",IF(D59&lt;'PlayerGrades+'!$AA$9,"B-",IF(D59&lt;'PlayerGrades+'!$AA$8,"B",IF(D59&lt;'PlayerGrades+'!$AA$7,"B+",IF(D59&lt;'PlayerGrades+'!$AA$6,"A-",IF(D59&lt;'PlayerGrades+'!$AA$5,"A",IF(D59&lt;'PlayerGrades+'!$AA$4,"A+",IF(D59&lt;'PlayerGrades+'!$AA$3,"S-",IF(D59&lt;'PlayerGrades+'!$AA$2,"S","S+"))))))))))))))))))))</f>
        <v>F-</v>
      </c>
      <c r="F59" s="937">
        <f t="shared" si="2"/>
        <v>-0.6507004067</v>
      </c>
      <c r="G59" s="937" t="str">
        <f>IF(F59&lt;'PlayerGrades+'!$AB$21,"F-",IF(F59&lt;'PlayerGrades+'!$AB$20,"F",IF(F59&lt;'PlayerGrades+'!$AB$19,"F+",IF(F59&lt;'PlayerGrades+'!$AB$18,"E-",IF(F59&lt;'PlayerGrades+'!$AB$17,"E",IF(F59&lt;'PlayerGrades+'!$AB$16,"E+",IF(F59&lt;'PlayerGrades+'!$AB$15,"D-",IF(F59&lt;'PlayerGrades+'!$AB$14,"D",IF(F59&lt;'PlayerGrades+'!$AB$13,"D+",IF(F59&lt;'PlayerGrades+'!$AB$12,"C-",IF(F59&lt;'PlayerGrades+'!$AB$11,"C",IF(F59&lt;'PlayerGrades+'!$AB$10,"C+",IF(F59&lt;'PlayerGrades+'!$AB$9,"B-",IF(F59&lt;'PlayerGrades+'!$AB$8,"B",IF(F59&lt;'PlayerGrades+'!$AB$7,"B+",IF(F59&lt;'PlayerGrades+'!$AB$6,"A-",IF(F59&lt;'PlayerGrades+'!$AB$5,"A",IF(F59&lt;'PlayerGrades+'!$AB$4,"A+",IF(F59&lt;'PlayerGrades+'!$AB$3,"S-",IF(F59&lt;'PlayerGrades+'!$AB$2,"S","S+"))))))))))))))))))))</f>
        <v>E+</v>
      </c>
      <c r="H59" s="937">
        <f t="shared" si="3"/>
        <v>0.2169001356</v>
      </c>
      <c r="I59" s="937" t="str">
        <f>IF(H59&lt;'PlayerGrades+'!$AC$21,"F-",IF(H59&lt;'PlayerGrades+'!$AC$20,"F",IF(H59&lt;'PlayerGrades+'!$AC$19,"F+",IF(H59&lt;'PlayerGrades+'!$AC$18,"E-",IF(H59&lt;'PlayerGrades+'!$AC$17,"E",IF(H59&lt;'PlayerGrades+'!$AC$16,"E+",IF(H59&lt;'PlayerGrades+'!$AC$15,"D-",IF(H59&lt;'PlayerGrades+'!$AC$14,"D",IF(H59&lt;'PlayerGrades+'!$AC$13,"D+",IF(H59&lt;'PlayerGrades+'!$AC$12,"C-",IF(H59&lt;'PlayerGrades+'!$AC$11,"C",IF(H59&lt;'PlayerGrades+'!$AC$10,"C+",IF(H59&lt;'PlayerGrades+'!$AC$9,"B-",IF(H59&lt;'PlayerGrades+'!$AC$8,"B",IF(H59&lt;'PlayerGrades+'!$AC$7,"B+",IF(H59&lt;'PlayerGrades+'!$AC$6,"A-",IF(H59&lt;'PlayerGrades+'!$AC$5,"A",IF(H59&lt;'PlayerGrades+'!$AC$4,"A+",IF(H59&lt;'PlayerGrades+'!$AC$3,"S-",IF(H59&lt;'PlayerGrades+'!$AC$2,"S","S+"))))))))))))))))))))</f>
        <v>S</v>
      </c>
      <c r="J59" s="937">
        <f t="shared" si="4"/>
        <v>0</v>
      </c>
      <c r="K59" s="937" t="str">
        <f>IF(J59&lt;'PlayerGrades+'!$AD$21,"F-",IF(J59&lt;'PlayerGrades+'!$AD$20,"F",IF(J59&lt;'PlayerGrades+'!$AD$19,"F+",IF(J59&lt;'PlayerGrades+'!$AD$18,"E-",IF(J59&lt;'PlayerGrades+'!$AD$17,"E",IF(J59&lt;'PlayerGrades+'!$AD$16,"E+",IF(J59&lt;'PlayerGrades+'!$AD$15,"D-",IF(J59&lt;'PlayerGrades+'!$AD$14,"D",IF(J59&lt;'PlayerGrades+'!$AD$13,"D+",IF(J59&lt;'PlayerGrades+'!$AD$12,"C-",IF(J59&lt;'PlayerGrades+'!$AD$11,"C",IF(J59&lt;'PlayerGrades+'!$AD$10,"C+",IF(J59&lt;'PlayerGrades+'!$AD$9,"B-",IF(J59&lt;'PlayerGrades+'!$AD$8,"B",IF(J59&lt;'PlayerGrades+'!$AD$7,"B+",IF(J59&lt;'PlayerGrades+'!$AD$6,"A-",IF(J59&lt;'PlayerGrades+'!$AD$5,"A",IF(J59&lt;'PlayerGrades+'!$AD$4,"A+",IF(J59&lt;'PlayerGrades+'!$AD$3,"S-",IF(J59&lt;'PlayerGrades+'!$AD$2,"S","S+"))))))))))))))))))))</f>
        <v>F-</v>
      </c>
      <c r="L59" s="677">
        <f t="shared" si="5"/>
        <v>0.5422503389</v>
      </c>
      <c r="M59" s="938" t="str">
        <f>IF(L59&lt;'PlayerGrades+'!$AE$21,"F-",IF(L59&lt;'PlayerGrades+'!$AE$20,"F",IF(L59&lt;'PlayerGrades+'!$AE$19,"F+",IF(L59&lt;'PlayerGrades+'!$AE$18,"E-",IF(L59&lt;'PlayerGrades+'!$AE$17,"E",IF(L59&lt;'PlayerGrades+'!$AE$16,"E+",IF(L59&lt;'PlayerGrades+'!$AE$15,"D-",IF(L59&lt;'PlayerGrades+'!$AE$14,"D",IF(L59&lt;'PlayerGrades+'!$AE$13,"D+",IF(L59&lt;'PlayerGrades+'!$AE$12,"C-",IF(L59&lt;'PlayerGrades+'!$AE$11,"C",IF(L59&lt;'PlayerGrades+'!$AE$10,"C+",IF(L59&lt;'PlayerGrades+'!$AE$9,"B-",IF(L59&lt;'PlayerGrades+'!$AE$8,"B",IF(L59&lt;'PlayerGrades+'!$AE$7,"B+",IF(L59&lt;'PlayerGrades+'!$AE$6,"A-",IF(L59&lt;'PlayerGrades+'!$AE$5,"A",IF(L59&lt;'PlayerGrades+'!$AE$4,"A+",IF(L59&lt;'PlayerGrades+'!$AE$3,"S-",IF(L59&lt;'PlayerGrades+'!$AE$2,"S","S+"))))))))))))))))))))</f>
        <v>A</v>
      </c>
      <c r="N59" s="937">
        <f t="shared" si="6"/>
        <v>0.08133755084</v>
      </c>
      <c r="O59" s="937" t="str">
        <f>IF(N59&lt;'PlayerGrades+'!$AF$21,"F-",IF(N59&lt;'PlayerGrades+'!$AF$20,"F",IF(N59&lt;'PlayerGrades+'!$AF$19,"F+",IF(N59&lt;'PlayerGrades+'!$AF$18,"E-",IF(N59&lt;'PlayerGrades+'!$AF$17,"E",IF(N59&lt;'PlayerGrades+'!$AF$16,"E+",IF(N59&lt;'PlayerGrades+'!$AF$15,"D-",IF(N59&lt;'PlayerGrades+'!$AF$14,"D",IF(N59&lt;'PlayerGrades+'!$AF$13,"D+",IF(N59&lt;'PlayerGrades+'!$AF$12,"C-",IF(N59&lt;'PlayerGrades+'!$AF$11,"C",IF(N59&lt;'PlayerGrades+'!$AF$10,"C+",IF(N59&lt;'PlayerGrades+'!$AF$9,"B-",IF(N59&lt;'PlayerGrades+'!$AF$8,"B",IF(N59&lt;'PlayerGrades+'!$AF$7,"B+",IF(N59&lt;'PlayerGrades+'!$AF$6,"A-",IF(N59&lt;'PlayerGrades+'!$AF$5,"A",IF(N59&lt;'PlayerGrades+'!$AF$4,"A+",IF(N59&lt;'PlayerGrades+'!$AF$3,"S-",IF(N59&lt;'PlayerGrades+'!$AF$2,"S","S+"))))))))))))))))))))</f>
        <v>B-</v>
      </c>
      <c r="P59" s="937">
        <f t="shared" si="7"/>
        <v>0</v>
      </c>
      <c r="Q59" s="937" t="str">
        <f>IF(P59&lt;'PlayerGrades+'!$AG$21,"F-",IF(P59&lt;'PlayerGrades+'!$AG$20,"F",IF(P59&lt;'PlayerGrades+'!$AG$19,"F+",IF(P59&lt;'PlayerGrades+'!$AG$18,"E-",IF(P59&lt;'PlayerGrades+'!$AG$17,"E",IF(P59&lt;'PlayerGrades+'!$AG$16,"E+",IF(P59&lt;'PlayerGrades+'!$AG$15,"D-",IF(P59&lt;'PlayerGrades+'!$AG$14,"D",IF(P59&lt;'PlayerGrades+'!$AG$13,"D+",IF(P59&lt;'PlayerGrades+'!$AG$12,"C-",IF(P59&lt;'PlayerGrades+'!$AG$11,"C",IF(P59&lt;'PlayerGrades+'!$AG$10,"C+",IF(P59&lt;'PlayerGrades+'!$AG$9,"B-",IF(P59&lt;'PlayerGrades+'!$AG$8,"B",IF(P59&lt;'PlayerGrades+'!$AG$7,"B+",IF(P59&lt;'PlayerGrades+'!$AG$6,"A-",IF(P59&lt;'PlayerGrades+'!$AG$5,"A",IF(P59&lt;'PlayerGrades+'!$AG$4,"A+",IF(P59&lt;'PlayerGrades+'!$AG$3,"S-",IF(P59&lt;'PlayerGrades+'!$AG$2,"S","S+"))))))))))))))))))))</f>
        <v>F</v>
      </c>
      <c r="R59" s="937">
        <f t="shared" si="8"/>
        <v>0.7320379575</v>
      </c>
      <c r="S59" s="937" t="str">
        <f>IF(R59&lt;'PlayerGrades+'!$AH$21,"F-",IF(R59&lt;'PlayerGrades+'!$AH$20,"F",IF(R59&lt;'PlayerGrades+'!$AH$19,"F+",IF(R59&lt;'PlayerGrades+'!$AH$18,"E-",IF(R59&lt;'PlayerGrades+'!$AH$17,"E",IF(R59&lt;'PlayerGrades+'!$AH$16,"E+",IF(R59&lt;'PlayerGrades+'!$AH$15,"D-",IF(R59&lt;'PlayerGrades+'!$AH$14,"D",IF(R59&lt;'PlayerGrades+'!$AH$13,"D+",IF(R59&lt;'PlayerGrades+'!$AH$12,"C-",IF(R59&lt;'PlayerGrades+'!$AH$11,"C",IF(R59&lt;'PlayerGrades+'!$AH$10,"C+",IF(R59&lt;'PlayerGrades+'!$AH$9,"B-",IF(R59&lt;'PlayerGrades+'!$AH$8,"B",IF(R59&lt;'PlayerGrades+'!$AH$7,"B+",IF(R59&lt;'PlayerGrades+'!$AH$6,"A-",IF(R59&lt;'PlayerGrades+'!$AH$5,"A",IF(R59&lt;'PlayerGrades+'!$AH$4,"A+",IF(R59&lt;'PlayerGrades+'!$AH$3,"S-",IF(R59&lt;'PlayerGrades+'!$AH$2,"S","S+"))))))))))))))))))))</f>
        <v>S</v>
      </c>
      <c r="T59" s="937">
        <f t="shared" si="9"/>
        <v>0.3524627203</v>
      </c>
      <c r="U59" s="937" t="str">
        <f>IF(T59&lt;'PlayerGrades+'!$AI$21,"F-",IF(T59&lt;'PlayerGrades+'!$AI$20,"F",IF(T59&lt;'PlayerGrades+'!$AI$19,"F+",IF(T59&lt;'PlayerGrades+'!$AI$18,"E-",IF(T59&lt;'PlayerGrades+'!$AI$17,"E",IF(T59&lt;'PlayerGrades+'!$AI$16,"E+",IF(T59&lt;'PlayerGrades+'!$AI$15,"D-",IF(T59&lt;'PlayerGrades+'!$AI$14,"D",IF(T59&lt;'PlayerGrades+'!$AI$13,"D+",IF(T59&lt;'PlayerGrades+'!$AI$12,"C-",IF(T59&lt;'PlayerGrades+'!$AI$11,"C",IF(T59&lt;'PlayerGrades+'!$AI$10,"C+",IF(T59&lt;'PlayerGrades+'!$AI$9,"B-",IF(T59&lt;'PlayerGrades+'!$AI$8,"B",IF(T59&lt;'PlayerGrades+'!$AI$7,"B+",IF(T59&lt;'PlayerGrades+'!$AI$6,"A-",IF(T59&lt;'PlayerGrades+'!$AI$5,"A",IF(T59&lt;'PlayerGrades+'!$AI$4,"A+",IF(T59&lt;'PlayerGrades+'!$AI$3,"S-",IF(T59&lt;'PlayerGrades+'!$AI$2,"S","S+"))))))))))))))))))))</f>
        <v>F-</v>
      </c>
      <c r="V59" s="941">
        <v>1.0</v>
      </c>
      <c r="W59" s="941">
        <v>0.0</v>
      </c>
      <c r="X59" s="941">
        <v>1.0</v>
      </c>
      <c r="Y59" s="941">
        <v>0.0</v>
      </c>
      <c r="Z59" s="941">
        <v>0.0</v>
      </c>
      <c r="AA59" s="941">
        <v>126.0</v>
      </c>
      <c r="AB59" s="941">
        <v>150.0</v>
      </c>
      <c r="AC59" s="941">
        <v>-24.0</v>
      </c>
      <c r="AD59" s="941">
        <v>7.0</v>
      </c>
      <c r="AE59" s="941">
        <v>4.0</v>
      </c>
      <c r="AF59" s="941">
        <v>2.0</v>
      </c>
      <c r="AG59" s="941">
        <v>1649.0</v>
      </c>
      <c r="AH59" s="941">
        <v>2213.0</v>
      </c>
      <c r="AI59" s="941">
        <v>10.0</v>
      </c>
      <c r="AJ59" s="941">
        <v>42.0</v>
      </c>
      <c r="AK59" s="941">
        <v>0.0</v>
      </c>
      <c r="AL59" s="941">
        <v>0.0</v>
      </c>
      <c r="AM59" s="941">
        <v>0.0</v>
      </c>
      <c r="AN59" s="941">
        <v>0.0</v>
      </c>
      <c r="AO59" s="941">
        <v>0.0</v>
      </c>
      <c r="AP59" s="941">
        <v>0.0</v>
      </c>
      <c r="AQ59" s="941">
        <v>0.0</v>
      </c>
      <c r="AR59" s="941">
        <v>20.0</v>
      </c>
      <c r="AS59" s="941">
        <v>3.0</v>
      </c>
      <c r="AT59" s="941">
        <v>0.0</v>
      </c>
      <c r="AU59" s="941">
        <v>0.0</v>
      </c>
      <c r="AV59" s="941">
        <v>0.0</v>
      </c>
      <c r="AW59" s="941">
        <v>0.0</v>
      </c>
      <c r="AX59" s="941">
        <v>0.0</v>
      </c>
      <c r="AY59" s="941">
        <v>0.0</v>
      </c>
      <c r="AZ59" s="941">
        <v>0.0</v>
      </c>
      <c r="BA59" s="941">
        <v>0.0</v>
      </c>
      <c r="BB59" s="941">
        <v>8.0</v>
      </c>
      <c r="BC59" s="941">
        <v>0.0</v>
      </c>
      <c r="BD59" s="941">
        <v>20.0</v>
      </c>
      <c r="BE59" s="942">
        <v>13.0</v>
      </c>
      <c r="BF59" s="941">
        <v>0.0</v>
      </c>
      <c r="BG59" s="941">
        <v>1.0</v>
      </c>
    </row>
    <row r="60">
      <c r="A60" s="935" t="s">
        <v>152</v>
      </c>
      <c r="B60" s="16" t="str">
        <f>IF(C60&lt;'PlayerGrades+'!$Y$44,"F-",IF(C60&lt;'PlayerGrades+'!$Y$43,"F",IF(C60&lt;'PlayerGrades+'!$Y$42,"F+",IF(C60&lt;'PlayerGrades+'!$Y$41,"E-",IF(C60&lt;'PlayerGrades+'!$Y$40,"E",IF(C60&lt;'PlayerGrades+'!$Y$39,"E+",IF(C60&lt;'PlayerGrades+'!$Y$38,"D-",IF(C60&lt;'PlayerGrades+'!$Y$37,"D",IF(C60&lt;'PlayerGrades+'!$Y$36,"D+",IF(C60&lt;'PlayerGrades+'!$Y$35,"C-",IF(C60&lt;'PlayerGrades+'!$Y$34,"C",IF(C60&lt;'PlayerGrades+'!$Y$33,"C+",IF(C60&lt;'PlayerGrades+'!$Y$32,"B-",IF(C60&lt;'PlayerGrades+'!$Y$31,"B",IF(C60&lt;'PlayerGrades+'!$Y$30,"B+",IF(C60&lt;'PlayerGrades+'!$Y$29,"A-",IF(C60&lt;'PlayerGrades+'!$Y$28,"A",IF(C60&lt;'PlayerGrades+'!$Y$27,"A+",IF(C60&lt;'PlayerGrades+'!$Y$26,"S-",IF(C60&lt;'PlayerGrades+'!$Y$25,"S","S+"))))))))))))))))))))</f>
        <v>D</v>
      </c>
      <c r="C60" s="936">
        <f>('PlayerGrades+'!$Y$47*(VLOOKUP(E60, 'PlayerGrades+'!$X$3:$Y$23, 2, FALSE)))+('PlayerGrades+'!$Y$48*(VLOOKUP(G60, 'PlayerGrades+'!$X$3:$Y$23, 2, FALSE)))+('PlayerGrades+'!$Y$49*(VLOOKUP(I60, 'PlayerGrades+'!$X$3:$Y$23, 2, FALSE)))+('PlayerGrades+'!$Y$50*(VLOOKUP(K60, 'PlayerGrades+'!$X$3:$Y$23, 2, FALSE)))+('PlayerGrades+'!$Y$51*(VLOOKUP(M60, 'PlayerGrades+'!$X$3:$Y$23, 2, FALSE)))+('PlayerGrades+'!$Y$52*(VLOOKUP(O60, 'PlayerGrades+'!$X$3:$Y$23, 2, FALSE)))+('PlayerGrades+'!$Y$53*(VLOOKUP(Q60, 'PlayerGrades+'!$X$3:$Y$23, 2, FALSE)))+('PlayerGrades+'!$Y$54*(VLOOKUP(S60, 'PlayerGrades+'!$X$3:$Y$23, 2, FALSE)))+('PlayerGrades+'!$Y$55*(VLOOKUP(U60, 'PlayerGrades+'!$X$3:$Y$23, 2, FALSE)))</f>
        <v>16.2</v>
      </c>
      <c r="D60" s="937">
        <f t="shared" si="1"/>
        <v>0</v>
      </c>
      <c r="E60" s="937" t="str">
        <f>IF(D60&lt;'PlayerGrades+'!$AA$21,"F-",IF(D60&lt;'PlayerGrades+'!$AA$20,"F",IF(D60&lt;'PlayerGrades+'!$AA$19,"F+",IF(D60&lt;'PlayerGrades+'!$AA$18,"E-",IF(D60&lt;'PlayerGrades+'!$AA$17,"E",IF(D60&lt;'PlayerGrades+'!$AA$16,"E+",IF(D60&lt;'PlayerGrades+'!$AA$15,"D-",IF(D60&lt;'PlayerGrades+'!$AA$14,"D",IF(D60&lt;'PlayerGrades+'!$AA$13,"D+",IF(D60&lt;'PlayerGrades+'!$AA$12,"C-",IF(D60&lt;'PlayerGrades+'!$AA$11,"C",IF(D60&lt;'PlayerGrades+'!$AA$10,"C+",IF(D60&lt;'PlayerGrades+'!$AA$9,"B-",IF(D60&lt;'PlayerGrades+'!$AA$8,"B",IF(D60&lt;'PlayerGrades+'!$AA$7,"B+",IF(D60&lt;'PlayerGrades+'!$AA$6,"A-",IF(D60&lt;'PlayerGrades+'!$AA$5,"A",IF(D60&lt;'PlayerGrades+'!$AA$4,"A+",IF(D60&lt;'PlayerGrades+'!$AA$3,"S-",IF(D60&lt;'PlayerGrades+'!$AA$2,"S","S+"))))))))))))))))))))</f>
        <v>F-</v>
      </c>
      <c r="F60" s="937">
        <f t="shared" si="2"/>
        <v>-0.7320379575</v>
      </c>
      <c r="G60" s="937" t="str">
        <f>IF(F60&lt;'PlayerGrades+'!$AB$21,"F-",IF(F60&lt;'PlayerGrades+'!$AB$20,"F",IF(F60&lt;'PlayerGrades+'!$AB$19,"F+",IF(F60&lt;'PlayerGrades+'!$AB$18,"E-",IF(F60&lt;'PlayerGrades+'!$AB$17,"E",IF(F60&lt;'PlayerGrades+'!$AB$16,"E+",IF(F60&lt;'PlayerGrades+'!$AB$15,"D-",IF(F60&lt;'PlayerGrades+'!$AB$14,"D",IF(F60&lt;'PlayerGrades+'!$AB$13,"D+",IF(F60&lt;'PlayerGrades+'!$AB$12,"C-",IF(F60&lt;'PlayerGrades+'!$AB$11,"C",IF(F60&lt;'PlayerGrades+'!$AB$10,"C+",IF(F60&lt;'PlayerGrades+'!$AB$9,"B-",IF(F60&lt;'PlayerGrades+'!$AB$8,"B",IF(F60&lt;'PlayerGrades+'!$AB$7,"B+",IF(F60&lt;'PlayerGrades+'!$AB$6,"A-",IF(F60&lt;'PlayerGrades+'!$AB$5,"A",IF(F60&lt;'PlayerGrades+'!$AB$4,"A+",IF(F60&lt;'PlayerGrades+'!$AB$3,"S-",IF(F60&lt;'PlayerGrades+'!$AB$2,"S","S+"))))))))))))))))))))</f>
        <v>E+</v>
      </c>
      <c r="H60" s="937">
        <f t="shared" si="3"/>
        <v>0.08133755084</v>
      </c>
      <c r="I60" s="937" t="str">
        <f>IF(H60&lt;'PlayerGrades+'!$AC$21,"F-",IF(H60&lt;'PlayerGrades+'!$AC$20,"F",IF(H60&lt;'PlayerGrades+'!$AC$19,"F+",IF(H60&lt;'PlayerGrades+'!$AC$18,"E-",IF(H60&lt;'PlayerGrades+'!$AC$17,"E",IF(H60&lt;'PlayerGrades+'!$AC$16,"E+",IF(H60&lt;'PlayerGrades+'!$AC$15,"D-",IF(H60&lt;'PlayerGrades+'!$AC$14,"D",IF(H60&lt;'PlayerGrades+'!$AC$13,"D+",IF(H60&lt;'PlayerGrades+'!$AC$12,"C-",IF(H60&lt;'PlayerGrades+'!$AC$11,"C",IF(H60&lt;'PlayerGrades+'!$AC$10,"C+",IF(H60&lt;'PlayerGrades+'!$AC$9,"B-",IF(H60&lt;'PlayerGrades+'!$AC$8,"B",IF(H60&lt;'PlayerGrades+'!$AC$7,"B+",IF(H60&lt;'PlayerGrades+'!$AC$6,"A-",IF(H60&lt;'PlayerGrades+'!$AC$5,"A",IF(H60&lt;'PlayerGrades+'!$AC$4,"A+",IF(H60&lt;'PlayerGrades+'!$AC$3,"S-",IF(H60&lt;'PlayerGrades+'!$AC$2,"S","S+"))))))))))))))))))))</f>
        <v>D-</v>
      </c>
      <c r="J60" s="937">
        <f t="shared" si="4"/>
        <v>0</v>
      </c>
      <c r="K60" s="937" t="str">
        <f>IF(J60&lt;'PlayerGrades+'!$AD$21,"F-",IF(J60&lt;'PlayerGrades+'!$AD$20,"F",IF(J60&lt;'PlayerGrades+'!$AD$19,"F+",IF(J60&lt;'PlayerGrades+'!$AD$18,"E-",IF(J60&lt;'PlayerGrades+'!$AD$17,"E",IF(J60&lt;'PlayerGrades+'!$AD$16,"E+",IF(J60&lt;'PlayerGrades+'!$AD$15,"D-",IF(J60&lt;'PlayerGrades+'!$AD$14,"D",IF(J60&lt;'PlayerGrades+'!$AD$13,"D+",IF(J60&lt;'PlayerGrades+'!$AD$12,"C-",IF(J60&lt;'PlayerGrades+'!$AD$11,"C",IF(J60&lt;'PlayerGrades+'!$AD$10,"C+",IF(J60&lt;'PlayerGrades+'!$AD$9,"B-",IF(J60&lt;'PlayerGrades+'!$AD$8,"B",IF(J60&lt;'PlayerGrades+'!$AD$7,"B+",IF(J60&lt;'PlayerGrades+'!$AD$6,"A-",IF(J60&lt;'PlayerGrades+'!$AD$5,"A",IF(J60&lt;'PlayerGrades+'!$AD$4,"A+",IF(J60&lt;'PlayerGrades+'!$AD$3,"S-",IF(J60&lt;'PlayerGrades+'!$AD$2,"S","S+"))))))))))))))))))))</f>
        <v>F-</v>
      </c>
      <c r="L60" s="677">
        <f t="shared" si="5"/>
        <v>0.4338002711</v>
      </c>
      <c r="M60" s="938" t="str">
        <f>IF(L60&lt;'PlayerGrades+'!$AE$21,"F-",IF(L60&lt;'PlayerGrades+'!$AE$20,"F",IF(L60&lt;'PlayerGrades+'!$AE$19,"F+",IF(L60&lt;'PlayerGrades+'!$AE$18,"E-",IF(L60&lt;'PlayerGrades+'!$AE$17,"E",IF(L60&lt;'PlayerGrades+'!$AE$16,"E+",IF(L60&lt;'PlayerGrades+'!$AE$15,"D-",IF(L60&lt;'PlayerGrades+'!$AE$14,"D",IF(L60&lt;'PlayerGrades+'!$AE$13,"D+",IF(L60&lt;'PlayerGrades+'!$AE$12,"C-",IF(L60&lt;'PlayerGrades+'!$AE$11,"C",IF(L60&lt;'PlayerGrades+'!$AE$10,"C+",IF(L60&lt;'PlayerGrades+'!$AE$9,"B-",IF(L60&lt;'PlayerGrades+'!$AE$8,"B",IF(L60&lt;'PlayerGrades+'!$AE$7,"B+",IF(L60&lt;'PlayerGrades+'!$AE$6,"A-",IF(L60&lt;'PlayerGrades+'!$AE$5,"A",IF(L60&lt;'PlayerGrades+'!$AE$4,"A+",IF(L60&lt;'PlayerGrades+'!$AE$3,"S-",IF(L60&lt;'PlayerGrades+'!$AE$2,"S","S+"))))))))))))))))))))</f>
        <v>B-</v>
      </c>
      <c r="N60" s="937">
        <f t="shared" si="6"/>
        <v>0.05422503389</v>
      </c>
      <c r="O60" s="937" t="str">
        <f>IF(N60&lt;'PlayerGrades+'!$AF$21,"F-",IF(N60&lt;'PlayerGrades+'!$AF$20,"F",IF(N60&lt;'PlayerGrades+'!$AF$19,"F+",IF(N60&lt;'PlayerGrades+'!$AF$18,"E-",IF(N60&lt;'PlayerGrades+'!$AF$17,"E",IF(N60&lt;'PlayerGrades+'!$AF$16,"E+",IF(N60&lt;'PlayerGrades+'!$AF$15,"D-",IF(N60&lt;'PlayerGrades+'!$AF$14,"D",IF(N60&lt;'PlayerGrades+'!$AF$13,"D+",IF(N60&lt;'PlayerGrades+'!$AF$12,"C-",IF(N60&lt;'PlayerGrades+'!$AF$11,"C",IF(N60&lt;'PlayerGrades+'!$AF$10,"C+",IF(N60&lt;'PlayerGrades+'!$AF$9,"B-",IF(N60&lt;'PlayerGrades+'!$AF$8,"B",IF(N60&lt;'PlayerGrades+'!$AF$7,"B+",IF(N60&lt;'PlayerGrades+'!$AF$6,"A-",IF(N60&lt;'PlayerGrades+'!$AF$5,"A",IF(N60&lt;'PlayerGrades+'!$AF$4,"A+",IF(N60&lt;'PlayerGrades+'!$AF$3,"S-",IF(N60&lt;'PlayerGrades+'!$AF$2,"S","S+"))))))))))))))))))))</f>
        <v>D</v>
      </c>
      <c r="P60" s="937">
        <f t="shared" si="7"/>
        <v>0</v>
      </c>
      <c r="Q60" s="937" t="str">
        <f>IF(P60&lt;'PlayerGrades+'!$AG$21,"F-",IF(P60&lt;'PlayerGrades+'!$AG$20,"F",IF(P60&lt;'PlayerGrades+'!$AG$19,"F+",IF(P60&lt;'PlayerGrades+'!$AG$18,"E-",IF(P60&lt;'PlayerGrades+'!$AG$17,"E",IF(P60&lt;'PlayerGrades+'!$AG$16,"E+",IF(P60&lt;'PlayerGrades+'!$AG$15,"D-",IF(P60&lt;'PlayerGrades+'!$AG$14,"D",IF(P60&lt;'PlayerGrades+'!$AG$13,"D+",IF(P60&lt;'PlayerGrades+'!$AG$12,"C-",IF(P60&lt;'PlayerGrades+'!$AG$11,"C",IF(P60&lt;'PlayerGrades+'!$AG$10,"C+",IF(P60&lt;'PlayerGrades+'!$AG$9,"B-",IF(P60&lt;'PlayerGrades+'!$AG$8,"B",IF(P60&lt;'PlayerGrades+'!$AG$7,"B+",IF(P60&lt;'PlayerGrades+'!$AG$6,"A-",IF(P60&lt;'PlayerGrades+'!$AG$5,"A",IF(P60&lt;'PlayerGrades+'!$AG$4,"A+",IF(P60&lt;'PlayerGrades+'!$AG$3,"S-",IF(P60&lt;'PlayerGrades+'!$AG$2,"S","S+"))))))))))))))))))))</f>
        <v>F</v>
      </c>
      <c r="R60" s="937">
        <f t="shared" si="8"/>
        <v>0.5964753728</v>
      </c>
      <c r="S60" s="937" t="str">
        <f>IF(R60&lt;'PlayerGrades+'!$AH$21,"F-",IF(R60&lt;'PlayerGrades+'!$AH$20,"F",IF(R60&lt;'PlayerGrades+'!$AH$19,"F+",IF(R60&lt;'PlayerGrades+'!$AH$18,"E-",IF(R60&lt;'PlayerGrades+'!$AH$17,"E",IF(R60&lt;'PlayerGrades+'!$AH$16,"E+",IF(R60&lt;'PlayerGrades+'!$AH$15,"D-",IF(R60&lt;'PlayerGrades+'!$AH$14,"D",IF(R60&lt;'PlayerGrades+'!$AH$13,"D+",IF(R60&lt;'PlayerGrades+'!$AH$12,"C-",IF(R60&lt;'PlayerGrades+'!$AH$11,"C",IF(R60&lt;'PlayerGrades+'!$AH$10,"C+",IF(R60&lt;'PlayerGrades+'!$AH$9,"B-",IF(R60&lt;'PlayerGrades+'!$AH$8,"B",IF(R60&lt;'PlayerGrades+'!$AH$7,"B+",IF(R60&lt;'PlayerGrades+'!$AH$6,"A-",IF(R60&lt;'PlayerGrades+'!$AH$5,"A",IF(R60&lt;'PlayerGrades+'!$AH$4,"A+",IF(R60&lt;'PlayerGrades+'!$AH$3,"S-",IF(R60&lt;'PlayerGrades+'!$AH$2,"S","S+"))))))))))))))))))))</f>
        <v>A-</v>
      </c>
      <c r="T60" s="937">
        <f t="shared" si="9"/>
        <v>2.271125169</v>
      </c>
      <c r="U60" s="937" t="str">
        <f>IF(T60&lt;'PlayerGrades+'!$AI$21,"F-",IF(T60&lt;'PlayerGrades+'!$AI$20,"F",IF(T60&lt;'PlayerGrades+'!$AI$19,"F+",IF(T60&lt;'PlayerGrades+'!$AI$18,"E-",IF(T60&lt;'PlayerGrades+'!$AI$17,"E",IF(T60&lt;'PlayerGrades+'!$AI$16,"E+",IF(T60&lt;'PlayerGrades+'!$AI$15,"D-",IF(T60&lt;'PlayerGrades+'!$AI$14,"D",IF(T60&lt;'PlayerGrades+'!$AI$13,"D+",IF(T60&lt;'PlayerGrades+'!$AI$12,"C-",IF(T60&lt;'PlayerGrades+'!$AI$11,"C",IF(T60&lt;'PlayerGrades+'!$AI$10,"C+",IF(T60&lt;'PlayerGrades+'!$AI$9,"B-",IF(T60&lt;'PlayerGrades+'!$AI$8,"B",IF(T60&lt;'PlayerGrades+'!$AI$7,"B+",IF(T60&lt;'PlayerGrades+'!$AI$6,"A-",IF(T60&lt;'PlayerGrades+'!$AI$5,"A",IF(T60&lt;'PlayerGrades+'!$AI$4,"A+",IF(T60&lt;'PlayerGrades+'!$AI$3,"S-",IF(T60&lt;'PlayerGrades+'!$AI$2,"S","S+"))))))))))))))))))))</f>
        <v>S+</v>
      </c>
      <c r="V60" s="941">
        <v>1.0</v>
      </c>
      <c r="W60" s="941">
        <v>0.0</v>
      </c>
      <c r="X60" s="941">
        <v>1.0</v>
      </c>
      <c r="Y60" s="941">
        <v>0.0</v>
      </c>
      <c r="Z60" s="941">
        <v>0.0</v>
      </c>
      <c r="AA60" s="941">
        <v>124.0</v>
      </c>
      <c r="AB60" s="941">
        <v>151.0</v>
      </c>
      <c r="AC60" s="941">
        <v>-27.0</v>
      </c>
      <c r="AD60" s="941">
        <v>7.0</v>
      </c>
      <c r="AE60" s="941">
        <v>4.0</v>
      </c>
      <c r="AF60" s="941">
        <v>2.0</v>
      </c>
      <c r="AG60" s="941">
        <v>1642.0</v>
      </c>
      <c r="AH60" s="941">
        <v>2213.0</v>
      </c>
      <c r="AI60" s="941">
        <v>10.0</v>
      </c>
      <c r="AJ60" s="941">
        <v>12.0</v>
      </c>
      <c r="AK60" s="941">
        <v>0.0</v>
      </c>
      <c r="AL60" s="941">
        <v>0.0</v>
      </c>
      <c r="AM60" s="941">
        <v>0.0</v>
      </c>
      <c r="AN60" s="941">
        <v>0.0</v>
      </c>
      <c r="AO60" s="941">
        <v>0.0</v>
      </c>
      <c r="AP60" s="941">
        <v>0.0</v>
      </c>
      <c r="AQ60" s="941">
        <v>0.0</v>
      </c>
      <c r="AR60" s="941">
        <v>16.0</v>
      </c>
      <c r="AS60" s="941">
        <v>2.0</v>
      </c>
      <c r="AT60" s="941">
        <v>0.0</v>
      </c>
      <c r="AU60" s="941">
        <v>0.0</v>
      </c>
      <c r="AV60" s="941">
        <v>0.0</v>
      </c>
      <c r="AW60" s="941">
        <v>0.0</v>
      </c>
      <c r="AX60" s="941">
        <v>0.0</v>
      </c>
      <c r="AY60" s="941">
        <v>0.0</v>
      </c>
      <c r="AZ60" s="941">
        <v>0.0</v>
      </c>
      <c r="BA60" s="941">
        <v>0.0</v>
      </c>
      <c r="BB60" s="941">
        <v>3.0</v>
      </c>
      <c r="BC60" s="941">
        <v>0.0</v>
      </c>
      <c r="BD60" s="941">
        <v>15.0</v>
      </c>
      <c r="BE60" s="942">
        <v>10.0</v>
      </c>
      <c r="BF60" s="941">
        <v>2.0</v>
      </c>
      <c r="BG60" s="941">
        <v>1.0</v>
      </c>
    </row>
    <row r="61">
      <c r="A61" s="935" t="s">
        <v>119</v>
      </c>
      <c r="B61" s="16" t="str">
        <f>IF(C61&lt;'PlayerGrades+'!$Y$44,"F-",IF(C61&lt;'PlayerGrades+'!$Y$43,"F",IF(C61&lt;'PlayerGrades+'!$Y$42,"F+",IF(C61&lt;'PlayerGrades+'!$Y$41,"E-",IF(C61&lt;'PlayerGrades+'!$Y$40,"E",IF(C61&lt;'PlayerGrades+'!$Y$39,"E+",IF(C61&lt;'PlayerGrades+'!$Y$38,"D-",IF(C61&lt;'PlayerGrades+'!$Y$37,"D",IF(C61&lt;'PlayerGrades+'!$Y$36,"D+",IF(C61&lt;'PlayerGrades+'!$Y$35,"C-",IF(C61&lt;'PlayerGrades+'!$Y$34,"C",IF(C61&lt;'PlayerGrades+'!$Y$33,"C+",IF(C61&lt;'PlayerGrades+'!$Y$32,"B-",IF(C61&lt;'PlayerGrades+'!$Y$31,"B",IF(C61&lt;'PlayerGrades+'!$Y$30,"B+",IF(C61&lt;'PlayerGrades+'!$Y$29,"A-",IF(C61&lt;'PlayerGrades+'!$Y$28,"A",IF(C61&lt;'PlayerGrades+'!$Y$27,"A+",IF(C61&lt;'PlayerGrades+'!$Y$26,"S-",IF(C61&lt;'PlayerGrades+'!$Y$25,"S","S+"))))))))))))))))))))</f>
        <v>D</v>
      </c>
      <c r="C61" s="936">
        <f>('PlayerGrades+'!$Y$47*(VLOOKUP(E61, 'PlayerGrades+'!$X$3:$Y$23, 2, FALSE)))+('PlayerGrades+'!$Y$48*(VLOOKUP(G61, 'PlayerGrades+'!$X$3:$Y$23, 2, FALSE)))+('PlayerGrades+'!$Y$49*(VLOOKUP(I61, 'PlayerGrades+'!$X$3:$Y$23, 2, FALSE)))+('PlayerGrades+'!$Y$50*(VLOOKUP(K61, 'PlayerGrades+'!$X$3:$Y$23, 2, FALSE)))+('PlayerGrades+'!$Y$51*(VLOOKUP(M61, 'PlayerGrades+'!$X$3:$Y$23, 2, FALSE)))+('PlayerGrades+'!$Y$52*(VLOOKUP(O61, 'PlayerGrades+'!$X$3:$Y$23, 2, FALSE)))+('PlayerGrades+'!$Y$53*(VLOOKUP(Q61, 'PlayerGrades+'!$X$3:$Y$23, 2, FALSE)))+('PlayerGrades+'!$Y$54*(VLOOKUP(S61, 'PlayerGrades+'!$X$3:$Y$23, 2, FALSE)))+('PlayerGrades+'!$Y$55*(VLOOKUP(U61, 'PlayerGrades+'!$X$3:$Y$23, 2, FALSE)))</f>
        <v>16.75</v>
      </c>
      <c r="D61" s="937">
        <f t="shared" si="1"/>
        <v>0.7591504745</v>
      </c>
      <c r="E61" s="937" t="str">
        <f>IF(D61&lt;'PlayerGrades+'!$AA$21,"F-",IF(D61&lt;'PlayerGrades+'!$AA$20,"F",IF(D61&lt;'PlayerGrades+'!$AA$19,"F+",IF(D61&lt;'PlayerGrades+'!$AA$18,"E-",IF(D61&lt;'PlayerGrades+'!$AA$17,"E",IF(D61&lt;'PlayerGrades+'!$AA$16,"E+",IF(D61&lt;'PlayerGrades+'!$AA$15,"D-",IF(D61&lt;'PlayerGrades+'!$AA$14,"D",IF(D61&lt;'PlayerGrades+'!$AA$13,"D+",IF(D61&lt;'PlayerGrades+'!$AA$12,"C-",IF(D61&lt;'PlayerGrades+'!$AA$11,"C",IF(D61&lt;'PlayerGrades+'!$AA$10,"C+",IF(D61&lt;'PlayerGrades+'!$AA$9,"B-",IF(D61&lt;'PlayerGrades+'!$AA$8,"B",IF(D61&lt;'PlayerGrades+'!$AA$7,"B+",IF(D61&lt;'PlayerGrades+'!$AA$6,"A-",IF(D61&lt;'PlayerGrades+'!$AA$5,"A",IF(D61&lt;'PlayerGrades+'!$AA$4,"A+",IF(D61&lt;'PlayerGrades+'!$AA$3,"S-",IF(D61&lt;'PlayerGrades+'!$AA$2,"S","S+"))))))))))))))))))))</f>
        <v>S</v>
      </c>
      <c r="F61" s="937">
        <f t="shared" si="2"/>
        <v>0.2440126525</v>
      </c>
      <c r="G61" s="937" t="str">
        <f>IF(F61&lt;'PlayerGrades+'!$AB$21,"F-",IF(F61&lt;'PlayerGrades+'!$AB$20,"F",IF(F61&lt;'PlayerGrades+'!$AB$19,"F+",IF(F61&lt;'PlayerGrades+'!$AB$18,"E-",IF(F61&lt;'PlayerGrades+'!$AB$17,"E",IF(F61&lt;'PlayerGrades+'!$AB$16,"E+",IF(F61&lt;'PlayerGrades+'!$AB$15,"D-",IF(F61&lt;'PlayerGrades+'!$AB$14,"D",IF(F61&lt;'PlayerGrades+'!$AB$13,"D+",IF(F61&lt;'PlayerGrades+'!$AB$12,"C-",IF(F61&lt;'PlayerGrades+'!$AB$11,"C",IF(F61&lt;'PlayerGrades+'!$AB$10,"C+",IF(F61&lt;'PlayerGrades+'!$AB$9,"B-",IF(F61&lt;'PlayerGrades+'!$AB$8,"B",IF(F61&lt;'PlayerGrades+'!$AB$7,"B+",IF(F61&lt;'PlayerGrades+'!$AB$6,"A-",IF(F61&lt;'PlayerGrades+'!$AB$5,"A",IF(F61&lt;'PlayerGrades+'!$AB$4,"A+",IF(F61&lt;'PlayerGrades+'!$AB$3,"S-",IF(F61&lt;'PlayerGrades+'!$AB$2,"S","S+"))))))))))))))))))))</f>
        <v>B+</v>
      </c>
      <c r="H61" s="937">
        <f t="shared" si="3"/>
        <v>0</v>
      </c>
      <c r="I61" s="937" t="str">
        <f>IF(H61&lt;'PlayerGrades+'!$AC$21,"F-",IF(H61&lt;'PlayerGrades+'!$AC$20,"F",IF(H61&lt;'PlayerGrades+'!$AC$19,"F+",IF(H61&lt;'PlayerGrades+'!$AC$18,"E-",IF(H61&lt;'PlayerGrades+'!$AC$17,"E",IF(H61&lt;'PlayerGrades+'!$AC$16,"E+",IF(H61&lt;'PlayerGrades+'!$AC$15,"D-",IF(H61&lt;'PlayerGrades+'!$AC$14,"D",IF(H61&lt;'PlayerGrades+'!$AC$13,"D+",IF(H61&lt;'PlayerGrades+'!$AC$12,"C-",IF(H61&lt;'PlayerGrades+'!$AC$11,"C",IF(H61&lt;'PlayerGrades+'!$AC$10,"C+",IF(H61&lt;'PlayerGrades+'!$AC$9,"B-",IF(H61&lt;'PlayerGrades+'!$AC$8,"B",IF(H61&lt;'PlayerGrades+'!$AC$7,"B+",IF(H61&lt;'PlayerGrades+'!$AC$6,"A-",IF(H61&lt;'PlayerGrades+'!$AC$5,"A",IF(H61&lt;'PlayerGrades+'!$AC$4,"A+",IF(H61&lt;'PlayerGrades+'!$AC$3,"S-",IF(H61&lt;'PlayerGrades+'!$AC$2,"S","S+"))))))))))))))))))))</f>
        <v>F-</v>
      </c>
      <c r="J61" s="937">
        <f t="shared" si="4"/>
        <v>0.08133755084</v>
      </c>
      <c r="K61" s="937" t="str">
        <f>IF(J61&lt;'PlayerGrades+'!$AD$21,"F-",IF(J61&lt;'PlayerGrades+'!$AD$20,"F",IF(J61&lt;'PlayerGrades+'!$AD$19,"F+",IF(J61&lt;'PlayerGrades+'!$AD$18,"E-",IF(J61&lt;'PlayerGrades+'!$AD$17,"E",IF(J61&lt;'PlayerGrades+'!$AD$16,"E+",IF(J61&lt;'PlayerGrades+'!$AD$15,"D-",IF(J61&lt;'PlayerGrades+'!$AD$14,"D",IF(J61&lt;'PlayerGrades+'!$AD$13,"D+",IF(J61&lt;'PlayerGrades+'!$AD$12,"C-",IF(J61&lt;'PlayerGrades+'!$AD$11,"C",IF(J61&lt;'PlayerGrades+'!$AD$10,"C+",IF(J61&lt;'PlayerGrades+'!$AD$9,"B-",IF(J61&lt;'PlayerGrades+'!$AD$8,"B",IF(J61&lt;'PlayerGrades+'!$AD$7,"B+",IF(J61&lt;'PlayerGrades+'!$AD$6,"A-",IF(J61&lt;'PlayerGrades+'!$AD$5,"A",IF(J61&lt;'PlayerGrades+'!$AD$4,"A+",IF(J61&lt;'PlayerGrades+'!$AD$3,"S-",IF(J61&lt;'PlayerGrades+'!$AD$2,"S","S+"))))))))))))))))))))</f>
        <v>A+</v>
      </c>
      <c r="L61" s="677">
        <f t="shared" si="5"/>
        <v>0.2169001356</v>
      </c>
      <c r="M61" s="938" t="str">
        <f>IF(L61&lt;'PlayerGrades+'!$AE$21,"F-",IF(L61&lt;'PlayerGrades+'!$AE$20,"F",IF(L61&lt;'PlayerGrades+'!$AE$19,"F+",IF(L61&lt;'PlayerGrades+'!$AE$18,"E-",IF(L61&lt;'PlayerGrades+'!$AE$17,"E",IF(L61&lt;'PlayerGrades+'!$AE$16,"E+",IF(L61&lt;'PlayerGrades+'!$AE$15,"D-",IF(L61&lt;'PlayerGrades+'!$AE$14,"D",IF(L61&lt;'PlayerGrades+'!$AE$13,"D+",IF(L61&lt;'PlayerGrades+'!$AE$12,"C-",IF(L61&lt;'PlayerGrades+'!$AE$11,"C",IF(L61&lt;'PlayerGrades+'!$AE$10,"C+",IF(L61&lt;'PlayerGrades+'!$AE$9,"B-",IF(L61&lt;'PlayerGrades+'!$AE$8,"B",IF(L61&lt;'PlayerGrades+'!$AE$7,"B+",IF(L61&lt;'PlayerGrades+'!$AE$6,"A-",IF(L61&lt;'PlayerGrades+'!$AE$5,"A",IF(L61&lt;'PlayerGrades+'!$AE$4,"A+",IF(L61&lt;'PlayerGrades+'!$AE$3,"S-",IF(L61&lt;'PlayerGrades+'!$AE$2,"S","S+"))))))))))))))))))))</f>
        <v>F</v>
      </c>
      <c r="N61" s="937">
        <f t="shared" si="6"/>
        <v>0.02711251695</v>
      </c>
      <c r="O61" s="937" t="str">
        <f>IF(N61&lt;'PlayerGrades+'!$AF$21,"F-",IF(N61&lt;'PlayerGrades+'!$AF$20,"F",IF(N61&lt;'PlayerGrades+'!$AF$19,"F+",IF(N61&lt;'PlayerGrades+'!$AF$18,"E-",IF(N61&lt;'PlayerGrades+'!$AF$17,"E",IF(N61&lt;'PlayerGrades+'!$AF$16,"E+",IF(N61&lt;'PlayerGrades+'!$AF$15,"D-",IF(N61&lt;'PlayerGrades+'!$AF$14,"D",IF(N61&lt;'PlayerGrades+'!$AF$13,"D+",IF(N61&lt;'PlayerGrades+'!$AF$12,"C-",IF(N61&lt;'PlayerGrades+'!$AF$11,"C",IF(N61&lt;'PlayerGrades+'!$AF$10,"C+",IF(N61&lt;'PlayerGrades+'!$AF$9,"B-",IF(N61&lt;'PlayerGrades+'!$AF$8,"B",IF(N61&lt;'PlayerGrades+'!$AF$7,"B+",IF(N61&lt;'PlayerGrades+'!$AF$6,"A-",IF(N61&lt;'PlayerGrades+'!$AF$5,"A",IF(N61&lt;'PlayerGrades+'!$AF$4,"A+",IF(N61&lt;'PlayerGrades+'!$AF$3,"S-",IF(N61&lt;'PlayerGrades+'!$AF$2,"S","S+"))))))))))))))))))))</f>
        <v>F</v>
      </c>
      <c r="P61" s="937">
        <f t="shared" si="7"/>
        <v>0</v>
      </c>
      <c r="Q61" s="937" t="str">
        <f>IF(P61&lt;'PlayerGrades+'!$AG$21,"F-",IF(P61&lt;'PlayerGrades+'!$AG$20,"F",IF(P61&lt;'PlayerGrades+'!$AG$19,"F+",IF(P61&lt;'PlayerGrades+'!$AG$18,"E-",IF(P61&lt;'PlayerGrades+'!$AG$17,"E",IF(P61&lt;'PlayerGrades+'!$AG$16,"E+",IF(P61&lt;'PlayerGrades+'!$AG$15,"D-",IF(P61&lt;'PlayerGrades+'!$AG$14,"D",IF(P61&lt;'PlayerGrades+'!$AG$13,"D+",IF(P61&lt;'PlayerGrades+'!$AG$12,"C-",IF(P61&lt;'PlayerGrades+'!$AG$11,"C",IF(P61&lt;'PlayerGrades+'!$AG$10,"C+",IF(P61&lt;'PlayerGrades+'!$AG$9,"B-",IF(P61&lt;'PlayerGrades+'!$AG$8,"B",IF(P61&lt;'PlayerGrades+'!$AG$7,"B+",IF(P61&lt;'PlayerGrades+'!$AG$6,"A-",IF(P61&lt;'PlayerGrades+'!$AG$5,"A",IF(P61&lt;'PlayerGrades+'!$AG$4,"A+",IF(P61&lt;'PlayerGrades+'!$AG$3,"S-",IF(P61&lt;'PlayerGrades+'!$AG$2,"S","S+"))))))))))))))))))))</f>
        <v>F</v>
      </c>
      <c r="R61" s="937">
        <f t="shared" si="8"/>
        <v>0.5422503389</v>
      </c>
      <c r="S61" s="937" t="str">
        <f>IF(R61&lt;'PlayerGrades+'!$AH$21,"F-",IF(R61&lt;'PlayerGrades+'!$AH$20,"F",IF(R61&lt;'PlayerGrades+'!$AH$19,"F+",IF(R61&lt;'PlayerGrades+'!$AH$18,"E-",IF(R61&lt;'PlayerGrades+'!$AH$17,"E",IF(R61&lt;'PlayerGrades+'!$AH$16,"E+",IF(R61&lt;'PlayerGrades+'!$AH$15,"D-",IF(R61&lt;'PlayerGrades+'!$AH$14,"D",IF(R61&lt;'PlayerGrades+'!$AH$13,"D+",IF(R61&lt;'PlayerGrades+'!$AH$12,"C-",IF(R61&lt;'PlayerGrades+'!$AH$11,"C",IF(R61&lt;'PlayerGrades+'!$AH$10,"C+",IF(R61&lt;'PlayerGrades+'!$AH$9,"B-",IF(R61&lt;'PlayerGrades+'!$AH$8,"B",IF(R61&lt;'PlayerGrades+'!$AH$7,"B+",IF(R61&lt;'PlayerGrades+'!$AH$6,"A-",IF(R61&lt;'PlayerGrades+'!$AH$5,"A",IF(R61&lt;'PlayerGrades+'!$AH$4,"A+",IF(R61&lt;'PlayerGrades+'!$AH$3,"S-",IF(R61&lt;'PlayerGrades+'!$AH$2,"S","S+"))))))))))))))))))))</f>
        <v>C+</v>
      </c>
      <c r="T61" s="937">
        <f t="shared" si="9"/>
        <v>1.271125169</v>
      </c>
      <c r="U61" s="937" t="str">
        <f>IF(T61&lt;'PlayerGrades+'!$AI$21,"F-",IF(T61&lt;'PlayerGrades+'!$AI$20,"F",IF(T61&lt;'PlayerGrades+'!$AI$19,"F+",IF(T61&lt;'PlayerGrades+'!$AI$18,"E-",IF(T61&lt;'PlayerGrades+'!$AI$17,"E",IF(T61&lt;'PlayerGrades+'!$AI$16,"E+",IF(T61&lt;'PlayerGrades+'!$AI$15,"D-",IF(T61&lt;'PlayerGrades+'!$AI$14,"D",IF(T61&lt;'PlayerGrades+'!$AI$13,"D+",IF(T61&lt;'PlayerGrades+'!$AI$12,"C-",IF(T61&lt;'PlayerGrades+'!$AI$11,"C",IF(T61&lt;'PlayerGrades+'!$AI$10,"C+",IF(T61&lt;'PlayerGrades+'!$AI$9,"B-",IF(T61&lt;'PlayerGrades+'!$AI$8,"B",IF(T61&lt;'PlayerGrades+'!$AI$7,"B+",IF(T61&lt;'PlayerGrades+'!$AI$6,"A-",IF(T61&lt;'PlayerGrades+'!$AI$5,"A",IF(T61&lt;'PlayerGrades+'!$AI$4,"A+",IF(T61&lt;'PlayerGrades+'!$AI$3,"S-",IF(T61&lt;'PlayerGrades+'!$AI$2,"S","S+"))))))))))))))))))))</f>
        <v>C</v>
      </c>
      <c r="V61" s="941">
        <v>1.0</v>
      </c>
      <c r="W61" s="941">
        <v>0.0</v>
      </c>
      <c r="X61" s="941">
        <v>1.0</v>
      </c>
      <c r="Y61" s="941">
        <v>4.0</v>
      </c>
      <c r="Z61" s="941">
        <v>24.0</v>
      </c>
      <c r="AA61" s="941">
        <v>88.0</v>
      </c>
      <c r="AB61" s="941">
        <v>79.0</v>
      </c>
      <c r="AC61" s="941">
        <v>9.0</v>
      </c>
      <c r="AD61" s="941">
        <v>7.0</v>
      </c>
      <c r="AE61" s="941">
        <v>10.0</v>
      </c>
      <c r="AF61" s="941">
        <v>5.0</v>
      </c>
      <c r="AG61" s="941">
        <v>1857.0</v>
      </c>
      <c r="AH61" s="941">
        <v>2213.0</v>
      </c>
      <c r="AI61" s="941">
        <v>23.0</v>
      </c>
      <c r="AJ61" s="941">
        <v>1013.0</v>
      </c>
      <c r="AK61" s="941">
        <v>0.0</v>
      </c>
      <c r="AL61" s="941">
        <v>3.0</v>
      </c>
      <c r="AM61" s="941">
        <v>1.0</v>
      </c>
      <c r="AN61" s="941">
        <v>0.0</v>
      </c>
      <c r="AO61" s="941">
        <v>0.0</v>
      </c>
      <c r="AP61" s="941">
        <v>0.0</v>
      </c>
      <c r="AQ61" s="941">
        <v>0.0</v>
      </c>
      <c r="AR61" s="941">
        <v>8.0</v>
      </c>
      <c r="AS61" s="941">
        <v>1.0</v>
      </c>
      <c r="AT61" s="941">
        <v>1.0</v>
      </c>
      <c r="AU61" s="941">
        <v>0.0</v>
      </c>
      <c r="AV61" s="941">
        <v>0.0</v>
      </c>
      <c r="AW61" s="941">
        <v>0.0</v>
      </c>
      <c r="AX61" s="941">
        <v>0.0</v>
      </c>
      <c r="AY61" s="941">
        <v>0.0</v>
      </c>
      <c r="AZ61" s="941">
        <v>0.0</v>
      </c>
      <c r="BA61" s="941">
        <v>0.0</v>
      </c>
      <c r="BB61" s="941">
        <v>0.0</v>
      </c>
      <c r="BC61" s="941">
        <v>0.0</v>
      </c>
      <c r="BD61" s="941">
        <v>13.0</v>
      </c>
      <c r="BE61" s="942">
        <v>10.0</v>
      </c>
      <c r="BF61" s="941">
        <v>1.0</v>
      </c>
      <c r="BG61" s="941">
        <v>1.0</v>
      </c>
    </row>
    <row r="62">
      <c r="A62" s="935" t="s">
        <v>128</v>
      </c>
      <c r="B62" s="16" t="str">
        <f>IF(C62&lt;'PlayerGrades+'!$Y$44,"F-",IF(C62&lt;'PlayerGrades+'!$Y$43,"F",IF(C62&lt;'PlayerGrades+'!$Y$42,"F+",IF(C62&lt;'PlayerGrades+'!$Y$41,"E-",IF(C62&lt;'PlayerGrades+'!$Y$40,"E",IF(C62&lt;'PlayerGrades+'!$Y$39,"E+",IF(C62&lt;'PlayerGrades+'!$Y$38,"D-",IF(C62&lt;'PlayerGrades+'!$Y$37,"D",IF(C62&lt;'PlayerGrades+'!$Y$36,"D+",IF(C62&lt;'PlayerGrades+'!$Y$35,"C-",IF(C62&lt;'PlayerGrades+'!$Y$34,"C",IF(C62&lt;'PlayerGrades+'!$Y$33,"C+",IF(C62&lt;'PlayerGrades+'!$Y$32,"B-",IF(C62&lt;'PlayerGrades+'!$Y$31,"B",IF(C62&lt;'PlayerGrades+'!$Y$30,"B+",IF(C62&lt;'PlayerGrades+'!$Y$29,"A-",IF(C62&lt;'PlayerGrades+'!$Y$28,"A",IF(C62&lt;'PlayerGrades+'!$Y$27,"A+",IF(C62&lt;'PlayerGrades+'!$Y$26,"S-",IF(C62&lt;'PlayerGrades+'!$Y$25,"S","S+"))))))))))))))))))))</f>
        <v>A</v>
      </c>
      <c r="C62" s="936">
        <f>('PlayerGrades+'!$Y$47*(VLOOKUP(E62, 'PlayerGrades+'!$X$3:$Y$23, 2, FALSE)))+('PlayerGrades+'!$Y$48*(VLOOKUP(G62, 'PlayerGrades+'!$X$3:$Y$23, 2, FALSE)))+('PlayerGrades+'!$Y$49*(VLOOKUP(I62, 'PlayerGrades+'!$X$3:$Y$23, 2, FALSE)))+('PlayerGrades+'!$Y$50*(VLOOKUP(K62, 'PlayerGrades+'!$X$3:$Y$23, 2, FALSE)))+('PlayerGrades+'!$Y$51*(VLOOKUP(M62, 'PlayerGrades+'!$X$3:$Y$23, 2, FALSE)))+('PlayerGrades+'!$Y$52*(VLOOKUP(O62, 'PlayerGrades+'!$X$3:$Y$23, 2, FALSE)))+('PlayerGrades+'!$Y$53*(VLOOKUP(Q62, 'PlayerGrades+'!$X$3:$Y$23, 2, FALSE)))+('PlayerGrades+'!$Y$54*(VLOOKUP(S62, 'PlayerGrades+'!$X$3:$Y$23, 2, FALSE)))+('PlayerGrades+'!$Y$55*(VLOOKUP(U62, 'PlayerGrades+'!$X$3:$Y$23, 2, FALSE)))</f>
        <v>26.85</v>
      </c>
      <c r="D62" s="937">
        <f t="shared" si="1"/>
        <v>0.1084500678</v>
      </c>
      <c r="E62" s="937" t="str">
        <f>IF(D62&lt;'PlayerGrades+'!$AA$21,"F-",IF(D62&lt;'PlayerGrades+'!$AA$20,"F",IF(D62&lt;'PlayerGrades+'!$AA$19,"F+",IF(D62&lt;'PlayerGrades+'!$AA$18,"E-",IF(D62&lt;'PlayerGrades+'!$AA$17,"E",IF(D62&lt;'PlayerGrades+'!$AA$16,"E+",IF(D62&lt;'PlayerGrades+'!$AA$15,"D-",IF(D62&lt;'PlayerGrades+'!$AA$14,"D",IF(D62&lt;'PlayerGrades+'!$AA$13,"D+",IF(D62&lt;'PlayerGrades+'!$AA$12,"C-",IF(D62&lt;'PlayerGrades+'!$AA$11,"C",IF(D62&lt;'PlayerGrades+'!$AA$10,"C+",IF(D62&lt;'PlayerGrades+'!$AA$9,"B-",IF(D62&lt;'PlayerGrades+'!$AA$8,"B",IF(D62&lt;'PlayerGrades+'!$AA$7,"B+",IF(D62&lt;'PlayerGrades+'!$AA$6,"A-",IF(D62&lt;'PlayerGrades+'!$AA$5,"A",IF(D62&lt;'PlayerGrades+'!$AA$4,"A+",IF(D62&lt;'PlayerGrades+'!$AA$3,"S-",IF(D62&lt;'PlayerGrades+'!$AA$2,"S","S+"))))))))))))))))))))</f>
        <v>B</v>
      </c>
      <c r="F62" s="937">
        <f t="shared" si="2"/>
        <v>0.6778129236</v>
      </c>
      <c r="G62" s="937" t="str">
        <f>IF(F62&lt;'PlayerGrades+'!$AB$21,"F-",IF(F62&lt;'PlayerGrades+'!$AB$20,"F",IF(F62&lt;'PlayerGrades+'!$AB$19,"F+",IF(F62&lt;'PlayerGrades+'!$AB$18,"E-",IF(F62&lt;'PlayerGrades+'!$AB$17,"E",IF(F62&lt;'PlayerGrades+'!$AB$16,"E+",IF(F62&lt;'PlayerGrades+'!$AB$15,"D-",IF(F62&lt;'PlayerGrades+'!$AB$14,"D",IF(F62&lt;'PlayerGrades+'!$AB$13,"D+",IF(F62&lt;'PlayerGrades+'!$AB$12,"C-",IF(F62&lt;'PlayerGrades+'!$AB$11,"C",IF(F62&lt;'PlayerGrades+'!$AB$10,"C+",IF(F62&lt;'PlayerGrades+'!$AB$9,"B-",IF(F62&lt;'PlayerGrades+'!$AB$8,"B",IF(F62&lt;'PlayerGrades+'!$AB$7,"B+",IF(F62&lt;'PlayerGrades+'!$AB$6,"A-",IF(F62&lt;'PlayerGrades+'!$AB$5,"A",IF(F62&lt;'PlayerGrades+'!$AB$4,"A+",IF(F62&lt;'PlayerGrades+'!$AB$3,"S-",IF(F62&lt;'PlayerGrades+'!$AB$2,"S","S+"))))))))))))))))))))</f>
        <v>S-</v>
      </c>
      <c r="H62" s="937">
        <f t="shared" si="3"/>
        <v>0.1084500678</v>
      </c>
      <c r="I62" s="937" t="str">
        <f>IF(H62&lt;'PlayerGrades+'!$AC$21,"F-",IF(H62&lt;'PlayerGrades+'!$AC$20,"F",IF(H62&lt;'PlayerGrades+'!$AC$19,"F+",IF(H62&lt;'PlayerGrades+'!$AC$18,"E-",IF(H62&lt;'PlayerGrades+'!$AC$17,"E",IF(H62&lt;'PlayerGrades+'!$AC$16,"E+",IF(H62&lt;'PlayerGrades+'!$AC$15,"D-",IF(H62&lt;'PlayerGrades+'!$AC$14,"D",IF(H62&lt;'PlayerGrades+'!$AC$13,"D+",IF(H62&lt;'PlayerGrades+'!$AC$12,"C-",IF(H62&lt;'PlayerGrades+'!$AC$11,"C",IF(H62&lt;'PlayerGrades+'!$AC$10,"C+",IF(H62&lt;'PlayerGrades+'!$AC$9,"B-",IF(H62&lt;'PlayerGrades+'!$AC$8,"B",IF(H62&lt;'PlayerGrades+'!$AC$7,"B+",IF(H62&lt;'PlayerGrades+'!$AC$6,"A-",IF(H62&lt;'PlayerGrades+'!$AC$5,"A",IF(H62&lt;'PlayerGrades+'!$AC$4,"A+",IF(H62&lt;'PlayerGrades+'!$AC$3,"S-",IF(H62&lt;'PlayerGrades+'!$AC$2,"S","S+"))))))))))))))))))))</f>
        <v>C-</v>
      </c>
      <c r="J62" s="937">
        <f t="shared" si="4"/>
        <v>0.05422503389</v>
      </c>
      <c r="K62" s="937" t="str">
        <f>IF(J62&lt;'PlayerGrades+'!$AD$21,"F-",IF(J62&lt;'PlayerGrades+'!$AD$20,"F",IF(J62&lt;'PlayerGrades+'!$AD$19,"F+",IF(J62&lt;'PlayerGrades+'!$AD$18,"E-",IF(J62&lt;'PlayerGrades+'!$AD$17,"E",IF(J62&lt;'PlayerGrades+'!$AD$16,"E+",IF(J62&lt;'PlayerGrades+'!$AD$15,"D-",IF(J62&lt;'PlayerGrades+'!$AD$14,"D",IF(J62&lt;'PlayerGrades+'!$AD$13,"D+",IF(J62&lt;'PlayerGrades+'!$AD$12,"C-",IF(J62&lt;'PlayerGrades+'!$AD$11,"C",IF(J62&lt;'PlayerGrades+'!$AD$10,"C+",IF(J62&lt;'PlayerGrades+'!$AD$9,"B-",IF(J62&lt;'PlayerGrades+'!$AD$8,"B",IF(J62&lt;'PlayerGrades+'!$AD$7,"B+",IF(J62&lt;'PlayerGrades+'!$AD$6,"A-",IF(J62&lt;'PlayerGrades+'!$AD$5,"A",IF(J62&lt;'PlayerGrades+'!$AD$4,"A+",IF(J62&lt;'PlayerGrades+'!$AD$3,"S-",IF(J62&lt;'PlayerGrades+'!$AD$2,"S","S+"))))))))))))))))))))</f>
        <v>B+</v>
      </c>
      <c r="L62" s="677">
        <f t="shared" si="5"/>
        <v>0.6235878897</v>
      </c>
      <c r="M62" s="938" t="str">
        <f>IF(L62&lt;'PlayerGrades+'!$AE$21,"F-",IF(L62&lt;'PlayerGrades+'!$AE$20,"F",IF(L62&lt;'PlayerGrades+'!$AE$19,"F+",IF(L62&lt;'PlayerGrades+'!$AE$18,"E-",IF(L62&lt;'PlayerGrades+'!$AE$17,"E",IF(L62&lt;'PlayerGrades+'!$AE$16,"E+",IF(L62&lt;'PlayerGrades+'!$AE$15,"D-",IF(L62&lt;'PlayerGrades+'!$AE$14,"D",IF(L62&lt;'PlayerGrades+'!$AE$13,"D+",IF(L62&lt;'PlayerGrades+'!$AE$12,"C-",IF(L62&lt;'PlayerGrades+'!$AE$11,"C",IF(L62&lt;'PlayerGrades+'!$AE$10,"C+",IF(L62&lt;'PlayerGrades+'!$AE$9,"B-",IF(L62&lt;'PlayerGrades+'!$AE$8,"B",IF(L62&lt;'PlayerGrades+'!$AE$7,"B+",IF(L62&lt;'PlayerGrades+'!$AE$6,"A-",IF(L62&lt;'PlayerGrades+'!$AE$5,"A",IF(L62&lt;'PlayerGrades+'!$AE$4,"A+",IF(L62&lt;'PlayerGrades+'!$AE$3,"S-",IF(L62&lt;'PlayerGrades+'!$AE$2,"S","S+"))))))))))))))))))))</f>
        <v>S-</v>
      </c>
      <c r="N62" s="937">
        <f t="shared" si="6"/>
        <v>0.1897876186</v>
      </c>
      <c r="O62" s="937" t="str">
        <f>IF(N62&lt;'PlayerGrades+'!$AF$21,"F-",IF(N62&lt;'PlayerGrades+'!$AF$20,"F",IF(N62&lt;'PlayerGrades+'!$AF$19,"F+",IF(N62&lt;'PlayerGrades+'!$AF$18,"E-",IF(N62&lt;'PlayerGrades+'!$AF$17,"E",IF(N62&lt;'PlayerGrades+'!$AF$16,"E+",IF(N62&lt;'PlayerGrades+'!$AF$15,"D-",IF(N62&lt;'PlayerGrades+'!$AF$14,"D",IF(N62&lt;'PlayerGrades+'!$AF$13,"D+",IF(N62&lt;'PlayerGrades+'!$AF$12,"C-",IF(N62&lt;'PlayerGrades+'!$AF$11,"C",IF(N62&lt;'PlayerGrades+'!$AF$10,"C+",IF(N62&lt;'PlayerGrades+'!$AF$9,"B-",IF(N62&lt;'PlayerGrades+'!$AF$8,"B",IF(N62&lt;'PlayerGrades+'!$AF$7,"B+",IF(N62&lt;'PlayerGrades+'!$AF$6,"A-",IF(N62&lt;'PlayerGrades+'!$AF$5,"A",IF(N62&lt;'PlayerGrades+'!$AF$4,"A+",IF(N62&lt;'PlayerGrades+'!$AF$3,"S-",IF(N62&lt;'PlayerGrades+'!$AF$2,"S","S+"))))))))))))))))))))</f>
        <v>S+</v>
      </c>
      <c r="P62" s="937">
        <f t="shared" si="7"/>
        <v>0.05422503389</v>
      </c>
      <c r="Q62" s="937" t="str">
        <f>IF(P62&lt;'PlayerGrades+'!$AG$21,"F-",IF(P62&lt;'PlayerGrades+'!$AG$20,"F",IF(P62&lt;'PlayerGrades+'!$AG$19,"F+",IF(P62&lt;'PlayerGrades+'!$AG$18,"E-",IF(P62&lt;'PlayerGrades+'!$AG$17,"E",IF(P62&lt;'PlayerGrades+'!$AG$16,"E+",IF(P62&lt;'PlayerGrades+'!$AG$15,"D-",IF(P62&lt;'PlayerGrades+'!$AG$14,"D",IF(P62&lt;'PlayerGrades+'!$AG$13,"D+",IF(P62&lt;'PlayerGrades+'!$AG$12,"C-",IF(P62&lt;'PlayerGrades+'!$AG$11,"C",IF(P62&lt;'PlayerGrades+'!$AG$10,"C+",IF(P62&lt;'PlayerGrades+'!$AG$9,"B-",IF(P62&lt;'PlayerGrades+'!$AG$8,"B",IF(P62&lt;'PlayerGrades+'!$AG$7,"B+",IF(P62&lt;'PlayerGrades+'!$AG$6,"A-",IF(P62&lt;'PlayerGrades+'!$AG$5,"A",IF(P62&lt;'PlayerGrades+'!$AG$4,"A+",IF(P62&lt;'PlayerGrades+'!$AG$3,"S-",IF(P62&lt;'PlayerGrades+'!$AG$2,"S","S+"))))))))))))))))))))</f>
        <v>A</v>
      </c>
      <c r="R62" s="937">
        <f t="shared" si="8"/>
        <v>0.4338002711</v>
      </c>
      <c r="S62" s="937" t="str">
        <f>IF(R62&lt;'PlayerGrades+'!$AH$21,"F-",IF(R62&lt;'PlayerGrades+'!$AH$20,"F",IF(R62&lt;'PlayerGrades+'!$AH$19,"F+",IF(R62&lt;'PlayerGrades+'!$AH$18,"E-",IF(R62&lt;'PlayerGrades+'!$AH$17,"E",IF(R62&lt;'PlayerGrades+'!$AH$16,"E+",IF(R62&lt;'PlayerGrades+'!$AH$15,"D-",IF(R62&lt;'PlayerGrades+'!$AH$14,"D",IF(R62&lt;'PlayerGrades+'!$AH$13,"D+",IF(R62&lt;'PlayerGrades+'!$AH$12,"C-",IF(R62&lt;'PlayerGrades+'!$AH$11,"C",IF(R62&lt;'PlayerGrades+'!$AH$10,"C+",IF(R62&lt;'PlayerGrades+'!$AH$9,"B-",IF(R62&lt;'PlayerGrades+'!$AH$8,"B",IF(R62&lt;'PlayerGrades+'!$AH$7,"B+",IF(R62&lt;'PlayerGrades+'!$AH$6,"A-",IF(R62&lt;'PlayerGrades+'!$AH$5,"A",IF(R62&lt;'PlayerGrades+'!$AH$4,"A+",IF(R62&lt;'PlayerGrades+'!$AH$3,"S-",IF(R62&lt;'PlayerGrades+'!$AH$2,"S","S+"))))))))))))))))))))</f>
        <v>E-</v>
      </c>
      <c r="T62" s="937">
        <f t="shared" si="9"/>
        <v>1.325350203</v>
      </c>
      <c r="U62" s="937" t="str">
        <f>IF(T62&lt;'PlayerGrades+'!$AI$21,"F-",IF(T62&lt;'PlayerGrades+'!$AI$20,"F",IF(T62&lt;'PlayerGrades+'!$AI$19,"F+",IF(T62&lt;'PlayerGrades+'!$AI$18,"E-",IF(T62&lt;'PlayerGrades+'!$AI$17,"E",IF(T62&lt;'PlayerGrades+'!$AI$16,"E+",IF(T62&lt;'PlayerGrades+'!$AI$15,"D-",IF(T62&lt;'PlayerGrades+'!$AI$14,"D",IF(T62&lt;'PlayerGrades+'!$AI$13,"D+",IF(T62&lt;'PlayerGrades+'!$AI$12,"C-",IF(T62&lt;'PlayerGrades+'!$AI$11,"C",IF(T62&lt;'PlayerGrades+'!$AI$10,"C+",IF(T62&lt;'PlayerGrades+'!$AI$9,"B-",IF(T62&lt;'PlayerGrades+'!$AI$8,"B",IF(T62&lt;'PlayerGrades+'!$AI$7,"B+",IF(T62&lt;'PlayerGrades+'!$AI$6,"A-",IF(T62&lt;'PlayerGrades+'!$AI$5,"A",IF(T62&lt;'PlayerGrades+'!$AI$4,"A+",IF(T62&lt;'PlayerGrades+'!$AI$3,"S-",IF(T62&lt;'PlayerGrades+'!$AI$2,"S","S+"))))))))))))))))))))</f>
        <v>B-</v>
      </c>
      <c r="V62" s="941">
        <v>1.0</v>
      </c>
      <c r="W62" s="941">
        <v>1.0</v>
      </c>
      <c r="X62" s="941">
        <v>0.0</v>
      </c>
      <c r="Y62" s="941">
        <v>1.0</v>
      </c>
      <c r="Z62" s="941">
        <v>3.0</v>
      </c>
      <c r="AA62" s="941">
        <v>130.0</v>
      </c>
      <c r="AB62" s="941">
        <v>105.0</v>
      </c>
      <c r="AC62" s="941">
        <v>25.0</v>
      </c>
      <c r="AD62" s="941">
        <v>5.0</v>
      </c>
      <c r="AE62" s="941">
        <v>5.0</v>
      </c>
      <c r="AF62" s="941">
        <v>1.0</v>
      </c>
      <c r="AG62" s="941">
        <v>1776.0</v>
      </c>
      <c r="AH62" s="941">
        <v>2213.0</v>
      </c>
      <c r="AI62" s="941">
        <v>16.0</v>
      </c>
      <c r="AJ62" s="941">
        <v>273.0</v>
      </c>
      <c r="AK62" s="941">
        <v>0.0</v>
      </c>
      <c r="AL62" s="941">
        <v>2.0</v>
      </c>
      <c r="AM62" s="941">
        <v>0.0</v>
      </c>
      <c r="AN62" s="941">
        <v>0.0</v>
      </c>
      <c r="AO62" s="941">
        <v>0.0</v>
      </c>
      <c r="AP62" s="941">
        <v>2.0</v>
      </c>
      <c r="AQ62" s="941">
        <v>0.0</v>
      </c>
      <c r="AR62" s="941">
        <v>23.0</v>
      </c>
      <c r="AS62" s="941">
        <v>7.0</v>
      </c>
      <c r="AT62" s="941">
        <v>2.0</v>
      </c>
      <c r="AU62" s="941">
        <v>0.0</v>
      </c>
      <c r="AV62" s="941">
        <v>0.0</v>
      </c>
      <c r="AW62" s="941">
        <v>0.0</v>
      </c>
      <c r="AX62" s="941">
        <v>0.0</v>
      </c>
      <c r="AY62" s="941">
        <v>0.0</v>
      </c>
      <c r="AZ62" s="941">
        <v>0.0</v>
      </c>
      <c r="BA62" s="941">
        <v>0.0</v>
      </c>
      <c r="BB62" s="941">
        <v>4.0</v>
      </c>
      <c r="BC62" s="941">
        <v>0.0</v>
      </c>
      <c r="BD62" s="941">
        <v>11.0</v>
      </c>
      <c r="BE62" s="942">
        <v>12.0</v>
      </c>
      <c r="BF62" s="941">
        <v>1.0</v>
      </c>
      <c r="BG62" s="941">
        <v>0.0</v>
      </c>
    </row>
    <row r="63">
      <c r="A63" s="935" t="s">
        <v>150</v>
      </c>
      <c r="B63" s="16" t="str">
        <f>IF(C63&lt;'PlayerGrades+'!$Y$44,"F-",IF(C63&lt;'PlayerGrades+'!$Y$43,"F",IF(C63&lt;'PlayerGrades+'!$Y$42,"F+",IF(C63&lt;'PlayerGrades+'!$Y$41,"E-",IF(C63&lt;'PlayerGrades+'!$Y$40,"E",IF(C63&lt;'PlayerGrades+'!$Y$39,"E+",IF(C63&lt;'PlayerGrades+'!$Y$38,"D-",IF(C63&lt;'PlayerGrades+'!$Y$37,"D",IF(C63&lt;'PlayerGrades+'!$Y$36,"D+",IF(C63&lt;'PlayerGrades+'!$Y$35,"C-",IF(C63&lt;'PlayerGrades+'!$Y$34,"C",IF(C63&lt;'PlayerGrades+'!$Y$33,"C+",IF(C63&lt;'PlayerGrades+'!$Y$32,"B-",IF(C63&lt;'PlayerGrades+'!$Y$31,"B",IF(C63&lt;'PlayerGrades+'!$Y$30,"B+",IF(C63&lt;'PlayerGrades+'!$Y$29,"A-",IF(C63&lt;'PlayerGrades+'!$Y$28,"A",IF(C63&lt;'PlayerGrades+'!$Y$27,"A+",IF(C63&lt;'PlayerGrades+'!$Y$26,"S-",IF(C63&lt;'PlayerGrades+'!$Y$25,"S","S+"))))))))))))))))))))</f>
        <v>F-</v>
      </c>
      <c r="C63" s="936">
        <f>('PlayerGrades+'!$Y$47*(VLOOKUP(E63, 'PlayerGrades+'!$X$3:$Y$23, 2, FALSE)))+('PlayerGrades+'!$Y$48*(VLOOKUP(G63, 'PlayerGrades+'!$X$3:$Y$23, 2, FALSE)))+('PlayerGrades+'!$Y$49*(VLOOKUP(I63, 'PlayerGrades+'!$X$3:$Y$23, 2, FALSE)))+('PlayerGrades+'!$Y$50*(VLOOKUP(K63, 'PlayerGrades+'!$X$3:$Y$23, 2, FALSE)))+('PlayerGrades+'!$Y$51*(VLOOKUP(M63, 'PlayerGrades+'!$X$3:$Y$23, 2, FALSE)))+('PlayerGrades+'!$Y$52*(VLOOKUP(O63, 'PlayerGrades+'!$X$3:$Y$23, 2, FALSE)))+('PlayerGrades+'!$Y$53*(VLOOKUP(Q63, 'PlayerGrades+'!$X$3:$Y$23, 2, FALSE)))+('PlayerGrades+'!$Y$54*(VLOOKUP(S63, 'PlayerGrades+'!$X$3:$Y$23, 2, FALSE)))+('PlayerGrades+'!$Y$55*(VLOOKUP(U63, 'PlayerGrades+'!$X$3:$Y$23, 2, FALSE)))</f>
        <v>8.4</v>
      </c>
      <c r="D63" s="937">
        <f t="shared" si="1"/>
        <v>0.02711251695</v>
      </c>
      <c r="E63" s="937" t="str">
        <f>IF(D63&lt;'PlayerGrades+'!$AA$21,"F-",IF(D63&lt;'PlayerGrades+'!$AA$20,"F",IF(D63&lt;'PlayerGrades+'!$AA$19,"F+",IF(D63&lt;'PlayerGrades+'!$AA$18,"E-",IF(D63&lt;'PlayerGrades+'!$AA$17,"E",IF(D63&lt;'PlayerGrades+'!$AA$16,"E+",IF(D63&lt;'PlayerGrades+'!$AA$15,"D-",IF(D63&lt;'PlayerGrades+'!$AA$14,"D",IF(D63&lt;'PlayerGrades+'!$AA$13,"D+",IF(D63&lt;'PlayerGrades+'!$AA$12,"C-",IF(D63&lt;'PlayerGrades+'!$AA$11,"C",IF(D63&lt;'PlayerGrades+'!$AA$10,"C+",IF(D63&lt;'PlayerGrades+'!$AA$9,"B-",IF(D63&lt;'PlayerGrades+'!$AA$8,"B",IF(D63&lt;'PlayerGrades+'!$AA$7,"B+",IF(D63&lt;'PlayerGrades+'!$AA$6,"A-",IF(D63&lt;'PlayerGrades+'!$AA$5,"A",IF(D63&lt;'PlayerGrades+'!$AA$4,"A+",IF(D63&lt;'PlayerGrades+'!$AA$3,"S-",IF(D63&lt;'PlayerGrades+'!$AA$2,"S","S+"))))))))))))))))))))</f>
        <v>D-</v>
      </c>
      <c r="F63" s="937">
        <f t="shared" si="2"/>
        <v>-1.057388161</v>
      </c>
      <c r="G63" s="937" t="str">
        <f>IF(F63&lt;'PlayerGrades+'!$AB$21,"F-",IF(F63&lt;'PlayerGrades+'!$AB$20,"F",IF(F63&lt;'PlayerGrades+'!$AB$19,"F+",IF(F63&lt;'PlayerGrades+'!$AB$18,"E-",IF(F63&lt;'PlayerGrades+'!$AB$17,"E",IF(F63&lt;'PlayerGrades+'!$AB$16,"E+",IF(F63&lt;'PlayerGrades+'!$AB$15,"D-",IF(F63&lt;'PlayerGrades+'!$AB$14,"D",IF(F63&lt;'PlayerGrades+'!$AB$13,"D+",IF(F63&lt;'PlayerGrades+'!$AB$12,"C-",IF(F63&lt;'PlayerGrades+'!$AB$11,"C",IF(F63&lt;'PlayerGrades+'!$AB$10,"C+",IF(F63&lt;'PlayerGrades+'!$AB$9,"B-",IF(F63&lt;'PlayerGrades+'!$AB$8,"B",IF(F63&lt;'PlayerGrades+'!$AB$7,"B+",IF(F63&lt;'PlayerGrades+'!$AB$6,"A-",IF(F63&lt;'PlayerGrades+'!$AB$5,"A",IF(F63&lt;'PlayerGrades+'!$AB$4,"A+",IF(F63&lt;'PlayerGrades+'!$AB$3,"S-",IF(F63&lt;'PlayerGrades+'!$AB$2,"S","S+"))))))))))))))))))))</f>
        <v>F</v>
      </c>
      <c r="H63" s="937">
        <f t="shared" si="3"/>
        <v>0.08133755084</v>
      </c>
      <c r="I63" s="937" t="str">
        <f>IF(H63&lt;'PlayerGrades+'!$AC$21,"F-",IF(H63&lt;'PlayerGrades+'!$AC$20,"F",IF(H63&lt;'PlayerGrades+'!$AC$19,"F+",IF(H63&lt;'PlayerGrades+'!$AC$18,"E-",IF(H63&lt;'PlayerGrades+'!$AC$17,"E",IF(H63&lt;'PlayerGrades+'!$AC$16,"E+",IF(H63&lt;'PlayerGrades+'!$AC$15,"D-",IF(H63&lt;'PlayerGrades+'!$AC$14,"D",IF(H63&lt;'PlayerGrades+'!$AC$13,"D+",IF(H63&lt;'PlayerGrades+'!$AC$12,"C-",IF(H63&lt;'PlayerGrades+'!$AC$11,"C",IF(H63&lt;'PlayerGrades+'!$AC$10,"C+",IF(H63&lt;'PlayerGrades+'!$AC$9,"B-",IF(H63&lt;'PlayerGrades+'!$AC$8,"B",IF(H63&lt;'PlayerGrades+'!$AC$7,"B+",IF(H63&lt;'PlayerGrades+'!$AC$6,"A-",IF(H63&lt;'PlayerGrades+'!$AC$5,"A",IF(H63&lt;'PlayerGrades+'!$AC$4,"A+",IF(H63&lt;'PlayerGrades+'!$AC$3,"S-",IF(H63&lt;'PlayerGrades+'!$AC$2,"S","S+"))))))))))))))))))))</f>
        <v>D-</v>
      </c>
      <c r="J63" s="937">
        <f t="shared" si="4"/>
        <v>0</v>
      </c>
      <c r="K63" s="937" t="str">
        <f>IF(J63&lt;'PlayerGrades+'!$AD$21,"F-",IF(J63&lt;'PlayerGrades+'!$AD$20,"F",IF(J63&lt;'PlayerGrades+'!$AD$19,"F+",IF(J63&lt;'PlayerGrades+'!$AD$18,"E-",IF(J63&lt;'PlayerGrades+'!$AD$17,"E",IF(J63&lt;'PlayerGrades+'!$AD$16,"E+",IF(J63&lt;'PlayerGrades+'!$AD$15,"D-",IF(J63&lt;'PlayerGrades+'!$AD$14,"D",IF(J63&lt;'PlayerGrades+'!$AD$13,"D+",IF(J63&lt;'PlayerGrades+'!$AD$12,"C-",IF(J63&lt;'PlayerGrades+'!$AD$11,"C",IF(J63&lt;'PlayerGrades+'!$AD$10,"C+",IF(J63&lt;'PlayerGrades+'!$AD$9,"B-",IF(J63&lt;'PlayerGrades+'!$AD$8,"B",IF(J63&lt;'PlayerGrades+'!$AD$7,"B+",IF(J63&lt;'PlayerGrades+'!$AD$6,"A-",IF(J63&lt;'PlayerGrades+'!$AD$5,"A",IF(J63&lt;'PlayerGrades+'!$AD$4,"A+",IF(J63&lt;'PlayerGrades+'!$AD$3,"S-",IF(J63&lt;'PlayerGrades+'!$AD$2,"S","S+"))))))))))))))))))))</f>
        <v>F-</v>
      </c>
      <c r="L63" s="677">
        <f t="shared" si="5"/>
        <v>0.2711251695</v>
      </c>
      <c r="M63" s="938" t="str">
        <f>IF(L63&lt;'PlayerGrades+'!$AE$21,"F-",IF(L63&lt;'PlayerGrades+'!$AE$20,"F",IF(L63&lt;'PlayerGrades+'!$AE$19,"F+",IF(L63&lt;'PlayerGrades+'!$AE$18,"E-",IF(L63&lt;'PlayerGrades+'!$AE$17,"E",IF(L63&lt;'PlayerGrades+'!$AE$16,"E+",IF(L63&lt;'PlayerGrades+'!$AE$15,"D-",IF(L63&lt;'PlayerGrades+'!$AE$14,"D",IF(L63&lt;'PlayerGrades+'!$AE$13,"D+",IF(L63&lt;'PlayerGrades+'!$AE$12,"C-",IF(L63&lt;'PlayerGrades+'!$AE$11,"C",IF(L63&lt;'PlayerGrades+'!$AE$10,"C+",IF(L63&lt;'PlayerGrades+'!$AE$9,"B-",IF(L63&lt;'PlayerGrades+'!$AE$8,"B",IF(L63&lt;'PlayerGrades+'!$AE$7,"B+",IF(L63&lt;'PlayerGrades+'!$AE$6,"A-",IF(L63&lt;'PlayerGrades+'!$AE$5,"A",IF(L63&lt;'PlayerGrades+'!$AE$4,"A+",IF(L63&lt;'PlayerGrades+'!$AE$3,"S-",IF(L63&lt;'PlayerGrades+'!$AE$2,"S","S+"))))))))))))))))))))</f>
        <v>F</v>
      </c>
      <c r="N63" s="937">
        <f t="shared" si="6"/>
        <v>0</v>
      </c>
      <c r="O63" s="937" t="str">
        <f>IF(N63&lt;'PlayerGrades+'!$AF$21,"F-",IF(N63&lt;'PlayerGrades+'!$AF$20,"F",IF(N63&lt;'PlayerGrades+'!$AF$19,"F+",IF(N63&lt;'PlayerGrades+'!$AF$18,"E-",IF(N63&lt;'PlayerGrades+'!$AF$17,"E",IF(N63&lt;'PlayerGrades+'!$AF$16,"E+",IF(N63&lt;'PlayerGrades+'!$AF$15,"D-",IF(N63&lt;'PlayerGrades+'!$AF$14,"D",IF(N63&lt;'PlayerGrades+'!$AF$13,"D+",IF(N63&lt;'PlayerGrades+'!$AF$12,"C-",IF(N63&lt;'PlayerGrades+'!$AF$11,"C",IF(N63&lt;'PlayerGrades+'!$AF$10,"C+",IF(N63&lt;'PlayerGrades+'!$AF$9,"B-",IF(N63&lt;'PlayerGrades+'!$AF$8,"B",IF(N63&lt;'PlayerGrades+'!$AF$7,"B+",IF(N63&lt;'PlayerGrades+'!$AF$6,"A-",IF(N63&lt;'PlayerGrades+'!$AF$5,"A",IF(N63&lt;'PlayerGrades+'!$AF$4,"A+",IF(N63&lt;'PlayerGrades+'!$AF$3,"S-",IF(N63&lt;'PlayerGrades+'!$AF$2,"S","S+"))))))))))))))))))))</f>
        <v>F-</v>
      </c>
      <c r="P63" s="937">
        <f t="shared" si="7"/>
        <v>0</v>
      </c>
      <c r="Q63" s="937" t="str">
        <f>IF(P63&lt;'PlayerGrades+'!$AG$21,"F-",IF(P63&lt;'PlayerGrades+'!$AG$20,"F",IF(P63&lt;'PlayerGrades+'!$AG$19,"F+",IF(P63&lt;'PlayerGrades+'!$AG$18,"E-",IF(P63&lt;'PlayerGrades+'!$AG$17,"E",IF(P63&lt;'PlayerGrades+'!$AG$16,"E+",IF(P63&lt;'PlayerGrades+'!$AG$15,"D-",IF(P63&lt;'PlayerGrades+'!$AG$14,"D",IF(P63&lt;'PlayerGrades+'!$AG$13,"D+",IF(P63&lt;'PlayerGrades+'!$AG$12,"C-",IF(P63&lt;'PlayerGrades+'!$AG$11,"C",IF(P63&lt;'PlayerGrades+'!$AG$10,"C+",IF(P63&lt;'PlayerGrades+'!$AG$9,"B-",IF(P63&lt;'PlayerGrades+'!$AG$8,"B",IF(P63&lt;'PlayerGrades+'!$AG$7,"B+",IF(P63&lt;'PlayerGrades+'!$AG$6,"A-",IF(P63&lt;'PlayerGrades+'!$AG$5,"A",IF(P63&lt;'PlayerGrades+'!$AG$4,"A+",IF(P63&lt;'PlayerGrades+'!$AG$3,"S-",IF(P63&lt;'PlayerGrades+'!$AG$2,"S","S+"))))))))))))))))))))</f>
        <v>F</v>
      </c>
      <c r="R63" s="937">
        <f t="shared" si="8"/>
        <v>0.4338002711</v>
      </c>
      <c r="S63" s="937" t="str">
        <f>IF(R63&lt;'PlayerGrades+'!$AH$21,"F-",IF(R63&lt;'PlayerGrades+'!$AH$20,"F",IF(R63&lt;'PlayerGrades+'!$AH$19,"F+",IF(R63&lt;'PlayerGrades+'!$AH$18,"E-",IF(R63&lt;'PlayerGrades+'!$AH$17,"E",IF(R63&lt;'PlayerGrades+'!$AH$16,"E+",IF(R63&lt;'PlayerGrades+'!$AH$15,"D-",IF(R63&lt;'PlayerGrades+'!$AH$14,"D",IF(R63&lt;'PlayerGrades+'!$AH$13,"D+",IF(R63&lt;'PlayerGrades+'!$AH$12,"C-",IF(R63&lt;'PlayerGrades+'!$AH$11,"C",IF(R63&lt;'PlayerGrades+'!$AH$10,"C+",IF(R63&lt;'PlayerGrades+'!$AH$9,"B-",IF(R63&lt;'PlayerGrades+'!$AH$8,"B",IF(R63&lt;'PlayerGrades+'!$AH$7,"B+",IF(R63&lt;'PlayerGrades+'!$AH$6,"A-",IF(R63&lt;'PlayerGrades+'!$AH$5,"A",IF(R63&lt;'PlayerGrades+'!$AH$4,"A+",IF(R63&lt;'PlayerGrades+'!$AH$3,"S-",IF(R63&lt;'PlayerGrades+'!$AH$2,"S","S+"))))))))))))))))))))</f>
        <v>E-</v>
      </c>
      <c r="T63" s="937">
        <f t="shared" si="9"/>
        <v>1.379575237</v>
      </c>
      <c r="U63" s="937" t="str">
        <f>IF(T63&lt;'PlayerGrades+'!$AI$21,"F-",IF(T63&lt;'PlayerGrades+'!$AI$20,"F",IF(T63&lt;'PlayerGrades+'!$AI$19,"F+",IF(T63&lt;'PlayerGrades+'!$AI$18,"E-",IF(T63&lt;'PlayerGrades+'!$AI$17,"E",IF(T63&lt;'PlayerGrades+'!$AI$16,"E+",IF(T63&lt;'PlayerGrades+'!$AI$15,"D-",IF(T63&lt;'PlayerGrades+'!$AI$14,"D",IF(T63&lt;'PlayerGrades+'!$AI$13,"D+",IF(T63&lt;'PlayerGrades+'!$AI$12,"C-",IF(T63&lt;'PlayerGrades+'!$AI$11,"C",IF(T63&lt;'PlayerGrades+'!$AI$10,"C+",IF(T63&lt;'PlayerGrades+'!$AI$9,"B-",IF(T63&lt;'PlayerGrades+'!$AI$8,"B",IF(T63&lt;'PlayerGrades+'!$AI$7,"B+",IF(T63&lt;'PlayerGrades+'!$AI$6,"A-",IF(T63&lt;'PlayerGrades+'!$AI$5,"A",IF(T63&lt;'PlayerGrades+'!$AI$4,"A+",IF(T63&lt;'PlayerGrades+'!$AI$3,"S-",IF(T63&lt;'PlayerGrades+'!$AI$2,"S","S+"))))))))))))))))))))</f>
        <v>B</v>
      </c>
      <c r="V63" s="941">
        <v>1.0</v>
      </c>
      <c r="W63" s="941">
        <v>1.0</v>
      </c>
      <c r="X63" s="941">
        <v>0.0</v>
      </c>
      <c r="Y63" s="941">
        <v>1.0</v>
      </c>
      <c r="Z63" s="941">
        <v>0.0</v>
      </c>
      <c r="AA63" s="941">
        <v>108.0</v>
      </c>
      <c r="AB63" s="941">
        <v>147.0</v>
      </c>
      <c r="AC63" s="941">
        <v>-39.0</v>
      </c>
      <c r="AD63" s="941">
        <v>7.0</v>
      </c>
      <c r="AE63" s="941">
        <v>4.0</v>
      </c>
      <c r="AF63" s="941">
        <v>3.0</v>
      </c>
      <c r="AG63" s="941">
        <v>1644.0</v>
      </c>
      <c r="AH63" s="941">
        <v>2213.0</v>
      </c>
      <c r="AI63" s="941">
        <v>11.0</v>
      </c>
      <c r="AJ63" s="941">
        <v>35.0</v>
      </c>
      <c r="AK63" s="941">
        <v>0.0</v>
      </c>
      <c r="AL63" s="941">
        <v>0.0</v>
      </c>
      <c r="AM63" s="941">
        <v>0.0</v>
      </c>
      <c r="AN63" s="941">
        <v>0.0</v>
      </c>
      <c r="AO63" s="941">
        <v>0.0</v>
      </c>
      <c r="AP63" s="941">
        <v>0.0</v>
      </c>
      <c r="AQ63" s="941">
        <v>0.0</v>
      </c>
      <c r="AR63" s="941">
        <v>10.0</v>
      </c>
      <c r="AS63" s="941">
        <v>0.0</v>
      </c>
      <c r="AT63" s="941">
        <v>0.0</v>
      </c>
      <c r="AU63" s="941">
        <v>0.0</v>
      </c>
      <c r="AV63" s="941">
        <v>0.0</v>
      </c>
      <c r="AW63" s="941">
        <v>0.0</v>
      </c>
      <c r="AX63" s="941">
        <v>0.0</v>
      </c>
      <c r="AY63" s="941">
        <v>0.0</v>
      </c>
      <c r="AZ63" s="941">
        <v>0.0</v>
      </c>
      <c r="BA63" s="941">
        <v>0.0</v>
      </c>
      <c r="BB63" s="941">
        <v>3.0</v>
      </c>
      <c r="BC63" s="941">
        <v>0.0</v>
      </c>
      <c r="BD63" s="941">
        <v>9.0</v>
      </c>
      <c r="BE63" s="942">
        <v>14.0</v>
      </c>
      <c r="BF63" s="941">
        <v>1.0</v>
      </c>
      <c r="BG63" s="941">
        <v>0.0</v>
      </c>
    </row>
    <row r="64">
      <c r="A64" s="935" t="s">
        <v>139</v>
      </c>
      <c r="B64" s="16" t="str">
        <f>IF(C64&lt;'PlayerGrades+'!$Y$44,"F-",IF(C64&lt;'PlayerGrades+'!$Y$43,"F",IF(C64&lt;'PlayerGrades+'!$Y$42,"F+",IF(C64&lt;'PlayerGrades+'!$Y$41,"E-",IF(C64&lt;'PlayerGrades+'!$Y$40,"E",IF(C64&lt;'PlayerGrades+'!$Y$39,"E+",IF(C64&lt;'PlayerGrades+'!$Y$38,"D-",IF(C64&lt;'PlayerGrades+'!$Y$37,"D",IF(C64&lt;'PlayerGrades+'!$Y$36,"D+",IF(C64&lt;'PlayerGrades+'!$Y$35,"C-",IF(C64&lt;'PlayerGrades+'!$Y$34,"C",IF(C64&lt;'PlayerGrades+'!$Y$33,"C+",IF(C64&lt;'PlayerGrades+'!$Y$32,"B-",IF(C64&lt;'PlayerGrades+'!$Y$31,"B",IF(C64&lt;'PlayerGrades+'!$Y$30,"B+",IF(C64&lt;'PlayerGrades+'!$Y$29,"A-",IF(C64&lt;'PlayerGrades+'!$Y$28,"A",IF(C64&lt;'PlayerGrades+'!$Y$27,"A+",IF(C64&lt;'PlayerGrades+'!$Y$26,"S-",IF(C64&lt;'PlayerGrades+'!$Y$25,"S","S+"))))))))))))))))))))</f>
        <v>B+</v>
      </c>
      <c r="C64" s="936">
        <f>('PlayerGrades+'!$Y$47*(VLOOKUP(E64, 'PlayerGrades+'!$X$3:$Y$23, 2, FALSE)))+('PlayerGrades+'!$Y$48*(VLOOKUP(G64, 'PlayerGrades+'!$X$3:$Y$23, 2, FALSE)))+('PlayerGrades+'!$Y$49*(VLOOKUP(I64, 'PlayerGrades+'!$X$3:$Y$23, 2, FALSE)))+('PlayerGrades+'!$Y$50*(VLOOKUP(K64, 'PlayerGrades+'!$X$3:$Y$23, 2, FALSE)))+('PlayerGrades+'!$Y$51*(VLOOKUP(M64, 'PlayerGrades+'!$X$3:$Y$23, 2, FALSE)))+('PlayerGrades+'!$Y$52*(VLOOKUP(O64, 'PlayerGrades+'!$X$3:$Y$23, 2, FALSE)))+('PlayerGrades+'!$Y$53*(VLOOKUP(Q64, 'PlayerGrades+'!$X$3:$Y$23, 2, FALSE)))+('PlayerGrades+'!$Y$54*(VLOOKUP(S64, 'PlayerGrades+'!$X$3:$Y$23, 2, FALSE)))+('PlayerGrades+'!$Y$55*(VLOOKUP(U64, 'PlayerGrades+'!$X$3:$Y$23, 2, FALSE)))</f>
        <v>23.9</v>
      </c>
      <c r="D64" s="937">
        <f t="shared" si="1"/>
        <v>0.02711251695</v>
      </c>
      <c r="E64" s="937" t="str">
        <f>IF(D64&lt;'PlayerGrades+'!$AA$21,"F-",IF(D64&lt;'PlayerGrades+'!$AA$20,"F",IF(D64&lt;'PlayerGrades+'!$AA$19,"F+",IF(D64&lt;'PlayerGrades+'!$AA$18,"E-",IF(D64&lt;'PlayerGrades+'!$AA$17,"E",IF(D64&lt;'PlayerGrades+'!$AA$16,"E+",IF(D64&lt;'PlayerGrades+'!$AA$15,"D-",IF(D64&lt;'PlayerGrades+'!$AA$14,"D",IF(D64&lt;'PlayerGrades+'!$AA$13,"D+",IF(D64&lt;'PlayerGrades+'!$AA$12,"C-",IF(D64&lt;'PlayerGrades+'!$AA$11,"C",IF(D64&lt;'PlayerGrades+'!$AA$10,"C+",IF(D64&lt;'PlayerGrades+'!$AA$9,"B-",IF(D64&lt;'PlayerGrades+'!$AA$8,"B",IF(D64&lt;'PlayerGrades+'!$AA$7,"B+",IF(D64&lt;'PlayerGrades+'!$AA$6,"A-",IF(D64&lt;'PlayerGrades+'!$AA$5,"A",IF(D64&lt;'PlayerGrades+'!$AA$4,"A+",IF(D64&lt;'PlayerGrades+'!$AA$3,"S-",IF(D64&lt;'PlayerGrades+'!$AA$2,"S","S+"))))))))))))))))))))</f>
        <v>D-</v>
      </c>
      <c r="F64" s="937">
        <f t="shared" si="2"/>
        <v>-0.05422503389</v>
      </c>
      <c r="G64" s="937" t="str">
        <f>IF(F64&lt;'PlayerGrades+'!$AB$21,"F-",IF(F64&lt;'PlayerGrades+'!$AB$20,"F",IF(F64&lt;'PlayerGrades+'!$AB$19,"F+",IF(F64&lt;'PlayerGrades+'!$AB$18,"E-",IF(F64&lt;'PlayerGrades+'!$AB$17,"E",IF(F64&lt;'PlayerGrades+'!$AB$16,"E+",IF(F64&lt;'PlayerGrades+'!$AB$15,"D-",IF(F64&lt;'PlayerGrades+'!$AB$14,"D",IF(F64&lt;'PlayerGrades+'!$AB$13,"D+",IF(F64&lt;'PlayerGrades+'!$AB$12,"C-",IF(F64&lt;'PlayerGrades+'!$AB$11,"C",IF(F64&lt;'PlayerGrades+'!$AB$10,"C+",IF(F64&lt;'PlayerGrades+'!$AB$9,"B-",IF(F64&lt;'PlayerGrades+'!$AB$8,"B",IF(F64&lt;'PlayerGrades+'!$AB$7,"B+",IF(F64&lt;'PlayerGrades+'!$AB$6,"A-",IF(F64&lt;'PlayerGrades+'!$AB$5,"A",IF(F64&lt;'PlayerGrades+'!$AB$4,"A+",IF(F64&lt;'PlayerGrades+'!$AB$3,"S-",IF(F64&lt;'PlayerGrades+'!$AB$2,"S","S+"))))))))))))))))))))</f>
        <v>B-</v>
      </c>
      <c r="H64" s="937">
        <f t="shared" si="3"/>
        <v>0.1355625847</v>
      </c>
      <c r="I64" s="937" t="str">
        <f>IF(H64&lt;'PlayerGrades+'!$AC$21,"F-",IF(H64&lt;'PlayerGrades+'!$AC$20,"F",IF(H64&lt;'PlayerGrades+'!$AC$19,"F+",IF(H64&lt;'PlayerGrades+'!$AC$18,"E-",IF(H64&lt;'PlayerGrades+'!$AC$17,"E",IF(H64&lt;'PlayerGrades+'!$AC$16,"E+",IF(H64&lt;'PlayerGrades+'!$AC$15,"D-",IF(H64&lt;'PlayerGrades+'!$AC$14,"D",IF(H64&lt;'PlayerGrades+'!$AC$13,"D+",IF(H64&lt;'PlayerGrades+'!$AC$12,"C-",IF(H64&lt;'PlayerGrades+'!$AC$11,"C",IF(H64&lt;'PlayerGrades+'!$AC$10,"C+",IF(H64&lt;'PlayerGrades+'!$AC$9,"B-",IF(H64&lt;'PlayerGrades+'!$AC$8,"B",IF(H64&lt;'PlayerGrades+'!$AC$7,"B+",IF(H64&lt;'PlayerGrades+'!$AC$6,"A-",IF(H64&lt;'PlayerGrades+'!$AC$5,"A",IF(H64&lt;'PlayerGrades+'!$AC$4,"A+",IF(H64&lt;'PlayerGrades+'!$AC$3,"S-",IF(H64&lt;'PlayerGrades+'!$AC$2,"S","S+"))))))))))))))))))))</f>
        <v>B+</v>
      </c>
      <c r="J64" s="937">
        <f t="shared" si="4"/>
        <v>0</v>
      </c>
      <c r="K64" s="937" t="str">
        <f>IF(J64&lt;'PlayerGrades+'!$AD$21,"F-",IF(J64&lt;'PlayerGrades+'!$AD$20,"F",IF(J64&lt;'PlayerGrades+'!$AD$19,"F+",IF(J64&lt;'PlayerGrades+'!$AD$18,"E-",IF(J64&lt;'PlayerGrades+'!$AD$17,"E",IF(J64&lt;'PlayerGrades+'!$AD$16,"E+",IF(J64&lt;'PlayerGrades+'!$AD$15,"D-",IF(J64&lt;'PlayerGrades+'!$AD$14,"D",IF(J64&lt;'PlayerGrades+'!$AD$13,"D+",IF(J64&lt;'PlayerGrades+'!$AD$12,"C-",IF(J64&lt;'PlayerGrades+'!$AD$11,"C",IF(J64&lt;'PlayerGrades+'!$AD$10,"C+",IF(J64&lt;'PlayerGrades+'!$AD$9,"B-",IF(J64&lt;'PlayerGrades+'!$AD$8,"B",IF(J64&lt;'PlayerGrades+'!$AD$7,"B+",IF(J64&lt;'PlayerGrades+'!$AD$6,"A-",IF(J64&lt;'PlayerGrades+'!$AD$5,"A",IF(J64&lt;'PlayerGrades+'!$AD$4,"A+",IF(J64&lt;'PlayerGrades+'!$AD$3,"S-",IF(J64&lt;'PlayerGrades+'!$AD$2,"S","S+"))))))))))))))))))))</f>
        <v>F-</v>
      </c>
      <c r="L64" s="677">
        <f t="shared" si="5"/>
        <v>0.488025305</v>
      </c>
      <c r="M64" s="938" t="str">
        <f>IF(L64&lt;'PlayerGrades+'!$AE$21,"F-",IF(L64&lt;'PlayerGrades+'!$AE$20,"F",IF(L64&lt;'PlayerGrades+'!$AE$19,"F+",IF(L64&lt;'PlayerGrades+'!$AE$18,"E-",IF(L64&lt;'PlayerGrades+'!$AE$17,"E",IF(L64&lt;'PlayerGrades+'!$AE$16,"E+",IF(L64&lt;'PlayerGrades+'!$AE$15,"D-",IF(L64&lt;'PlayerGrades+'!$AE$14,"D",IF(L64&lt;'PlayerGrades+'!$AE$13,"D+",IF(L64&lt;'PlayerGrades+'!$AE$12,"C-",IF(L64&lt;'PlayerGrades+'!$AE$11,"C",IF(L64&lt;'PlayerGrades+'!$AE$10,"C+",IF(L64&lt;'PlayerGrades+'!$AE$9,"B-",IF(L64&lt;'PlayerGrades+'!$AE$8,"B",IF(L64&lt;'PlayerGrades+'!$AE$7,"B+",IF(L64&lt;'PlayerGrades+'!$AE$6,"A-",IF(L64&lt;'PlayerGrades+'!$AE$5,"A",IF(L64&lt;'PlayerGrades+'!$AE$4,"A+",IF(L64&lt;'PlayerGrades+'!$AE$3,"S-",IF(L64&lt;'PlayerGrades+'!$AE$2,"S","S+"))))))))))))))))))))</f>
        <v>B+</v>
      </c>
      <c r="N64" s="937">
        <f t="shared" si="6"/>
        <v>0.08133755084</v>
      </c>
      <c r="O64" s="937" t="str">
        <f>IF(N64&lt;'PlayerGrades+'!$AF$21,"F-",IF(N64&lt;'PlayerGrades+'!$AF$20,"F",IF(N64&lt;'PlayerGrades+'!$AF$19,"F+",IF(N64&lt;'PlayerGrades+'!$AF$18,"E-",IF(N64&lt;'PlayerGrades+'!$AF$17,"E",IF(N64&lt;'PlayerGrades+'!$AF$16,"E+",IF(N64&lt;'PlayerGrades+'!$AF$15,"D-",IF(N64&lt;'PlayerGrades+'!$AF$14,"D",IF(N64&lt;'PlayerGrades+'!$AF$13,"D+",IF(N64&lt;'PlayerGrades+'!$AF$12,"C-",IF(N64&lt;'PlayerGrades+'!$AF$11,"C",IF(N64&lt;'PlayerGrades+'!$AF$10,"C+",IF(N64&lt;'PlayerGrades+'!$AF$9,"B-",IF(N64&lt;'PlayerGrades+'!$AF$8,"B",IF(N64&lt;'PlayerGrades+'!$AF$7,"B+",IF(N64&lt;'PlayerGrades+'!$AF$6,"A-",IF(N64&lt;'PlayerGrades+'!$AF$5,"A",IF(N64&lt;'PlayerGrades+'!$AF$4,"A+",IF(N64&lt;'PlayerGrades+'!$AF$3,"S-",IF(N64&lt;'PlayerGrades+'!$AF$2,"S","S+"))))))))))))))))))))</f>
        <v>B-</v>
      </c>
      <c r="P64" s="937">
        <f t="shared" si="7"/>
        <v>0</v>
      </c>
      <c r="Q64" s="937" t="str">
        <f>IF(P64&lt;'PlayerGrades+'!$AG$21,"F-",IF(P64&lt;'PlayerGrades+'!$AG$20,"F",IF(P64&lt;'PlayerGrades+'!$AG$19,"F+",IF(P64&lt;'PlayerGrades+'!$AG$18,"E-",IF(P64&lt;'PlayerGrades+'!$AG$17,"E",IF(P64&lt;'PlayerGrades+'!$AG$16,"E+",IF(P64&lt;'PlayerGrades+'!$AG$15,"D-",IF(P64&lt;'PlayerGrades+'!$AG$14,"D",IF(P64&lt;'PlayerGrades+'!$AG$13,"D+",IF(P64&lt;'PlayerGrades+'!$AG$12,"C-",IF(P64&lt;'PlayerGrades+'!$AG$11,"C",IF(P64&lt;'PlayerGrades+'!$AG$10,"C+",IF(P64&lt;'PlayerGrades+'!$AG$9,"B-",IF(P64&lt;'PlayerGrades+'!$AG$8,"B",IF(P64&lt;'PlayerGrades+'!$AG$7,"B+",IF(P64&lt;'PlayerGrades+'!$AG$6,"A-",IF(P64&lt;'PlayerGrades+'!$AG$5,"A",IF(P64&lt;'PlayerGrades+'!$AG$4,"A+",IF(P64&lt;'PlayerGrades+'!$AG$3,"S-",IF(P64&lt;'PlayerGrades+'!$AG$2,"S","S+"))))))))))))))))))))</f>
        <v>F</v>
      </c>
      <c r="R64" s="937">
        <f t="shared" si="8"/>
        <v>0.8404880253</v>
      </c>
      <c r="S64" s="937" t="str">
        <f>IF(R64&lt;'PlayerGrades+'!$AH$21,"F-",IF(R64&lt;'PlayerGrades+'!$AH$20,"F",IF(R64&lt;'PlayerGrades+'!$AH$19,"F+",IF(R64&lt;'PlayerGrades+'!$AH$18,"E-",IF(R64&lt;'PlayerGrades+'!$AH$17,"E",IF(R64&lt;'PlayerGrades+'!$AH$16,"E+",IF(R64&lt;'PlayerGrades+'!$AH$15,"D-",IF(R64&lt;'PlayerGrades+'!$AH$14,"D",IF(R64&lt;'PlayerGrades+'!$AH$13,"D+",IF(R64&lt;'PlayerGrades+'!$AH$12,"C-",IF(R64&lt;'PlayerGrades+'!$AH$11,"C",IF(R64&lt;'PlayerGrades+'!$AH$10,"C+",IF(R64&lt;'PlayerGrades+'!$AH$9,"B-",IF(R64&lt;'PlayerGrades+'!$AH$8,"B",IF(R64&lt;'PlayerGrades+'!$AH$7,"B+",IF(R64&lt;'PlayerGrades+'!$AH$6,"A-",IF(R64&lt;'PlayerGrades+'!$AH$5,"A",IF(R64&lt;'PlayerGrades+'!$AH$4,"A+",IF(R64&lt;'PlayerGrades+'!$AH$3,"S-",IF(R64&lt;'PlayerGrades+'!$AH$2,"S","S+"))))))))))))))))))))</f>
        <v>S+</v>
      </c>
      <c r="T64" s="937">
        <f t="shared" si="9"/>
        <v>2.542250339</v>
      </c>
      <c r="U64" s="937" t="str">
        <f>IF(T64&lt;'PlayerGrades+'!$AI$21,"F-",IF(T64&lt;'PlayerGrades+'!$AI$20,"F",IF(T64&lt;'PlayerGrades+'!$AI$19,"F+",IF(T64&lt;'PlayerGrades+'!$AI$18,"E-",IF(T64&lt;'PlayerGrades+'!$AI$17,"E",IF(T64&lt;'PlayerGrades+'!$AI$16,"E+",IF(T64&lt;'PlayerGrades+'!$AI$15,"D-",IF(T64&lt;'PlayerGrades+'!$AI$14,"D",IF(T64&lt;'PlayerGrades+'!$AI$13,"D+",IF(T64&lt;'PlayerGrades+'!$AI$12,"C-",IF(T64&lt;'PlayerGrades+'!$AI$11,"C",IF(T64&lt;'PlayerGrades+'!$AI$10,"C+",IF(T64&lt;'PlayerGrades+'!$AI$9,"B-",IF(T64&lt;'PlayerGrades+'!$AI$8,"B",IF(T64&lt;'PlayerGrades+'!$AI$7,"B+",IF(T64&lt;'PlayerGrades+'!$AI$6,"A-",IF(T64&lt;'PlayerGrades+'!$AI$5,"A",IF(T64&lt;'PlayerGrades+'!$AI$4,"A+",IF(T64&lt;'PlayerGrades+'!$AI$3,"S-",IF(T64&lt;'PlayerGrades+'!$AI$2,"S","S+"))))))))))))))))))))</f>
        <v>S+</v>
      </c>
      <c r="V64" s="941">
        <v>1.0</v>
      </c>
      <c r="W64" s="941">
        <v>1.0</v>
      </c>
      <c r="X64" s="941">
        <v>0.0</v>
      </c>
      <c r="Y64" s="941">
        <v>1.0</v>
      </c>
      <c r="Z64" s="941">
        <v>0.0</v>
      </c>
      <c r="AA64" s="941">
        <v>130.0</v>
      </c>
      <c r="AB64" s="941">
        <v>132.0</v>
      </c>
      <c r="AC64" s="941">
        <v>-2.0</v>
      </c>
      <c r="AD64" s="941">
        <v>18.0</v>
      </c>
      <c r="AE64" s="941">
        <v>4.0</v>
      </c>
      <c r="AF64" s="941">
        <v>5.0</v>
      </c>
      <c r="AG64" s="941">
        <v>1696.0</v>
      </c>
      <c r="AH64" s="941">
        <v>2213.0</v>
      </c>
      <c r="AI64" s="941">
        <v>12.0</v>
      </c>
      <c r="AJ64" s="941">
        <v>64.0</v>
      </c>
      <c r="AK64" s="941">
        <v>0.0</v>
      </c>
      <c r="AL64" s="941">
        <v>0.0</v>
      </c>
      <c r="AM64" s="941">
        <v>0.0</v>
      </c>
      <c r="AN64" s="941">
        <v>0.0</v>
      </c>
      <c r="AO64" s="941">
        <v>0.0</v>
      </c>
      <c r="AP64" s="941">
        <v>0.0</v>
      </c>
      <c r="AQ64" s="941">
        <v>0.0</v>
      </c>
      <c r="AR64" s="941">
        <v>18.0</v>
      </c>
      <c r="AS64" s="941">
        <v>3.0</v>
      </c>
      <c r="AT64" s="941">
        <v>0.0</v>
      </c>
      <c r="AU64" s="941">
        <v>0.0</v>
      </c>
      <c r="AV64" s="941">
        <v>0.0</v>
      </c>
      <c r="AW64" s="941">
        <v>0.0</v>
      </c>
      <c r="AX64" s="941">
        <v>0.0</v>
      </c>
      <c r="AY64" s="941">
        <v>0.0</v>
      </c>
      <c r="AZ64" s="941">
        <v>0.0</v>
      </c>
      <c r="BA64" s="941">
        <v>0.0</v>
      </c>
      <c r="BB64" s="941">
        <v>5.0</v>
      </c>
      <c r="BC64" s="941">
        <v>0.0</v>
      </c>
      <c r="BD64" s="941">
        <v>13.0</v>
      </c>
      <c r="BE64" s="942">
        <v>20.0</v>
      </c>
      <c r="BF64" s="941">
        <v>2.0</v>
      </c>
      <c r="BG64" s="941">
        <v>0.0</v>
      </c>
    </row>
    <row r="65">
      <c r="A65" s="943" t="s">
        <v>117</v>
      </c>
      <c r="B65" s="16" t="str">
        <f>IF(C65&lt;'PlayerGrades+'!$Y$44,"F-",IF(C65&lt;'PlayerGrades+'!$Y$43,"F",IF(C65&lt;'PlayerGrades+'!$Y$42,"F+",IF(C65&lt;'PlayerGrades+'!$Y$41,"E-",IF(C65&lt;'PlayerGrades+'!$Y$40,"E",IF(C65&lt;'PlayerGrades+'!$Y$39,"E+",IF(C65&lt;'PlayerGrades+'!$Y$38,"D-",IF(C65&lt;'PlayerGrades+'!$Y$37,"D",IF(C65&lt;'PlayerGrades+'!$Y$36,"D+",IF(C65&lt;'PlayerGrades+'!$Y$35,"C-",IF(C65&lt;'PlayerGrades+'!$Y$34,"C",IF(C65&lt;'PlayerGrades+'!$Y$33,"C+",IF(C65&lt;'PlayerGrades+'!$Y$32,"B-",IF(C65&lt;'PlayerGrades+'!$Y$31,"B",IF(C65&lt;'PlayerGrades+'!$Y$30,"B+",IF(C65&lt;'PlayerGrades+'!$Y$29,"A-",IF(C65&lt;'PlayerGrades+'!$Y$28,"A",IF(C65&lt;'PlayerGrades+'!$Y$27,"A+",IF(C65&lt;'PlayerGrades+'!$Y$26,"S-",IF(C65&lt;'PlayerGrades+'!$Y$25,"S","S+"))))))))))))))))))))</f>
        <v>D+</v>
      </c>
      <c r="C65" s="936">
        <f>('PlayerGrades+'!$Y$47*(VLOOKUP(E65, 'PlayerGrades+'!$X$3:$Y$23, 2, FALSE)))+('PlayerGrades+'!$Y$48*(VLOOKUP(G65, 'PlayerGrades+'!$X$3:$Y$23, 2, FALSE)))+('PlayerGrades+'!$Y$49*(VLOOKUP(I65, 'PlayerGrades+'!$X$3:$Y$23, 2, FALSE)))+('PlayerGrades+'!$Y$50*(VLOOKUP(K65, 'PlayerGrades+'!$X$3:$Y$23, 2, FALSE)))+('PlayerGrades+'!$Y$51*(VLOOKUP(M65, 'PlayerGrades+'!$X$3:$Y$23, 2, FALSE)))+('PlayerGrades+'!$Y$52*(VLOOKUP(O65, 'PlayerGrades+'!$X$3:$Y$23, 2, FALSE)))+('PlayerGrades+'!$Y$53*(VLOOKUP(Q65, 'PlayerGrades+'!$X$3:$Y$23, 2, FALSE)))+('PlayerGrades+'!$Y$54*(VLOOKUP(S65, 'PlayerGrades+'!$X$3:$Y$23, 2, FALSE)))+('PlayerGrades+'!$Y$55*(VLOOKUP(U65, 'PlayerGrades+'!$X$3:$Y$23, 2, FALSE)))</f>
        <v>17.2</v>
      </c>
      <c r="D65" s="937">
        <f t="shared" si="1"/>
        <v>0.2982376864</v>
      </c>
      <c r="E65" s="937" t="str">
        <f>IF(D65&lt;'PlayerGrades+'!$AA$21,"F-",IF(D65&lt;'PlayerGrades+'!$AA$20,"F",IF(D65&lt;'PlayerGrades+'!$AA$19,"F+",IF(D65&lt;'PlayerGrades+'!$AA$18,"E-",IF(D65&lt;'PlayerGrades+'!$AA$17,"E",IF(D65&lt;'PlayerGrades+'!$AA$16,"E+",IF(D65&lt;'PlayerGrades+'!$AA$15,"D-",IF(D65&lt;'PlayerGrades+'!$AA$14,"D",IF(D65&lt;'PlayerGrades+'!$AA$13,"D+",IF(D65&lt;'PlayerGrades+'!$AA$12,"C-",IF(D65&lt;'PlayerGrades+'!$AA$11,"C",IF(D65&lt;'PlayerGrades+'!$AA$10,"C+",IF(D65&lt;'PlayerGrades+'!$AA$9,"B-",IF(D65&lt;'PlayerGrades+'!$AA$8,"B",IF(D65&lt;'PlayerGrades+'!$AA$7,"B+",IF(D65&lt;'PlayerGrades+'!$AA$6,"A-",IF(D65&lt;'PlayerGrades+'!$AA$5,"A",IF(D65&lt;'PlayerGrades+'!$AA$4,"A+",IF(D65&lt;'PlayerGrades+'!$AA$3,"S-",IF(D65&lt;'PlayerGrades+'!$AA$2,"S","S+"))))))))))))))))))))</f>
        <v>A</v>
      </c>
      <c r="F65" s="937">
        <f t="shared" si="2"/>
        <v>-0.2169001356</v>
      </c>
      <c r="G65" s="937" t="str">
        <f>IF(F65&lt;'PlayerGrades+'!$AB$21,"F-",IF(F65&lt;'PlayerGrades+'!$AB$20,"F",IF(F65&lt;'PlayerGrades+'!$AB$19,"F+",IF(F65&lt;'PlayerGrades+'!$AB$18,"E-",IF(F65&lt;'PlayerGrades+'!$AB$17,"E",IF(F65&lt;'PlayerGrades+'!$AB$16,"E+",IF(F65&lt;'PlayerGrades+'!$AB$15,"D-",IF(F65&lt;'PlayerGrades+'!$AB$14,"D",IF(F65&lt;'PlayerGrades+'!$AB$13,"D+",IF(F65&lt;'PlayerGrades+'!$AB$12,"C-",IF(F65&lt;'PlayerGrades+'!$AB$11,"C",IF(F65&lt;'PlayerGrades+'!$AB$10,"C+",IF(F65&lt;'PlayerGrades+'!$AB$9,"B-",IF(F65&lt;'PlayerGrades+'!$AB$8,"B",IF(F65&lt;'PlayerGrades+'!$AB$7,"B+",IF(F65&lt;'PlayerGrades+'!$AB$6,"A-",IF(F65&lt;'PlayerGrades+'!$AB$5,"A",IF(F65&lt;'PlayerGrades+'!$AB$4,"A+",IF(F65&lt;'PlayerGrades+'!$AB$3,"S-",IF(F65&lt;'PlayerGrades+'!$AB$2,"S","S+"))))))))))))))))))))</f>
        <v>C+</v>
      </c>
      <c r="H65" s="937">
        <f t="shared" si="3"/>
        <v>0.1355625847</v>
      </c>
      <c r="I65" s="937" t="str">
        <f>IF(H65&lt;'PlayerGrades+'!$AC$21,"F-",IF(H65&lt;'PlayerGrades+'!$AC$20,"F",IF(H65&lt;'PlayerGrades+'!$AC$19,"F+",IF(H65&lt;'PlayerGrades+'!$AC$18,"E-",IF(H65&lt;'PlayerGrades+'!$AC$17,"E",IF(H65&lt;'PlayerGrades+'!$AC$16,"E+",IF(H65&lt;'PlayerGrades+'!$AC$15,"D-",IF(H65&lt;'PlayerGrades+'!$AC$14,"D",IF(H65&lt;'PlayerGrades+'!$AC$13,"D+",IF(H65&lt;'PlayerGrades+'!$AC$12,"C-",IF(H65&lt;'PlayerGrades+'!$AC$11,"C",IF(H65&lt;'PlayerGrades+'!$AC$10,"C+",IF(H65&lt;'PlayerGrades+'!$AC$9,"B-",IF(H65&lt;'PlayerGrades+'!$AC$8,"B",IF(H65&lt;'PlayerGrades+'!$AC$7,"B+",IF(H65&lt;'PlayerGrades+'!$AC$6,"A-",IF(H65&lt;'PlayerGrades+'!$AC$5,"A",IF(H65&lt;'PlayerGrades+'!$AC$4,"A+",IF(H65&lt;'PlayerGrades+'!$AC$3,"S-",IF(H65&lt;'PlayerGrades+'!$AC$2,"S","S+"))))))))))))))))))))</f>
        <v>B+</v>
      </c>
      <c r="J65" s="937">
        <f t="shared" si="4"/>
        <v>0.02711251695</v>
      </c>
      <c r="K65" s="937" t="str">
        <f>IF(J65&lt;'PlayerGrades+'!$AD$21,"F-",IF(J65&lt;'PlayerGrades+'!$AD$20,"F",IF(J65&lt;'PlayerGrades+'!$AD$19,"F+",IF(J65&lt;'PlayerGrades+'!$AD$18,"E-",IF(J65&lt;'PlayerGrades+'!$AD$17,"E",IF(J65&lt;'PlayerGrades+'!$AD$16,"E+",IF(J65&lt;'PlayerGrades+'!$AD$15,"D-",IF(J65&lt;'PlayerGrades+'!$AD$14,"D",IF(J65&lt;'PlayerGrades+'!$AD$13,"D+",IF(J65&lt;'PlayerGrades+'!$AD$12,"C-",IF(J65&lt;'PlayerGrades+'!$AD$11,"C",IF(J65&lt;'PlayerGrades+'!$AD$10,"C+",IF(J65&lt;'PlayerGrades+'!$AD$9,"B-",IF(J65&lt;'PlayerGrades+'!$AD$8,"B",IF(J65&lt;'PlayerGrades+'!$AD$7,"B+",IF(J65&lt;'PlayerGrades+'!$AD$6,"A-",IF(J65&lt;'PlayerGrades+'!$AD$5,"A",IF(J65&lt;'PlayerGrades+'!$AD$4,"A+",IF(J65&lt;'PlayerGrades+'!$AD$3,"S-",IF(J65&lt;'PlayerGrades+'!$AD$2,"S","S+"))))))))))))))))))))</f>
        <v>D+</v>
      </c>
      <c r="L65" s="677">
        <f t="shared" si="5"/>
        <v>0.2440126525</v>
      </c>
      <c r="M65" s="938" t="str">
        <f>IF(L65&lt;'PlayerGrades+'!$AE$21,"F-",IF(L65&lt;'PlayerGrades+'!$AE$20,"F",IF(L65&lt;'PlayerGrades+'!$AE$19,"F+",IF(L65&lt;'PlayerGrades+'!$AE$18,"E-",IF(L65&lt;'PlayerGrades+'!$AE$17,"E",IF(L65&lt;'PlayerGrades+'!$AE$16,"E+",IF(L65&lt;'PlayerGrades+'!$AE$15,"D-",IF(L65&lt;'PlayerGrades+'!$AE$14,"D",IF(L65&lt;'PlayerGrades+'!$AE$13,"D+",IF(L65&lt;'PlayerGrades+'!$AE$12,"C-",IF(L65&lt;'PlayerGrades+'!$AE$11,"C",IF(L65&lt;'PlayerGrades+'!$AE$10,"C+",IF(L65&lt;'PlayerGrades+'!$AE$9,"B-",IF(L65&lt;'PlayerGrades+'!$AE$8,"B",IF(L65&lt;'PlayerGrades+'!$AE$7,"B+",IF(L65&lt;'PlayerGrades+'!$AE$6,"A-",IF(L65&lt;'PlayerGrades+'!$AE$5,"A",IF(L65&lt;'PlayerGrades+'!$AE$4,"A+",IF(L65&lt;'PlayerGrades+'!$AE$3,"S-",IF(L65&lt;'PlayerGrades+'!$AE$2,"S","S+"))))))))))))))))))))</f>
        <v>F</v>
      </c>
      <c r="N65" s="937">
        <f t="shared" si="6"/>
        <v>0</v>
      </c>
      <c r="O65" s="937" t="str">
        <f>IF(N65&lt;'PlayerGrades+'!$AF$21,"F-",IF(N65&lt;'PlayerGrades+'!$AF$20,"F",IF(N65&lt;'PlayerGrades+'!$AF$19,"F+",IF(N65&lt;'PlayerGrades+'!$AF$18,"E-",IF(N65&lt;'PlayerGrades+'!$AF$17,"E",IF(N65&lt;'PlayerGrades+'!$AF$16,"E+",IF(N65&lt;'PlayerGrades+'!$AF$15,"D-",IF(N65&lt;'PlayerGrades+'!$AF$14,"D",IF(N65&lt;'PlayerGrades+'!$AF$13,"D+",IF(N65&lt;'PlayerGrades+'!$AF$12,"C-",IF(N65&lt;'PlayerGrades+'!$AF$11,"C",IF(N65&lt;'PlayerGrades+'!$AF$10,"C+",IF(N65&lt;'PlayerGrades+'!$AF$9,"B-",IF(N65&lt;'PlayerGrades+'!$AF$8,"B",IF(N65&lt;'PlayerGrades+'!$AF$7,"B+",IF(N65&lt;'PlayerGrades+'!$AF$6,"A-",IF(N65&lt;'PlayerGrades+'!$AF$5,"A",IF(N65&lt;'PlayerGrades+'!$AF$4,"A+",IF(N65&lt;'PlayerGrades+'!$AF$3,"S-",IF(N65&lt;'PlayerGrades+'!$AF$2,"S","S+"))))))))))))))))))))</f>
        <v>F-</v>
      </c>
      <c r="P65" s="937">
        <f t="shared" si="7"/>
        <v>0.02711251695</v>
      </c>
      <c r="Q65" s="937" t="str">
        <f>IF(P65&lt;'PlayerGrades+'!$AG$21,"F-",IF(P65&lt;'PlayerGrades+'!$AG$20,"F",IF(P65&lt;'PlayerGrades+'!$AG$19,"F+",IF(P65&lt;'PlayerGrades+'!$AG$18,"E-",IF(P65&lt;'PlayerGrades+'!$AG$17,"E",IF(P65&lt;'PlayerGrades+'!$AG$16,"E+",IF(P65&lt;'PlayerGrades+'!$AG$15,"D-",IF(P65&lt;'PlayerGrades+'!$AG$14,"D",IF(P65&lt;'PlayerGrades+'!$AG$13,"D+",IF(P65&lt;'PlayerGrades+'!$AG$12,"C-",IF(P65&lt;'PlayerGrades+'!$AG$11,"C",IF(P65&lt;'PlayerGrades+'!$AG$10,"C+",IF(P65&lt;'PlayerGrades+'!$AG$9,"B-",IF(P65&lt;'PlayerGrades+'!$AG$8,"B",IF(P65&lt;'PlayerGrades+'!$AG$7,"B+",IF(P65&lt;'PlayerGrades+'!$AG$6,"A-",IF(P65&lt;'PlayerGrades+'!$AG$5,"A",IF(P65&lt;'PlayerGrades+'!$AG$4,"A+",IF(P65&lt;'PlayerGrades+'!$AG$3,"S-",IF(P65&lt;'PlayerGrades+'!$AG$2,"S","S+"))))))))))))))))))))</f>
        <v>B</v>
      </c>
      <c r="R65" s="937">
        <f t="shared" si="8"/>
        <v>0.5422503389</v>
      </c>
      <c r="S65" s="937" t="str">
        <f>IF(R65&lt;'PlayerGrades+'!$AH$21,"F-",IF(R65&lt;'PlayerGrades+'!$AH$20,"F",IF(R65&lt;'PlayerGrades+'!$AH$19,"F+",IF(R65&lt;'PlayerGrades+'!$AH$18,"E-",IF(R65&lt;'PlayerGrades+'!$AH$17,"E",IF(R65&lt;'PlayerGrades+'!$AH$16,"E+",IF(R65&lt;'PlayerGrades+'!$AH$15,"D-",IF(R65&lt;'PlayerGrades+'!$AH$14,"D",IF(R65&lt;'PlayerGrades+'!$AH$13,"D+",IF(R65&lt;'PlayerGrades+'!$AH$12,"C-",IF(R65&lt;'PlayerGrades+'!$AH$11,"C",IF(R65&lt;'PlayerGrades+'!$AH$10,"C+",IF(R65&lt;'PlayerGrades+'!$AH$9,"B-",IF(R65&lt;'PlayerGrades+'!$AH$8,"B",IF(R65&lt;'PlayerGrades+'!$AH$7,"B+",IF(R65&lt;'PlayerGrades+'!$AH$6,"A-",IF(R65&lt;'PlayerGrades+'!$AH$5,"A",IF(R65&lt;'PlayerGrades+'!$AH$4,"A+",IF(R65&lt;'PlayerGrades+'!$AH$3,"S-",IF(R65&lt;'PlayerGrades+'!$AH$2,"S","S+"))))))))))))))))))))</f>
        <v>C+</v>
      </c>
      <c r="T65" s="937">
        <f t="shared" si="9"/>
        <v>0.2440126525</v>
      </c>
      <c r="U65" s="937" t="str">
        <f>IF(T65&lt;'PlayerGrades+'!$AI$21,"F-",IF(T65&lt;'PlayerGrades+'!$AI$20,"F",IF(T65&lt;'PlayerGrades+'!$AI$19,"F+",IF(T65&lt;'PlayerGrades+'!$AI$18,"E-",IF(T65&lt;'PlayerGrades+'!$AI$17,"E",IF(T65&lt;'PlayerGrades+'!$AI$16,"E+",IF(T65&lt;'PlayerGrades+'!$AI$15,"D-",IF(T65&lt;'PlayerGrades+'!$AI$14,"D",IF(T65&lt;'PlayerGrades+'!$AI$13,"D+",IF(T65&lt;'PlayerGrades+'!$AI$12,"C-",IF(T65&lt;'PlayerGrades+'!$AI$11,"C",IF(T65&lt;'PlayerGrades+'!$AI$10,"C+",IF(T65&lt;'PlayerGrades+'!$AI$9,"B-",IF(T65&lt;'PlayerGrades+'!$AI$8,"B",IF(T65&lt;'PlayerGrades+'!$AI$7,"B+",IF(T65&lt;'PlayerGrades+'!$AI$6,"A-",IF(T65&lt;'PlayerGrades+'!$AI$5,"A",IF(T65&lt;'PlayerGrades+'!$AI$4,"A+",IF(T65&lt;'PlayerGrades+'!$AI$3,"S-",IF(T65&lt;'PlayerGrades+'!$AI$2,"S","S+"))))))))))))))))))))</f>
        <v>F-</v>
      </c>
      <c r="V65" s="944">
        <v>1.0</v>
      </c>
      <c r="W65" s="944">
        <v>1.0</v>
      </c>
      <c r="X65" s="944">
        <v>0.0</v>
      </c>
      <c r="Y65" s="944">
        <v>2.0</v>
      </c>
      <c r="Z65" s="944">
        <v>9.0</v>
      </c>
      <c r="AA65" s="944">
        <v>83.0</v>
      </c>
      <c r="AB65" s="944">
        <v>91.0</v>
      </c>
      <c r="AC65" s="944">
        <v>-8.0</v>
      </c>
      <c r="AD65" s="944">
        <v>7.0</v>
      </c>
      <c r="AE65" s="944">
        <v>5.0</v>
      </c>
      <c r="AF65" s="944">
        <v>4.0</v>
      </c>
      <c r="AG65" s="944">
        <v>1815.0</v>
      </c>
      <c r="AH65" s="944">
        <v>2213.0</v>
      </c>
      <c r="AI65" s="944">
        <v>19.0</v>
      </c>
      <c r="AJ65" s="944">
        <v>475.0</v>
      </c>
      <c r="AK65" s="944">
        <v>0.0</v>
      </c>
      <c r="AL65" s="944">
        <v>1.0</v>
      </c>
      <c r="AM65" s="944">
        <v>0.0</v>
      </c>
      <c r="AN65" s="944">
        <v>0.0</v>
      </c>
      <c r="AO65" s="944">
        <v>0.0</v>
      </c>
      <c r="AP65" s="944">
        <v>1.0</v>
      </c>
      <c r="AQ65" s="944">
        <v>0.0</v>
      </c>
      <c r="AR65" s="944">
        <v>9.0</v>
      </c>
      <c r="AS65" s="944">
        <v>0.0</v>
      </c>
      <c r="AT65" s="944">
        <v>0.0</v>
      </c>
      <c r="AU65" s="944">
        <v>0.0</v>
      </c>
      <c r="AV65" s="944">
        <v>0.0</v>
      </c>
      <c r="AW65" s="944">
        <v>0.0</v>
      </c>
      <c r="AX65" s="944">
        <v>0.0</v>
      </c>
      <c r="AY65" s="944">
        <v>0.0</v>
      </c>
      <c r="AZ65" s="944">
        <v>0.0</v>
      </c>
      <c r="BA65" s="944">
        <v>0.0</v>
      </c>
      <c r="BB65" s="944">
        <v>5.0</v>
      </c>
      <c r="BC65" s="882">
        <v>1.0</v>
      </c>
      <c r="BD65" s="882">
        <v>13.0</v>
      </c>
      <c r="BE65" s="948">
        <v>9.0</v>
      </c>
      <c r="BF65" s="941">
        <v>0.0</v>
      </c>
      <c r="BG65" s="941">
        <v>0.0</v>
      </c>
    </row>
    <row r="66">
      <c r="A66" s="946" t="s">
        <v>126</v>
      </c>
      <c r="B66" s="16" t="str">
        <f>IF(C66&lt;'PlayerGrades+'!$Y$44,"F-",IF(C66&lt;'PlayerGrades+'!$Y$43,"F",IF(C66&lt;'PlayerGrades+'!$Y$42,"F+",IF(C66&lt;'PlayerGrades+'!$Y$41,"E-",IF(C66&lt;'PlayerGrades+'!$Y$40,"E",IF(C66&lt;'PlayerGrades+'!$Y$39,"E+",IF(C66&lt;'PlayerGrades+'!$Y$38,"D-",IF(C66&lt;'PlayerGrades+'!$Y$37,"D",IF(C66&lt;'PlayerGrades+'!$Y$36,"D+",IF(C66&lt;'PlayerGrades+'!$Y$35,"C-",IF(C66&lt;'PlayerGrades+'!$Y$34,"C",IF(C66&lt;'PlayerGrades+'!$Y$33,"C+",IF(C66&lt;'PlayerGrades+'!$Y$32,"B-",IF(C66&lt;'PlayerGrades+'!$Y$31,"B",IF(C66&lt;'PlayerGrades+'!$Y$30,"B+",IF(C66&lt;'PlayerGrades+'!$Y$29,"A-",IF(C66&lt;'PlayerGrades+'!$Y$28,"A",IF(C66&lt;'PlayerGrades+'!$Y$27,"A+",IF(C66&lt;'PlayerGrades+'!$Y$26,"S-",IF(C66&lt;'PlayerGrades+'!$Y$25,"S","S+"))))))))))))))))))))</f>
        <v>E-</v>
      </c>
      <c r="C66" s="936">
        <f>('PlayerGrades+'!$Y$47*(VLOOKUP(E66, 'PlayerGrades+'!$X$3:$Y$23, 2, FALSE)))+('PlayerGrades+'!$Y$48*(VLOOKUP(G66, 'PlayerGrades+'!$X$3:$Y$23, 2, FALSE)))+('PlayerGrades+'!$Y$49*(VLOOKUP(I66, 'PlayerGrades+'!$X$3:$Y$23, 2, FALSE)))+('PlayerGrades+'!$Y$50*(VLOOKUP(K66, 'PlayerGrades+'!$X$3:$Y$23, 2, FALSE)))+('PlayerGrades+'!$Y$51*(VLOOKUP(M66, 'PlayerGrades+'!$X$3:$Y$23, 2, FALSE)))+('PlayerGrades+'!$Y$52*(VLOOKUP(O66, 'PlayerGrades+'!$X$3:$Y$23, 2, FALSE)))+('PlayerGrades+'!$Y$53*(VLOOKUP(Q66, 'PlayerGrades+'!$X$3:$Y$23, 2, FALSE)))+('PlayerGrades+'!$Y$54*(VLOOKUP(S66, 'PlayerGrades+'!$X$3:$Y$23, 2, FALSE)))+('PlayerGrades+'!$Y$55*(VLOOKUP(U66, 'PlayerGrades+'!$X$3:$Y$23, 2, FALSE)))</f>
        <v>11</v>
      </c>
      <c r="D66" s="937">
        <f t="shared" si="1"/>
        <v>0</v>
      </c>
      <c r="E66" s="937" t="str">
        <f>IF(D66&lt;'PlayerGrades+'!$AA$21,"F-",IF(D66&lt;'PlayerGrades+'!$AA$20,"F",IF(D66&lt;'PlayerGrades+'!$AA$19,"F+",IF(D66&lt;'PlayerGrades+'!$AA$18,"E-",IF(D66&lt;'PlayerGrades+'!$AA$17,"E",IF(D66&lt;'PlayerGrades+'!$AA$16,"E+",IF(D66&lt;'PlayerGrades+'!$AA$15,"D-",IF(D66&lt;'PlayerGrades+'!$AA$14,"D",IF(D66&lt;'PlayerGrades+'!$AA$13,"D+",IF(D66&lt;'PlayerGrades+'!$AA$12,"C-",IF(D66&lt;'PlayerGrades+'!$AA$11,"C",IF(D66&lt;'PlayerGrades+'!$AA$10,"C+",IF(D66&lt;'PlayerGrades+'!$AA$9,"B-",IF(D66&lt;'PlayerGrades+'!$AA$8,"B",IF(D66&lt;'PlayerGrades+'!$AA$7,"B+",IF(D66&lt;'PlayerGrades+'!$AA$6,"A-",IF(D66&lt;'PlayerGrades+'!$AA$5,"A",IF(D66&lt;'PlayerGrades+'!$AA$4,"A+",IF(D66&lt;'PlayerGrades+'!$AA$3,"S-",IF(D66&lt;'PlayerGrades+'!$AA$2,"S","S+"))))))))))))))))))))</f>
        <v>F-</v>
      </c>
      <c r="F66" s="937">
        <f t="shared" si="2"/>
        <v>-1.28959276</v>
      </c>
      <c r="G66" s="937" t="str">
        <f>IF(F66&lt;'PlayerGrades+'!$AB$21,"F-",IF(F66&lt;'PlayerGrades+'!$AB$20,"F",IF(F66&lt;'PlayerGrades+'!$AB$19,"F+",IF(F66&lt;'PlayerGrades+'!$AB$18,"E-",IF(F66&lt;'PlayerGrades+'!$AB$17,"E",IF(F66&lt;'PlayerGrades+'!$AB$16,"E+",IF(F66&lt;'PlayerGrades+'!$AB$15,"D-",IF(F66&lt;'PlayerGrades+'!$AB$14,"D",IF(F66&lt;'PlayerGrades+'!$AB$13,"D+",IF(F66&lt;'PlayerGrades+'!$AB$12,"C-",IF(F66&lt;'PlayerGrades+'!$AB$11,"C",IF(F66&lt;'PlayerGrades+'!$AB$10,"C+",IF(F66&lt;'PlayerGrades+'!$AB$9,"B-",IF(F66&lt;'PlayerGrades+'!$AB$8,"B",IF(F66&lt;'PlayerGrades+'!$AB$7,"B+",IF(F66&lt;'PlayerGrades+'!$AB$6,"A-",IF(F66&lt;'PlayerGrades+'!$AB$5,"A",IF(F66&lt;'PlayerGrades+'!$AB$4,"A+",IF(F66&lt;'PlayerGrades+'!$AB$3,"S-",IF(F66&lt;'PlayerGrades+'!$AB$2,"S","S+"))))))))))))))))))))</f>
        <v>F-</v>
      </c>
      <c r="H66" s="937">
        <f t="shared" si="3"/>
        <v>0.06787330317</v>
      </c>
      <c r="I66" s="937" t="str">
        <f>IF(H66&lt;'PlayerGrades+'!$AC$21,"F-",IF(H66&lt;'PlayerGrades+'!$AC$20,"F",IF(H66&lt;'PlayerGrades+'!$AC$19,"F+",IF(H66&lt;'PlayerGrades+'!$AC$18,"E-",IF(H66&lt;'PlayerGrades+'!$AC$17,"E",IF(H66&lt;'PlayerGrades+'!$AC$16,"E+",IF(H66&lt;'PlayerGrades+'!$AC$15,"D-",IF(H66&lt;'PlayerGrades+'!$AC$14,"D",IF(H66&lt;'PlayerGrades+'!$AC$13,"D+",IF(H66&lt;'PlayerGrades+'!$AC$12,"C-",IF(H66&lt;'PlayerGrades+'!$AC$11,"C",IF(H66&lt;'PlayerGrades+'!$AC$10,"C+",IF(H66&lt;'PlayerGrades+'!$AC$9,"B-",IF(H66&lt;'PlayerGrades+'!$AC$8,"B",IF(H66&lt;'PlayerGrades+'!$AC$7,"B+",IF(H66&lt;'PlayerGrades+'!$AC$6,"A-",IF(H66&lt;'PlayerGrades+'!$AC$5,"A",IF(H66&lt;'PlayerGrades+'!$AC$4,"A+",IF(H66&lt;'PlayerGrades+'!$AC$3,"S-",IF(H66&lt;'PlayerGrades+'!$AC$2,"S","S+"))))))))))))))))))))</f>
        <v>E</v>
      </c>
      <c r="J66" s="937">
        <f t="shared" si="4"/>
        <v>0</v>
      </c>
      <c r="K66" s="937" t="str">
        <f>IF(J66&lt;'PlayerGrades+'!$AD$21,"F-",IF(J66&lt;'PlayerGrades+'!$AD$20,"F",IF(J66&lt;'PlayerGrades+'!$AD$19,"F+",IF(J66&lt;'PlayerGrades+'!$AD$18,"E-",IF(J66&lt;'PlayerGrades+'!$AD$17,"E",IF(J66&lt;'PlayerGrades+'!$AD$16,"E+",IF(J66&lt;'PlayerGrades+'!$AD$15,"D-",IF(J66&lt;'PlayerGrades+'!$AD$14,"D",IF(J66&lt;'PlayerGrades+'!$AD$13,"D+",IF(J66&lt;'PlayerGrades+'!$AD$12,"C-",IF(J66&lt;'PlayerGrades+'!$AD$11,"C",IF(J66&lt;'PlayerGrades+'!$AD$10,"C+",IF(J66&lt;'PlayerGrades+'!$AD$9,"B-",IF(J66&lt;'PlayerGrades+'!$AD$8,"B",IF(J66&lt;'PlayerGrades+'!$AD$7,"B+",IF(J66&lt;'PlayerGrades+'!$AD$6,"A-",IF(J66&lt;'PlayerGrades+'!$AD$5,"A",IF(J66&lt;'PlayerGrades+'!$AD$4,"A+",IF(J66&lt;'PlayerGrades+'!$AD$3,"S-",IF(J66&lt;'PlayerGrades+'!$AD$2,"S","S+"))))))))))))))))))))</f>
        <v>F-</v>
      </c>
      <c r="L66" s="677">
        <f t="shared" si="5"/>
        <v>0.4751131222</v>
      </c>
      <c r="M66" s="938" t="str">
        <f>IF(L66&lt;'PlayerGrades+'!$AE$21,"F-",IF(L66&lt;'PlayerGrades+'!$AE$20,"F",IF(L66&lt;'PlayerGrades+'!$AE$19,"F+",IF(L66&lt;'PlayerGrades+'!$AE$18,"E-",IF(L66&lt;'PlayerGrades+'!$AE$17,"E",IF(L66&lt;'PlayerGrades+'!$AE$16,"E+",IF(L66&lt;'PlayerGrades+'!$AE$15,"D-",IF(L66&lt;'PlayerGrades+'!$AE$14,"D",IF(L66&lt;'PlayerGrades+'!$AE$13,"D+",IF(L66&lt;'PlayerGrades+'!$AE$12,"C-",IF(L66&lt;'PlayerGrades+'!$AE$11,"C",IF(L66&lt;'PlayerGrades+'!$AE$10,"C+",IF(L66&lt;'PlayerGrades+'!$AE$9,"B-",IF(L66&lt;'PlayerGrades+'!$AE$8,"B",IF(L66&lt;'PlayerGrades+'!$AE$7,"B+",IF(L66&lt;'PlayerGrades+'!$AE$6,"A-",IF(L66&lt;'PlayerGrades+'!$AE$5,"A",IF(L66&lt;'PlayerGrades+'!$AE$4,"A+",IF(L66&lt;'PlayerGrades+'!$AE$3,"S-",IF(L66&lt;'PlayerGrades+'!$AE$2,"S","S+"))))))))))))))))))))</f>
        <v>B+</v>
      </c>
      <c r="N66" s="937">
        <f t="shared" si="6"/>
        <v>0.06787330317</v>
      </c>
      <c r="O66" s="937" t="str">
        <f>IF(N66&lt;'PlayerGrades+'!$AF$21,"F-",IF(N66&lt;'PlayerGrades+'!$AF$20,"F",IF(N66&lt;'PlayerGrades+'!$AF$19,"F+",IF(N66&lt;'PlayerGrades+'!$AF$18,"E-",IF(N66&lt;'PlayerGrades+'!$AF$17,"E",IF(N66&lt;'PlayerGrades+'!$AF$16,"E+",IF(N66&lt;'PlayerGrades+'!$AF$15,"D-",IF(N66&lt;'PlayerGrades+'!$AF$14,"D",IF(N66&lt;'PlayerGrades+'!$AF$13,"D+",IF(N66&lt;'PlayerGrades+'!$AF$12,"C-",IF(N66&lt;'PlayerGrades+'!$AF$11,"C",IF(N66&lt;'PlayerGrades+'!$AF$10,"C+",IF(N66&lt;'PlayerGrades+'!$AF$9,"B-",IF(N66&lt;'PlayerGrades+'!$AF$8,"B",IF(N66&lt;'PlayerGrades+'!$AF$7,"B+",IF(N66&lt;'PlayerGrades+'!$AF$6,"A-",IF(N66&lt;'PlayerGrades+'!$AF$5,"A",IF(N66&lt;'PlayerGrades+'!$AF$4,"A+",IF(N66&lt;'PlayerGrades+'!$AF$3,"S-",IF(N66&lt;'PlayerGrades+'!$AF$2,"S","S+"))))))))))))))))))))</f>
        <v>C-</v>
      </c>
      <c r="P66" s="937">
        <f t="shared" si="7"/>
        <v>0</v>
      </c>
      <c r="Q66" s="937" t="str">
        <f>IF(P66&lt;'PlayerGrades+'!$AG$21,"F-",IF(P66&lt;'PlayerGrades+'!$AG$20,"F",IF(P66&lt;'PlayerGrades+'!$AG$19,"F+",IF(P66&lt;'PlayerGrades+'!$AG$18,"E-",IF(P66&lt;'PlayerGrades+'!$AG$17,"E",IF(P66&lt;'PlayerGrades+'!$AG$16,"E+",IF(P66&lt;'PlayerGrades+'!$AG$15,"D-",IF(P66&lt;'PlayerGrades+'!$AG$14,"D",IF(P66&lt;'PlayerGrades+'!$AG$13,"D+",IF(P66&lt;'PlayerGrades+'!$AG$12,"C-",IF(P66&lt;'PlayerGrades+'!$AG$11,"C",IF(P66&lt;'PlayerGrades+'!$AG$10,"C+",IF(P66&lt;'PlayerGrades+'!$AG$9,"B-",IF(P66&lt;'PlayerGrades+'!$AG$8,"B",IF(P66&lt;'PlayerGrades+'!$AG$7,"B+",IF(P66&lt;'PlayerGrades+'!$AG$6,"A-",IF(P66&lt;'PlayerGrades+'!$AG$5,"A",IF(P66&lt;'PlayerGrades+'!$AG$4,"A+",IF(P66&lt;'PlayerGrades+'!$AG$3,"S-",IF(P66&lt;'PlayerGrades+'!$AG$2,"S","S+"))))))))))))))))))))</f>
        <v>F</v>
      </c>
      <c r="R66" s="937">
        <f t="shared" si="8"/>
        <v>0.1357466063</v>
      </c>
      <c r="S66" s="937" t="str">
        <f>IF(R66&lt;'PlayerGrades+'!$AH$21,"F-",IF(R66&lt;'PlayerGrades+'!$AH$20,"F",IF(R66&lt;'PlayerGrades+'!$AH$19,"F+",IF(R66&lt;'PlayerGrades+'!$AH$18,"E-",IF(R66&lt;'PlayerGrades+'!$AH$17,"E",IF(R66&lt;'PlayerGrades+'!$AH$16,"E+",IF(R66&lt;'PlayerGrades+'!$AH$15,"D-",IF(R66&lt;'PlayerGrades+'!$AH$14,"D",IF(R66&lt;'PlayerGrades+'!$AH$13,"D+",IF(R66&lt;'PlayerGrades+'!$AH$12,"C-",IF(R66&lt;'PlayerGrades+'!$AH$11,"C",IF(R66&lt;'PlayerGrades+'!$AH$10,"C+",IF(R66&lt;'PlayerGrades+'!$AH$9,"B-",IF(R66&lt;'PlayerGrades+'!$AH$8,"B",IF(R66&lt;'PlayerGrades+'!$AH$7,"B+",IF(R66&lt;'PlayerGrades+'!$AH$6,"A-",IF(R66&lt;'PlayerGrades+'!$AH$5,"A",IF(R66&lt;'PlayerGrades+'!$AH$4,"A+",IF(R66&lt;'PlayerGrades+'!$AH$3,"S-",IF(R66&lt;'PlayerGrades+'!$AH$2,"S","S+"))))))))))))))))))))</f>
        <v>F-</v>
      </c>
      <c r="T66" s="937">
        <f t="shared" si="9"/>
        <v>1.339366516</v>
      </c>
      <c r="U66" s="937" t="str">
        <f>IF(T66&lt;'PlayerGrades+'!$AI$21,"F-",IF(T66&lt;'PlayerGrades+'!$AI$20,"F",IF(T66&lt;'PlayerGrades+'!$AI$19,"F+",IF(T66&lt;'PlayerGrades+'!$AI$18,"E-",IF(T66&lt;'PlayerGrades+'!$AI$17,"E",IF(T66&lt;'PlayerGrades+'!$AI$16,"E+",IF(T66&lt;'PlayerGrades+'!$AI$15,"D-",IF(T66&lt;'PlayerGrades+'!$AI$14,"D",IF(T66&lt;'PlayerGrades+'!$AI$13,"D+",IF(T66&lt;'PlayerGrades+'!$AI$12,"C-",IF(T66&lt;'PlayerGrades+'!$AI$11,"C",IF(T66&lt;'PlayerGrades+'!$AI$10,"C+",IF(T66&lt;'PlayerGrades+'!$AI$9,"B-",IF(T66&lt;'PlayerGrades+'!$AI$8,"B",IF(T66&lt;'PlayerGrades+'!$AI$7,"B+",IF(T66&lt;'PlayerGrades+'!$AI$6,"A-",IF(T66&lt;'PlayerGrades+'!$AI$5,"A",IF(T66&lt;'PlayerGrades+'!$AI$4,"A+",IF(T66&lt;'PlayerGrades+'!$AI$3,"S-",IF(T66&lt;'PlayerGrades+'!$AI$2,"S","S+"))))))))))))))))))))</f>
        <v>B-</v>
      </c>
      <c r="V66" s="939">
        <v>1.0</v>
      </c>
      <c r="W66" s="939">
        <v>0.0</v>
      </c>
      <c r="X66" s="939">
        <v>1.0</v>
      </c>
      <c r="Y66" s="939">
        <v>0.0</v>
      </c>
      <c r="Z66" s="939">
        <v>0.0</v>
      </c>
      <c r="AA66" s="939">
        <v>39.0</v>
      </c>
      <c r="AB66" s="939">
        <v>58.0</v>
      </c>
      <c r="AC66" s="939">
        <v>-19.0</v>
      </c>
      <c r="AD66" s="939">
        <v>1.0</v>
      </c>
      <c r="AE66" s="939">
        <v>3.0</v>
      </c>
      <c r="AF66" s="939">
        <v>0.0</v>
      </c>
      <c r="AG66" s="939">
        <v>614.0</v>
      </c>
      <c r="AH66" s="939">
        <v>884.0</v>
      </c>
      <c r="AI66" s="939">
        <v>10.0</v>
      </c>
      <c r="AJ66" s="939">
        <v>2.0</v>
      </c>
      <c r="AK66" s="939">
        <v>0.0</v>
      </c>
      <c r="AL66" s="939">
        <v>0.0</v>
      </c>
      <c r="AM66" s="939">
        <v>0.0</v>
      </c>
      <c r="AN66" s="939">
        <v>0.0</v>
      </c>
      <c r="AO66" s="939">
        <v>0.0</v>
      </c>
      <c r="AP66" s="939">
        <v>0.0</v>
      </c>
      <c r="AQ66" s="939">
        <v>0.0</v>
      </c>
      <c r="AR66" s="939">
        <v>7.0</v>
      </c>
      <c r="AS66" s="939">
        <v>1.0</v>
      </c>
      <c r="AT66" s="939">
        <v>0.0</v>
      </c>
      <c r="AU66" s="939">
        <v>0.0</v>
      </c>
      <c r="AV66" s="939">
        <v>0.0</v>
      </c>
      <c r="AW66" s="939">
        <v>0.0</v>
      </c>
      <c r="AX66" s="939">
        <v>0.0</v>
      </c>
      <c r="AY66" s="939">
        <v>0.0</v>
      </c>
      <c r="AZ66" s="939">
        <v>0.0</v>
      </c>
      <c r="BA66" s="939">
        <v>0.0</v>
      </c>
      <c r="BB66" s="939">
        <v>1.0</v>
      </c>
      <c r="BC66" s="895">
        <v>0.0</v>
      </c>
      <c r="BD66" s="895">
        <v>1.0</v>
      </c>
      <c r="BE66" s="947">
        <v>5.0</v>
      </c>
      <c r="BF66" s="941">
        <v>1.0</v>
      </c>
      <c r="BG66" s="941">
        <v>0.0</v>
      </c>
    </row>
    <row r="67">
      <c r="A67" s="935" t="s">
        <v>115</v>
      </c>
      <c r="B67" s="16" t="str">
        <f>IF(C67&lt;'PlayerGrades+'!$Y$44,"F-",IF(C67&lt;'PlayerGrades+'!$Y$43,"F",IF(C67&lt;'PlayerGrades+'!$Y$42,"F+",IF(C67&lt;'PlayerGrades+'!$Y$41,"E-",IF(C67&lt;'PlayerGrades+'!$Y$40,"E",IF(C67&lt;'PlayerGrades+'!$Y$39,"E+",IF(C67&lt;'PlayerGrades+'!$Y$38,"D-",IF(C67&lt;'PlayerGrades+'!$Y$37,"D",IF(C67&lt;'PlayerGrades+'!$Y$36,"D+",IF(C67&lt;'PlayerGrades+'!$Y$35,"C-",IF(C67&lt;'PlayerGrades+'!$Y$34,"C",IF(C67&lt;'PlayerGrades+'!$Y$33,"C+",IF(C67&lt;'PlayerGrades+'!$Y$32,"B-",IF(C67&lt;'PlayerGrades+'!$Y$31,"B",IF(C67&lt;'PlayerGrades+'!$Y$30,"B+",IF(C67&lt;'PlayerGrades+'!$Y$29,"A-",IF(C67&lt;'PlayerGrades+'!$Y$28,"A",IF(C67&lt;'PlayerGrades+'!$Y$27,"A+",IF(C67&lt;'PlayerGrades+'!$Y$26,"S-",IF(C67&lt;'PlayerGrades+'!$Y$25,"S","S+"))))))))))))))))))))</f>
        <v>F-</v>
      </c>
      <c r="C67" s="936">
        <f>('PlayerGrades+'!$Y$47*(VLOOKUP(E67, 'PlayerGrades+'!$X$3:$Y$23, 2, FALSE)))+('PlayerGrades+'!$Y$48*(VLOOKUP(G67, 'PlayerGrades+'!$X$3:$Y$23, 2, FALSE)))+('PlayerGrades+'!$Y$49*(VLOOKUP(I67, 'PlayerGrades+'!$X$3:$Y$23, 2, FALSE)))+('PlayerGrades+'!$Y$50*(VLOOKUP(K67, 'PlayerGrades+'!$X$3:$Y$23, 2, FALSE)))+('PlayerGrades+'!$Y$51*(VLOOKUP(M67, 'PlayerGrades+'!$X$3:$Y$23, 2, FALSE)))+('PlayerGrades+'!$Y$52*(VLOOKUP(O67, 'PlayerGrades+'!$X$3:$Y$23, 2, FALSE)))+('PlayerGrades+'!$Y$53*(VLOOKUP(Q67, 'PlayerGrades+'!$X$3:$Y$23, 2, FALSE)))+('PlayerGrades+'!$Y$54*(VLOOKUP(S67, 'PlayerGrades+'!$X$3:$Y$23, 2, FALSE)))+('PlayerGrades+'!$Y$55*(VLOOKUP(U67, 'PlayerGrades+'!$X$3:$Y$23, 2, FALSE)))</f>
        <v>6.3</v>
      </c>
      <c r="D67" s="937">
        <f t="shared" si="1"/>
        <v>0</v>
      </c>
      <c r="E67" s="937" t="str">
        <f>IF(D67&lt;'PlayerGrades+'!$AA$21,"F-",IF(D67&lt;'PlayerGrades+'!$AA$20,"F",IF(D67&lt;'PlayerGrades+'!$AA$19,"F+",IF(D67&lt;'PlayerGrades+'!$AA$18,"E-",IF(D67&lt;'PlayerGrades+'!$AA$17,"E",IF(D67&lt;'PlayerGrades+'!$AA$16,"E+",IF(D67&lt;'PlayerGrades+'!$AA$15,"D-",IF(D67&lt;'PlayerGrades+'!$AA$14,"D",IF(D67&lt;'PlayerGrades+'!$AA$13,"D+",IF(D67&lt;'PlayerGrades+'!$AA$12,"C-",IF(D67&lt;'PlayerGrades+'!$AA$11,"C",IF(D67&lt;'PlayerGrades+'!$AA$10,"C+",IF(D67&lt;'PlayerGrades+'!$AA$9,"B-",IF(D67&lt;'PlayerGrades+'!$AA$8,"B",IF(D67&lt;'PlayerGrades+'!$AA$7,"B+",IF(D67&lt;'PlayerGrades+'!$AA$6,"A-",IF(D67&lt;'PlayerGrades+'!$AA$5,"A",IF(D67&lt;'PlayerGrades+'!$AA$4,"A+",IF(D67&lt;'PlayerGrades+'!$AA$3,"S-",IF(D67&lt;'PlayerGrades+'!$AA$2,"S","S+"))))))))))))))))))))</f>
        <v>F-</v>
      </c>
      <c r="F67" s="937">
        <f t="shared" si="2"/>
        <v>-2.171945701</v>
      </c>
      <c r="G67" s="937" t="str">
        <f>IF(F67&lt;'PlayerGrades+'!$AB$21,"F-",IF(F67&lt;'PlayerGrades+'!$AB$20,"F",IF(F67&lt;'PlayerGrades+'!$AB$19,"F+",IF(F67&lt;'PlayerGrades+'!$AB$18,"E-",IF(F67&lt;'PlayerGrades+'!$AB$17,"E",IF(F67&lt;'PlayerGrades+'!$AB$16,"E+",IF(F67&lt;'PlayerGrades+'!$AB$15,"D-",IF(F67&lt;'PlayerGrades+'!$AB$14,"D",IF(F67&lt;'PlayerGrades+'!$AB$13,"D+",IF(F67&lt;'PlayerGrades+'!$AB$12,"C-",IF(F67&lt;'PlayerGrades+'!$AB$11,"C",IF(F67&lt;'PlayerGrades+'!$AB$10,"C+",IF(F67&lt;'PlayerGrades+'!$AB$9,"B-",IF(F67&lt;'PlayerGrades+'!$AB$8,"B",IF(F67&lt;'PlayerGrades+'!$AB$7,"B+",IF(F67&lt;'PlayerGrades+'!$AB$6,"A-",IF(F67&lt;'PlayerGrades+'!$AB$5,"A",IF(F67&lt;'PlayerGrades+'!$AB$4,"A+",IF(F67&lt;'PlayerGrades+'!$AB$3,"S-",IF(F67&lt;'PlayerGrades+'!$AB$2,"S","S+"))))))))))))))))))))</f>
        <v>F-</v>
      </c>
      <c r="H67" s="937">
        <f t="shared" si="3"/>
        <v>0.06787330317</v>
      </c>
      <c r="I67" s="937" t="str">
        <f>IF(H67&lt;'PlayerGrades+'!$AC$21,"F-",IF(H67&lt;'PlayerGrades+'!$AC$20,"F",IF(H67&lt;'PlayerGrades+'!$AC$19,"F+",IF(H67&lt;'PlayerGrades+'!$AC$18,"E-",IF(H67&lt;'PlayerGrades+'!$AC$17,"E",IF(H67&lt;'PlayerGrades+'!$AC$16,"E+",IF(H67&lt;'PlayerGrades+'!$AC$15,"D-",IF(H67&lt;'PlayerGrades+'!$AC$14,"D",IF(H67&lt;'PlayerGrades+'!$AC$13,"D+",IF(H67&lt;'PlayerGrades+'!$AC$12,"C-",IF(H67&lt;'PlayerGrades+'!$AC$11,"C",IF(H67&lt;'PlayerGrades+'!$AC$10,"C+",IF(H67&lt;'PlayerGrades+'!$AC$9,"B-",IF(H67&lt;'PlayerGrades+'!$AC$8,"B",IF(H67&lt;'PlayerGrades+'!$AC$7,"B+",IF(H67&lt;'PlayerGrades+'!$AC$6,"A-",IF(H67&lt;'PlayerGrades+'!$AC$5,"A",IF(H67&lt;'PlayerGrades+'!$AC$4,"A+",IF(H67&lt;'PlayerGrades+'!$AC$3,"S-",IF(H67&lt;'PlayerGrades+'!$AC$2,"S","S+"))))))))))))))))))))</f>
        <v>E</v>
      </c>
      <c r="J67" s="937">
        <f t="shared" si="4"/>
        <v>0</v>
      </c>
      <c r="K67" s="937" t="str">
        <f>IF(J67&lt;'PlayerGrades+'!$AD$21,"F-",IF(J67&lt;'PlayerGrades+'!$AD$20,"F",IF(J67&lt;'PlayerGrades+'!$AD$19,"F+",IF(J67&lt;'PlayerGrades+'!$AD$18,"E-",IF(J67&lt;'PlayerGrades+'!$AD$17,"E",IF(J67&lt;'PlayerGrades+'!$AD$16,"E+",IF(J67&lt;'PlayerGrades+'!$AD$15,"D-",IF(J67&lt;'PlayerGrades+'!$AD$14,"D",IF(J67&lt;'PlayerGrades+'!$AD$13,"D+",IF(J67&lt;'PlayerGrades+'!$AD$12,"C-",IF(J67&lt;'PlayerGrades+'!$AD$11,"C",IF(J67&lt;'PlayerGrades+'!$AD$10,"C+",IF(J67&lt;'PlayerGrades+'!$AD$9,"B-",IF(J67&lt;'PlayerGrades+'!$AD$8,"B",IF(J67&lt;'PlayerGrades+'!$AD$7,"B+",IF(J67&lt;'PlayerGrades+'!$AD$6,"A-",IF(J67&lt;'PlayerGrades+'!$AD$5,"A",IF(J67&lt;'PlayerGrades+'!$AD$4,"A+",IF(J67&lt;'PlayerGrades+'!$AD$3,"S-",IF(J67&lt;'PlayerGrades+'!$AD$2,"S","S+"))))))))))))))))))))</f>
        <v>F-</v>
      </c>
      <c r="L67" s="677">
        <f t="shared" si="5"/>
        <v>0.06787330317</v>
      </c>
      <c r="M67" s="938" t="str">
        <f>IF(L67&lt;'PlayerGrades+'!$AE$21,"F-",IF(L67&lt;'PlayerGrades+'!$AE$20,"F",IF(L67&lt;'PlayerGrades+'!$AE$19,"F+",IF(L67&lt;'PlayerGrades+'!$AE$18,"E-",IF(L67&lt;'PlayerGrades+'!$AE$17,"E",IF(L67&lt;'PlayerGrades+'!$AE$16,"E+",IF(L67&lt;'PlayerGrades+'!$AE$15,"D-",IF(L67&lt;'PlayerGrades+'!$AE$14,"D",IF(L67&lt;'PlayerGrades+'!$AE$13,"D+",IF(L67&lt;'PlayerGrades+'!$AE$12,"C-",IF(L67&lt;'PlayerGrades+'!$AE$11,"C",IF(L67&lt;'PlayerGrades+'!$AE$10,"C+",IF(L67&lt;'PlayerGrades+'!$AE$9,"B-",IF(L67&lt;'PlayerGrades+'!$AE$8,"B",IF(L67&lt;'PlayerGrades+'!$AE$7,"B+",IF(L67&lt;'PlayerGrades+'!$AE$6,"A-",IF(L67&lt;'PlayerGrades+'!$AE$5,"A",IF(L67&lt;'PlayerGrades+'!$AE$4,"A+",IF(L67&lt;'PlayerGrades+'!$AE$3,"S-",IF(L67&lt;'PlayerGrades+'!$AE$2,"S","S+"))))))))))))))))))))</f>
        <v>F-</v>
      </c>
      <c r="N67" s="937">
        <f t="shared" si="6"/>
        <v>0</v>
      </c>
      <c r="O67" s="937" t="str">
        <f>IF(N67&lt;'PlayerGrades+'!$AF$21,"F-",IF(N67&lt;'PlayerGrades+'!$AF$20,"F",IF(N67&lt;'PlayerGrades+'!$AF$19,"F+",IF(N67&lt;'PlayerGrades+'!$AF$18,"E-",IF(N67&lt;'PlayerGrades+'!$AF$17,"E",IF(N67&lt;'PlayerGrades+'!$AF$16,"E+",IF(N67&lt;'PlayerGrades+'!$AF$15,"D-",IF(N67&lt;'PlayerGrades+'!$AF$14,"D",IF(N67&lt;'PlayerGrades+'!$AF$13,"D+",IF(N67&lt;'PlayerGrades+'!$AF$12,"C-",IF(N67&lt;'PlayerGrades+'!$AF$11,"C",IF(N67&lt;'PlayerGrades+'!$AF$10,"C+",IF(N67&lt;'PlayerGrades+'!$AF$9,"B-",IF(N67&lt;'PlayerGrades+'!$AF$8,"B",IF(N67&lt;'PlayerGrades+'!$AF$7,"B+",IF(N67&lt;'PlayerGrades+'!$AF$6,"A-",IF(N67&lt;'PlayerGrades+'!$AF$5,"A",IF(N67&lt;'PlayerGrades+'!$AF$4,"A+",IF(N67&lt;'PlayerGrades+'!$AF$3,"S-",IF(N67&lt;'PlayerGrades+'!$AF$2,"S","S+"))))))))))))))))))))</f>
        <v>F-</v>
      </c>
      <c r="P67" s="937">
        <f t="shared" si="7"/>
        <v>0</v>
      </c>
      <c r="Q67" s="937" t="str">
        <f>IF(P67&lt;'PlayerGrades+'!$AG$21,"F-",IF(P67&lt;'PlayerGrades+'!$AG$20,"F",IF(P67&lt;'PlayerGrades+'!$AG$19,"F+",IF(P67&lt;'PlayerGrades+'!$AG$18,"E-",IF(P67&lt;'PlayerGrades+'!$AG$17,"E",IF(P67&lt;'PlayerGrades+'!$AG$16,"E+",IF(P67&lt;'PlayerGrades+'!$AG$15,"D-",IF(P67&lt;'PlayerGrades+'!$AG$14,"D",IF(P67&lt;'PlayerGrades+'!$AG$13,"D+",IF(P67&lt;'PlayerGrades+'!$AG$12,"C-",IF(P67&lt;'PlayerGrades+'!$AG$11,"C",IF(P67&lt;'PlayerGrades+'!$AG$10,"C+",IF(P67&lt;'PlayerGrades+'!$AG$9,"B-",IF(P67&lt;'PlayerGrades+'!$AG$8,"B",IF(P67&lt;'PlayerGrades+'!$AG$7,"B+",IF(P67&lt;'PlayerGrades+'!$AG$6,"A-",IF(P67&lt;'PlayerGrades+'!$AG$5,"A",IF(P67&lt;'PlayerGrades+'!$AG$4,"A+",IF(P67&lt;'PlayerGrades+'!$AG$3,"S-",IF(P67&lt;'PlayerGrades+'!$AG$2,"S","S+"))))))))))))))))))))</f>
        <v>F</v>
      </c>
      <c r="R67" s="937">
        <f t="shared" si="8"/>
        <v>0.1357466063</v>
      </c>
      <c r="S67" s="937" t="str">
        <f>IF(R67&lt;'PlayerGrades+'!$AH$21,"F-",IF(R67&lt;'PlayerGrades+'!$AH$20,"F",IF(R67&lt;'PlayerGrades+'!$AH$19,"F+",IF(R67&lt;'PlayerGrades+'!$AH$18,"E-",IF(R67&lt;'PlayerGrades+'!$AH$17,"E",IF(R67&lt;'PlayerGrades+'!$AH$16,"E+",IF(R67&lt;'PlayerGrades+'!$AH$15,"D-",IF(R67&lt;'PlayerGrades+'!$AH$14,"D",IF(R67&lt;'PlayerGrades+'!$AH$13,"D+",IF(R67&lt;'PlayerGrades+'!$AH$12,"C-",IF(R67&lt;'PlayerGrades+'!$AH$11,"C",IF(R67&lt;'PlayerGrades+'!$AH$10,"C+",IF(R67&lt;'PlayerGrades+'!$AH$9,"B-",IF(R67&lt;'PlayerGrades+'!$AH$8,"B",IF(R67&lt;'PlayerGrades+'!$AH$7,"B+",IF(R67&lt;'PlayerGrades+'!$AH$6,"A-",IF(R67&lt;'PlayerGrades+'!$AH$5,"A",IF(R67&lt;'PlayerGrades+'!$AH$4,"A+",IF(R67&lt;'PlayerGrades+'!$AH$3,"S-",IF(R67&lt;'PlayerGrades+'!$AH$2,"S","S+"))))))))))))))))))))</f>
        <v>F-</v>
      </c>
      <c r="T67" s="937">
        <f t="shared" si="9"/>
        <v>2.542986425</v>
      </c>
      <c r="U67" s="937" t="str">
        <f>IF(T67&lt;'PlayerGrades+'!$AI$21,"F-",IF(T67&lt;'PlayerGrades+'!$AI$20,"F",IF(T67&lt;'PlayerGrades+'!$AI$19,"F+",IF(T67&lt;'PlayerGrades+'!$AI$18,"E-",IF(T67&lt;'PlayerGrades+'!$AI$17,"E",IF(T67&lt;'PlayerGrades+'!$AI$16,"E+",IF(T67&lt;'PlayerGrades+'!$AI$15,"D-",IF(T67&lt;'PlayerGrades+'!$AI$14,"D",IF(T67&lt;'PlayerGrades+'!$AI$13,"D+",IF(T67&lt;'PlayerGrades+'!$AI$12,"C-",IF(T67&lt;'PlayerGrades+'!$AI$11,"C",IF(T67&lt;'PlayerGrades+'!$AI$10,"C+",IF(T67&lt;'PlayerGrades+'!$AI$9,"B-",IF(T67&lt;'PlayerGrades+'!$AI$8,"B",IF(T67&lt;'PlayerGrades+'!$AI$7,"B+",IF(T67&lt;'PlayerGrades+'!$AI$6,"A-",IF(T67&lt;'PlayerGrades+'!$AI$5,"A",IF(T67&lt;'PlayerGrades+'!$AI$4,"A+",IF(T67&lt;'PlayerGrades+'!$AI$3,"S-",IF(T67&lt;'PlayerGrades+'!$AI$2,"S","S+"))))))))))))))))))))</f>
        <v>S+</v>
      </c>
      <c r="V67" s="941">
        <v>1.0</v>
      </c>
      <c r="W67" s="941">
        <v>0.0</v>
      </c>
      <c r="X67" s="941">
        <v>1.0</v>
      </c>
      <c r="Y67" s="941">
        <v>0.0</v>
      </c>
      <c r="Z67" s="941">
        <v>0.0</v>
      </c>
      <c r="AA67" s="941">
        <v>29.0</v>
      </c>
      <c r="AB67" s="941">
        <v>61.0</v>
      </c>
      <c r="AC67" s="941">
        <v>-32.0</v>
      </c>
      <c r="AD67" s="941">
        <v>0.0</v>
      </c>
      <c r="AE67" s="941">
        <v>3.0</v>
      </c>
      <c r="AF67" s="941">
        <v>2.0</v>
      </c>
      <c r="AG67" s="941">
        <v>607.0</v>
      </c>
      <c r="AH67" s="941">
        <v>884.0</v>
      </c>
      <c r="AI67" s="941">
        <v>9.0</v>
      </c>
      <c r="AJ67" s="941">
        <v>2.0</v>
      </c>
      <c r="AK67" s="941">
        <v>0.0</v>
      </c>
      <c r="AL67" s="941">
        <v>0.0</v>
      </c>
      <c r="AM67" s="941">
        <v>0.0</v>
      </c>
      <c r="AN67" s="941">
        <v>0.0</v>
      </c>
      <c r="AO67" s="941">
        <v>0.0</v>
      </c>
      <c r="AP67" s="941">
        <v>0.0</v>
      </c>
      <c r="AQ67" s="941">
        <v>0.0</v>
      </c>
      <c r="AR67" s="941">
        <v>1.0</v>
      </c>
      <c r="AS67" s="941">
        <v>0.0</v>
      </c>
      <c r="AT67" s="941">
        <v>0.0</v>
      </c>
      <c r="AU67" s="941">
        <v>0.0</v>
      </c>
      <c r="AV67" s="941">
        <v>0.0</v>
      </c>
      <c r="AW67" s="941">
        <v>0.0</v>
      </c>
      <c r="AX67" s="941">
        <v>0.0</v>
      </c>
      <c r="AY67" s="941">
        <v>0.0</v>
      </c>
      <c r="AZ67" s="941">
        <v>0.0</v>
      </c>
      <c r="BA67" s="941">
        <v>0.0</v>
      </c>
      <c r="BB67" s="941">
        <v>1.0</v>
      </c>
      <c r="BC67" s="941">
        <v>0.0</v>
      </c>
      <c r="BD67" s="941">
        <v>2.0</v>
      </c>
      <c r="BE67" s="942">
        <v>8.0</v>
      </c>
      <c r="BF67" s="941">
        <v>2.0</v>
      </c>
      <c r="BG67" s="941">
        <v>0.0</v>
      </c>
    </row>
    <row r="68">
      <c r="A68" s="935" t="s">
        <v>137</v>
      </c>
      <c r="B68" s="16" t="str">
        <f>IF(C68&lt;'PlayerGrades+'!$Y$44,"F-",IF(C68&lt;'PlayerGrades+'!$Y$43,"F",IF(C68&lt;'PlayerGrades+'!$Y$42,"F+",IF(C68&lt;'PlayerGrades+'!$Y$41,"E-",IF(C68&lt;'PlayerGrades+'!$Y$40,"E",IF(C68&lt;'PlayerGrades+'!$Y$39,"E+",IF(C68&lt;'PlayerGrades+'!$Y$38,"D-",IF(C68&lt;'PlayerGrades+'!$Y$37,"D",IF(C68&lt;'PlayerGrades+'!$Y$36,"D+",IF(C68&lt;'PlayerGrades+'!$Y$35,"C-",IF(C68&lt;'PlayerGrades+'!$Y$34,"C",IF(C68&lt;'PlayerGrades+'!$Y$33,"C+",IF(C68&lt;'PlayerGrades+'!$Y$32,"B-",IF(C68&lt;'PlayerGrades+'!$Y$31,"B",IF(C68&lt;'PlayerGrades+'!$Y$30,"B+",IF(C68&lt;'PlayerGrades+'!$Y$29,"A-",IF(C68&lt;'PlayerGrades+'!$Y$28,"A",IF(C68&lt;'PlayerGrades+'!$Y$27,"A+",IF(C68&lt;'PlayerGrades+'!$Y$26,"S-",IF(C68&lt;'PlayerGrades+'!$Y$25,"S","S+"))))))))))))))))))))</f>
        <v>D+</v>
      </c>
      <c r="C68" s="936">
        <f>('PlayerGrades+'!$Y$47*(VLOOKUP(E68, 'PlayerGrades+'!$X$3:$Y$23, 2, FALSE)))+('PlayerGrades+'!$Y$48*(VLOOKUP(G68, 'PlayerGrades+'!$X$3:$Y$23, 2, FALSE)))+('PlayerGrades+'!$Y$49*(VLOOKUP(I68, 'PlayerGrades+'!$X$3:$Y$23, 2, FALSE)))+('PlayerGrades+'!$Y$50*(VLOOKUP(K68, 'PlayerGrades+'!$X$3:$Y$23, 2, FALSE)))+('PlayerGrades+'!$Y$51*(VLOOKUP(M68, 'PlayerGrades+'!$X$3:$Y$23, 2, FALSE)))+('PlayerGrades+'!$Y$52*(VLOOKUP(O68, 'PlayerGrades+'!$X$3:$Y$23, 2, FALSE)))+('PlayerGrades+'!$Y$53*(VLOOKUP(Q68, 'PlayerGrades+'!$X$3:$Y$23, 2, FALSE)))+('PlayerGrades+'!$Y$54*(VLOOKUP(S68, 'PlayerGrades+'!$X$3:$Y$23, 2, FALSE)))+('PlayerGrades+'!$Y$55*(VLOOKUP(U68, 'PlayerGrades+'!$X$3:$Y$23, 2, FALSE)))</f>
        <v>17.5</v>
      </c>
      <c r="D68" s="937">
        <f t="shared" si="1"/>
        <v>0</v>
      </c>
      <c r="E68" s="937" t="str">
        <f>IF(D68&lt;'PlayerGrades+'!$AA$21,"F-",IF(D68&lt;'PlayerGrades+'!$AA$20,"F",IF(D68&lt;'PlayerGrades+'!$AA$19,"F+",IF(D68&lt;'PlayerGrades+'!$AA$18,"E-",IF(D68&lt;'PlayerGrades+'!$AA$17,"E",IF(D68&lt;'PlayerGrades+'!$AA$16,"E+",IF(D68&lt;'PlayerGrades+'!$AA$15,"D-",IF(D68&lt;'PlayerGrades+'!$AA$14,"D",IF(D68&lt;'PlayerGrades+'!$AA$13,"D+",IF(D68&lt;'PlayerGrades+'!$AA$12,"C-",IF(D68&lt;'PlayerGrades+'!$AA$11,"C",IF(D68&lt;'PlayerGrades+'!$AA$10,"C+",IF(D68&lt;'PlayerGrades+'!$AA$9,"B-",IF(D68&lt;'PlayerGrades+'!$AA$8,"B",IF(D68&lt;'PlayerGrades+'!$AA$7,"B+",IF(D68&lt;'PlayerGrades+'!$AA$6,"A-",IF(D68&lt;'PlayerGrades+'!$AA$5,"A",IF(D68&lt;'PlayerGrades+'!$AA$4,"A+",IF(D68&lt;'PlayerGrades+'!$AA$3,"S-",IF(D68&lt;'PlayerGrades+'!$AA$2,"S","S+"))))))))))))))))))))</f>
        <v>F-</v>
      </c>
      <c r="F68" s="937">
        <f t="shared" si="2"/>
        <v>-0.3393665158</v>
      </c>
      <c r="G68" s="937" t="str">
        <f>IF(F68&lt;'PlayerGrades+'!$AB$21,"F-",IF(F68&lt;'PlayerGrades+'!$AB$20,"F",IF(F68&lt;'PlayerGrades+'!$AB$19,"F+",IF(F68&lt;'PlayerGrades+'!$AB$18,"E-",IF(F68&lt;'PlayerGrades+'!$AB$17,"E",IF(F68&lt;'PlayerGrades+'!$AB$16,"E+",IF(F68&lt;'PlayerGrades+'!$AB$15,"D-",IF(F68&lt;'PlayerGrades+'!$AB$14,"D",IF(F68&lt;'PlayerGrades+'!$AB$13,"D+",IF(F68&lt;'PlayerGrades+'!$AB$12,"C-",IF(F68&lt;'PlayerGrades+'!$AB$11,"C",IF(F68&lt;'PlayerGrades+'!$AB$10,"C+",IF(F68&lt;'PlayerGrades+'!$AB$9,"B-",IF(F68&lt;'PlayerGrades+'!$AB$8,"B",IF(F68&lt;'PlayerGrades+'!$AB$7,"B+",IF(F68&lt;'PlayerGrades+'!$AB$6,"A-",IF(F68&lt;'PlayerGrades+'!$AB$5,"A",IF(F68&lt;'PlayerGrades+'!$AB$4,"A+",IF(F68&lt;'PlayerGrades+'!$AB$3,"S-",IF(F68&lt;'PlayerGrades+'!$AB$2,"S","S+"))))))))))))))))))))</f>
        <v>C-</v>
      </c>
      <c r="H68" s="937">
        <f t="shared" si="3"/>
        <v>0</v>
      </c>
      <c r="I68" s="937" t="str">
        <f>IF(H68&lt;'PlayerGrades+'!$AC$21,"F-",IF(H68&lt;'PlayerGrades+'!$AC$20,"F",IF(H68&lt;'PlayerGrades+'!$AC$19,"F+",IF(H68&lt;'PlayerGrades+'!$AC$18,"E-",IF(H68&lt;'PlayerGrades+'!$AC$17,"E",IF(H68&lt;'PlayerGrades+'!$AC$16,"E+",IF(H68&lt;'PlayerGrades+'!$AC$15,"D-",IF(H68&lt;'PlayerGrades+'!$AC$14,"D",IF(H68&lt;'PlayerGrades+'!$AC$13,"D+",IF(H68&lt;'PlayerGrades+'!$AC$12,"C-",IF(H68&lt;'PlayerGrades+'!$AC$11,"C",IF(H68&lt;'PlayerGrades+'!$AC$10,"C+",IF(H68&lt;'PlayerGrades+'!$AC$9,"B-",IF(H68&lt;'PlayerGrades+'!$AC$8,"B",IF(H68&lt;'PlayerGrades+'!$AC$7,"B+",IF(H68&lt;'PlayerGrades+'!$AC$6,"A-",IF(H68&lt;'PlayerGrades+'!$AC$5,"A",IF(H68&lt;'PlayerGrades+'!$AC$4,"A+",IF(H68&lt;'PlayerGrades+'!$AC$3,"S-",IF(H68&lt;'PlayerGrades+'!$AC$2,"S","S+"))))))))))))))))))))</f>
        <v>F-</v>
      </c>
      <c r="J68" s="937">
        <f t="shared" si="4"/>
        <v>0.06787330317</v>
      </c>
      <c r="K68" s="937" t="str">
        <f>IF(J68&lt;'PlayerGrades+'!$AD$21,"F-",IF(J68&lt;'PlayerGrades+'!$AD$20,"F",IF(J68&lt;'PlayerGrades+'!$AD$19,"F+",IF(J68&lt;'PlayerGrades+'!$AD$18,"E-",IF(J68&lt;'PlayerGrades+'!$AD$17,"E",IF(J68&lt;'PlayerGrades+'!$AD$16,"E+",IF(J68&lt;'PlayerGrades+'!$AD$15,"D-",IF(J68&lt;'PlayerGrades+'!$AD$14,"D",IF(J68&lt;'PlayerGrades+'!$AD$13,"D+",IF(J68&lt;'PlayerGrades+'!$AD$12,"C-",IF(J68&lt;'PlayerGrades+'!$AD$11,"C",IF(J68&lt;'PlayerGrades+'!$AD$10,"C+",IF(J68&lt;'PlayerGrades+'!$AD$9,"B-",IF(J68&lt;'PlayerGrades+'!$AD$8,"B",IF(J68&lt;'PlayerGrades+'!$AD$7,"B+",IF(J68&lt;'PlayerGrades+'!$AD$6,"A-",IF(J68&lt;'PlayerGrades+'!$AD$5,"A",IF(J68&lt;'PlayerGrades+'!$AD$4,"A+",IF(J68&lt;'PlayerGrades+'!$AD$3,"S-",IF(J68&lt;'PlayerGrades+'!$AD$2,"S","S+"))))))))))))))))))))</f>
        <v>A-</v>
      </c>
      <c r="L68" s="677">
        <f t="shared" si="5"/>
        <v>0.6787330317</v>
      </c>
      <c r="M68" s="938" t="str">
        <f>IF(L68&lt;'PlayerGrades+'!$AE$21,"F-",IF(L68&lt;'PlayerGrades+'!$AE$20,"F",IF(L68&lt;'PlayerGrades+'!$AE$19,"F+",IF(L68&lt;'PlayerGrades+'!$AE$18,"E-",IF(L68&lt;'PlayerGrades+'!$AE$17,"E",IF(L68&lt;'PlayerGrades+'!$AE$16,"E+",IF(L68&lt;'PlayerGrades+'!$AE$15,"D-",IF(L68&lt;'PlayerGrades+'!$AE$14,"D",IF(L68&lt;'PlayerGrades+'!$AE$13,"D+",IF(L68&lt;'PlayerGrades+'!$AE$12,"C-",IF(L68&lt;'PlayerGrades+'!$AE$11,"C",IF(L68&lt;'PlayerGrades+'!$AE$10,"C+",IF(L68&lt;'PlayerGrades+'!$AE$9,"B-",IF(L68&lt;'PlayerGrades+'!$AE$8,"B",IF(L68&lt;'PlayerGrades+'!$AE$7,"B+",IF(L68&lt;'PlayerGrades+'!$AE$6,"A-",IF(L68&lt;'PlayerGrades+'!$AE$5,"A",IF(L68&lt;'PlayerGrades+'!$AE$4,"A+",IF(L68&lt;'PlayerGrades+'!$AE$3,"S-",IF(L68&lt;'PlayerGrades+'!$AE$2,"S","S+"))))))))))))))))))))</f>
        <v>S</v>
      </c>
      <c r="N68" s="937">
        <f t="shared" si="6"/>
        <v>0</v>
      </c>
      <c r="O68" s="937" t="str">
        <f>IF(N68&lt;'PlayerGrades+'!$AF$21,"F-",IF(N68&lt;'PlayerGrades+'!$AF$20,"F",IF(N68&lt;'PlayerGrades+'!$AF$19,"F+",IF(N68&lt;'PlayerGrades+'!$AF$18,"E-",IF(N68&lt;'PlayerGrades+'!$AF$17,"E",IF(N68&lt;'PlayerGrades+'!$AF$16,"E+",IF(N68&lt;'PlayerGrades+'!$AF$15,"D-",IF(N68&lt;'PlayerGrades+'!$AF$14,"D",IF(N68&lt;'PlayerGrades+'!$AF$13,"D+",IF(N68&lt;'PlayerGrades+'!$AF$12,"C-",IF(N68&lt;'PlayerGrades+'!$AF$11,"C",IF(N68&lt;'PlayerGrades+'!$AF$10,"C+",IF(N68&lt;'PlayerGrades+'!$AF$9,"B-",IF(N68&lt;'PlayerGrades+'!$AF$8,"B",IF(N68&lt;'PlayerGrades+'!$AF$7,"B+",IF(N68&lt;'PlayerGrades+'!$AF$6,"A-",IF(N68&lt;'PlayerGrades+'!$AF$5,"A",IF(N68&lt;'PlayerGrades+'!$AF$4,"A+",IF(N68&lt;'PlayerGrades+'!$AF$3,"S-",IF(N68&lt;'PlayerGrades+'!$AF$2,"S","S+"))))))))))))))))))))</f>
        <v>F-</v>
      </c>
      <c r="P68" s="937">
        <f t="shared" si="7"/>
        <v>0.06787330317</v>
      </c>
      <c r="Q68" s="937" t="str">
        <f>IF(P68&lt;'PlayerGrades+'!$AG$21,"F-",IF(P68&lt;'PlayerGrades+'!$AG$20,"F",IF(P68&lt;'PlayerGrades+'!$AG$19,"F+",IF(P68&lt;'PlayerGrades+'!$AG$18,"E-",IF(P68&lt;'PlayerGrades+'!$AG$17,"E",IF(P68&lt;'PlayerGrades+'!$AG$16,"E+",IF(P68&lt;'PlayerGrades+'!$AG$15,"D-",IF(P68&lt;'PlayerGrades+'!$AG$14,"D",IF(P68&lt;'PlayerGrades+'!$AG$13,"D+",IF(P68&lt;'PlayerGrades+'!$AG$12,"C-",IF(P68&lt;'PlayerGrades+'!$AG$11,"C",IF(P68&lt;'PlayerGrades+'!$AG$10,"C+",IF(P68&lt;'PlayerGrades+'!$AG$9,"B-",IF(P68&lt;'PlayerGrades+'!$AG$8,"B",IF(P68&lt;'PlayerGrades+'!$AG$7,"B+",IF(P68&lt;'PlayerGrades+'!$AG$6,"A-",IF(P68&lt;'PlayerGrades+'!$AG$5,"A",IF(P68&lt;'PlayerGrades+'!$AG$4,"A+",IF(P68&lt;'PlayerGrades+'!$AG$3,"S-",IF(P68&lt;'PlayerGrades+'!$AG$2,"S","S+"))))))))))))))))))))</f>
        <v>S-</v>
      </c>
      <c r="R68" s="937">
        <f t="shared" si="8"/>
        <v>0.7466063348</v>
      </c>
      <c r="S68" s="937" t="str">
        <f>IF(R68&lt;'PlayerGrades+'!$AH$21,"F-",IF(R68&lt;'PlayerGrades+'!$AH$20,"F",IF(R68&lt;'PlayerGrades+'!$AH$19,"F+",IF(R68&lt;'PlayerGrades+'!$AH$18,"E-",IF(R68&lt;'PlayerGrades+'!$AH$17,"E",IF(R68&lt;'PlayerGrades+'!$AH$16,"E+",IF(R68&lt;'PlayerGrades+'!$AH$15,"D-",IF(R68&lt;'PlayerGrades+'!$AH$14,"D",IF(R68&lt;'PlayerGrades+'!$AH$13,"D+",IF(R68&lt;'PlayerGrades+'!$AH$12,"C-",IF(R68&lt;'PlayerGrades+'!$AH$11,"C",IF(R68&lt;'PlayerGrades+'!$AH$10,"C+",IF(R68&lt;'PlayerGrades+'!$AH$9,"B-",IF(R68&lt;'PlayerGrades+'!$AH$8,"B",IF(R68&lt;'PlayerGrades+'!$AH$7,"B+",IF(R68&lt;'PlayerGrades+'!$AH$6,"A-",IF(R68&lt;'PlayerGrades+'!$AH$5,"A",IF(R68&lt;'PlayerGrades+'!$AH$4,"A+",IF(R68&lt;'PlayerGrades+'!$AH$3,"S-",IF(R68&lt;'PlayerGrades+'!$AH$2,"S","S+"))))))))))))))))))))</f>
        <v>S</v>
      </c>
      <c r="T68" s="937">
        <f t="shared" si="9"/>
        <v>0.407239819</v>
      </c>
      <c r="U68" s="937" t="str">
        <f>IF(T68&lt;'PlayerGrades+'!$AI$21,"F-",IF(T68&lt;'PlayerGrades+'!$AI$20,"F",IF(T68&lt;'PlayerGrades+'!$AI$19,"F+",IF(T68&lt;'PlayerGrades+'!$AI$18,"E-",IF(T68&lt;'PlayerGrades+'!$AI$17,"E",IF(T68&lt;'PlayerGrades+'!$AI$16,"E+",IF(T68&lt;'PlayerGrades+'!$AI$15,"D-",IF(T68&lt;'PlayerGrades+'!$AI$14,"D",IF(T68&lt;'PlayerGrades+'!$AI$13,"D+",IF(T68&lt;'PlayerGrades+'!$AI$12,"C-",IF(T68&lt;'PlayerGrades+'!$AI$11,"C",IF(T68&lt;'PlayerGrades+'!$AI$10,"C+",IF(T68&lt;'PlayerGrades+'!$AI$9,"B-",IF(T68&lt;'PlayerGrades+'!$AI$8,"B",IF(T68&lt;'PlayerGrades+'!$AI$7,"B+",IF(T68&lt;'PlayerGrades+'!$AI$6,"A-",IF(T68&lt;'PlayerGrades+'!$AI$5,"A",IF(T68&lt;'PlayerGrades+'!$AI$4,"A+",IF(T68&lt;'PlayerGrades+'!$AI$3,"S-",IF(T68&lt;'PlayerGrades+'!$AI$2,"S","S+"))))))))))))))))))))</f>
        <v>F-</v>
      </c>
      <c r="V68" s="941">
        <v>1.0</v>
      </c>
      <c r="W68" s="941">
        <v>0.0</v>
      </c>
      <c r="X68" s="941">
        <v>1.0</v>
      </c>
      <c r="Y68" s="941">
        <v>0.0</v>
      </c>
      <c r="Z68" s="941">
        <v>0.0</v>
      </c>
      <c r="AA68" s="941">
        <v>51.0</v>
      </c>
      <c r="AB68" s="941">
        <v>56.0</v>
      </c>
      <c r="AC68" s="941">
        <v>-5.0</v>
      </c>
      <c r="AD68" s="941">
        <v>3.0</v>
      </c>
      <c r="AE68" s="941">
        <v>5.0</v>
      </c>
      <c r="AF68" s="941">
        <v>3.0</v>
      </c>
      <c r="AG68" s="941">
        <v>627.0</v>
      </c>
      <c r="AH68" s="941">
        <v>884.0</v>
      </c>
      <c r="AI68" s="941">
        <v>11.0</v>
      </c>
      <c r="AJ68" s="941">
        <v>0.0</v>
      </c>
      <c r="AK68" s="941">
        <v>0.0</v>
      </c>
      <c r="AL68" s="941">
        <v>1.0</v>
      </c>
      <c r="AM68" s="941">
        <v>0.0</v>
      </c>
      <c r="AN68" s="941">
        <v>0.0</v>
      </c>
      <c r="AO68" s="941">
        <v>0.0</v>
      </c>
      <c r="AP68" s="941">
        <v>1.0</v>
      </c>
      <c r="AQ68" s="941">
        <v>0.0</v>
      </c>
      <c r="AR68" s="941">
        <v>10.0</v>
      </c>
      <c r="AS68" s="941">
        <v>0.0</v>
      </c>
      <c r="AT68" s="941">
        <v>0.0</v>
      </c>
      <c r="AU68" s="941">
        <v>0.0</v>
      </c>
      <c r="AV68" s="941">
        <v>0.0</v>
      </c>
      <c r="AW68" s="941">
        <v>0.0</v>
      </c>
      <c r="AX68" s="941">
        <v>0.0</v>
      </c>
      <c r="AY68" s="941">
        <v>0.0</v>
      </c>
      <c r="AZ68" s="941">
        <v>0.0</v>
      </c>
      <c r="BA68" s="941">
        <v>0.0</v>
      </c>
      <c r="BB68" s="941">
        <v>0.0</v>
      </c>
      <c r="BC68" s="941">
        <v>0.0</v>
      </c>
      <c r="BD68" s="941">
        <v>8.0</v>
      </c>
      <c r="BE68" s="942">
        <v>6.0</v>
      </c>
      <c r="BF68" s="941">
        <v>0.0</v>
      </c>
      <c r="BG68" s="941">
        <v>0.0</v>
      </c>
    </row>
    <row r="69">
      <c r="A69" s="935" t="s">
        <v>420</v>
      </c>
      <c r="B69" s="16" t="str">
        <f>IF(C69&lt;'PlayerGrades+'!$Y$44,"F-",IF(C69&lt;'PlayerGrades+'!$Y$43,"F",IF(C69&lt;'PlayerGrades+'!$Y$42,"F+",IF(C69&lt;'PlayerGrades+'!$Y$41,"E-",IF(C69&lt;'PlayerGrades+'!$Y$40,"E",IF(C69&lt;'PlayerGrades+'!$Y$39,"E+",IF(C69&lt;'PlayerGrades+'!$Y$38,"D-",IF(C69&lt;'PlayerGrades+'!$Y$37,"D",IF(C69&lt;'PlayerGrades+'!$Y$36,"D+",IF(C69&lt;'PlayerGrades+'!$Y$35,"C-",IF(C69&lt;'PlayerGrades+'!$Y$34,"C",IF(C69&lt;'PlayerGrades+'!$Y$33,"C+",IF(C69&lt;'PlayerGrades+'!$Y$32,"B-",IF(C69&lt;'PlayerGrades+'!$Y$31,"B",IF(C69&lt;'PlayerGrades+'!$Y$30,"B+",IF(C69&lt;'PlayerGrades+'!$Y$29,"A-",IF(C69&lt;'PlayerGrades+'!$Y$28,"A",IF(C69&lt;'PlayerGrades+'!$Y$27,"A+",IF(C69&lt;'PlayerGrades+'!$Y$26,"S-",IF(C69&lt;'PlayerGrades+'!$Y$25,"S","S+"))))))))))))))))))))</f>
        <v>C+</v>
      </c>
      <c r="C69" s="936">
        <f>('PlayerGrades+'!$Y$47*(VLOOKUP(E69, 'PlayerGrades+'!$X$3:$Y$23, 2, FALSE)))+('PlayerGrades+'!$Y$48*(VLOOKUP(G69, 'PlayerGrades+'!$X$3:$Y$23, 2, FALSE)))+('PlayerGrades+'!$Y$49*(VLOOKUP(I69, 'PlayerGrades+'!$X$3:$Y$23, 2, FALSE)))+('PlayerGrades+'!$Y$50*(VLOOKUP(K69, 'PlayerGrades+'!$X$3:$Y$23, 2, FALSE)))+('PlayerGrades+'!$Y$51*(VLOOKUP(M69, 'PlayerGrades+'!$X$3:$Y$23, 2, FALSE)))+('PlayerGrades+'!$Y$52*(VLOOKUP(O69, 'PlayerGrades+'!$X$3:$Y$23, 2, FALSE)))+('PlayerGrades+'!$Y$53*(VLOOKUP(Q69, 'PlayerGrades+'!$X$3:$Y$23, 2, FALSE)))+('PlayerGrades+'!$Y$54*(VLOOKUP(S69, 'PlayerGrades+'!$X$3:$Y$23, 2, FALSE)))+('PlayerGrades+'!$Y$55*(VLOOKUP(U69, 'PlayerGrades+'!$X$3:$Y$23, 2, FALSE)))</f>
        <v>20.9</v>
      </c>
      <c r="D69" s="937">
        <f t="shared" si="1"/>
        <v>0.4751131222</v>
      </c>
      <c r="E69" s="937" t="str">
        <f>IF(D69&lt;'PlayerGrades+'!$AA$21,"F-",IF(D69&lt;'PlayerGrades+'!$AA$20,"F",IF(D69&lt;'PlayerGrades+'!$AA$19,"F+",IF(D69&lt;'PlayerGrades+'!$AA$18,"E-",IF(D69&lt;'PlayerGrades+'!$AA$17,"E",IF(D69&lt;'PlayerGrades+'!$AA$16,"E+",IF(D69&lt;'PlayerGrades+'!$AA$15,"D-",IF(D69&lt;'PlayerGrades+'!$AA$14,"D",IF(D69&lt;'PlayerGrades+'!$AA$13,"D+",IF(D69&lt;'PlayerGrades+'!$AA$12,"C-",IF(D69&lt;'PlayerGrades+'!$AA$11,"C",IF(D69&lt;'PlayerGrades+'!$AA$10,"C+",IF(D69&lt;'PlayerGrades+'!$AA$9,"B-",IF(D69&lt;'PlayerGrades+'!$AA$8,"B",IF(D69&lt;'PlayerGrades+'!$AA$7,"B+",IF(D69&lt;'PlayerGrades+'!$AA$6,"A-",IF(D69&lt;'PlayerGrades+'!$AA$5,"A",IF(D69&lt;'PlayerGrades+'!$AA$4,"A+",IF(D69&lt;'PlayerGrades+'!$AA$3,"S-",IF(D69&lt;'PlayerGrades+'!$AA$2,"S","S+"))))))))))))))))))))</f>
        <v>A+</v>
      </c>
      <c r="F69" s="937">
        <f t="shared" si="2"/>
        <v>-0.2714932127</v>
      </c>
      <c r="G69" s="937" t="str">
        <f>IF(F69&lt;'PlayerGrades+'!$AB$21,"F-",IF(F69&lt;'PlayerGrades+'!$AB$20,"F",IF(F69&lt;'PlayerGrades+'!$AB$19,"F+",IF(F69&lt;'PlayerGrades+'!$AB$18,"E-",IF(F69&lt;'PlayerGrades+'!$AB$17,"E",IF(F69&lt;'PlayerGrades+'!$AB$16,"E+",IF(F69&lt;'PlayerGrades+'!$AB$15,"D-",IF(F69&lt;'PlayerGrades+'!$AB$14,"D",IF(F69&lt;'PlayerGrades+'!$AB$13,"D+",IF(F69&lt;'PlayerGrades+'!$AB$12,"C-",IF(F69&lt;'PlayerGrades+'!$AB$11,"C",IF(F69&lt;'PlayerGrades+'!$AB$10,"C+",IF(F69&lt;'PlayerGrades+'!$AB$9,"B-",IF(F69&lt;'PlayerGrades+'!$AB$8,"B",IF(F69&lt;'PlayerGrades+'!$AB$7,"B+",IF(F69&lt;'PlayerGrades+'!$AB$6,"A-",IF(F69&lt;'PlayerGrades+'!$AB$5,"A",IF(F69&lt;'PlayerGrades+'!$AB$4,"A+",IF(F69&lt;'PlayerGrades+'!$AB$3,"S-",IF(F69&lt;'PlayerGrades+'!$AB$2,"S","S+"))))))))))))))))))))</f>
        <v>C</v>
      </c>
      <c r="H69" s="937">
        <f t="shared" si="3"/>
        <v>0</v>
      </c>
      <c r="I69" s="937" t="str">
        <f>IF(H69&lt;'PlayerGrades+'!$AC$21,"F-",IF(H69&lt;'PlayerGrades+'!$AC$20,"F",IF(H69&lt;'PlayerGrades+'!$AC$19,"F+",IF(H69&lt;'PlayerGrades+'!$AC$18,"E-",IF(H69&lt;'PlayerGrades+'!$AC$17,"E",IF(H69&lt;'PlayerGrades+'!$AC$16,"E+",IF(H69&lt;'PlayerGrades+'!$AC$15,"D-",IF(H69&lt;'PlayerGrades+'!$AC$14,"D",IF(H69&lt;'PlayerGrades+'!$AC$13,"D+",IF(H69&lt;'PlayerGrades+'!$AC$12,"C-",IF(H69&lt;'PlayerGrades+'!$AC$11,"C",IF(H69&lt;'PlayerGrades+'!$AC$10,"C+",IF(H69&lt;'PlayerGrades+'!$AC$9,"B-",IF(H69&lt;'PlayerGrades+'!$AC$8,"B",IF(H69&lt;'PlayerGrades+'!$AC$7,"B+",IF(H69&lt;'PlayerGrades+'!$AC$6,"A-",IF(H69&lt;'PlayerGrades+'!$AC$5,"A",IF(H69&lt;'PlayerGrades+'!$AC$4,"A+",IF(H69&lt;'PlayerGrades+'!$AC$3,"S-",IF(H69&lt;'PlayerGrades+'!$AC$2,"S","S+"))))))))))))))))))))</f>
        <v>F-</v>
      </c>
      <c r="J69" s="937">
        <f t="shared" si="4"/>
        <v>0</v>
      </c>
      <c r="K69" s="937" t="str">
        <f>IF(J69&lt;'PlayerGrades+'!$AD$21,"F-",IF(J69&lt;'PlayerGrades+'!$AD$20,"F",IF(J69&lt;'PlayerGrades+'!$AD$19,"F+",IF(J69&lt;'PlayerGrades+'!$AD$18,"E-",IF(J69&lt;'PlayerGrades+'!$AD$17,"E",IF(J69&lt;'PlayerGrades+'!$AD$16,"E+",IF(J69&lt;'PlayerGrades+'!$AD$15,"D-",IF(J69&lt;'PlayerGrades+'!$AD$14,"D",IF(J69&lt;'PlayerGrades+'!$AD$13,"D+",IF(J69&lt;'PlayerGrades+'!$AD$12,"C-",IF(J69&lt;'PlayerGrades+'!$AD$11,"C",IF(J69&lt;'PlayerGrades+'!$AD$10,"C+",IF(J69&lt;'PlayerGrades+'!$AD$9,"B-",IF(J69&lt;'PlayerGrades+'!$AD$8,"B",IF(J69&lt;'PlayerGrades+'!$AD$7,"B+",IF(J69&lt;'PlayerGrades+'!$AD$6,"A-",IF(J69&lt;'PlayerGrades+'!$AD$5,"A",IF(J69&lt;'PlayerGrades+'!$AD$4,"A+",IF(J69&lt;'PlayerGrades+'!$AD$3,"S-",IF(J69&lt;'PlayerGrades+'!$AD$2,"S","S+"))))))))))))))))))))</f>
        <v>F-</v>
      </c>
      <c r="L69" s="677">
        <f t="shared" si="5"/>
        <v>0.4751131222</v>
      </c>
      <c r="M69" s="938" t="str">
        <f>IF(L69&lt;'PlayerGrades+'!$AE$21,"F-",IF(L69&lt;'PlayerGrades+'!$AE$20,"F",IF(L69&lt;'PlayerGrades+'!$AE$19,"F+",IF(L69&lt;'PlayerGrades+'!$AE$18,"E-",IF(L69&lt;'PlayerGrades+'!$AE$17,"E",IF(L69&lt;'PlayerGrades+'!$AE$16,"E+",IF(L69&lt;'PlayerGrades+'!$AE$15,"D-",IF(L69&lt;'PlayerGrades+'!$AE$14,"D",IF(L69&lt;'PlayerGrades+'!$AE$13,"D+",IF(L69&lt;'PlayerGrades+'!$AE$12,"C-",IF(L69&lt;'PlayerGrades+'!$AE$11,"C",IF(L69&lt;'PlayerGrades+'!$AE$10,"C+",IF(L69&lt;'PlayerGrades+'!$AE$9,"B-",IF(L69&lt;'PlayerGrades+'!$AE$8,"B",IF(L69&lt;'PlayerGrades+'!$AE$7,"B+",IF(L69&lt;'PlayerGrades+'!$AE$6,"A-",IF(L69&lt;'PlayerGrades+'!$AE$5,"A",IF(L69&lt;'PlayerGrades+'!$AE$4,"A+",IF(L69&lt;'PlayerGrades+'!$AE$3,"S-",IF(L69&lt;'PlayerGrades+'!$AE$2,"S","S+"))))))))))))))))))))</f>
        <v>B+</v>
      </c>
      <c r="N69" s="937">
        <f t="shared" si="6"/>
        <v>0.06787330317</v>
      </c>
      <c r="O69" s="937" t="str">
        <f>IF(N69&lt;'PlayerGrades+'!$AF$21,"F-",IF(N69&lt;'PlayerGrades+'!$AF$20,"F",IF(N69&lt;'PlayerGrades+'!$AF$19,"F+",IF(N69&lt;'PlayerGrades+'!$AF$18,"E-",IF(N69&lt;'PlayerGrades+'!$AF$17,"E",IF(N69&lt;'PlayerGrades+'!$AF$16,"E+",IF(N69&lt;'PlayerGrades+'!$AF$15,"D-",IF(N69&lt;'PlayerGrades+'!$AF$14,"D",IF(N69&lt;'PlayerGrades+'!$AF$13,"D+",IF(N69&lt;'PlayerGrades+'!$AF$12,"C-",IF(N69&lt;'PlayerGrades+'!$AF$11,"C",IF(N69&lt;'PlayerGrades+'!$AF$10,"C+",IF(N69&lt;'PlayerGrades+'!$AF$9,"B-",IF(N69&lt;'PlayerGrades+'!$AF$8,"B",IF(N69&lt;'PlayerGrades+'!$AF$7,"B+",IF(N69&lt;'PlayerGrades+'!$AF$6,"A-",IF(N69&lt;'PlayerGrades+'!$AF$5,"A",IF(N69&lt;'PlayerGrades+'!$AF$4,"A+",IF(N69&lt;'PlayerGrades+'!$AF$3,"S-",IF(N69&lt;'PlayerGrades+'!$AF$2,"S","S+"))))))))))))))))))))</f>
        <v>C-</v>
      </c>
      <c r="P69" s="937">
        <f t="shared" si="7"/>
        <v>0</v>
      </c>
      <c r="Q69" s="937" t="str">
        <f>IF(P69&lt;'PlayerGrades+'!$AG$21,"F-",IF(P69&lt;'PlayerGrades+'!$AG$20,"F",IF(P69&lt;'PlayerGrades+'!$AG$19,"F+",IF(P69&lt;'PlayerGrades+'!$AG$18,"E-",IF(P69&lt;'PlayerGrades+'!$AG$17,"E",IF(P69&lt;'PlayerGrades+'!$AG$16,"E+",IF(P69&lt;'PlayerGrades+'!$AG$15,"D-",IF(P69&lt;'PlayerGrades+'!$AG$14,"D",IF(P69&lt;'PlayerGrades+'!$AG$13,"D+",IF(P69&lt;'PlayerGrades+'!$AG$12,"C-",IF(P69&lt;'PlayerGrades+'!$AG$11,"C",IF(P69&lt;'PlayerGrades+'!$AG$10,"C+",IF(P69&lt;'PlayerGrades+'!$AG$9,"B-",IF(P69&lt;'PlayerGrades+'!$AG$8,"B",IF(P69&lt;'PlayerGrades+'!$AG$7,"B+",IF(P69&lt;'PlayerGrades+'!$AG$6,"A-",IF(P69&lt;'PlayerGrades+'!$AG$5,"A",IF(P69&lt;'PlayerGrades+'!$AG$4,"A+",IF(P69&lt;'PlayerGrades+'!$AG$3,"S-",IF(P69&lt;'PlayerGrades+'!$AG$2,"S","S+"))))))))))))))))))))</f>
        <v>F</v>
      </c>
      <c r="R69" s="937">
        <f t="shared" si="8"/>
        <v>0.8823529412</v>
      </c>
      <c r="S69" s="937" t="str">
        <f>IF(R69&lt;'PlayerGrades+'!$AH$21,"F-",IF(R69&lt;'PlayerGrades+'!$AH$20,"F",IF(R69&lt;'PlayerGrades+'!$AH$19,"F+",IF(R69&lt;'PlayerGrades+'!$AH$18,"E-",IF(R69&lt;'PlayerGrades+'!$AH$17,"E",IF(R69&lt;'PlayerGrades+'!$AH$16,"E+",IF(R69&lt;'PlayerGrades+'!$AH$15,"D-",IF(R69&lt;'PlayerGrades+'!$AH$14,"D",IF(R69&lt;'PlayerGrades+'!$AH$13,"D+",IF(R69&lt;'PlayerGrades+'!$AH$12,"C-",IF(R69&lt;'PlayerGrades+'!$AH$11,"C",IF(R69&lt;'PlayerGrades+'!$AH$10,"C+",IF(R69&lt;'PlayerGrades+'!$AH$9,"B-",IF(R69&lt;'PlayerGrades+'!$AH$8,"B",IF(R69&lt;'PlayerGrades+'!$AH$7,"B+",IF(R69&lt;'PlayerGrades+'!$AH$6,"A-",IF(R69&lt;'PlayerGrades+'!$AH$5,"A",IF(R69&lt;'PlayerGrades+'!$AH$4,"A+",IF(R69&lt;'PlayerGrades+'!$AH$3,"S-",IF(R69&lt;'PlayerGrades+'!$AH$2,"S","S+"))))))))))))))))))))</f>
        <v>S+</v>
      </c>
      <c r="T69" s="937">
        <f t="shared" si="9"/>
        <v>1.271493213</v>
      </c>
      <c r="U69" s="937" t="str">
        <f>IF(T69&lt;'PlayerGrades+'!$AI$21,"F-",IF(T69&lt;'PlayerGrades+'!$AI$20,"F",IF(T69&lt;'PlayerGrades+'!$AI$19,"F+",IF(T69&lt;'PlayerGrades+'!$AI$18,"E-",IF(T69&lt;'PlayerGrades+'!$AI$17,"E",IF(T69&lt;'PlayerGrades+'!$AI$16,"E+",IF(T69&lt;'PlayerGrades+'!$AI$15,"D-",IF(T69&lt;'PlayerGrades+'!$AI$14,"D",IF(T69&lt;'PlayerGrades+'!$AI$13,"D+",IF(T69&lt;'PlayerGrades+'!$AI$12,"C-",IF(T69&lt;'PlayerGrades+'!$AI$11,"C",IF(T69&lt;'PlayerGrades+'!$AI$10,"C+",IF(T69&lt;'PlayerGrades+'!$AI$9,"B-",IF(T69&lt;'PlayerGrades+'!$AI$8,"B",IF(T69&lt;'PlayerGrades+'!$AI$7,"B+",IF(T69&lt;'PlayerGrades+'!$AI$6,"A-",IF(T69&lt;'PlayerGrades+'!$AI$5,"A",IF(T69&lt;'PlayerGrades+'!$AI$4,"A+",IF(T69&lt;'PlayerGrades+'!$AI$3,"S-",IF(T69&lt;'PlayerGrades+'!$AI$2,"S","S+"))))))))))))))))))))</f>
        <v>C</v>
      </c>
      <c r="V69" s="941">
        <v>1.0</v>
      </c>
      <c r="W69" s="941">
        <v>0.0</v>
      </c>
      <c r="X69" s="941">
        <v>1.0</v>
      </c>
      <c r="Y69" s="941">
        <v>2.0</v>
      </c>
      <c r="Z69" s="941">
        <v>5.0</v>
      </c>
      <c r="AA69" s="941">
        <v>37.0</v>
      </c>
      <c r="AB69" s="941">
        <v>41.0</v>
      </c>
      <c r="AC69" s="941">
        <v>-4.0</v>
      </c>
      <c r="AD69" s="941">
        <v>5.0</v>
      </c>
      <c r="AE69" s="941">
        <v>3.0</v>
      </c>
      <c r="AF69" s="941">
        <v>2.0</v>
      </c>
      <c r="AG69" s="941">
        <v>671.0</v>
      </c>
      <c r="AH69" s="941">
        <v>884.0</v>
      </c>
      <c r="AI69" s="941">
        <v>16.0</v>
      </c>
      <c r="AJ69" s="941">
        <v>185.0</v>
      </c>
      <c r="AK69" s="941">
        <v>0.0</v>
      </c>
      <c r="AL69" s="941">
        <v>0.0</v>
      </c>
      <c r="AM69" s="941">
        <v>0.0</v>
      </c>
      <c r="AN69" s="941">
        <v>0.0</v>
      </c>
      <c r="AO69" s="941">
        <v>0.0</v>
      </c>
      <c r="AP69" s="941">
        <v>0.0</v>
      </c>
      <c r="AQ69" s="941">
        <v>0.0</v>
      </c>
      <c r="AR69" s="941">
        <v>7.0</v>
      </c>
      <c r="AS69" s="941">
        <v>1.0</v>
      </c>
      <c r="AT69" s="941">
        <v>0.0</v>
      </c>
      <c r="AU69" s="941">
        <v>0.0</v>
      </c>
      <c r="AV69" s="941">
        <v>0.0</v>
      </c>
      <c r="AW69" s="941">
        <v>0.0</v>
      </c>
      <c r="AX69" s="941">
        <v>0.0</v>
      </c>
      <c r="AY69" s="941">
        <v>0.0</v>
      </c>
      <c r="AZ69" s="941">
        <v>0.0</v>
      </c>
      <c r="BA69" s="941">
        <v>0.0</v>
      </c>
      <c r="BB69" s="941">
        <v>0.0</v>
      </c>
      <c r="BC69" s="941">
        <v>0.0</v>
      </c>
      <c r="BD69" s="941">
        <v>8.0</v>
      </c>
      <c r="BE69" s="942">
        <v>4.0</v>
      </c>
      <c r="BF69" s="941">
        <v>1.0</v>
      </c>
      <c r="BG69" s="941">
        <v>0.0</v>
      </c>
    </row>
    <row r="70">
      <c r="A70" s="935" t="s">
        <v>392</v>
      </c>
      <c r="B70" s="16" t="str">
        <f>IF(C70&lt;'PlayerGrades+'!$Y$44,"F-",IF(C70&lt;'PlayerGrades+'!$Y$43,"F",IF(C70&lt;'PlayerGrades+'!$Y$42,"F+",IF(C70&lt;'PlayerGrades+'!$Y$41,"E-",IF(C70&lt;'PlayerGrades+'!$Y$40,"E",IF(C70&lt;'PlayerGrades+'!$Y$39,"E+",IF(C70&lt;'PlayerGrades+'!$Y$38,"D-",IF(C70&lt;'PlayerGrades+'!$Y$37,"D",IF(C70&lt;'PlayerGrades+'!$Y$36,"D+",IF(C70&lt;'PlayerGrades+'!$Y$35,"C-",IF(C70&lt;'PlayerGrades+'!$Y$34,"C",IF(C70&lt;'PlayerGrades+'!$Y$33,"C+",IF(C70&lt;'PlayerGrades+'!$Y$32,"B-",IF(C70&lt;'PlayerGrades+'!$Y$31,"B",IF(C70&lt;'PlayerGrades+'!$Y$30,"B+",IF(C70&lt;'PlayerGrades+'!$Y$29,"A-",IF(C70&lt;'PlayerGrades+'!$Y$28,"A",IF(C70&lt;'PlayerGrades+'!$Y$27,"A+",IF(C70&lt;'PlayerGrades+'!$Y$26,"S-",IF(C70&lt;'PlayerGrades+'!$Y$25,"S","S+"))))))))))))))))))))</f>
        <v>F</v>
      </c>
      <c r="C70" s="936">
        <f>('PlayerGrades+'!$Y$47*(VLOOKUP(E70, 'PlayerGrades+'!$X$3:$Y$23, 2, FALSE)))+('PlayerGrades+'!$Y$48*(VLOOKUP(G70, 'PlayerGrades+'!$X$3:$Y$23, 2, FALSE)))+('PlayerGrades+'!$Y$49*(VLOOKUP(I70, 'PlayerGrades+'!$X$3:$Y$23, 2, FALSE)))+('PlayerGrades+'!$Y$50*(VLOOKUP(K70, 'PlayerGrades+'!$X$3:$Y$23, 2, FALSE)))+('PlayerGrades+'!$Y$51*(VLOOKUP(M70, 'PlayerGrades+'!$X$3:$Y$23, 2, FALSE)))+('PlayerGrades+'!$Y$52*(VLOOKUP(O70, 'PlayerGrades+'!$X$3:$Y$23, 2, FALSE)))+('PlayerGrades+'!$Y$53*(VLOOKUP(Q70, 'PlayerGrades+'!$X$3:$Y$23, 2, FALSE)))+('PlayerGrades+'!$Y$54*(VLOOKUP(S70, 'PlayerGrades+'!$X$3:$Y$23, 2, FALSE)))+('PlayerGrades+'!$Y$55*(VLOOKUP(U70, 'PlayerGrades+'!$X$3:$Y$23, 2, FALSE)))</f>
        <v>8.9</v>
      </c>
      <c r="D70" s="937">
        <f t="shared" si="1"/>
        <v>0</v>
      </c>
      <c r="E70" s="937" t="str">
        <f>IF(D70&lt;'PlayerGrades+'!$AA$21,"F-",IF(D70&lt;'PlayerGrades+'!$AA$20,"F",IF(D70&lt;'PlayerGrades+'!$AA$19,"F+",IF(D70&lt;'PlayerGrades+'!$AA$18,"E-",IF(D70&lt;'PlayerGrades+'!$AA$17,"E",IF(D70&lt;'PlayerGrades+'!$AA$16,"E+",IF(D70&lt;'PlayerGrades+'!$AA$15,"D-",IF(D70&lt;'PlayerGrades+'!$AA$14,"D",IF(D70&lt;'PlayerGrades+'!$AA$13,"D+",IF(D70&lt;'PlayerGrades+'!$AA$12,"C-",IF(D70&lt;'PlayerGrades+'!$AA$11,"C",IF(D70&lt;'PlayerGrades+'!$AA$10,"C+",IF(D70&lt;'PlayerGrades+'!$AA$9,"B-",IF(D70&lt;'PlayerGrades+'!$AA$8,"B",IF(D70&lt;'PlayerGrades+'!$AA$7,"B+",IF(D70&lt;'PlayerGrades+'!$AA$6,"A-",IF(D70&lt;'PlayerGrades+'!$AA$5,"A",IF(D70&lt;'PlayerGrades+'!$AA$4,"A+",IF(D70&lt;'PlayerGrades+'!$AA$3,"S-",IF(D70&lt;'PlayerGrades+'!$AA$2,"S","S+"))))))))))))))))))))</f>
        <v>F-</v>
      </c>
      <c r="F70" s="937">
        <f t="shared" si="2"/>
        <v>-1.28959276</v>
      </c>
      <c r="G70" s="937" t="str">
        <f>IF(F70&lt;'PlayerGrades+'!$AB$21,"F-",IF(F70&lt;'PlayerGrades+'!$AB$20,"F",IF(F70&lt;'PlayerGrades+'!$AB$19,"F+",IF(F70&lt;'PlayerGrades+'!$AB$18,"E-",IF(F70&lt;'PlayerGrades+'!$AB$17,"E",IF(F70&lt;'PlayerGrades+'!$AB$16,"E+",IF(F70&lt;'PlayerGrades+'!$AB$15,"D-",IF(F70&lt;'PlayerGrades+'!$AB$14,"D",IF(F70&lt;'PlayerGrades+'!$AB$13,"D+",IF(F70&lt;'PlayerGrades+'!$AB$12,"C-",IF(F70&lt;'PlayerGrades+'!$AB$11,"C",IF(F70&lt;'PlayerGrades+'!$AB$10,"C+",IF(F70&lt;'PlayerGrades+'!$AB$9,"B-",IF(F70&lt;'PlayerGrades+'!$AB$8,"B",IF(F70&lt;'PlayerGrades+'!$AB$7,"B+",IF(F70&lt;'PlayerGrades+'!$AB$6,"A-",IF(F70&lt;'PlayerGrades+'!$AB$5,"A",IF(F70&lt;'PlayerGrades+'!$AB$4,"A+",IF(F70&lt;'PlayerGrades+'!$AB$3,"S-",IF(F70&lt;'PlayerGrades+'!$AB$2,"S","S+"))))))))))))))))))))</f>
        <v>F-</v>
      </c>
      <c r="H70" s="937">
        <f t="shared" si="3"/>
        <v>0</v>
      </c>
      <c r="I70" s="937" t="str">
        <f>IF(H70&lt;'PlayerGrades+'!$AC$21,"F-",IF(H70&lt;'PlayerGrades+'!$AC$20,"F",IF(H70&lt;'PlayerGrades+'!$AC$19,"F+",IF(H70&lt;'PlayerGrades+'!$AC$18,"E-",IF(H70&lt;'PlayerGrades+'!$AC$17,"E",IF(H70&lt;'PlayerGrades+'!$AC$16,"E+",IF(H70&lt;'PlayerGrades+'!$AC$15,"D-",IF(H70&lt;'PlayerGrades+'!$AC$14,"D",IF(H70&lt;'PlayerGrades+'!$AC$13,"D+",IF(H70&lt;'PlayerGrades+'!$AC$12,"C-",IF(H70&lt;'PlayerGrades+'!$AC$11,"C",IF(H70&lt;'PlayerGrades+'!$AC$10,"C+",IF(H70&lt;'PlayerGrades+'!$AC$9,"B-",IF(H70&lt;'PlayerGrades+'!$AC$8,"B",IF(H70&lt;'PlayerGrades+'!$AC$7,"B+",IF(H70&lt;'PlayerGrades+'!$AC$6,"A-",IF(H70&lt;'PlayerGrades+'!$AC$5,"A",IF(H70&lt;'PlayerGrades+'!$AC$4,"A+",IF(H70&lt;'PlayerGrades+'!$AC$3,"S-",IF(H70&lt;'PlayerGrades+'!$AC$2,"S","S+"))))))))))))))))))))</f>
        <v>F-</v>
      </c>
      <c r="J70" s="937">
        <f t="shared" si="4"/>
        <v>0</v>
      </c>
      <c r="K70" s="937" t="str">
        <f>IF(J70&lt;'PlayerGrades+'!$AD$21,"F-",IF(J70&lt;'PlayerGrades+'!$AD$20,"F",IF(J70&lt;'PlayerGrades+'!$AD$19,"F+",IF(J70&lt;'PlayerGrades+'!$AD$18,"E-",IF(J70&lt;'PlayerGrades+'!$AD$17,"E",IF(J70&lt;'PlayerGrades+'!$AD$16,"E+",IF(J70&lt;'PlayerGrades+'!$AD$15,"D-",IF(J70&lt;'PlayerGrades+'!$AD$14,"D",IF(J70&lt;'PlayerGrades+'!$AD$13,"D+",IF(J70&lt;'PlayerGrades+'!$AD$12,"C-",IF(J70&lt;'PlayerGrades+'!$AD$11,"C",IF(J70&lt;'PlayerGrades+'!$AD$10,"C+",IF(J70&lt;'PlayerGrades+'!$AD$9,"B-",IF(J70&lt;'PlayerGrades+'!$AD$8,"B",IF(J70&lt;'PlayerGrades+'!$AD$7,"B+",IF(J70&lt;'PlayerGrades+'!$AD$6,"A-",IF(J70&lt;'PlayerGrades+'!$AD$5,"A",IF(J70&lt;'PlayerGrades+'!$AD$4,"A+",IF(J70&lt;'PlayerGrades+'!$AD$3,"S-",IF(J70&lt;'PlayerGrades+'!$AD$2,"S","S+"))))))))))))))))))))</f>
        <v>F-</v>
      </c>
      <c r="L70" s="677">
        <f t="shared" si="5"/>
        <v>0.407239819</v>
      </c>
      <c r="M70" s="938" t="str">
        <f>IF(L70&lt;'PlayerGrades+'!$AE$21,"F-",IF(L70&lt;'PlayerGrades+'!$AE$20,"F",IF(L70&lt;'PlayerGrades+'!$AE$19,"F+",IF(L70&lt;'PlayerGrades+'!$AE$18,"E-",IF(L70&lt;'PlayerGrades+'!$AE$17,"E",IF(L70&lt;'PlayerGrades+'!$AE$16,"E+",IF(L70&lt;'PlayerGrades+'!$AE$15,"D-",IF(L70&lt;'PlayerGrades+'!$AE$14,"D",IF(L70&lt;'PlayerGrades+'!$AE$13,"D+",IF(L70&lt;'PlayerGrades+'!$AE$12,"C-",IF(L70&lt;'PlayerGrades+'!$AE$11,"C",IF(L70&lt;'PlayerGrades+'!$AE$10,"C+",IF(L70&lt;'PlayerGrades+'!$AE$9,"B-",IF(L70&lt;'PlayerGrades+'!$AE$8,"B",IF(L70&lt;'PlayerGrades+'!$AE$7,"B+",IF(L70&lt;'PlayerGrades+'!$AE$6,"A-",IF(L70&lt;'PlayerGrades+'!$AE$5,"A",IF(L70&lt;'PlayerGrades+'!$AE$4,"A+",IF(L70&lt;'PlayerGrades+'!$AE$3,"S-",IF(L70&lt;'PlayerGrades+'!$AE$2,"S","S+"))))))))))))))))))))</f>
        <v>C+</v>
      </c>
      <c r="N70" s="937">
        <f t="shared" si="6"/>
        <v>0.06787330317</v>
      </c>
      <c r="O70" s="937" t="str">
        <f>IF(N70&lt;'PlayerGrades+'!$AF$21,"F-",IF(N70&lt;'PlayerGrades+'!$AF$20,"F",IF(N70&lt;'PlayerGrades+'!$AF$19,"F+",IF(N70&lt;'PlayerGrades+'!$AF$18,"E-",IF(N70&lt;'PlayerGrades+'!$AF$17,"E",IF(N70&lt;'PlayerGrades+'!$AF$16,"E+",IF(N70&lt;'PlayerGrades+'!$AF$15,"D-",IF(N70&lt;'PlayerGrades+'!$AF$14,"D",IF(N70&lt;'PlayerGrades+'!$AF$13,"D+",IF(N70&lt;'PlayerGrades+'!$AF$12,"C-",IF(N70&lt;'PlayerGrades+'!$AF$11,"C",IF(N70&lt;'PlayerGrades+'!$AF$10,"C+",IF(N70&lt;'PlayerGrades+'!$AF$9,"B-",IF(N70&lt;'PlayerGrades+'!$AF$8,"B",IF(N70&lt;'PlayerGrades+'!$AF$7,"B+",IF(N70&lt;'PlayerGrades+'!$AF$6,"A-",IF(N70&lt;'PlayerGrades+'!$AF$5,"A",IF(N70&lt;'PlayerGrades+'!$AF$4,"A+",IF(N70&lt;'PlayerGrades+'!$AF$3,"S-",IF(N70&lt;'PlayerGrades+'!$AF$2,"S","S+"))))))))))))))))))))</f>
        <v>C-</v>
      </c>
      <c r="P70" s="937">
        <f t="shared" si="7"/>
        <v>0</v>
      </c>
      <c r="Q70" s="937" t="str">
        <f>IF(P70&lt;'PlayerGrades+'!$AG$21,"F-",IF(P70&lt;'PlayerGrades+'!$AG$20,"F",IF(P70&lt;'PlayerGrades+'!$AG$19,"F+",IF(P70&lt;'PlayerGrades+'!$AG$18,"E-",IF(P70&lt;'PlayerGrades+'!$AG$17,"E",IF(P70&lt;'PlayerGrades+'!$AG$16,"E+",IF(P70&lt;'PlayerGrades+'!$AG$15,"D-",IF(P70&lt;'PlayerGrades+'!$AG$14,"D",IF(P70&lt;'PlayerGrades+'!$AG$13,"D+",IF(P70&lt;'PlayerGrades+'!$AG$12,"C-",IF(P70&lt;'PlayerGrades+'!$AG$11,"C",IF(P70&lt;'PlayerGrades+'!$AG$10,"C+",IF(P70&lt;'PlayerGrades+'!$AG$9,"B-",IF(P70&lt;'PlayerGrades+'!$AG$8,"B",IF(P70&lt;'PlayerGrades+'!$AG$7,"B+",IF(P70&lt;'PlayerGrades+'!$AG$6,"A-",IF(P70&lt;'PlayerGrades+'!$AG$5,"A",IF(P70&lt;'PlayerGrades+'!$AG$4,"A+",IF(P70&lt;'PlayerGrades+'!$AG$3,"S-",IF(P70&lt;'PlayerGrades+'!$AG$2,"S","S+"))))))))))))))))))))</f>
        <v>F</v>
      </c>
      <c r="R70" s="937">
        <f t="shared" si="8"/>
        <v>0.407239819</v>
      </c>
      <c r="S70" s="937" t="str">
        <f>IF(R70&lt;'PlayerGrades+'!$AH$21,"F-",IF(R70&lt;'PlayerGrades+'!$AH$20,"F",IF(R70&lt;'PlayerGrades+'!$AH$19,"F+",IF(R70&lt;'PlayerGrades+'!$AH$18,"E-",IF(R70&lt;'PlayerGrades+'!$AH$17,"E",IF(R70&lt;'PlayerGrades+'!$AH$16,"E+",IF(R70&lt;'PlayerGrades+'!$AH$15,"D-",IF(R70&lt;'PlayerGrades+'!$AH$14,"D",IF(R70&lt;'PlayerGrades+'!$AH$13,"D+",IF(R70&lt;'PlayerGrades+'!$AH$12,"C-",IF(R70&lt;'PlayerGrades+'!$AH$11,"C",IF(R70&lt;'PlayerGrades+'!$AH$10,"C+",IF(R70&lt;'PlayerGrades+'!$AH$9,"B-",IF(R70&lt;'PlayerGrades+'!$AH$8,"B",IF(R70&lt;'PlayerGrades+'!$AH$7,"B+",IF(R70&lt;'PlayerGrades+'!$AH$6,"A-",IF(R70&lt;'PlayerGrades+'!$AH$5,"A",IF(R70&lt;'PlayerGrades+'!$AH$4,"A+",IF(R70&lt;'PlayerGrades+'!$AH$3,"S-",IF(R70&lt;'PlayerGrades+'!$AH$2,"S","S+"))))))))))))))))))))</f>
        <v>F+</v>
      </c>
      <c r="T70" s="937">
        <f t="shared" si="9"/>
        <v>0.1357466063</v>
      </c>
      <c r="U70" s="937" t="str">
        <f>IF(T70&lt;'PlayerGrades+'!$AI$21,"F-",IF(T70&lt;'PlayerGrades+'!$AI$20,"F",IF(T70&lt;'PlayerGrades+'!$AI$19,"F+",IF(T70&lt;'PlayerGrades+'!$AI$18,"E-",IF(T70&lt;'PlayerGrades+'!$AI$17,"E",IF(T70&lt;'PlayerGrades+'!$AI$16,"E+",IF(T70&lt;'PlayerGrades+'!$AI$15,"D-",IF(T70&lt;'PlayerGrades+'!$AI$14,"D",IF(T70&lt;'PlayerGrades+'!$AI$13,"D+",IF(T70&lt;'PlayerGrades+'!$AI$12,"C-",IF(T70&lt;'PlayerGrades+'!$AI$11,"C",IF(T70&lt;'PlayerGrades+'!$AI$10,"C+",IF(T70&lt;'PlayerGrades+'!$AI$9,"B-",IF(T70&lt;'PlayerGrades+'!$AI$8,"B",IF(T70&lt;'PlayerGrades+'!$AI$7,"B+",IF(T70&lt;'PlayerGrades+'!$AI$6,"A-",IF(T70&lt;'PlayerGrades+'!$AI$5,"A",IF(T70&lt;'PlayerGrades+'!$AI$4,"A+",IF(T70&lt;'PlayerGrades+'!$AI$3,"S-",IF(T70&lt;'PlayerGrades+'!$AI$2,"S","S+"))))))))))))))))))))</f>
        <v>F-</v>
      </c>
      <c r="V70" s="941">
        <v>1.0</v>
      </c>
      <c r="W70" s="941">
        <v>1.0</v>
      </c>
      <c r="X70" s="941">
        <v>0.0</v>
      </c>
      <c r="Y70" s="941">
        <v>0.0</v>
      </c>
      <c r="Z70" s="941">
        <v>0.0</v>
      </c>
      <c r="AA70" s="941">
        <v>41.0</v>
      </c>
      <c r="AB70" s="941">
        <v>60.0</v>
      </c>
      <c r="AC70" s="941">
        <v>-19.0</v>
      </c>
      <c r="AD70" s="941">
        <v>5.0</v>
      </c>
      <c r="AE70" s="941">
        <v>3.0</v>
      </c>
      <c r="AF70" s="941">
        <v>2.0</v>
      </c>
      <c r="AG70" s="941">
        <v>610.0</v>
      </c>
      <c r="AH70" s="941">
        <v>884.0</v>
      </c>
      <c r="AI70" s="941">
        <v>10.0</v>
      </c>
      <c r="AJ70" s="941">
        <v>0.0</v>
      </c>
      <c r="AK70" s="941">
        <v>0.0</v>
      </c>
      <c r="AL70" s="941">
        <v>0.0</v>
      </c>
      <c r="AM70" s="941">
        <v>0.0</v>
      </c>
      <c r="AN70" s="941">
        <v>0.0</v>
      </c>
      <c r="AO70" s="941">
        <v>0.0</v>
      </c>
      <c r="AP70" s="941">
        <v>0.0</v>
      </c>
      <c r="AQ70" s="941">
        <v>0.0</v>
      </c>
      <c r="AR70" s="941">
        <v>6.0</v>
      </c>
      <c r="AS70" s="941">
        <v>1.0</v>
      </c>
      <c r="AT70" s="941">
        <v>0.0</v>
      </c>
      <c r="AU70" s="941">
        <v>0.0</v>
      </c>
      <c r="AV70" s="941">
        <v>0.0</v>
      </c>
      <c r="AW70" s="941">
        <v>0.0</v>
      </c>
      <c r="AX70" s="941">
        <v>0.0</v>
      </c>
      <c r="AY70" s="941">
        <v>0.0</v>
      </c>
      <c r="AZ70" s="941">
        <v>0.0</v>
      </c>
      <c r="BA70" s="941">
        <v>0.0</v>
      </c>
      <c r="BB70" s="941">
        <v>0.0</v>
      </c>
      <c r="BC70" s="941">
        <v>0.0</v>
      </c>
      <c r="BD70" s="941">
        <v>1.0</v>
      </c>
      <c r="BE70" s="942">
        <v>2.0</v>
      </c>
      <c r="BF70" s="941">
        <v>0.0</v>
      </c>
      <c r="BG70" s="941">
        <v>1.0</v>
      </c>
    </row>
    <row r="71">
      <c r="A71" s="935" t="s">
        <v>418</v>
      </c>
      <c r="B71" s="16" t="str">
        <f>IF(C71&lt;'PlayerGrades+'!$Y$44,"F-",IF(C71&lt;'PlayerGrades+'!$Y$43,"F",IF(C71&lt;'PlayerGrades+'!$Y$42,"F+",IF(C71&lt;'PlayerGrades+'!$Y$41,"E-",IF(C71&lt;'PlayerGrades+'!$Y$40,"E",IF(C71&lt;'PlayerGrades+'!$Y$39,"E+",IF(C71&lt;'PlayerGrades+'!$Y$38,"D-",IF(C71&lt;'PlayerGrades+'!$Y$37,"D",IF(C71&lt;'PlayerGrades+'!$Y$36,"D+",IF(C71&lt;'PlayerGrades+'!$Y$35,"C-",IF(C71&lt;'PlayerGrades+'!$Y$34,"C",IF(C71&lt;'PlayerGrades+'!$Y$33,"C+",IF(C71&lt;'PlayerGrades+'!$Y$32,"B-",IF(C71&lt;'PlayerGrades+'!$Y$31,"B",IF(C71&lt;'PlayerGrades+'!$Y$30,"B+",IF(C71&lt;'PlayerGrades+'!$Y$29,"A-",IF(C71&lt;'PlayerGrades+'!$Y$28,"A",IF(C71&lt;'PlayerGrades+'!$Y$27,"A+",IF(C71&lt;'PlayerGrades+'!$Y$26,"S-",IF(C71&lt;'PlayerGrades+'!$Y$25,"S","S+"))))))))))))))))))))</f>
        <v>S-</v>
      </c>
      <c r="C71" s="936">
        <f>('PlayerGrades+'!$Y$47*(VLOOKUP(E71, 'PlayerGrades+'!$X$3:$Y$23, 2, FALSE)))+('PlayerGrades+'!$Y$48*(VLOOKUP(G71, 'PlayerGrades+'!$X$3:$Y$23, 2, FALSE)))+('PlayerGrades+'!$Y$49*(VLOOKUP(I71, 'PlayerGrades+'!$X$3:$Y$23, 2, FALSE)))+('PlayerGrades+'!$Y$50*(VLOOKUP(K71, 'PlayerGrades+'!$X$3:$Y$23, 2, FALSE)))+('PlayerGrades+'!$Y$51*(VLOOKUP(M71, 'PlayerGrades+'!$X$3:$Y$23, 2, FALSE)))+('PlayerGrades+'!$Y$52*(VLOOKUP(O71, 'PlayerGrades+'!$X$3:$Y$23, 2, FALSE)))+('PlayerGrades+'!$Y$53*(VLOOKUP(Q71, 'PlayerGrades+'!$X$3:$Y$23, 2, FALSE)))+('PlayerGrades+'!$Y$54*(VLOOKUP(S71, 'PlayerGrades+'!$X$3:$Y$23, 2, FALSE)))+('PlayerGrades+'!$Y$55*(VLOOKUP(U71, 'PlayerGrades+'!$X$3:$Y$23, 2, FALSE)))</f>
        <v>29.95</v>
      </c>
      <c r="D71" s="937">
        <f t="shared" si="1"/>
        <v>0.06787330317</v>
      </c>
      <c r="E71" s="937" t="str">
        <f>IF(D71&lt;'PlayerGrades+'!$AA$21,"F-",IF(D71&lt;'PlayerGrades+'!$AA$20,"F",IF(D71&lt;'PlayerGrades+'!$AA$19,"F+",IF(D71&lt;'PlayerGrades+'!$AA$18,"E-",IF(D71&lt;'PlayerGrades+'!$AA$17,"E",IF(D71&lt;'PlayerGrades+'!$AA$16,"E+",IF(D71&lt;'PlayerGrades+'!$AA$15,"D-",IF(D71&lt;'PlayerGrades+'!$AA$14,"D",IF(D71&lt;'PlayerGrades+'!$AA$13,"D+",IF(D71&lt;'PlayerGrades+'!$AA$12,"C-",IF(D71&lt;'PlayerGrades+'!$AA$11,"C",IF(D71&lt;'PlayerGrades+'!$AA$10,"C+",IF(D71&lt;'PlayerGrades+'!$AA$9,"B-",IF(D71&lt;'PlayerGrades+'!$AA$8,"B",IF(D71&lt;'PlayerGrades+'!$AA$7,"B+",IF(D71&lt;'PlayerGrades+'!$AA$6,"A-",IF(D71&lt;'PlayerGrades+'!$AA$5,"A",IF(D71&lt;'PlayerGrades+'!$AA$4,"A+",IF(D71&lt;'PlayerGrades+'!$AA$3,"S-",IF(D71&lt;'PlayerGrades+'!$AA$2,"S","S+"))))))))))))))))))))</f>
        <v>B</v>
      </c>
      <c r="F71" s="937">
        <f t="shared" si="2"/>
        <v>1.357466063</v>
      </c>
      <c r="G71" s="937" t="str">
        <f>IF(F71&lt;'PlayerGrades+'!$AB$21,"F-",IF(F71&lt;'PlayerGrades+'!$AB$20,"F",IF(F71&lt;'PlayerGrades+'!$AB$19,"F+",IF(F71&lt;'PlayerGrades+'!$AB$18,"E-",IF(F71&lt;'PlayerGrades+'!$AB$17,"E",IF(F71&lt;'PlayerGrades+'!$AB$16,"E+",IF(F71&lt;'PlayerGrades+'!$AB$15,"D-",IF(F71&lt;'PlayerGrades+'!$AB$14,"D",IF(F71&lt;'PlayerGrades+'!$AB$13,"D+",IF(F71&lt;'PlayerGrades+'!$AB$12,"C-",IF(F71&lt;'PlayerGrades+'!$AB$11,"C",IF(F71&lt;'PlayerGrades+'!$AB$10,"C+",IF(F71&lt;'PlayerGrades+'!$AB$9,"B-",IF(F71&lt;'PlayerGrades+'!$AB$8,"B",IF(F71&lt;'PlayerGrades+'!$AB$7,"B+",IF(F71&lt;'PlayerGrades+'!$AB$6,"A-",IF(F71&lt;'PlayerGrades+'!$AB$5,"A",IF(F71&lt;'PlayerGrades+'!$AB$4,"A+",IF(F71&lt;'PlayerGrades+'!$AB$3,"S-",IF(F71&lt;'PlayerGrades+'!$AB$2,"S","S+"))))))))))))))))))))</f>
        <v>S+</v>
      </c>
      <c r="H71" s="937">
        <f t="shared" si="3"/>
        <v>0.1357466063</v>
      </c>
      <c r="I71" s="937" t="str">
        <f>IF(H71&lt;'PlayerGrades+'!$AC$21,"F-",IF(H71&lt;'PlayerGrades+'!$AC$20,"F",IF(H71&lt;'PlayerGrades+'!$AC$19,"F+",IF(H71&lt;'PlayerGrades+'!$AC$18,"E-",IF(H71&lt;'PlayerGrades+'!$AC$17,"E",IF(H71&lt;'PlayerGrades+'!$AC$16,"E+",IF(H71&lt;'PlayerGrades+'!$AC$15,"D-",IF(H71&lt;'PlayerGrades+'!$AC$14,"D",IF(H71&lt;'PlayerGrades+'!$AC$13,"D+",IF(H71&lt;'PlayerGrades+'!$AC$12,"C-",IF(H71&lt;'PlayerGrades+'!$AC$11,"C",IF(H71&lt;'PlayerGrades+'!$AC$10,"C+",IF(H71&lt;'PlayerGrades+'!$AC$9,"B-",IF(H71&lt;'PlayerGrades+'!$AC$8,"B",IF(H71&lt;'PlayerGrades+'!$AC$7,"B+",IF(H71&lt;'PlayerGrades+'!$AC$6,"A-",IF(H71&lt;'PlayerGrades+'!$AC$5,"A",IF(H71&lt;'PlayerGrades+'!$AC$4,"A+",IF(H71&lt;'PlayerGrades+'!$AC$3,"S-",IF(H71&lt;'PlayerGrades+'!$AC$2,"S","S+"))))))))))))))))))))</f>
        <v>B+</v>
      </c>
      <c r="J71" s="937">
        <f t="shared" si="4"/>
        <v>0.2036199095</v>
      </c>
      <c r="K71" s="937" t="str">
        <f>IF(J71&lt;'PlayerGrades+'!$AD$21,"F-",IF(J71&lt;'PlayerGrades+'!$AD$20,"F",IF(J71&lt;'PlayerGrades+'!$AD$19,"F+",IF(J71&lt;'PlayerGrades+'!$AD$18,"E-",IF(J71&lt;'PlayerGrades+'!$AD$17,"E",IF(J71&lt;'PlayerGrades+'!$AD$16,"E+",IF(J71&lt;'PlayerGrades+'!$AD$15,"D-",IF(J71&lt;'PlayerGrades+'!$AD$14,"D",IF(J71&lt;'PlayerGrades+'!$AD$13,"D+",IF(J71&lt;'PlayerGrades+'!$AD$12,"C-",IF(J71&lt;'PlayerGrades+'!$AD$11,"C",IF(J71&lt;'PlayerGrades+'!$AD$10,"C+",IF(J71&lt;'PlayerGrades+'!$AD$9,"B-",IF(J71&lt;'PlayerGrades+'!$AD$8,"B",IF(J71&lt;'PlayerGrades+'!$AD$7,"B+",IF(J71&lt;'PlayerGrades+'!$AD$6,"A-",IF(J71&lt;'PlayerGrades+'!$AD$5,"A",IF(J71&lt;'PlayerGrades+'!$AD$4,"A+",IF(J71&lt;'PlayerGrades+'!$AD$3,"S-",IF(J71&lt;'PlayerGrades+'!$AD$2,"S","S+"))))))))))))))))))))</f>
        <v>S+</v>
      </c>
      <c r="L71" s="677">
        <f t="shared" si="5"/>
        <v>0.7466063348</v>
      </c>
      <c r="M71" s="938" t="str">
        <f>IF(L71&lt;'PlayerGrades+'!$AE$21,"F-",IF(L71&lt;'PlayerGrades+'!$AE$20,"F",IF(L71&lt;'PlayerGrades+'!$AE$19,"F+",IF(L71&lt;'PlayerGrades+'!$AE$18,"E-",IF(L71&lt;'PlayerGrades+'!$AE$17,"E",IF(L71&lt;'PlayerGrades+'!$AE$16,"E+",IF(L71&lt;'PlayerGrades+'!$AE$15,"D-",IF(L71&lt;'PlayerGrades+'!$AE$14,"D",IF(L71&lt;'PlayerGrades+'!$AE$13,"D+",IF(L71&lt;'PlayerGrades+'!$AE$12,"C-",IF(L71&lt;'PlayerGrades+'!$AE$11,"C",IF(L71&lt;'PlayerGrades+'!$AE$10,"C+",IF(L71&lt;'PlayerGrades+'!$AE$9,"B-",IF(L71&lt;'PlayerGrades+'!$AE$8,"B",IF(L71&lt;'PlayerGrades+'!$AE$7,"B+",IF(L71&lt;'PlayerGrades+'!$AE$6,"A-",IF(L71&lt;'PlayerGrades+'!$AE$5,"A",IF(L71&lt;'PlayerGrades+'!$AE$4,"A+",IF(L71&lt;'PlayerGrades+'!$AE$3,"S-",IF(L71&lt;'PlayerGrades+'!$AE$2,"S","S+"))))))))))))))))))))</f>
        <v>S+</v>
      </c>
      <c r="N71" s="937">
        <f t="shared" si="6"/>
        <v>0.2036199095</v>
      </c>
      <c r="O71" s="937" t="str">
        <f>IF(N71&lt;'PlayerGrades+'!$AF$21,"F-",IF(N71&lt;'PlayerGrades+'!$AF$20,"F",IF(N71&lt;'PlayerGrades+'!$AF$19,"F+",IF(N71&lt;'PlayerGrades+'!$AF$18,"E-",IF(N71&lt;'PlayerGrades+'!$AF$17,"E",IF(N71&lt;'PlayerGrades+'!$AF$16,"E+",IF(N71&lt;'PlayerGrades+'!$AF$15,"D-",IF(N71&lt;'PlayerGrades+'!$AF$14,"D",IF(N71&lt;'PlayerGrades+'!$AF$13,"D+",IF(N71&lt;'PlayerGrades+'!$AF$12,"C-",IF(N71&lt;'PlayerGrades+'!$AF$11,"C",IF(N71&lt;'PlayerGrades+'!$AF$10,"C+",IF(N71&lt;'PlayerGrades+'!$AF$9,"B-",IF(N71&lt;'PlayerGrades+'!$AF$8,"B",IF(N71&lt;'PlayerGrades+'!$AF$7,"B+",IF(N71&lt;'PlayerGrades+'!$AF$6,"A-",IF(N71&lt;'PlayerGrades+'!$AF$5,"A",IF(N71&lt;'PlayerGrades+'!$AF$4,"A+",IF(N71&lt;'PlayerGrades+'!$AF$3,"S-",IF(N71&lt;'PlayerGrades+'!$AF$2,"S","S+"))))))))))))))))))))</f>
        <v>S+</v>
      </c>
      <c r="P71" s="937">
        <f t="shared" si="7"/>
        <v>0.1357466063</v>
      </c>
      <c r="Q71" s="937" t="str">
        <f>IF(P71&lt;'PlayerGrades+'!$AG$21,"F-",IF(P71&lt;'PlayerGrades+'!$AG$20,"F",IF(P71&lt;'PlayerGrades+'!$AG$19,"F+",IF(P71&lt;'PlayerGrades+'!$AG$18,"E-",IF(P71&lt;'PlayerGrades+'!$AG$17,"E",IF(P71&lt;'PlayerGrades+'!$AG$16,"E+",IF(P71&lt;'PlayerGrades+'!$AG$15,"D-",IF(P71&lt;'PlayerGrades+'!$AG$14,"D",IF(P71&lt;'PlayerGrades+'!$AG$13,"D+",IF(P71&lt;'PlayerGrades+'!$AG$12,"C-",IF(P71&lt;'PlayerGrades+'!$AG$11,"C",IF(P71&lt;'PlayerGrades+'!$AG$10,"C+",IF(P71&lt;'PlayerGrades+'!$AG$9,"B-",IF(P71&lt;'PlayerGrades+'!$AG$8,"B",IF(P71&lt;'PlayerGrades+'!$AG$7,"B+",IF(P71&lt;'PlayerGrades+'!$AG$6,"A-",IF(P71&lt;'PlayerGrades+'!$AG$5,"A",IF(P71&lt;'PlayerGrades+'!$AG$4,"A+",IF(P71&lt;'PlayerGrades+'!$AG$3,"S-",IF(P71&lt;'PlayerGrades+'!$AG$2,"S","S+"))))))))))))))))))))</f>
        <v>S+</v>
      </c>
      <c r="R71" s="937">
        <f t="shared" si="8"/>
        <v>0.4751131222</v>
      </c>
      <c r="S71" s="937" t="str">
        <f>IF(R71&lt;'PlayerGrades+'!$AH$21,"F-",IF(R71&lt;'PlayerGrades+'!$AH$20,"F",IF(R71&lt;'PlayerGrades+'!$AH$19,"F+",IF(R71&lt;'PlayerGrades+'!$AH$18,"E-",IF(R71&lt;'PlayerGrades+'!$AH$17,"E",IF(R71&lt;'PlayerGrades+'!$AH$16,"E+",IF(R71&lt;'PlayerGrades+'!$AH$15,"D-",IF(R71&lt;'PlayerGrades+'!$AH$14,"D",IF(R71&lt;'PlayerGrades+'!$AH$13,"D+",IF(R71&lt;'PlayerGrades+'!$AH$12,"C-",IF(R71&lt;'PlayerGrades+'!$AH$11,"C",IF(R71&lt;'PlayerGrades+'!$AH$10,"C+",IF(R71&lt;'PlayerGrades+'!$AH$9,"B-",IF(R71&lt;'PlayerGrades+'!$AH$8,"B",IF(R71&lt;'PlayerGrades+'!$AH$7,"B+",IF(R71&lt;'PlayerGrades+'!$AH$6,"A-",IF(R71&lt;'PlayerGrades+'!$AH$5,"A",IF(R71&lt;'PlayerGrades+'!$AH$4,"A+",IF(R71&lt;'PlayerGrades+'!$AH$3,"S-",IF(R71&lt;'PlayerGrades+'!$AH$2,"S","S+"))))))))))))))))))))</f>
        <v>E+</v>
      </c>
      <c r="T71" s="937">
        <f t="shared" si="9"/>
        <v>1.20361991</v>
      </c>
      <c r="U71" s="937" t="str">
        <f>IF(T71&lt;'PlayerGrades+'!$AI$21,"F-",IF(T71&lt;'PlayerGrades+'!$AI$20,"F",IF(T71&lt;'PlayerGrades+'!$AI$19,"F+",IF(T71&lt;'PlayerGrades+'!$AI$18,"E-",IF(T71&lt;'PlayerGrades+'!$AI$17,"E",IF(T71&lt;'PlayerGrades+'!$AI$16,"E+",IF(T71&lt;'PlayerGrades+'!$AI$15,"D-",IF(T71&lt;'PlayerGrades+'!$AI$14,"D",IF(T71&lt;'PlayerGrades+'!$AI$13,"D+",IF(T71&lt;'PlayerGrades+'!$AI$12,"C-",IF(T71&lt;'PlayerGrades+'!$AI$11,"C",IF(T71&lt;'PlayerGrades+'!$AI$10,"C+",IF(T71&lt;'PlayerGrades+'!$AI$9,"B-",IF(T71&lt;'PlayerGrades+'!$AI$8,"B",IF(T71&lt;'PlayerGrades+'!$AI$7,"B+",IF(T71&lt;'PlayerGrades+'!$AI$6,"A-",IF(T71&lt;'PlayerGrades+'!$AI$5,"A",IF(T71&lt;'PlayerGrades+'!$AI$4,"A+",IF(T71&lt;'PlayerGrades+'!$AI$3,"S-",IF(T71&lt;'PlayerGrades+'!$AI$2,"S","S+"))))))))))))))))))))</f>
        <v>C-</v>
      </c>
      <c r="V71" s="941">
        <v>1.0</v>
      </c>
      <c r="W71" s="941">
        <v>1.0</v>
      </c>
      <c r="X71" s="941">
        <v>0.0</v>
      </c>
      <c r="Y71" s="941">
        <v>0.0</v>
      </c>
      <c r="Z71" s="941">
        <v>1.0</v>
      </c>
      <c r="AA71" s="941">
        <v>60.0</v>
      </c>
      <c r="AB71" s="941">
        <v>40.0</v>
      </c>
      <c r="AC71" s="941">
        <v>20.0</v>
      </c>
      <c r="AD71" s="941">
        <v>2.0</v>
      </c>
      <c r="AE71" s="941">
        <v>6.0</v>
      </c>
      <c r="AF71" s="941">
        <v>1.0</v>
      </c>
      <c r="AG71" s="941">
        <v>675.0</v>
      </c>
      <c r="AH71" s="941">
        <v>884.0</v>
      </c>
      <c r="AI71" s="941">
        <v>16.0</v>
      </c>
      <c r="AJ71" s="941">
        <v>14.0</v>
      </c>
      <c r="AK71" s="941">
        <v>0.0</v>
      </c>
      <c r="AL71" s="941">
        <v>3.0</v>
      </c>
      <c r="AM71" s="941">
        <v>0.0</v>
      </c>
      <c r="AN71" s="941">
        <v>0.0</v>
      </c>
      <c r="AO71" s="941">
        <v>0.0</v>
      </c>
      <c r="AP71" s="941">
        <v>2.0</v>
      </c>
      <c r="AQ71" s="941">
        <v>0.0</v>
      </c>
      <c r="AR71" s="941">
        <v>11.0</v>
      </c>
      <c r="AS71" s="941">
        <v>3.0</v>
      </c>
      <c r="AT71" s="941">
        <v>0.0</v>
      </c>
      <c r="AU71" s="941">
        <v>0.0</v>
      </c>
      <c r="AV71" s="941">
        <v>0.0</v>
      </c>
      <c r="AW71" s="941">
        <v>0.0</v>
      </c>
      <c r="AX71" s="941">
        <v>0.0</v>
      </c>
      <c r="AY71" s="941">
        <v>0.0</v>
      </c>
      <c r="AZ71" s="941">
        <v>0.0</v>
      </c>
      <c r="BA71" s="941">
        <v>0.0</v>
      </c>
      <c r="BB71" s="941">
        <v>2.0</v>
      </c>
      <c r="BC71" s="941">
        <v>0.0</v>
      </c>
      <c r="BD71" s="941">
        <v>5.0</v>
      </c>
      <c r="BE71" s="942">
        <v>3.0</v>
      </c>
      <c r="BF71" s="941">
        <v>1.0</v>
      </c>
      <c r="BG71" s="941">
        <v>1.0</v>
      </c>
    </row>
    <row r="72">
      <c r="A72" s="935" t="s">
        <v>138</v>
      </c>
      <c r="B72" s="16" t="str">
        <f>IF(C72&lt;'PlayerGrades+'!$Y$44,"F-",IF(C72&lt;'PlayerGrades+'!$Y$43,"F",IF(C72&lt;'PlayerGrades+'!$Y$42,"F+",IF(C72&lt;'PlayerGrades+'!$Y$41,"E-",IF(C72&lt;'PlayerGrades+'!$Y$40,"E",IF(C72&lt;'PlayerGrades+'!$Y$39,"E+",IF(C72&lt;'PlayerGrades+'!$Y$38,"D-",IF(C72&lt;'PlayerGrades+'!$Y$37,"D",IF(C72&lt;'PlayerGrades+'!$Y$36,"D+",IF(C72&lt;'PlayerGrades+'!$Y$35,"C-",IF(C72&lt;'PlayerGrades+'!$Y$34,"C",IF(C72&lt;'PlayerGrades+'!$Y$33,"C+",IF(C72&lt;'PlayerGrades+'!$Y$32,"B-",IF(C72&lt;'PlayerGrades+'!$Y$31,"B",IF(C72&lt;'PlayerGrades+'!$Y$30,"B+",IF(C72&lt;'PlayerGrades+'!$Y$29,"A-",IF(C72&lt;'PlayerGrades+'!$Y$28,"A",IF(C72&lt;'PlayerGrades+'!$Y$27,"A+",IF(C72&lt;'PlayerGrades+'!$Y$26,"S-",IF(C72&lt;'PlayerGrades+'!$Y$25,"S","S+"))))))))))))))))))))</f>
        <v>B</v>
      </c>
      <c r="C72" s="936">
        <f>('PlayerGrades+'!$Y$47*(VLOOKUP(E72, 'PlayerGrades+'!$X$3:$Y$23, 2, FALSE)))+('PlayerGrades+'!$Y$48*(VLOOKUP(G72, 'PlayerGrades+'!$X$3:$Y$23, 2, FALSE)))+('PlayerGrades+'!$Y$49*(VLOOKUP(I72, 'PlayerGrades+'!$X$3:$Y$23, 2, FALSE)))+('PlayerGrades+'!$Y$50*(VLOOKUP(K72, 'PlayerGrades+'!$X$3:$Y$23, 2, FALSE)))+('PlayerGrades+'!$Y$51*(VLOOKUP(M72, 'PlayerGrades+'!$X$3:$Y$23, 2, FALSE)))+('PlayerGrades+'!$Y$52*(VLOOKUP(O72, 'PlayerGrades+'!$X$3:$Y$23, 2, FALSE)))+('PlayerGrades+'!$Y$53*(VLOOKUP(Q72, 'PlayerGrades+'!$X$3:$Y$23, 2, FALSE)))+('PlayerGrades+'!$Y$54*(VLOOKUP(S72, 'PlayerGrades+'!$X$3:$Y$23, 2, FALSE)))+('PlayerGrades+'!$Y$55*(VLOOKUP(U72, 'PlayerGrades+'!$X$3:$Y$23, 2, FALSE)))</f>
        <v>23.2</v>
      </c>
      <c r="D72" s="937">
        <f t="shared" si="1"/>
        <v>0</v>
      </c>
      <c r="E72" s="937" t="str">
        <f>IF(D72&lt;'PlayerGrades+'!$AA$21,"F-",IF(D72&lt;'PlayerGrades+'!$AA$20,"F",IF(D72&lt;'PlayerGrades+'!$AA$19,"F+",IF(D72&lt;'PlayerGrades+'!$AA$18,"E-",IF(D72&lt;'PlayerGrades+'!$AA$17,"E",IF(D72&lt;'PlayerGrades+'!$AA$16,"E+",IF(D72&lt;'PlayerGrades+'!$AA$15,"D-",IF(D72&lt;'PlayerGrades+'!$AA$14,"D",IF(D72&lt;'PlayerGrades+'!$AA$13,"D+",IF(D72&lt;'PlayerGrades+'!$AA$12,"C-",IF(D72&lt;'PlayerGrades+'!$AA$11,"C",IF(D72&lt;'PlayerGrades+'!$AA$10,"C+",IF(D72&lt;'PlayerGrades+'!$AA$9,"B-",IF(D72&lt;'PlayerGrades+'!$AA$8,"B",IF(D72&lt;'PlayerGrades+'!$AA$7,"B+",IF(D72&lt;'PlayerGrades+'!$AA$6,"A-",IF(D72&lt;'PlayerGrades+'!$AA$5,"A",IF(D72&lt;'PlayerGrades+'!$AA$4,"A+",IF(D72&lt;'PlayerGrades+'!$AA$3,"S-",IF(D72&lt;'PlayerGrades+'!$AA$2,"S","S+"))))))))))))))))))))</f>
        <v>F-</v>
      </c>
      <c r="F72" s="937">
        <f t="shared" si="2"/>
        <v>0.9502262443</v>
      </c>
      <c r="G72" s="937" t="str">
        <f>IF(F72&lt;'PlayerGrades+'!$AB$21,"F-",IF(F72&lt;'PlayerGrades+'!$AB$20,"F",IF(F72&lt;'PlayerGrades+'!$AB$19,"F+",IF(F72&lt;'PlayerGrades+'!$AB$18,"E-",IF(F72&lt;'PlayerGrades+'!$AB$17,"E",IF(F72&lt;'PlayerGrades+'!$AB$16,"E+",IF(F72&lt;'PlayerGrades+'!$AB$15,"D-",IF(F72&lt;'PlayerGrades+'!$AB$14,"D",IF(F72&lt;'PlayerGrades+'!$AB$13,"D+",IF(F72&lt;'PlayerGrades+'!$AB$12,"C-",IF(F72&lt;'PlayerGrades+'!$AB$11,"C",IF(F72&lt;'PlayerGrades+'!$AB$10,"C+",IF(F72&lt;'PlayerGrades+'!$AB$9,"B-",IF(F72&lt;'PlayerGrades+'!$AB$8,"B",IF(F72&lt;'PlayerGrades+'!$AB$7,"B+",IF(F72&lt;'PlayerGrades+'!$AB$6,"A-",IF(F72&lt;'PlayerGrades+'!$AB$5,"A",IF(F72&lt;'PlayerGrades+'!$AB$4,"A+",IF(F72&lt;'PlayerGrades+'!$AB$3,"S-",IF(F72&lt;'PlayerGrades+'!$AB$2,"S","S+"))))))))))))))))))))</f>
        <v>S+</v>
      </c>
      <c r="H72" s="937">
        <f t="shared" si="3"/>
        <v>0.06787330317</v>
      </c>
      <c r="I72" s="937" t="str">
        <f>IF(H72&lt;'PlayerGrades+'!$AC$21,"F-",IF(H72&lt;'PlayerGrades+'!$AC$20,"F",IF(H72&lt;'PlayerGrades+'!$AC$19,"F+",IF(H72&lt;'PlayerGrades+'!$AC$18,"E-",IF(H72&lt;'PlayerGrades+'!$AC$17,"E",IF(H72&lt;'PlayerGrades+'!$AC$16,"E+",IF(H72&lt;'PlayerGrades+'!$AC$15,"D-",IF(H72&lt;'PlayerGrades+'!$AC$14,"D",IF(H72&lt;'PlayerGrades+'!$AC$13,"D+",IF(H72&lt;'PlayerGrades+'!$AC$12,"C-",IF(H72&lt;'PlayerGrades+'!$AC$11,"C",IF(H72&lt;'PlayerGrades+'!$AC$10,"C+",IF(H72&lt;'PlayerGrades+'!$AC$9,"B-",IF(H72&lt;'PlayerGrades+'!$AC$8,"B",IF(H72&lt;'PlayerGrades+'!$AC$7,"B+",IF(H72&lt;'PlayerGrades+'!$AC$6,"A-",IF(H72&lt;'PlayerGrades+'!$AC$5,"A",IF(H72&lt;'PlayerGrades+'!$AC$4,"A+",IF(H72&lt;'PlayerGrades+'!$AC$3,"S-",IF(H72&lt;'PlayerGrades+'!$AC$2,"S","S+"))))))))))))))))))))</f>
        <v>E</v>
      </c>
      <c r="J72" s="937">
        <f t="shared" si="4"/>
        <v>0.1357466063</v>
      </c>
      <c r="K72" s="937" t="str">
        <f>IF(J72&lt;'PlayerGrades+'!$AD$21,"F-",IF(J72&lt;'PlayerGrades+'!$AD$20,"F",IF(J72&lt;'PlayerGrades+'!$AD$19,"F+",IF(J72&lt;'PlayerGrades+'!$AD$18,"E-",IF(J72&lt;'PlayerGrades+'!$AD$17,"E",IF(J72&lt;'PlayerGrades+'!$AD$16,"E+",IF(J72&lt;'PlayerGrades+'!$AD$15,"D-",IF(J72&lt;'PlayerGrades+'!$AD$14,"D",IF(J72&lt;'PlayerGrades+'!$AD$13,"D+",IF(J72&lt;'PlayerGrades+'!$AD$12,"C-",IF(J72&lt;'PlayerGrades+'!$AD$11,"C",IF(J72&lt;'PlayerGrades+'!$AD$10,"C+",IF(J72&lt;'PlayerGrades+'!$AD$9,"B-",IF(J72&lt;'PlayerGrades+'!$AD$8,"B",IF(J72&lt;'PlayerGrades+'!$AD$7,"B+",IF(J72&lt;'PlayerGrades+'!$AD$6,"A-",IF(J72&lt;'PlayerGrades+'!$AD$5,"A",IF(J72&lt;'PlayerGrades+'!$AD$4,"A+",IF(J72&lt;'PlayerGrades+'!$AD$3,"S-",IF(J72&lt;'PlayerGrades+'!$AD$2,"S","S+"))))))))))))))))))))</f>
        <v>S+</v>
      </c>
      <c r="L72" s="677">
        <f t="shared" si="5"/>
        <v>0.7466063348</v>
      </c>
      <c r="M72" s="938" t="str">
        <f>IF(L72&lt;'PlayerGrades+'!$AE$21,"F-",IF(L72&lt;'PlayerGrades+'!$AE$20,"F",IF(L72&lt;'PlayerGrades+'!$AE$19,"F+",IF(L72&lt;'PlayerGrades+'!$AE$18,"E-",IF(L72&lt;'PlayerGrades+'!$AE$17,"E",IF(L72&lt;'PlayerGrades+'!$AE$16,"E+",IF(L72&lt;'PlayerGrades+'!$AE$15,"D-",IF(L72&lt;'PlayerGrades+'!$AE$14,"D",IF(L72&lt;'PlayerGrades+'!$AE$13,"D+",IF(L72&lt;'PlayerGrades+'!$AE$12,"C-",IF(L72&lt;'PlayerGrades+'!$AE$11,"C",IF(L72&lt;'PlayerGrades+'!$AE$10,"C+",IF(L72&lt;'PlayerGrades+'!$AE$9,"B-",IF(L72&lt;'PlayerGrades+'!$AE$8,"B",IF(L72&lt;'PlayerGrades+'!$AE$7,"B+",IF(L72&lt;'PlayerGrades+'!$AE$6,"A-",IF(L72&lt;'PlayerGrades+'!$AE$5,"A",IF(L72&lt;'PlayerGrades+'!$AE$4,"A+",IF(L72&lt;'PlayerGrades+'!$AE$3,"S-",IF(L72&lt;'PlayerGrades+'!$AE$2,"S","S+"))))))))))))))))))))</f>
        <v>S+</v>
      </c>
      <c r="N72" s="937">
        <f t="shared" si="6"/>
        <v>0.2714932127</v>
      </c>
      <c r="O72" s="937" t="str">
        <f>IF(N72&lt;'PlayerGrades+'!$AF$21,"F-",IF(N72&lt;'PlayerGrades+'!$AF$20,"F",IF(N72&lt;'PlayerGrades+'!$AF$19,"F+",IF(N72&lt;'PlayerGrades+'!$AF$18,"E-",IF(N72&lt;'PlayerGrades+'!$AF$17,"E",IF(N72&lt;'PlayerGrades+'!$AF$16,"E+",IF(N72&lt;'PlayerGrades+'!$AF$15,"D-",IF(N72&lt;'PlayerGrades+'!$AF$14,"D",IF(N72&lt;'PlayerGrades+'!$AF$13,"D+",IF(N72&lt;'PlayerGrades+'!$AF$12,"C-",IF(N72&lt;'PlayerGrades+'!$AF$11,"C",IF(N72&lt;'PlayerGrades+'!$AF$10,"C+",IF(N72&lt;'PlayerGrades+'!$AF$9,"B-",IF(N72&lt;'PlayerGrades+'!$AF$8,"B",IF(N72&lt;'PlayerGrades+'!$AF$7,"B+",IF(N72&lt;'PlayerGrades+'!$AF$6,"A-",IF(N72&lt;'PlayerGrades+'!$AF$5,"A",IF(N72&lt;'PlayerGrades+'!$AF$4,"A+",IF(N72&lt;'PlayerGrades+'!$AF$3,"S-",IF(N72&lt;'PlayerGrades+'!$AF$2,"S","S+"))))))))))))))))))))</f>
        <v>S+</v>
      </c>
      <c r="P72" s="937">
        <f t="shared" si="7"/>
        <v>0.1357466063</v>
      </c>
      <c r="Q72" s="937" t="str">
        <f>IF(P72&lt;'PlayerGrades+'!$AG$21,"F-",IF(P72&lt;'PlayerGrades+'!$AG$20,"F",IF(P72&lt;'PlayerGrades+'!$AG$19,"F+",IF(P72&lt;'PlayerGrades+'!$AG$18,"E-",IF(P72&lt;'PlayerGrades+'!$AG$17,"E",IF(P72&lt;'PlayerGrades+'!$AG$16,"E+",IF(P72&lt;'PlayerGrades+'!$AG$15,"D-",IF(P72&lt;'PlayerGrades+'!$AG$14,"D",IF(P72&lt;'PlayerGrades+'!$AG$13,"D+",IF(P72&lt;'PlayerGrades+'!$AG$12,"C-",IF(P72&lt;'PlayerGrades+'!$AG$11,"C",IF(P72&lt;'PlayerGrades+'!$AG$10,"C+",IF(P72&lt;'PlayerGrades+'!$AG$9,"B-",IF(P72&lt;'PlayerGrades+'!$AG$8,"B",IF(P72&lt;'PlayerGrades+'!$AG$7,"B+",IF(P72&lt;'PlayerGrades+'!$AG$6,"A-",IF(P72&lt;'PlayerGrades+'!$AG$5,"A",IF(P72&lt;'PlayerGrades+'!$AG$4,"A+",IF(P72&lt;'PlayerGrades+'!$AG$3,"S-",IF(P72&lt;'PlayerGrades+'!$AG$2,"S","S+"))))))))))))))))))))</f>
        <v>S+</v>
      </c>
      <c r="R72" s="937">
        <f t="shared" si="8"/>
        <v>0.2036199095</v>
      </c>
      <c r="S72" s="937" t="str">
        <f>IF(R72&lt;'PlayerGrades+'!$AH$21,"F-",IF(R72&lt;'PlayerGrades+'!$AH$20,"F",IF(R72&lt;'PlayerGrades+'!$AH$19,"F+",IF(R72&lt;'PlayerGrades+'!$AH$18,"E-",IF(R72&lt;'PlayerGrades+'!$AH$17,"E",IF(R72&lt;'PlayerGrades+'!$AH$16,"E+",IF(R72&lt;'PlayerGrades+'!$AH$15,"D-",IF(R72&lt;'PlayerGrades+'!$AH$14,"D",IF(R72&lt;'PlayerGrades+'!$AH$13,"D+",IF(R72&lt;'PlayerGrades+'!$AH$12,"C-",IF(R72&lt;'PlayerGrades+'!$AH$11,"C",IF(R72&lt;'PlayerGrades+'!$AH$10,"C+",IF(R72&lt;'PlayerGrades+'!$AH$9,"B-",IF(R72&lt;'PlayerGrades+'!$AH$8,"B",IF(R72&lt;'PlayerGrades+'!$AH$7,"B+",IF(R72&lt;'PlayerGrades+'!$AH$6,"A-",IF(R72&lt;'PlayerGrades+'!$AH$5,"A",IF(R72&lt;'PlayerGrades+'!$AH$4,"A+",IF(R72&lt;'PlayerGrades+'!$AH$3,"S-",IF(R72&lt;'PlayerGrades+'!$AH$2,"S","S+"))))))))))))))))))))</f>
        <v>F-</v>
      </c>
      <c r="T72" s="937">
        <f t="shared" si="9"/>
        <v>0.4751131222</v>
      </c>
      <c r="U72" s="937" t="str">
        <f>IF(T72&lt;'PlayerGrades+'!$AI$21,"F-",IF(T72&lt;'PlayerGrades+'!$AI$20,"F",IF(T72&lt;'PlayerGrades+'!$AI$19,"F+",IF(T72&lt;'PlayerGrades+'!$AI$18,"E-",IF(T72&lt;'PlayerGrades+'!$AI$17,"E",IF(T72&lt;'PlayerGrades+'!$AI$16,"E+",IF(T72&lt;'PlayerGrades+'!$AI$15,"D-",IF(T72&lt;'PlayerGrades+'!$AI$14,"D",IF(T72&lt;'PlayerGrades+'!$AI$13,"D+",IF(T72&lt;'PlayerGrades+'!$AI$12,"C-",IF(T72&lt;'PlayerGrades+'!$AI$11,"C",IF(T72&lt;'PlayerGrades+'!$AI$10,"C+",IF(T72&lt;'PlayerGrades+'!$AI$9,"B-",IF(T72&lt;'PlayerGrades+'!$AI$8,"B",IF(T72&lt;'PlayerGrades+'!$AI$7,"B+",IF(T72&lt;'PlayerGrades+'!$AI$6,"A-",IF(T72&lt;'PlayerGrades+'!$AI$5,"A",IF(T72&lt;'PlayerGrades+'!$AI$4,"A+",IF(T72&lt;'PlayerGrades+'!$AI$3,"S-",IF(T72&lt;'PlayerGrades+'!$AI$2,"S","S+"))))))))))))))))))))</f>
        <v>F-</v>
      </c>
      <c r="V72" s="941">
        <v>1.0</v>
      </c>
      <c r="W72" s="941">
        <v>1.0</v>
      </c>
      <c r="X72" s="941">
        <v>0.0</v>
      </c>
      <c r="Y72" s="941">
        <v>0.0</v>
      </c>
      <c r="Z72" s="941">
        <v>0.0</v>
      </c>
      <c r="AA72" s="941">
        <v>66.0</v>
      </c>
      <c r="AB72" s="941">
        <v>52.0</v>
      </c>
      <c r="AC72" s="941">
        <v>14.0</v>
      </c>
      <c r="AD72" s="941">
        <v>1.0</v>
      </c>
      <c r="AE72" s="941">
        <v>6.0</v>
      </c>
      <c r="AF72" s="941">
        <v>1.0</v>
      </c>
      <c r="AG72" s="941">
        <v>640.0</v>
      </c>
      <c r="AH72" s="941">
        <v>884.0</v>
      </c>
      <c r="AI72" s="941">
        <v>12.0</v>
      </c>
      <c r="AJ72" s="941">
        <v>13.0</v>
      </c>
      <c r="AK72" s="941">
        <v>0.0</v>
      </c>
      <c r="AL72" s="941">
        <v>2.0</v>
      </c>
      <c r="AM72" s="941">
        <v>0.0</v>
      </c>
      <c r="AN72" s="941">
        <v>0.0</v>
      </c>
      <c r="AO72" s="941">
        <v>0.0</v>
      </c>
      <c r="AP72" s="941">
        <v>2.0</v>
      </c>
      <c r="AQ72" s="941">
        <v>0.0</v>
      </c>
      <c r="AR72" s="941">
        <v>11.0</v>
      </c>
      <c r="AS72" s="941">
        <v>4.0</v>
      </c>
      <c r="AT72" s="941">
        <v>1.0</v>
      </c>
      <c r="AU72" s="941">
        <v>1.0</v>
      </c>
      <c r="AV72" s="941">
        <v>1.0</v>
      </c>
      <c r="AW72" s="941">
        <v>0.0</v>
      </c>
      <c r="AX72" s="941">
        <v>0.0</v>
      </c>
      <c r="AY72" s="941">
        <v>0.0</v>
      </c>
      <c r="AZ72" s="941">
        <v>0.0</v>
      </c>
      <c r="BA72" s="941">
        <v>0.0</v>
      </c>
      <c r="BB72" s="941">
        <v>1.0</v>
      </c>
      <c r="BC72" s="941">
        <v>0.0</v>
      </c>
      <c r="BD72" s="941">
        <v>2.0</v>
      </c>
      <c r="BE72" s="942">
        <v>7.0</v>
      </c>
      <c r="BF72" s="941">
        <v>0.0</v>
      </c>
      <c r="BG72" s="941">
        <v>1.0</v>
      </c>
    </row>
    <row r="73">
      <c r="A73" s="943" t="s">
        <v>149</v>
      </c>
      <c r="B73" s="16" t="str">
        <f>IF(C73&lt;'PlayerGrades+'!$Y$44,"F-",IF(C73&lt;'PlayerGrades+'!$Y$43,"F",IF(C73&lt;'PlayerGrades+'!$Y$42,"F+",IF(C73&lt;'PlayerGrades+'!$Y$41,"E-",IF(C73&lt;'PlayerGrades+'!$Y$40,"E",IF(C73&lt;'PlayerGrades+'!$Y$39,"E+",IF(C73&lt;'PlayerGrades+'!$Y$38,"D-",IF(C73&lt;'PlayerGrades+'!$Y$37,"D",IF(C73&lt;'PlayerGrades+'!$Y$36,"D+",IF(C73&lt;'PlayerGrades+'!$Y$35,"C-",IF(C73&lt;'PlayerGrades+'!$Y$34,"C",IF(C73&lt;'PlayerGrades+'!$Y$33,"C+",IF(C73&lt;'PlayerGrades+'!$Y$32,"B-",IF(C73&lt;'PlayerGrades+'!$Y$31,"B",IF(C73&lt;'PlayerGrades+'!$Y$30,"B+",IF(C73&lt;'PlayerGrades+'!$Y$29,"A-",IF(C73&lt;'PlayerGrades+'!$Y$28,"A",IF(C73&lt;'PlayerGrades+'!$Y$27,"A+",IF(C73&lt;'PlayerGrades+'!$Y$26,"S-",IF(C73&lt;'PlayerGrades+'!$Y$25,"S","S+"))))))))))))))))))))</f>
        <v>C+</v>
      </c>
      <c r="C73" s="936">
        <f>('PlayerGrades+'!$Y$47*(VLOOKUP(E73, 'PlayerGrades+'!$X$3:$Y$23, 2, FALSE)))+('PlayerGrades+'!$Y$48*(VLOOKUP(G73, 'PlayerGrades+'!$X$3:$Y$23, 2, FALSE)))+('PlayerGrades+'!$Y$49*(VLOOKUP(I73, 'PlayerGrades+'!$X$3:$Y$23, 2, FALSE)))+('PlayerGrades+'!$Y$50*(VLOOKUP(K73, 'PlayerGrades+'!$X$3:$Y$23, 2, FALSE)))+('PlayerGrades+'!$Y$51*(VLOOKUP(M73, 'PlayerGrades+'!$X$3:$Y$23, 2, FALSE)))+('PlayerGrades+'!$Y$52*(VLOOKUP(O73, 'PlayerGrades+'!$X$3:$Y$23, 2, FALSE)))+('PlayerGrades+'!$Y$53*(VLOOKUP(Q73, 'PlayerGrades+'!$X$3:$Y$23, 2, FALSE)))+('PlayerGrades+'!$Y$54*(VLOOKUP(S73, 'PlayerGrades+'!$X$3:$Y$23, 2, FALSE)))+('PlayerGrades+'!$Y$55*(VLOOKUP(U73, 'PlayerGrades+'!$X$3:$Y$23, 2, FALSE)))</f>
        <v>21.5</v>
      </c>
      <c r="D73" s="937">
        <f t="shared" si="1"/>
        <v>0.8823529412</v>
      </c>
      <c r="E73" s="937" t="str">
        <f>IF(D73&lt;'PlayerGrades+'!$AA$21,"F-",IF(D73&lt;'PlayerGrades+'!$AA$20,"F",IF(D73&lt;'PlayerGrades+'!$AA$19,"F+",IF(D73&lt;'PlayerGrades+'!$AA$18,"E-",IF(D73&lt;'PlayerGrades+'!$AA$17,"E",IF(D73&lt;'PlayerGrades+'!$AA$16,"E+",IF(D73&lt;'PlayerGrades+'!$AA$15,"D-",IF(D73&lt;'PlayerGrades+'!$AA$14,"D",IF(D73&lt;'PlayerGrades+'!$AA$13,"D+",IF(D73&lt;'PlayerGrades+'!$AA$12,"C-",IF(D73&lt;'PlayerGrades+'!$AA$11,"C",IF(D73&lt;'PlayerGrades+'!$AA$10,"C+",IF(D73&lt;'PlayerGrades+'!$AA$9,"B-",IF(D73&lt;'PlayerGrades+'!$AA$8,"B",IF(D73&lt;'PlayerGrades+'!$AA$7,"B+",IF(D73&lt;'PlayerGrades+'!$AA$6,"A-",IF(D73&lt;'PlayerGrades+'!$AA$5,"A",IF(D73&lt;'PlayerGrades+'!$AA$4,"A+",IF(D73&lt;'PlayerGrades+'!$AA$3,"S-",IF(D73&lt;'PlayerGrades+'!$AA$2,"S","S+"))))))))))))))))))))</f>
        <v>S+</v>
      </c>
      <c r="F73" s="937">
        <f t="shared" si="2"/>
        <v>0.814479638</v>
      </c>
      <c r="G73" s="937" t="str">
        <f>IF(F73&lt;'PlayerGrades+'!$AB$21,"F-",IF(F73&lt;'PlayerGrades+'!$AB$20,"F",IF(F73&lt;'PlayerGrades+'!$AB$19,"F+",IF(F73&lt;'PlayerGrades+'!$AB$18,"E-",IF(F73&lt;'PlayerGrades+'!$AB$17,"E",IF(F73&lt;'PlayerGrades+'!$AB$16,"E+",IF(F73&lt;'PlayerGrades+'!$AB$15,"D-",IF(F73&lt;'PlayerGrades+'!$AB$14,"D",IF(F73&lt;'PlayerGrades+'!$AB$13,"D+",IF(F73&lt;'PlayerGrades+'!$AB$12,"C-",IF(F73&lt;'PlayerGrades+'!$AB$11,"C",IF(F73&lt;'PlayerGrades+'!$AB$10,"C+",IF(F73&lt;'PlayerGrades+'!$AB$9,"B-",IF(F73&lt;'PlayerGrades+'!$AB$8,"B",IF(F73&lt;'PlayerGrades+'!$AB$7,"B+",IF(F73&lt;'PlayerGrades+'!$AB$6,"A-",IF(F73&lt;'PlayerGrades+'!$AB$5,"A",IF(F73&lt;'PlayerGrades+'!$AB$4,"A+",IF(F73&lt;'PlayerGrades+'!$AB$3,"S-",IF(F73&lt;'PlayerGrades+'!$AB$2,"S","S+"))))))))))))))))))))</f>
        <v>S</v>
      </c>
      <c r="H73" s="937">
        <f t="shared" si="3"/>
        <v>0.06787330317</v>
      </c>
      <c r="I73" s="937" t="str">
        <f>IF(H73&lt;'PlayerGrades+'!$AC$21,"F-",IF(H73&lt;'PlayerGrades+'!$AC$20,"F",IF(H73&lt;'PlayerGrades+'!$AC$19,"F+",IF(H73&lt;'PlayerGrades+'!$AC$18,"E-",IF(H73&lt;'PlayerGrades+'!$AC$17,"E",IF(H73&lt;'PlayerGrades+'!$AC$16,"E+",IF(H73&lt;'PlayerGrades+'!$AC$15,"D-",IF(H73&lt;'PlayerGrades+'!$AC$14,"D",IF(H73&lt;'PlayerGrades+'!$AC$13,"D+",IF(H73&lt;'PlayerGrades+'!$AC$12,"C-",IF(H73&lt;'PlayerGrades+'!$AC$11,"C",IF(H73&lt;'PlayerGrades+'!$AC$10,"C+",IF(H73&lt;'PlayerGrades+'!$AC$9,"B-",IF(H73&lt;'PlayerGrades+'!$AC$8,"B",IF(H73&lt;'PlayerGrades+'!$AC$7,"B+",IF(H73&lt;'PlayerGrades+'!$AC$6,"A-",IF(H73&lt;'PlayerGrades+'!$AC$5,"A",IF(H73&lt;'PlayerGrades+'!$AC$4,"A+",IF(H73&lt;'PlayerGrades+'!$AC$3,"S-",IF(H73&lt;'PlayerGrades+'!$AC$2,"S","S+"))))))))))))))))))))</f>
        <v>E</v>
      </c>
      <c r="J73" s="937">
        <f t="shared" si="4"/>
        <v>0.06787330317</v>
      </c>
      <c r="K73" s="937" t="str">
        <f>IF(J73&lt;'PlayerGrades+'!$AD$21,"F-",IF(J73&lt;'PlayerGrades+'!$AD$20,"F",IF(J73&lt;'PlayerGrades+'!$AD$19,"F+",IF(J73&lt;'PlayerGrades+'!$AD$18,"E-",IF(J73&lt;'PlayerGrades+'!$AD$17,"E",IF(J73&lt;'PlayerGrades+'!$AD$16,"E+",IF(J73&lt;'PlayerGrades+'!$AD$15,"D-",IF(J73&lt;'PlayerGrades+'!$AD$14,"D",IF(J73&lt;'PlayerGrades+'!$AD$13,"D+",IF(J73&lt;'PlayerGrades+'!$AD$12,"C-",IF(J73&lt;'PlayerGrades+'!$AD$11,"C",IF(J73&lt;'PlayerGrades+'!$AD$10,"C+",IF(J73&lt;'PlayerGrades+'!$AD$9,"B-",IF(J73&lt;'PlayerGrades+'!$AD$8,"B",IF(J73&lt;'PlayerGrades+'!$AD$7,"B+",IF(J73&lt;'PlayerGrades+'!$AD$6,"A-",IF(J73&lt;'PlayerGrades+'!$AD$5,"A",IF(J73&lt;'PlayerGrades+'!$AD$4,"A+",IF(J73&lt;'PlayerGrades+'!$AD$3,"S-",IF(J73&lt;'PlayerGrades+'!$AD$2,"S","S+"))))))))))))))))))))</f>
        <v>A-</v>
      </c>
      <c r="L73" s="677">
        <f t="shared" si="5"/>
        <v>0.3393665158</v>
      </c>
      <c r="M73" s="938" t="str">
        <f>IF(L73&lt;'PlayerGrades+'!$AE$21,"F-",IF(L73&lt;'PlayerGrades+'!$AE$20,"F",IF(L73&lt;'PlayerGrades+'!$AE$19,"F+",IF(L73&lt;'PlayerGrades+'!$AE$18,"E-",IF(L73&lt;'PlayerGrades+'!$AE$17,"E",IF(L73&lt;'PlayerGrades+'!$AE$16,"E+",IF(L73&lt;'PlayerGrades+'!$AE$15,"D-",IF(L73&lt;'PlayerGrades+'!$AE$14,"D",IF(L73&lt;'PlayerGrades+'!$AE$13,"D+",IF(L73&lt;'PlayerGrades+'!$AE$12,"C-",IF(L73&lt;'PlayerGrades+'!$AE$11,"C",IF(L73&lt;'PlayerGrades+'!$AE$10,"C+",IF(L73&lt;'PlayerGrades+'!$AE$9,"B-",IF(L73&lt;'PlayerGrades+'!$AE$8,"B",IF(L73&lt;'PlayerGrades+'!$AE$7,"B+",IF(L73&lt;'PlayerGrades+'!$AE$6,"A-",IF(L73&lt;'PlayerGrades+'!$AE$5,"A",IF(L73&lt;'PlayerGrades+'!$AE$4,"A+",IF(L73&lt;'PlayerGrades+'!$AE$3,"S-",IF(L73&lt;'PlayerGrades+'!$AE$2,"S","S+"))))))))))))))))))))</f>
        <v>D-</v>
      </c>
      <c r="N73" s="937">
        <f t="shared" si="6"/>
        <v>0</v>
      </c>
      <c r="O73" s="937" t="str">
        <f>IF(N73&lt;'PlayerGrades+'!$AF$21,"F-",IF(N73&lt;'PlayerGrades+'!$AF$20,"F",IF(N73&lt;'PlayerGrades+'!$AF$19,"F+",IF(N73&lt;'PlayerGrades+'!$AF$18,"E-",IF(N73&lt;'PlayerGrades+'!$AF$17,"E",IF(N73&lt;'PlayerGrades+'!$AF$16,"E+",IF(N73&lt;'PlayerGrades+'!$AF$15,"D-",IF(N73&lt;'PlayerGrades+'!$AF$14,"D",IF(N73&lt;'PlayerGrades+'!$AF$13,"D+",IF(N73&lt;'PlayerGrades+'!$AF$12,"C-",IF(N73&lt;'PlayerGrades+'!$AF$11,"C",IF(N73&lt;'PlayerGrades+'!$AF$10,"C+",IF(N73&lt;'PlayerGrades+'!$AF$9,"B-",IF(N73&lt;'PlayerGrades+'!$AF$8,"B",IF(N73&lt;'PlayerGrades+'!$AF$7,"B+",IF(N73&lt;'PlayerGrades+'!$AF$6,"A-",IF(N73&lt;'PlayerGrades+'!$AF$5,"A",IF(N73&lt;'PlayerGrades+'!$AF$4,"A+",IF(N73&lt;'PlayerGrades+'!$AF$3,"S-",IF(N73&lt;'PlayerGrades+'!$AF$2,"S","S+"))))))))))))))))))))</f>
        <v>F-</v>
      </c>
      <c r="P73" s="937">
        <f t="shared" si="7"/>
        <v>0</v>
      </c>
      <c r="Q73" s="937" t="str">
        <f>IF(P73&lt;'PlayerGrades+'!$AG$21,"F-",IF(P73&lt;'PlayerGrades+'!$AG$20,"F",IF(P73&lt;'PlayerGrades+'!$AG$19,"F+",IF(P73&lt;'PlayerGrades+'!$AG$18,"E-",IF(P73&lt;'PlayerGrades+'!$AG$17,"E",IF(P73&lt;'PlayerGrades+'!$AG$16,"E+",IF(P73&lt;'PlayerGrades+'!$AG$15,"D-",IF(P73&lt;'PlayerGrades+'!$AG$14,"D",IF(P73&lt;'PlayerGrades+'!$AG$13,"D+",IF(P73&lt;'PlayerGrades+'!$AG$12,"C-",IF(P73&lt;'PlayerGrades+'!$AG$11,"C",IF(P73&lt;'PlayerGrades+'!$AG$10,"C+",IF(P73&lt;'PlayerGrades+'!$AG$9,"B-",IF(P73&lt;'PlayerGrades+'!$AG$8,"B",IF(P73&lt;'PlayerGrades+'!$AG$7,"B+",IF(P73&lt;'PlayerGrades+'!$AG$6,"A-",IF(P73&lt;'PlayerGrades+'!$AG$5,"A",IF(P73&lt;'PlayerGrades+'!$AG$4,"A+",IF(P73&lt;'PlayerGrades+'!$AG$3,"S-",IF(P73&lt;'PlayerGrades+'!$AG$2,"S","S+"))))))))))))))))))))</f>
        <v>F</v>
      </c>
      <c r="R73" s="937">
        <f t="shared" si="8"/>
        <v>0.6108597285</v>
      </c>
      <c r="S73" s="937" t="str">
        <f>IF(R73&lt;'PlayerGrades+'!$AH$21,"F-",IF(R73&lt;'PlayerGrades+'!$AH$20,"F",IF(R73&lt;'PlayerGrades+'!$AH$19,"F+",IF(R73&lt;'PlayerGrades+'!$AH$18,"E-",IF(R73&lt;'PlayerGrades+'!$AH$17,"E",IF(R73&lt;'PlayerGrades+'!$AH$16,"E+",IF(R73&lt;'PlayerGrades+'!$AH$15,"D-",IF(R73&lt;'PlayerGrades+'!$AH$14,"D",IF(R73&lt;'PlayerGrades+'!$AH$13,"D+",IF(R73&lt;'PlayerGrades+'!$AH$12,"C-",IF(R73&lt;'PlayerGrades+'!$AH$11,"C",IF(R73&lt;'PlayerGrades+'!$AH$10,"C+",IF(R73&lt;'PlayerGrades+'!$AH$9,"B-",IF(R73&lt;'PlayerGrades+'!$AH$8,"B",IF(R73&lt;'PlayerGrades+'!$AH$7,"B+",IF(R73&lt;'PlayerGrades+'!$AH$6,"A-",IF(R73&lt;'PlayerGrades+'!$AH$5,"A",IF(R73&lt;'PlayerGrades+'!$AH$4,"A+",IF(R73&lt;'PlayerGrades+'!$AH$3,"S-",IF(R73&lt;'PlayerGrades+'!$AH$2,"S","S+"))))))))))))))))))))</f>
        <v>A-</v>
      </c>
      <c r="T73" s="937">
        <f t="shared" si="9"/>
        <v>2.067873303</v>
      </c>
      <c r="U73" s="937" t="str">
        <f>IF(T73&lt;'PlayerGrades+'!$AI$21,"F-",IF(T73&lt;'PlayerGrades+'!$AI$20,"F",IF(T73&lt;'PlayerGrades+'!$AI$19,"F+",IF(T73&lt;'PlayerGrades+'!$AI$18,"E-",IF(T73&lt;'PlayerGrades+'!$AI$17,"E",IF(T73&lt;'PlayerGrades+'!$AI$16,"E+",IF(T73&lt;'PlayerGrades+'!$AI$15,"D-",IF(T73&lt;'PlayerGrades+'!$AI$14,"D",IF(T73&lt;'PlayerGrades+'!$AI$13,"D+",IF(T73&lt;'PlayerGrades+'!$AI$12,"C-",IF(T73&lt;'PlayerGrades+'!$AI$11,"C",IF(T73&lt;'PlayerGrades+'!$AI$10,"C+",IF(T73&lt;'PlayerGrades+'!$AI$9,"B-",IF(T73&lt;'PlayerGrades+'!$AI$8,"B",IF(T73&lt;'PlayerGrades+'!$AI$7,"B+",IF(T73&lt;'PlayerGrades+'!$AI$6,"A-",IF(T73&lt;'PlayerGrades+'!$AI$5,"A",IF(T73&lt;'PlayerGrades+'!$AI$4,"A+",IF(T73&lt;'PlayerGrades+'!$AI$3,"S-",IF(T73&lt;'PlayerGrades+'!$AI$2,"S","S+"))))))))))))))))))))</f>
        <v>S+</v>
      </c>
      <c r="V73" s="944">
        <v>1.0</v>
      </c>
      <c r="W73" s="944">
        <v>1.0</v>
      </c>
      <c r="X73" s="944">
        <v>0.0</v>
      </c>
      <c r="Y73" s="944">
        <v>5.0</v>
      </c>
      <c r="Z73" s="944">
        <v>8.0</v>
      </c>
      <c r="AA73" s="944">
        <v>32.0</v>
      </c>
      <c r="AB73" s="944">
        <v>20.0</v>
      </c>
      <c r="AC73" s="944">
        <v>12.0</v>
      </c>
      <c r="AD73" s="944">
        <v>1.0</v>
      </c>
      <c r="AE73" s="944">
        <v>5.0</v>
      </c>
      <c r="AF73" s="944">
        <v>2.0</v>
      </c>
      <c r="AG73" s="944">
        <v>726.0</v>
      </c>
      <c r="AH73" s="944">
        <v>884.0</v>
      </c>
      <c r="AI73" s="944">
        <v>36.0</v>
      </c>
      <c r="AJ73" s="944">
        <v>501.0</v>
      </c>
      <c r="AK73" s="944">
        <v>0.0</v>
      </c>
      <c r="AL73" s="944">
        <v>1.0</v>
      </c>
      <c r="AM73" s="944">
        <v>0.0</v>
      </c>
      <c r="AN73" s="944">
        <v>0.0</v>
      </c>
      <c r="AO73" s="944">
        <v>0.0</v>
      </c>
      <c r="AP73" s="944">
        <v>0.0</v>
      </c>
      <c r="AQ73" s="944">
        <v>0.0</v>
      </c>
      <c r="AR73" s="944">
        <v>5.0</v>
      </c>
      <c r="AS73" s="944">
        <v>0.0</v>
      </c>
      <c r="AT73" s="944">
        <v>0.0</v>
      </c>
      <c r="AU73" s="944">
        <v>0.0</v>
      </c>
      <c r="AV73" s="944">
        <v>0.0</v>
      </c>
      <c r="AW73" s="944">
        <v>0.0</v>
      </c>
      <c r="AX73" s="944">
        <v>0.0</v>
      </c>
      <c r="AY73" s="944">
        <v>0.0</v>
      </c>
      <c r="AZ73" s="944">
        <v>0.0</v>
      </c>
      <c r="BA73" s="944">
        <v>0.0</v>
      </c>
      <c r="BB73" s="944">
        <v>1.0</v>
      </c>
      <c r="BC73" s="882">
        <v>0.0</v>
      </c>
      <c r="BD73" s="882">
        <v>8.0</v>
      </c>
      <c r="BE73" s="948">
        <v>1.0</v>
      </c>
      <c r="BF73" s="941">
        <v>2.0</v>
      </c>
      <c r="BG73" s="941">
        <v>1.0</v>
      </c>
    </row>
    <row r="74">
      <c r="A74" s="946" t="s">
        <v>117</v>
      </c>
      <c r="B74" s="16" t="str">
        <f>IF(C74&lt;'PlayerGrades+'!$Y$44,"F-",IF(C74&lt;'PlayerGrades+'!$Y$43,"F",IF(C74&lt;'PlayerGrades+'!$Y$42,"F+",IF(C74&lt;'PlayerGrades+'!$Y$41,"E-",IF(C74&lt;'PlayerGrades+'!$Y$40,"E",IF(C74&lt;'PlayerGrades+'!$Y$39,"E+",IF(C74&lt;'PlayerGrades+'!$Y$38,"D-",IF(C74&lt;'PlayerGrades+'!$Y$37,"D",IF(C74&lt;'PlayerGrades+'!$Y$36,"D+",IF(C74&lt;'PlayerGrades+'!$Y$35,"C-",IF(C74&lt;'PlayerGrades+'!$Y$34,"C",IF(C74&lt;'PlayerGrades+'!$Y$33,"C+",IF(C74&lt;'PlayerGrades+'!$Y$32,"B-",IF(C74&lt;'PlayerGrades+'!$Y$31,"B",IF(C74&lt;'PlayerGrades+'!$Y$30,"B+",IF(C74&lt;'PlayerGrades+'!$Y$29,"A-",IF(C74&lt;'PlayerGrades+'!$Y$28,"A",IF(C74&lt;'PlayerGrades+'!$Y$27,"A+",IF(C74&lt;'PlayerGrades+'!$Y$26,"S-",IF(C74&lt;'PlayerGrades+'!$Y$25,"S","S+"))))))))))))))))))))</f>
        <v>B-</v>
      </c>
      <c r="C74" s="936">
        <f>('PlayerGrades+'!$Y$47*(VLOOKUP(E74, 'PlayerGrades+'!$X$3:$Y$23, 2, FALSE)))+('PlayerGrades+'!$Y$48*(VLOOKUP(G74, 'PlayerGrades+'!$X$3:$Y$23, 2, FALSE)))+('PlayerGrades+'!$Y$49*(VLOOKUP(I74, 'PlayerGrades+'!$X$3:$Y$23, 2, FALSE)))+('PlayerGrades+'!$Y$50*(VLOOKUP(K74, 'PlayerGrades+'!$X$3:$Y$23, 2, FALSE)))+('PlayerGrades+'!$Y$51*(VLOOKUP(M74, 'PlayerGrades+'!$X$3:$Y$23, 2, FALSE)))+('PlayerGrades+'!$Y$52*(VLOOKUP(O74, 'PlayerGrades+'!$X$3:$Y$23, 2, FALSE)))+('PlayerGrades+'!$Y$53*(VLOOKUP(Q74, 'PlayerGrades+'!$X$3:$Y$23, 2, FALSE)))+('PlayerGrades+'!$Y$54*(VLOOKUP(S74, 'PlayerGrades+'!$X$3:$Y$23, 2, FALSE)))+('PlayerGrades+'!$Y$55*(VLOOKUP(U74, 'PlayerGrades+'!$X$3:$Y$23, 2, FALSE)))</f>
        <v>22.25</v>
      </c>
      <c r="D74" s="937">
        <f t="shared" si="1"/>
        <v>0.2805611222</v>
      </c>
      <c r="E74" s="937" t="str">
        <f>IF(D74&lt;'PlayerGrades+'!$AA$21,"F-",IF(D74&lt;'PlayerGrades+'!$AA$20,"F",IF(D74&lt;'PlayerGrades+'!$AA$19,"F+",IF(D74&lt;'PlayerGrades+'!$AA$18,"E-",IF(D74&lt;'PlayerGrades+'!$AA$17,"E",IF(D74&lt;'PlayerGrades+'!$AA$16,"E+",IF(D74&lt;'PlayerGrades+'!$AA$15,"D-",IF(D74&lt;'PlayerGrades+'!$AA$14,"D",IF(D74&lt;'PlayerGrades+'!$AA$13,"D+",IF(D74&lt;'PlayerGrades+'!$AA$12,"C-",IF(D74&lt;'PlayerGrades+'!$AA$11,"C",IF(D74&lt;'PlayerGrades+'!$AA$10,"C+",IF(D74&lt;'PlayerGrades+'!$AA$9,"B-",IF(D74&lt;'PlayerGrades+'!$AA$8,"B",IF(D74&lt;'PlayerGrades+'!$AA$7,"B+",IF(D74&lt;'PlayerGrades+'!$AA$6,"A-",IF(D74&lt;'PlayerGrades+'!$AA$5,"A",IF(D74&lt;'PlayerGrades+'!$AA$4,"A+",IF(D74&lt;'PlayerGrades+'!$AA$3,"S-",IF(D74&lt;'PlayerGrades+'!$AA$2,"S","S+"))))))))))))))))))))</f>
        <v>A</v>
      </c>
      <c r="F74" s="937">
        <f t="shared" si="2"/>
        <v>0.5611222445</v>
      </c>
      <c r="G74" s="937" t="str">
        <f>IF(F74&lt;'PlayerGrades+'!$AB$21,"F-",IF(F74&lt;'PlayerGrades+'!$AB$20,"F",IF(F74&lt;'PlayerGrades+'!$AB$19,"F+",IF(F74&lt;'PlayerGrades+'!$AB$18,"E-",IF(F74&lt;'PlayerGrades+'!$AB$17,"E",IF(F74&lt;'PlayerGrades+'!$AB$16,"E+",IF(F74&lt;'PlayerGrades+'!$AB$15,"D-",IF(F74&lt;'PlayerGrades+'!$AB$14,"D",IF(F74&lt;'PlayerGrades+'!$AB$13,"D+",IF(F74&lt;'PlayerGrades+'!$AB$12,"C-",IF(F74&lt;'PlayerGrades+'!$AB$11,"C",IF(F74&lt;'PlayerGrades+'!$AB$10,"C+",IF(F74&lt;'PlayerGrades+'!$AB$9,"B-",IF(F74&lt;'PlayerGrades+'!$AB$8,"B",IF(F74&lt;'PlayerGrades+'!$AB$7,"B+",IF(F74&lt;'PlayerGrades+'!$AB$6,"A-",IF(F74&lt;'PlayerGrades+'!$AB$5,"A",IF(F74&lt;'PlayerGrades+'!$AB$4,"A+",IF(F74&lt;'PlayerGrades+'!$AB$3,"S-",IF(F74&lt;'PlayerGrades+'!$AB$2,"S","S+"))))))))))))))))))))</f>
        <v>S-</v>
      </c>
      <c r="H74" s="937">
        <f t="shared" si="3"/>
        <v>0.120240481</v>
      </c>
      <c r="I74" s="937" t="str">
        <f>IF(H74&lt;'PlayerGrades+'!$AC$21,"F-",IF(H74&lt;'PlayerGrades+'!$AC$20,"F",IF(H74&lt;'PlayerGrades+'!$AC$19,"F+",IF(H74&lt;'PlayerGrades+'!$AC$18,"E-",IF(H74&lt;'PlayerGrades+'!$AC$17,"E",IF(H74&lt;'PlayerGrades+'!$AC$16,"E+",IF(H74&lt;'PlayerGrades+'!$AC$15,"D-",IF(H74&lt;'PlayerGrades+'!$AC$14,"D",IF(H74&lt;'PlayerGrades+'!$AC$13,"D+",IF(H74&lt;'PlayerGrades+'!$AC$12,"C-",IF(H74&lt;'PlayerGrades+'!$AC$11,"C",IF(H74&lt;'PlayerGrades+'!$AC$10,"C+",IF(H74&lt;'PlayerGrades+'!$AC$9,"B-",IF(H74&lt;'PlayerGrades+'!$AC$8,"B",IF(H74&lt;'PlayerGrades+'!$AC$7,"B+",IF(H74&lt;'PlayerGrades+'!$AC$6,"A-",IF(H74&lt;'PlayerGrades+'!$AC$5,"A",IF(H74&lt;'PlayerGrades+'!$AC$4,"A+",IF(H74&lt;'PlayerGrades+'!$AC$3,"S-",IF(H74&lt;'PlayerGrades+'!$AC$2,"S","S+"))))))))))))))))))))</f>
        <v>C+</v>
      </c>
      <c r="J74" s="937">
        <f t="shared" si="4"/>
        <v>0.04008016032</v>
      </c>
      <c r="K74" s="937" t="str">
        <f>IF(J74&lt;'PlayerGrades+'!$AD$21,"F-",IF(J74&lt;'PlayerGrades+'!$AD$20,"F",IF(J74&lt;'PlayerGrades+'!$AD$19,"F+",IF(J74&lt;'PlayerGrades+'!$AD$18,"E-",IF(J74&lt;'PlayerGrades+'!$AD$17,"E",IF(J74&lt;'PlayerGrades+'!$AD$16,"E+",IF(J74&lt;'PlayerGrades+'!$AD$15,"D-",IF(J74&lt;'PlayerGrades+'!$AD$14,"D",IF(J74&lt;'PlayerGrades+'!$AD$13,"D+",IF(J74&lt;'PlayerGrades+'!$AD$12,"C-",IF(J74&lt;'PlayerGrades+'!$AD$11,"C",IF(J74&lt;'PlayerGrades+'!$AD$10,"C+",IF(J74&lt;'PlayerGrades+'!$AD$9,"B-",IF(J74&lt;'PlayerGrades+'!$AD$8,"B",IF(J74&lt;'PlayerGrades+'!$AD$7,"B+",IF(J74&lt;'PlayerGrades+'!$AD$6,"A-",IF(J74&lt;'PlayerGrades+'!$AD$5,"A",IF(J74&lt;'PlayerGrades+'!$AD$4,"A+",IF(J74&lt;'PlayerGrades+'!$AD$3,"S-",IF(J74&lt;'PlayerGrades+'!$AD$2,"S","S+"))))))))))))))))))))</f>
        <v>C+</v>
      </c>
      <c r="L74" s="677">
        <f t="shared" si="5"/>
        <v>0.4809619238</v>
      </c>
      <c r="M74" s="938" t="str">
        <f>IF(L74&lt;'PlayerGrades+'!$AE$21,"F-",IF(L74&lt;'PlayerGrades+'!$AE$20,"F",IF(L74&lt;'PlayerGrades+'!$AE$19,"F+",IF(L74&lt;'PlayerGrades+'!$AE$18,"E-",IF(L74&lt;'PlayerGrades+'!$AE$17,"E",IF(L74&lt;'PlayerGrades+'!$AE$16,"E+",IF(L74&lt;'PlayerGrades+'!$AE$15,"D-",IF(L74&lt;'PlayerGrades+'!$AE$14,"D",IF(L74&lt;'PlayerGrades+'!$AE$13,"D+",IF(L74&lt;'PlayerGrades+'!$AE$12,"C-",IF(L74&lt;'PlayerGrades+'!$AE$11,"C",IF(L74&lt;'PlayerGrades+'!$AE$10,"C+",IF(L74&lt;'PlayerGrades+'!$AE$9,"B-",IF(L74&lt;'PlayerGrades+'!$AE$8,"B",IF(L74&lt;'PlayerGrades+'!$AE$7,"B+",IF(L74&lt;'PlayerGrades+'!$AE$6,"A-",IF(L74&lt;'PlayerGrades+'!$AE$5,"A",IF(L74&lt;'PlayerGrades+'!$AE$4,"A+",IF(L74&lt;'PlayerGrades+'!$AE$3,"S-",IF(L74&lt;'PlayerGrades+'!$AE$2,"S","S+"))))))))))))))))))))</f>
        <v>B+</v>
      </c>
      <c r="N74" s="937">
        <f t="shared" si="6"/>
        <v>0.04008016032</v>
      </c>
      <c r="O74" s="937" t="str">
        <f>IF(N74&lt;'PlayerGrades+'!$AF$21,"F-",IF(N74&lt;'PlayerGrades+'!$AF$20,"F",IF(N74&lt;'PlayerGrades+'!$AF$19,"F+",IF(N74&lt;'PlayerGrades+'!$AF$18,"E-",IF(N74&lt;'PlayerGrades+'!$AF$17,"E",IF(N74&lt;'PlayerGrades+'!$AF$16,"E+",IF(N74&lt;'PlayerGrades+'!$AF$15,"D-",IF(N74&lt;'PlayerGrades+'!$AF$14,"D",IF(N74&lt;'PlayerGrades+'!$AF$13,"D+",IF(N74&lt;'PlayerGrades+'!$AF$12,"C-",IF(N74&lt;'PlayerGrades+'!$AF$11,"C",IF(N74&lt;'PlayerGrades+'!$AF$10,"C+",IF(N74&lt;'PlayerGrades+'!$AF$9,"B-",IF(N74&lt;'PlayerGrades+'!$AF$8,"B",IF(N74&lt;'PlayerGrades+'!$AF$7,"B+",IF(N74&lt;'PlayerGrades+'!$AF$6,"A-",IF(N74&lt;'PlayerGrades+'!$AF$5,"A",IF(N74&lt;'PlayerGrades+'!$AF$4,"A+",IF(N74&lt;'PlayerGrades+'!$AF$3,"S-",IF(N74&lt;'PlayerGrades+'!$AF$2,"S","S+"))))))))))))))))))))</f>
        <v>E-</v>
      </c>
      <c r="P74" s="937">
        <f t="shared" si="7"/>
        <v>0</v>
      </c>
      <c r="Q74" s="937" t="str">
        <f>IF(P74&lt;'PlayerGrades+'!$AG$21,"F-",IF(P74&lt;'PlayerGrades+'!$AG$20,"F",IF(P74&lt;'PlayerGrades+'!$AG$19,"F+",IF(P74&lt;'PlayerGrades+'!$AG$18,"E-",IF(P74&lt;'PlayerGrades+'!$AG$17,"E",IF(P74&lt;'PlayerGrades+'!$AG$16,"E+",IF(P74&lt;'PlayerGrades+'!$AG$15,"D-",IF(P74&lt;'PlayerGrades+'!$AG$14,"D",IF(P74&lt;'PlayerGrades+'!$AG$13,"D+",IF(P74&lt;'PlayerGrades+'!$AG$12,"C-",IF(P74&lt;'PlayerGrades+'!$AG$11,"C",IF(P74&lt;'PlayerGrades+'!$AG$10,"C+",IF(P74&lt;'PlayerGrades+'!$AG$9,"B-",IF(P74&lt;'PlayerGrades+'!$AG$8,"B",IF(P74&lt;'PlayerGrades+'!$AG$7,"B+",IF(P74&lt;'PlayerGrades+'!$AG$6,"A-",IF(P74&lt;'PlayerGrades+'!$AG$5,"A",IF(P74&lt;'PlayerGrades+'!$AG$4,"A+",IF(P74&lt;'PlayerGrades+'!$AG$3,"S-",IF(P74&lt;'PlayerGrades+'!$AG$2,"S","S+"))))))))))))))))))))</f>
        <v>F</v>
      </c>
      <c r="R74" s="937">
        <f t="shared" si="8"/>
        <v>0.5210420842</v>
      </c>
      <c r="S74" s="937" t="str">
        <f>IF(R74&lt;'PlayerGrades+'!$AH$21,"F-",IF(R74&lt;'PlayerGrades+'!$AH$20,"F",IF(R74&lt;'PlayerGrades+'!$AH$19,"F+",IF(R74&lt;'PlayerGrades+'!$AH$18,"E-",IF(R74&lt;'PlayerGrades+'!$AH$17,"E",IF(R74&lt;'PlayerGrades+'!$AH$16,"E+",IF(R74&lt;'PlayerGrades+'!$AH$15,"D-",IF(R74&lt;'PlayerGrades+'!$AH$14,"D",IF(R74&lt;'PlayerGrades+'!$AH$13,"D+",IF(R74&lt;'PlayerGrades+'!$AH$12,"C-",IF(R74&lt;'PlayerGrades+'!$AH$11,"C",IF(R74&lt;'PlayerGrades+'!$AH$10,"C+",IF(R74&lt;'PlayerGrades+'!$AH$9,"B-",IF(R74&lt;'PlayerGrades+'!$AH$8,"B",IF(R74&lt;'PlayerGrades+'!$AH$7,"B+",IF(R74&lt;'PlayerGrades+'!$AH$6,"A-",IF(R74&lt;'PlayerGrades+'!$AH$5,"A",IF(R74&lt;'PlayerGrades+'!$AH$4,"A+",IF(R74&lt;'PlayerGrades+'!$AH$3,"S-",IF(R74&lt;'PlayerGrades+'!$AH$2,"S","S+"))))))))))))))))))))</f>
        <v>C-</v>
      </c>
      <c r="T74" s="937">
        <f t="shared" si="9"/>
        <v>1.601202405</v>
      </c>
      <c r="U74" s="937" t="str">
        <f>IF(T74&lt;'PlayerGrades+'!$AI$21,"F-",IF(T74&lt;'PlayerGrades+'!$AI$20,"F",IF(T74&lt;'PlayerGrades+'!$AI$19,"F+",IF(T74&lt;'PlayerGrades+'!$AI$18,"E-",IF(T74&lt;'PlayerGrades+'!$AI$17,"E",IF(T74&lt;'PlayerGrades+'!$AI$16,"E+",IF(T74&lt;'PlayerGrades+'!$AI$15,"D-",IF(T74&lt;'PlayerGrades+'!$AI$14,"D",IF(T74&lt;'PlayerGrades+'!$AI$13,"D+",IF(T74&lt;'PlayerGrades+'!$AI$12,"C-",IF(T74&lt;'PlayerGrades+'!$AI$11,"C",IF(T74&lt;'PlayerGrades+'!$AI$10,"C+",IF(T74&lt;'PlayerGrades+'!$AI$9,"B-",IF(T74&lt;'PlayerGrades+'!$AI$8,"B",IF(T74&lt;'PlayerGrades+'!$AI$7,"B+",IF(T74&lt;'PlayerGrades+'!$AI$6,"A-",IF(T74&lt;'PlayerGrades+'!$AI$5,"A",IF(T74&lt;'PlayerGrades+'!$AI$4,"A+",IF(T74&lt;'PlayerGrades+'!$AI$3,"S-",IF(T74&lt;'PlayerGrades+'!$AI$2,"S","S+"))))))))))))))))))))</f>
        <v>S-</v>
      </c>
      <c r="V74" s="939">
        <v>1.0</v>
      </c>
      <c r="W74" s="939">
        <v>0.0</v>
      </c>
      <c r="X74" s="939">
        <v>1.0</v>
      </c>
      <c r="Y74" s="939">
        <v>0.0</v>
      </c>
      <c r="Z74" s="939">
        <v>7.0</v>
      </c>
      <c r="AA74" s="939">
        <v>93.0</v>
      </c>
      <c r="AB74" s="939">
        <v>79.0</v>
      </c>
      <c r="AC74" s="939">
        <v>14.0</v>
      </c>
      <c r="AD74" s="939">
        <v>3.0</v>
      </c>
      <c r="AE74" s="939">
        <v>8.0</v>
      </c>
      <c r="AF74" s="939">
        <v>3.0</v>
      </c>
      <c r="AG74" s="939">
        <v>1198.0</v>
      </c>
      <c r="AH74" s="939">
        <v>1497.0</v>
      </c>
      <c r="AI74" s="939">
        <v>15.0</v>
      </c>
      <c r="AJ74" s="939">
        <v>217.0</v>
      </c>
      <c r="AK74" s="939">
        <v>0.0</v>
      </c>
      <c r="AL74" s="939">
        <v>1.0</v>
      </c>
      <c r="AM74" s="939">
        <v>0.0</v>
      </c>
      <c r="AN74" s="939">
        <v>0.0</v>
      </c>
      <c r="AO74" s="939">
        <v>0.0</v>
      </c>
      <c r="AP74" s="939">
        <v>0.0</v>
      </c>
      <c r="AQ74" s="939">
        <v>0.0</v>
      </c>
      <c r="AR74" s="939">
        <v>12.0</v>
      </c>
      <c r="AS74" s="939">
        <v>1.0</v>
      </c>
      <c r="AT74" s="939">
        <v>0.0</v>
      </c>
      <c r="AU74" s="939">
        <v>0.0</v>
      </c>
      <c r="AV74" s="939">
        <v>0.0</v>
      </c>
      <c r="AW74" s="939">
        <v>0.0</v>
      </c>
      <c r="AX74" s="939">
        <v>0.0</v>
      </c>
      <c r="AY74" s="939">
        <v>0.0</v>
      </c>
      <c r="AZ74" s="939">
        <v>0.0</v>
      </c>
      <c r="BA74" s="939">
        <v>0.0</v>
      </c>
      <c r="BB74" s="939">
        <v>3.0</v>
      </c>
      <c r="BC74" s="895">
        <v>0.0</v>
      </c>
      <c r="BD74" s="895">
        <v>10.0</v>
      </c>
      <c r="BE74" s="947">
        <v>15.0</v>
      </c>
      <c r="BF74" s="941">
        <v>1.0</v>
      </c>
      <c r="BG74" s="941">
        <v>0.0</v>
      </c>
    </row>
    <row r="75">
      <c r="A75" s="935" t="s">
        <v>139</v>
      </c>
      <c r="B75" s="16" t="str">
        <f>IF(C75&lt;'PlayerGrades+'!$Y$44,"F-",IF(C75&lt;'PlayerGrades+'!$Y$43,"F",IF(C75&lt;'PlayerGrades+'!$Y$42,"F+",IF(C75&lt;'PlayerGrades+'!$Y$41,"E-",IF(C75&lt;'PlayerGrades+'!$Y$40,"E",IF(C75&lt;'PlayerGrades+'!$Y$39,"E+",IF(C75&lt;'PlayerGrades+'!$Y$38,"D-",IF(C75&lt;'PlayerGrades+'!$Y$37,"D",IF(C75&lt;'PlayerGrades+'!$Y$36,"D+",IF(C75&lt;'PlayerGrades+'!$Y$35,"C-",IF(C75&lt;'PlayerGrades+'!$Y$34,"C",IF(C75&lt;'PlayerGrades+'!$Y$33,"C+",IF(C75&lt;'PlayerGrades+'!$Y$32,"B-",IF(C75&lt;'PlayerGrades+'!$Y$31,"B",IF(C75&lt;'PlayerGrades+'!$Y$30,"B+",IF(C75&lt;'PlayerGrades+'!$Y$29,"A-",IF(C75&lt;'PlayerGrades+'!$Y$28,"A",IF(C75&lt;'PlayerGrades+'!$Y$27,"A+",IF(C75&lt;'PlayerGrades+'!$Y$26,"S-",IF(C75&lt;'PlayerGrades+'!$Y$25,"S","S+"))))))))))))))))))))</f>
        <v>D+</v>
      </c>
      <c r="C75" s="936">
        <f>('PlayerGrades+'!$Y$47*(VLOOKUP(E75, 'PlayerGrades+'!$X$3:$Y$23, 2, FALSE)))+('PlayerGrades+'!$Y$48*(VLOOKUP(G75, 'PlayerGrades+'!$X$3:$Y$23, 2, FALSE)))+('PlayerGrades+'!$Y$49*(VLOOKUP(I75, 'PlayerGrades+'!$X$3:$Y$23, 2, FALSE)))+('PlayerGrades+'!$Y$50*(VLOOKUP(K75, 'PlayerGrades+'!$X$3:$Y$23, 2, FALSE)))+('PlayerGrades+'!$Y$51*(VLOOKUP(M75, 'PlayerGrades+'!$X$3:$Y$23, 2, FALSE)))+('PlayerGrades+'!$Y$52*(VLOOKUP(O75, 'PlayerGrades+'!$X$3:$Y$23, 2, FALSE)))+('PlayerGrades+'!$Y$53*(VLOOKUP(Q75, 'PlayerGrades+'!$X$3:$Y$23, 2, FALSE)))+('PlayerGrades+'!$Y$54*(VLOOKUP(S75, 'PlayerGrades+'!$X$3:$Y$23, 2, FALSE)))+('PlayerGrades+'!$Y$55*(VLOOKUP(U75, 'PlayerGrades+'!$X$3:$Y$23, 2, FALSE)))</f>
        <v>17.75</v>
      </c>
      <c r="D75" s="937">
        <f t="shared" si="1"/>
        <v>0.04008016032</v>
      </c>
      <c r="E75" s="937" t="str">
        <f>IF(D75&lt;'PlayerGrades+'!$AA$21,"F-",IF(D75&lt;'PlayerGrades+'!$AA$20,"F",IF(D75&lt;'PlayerGrades+'!$AA$19,"F+",IF(D75&lt;'PlayerGrades+'!$AA$18,"E-",IF(D75&lt;'PlayerGrades+'!$AA$17,"E",IF(D75&lt;'PlayerGrades+'!$AA$16,"E+",IF(D75&lt;'PlayerGrades+'!$AA$15,"D-",IF(D75&lt;'PlayerGrades+'!$AA$14,"D",IF(D75&lt;'PlayerGrades+'!$AA$13,"D+",IF(D75&lt;'PlayerGrades+'!$AA$12,"C-",IF(D75&lt;'PlayerGrades+'!$AA$11,"C",IF(D75&lt;'PlayerGrades+'!$AA$10,"C+",IF(D75&lt;'PlayerGrades+'!$AA$9,"B-",IF(D75&lt;'PlayerGrades+'!$AA$8,"B",IF(D75&lt;'PlayerGrades+'!$AA$7,"B+",IF(D75&lt;'PlayerGrades+'!$AA$6,"A-",IF(D75&lt;'PlayerGrades+'!$AA$5,"A",IF(D75&lt;'PlayerGrades+'!$AA$4,"A+",IF(D75&lt;'PlayerGrades+'!$AA$3,"S-",IF(D75&lt;'PlayerGrades+'!$AA$2,"S","S+"))))))))))))))))))))</f>
        <v>C</v>
      </c>
      <c r="F75" s="937">
        <f t="shared" si="2"/>
        <v>-0.08016032064</v>
      </c>
      <c r="G75" s="937" t="str">
        <f>IF(F75&lt;'PlayerGrades+'!$AB$21,"F-",IF(F75&lt;'PlayerGrades+'!$AB$20,"F",IF(F75&lt;'PlayerGrades+'!$AB$19,"F+",IF(F75&lt;'PlayerGrades+'!$AB$18,"E-",IF(F75&lt;'PlayerGrades+'!$AB$17,"E",IF(F75&lt;'PlayerGrades+'!$AB$16,"E+",IF(F75&lt;'PlayerGrades+'!$AB$15,"D-",IF(F75&lt;'PlayerGrades+'!$AB$14,"D",IF(F75&lt;'PlayerGrades+'!$AB$13,"D+",IF(F75&lt;'PlayerGrades+'!$AB$12,"C-",IF(F75&lt;'PlayerGrades+'!$AB$11,"C",IF(F75&lt;'PlayerGrades+'!$AB$10,"C+",IF(F75&lt;'PlayerGrades+'!$AB$9,"B-",IF(F75&lt;'PlayerGrades+'!$AB$8,"B",IF(F75&lt;'PlayerGrades+'!$AB$7,"B+",IF(F75&lt;'PlayerGrades+'!$AB$6,"A-",IF(F75&lt;'PlayerGrades+'!$AB$5,"A",IF(F75&lt;'PlayerGrades+'!$AB$4,"A+",IF(F75&lt;'PlayerGrades+'!$AB$3,"S-",IF(F75&lt;'PlayerGrades+'!$AB$2,"S","S+"))))))))))))))))))))</f>
        <v>B-</v>
      </c>
      <c r="H75" s="937">
        <f t="shared" si="3"/>
        <v>0.04008016032</v>
      </c>
      <c r="I75" s="937" t="str">
        <f>IF(H75&lt;'PlayerGrades+'!$AC$21,"F-",IF(H75&lt;'PlayerGrades+'!$AC$20,"F",IF(H75&lt;'PlayerGrades+'!$AC$19,"F+",IF(H75&lt;'PlayerGrades+'!$AC$18,"E-",IF(H75&lt;'PlayerGrades+'!$AC$17,"E",IF(H75&lt;'PlayerGrades+'!$AC$16,"E+",IF(H75&lt;'PlayerGrades+'!$AC$15,"D-",IF(H75&lt;'PlayerGrades+'!$AC$14,"D",IF(H75&lt;'PlayerGrades+'!$AC$13,"D+",IF(H75&lt;'PlayerGrades+'!$AC$12,"C-",IF(H75&lt;'PlayerGrades+'!$AC$11,"C",IF(H75&lt;'PlayerGrades+'!$AC$10,"C+",IF(H75&lt;'PlayerGrades+'!$AC$9,"B-",IF(H75&lt;'PlayerGrades+'!$AC$8,"B",IF(H75&lt;'PlayerGrades+'!$AC$7,"B+",IF(H75&lt;'PlayerGrades+'!$AC$6,"A-",IF(H75&lt;'PlayerGrades+'!$AC$5,"A",IF(H75&lt;'PlayerGrades+'!$AC$4,"A+",IF(H75&lt;'PlayerGrades+'!$AC$3,"S-",IF(H75&lt;'PlayerGrades+'!$AC$2,"S","S+"))))))))))))))))))))</f>
        <v>F</v>
      </c>
      <c r="J75" s="937">
        <f t="shared" si="4"/>
        <v>0</v>
      </c>
      <c r="K75" s="937" t="str">
        <f>IF(J75&lt;'PlayerGrades+'!$AD$21,"F-",IF(J75&lt;'PlayerGrades+'!$AD$20,"F",IF(J75&lt;'PlayerGrades+'!$AD$19,"F+",IF(J75&lt;'PlayerGrades+'!$AD$18,"E-",IF(J75&lt;'PlayerGrades+'!$AD$17,"E",IF(J75&lt;'PlayerGrades+'!$AD$16,"E+",IF(J75&lt;'PlayerGrades+'!$AD$15,"D-",IF(J75&lt;'PlayerGrades+'!$AD$14,"D",IF(J75&lt;'PlayerGrades+'!$AD$13,"D+",IF(J75&lt;'PlayerGrades+'!$AD$12,"C-",IF(J75&lt;'PlayerGrades+'!$AD$11,"C",IF(J75&lt;'PlayerGrades+'!$AD$10,"C+",IF(J75&lt;'PlayerGrades+'!$AD$9,"B-",IF(J75&lt;'PlayerGrades+'!$AD$8,"B",IF(J75&lt;'PlayerGrades+'!$AD$7,"B+",IF(J75&lt;'PlayerGrades+'!$AD$6,"A-",IF(J75&lt;'PlayerGrades+'!$AD$5,"A",IF(J75&lt;'PlayerGrades+'!$AD$4,"A+",IF(J75&lt;'PlayerGrades+'!$AD$3,"S-",IF(J75&lt;'PlayerGrades+'!$AD$2,"S","S+"))))))))))))))))))))</f>
        <v>F-</v>
      </c>
      <c r="L75" s="677">
        <f t="shared" si="5"/>
        <v>0.5611222445</v>
      </c>
      <c r="M75" s="938" t="str">
        <f>IF(L75&lt;'PlayerGrades+'!$AE$21,"F-",IF(L75&lt;'PlayerGrades+'!$AE$20,"F",IF(L75&lt;'PlayerGrades+'!$AE$19,"F+",IF(L75&lt;'PlayerGrades+'!$AE$18,"E-",IF(L75&lt;'PlayerGrades+'!$AE$17,"E",IF(L75&lt;'PlayerGrades+'!$AE$16,"E+",IF(L75&lt;'PlayerGrades+'!$AE$15,"D-",IF(L75&lt;'PlayerGrades+'!$AE$14,"D",IF(L75&lt;'PlayerGrades+'!$AE$13,"D+",IF(L75&lt;'PlayerGrades+'!$AE$12,"C-",IF(L75&lt;'PlayerGrades+'!$AE$11,"C",IF(L75&lt;'PlayerGrades+'!$AE$10,"C+",IF(L75&lt;'PlayerGrades+'!$AE$9,"B-",IF(L75&lt;'PlayerGrades+'!$AE$8,"B",IF(L75&lt;'PlayerGrades+'!$AE$7,"B+",IF(L75&lt;'PlayerGrades+'!$AE$6,"A-",IF(L75&lt;'PlayerGrades+'!$AE$5,"A",IF(L75&lt;'PlayerGrades+'!$AE$4,"A+",IF(L75&lt;'PlayerGrades+'!$AE$3,"S-",IF(L75&lt;'PlayerGrades+'!$AE$2,"S","S+"))))))))))))))))))))</f>
        <v>A</v>
      </c>
      <c r="N75" s="937">
        <f t="shared" si="6"/>
        <v>0.08016032064</v>
      </c>
      <c r="O75" s="937" t="str">
        <f>IF(N75&lt;'PlayerGrades+'!$AF$21,"F-",IF(N75&lt;'PlayerGrades+'!$AF$20,"F",IF(N75&lt;'PlayerGrades+'!$AF$19,"F+",IF(N75&lt;'PlayerGrades+'!$AF$18,"E-",IF(N75&lt;'PlayerGrades+'!$AF$17,"E",IF(N75&lt;'PlayerGrades+'!$AF$16,"E+",IF(N75&lt;'PlayerGrades+'!$AF$15,"D-",IF(N75&lt;'PlayerGrades+'!$AF$14,"D",IF(N75&lt;'PlayerGrades+'!$AF$13,"D+",IF(N75&lt;'PlayerGrades+'!$AF$12,"C-",IF(N75&lt;'PlayerGrades+'!$AF$11,"C",IF(N75&lt;'PlayerGrades+'!$AF$10,"C+",IF(N75&lt;'PlayerGrades+'!$AF$9,"B-",IF(N75&lt;'PlayerGrades+'!$AF$8,"B",IF(N75&lt;'PlayerGrades+'!$AF$7,"B+",IF(N75&lt;'PlayerGrades+'!$AF$6,"A-",IF(N75&lt;'PlayerGrades+'!$AF$5,"A",IF(N75&lt;'PlayerGrades+'!$AF$4,"A+",IF(N75&lt;'PlayerGrades+'!$AF$3,"S-",IF(N75&lt;'PlayerGrades+'!$AF$2,"S","S+"))))))))))))))))))))</f>
        <v>B-</v>
      </c>
      <c r="P75" s="937">
        <f t="shared" si="7"/>
        <v>0</v>
      </c>
      <c r="Q75" s="937" t="str">
        <f>IF(P75&lt;'PlayerGrades+'!$AG$21,"F-",IF(P75&lt;'PlayerGrades+'!$AG$20,"F",IF(P75&lt;'PlayerGrades+'!$AG$19,"F+",IF(P75&lt;'PlayerGrades+'!$AG$18,"E-",IF(P75&lt;'PlayerGrades+'!$AG$17,"E",IF(P75&lt;'PlayerGrades+'!$AG$16,"E+",IF(P75&lt;'PlayerGrades+'!$AG$15,"D-",IF(P75&lt;'PlayerGrades+'!$AG$14,"D",IF(P75&lt;'PlayerGrades+'!$AG$13,"D+",IF(P75&lt;'PlayerGrades+'!$AG$12,"C-",IF(P75&lt;'PlayerGrades+'!$AG$11,"C",IF(P75&lt;'PlayerGrades+'!$AG$10,"C+",IF(P75&lt;'PlayerGrades+'!$AG$9,"B-",IF(P75&lt;'PlayerGrades+'!$AG$8,"B",IF(P75&lt;'PlayerGrades+'!$AG$7,"B+",IF(P75&lt;'PlayerGrades+'!$AG$6,"A-",IF(P75&lt;'PlayerGrades+'!$AG$5,"A",IF(P75&lt;'PlayerGrades+'!$AG$4,"A+",IF(P75&lt;'PlayerGrades+'!$AG$3,"S-",IF(P75&lt;'PlayerGrades+'!$AG$2,"S","S+"))))))))))))))))))))</f>
        <v>F</v>
      </c>
      <c r="R75" s="937">
        <f t="shared" si="8"/>
        <v>0.5210420842</v>
      </c>
      <c r="S75" s="937" t="str">
        <f>IF(R75&lt;'PlayerGrades+'!$AH$21,"F-",IF(R75&lt;'PlayerGrades+'!$AH$20,"F",IF(R75&lt;'PlayerGrades+'!$AH$19,"F+",IF(R75&lt;'PlayerGrades+'!$AH$18,"E-",IF(R75&lt;'PlayerGrades+'!$AH$17,"E",IF(R75&lt;'PlayerGrades+'!$AH$16,"E+",IF(R75&lt;'PlayerGrades+'!$AH$15,"D-",IF(R75&lt;'PlayerGrades+'!$AH$14,"D",IF(R75&lt;'PlayerGrades+'!$AH$13,"D+",IF(R75&lt;'PlayerGrades+'!$AH$12,"C-",IF(R75&lt;'PlayerGrades+'!$AH$11,"C",IF(R75&lt;'PlayerGrades+'!$AH$10,"C+",IF(R75&lt;'PlayerGrades+'!$AH$9,"B-",IF(R75&lt;'PlayerGrades+'!$AH$8,"B",IF(R75&lt;'PlayerGrades+'!$AH$7,"B+",IF(R75&lt;'PlayerGrades+'!$AH$6,"A-",IF(R75&lt;'PlayerGrades+'!$AH$5,"A",IF(R75&lt;'PlayerGrades+'!$AH$4,"A+",IF(R75&lt;'PlayerGrades+'!$AH$3,"S-",IF(R75&lt;'PlayerGrades+'!$AH$2,"S","S+"))))))))))))))))))))</f>
        <v>C-</v>
      </c>
      <c r="T75" s="937">
        <f t="shared" si="9"/>
        <v>0.2805611222</v>
      </c>
      <c r="U75" s="937" t="str">
        <f>IF(T75&lt;'PlayerGrades+'!$AI$21,"F-",IF(T75&lt;'PlayerGrades+'!$AI$20,"F",IF(T75&lt;'PlayerGrades+'!$AI$19,"F+",IF(T75&lt;'PlayerGrades+'!$AI$18,"E-",IF(T75&lt;'PlayerGrades+'!$AI$17,"E",IF(T75&lt;'PlayerGrades+'!$AI$16,"E+",IF(T75&lt;'PlayerGrades+'!$AI$15,"D-",IF(T75&lt;'PlayerGrades+'!$AI$14,"D",IF(T75&lt;'PlayerGrades+'!$AI$13,"D+",IF(T75&lt;'PlayerGrades+'!$AI$12,"C-",IF(T75&lt;'PlayerGrades+'!$AI$11,"C",IF(T75&lt;'PlayerGrades+'!$AI$10,"C+",IF(T75&lt;'PlayerGrades+'!$AI$9,"B-",IF(T75&lt;'PlayerGrades+'!$AI$8,"B",IF(T75&lt;'PlayerGrades+'!$AI$7,"B+",IF(T75&lt;'PlayerGrades+'!$AI$6,"A-",IF(T75&lt;'PlayerGrades+'!$AI$5,"A",IF(T75&lt;'PlayerGrades+'!$AI$4,"A+",IF(T75&lt;'PlayerGrades+'!$AI$3,"S-",IF(T75&lt;'PlayerGrades+'!$AI$2,"S","S+"))))))))))))))))))))</f>
        <v>F-</v>
      </c>
      <c r="V75" s="941">
        <v>1.0</v>
      </c>
      <c r="W75" s="941">
        <v>0.0</v>
      </c>
      <c r="X75" s="941">
        <v>1.0</v>
      </c>
      <c r="Y75" s="941">
        <v>0.0</v>
      </c>
      <c r="Z75" s="941">
        <v>1.0</v>
      </c>
      <c r="AA75" s="941">
        <v>90.0</v>
      </c>
      <c r="AB75" s="941">
        <v>92.0</v>
      </c>
      <c r="AC75" s="941">
        <v>-2.0</v>
      </c>
      <c r="AD75" s="941">
        <v>4.0</v>
      </c>
      <c r="AE75" s="941">
        <v>4.0</v>
      </c>
      <c r="AF75" s="941">
        <v>4.0</v>
      </c>
      <c r="AG75" s="941">
        <v>1162.0</v>
      </c>
      <c r="AH75" s="941">
        <v>1497.0</v>
      </c>
      <c r="AI75" s="941">
        <v>12.0</v>
      </c>
      <c r="AJ75" s="941">
        <v>143.0</v>
      </c>
      <c r="AK75" s="941">
        <v>0.0</v>
      </c>
      <c r="AL75" s="941">
        <v>0.0</v>
      </c>
      <c r="AM75" s="941">
        <v>0.0</v>
      </c>
      <c r="AN75" s="941">
        <v>0.0</v>
      </c>
      <c r="AO75" s="941">
        <v>0.0</v>
      </c>
      <c r="AP75" s="941">
        <v>0.0</v>
      </c>
      <c r="AQ75" s="941">
        <v>0.0</v>
      </c>
      <c r="AR75" s="941">
        <v>14.0</v>
      </c>
      <c r="AS75" s="941">
        <v>2.0</v>
      </c>
      <c r="AT75" s="941">
        <v>1.0</v>
      </c>
      <c r="AU75" s="941">
        <v>0.0</v>
      </c>
      <c r="AV75" s="941">
        <v>0.0</v>
      </c>
      <c r="AW75" s="941">
        <v>0.0</v>
      </c>
      <c r="AX75" s="941">
        <v>0.0</v>
      </c>
      <c r="AY75" s="941">
        <v>0.0</v>
      </c>
      <c r="AZ75" s="941">
        <v>0.0</v>
      </c>
      <c r="BA75" s="941">
        <v>0.0</v>
      </c>
      <c r="BB75" s="941">
        <v>1.0</v>
      </c>
      <c r="BC75" s="941">
        <v>0.0</v>
      </c>
      <c r="BD75" s="941">
        <v>9.0</v>
      </c>
      <c r="BE75" s="942">
        <v>7.0</v>
      </c>
      <c r="BF75" s="941">
        <v>0.0</v>
      </c>
      <c r="BG75" s="941">
        <v>0.0</v>
      </c>
    </row>
    <row r="76">
      <c r="A76" s="935" t="s">
        <v>128</v>
      </c>
      <c r="B76" s="16" t="str">
        <f>IF(C76&lt;'PlayerGrades+'!$Y$44,"F-",IF(C76&lt;'PlayerGrades+'!$Y$43,"F",IF(C76&lt;'PlayerGrades+'!$Y$42,"F+",IF(C76&lt;'PlayerGrades+'!$Y$41,"E-",IF(C76&lt;'PlayerGrades+'!$Y$40,"E",IF(C76&lt;'PlayerGrades+'!$Y$39,"E+",IF(C76&lt;'PlayerGrades+'!$Y$38,"D-",IF(C76&lt;'PlayerGrades+'!$Y$37,"D",IF(C76&lt;'PlayerGrades+'!$Y$36,"D+",IF(C76&lt;'PlayerGrades+'!$Y$35,"C-",IF(C76&lt;'PlayerGrades+'!$Y$34,"C",IF(C76&lt;'PlayerGrades+'!$Y$33,"C+",IF(C76&lt;'PlayerGrades+'!$Y$32,"B-",IF(C76&lt;'PlayerGrades+'!$Y$31,"B",IF(C76&lt;'PlayerGrades+'!$Y$30,"B+",IF(C76&lt;'PlayerGrades+'!$Y$29,"A-",IF(C76&lt;'PlayerGrades+'!$Y$28,"A",IF(C76&lt;'PlayerGrades+'!$Y$27,"A+",IF(C76&lt;'PlayerGrades+'!$Y$26,"S-",IF(C76&lt;'PlayerGrades+'!$Y$25,"S","S+"))))))))))))))))))))</f>
        <v>C</v>
      </c>
      <c r="C76" s="936">
        <f>('PlayerGrades+'!$Y$47*(VLOOKUP(E76, 'PlayerGrades+'!$X$3:$Y$23, 2, FALSE)))+('PlayerGrades+'!$Y$48*(VLOOKUP(G76, 'PlayerGrades+'!$X$3:$Y$23, 2, FALSE)))+('PlayerGrades+'!$Y$49*(VLOOKUP(I76, 'PlayerGrades+'!$X$3:$Y$23, 2, FALSE)))+('PlayerGrades+'!$Y$50*(VLOOKUP(K76, 'PlayerGrades+'!$X$3:$Y$23, 2, FALSE)))+('PlayerGrades+'!$Y$51*(VLOOKUP(M76, 'PlayerGrades+'!$X$3:$Y$23, 2, FALSE)))+('PlayerGrades+'!$Y$52*(VLOOKUP(O76, 'PlayerGrades+'!$X$3:$Y$23, 2, FALSE)))+('PlayerGrades+'!$Y$53*(VLOOKUP(Q76, 'PlayerGrades+'!$X$3:$Y$23, 2, FALSE)))+('PlayerGrades+'!$Y$54*(VLOOKUP(S76, 'PlayerGrades+'!$X$3:$Y$23, 2, FALSE)))+('PlayerGrades+'!$Y$55*(VLOOKUP(U76, 'PlayerGrades+'!$X$3:$Y$23, 2, FALSE)))</f>
        <v>20.2</v>
      </c>
      <c r="D76" s="937">
        <f t="shared" si="1"/>
        <v>0.04008016032</v>
      </c>
      <c r="E76" s="937" t="str">
        <f>IF(D76&lt;'PlayerGrades+'!$AA$21,"F-",IF(D76&lt;'PlayerGrades+'!$AA$20,"F",IF(D76&lt;'PlayerGrades+'!$AA$19,"F+",IF(D76&lt;'PlayerGrades+'!$AA$18,"E-",IF(D76&lt;'PlayerGrades+'!$AA$17,"E",IF(D76&lt;'PlayerGrades+'!$AA$16,"E+",IF(D76&lt;'PlayerGrades+'!$AA$15,"D-",IF(D76&lt;'PlayerGrades+'!$AA$14,"D",IF(D76&lt;'PlayerGrades+'!$AA$13,"D+",IF(D76&lt;'PlayerGrades+'!$AA$12,"C-",IF(D76&lt;'PlayerGrades+'!$AA$11,"C",IF(D76&lt;'PlayerGrades+'!$AA$10,"C+",IF(D76&lt;'PlayerGrades+'!$AA$9,"B-",IF(D76&lt;'PlayerGrades+'!$AA$8,"B",IF(D76&lt;'PlayerGrades+'!$AA$7,"B+",IF(D76&lt;'PlayerGrades+'!$AA$6,"A-",IF(D76&lt;'PlayerGrades+'!$AA$5,"A",IF(D76&lt;'PlayerGrades+'!$AA$4,"A+",IF(D76&lt;'PlayerGrades+'!$AA$3,"S-",IF(D76&lt;'PlayerGrades+'!$AA$2,"S","S+"))))))))))))))))))))</f>
        <v>C</v>
      </c>
      <c r="F76" s="937">
        <f t="shared" si="2"/>
        <v>-0.5210420842</v>
      </c>
      <c r="G76" s="937" t="str">
        <f>IF(F76&lt;'PlayerGrades+'!$AB$21,"F-",IF(F76&lt;'PlayerGrades+'!$AB$20,"F",IF(F76&lt;'PlayerGrades+'!$AB$19,"F+",IF(F76&lt;'PlayerGrades+'!$AB$18,"E-",IF(F76&lt;'PlayerGrades+'!$AB$17,"E",IF(F76&lt;'PlayerGrades+'!$AB$16,"E+",IF(F76&lt;'PlayerGrades+'!$AB$15,"D-",IF(F76&lt;'PlayerGrades+'!$AB$14,"D",IF(F76&lt;'PlayerGrades+'!$AB$13,"D+",IF(F76&lt;'PlayerGrades+'!$AB$12,"C-",IF(F76&lt;'PlayerGrades+'!$AB$11,"C",IF(F76&lt;'PlayerGrades+'!$AB$10,"C+",IF(F76&lt;'PlayerGrades+'!$AB$9,"B-",IF(F76&lt;'PlayerGrades+'!$AB$8,"B",IF(F76&lt;'PlayerGrades+'!$AB$7,"B+",IF(F76&lt;'PlayerGrades+'!$AB$6,"A-",IF(F76&lt;'PlayerGrades+'!$AB$5,"A",IF(F76&lt;'PlayerGrades+'!$AB$4,"A+",IF(F76&lt;'PlayerGrades+'!$AB$3,"S-",IF(F76&lt;'PlayerGrades+'!$AB$2,"S","S+"))))))))))))))))))))</f>
        <v>D</v>
      </c>
      <c r="H76" s="937">
        <f t="shared" si="3"/>
        <v>0.2004008016</v>
      </c>
      <c r="I76" s="937" t="str">
        <f>IF(H76&lt;'PlayerGrades+'!$AC$21,"F-",IF(H76&lt;'PlayerGrades+'!$AC$20,"F",IF(H76&lt;'PlayerGrades+'!$AC$19,"F+",IF(H76&lt;'PlayerGrades+'!$AC$18,"E-",IF(H76&lt;'PlayerGrades+'!$AC$17,"E",IF(H76&lt;'PlayerGrades+'!$AC$16,"E+",IF(H76&lt;'PlayerGrades+'!$AC$15,"D-",IF(H76&lt;'PlayerGrades+'!$AC$14,"D",IF(H76&lt;'PlayerGrades+'!$AC$13,"D+",IF(H76&lt;'PlayerGrades+'!$AC$12,"C-",IF(H76&lt;'PlayerGrades+'!$AC$11,"C",IF(H76&lt;'PlayerGrades+'!$AC$10,"C+",IF(H76&lt;'PlayerGrades+'!$AC$9,"B-",IF(H76&lt;'PlayerGrades+'!$AC$8,"B",IF(H76&lt;'PlayerGrades+'!$AC$7,"B+",IF(H76&lt;'PlayerGrades+'!$AC$6,"A-",IF(H76&lt;'PlayerGrades+'!$AC$5,"A",IF(H76&lt;'PlayerGrades+'!$AC$4,"A+",IF(H76&lt;'PlayerGrades+'!$AC$3,"S-",IF(H76&lt;'PlayerGrades+'!$AC$2,"S","S+"))))))))))))))))))))</f>
        <v>S</v>
      </c>
      <c r="J76" s="937">
        <f t="shared" si="4"/>
        <v>0</v>
      </c>
      <c r="K76" s="937" t="str">
        <f>IF(J76&lt;'PlayerGrades+'!$AD$21,"F-",IF(J76&lt;'PlayerGrades+'!$AD$20,"F",IF(J76&lt;'PlayerGrades+'!$AD$19,"F+",IF(J76&lt;'PlayerGrades+'!$AD$18,"E-",IF(J76&lt;'PlayerGrades+'!$AD$17,"E",IF(J76&lt;'PlayerGrades+'!$AD$16,"E+",IF(J76&lt;'PlayerGrades+'!$AD$15,"D-",IF(J76&lt;'PlayerGrades+'!$AD$14,"D",IF(J76&lt;'PlayerGrades+'!$AD$13,"D+",IF(J76&lt;'PlayerGrades+'!$AD$12,"C-",IF(J76&lt;'PlayerGrades+'!$AD$11,"C",IF(J76&lt;'PlayerGrades+'!$AD$10,"C+",IF(J76&lt;'PlayerGrades+'!$AD$9,"B-",IF(J76&lt;'PlayerGrades+'!$AD$8,"B",IF(J76&lt;'PlayerGrades+'!$AD$7,"B+",IF(J76&lt;'PlayerGrades+'!$AD$6,"A-",IF(J76&lt;'PlayerGrades+'!$AD$5,"A",IF(J76&lt;'PlayerGrades+'!$AD$4,"A+",IF(J76&lt;'PlayerGrades+'!$AD$3,"S-",IF(J76&lt;'PlayerGrades+'!$AD$2,"S","S+"))))))))))))))))))))</f>
        <v>F-</v>
      </c>
      <c r="L76" s="677">
        <f t="shared" si="5"/>
        <v>0.3206412826</v>
      </c>
      <c r="M76" s="938" t="str">
        <f>IF(L76&lt;'PlayerGrades+'!$AE$21,"F-",IF(L76&lt;'PlayerGrades+'!$AE$20,"F",IF(L76&lt;'PlayerGrades+'!$AE$19,"F+",IF(L76&lt;'PlayerGrades+'!$AE$18,"E-",IF(L76&lt;'PlayerGrades+'!$AE$17,"E",IF(L76&lt;'PlayerGrades+'!$AE$16,"E+",IF(L76&lt;'PlayerGrades+'!$AE$15,"D-",IF(L76&lt;'PlayerGrades+'!$AE$14,"D",IF(L76&lt;'PlayerGrades+'!$AE$13,"D+",IF(L76&lt;'PlayerGrades+'!$AE$12,"C-",IF(L76&lt;'PlayerGrades+'!$AE$11,"C",IF(L76&lt;'PlayerGrades+'!$AE$10,"C+",IF(L76&lt;'PlayerGrades+'!$AE$9,"B-",IF(L76&lt;'PlayerGrades+'!$AE$8,"B",IF(L76&lt;'PlayerGrades+'!$AE$7,"B+",IF(L76&lt;'PlayerGrades+'!$AE$6,"A-",IF(L76&lt;'PlayerGrades+'!$AE$5,"A",IF(L76&lt;'PlayerGrades+'!$AE$4,"A+",IF(L76&lt;'PlayerGrades+'!$AE$3,"S-",IF(L76&lt;'PlayerGrades+'!$AE$2,"S","S+"))))))))))))))))))))</f>
        <v>E</v>
      </c>
      <c r="N76" s="937">
        <f t="shared" si="6"/>
        <v>0.08016032064</v>
      </c>
      <c r="O76" s="937" t="str">
        <f>IF(N76&lt;'PlayerGrades+'!$AF$21,"F-",IF(N76&lt;'PlayerGrades+'!$AF$20,"F",IF(N76&lt;'PlayerGrades+'!$AF$19,"F+",IF(N76&lt;'PlayerGrades+'!$AF$18,"E-",IF(N76&lt;'PlayerGrades+'!$AF$17,"E",IF(N76&lt;'PlayerGrades+'!$AF$16,"E+",IF(N76&lt;'PlayerGrades+'!$AF$15,"D-",IF(N76&lt;'PlayerGrades+'!$AF$14,"D",IF(N76&lt;'PlayerGrades+'!$AF$13,"D+",IF(N76&lt;'PlayerGrades+'!$AF$12,"C-",IF(N76&lt;'PlayerGrades+'!$AF$11,"C",IF(N76&lt;'PlayerGrades+'!$AF$10,"C+",IF(N76&lt;'PlayerGrades+'!$AF$9,"B-",IF(N76&lt;'PlayerGrades+'!$AF$8,"B",IF(N76&lt;'PlayerGrades+'!$AF$7,"B+",IF(N76&lt;'PlayerGrades+'!$AF$6,"A-",IF(N76&lt;'PlayerGrades+'!$AF$5,"A",IF(N76&lt;'PlayerGrades+'!$AF$4,"A+",IF(N76&lt;'PlayerGrades+'!$AF$3,"S-",IF(N76&lt;'PlayerGrades+'!$AF$2,"S","S+"))))))))))))))))))))</f>
        <v>B-</v>
      </c>
      <c r="P76" s="937">
        <f t="shared" si="7"/>
        <v>0</v>
      </c>
      <c r="Q76" s="937" t="str">
        <f>IF(P76&lt;'PlayerGrades+'!$AG$21,"F-",IF(P76&lt;'PlayerGrades+'!$AG$20,"F",IF(P76&lt;'PlayerGrades+'!$AG$19,"F+",IF(P76&lt;'PlayerGrades+'!$AG$18,"E-",IF(P76&lt;'PlayerGrades+'!$AG$17,"E",IF(P76&lt;'PlayerGrades+'!$AG$16,"E+",IF(P76&lt;'PlayerGrades+'!$AG$15,"D-",IF(P76&lt;'PlayerGrades+'!$AG$14,"D",IF(P76&lt;'PlayerGrades+'!$AG$13,"D+",IF(P76&lt;'PlayerGrades+'!$AG$12,"C-",IF(P76&lt;'PlayerGrades+'!$AG$11,"C",IF(P76&lt;'PlayerGrades+'!$AG$10,"C+",IF(P76&lt;'PlayerGrades+'!$AG$9,"B-",IF(P76&lt;'PlayerGrades+'!$AG$8,"B",IF(P76&lt;'PlayerGrades+'!$AG$7,"B+",IF(P76&lt;'PlayerGrades+'!$AG$6,"A-",IF(P76&lt;'PlayerGrades+'!$AG$5,"A",IF(P76&lt;'PlayerGrades+'!$AG$4,"A+",IF(P76&lt;'PlayerGrades+'!$AG$3,"S-",IF(P76&lt;'PlayerGrades+'!$AG$2,"S","S+"))))))))))))))))))))</f>
        <v>F</v>
      </c>
      <c r="R76" s="937">
        <f t="shared" si="8"/>
        <v>0.7214428858</v>
      </c>
      <c r="S76" s="937" t="str">
        <f>IF(R76&lt;'PlayerGrades+'!$AH$21,"F-",IF(R76&lt;'PlayerGrades+'!$AH$20,"F",IF(R76&lt;'PlayerGrades+'!$AH$19,"F+",IF(R76&lt;'PlayerGrades+'!$AH$18,"E-",IF(R76&lt;'PlayerGrades+'!$AH$17,"E",IF(R76&lt;'PlayerGrades+'!$AH$16,"E+",IF(R76&lt;'PlayerGrades+'!$AH$15,"D-",IF(R76&lt;'PlayerGrades+'!$AH$14,"D",IF(R76&lt;'PlayerGrades+'!$AH$13,"D+",IF(R76&lt;'PlayerGrades+'!$AH$12,"C-",IF(R76&lt;'PlayerGrades+'!$AH$11,"C",IF(R76&lt;'PlayerGrades+'!$AH$10,"C+",IF(R76&lt;'PlayerGrades+'!$AH$9,"B-",IF(R76&lt;'PlayerGrades+'!$AH$8,"B",IF(R76&lt;'PlayerGrades+'!$AH$7,"B+",IF(R76&lt;'PlayerGrades+'!$AH$6,"A-",IF(R76&lt;'PlayerGrades+'!$AH$5,"A",IF(R76&lt;'PlayerGrades+'!$AH$4,"A+",IF(R76&lt;'PlayerGrades+'!$AH$3,"S-",IF(R76&lt;'PlayerGrades+'!$AH$2,"S","S+"))))))))))))))))))))</f>
        <v>S</v>
      </c>
      <c r="T76" s="937">
        <f t="shared" si="9"/>
        <v>0.4809619238</v>
      </c>
      <c r="U76" s="937" t="str">
        <f>IF(T76&lt;'PlayerGrades+'!$AI$21,"F-",IF(T76&lt;'PlayerGrades+'!$AI$20,"F",IF(T76&lt;'PlayerGrades+'!$AI$19,"F+",IF(T76&lt;'PlayerGrades+'!$AI$18,"E-",IF(T76&lt;'PlayerGrades+'!$AI$17,"E",IF(T76&lt;'PlayerGrades+'!$AI$16,"E+",IF(T76&lt;'PlayerGrades+'!$AI$15,"D-",IF(T76&lt;'PlayerGrades+'!$AI$14,"D",IF(T76&lt;'PlayerGrades+'!$AI$13,"D+",IF(T76&lt;'PlayerGrades+'!$AI$12,"C-",IF(T76&lt;'PlayerGrades+'!$AI$11,"C",IF(T76&lt;'PlayerGrades+'!$AI$10,"C+",IF(T76&lt;'PlayerGrades+'!$AI$9,"B-",IF(T76&lt;'PlayerGrades+'!$AI$8,"B",IF(T76&lt;'PlayerGrades+'!$AI$7,"B+",IF(T76&lt;'PlayerGrades+'!$AI$6,"A-",IF(T76&lt;'PlayerGrades+'!$AI$5,"A",IF(T76&lt;'PlayerGrades+'!$AI$4,"A+",IF(T76&lt;'PlayerGrades+'!$AI$3,"S-",IF(T76&lt;'PlayerGrades+'!$AI$2,"S","S+"))))))))))))))))))))</f>
        <v>F-</v>
      </c>
      <c r="V76" s="941">
        <v>1.0</v>
      </c>
      <c r="W76" s="941">
        <v>0.0</v>
      </c>
      <c r="X76" s="941">
        <v>1.0</v>
      </c>
      <c r="Y76" s="941">
        <v>0.0</v>
      </c>
      <c r="Z76" s="941">
        <v>1.0</v>
      </c>
      <c r="AA76" s="941">
        <v>82.0</v>
      </c>
      <c r="AB76" s="941">
        <v>95.0</v>
      </c>
      <c r="AC76" s="941">
        <v>-13.0</v>
      </c>
      <c r="AD76" s="941">
        <v>8.0</v>
      </c>
      <c r="AE76" s="941">
        <v>4.0</v>
      </c>
      <c r="AF76" s="941">
        <v>0.0</v>
      </c>
      <c r="AG76" s="941">
        <v>1146.0</v>
      </c>
      <c r="AH76" s="941">
        <v>1497.0</v>
      </c>
      <c r="AI76" s="941">
        <v>12.0</v>
      </c>
      <c r="AJ76" s="941">
        <v>23.0</v>
      </c>
      <c r="AK76" s="941">
        <v>0.0</v>
      </c>
      <c r="AL76" s="941">
        <v>0.0</v>
      </c>
      <c r="AM76" s="941">
        <v>0.0</v>
      </c>
      <c r="AN76" s="941">
        <v>0.0</v>
      </c>
      <c r="AO76" s="941">
        <v>0.0</v>
      </c>
      <c r="AP76" s="941">
        <v>0.0</v>
      </c>
      <c r="AQ76" s="941">
        <v>0.0</v>
      </c>
      <c r="AR76" s="941">
        <v>8.0</v>
      </c>
      <c r="AS76" s="941">
        <v>2.0</v>
      </c>
      <c r="AT76" s="941">
        <v>0.0</v>
      </c>
      <c r="AU76" s="941">
        <v>0.0</v>
      </c>
      <c r="AV76" s="941">
        <v>0.0</v>
      </c>
      <c r="AW76" s="941">
        <v>0.0</v>
      </c>
      <c r="AX76" s="941">
        <v>0.0</v>
      </c>
      <c r="AY76" s="941">
        <v>0.0</v>
      </c>
      <c r="AZ76" s="941">
        <v>0.0</v>
      </c>
      <c r="BA76" s="941">
        <v>0.0</v>
      </c>
      <c r="BB76" s="941">
        <v>5.0</v>
      </c>
      <c r="BC76" s="941">
        <v>0.0</v>
      </c>
      <c r="BD76" s="941">
        <v>10.0</v>
      </c>
      <c r="BE76" s="942">
        <v>12.0</v>
      </c>
      <c r="BF76" s="941">
        <v>0.0</v>
      </c>
      <c r="BG76" s="941">
        <v>0.0</v>
      </c>
    </row>
    <row r="77">
      <c r="A77" s="935" t="s">
        <v>150</v>
      </c>
      <c r="B77" s="16" t="str">
        <f>IF(C77&lt;'PlayerGrades+'!$Y$44,"F-",IF(C77&lt;'PlayerGrades+'!$Y$43,"F",IF(C77&lt;'PlayerGrades+'!$Y$42,"F+",IF(C77&lt;'PlayerGrades+'!$Y$41,"E-",IF(C77&lt;'PlayerGrades+'!$Y$40,"E",IF(C77&lt;'PlayerGrades+'!$Y$39,"E+",IF(C77&lt;'PlayerGrades+'!$Y$38,"D-",IF(C77&lt;'PlayerGrades+'!$Y$37,"D",IF(C77&lt;'PlayerGrades+'!$Y$36,"D+",IF(C77&lt;'PlayerGrades+'!$Y$35,"C-",IF(C77&lt;'PlayerGrades+'!$Y$34,"C",IF(C77&lt;'PlayerGrades+'!$Y$33,"C+",IF(C77&lt;'PlayerGrades+'!$Y$32,"B-",IF(C77&lt;'PlayerGrades+'!$Y$31,"B",IF(C77&lt;'PlayerGrades+'!$Y$30,"B+",IF(C77&lt;'PlayerGrades+'!$Y$29,"A-",IF(C77&lt;'PlayerGrades+'!$Y$28,"A",IF(C77&lt;'PlayerGrades+'!$Y$27,"A+",IF(C77&lt;'PlayerGrades+'!$Y$26,"S-",IF(C77&lt;'PlayerGrades+'!$Y$25,"S","S+"))))))))))))))))))))</f>
        <v>F</v>
      </c>
      <c r="C77" s="936">
        <f>('PlayerGrades+'!$Y$47*(VLOOKUP(E77, 'PlayerGrades+'!$X$3:$Y$23, 2, FALSE)))+('PlayerGrades+'!$Y$48*(VLOOKUP(G77, 'PlayerGrades+'!$X$3:$Y$23, 2, FALSE)))+('PlayerGrades+'!$Y$49*(VLOOKUP(I77, 'PlayerGrades+'!$X$3:$Y$23, 2, FALSE)))+('PlayerGrades+'!$Y$50*(VLOOKUP(K77, 'PlayerGrades+'!$X$3:$Y$23, 2, FALSE)))+('PlayerGrades+'!$Y$51*(VLOOKUP(M77, 'PlayerGrades+'!$X$3:$Y$23, 2, FALSE)))+('PlayerGrades+'!$Y$52*(VLOOKUP(O77, 'PlayerGrades+'!$X$3:$Y$23, 2, FALSE)))+('PlayerGrades+'!$Y$53*(VLOOKUP(Q77, 'PlayerGrades+'!$X$3:$Y$23, 2, FALSE)))+('PlayerGrades+'!$Y$54*(VLOOKUP(S77, 'PlayerGrades+'!$X$3:$Y$23, 2, FALSE)))+('PlayerGrades+'!$Y$55*(VLOOKUP(U77, 'PlayerGrades+'!$X$3:$Y$23, 2, FALSE)))</f>
        <v>9.2</v>
      </c>
      <c r="D77" s="937">
        <f t="shared" si="1"/>
        <v>0.04008016032</v>
      </c>
      <c r="E77" s="937" t="str">
        <f>IF(D77&lt;'PlayerGrades+'!$AA$21,"F-",IF(D77&lt;'PlayerGrades+'!$AA$20,"F",IF(D77&lt;'PlayerGrades+'!$AA$19,"F+",IF(D77&lt;'PlayerGrades+'!$AA$18,"E-",IF(D77&lt;'PlayerGrades+'!$AA$17,"E",IF(D77&lt;'PlayerGrades+'!$AA$16,"E+",IF(D77&lt;'PlayerGrades+'!$AA$15,"D-",IF(D77&lt;'PlayerGrades+'!$AA$14,"D",IF(D77&lt;'PlayerGrades+'!$AA$13,"D+",IF(D77&lt;'PlayerGrades+'!$AA$12,"C-",IF(D77&lt;'PlayerGrades+'!$AA$11,"C",IF(D77&lt;'PlayerGrades+'!$AA$10,"C+",IF(D77&lt;'PlayerGrades+'!$AA$9,"B-",IF(D77&lt;'PlayerGrades+'!$AA$8,"B",IF(D77&lt;'PlayerGrades+'!$AA$7,"B+",IF(D77&lt;'PlayerGrades+'!$AA$6,"A-",IF(D77&lt;'PlayerGrades+'!$AA$5,"A",IF(D77&lt;'PlayerGrades+'!$AA$4,"A+",IF(D77&lt;'PlayerGrades+'!$AA$3,"S-",IF(D77&lt;'PlayerGrades+'!$AA$2,"S","S+"))))))))))))))))))))</f>
        <v>C</v>
      </c>
      <c r="F77" s="937">
        <f t="shared" si="2"/>
        <v>-1.402805611</v>
      </c>
      <c r="G77" s="937" t="str">
        <f>IF(F77&lt;'PlayerGrades+'!$AB$21,"F-",IF(F77&lt;'PlayerGrades+'!$AB$20,"F",IF(F77&lt;'PlayerGrades+'!$AB$19,"F+",IF(F77&lt;'PlayerGrades+'!$AB$18,"E-",IF(F77&lt;'PlayerGrades+'!$AB$17,"E",IF(F77&lt;'PlayerGrades+'!$AB$16,"E+",IF(F77&lt;'PlayerGrades+'!$AB$15,"D-",IF(F77&lt;'PlayerGrades+'!$AB$14,"D",IF(F77&lt;'PlayerGrades+'!$AB$13,"D+",IF(F77&lt;'PlayerGrades+'!$AB$12,"C-",IF(F77&lt;'PlayerGrades+'!$AB$11,"C",IF(F77&lt;'PlayerGrades+'!$AB$10,"C+",IF(F77&lt;'PlayerGrades+'!$AB$9,"B-",IF(F77&lt;'PlayerGrades+'!$AB$8,"B",IF(F77&lt;'PlayerGrades+'!$AB$7,"B+",IF(F77&lt;'PlayerGrades+'!$AB$6,"A-",IF(F77&lt;'PlayerGrades+'!$AB$5,"A",IF(F77&lt;'PlayerGrades+'!$AB$4,"A+",IF(F77&lt;'PlayerGrades+'!$AB$3,"S-",IF(F77&lt;'PlayerGrades+'!$AB$2,"S","S+"))))))))))))))))))))</f>
        <v>F-</v>
      </c>
      <c r="H77" s="937">
        <f t="shared" si="3"/>
        <v>0.08016032064</v>
      </c>
      <c r="I77" s="937" t="str">
        <f>IF(H77&lt;'PlayerGrades+'!$AC$21,"F-",IF(H77&lt;'PlayerGrades+'!$AC$20,"F",IF(H77&lt;'PlayerGrades+'!$AC$19,"F+",IF(H77&lt;'PlayerGrades+'!$AC$18,"E-",IF(H77&lt;'PlayerGrades+'!$AC$17,"E",IF(H77&lt;'PlayerGrades+'!$AC$16,"E+",IF(H77&lt;'PlayerGrades+'!$AC$15,"D-",IF(H77&lt;'PlayerGrades+'!$AC$14,"D",IF(H77&lt;'PlayerGrades+'!$AC$13,"D+",IF(H77&lt;'PlayerGrades+'!$AC$12,"C-",IF(H77&lt;'PlayerGrades+'!$AC$11,"C",IF(H77&lt;'PlayerGrades+'!$AC$10,"C+",IF(H77&lt;'PlayerGrades+'!$AC$9,"B-",IF(H77&lt;'PlayerGrades+'!$AC$8,"B",IF(H77&lt;'PlayerGrades+'!$AC$7,"B+",IF(H77&lt;'PlayerGrades+'!$AC$6,"A-",IF(H77&lt;'PlayerGrades+'!$AC$5,"A",IF(H77&lt;'PlayerGrades+'!$AC$4,"A+",IF(H77&lt;'PlayerGrades+'!$AC$3,"S-",IF(H77&lt;'PlayerGrades+'!$AC$2,"S","S+"))))))))))))))))))))</f>
        <v>D-</v>
      </c>
      <c r="J77" s="937">
        <f t="shared" si="4"/>
        <v>0.04008016032</v>
      </c>
      <c r="K77" s="937" t="str">
        <f>IF(J77&lt;'PlayerGrades+'!$AD$21,"F-",IF(J77&lt;'PlayerGrades+'!$AD$20,"F",IF(J77&lt;'PlayerGrades+'!$AD$19,"F+",IF(J77&lt;'PlayerGrades+'!$AD$18,"E-",IF(J77&lt;'PlayerGrades+'!$AD$17,"E",IF(J77&lt;'PlayerGrades+'!$AD$16,"E+",IF(J77&lt;'PlayerGrades+'!$AD$15,"D-",IF(J77&lt;'PlayerGrades+'!$AD$14,"D",IF(J77&lt;'PlayerGrades+'!$AD$13,"D+",IF(J77&lt;'PlayerGrades+'!$AD$12,"C-",IF(J77&lt;'PlayerGrades+'!$AD$11,"C",IF(J77&lt;'PlayerGrades+'!$AD$10,"C+",IF(J77&lt;'PlayerGrades+'!$AD$9,"B-",IF(J77&lt;'PlayerGrades+'!$AD$8,"B",IF(J77&lt;'PlayerGrades+'!$AD$7,"B+",IF(J77&lt;'PlayerGrades+'!$AD$6,"A-",IF(J77&lt;'PlayerGrades+'!$AD$5,"A",IF(J77&lt;'PlayerGrades+'!$AD$4,"A+",IF(J77&lt;'PlayerGrades+'!$AD$3,"S-",IF(J77&lt;'PlayerGrades+'!$AD$2,"S","S+"))))))))))))))))))))</f>
        <v>C+</v>
      </c>
      <c r="L77" s="677">
        <f t="shared" si="5"/>
        <v>0.120240481</v>
      </c>
      <c r="M77" s="938" t="str">
        <f>IF(L77&lt;'PlayerGrades+'!$AE$21,"F-",IF(L77&lt;'PlayerGrades+'!$AE$20,"F",IF(L77&lt;'PlayerGrades+'!$AE$19,"F+",IF(L77&lt;'PlayerGrades+'!$AE$18,"E-",IF(L77&lt;'PlayerGrades+'!$AE$17,"E",IF(L77&lt;'PlayerGrades+'!$AE$16,"E+",IF(L77&lt;'PlayerGrades+'!$AE$15,"D-",IF(L77&lt;'PlayerGrades+'!$AE$14,"D",IF(L77&lt;'PlayerGrades+'!$AE$13,"D+",IF(L77&lt;'PlayerGrades+'!$AE$12,"C-",IF(L77&lt;'PlayerGrades+'!$AE$11,"C",IF(L77&lt;'PlayerGrades+'!$AE$10,"C+",IF(L77&lt;'PlayerGrades+'!$AE$9,"B-",IF(L77&lt;'PlayerGrades+'!$AE$8,"B",IF(L77&lt;'PlayerGrades+'!$AE$7,"B+",IF(L77&lt;'PlayerGrades+'!$AE$6,"A-",IF(L77&lt;'PlayerGrades+'!$AE$5,"A",IF(L77&lt;'PlayerGrades+'!$AE$4,"A+",IF(L77&lt;'PlayerGrades+'!$AE$3,"S-",IF(L77&lt;'PlayerGrades+'!$AE$2,"S","S+"))))))))))))))))))))</f>
        <v>F-</v>
      </c>
      <c r="N77" s="937">
        <f t="shared" si="6"/>
        <v>0</v>
      </c>
      <c r="O77" s="937" t="str">
        <f>IF(N77&lt;'PlayerGrades+'!$AF$21,"F-",IF(N77&lt;'PlayerGrades+'!$AF$20,"F",IF(N77&lt;'PlayerGrades+'!$AF$19,"F+",IF(N77&lt;'PlayerGrades+'!$AF$18,"E-",IF(N77&lt;'PlayerGrades+'!$AF$17,"E",IF(N77&lt;'PlayerGrades+'!$AF$16,"E+",IF(N77&lt;'PlayerGrades+'!$AF$15,"D-",IF(N77&lt;'PlayerGrades+'!$AF$14,"D",IF(N77&lt;'PlayerGrades+'!$AF$13,"D+",IF(N77&lt;'PlayerGrades+'!$AF$12,"C-",IF(N77&lt;'PlayerGrades+'!$AF$11,"C",IF(N77&lt;'PlayerGrades+'!$AF$10,"C+",IF(N77&lt;'PlayerGrades+'!$AF$9,"B-",IF(N77&lt;'PlayerGrades+'!$AF$8,"B",IF(N77&lt;'PlayerGrades+'!$AF$7,"B+",IF(N77&lt;'PlayerGrades+'!$AF$6,"A-",IF(N77&lt;'PlayerGrades+'!$AF$5,"A",IF(N77&lt;'PlayerGrades+'!$AF$4,"A+",IF(N77&lt;'PlayerGrades+'!$AF$3,"S-",IF(N77&lt;'PlayerGrades+'!$AF$2,"S","S+"))))))))))))))))))))</f>
        <v>F-</v>
      </c>
      <c r="P77" s="937">
        <f t="shared" si="7"/>
        <v>0.04008016032</v>
      </c>
      <c r="Q77" s="937" t="str">
        <f>IF(P77&lt;'PlayerGrades+'!$AG$21,"F-",IF(P77&lt;'PlayerGrades+'!$AG$20,"F",IF(P77&lt;'PlayerGrades+'!$AG$19,"F+",IF(P77&lt;'PlayerGrades+'!$AG$18,"E-",IF(P77&lt;'PlayerGrades+'!$AG$17,"E",IF(P77&lt;'PlayerGrades+'!$AG$16,"E+",IF(P77&lt;'PlayerGrades+'!$AG$15,"D-",IF(P77&lt;'PlayerGrades+'!$AG$14,"D",IF(P77&lt;'PlayerGrades+'!$AG$13,"D+",IF(P77&lt;'PlayerGrades+'!$AG$12,"C-",IF(P77&lt;'PlayerGrades+'!$AG$11,"C",IF(P77&lt;'PlayerGrades+'!$AG$10,"C+",IF(P77&lt;'PlayerGrades+'!$AG$9,"B-",IF(P77&lt;'PlayerGrades+'!$AG$8,"B",IF(P77&lt;'PlayerGrades+'!$AG$7,"B+",IF(P77&lt;'PlayerGrades+'!$AG$6,"A-",IF(P77&lt;'PlayerGrades+'!$AG$5,"A",IF(P77&lt;'PlayerGrades+'!$AG$4,"A+",IF(P77&lt;'PlayerGrades+'!$AG$3,"S-",IF(P77&lt;'PlayerGrades+'!$AG$2,"S","S+"))))))))))))))))))))</f>
        <v>A-</v>
      </c>
      <c r="R77" s="937">
        <f t="shared" si="8"/>
        <v>0.2404809619</v>
      </c>
      <c r="S77" s="937" t="str">
        <f>IF(R77&lt;'PlayerGrades+'!$AH$21,"F-",IF(R77&lt;'PlayerGrades+'!$AH$20,"F",IF(R77&lt;'PlayerGrades+'!$AH$19,"F+",IF(R77&lt;'PlayerGrades+'!$AH$18,"E-",IF(R77&lt;'PlayerGrades+'!$AH$17,"E",IF(R77&lt;'PlayerGrades+'!$AH$16,"E+",IF(R77&lt;'PlayerGrades+'!$AH$15,"D-",IF(R77&lt;'PlayerGrades+'!$AH$14,"D",IF(R77&lt;'PlayerGrades+'!$AH$13,"D+",IF(R77&lt;'PlayerGrades+'!$AH$12,"C-",IF(R77&lt;'PlayerGrades+'!$AH$11,"C",IF(R77&lt;'PlayerGrades+'!$AH$10,"C+",IF(R77&lt;'PlayerGrades+'!$AH$9,"B-",IF(R77&lt;'PlayerGrades+'!$AH$8,"B",IF(R77&lt;'PlayerGrades+'!$AH$7,"B+",IF(R77&lt;'PlayerGrades+'!$AH$6,"A-",IF(R77&lt;'PlayerGrades+'!$AH$5,"A",IF(R77&lt;'PlayerGrades+'!$AH$4,"A+",IF(R77&lt;'PlayerGrades+'!$AH$3,"S-",IF(R77&lt;'PlayerGrades+'!$AH$2,"S","S+"))))))))))))))))))))</f>
        <v>F-</v>
      </c>
      <c r="T77" s="937">
        <f t="shared" si="9"/>
        <v>0.2404809619</v>
      </c>
      <c r="U77" s="937" t="str">
        <f>IF(T77&lt;'PlayerGrades+'!$AI$21,"F-",IF(T77&lt;'PlayerGrades+'!$AI$20,"F",IF(T77&lt;'PlayerGrades+'!$AI$19,"F+",IF(T77&lt;'PlayerGrades+'!$AI$18,"E-",IF(T77&lt;'PlayerGrades+'!$AI$17,"E",IF(T77&lt;'PlayerGrades+'!$AI$16,"E+",IF(T77&lt;'PlayerGrades+'!$AI$15,"D-",IF(T77&lt;'PlayerGrades+'!$AI$14,"D",IF(T77&lt;'PlayerGrades+'!$AI$13,"D+",IF(T77&lt;'PlayerGrades+'!$AI$12,"C-",IF(T77&lt;'PlayerGrades+'!$AI$11,"C",IF(T77&lt;'PlayerGrades+'!$AI$10,"C+",IF(T77&lt;'PlayerGrades+'!$AI$9,"B-",IF(T77&lt;'PlayerGrades+'!$AI$8,"B",IF(T77&lt;'PlayerGrades+'!$AI$7,"B+",IF(T77&lt;'PlayerGrades+'!$AI$6,"A-",IF(T77&lt;'PlayerGrades+'!$AI$5,"A",IF(T77&lt;'PlayerGrades+'!$AI$4,"A+",IF(T77&lt;'PlayerGrades+'!$AI$3,"S-",IF(T77&lt;'PlayerGrades+'!$AI$2,"S","S+"))))))))))))))))))))</f>
        <v>F-</v>
      </c>
      <c r="V77" s="941">
        <v>1.0</v>
      </c>
      <c r="W77" s="941">
        <v>0.0</v>
      </c>
      <c r="X77" s="941">
        <v>1.0</v>
      </c>
      <c r="Y77" s="941">
        <v>0.0</v>
      </c>
      <c r="Z77" s="941">
        <v>1.0</v>
      </c>
      <c r="AA77" s="941">
        <v>63.0</v>
      </c>
      <c r="AB77" s="941">
        <v>98.0</v>
      </c>
      <c r="AC77" s="941">
        <v>-35.0</v>
      </c>
      <c r="AD77" s="941">
        <v>3.0</v>
      </c>
      <c r="AE77" s="941">
        <v>5.0</v>
      </c>
      <c r="AF77" s="941">
        <v>0.0</v>
      </c>
      <c r="AG77" s="941">
        <v>1140.0</v>
      </c>
      <c r="AH77" s="941">
        <v>1497.0</v>
      </c>
      <c r="AI77" s="941">
        <v>11.0</v>
      </c>
      <c r="AJ77" s="941">
        <v>73.0</v>
      </c>
      <c r="AK77" s="941">
        <v>0.0</v>
      </c>
      <c r="AL77" s="941">
        <v>1.0</v>
      </c>
      <c r="AM77" s="941">
        <v>0.0</v>
      </c>
      <c r="AN77" s="941">
        <v>0.0</v>
      </c>
      <c r="AO77" s="941">
        <v>0.0</v>
      </c>
      <c r="AP77" s="941">
        <v>1.0</v>
      </c>
      <c r="AQ77" s="941">
        <v>0.0</v>
      </c>
      <c r="AR77" s="941">
        <v>3.0</v>
      </c>
      <c r="AS77" s="941">
        <v>0.0</v>
      </c>
      <c r="AT77" s="941">
        <v>0.0</v>
      </c>
      <c r="AU77" s="941">
        <v>0.0</v>
      </c>
      <c r="AV77" s="941">
        <v>0.0</v>
      </c>
      <c r="AW77" s="941">
        <v>0.0</v>
      </c>
      <c r="AX77" s="941">
        <v>0.0</v>
      </c>
      <c r="AY77" s="941">
        <v>0.0</v>
      </c>
      <c r="AZ77" s="941">
        <v>0.0</v>
      </c>
      <c r="BA77" s="941">
        <v>0.0</v>
      </c>
      <c r="BB77" s="941">
        <v>2.0</v>
      </c>
      <c r="BC77" s="941">
        <v>0.0</v>
      </c>
      <c r="BD77" s="941">
        <v>3.0</v>
      </c>
      <c r="BE77" s="942">
        <v>6.0</v>
      </c>
      <c r="BF77" s="941">
        <v>0.0</v>
      </c>
      <c r="BG77" s="941">
        <v>0.0</v>
      </c>
    </row>
    <row r="78">
      <c r="A78" s="935" t="s">
        <v>392</v>
      </c>
      <c r="B78" s="16" t="str">
        <f>IF(C78&lt;'PlayerGrades+'!$Y$44,"F-",IF(C78&lt;'PlayerGrades+'!$Y$43,"F",IF(C78&lt;'PlayerGrades+'!$Y$42,"F+",IF(C78&lt;'PlayerGrades+'!$Y$41,"E-",IF(C78&lt;'PlayerGrades+'!$Y$40,"E",IF(C78&lt;'PlayerGrades+'!$Y$39,"E+",IF(C78&lt;'PlayerGrades+'!$Y$38,"D-",IF(C78&lt;'PlayerGrades+'!$Y$37,"D",IF(C78&lt;'PlayerGrades+'!$Y$36,"D+",IF(C78&lt;'PlayerGrades+'!$Y$35,"C-",IF(C78&lt;'PlayerGrades+'!$Y$34,"C",IF(C78&lt;'PlayerGrades+'!$Y$33,"C+",IF(C78&lt;'PlayerGrades+'!$Y$32,"B-",IF(C78&lt;'PlayerGrades+'!$Y$31,"B",IF(C78&lt;'PlayerGrades+'!$Y$30,"B+",IF(C78&lt;'PlayerGrades+'!$Y$29,"A-",IF(C78&lt;'PlayerGrades+'!$Y$28,"A",IF(C78&lt;'PlayerGrades+'!$Y$27,"A+",IF(C78&lt;'PlayerGrades+'!$Y$26,"S-",IF(C78&lt;'PlayerGrades+'!$Y$25,"S","S+"))))))))))))))))))))</f>
        <v>E-</v>
      </c>
      <c r="C78" s="936">
        <f>('PlayerGrades+'!$Y$47*(VLOOKUP(E78, 'PlayerGrades+'!$X$3:$Y$23, 2, FALSE)))+('PlayerGrades+'!$Y$48*(VLOOKUP(G78, 'PlayerGrades+'!$X$3:$Y$23, 2, FALSE)))+('PlayerGrades+'!$Y$49*(VLOOKUP(I78, 'PlayerGrades+'!$X$3:$Y$23, 2, FALSE)))+('PlayerGrades+'!$Y$50*(VLOOKUP(K78, 'PlayerGrades+'!$X$3:$Y$23, 2, FALSE)))+('PlayerGrades+'!$Y$51*(VLOOKUP(M78, 'PlayerGrades+'!$X$3:$Y$23, 2, FALSE)))+('PlayerGrades+'!$Y$52*(VLOOKUP(O78, 'PlayerGrades+'!$X$3:$Y$23, 2, FALSE)))+('PlayerGrades+'!$Y$53*(VLOOKUP(Q78, 'PlayerGrades+'!$X$3:$Y$23, 2, FALSE)))+('PlayerGrades+'!$Y$54*(VLOOKUP(S78, 'PlayerGrades+'!$X$3:$Y$23, 2, FALSE)))+('PlayerGrades+'!$Y$55*(VLOOKUP(U78, 'PlayerGrades+'!$X$3:$Y$23, 2, FALSE)))</f>
        <v>12.35</v>
      </c>
      <c r="D78" s="937">
        <f t="shared" si="1"/>
        <v>0</v>
      </c>
      <c r="E78" s="937" t="str">
        <f>IF(D78&lt;'PlayerGrades+'!$AA$21,"F-",IF(D78&lt;'PlayerGrades+'!$AA$20,"F",IF(D78&lt;'PlayerGrades+'!$AA$19,"F+",IF(D78&lt;'PlayerGrades+'!$AA$18,"E-",IF(D78&lt;'PlayerGrades+'!$AA$17,"E",IF(D78&lt;'PlayerGrades+'!$AA$16,"E+",IF(D78&lt;'PlayerGrades+'!$AA$15,"D-",IF(D78&lt;'PlayerGrades+'!$AA$14,"D",IF(D78&lt;'PlayerGrades+'!$AA$13,"D+",IF(D78&lt;'PlayerGrades+'!$AA$12,"C-",IF(D78&lt;'PlayerGrades+'!$AA$11,"C",IF(D78&lt;'PlayerGrades+'!$AA$10,"C+",IF(D78&lt;'PlayerGrades+'!$AA$9,"B-",IF(D78&lt;'PlayerGrades+'!$AA$8,"B",IF(D78&lt;'PlayerGrades+'!$AA$7,"B+",IF(D78&lt;'PlayerGrades+'!$AA$6,"A-",IF(D78&lt;'PlayerGrades+'!$AA$5,"A",IF(D78&lt;'PlayerGrades+'!$AA$4,"A+",IF(D78&lt;'PlayerGrades+'!$AA$3,"S-",IF(D78&lt;'PlayerGrades+'!$AA$2,"S","S+"))))))))))))))))))))</f>
        <v>F-</v>
      </c>
      <c r="F78" s="937">
        <f t="shared" si="2"/>
        <v>-1.683366733</v>
      </c>
      <c r="G78" s="937" t="str">
        <f>IF(F78&lt;'PlayerGrades+'!$AB$21,"F-",IF(F78&lt;'PlayerGrades+'!$AB$20,"F",IF(F78&lt;'PlayerGrades+'!$AB$19,"F+",IF(F78&lt;'PlayerGrades+'!$AB$18,"E-",IF(F78&lt;'PlayerGrades+'!$AB$17,"E",IF(F78&lt;'PlayerGrades+'!$AB$16,"E+",IF(F78&lt;'PlayerGrades+'!$AB$15,"D-",IF(F78&lt;'PlayerGrades+'!$AB$14,"D",IF(F78&lt;'PlayerGrades+'!$AB$13,"D+",IF(F78&lt;'PlayerGrades+'!$AB$12,"C-",IF(F78&lt;'PlayerGrades+'!$AB$11,"C",IF(F78&lt;'PlayerGrades+'!$AB$10,"C+",IF(F78&lt;'PlayerGrades+'!$AB$9,"B-",IF(F78&lt;'PlayerGrades+'!$AB$8,"B",IF(F78&lt;'PlayerGrades+'!$AB$7,"B+",IF(F78&lt;'PlayerGrades+'!$AB$6,"A-",IF(F78&lt;'PlayerGrades+'!$AB$5,"A",IF(F78&lt;'PlayerGrades+'!$AB$4,"A+",IF(F78&lt;'PlayerGrades+'!$AB$3,"S-",IF(F78&lt;'PlayerGrades+'!$AB$2,"S","S+"))))))))))))))))))))</f>
        <v>F-</v>
      </c>
      <c r="H78" s="937">
        <f t="shared" si="3"/>
        <v>0.04008016032</v>
      </c>
      <c r="I78" s="937" t="str">
        <f>IF(H78&lt;'PlayerGrades+'!$AC$21,"F-",IF(H78&lt;'PlayerGrades+'!$AC$20,"F",IF(H78&lt;'PlayerGrades+'!$AC$19,"F+",IF(H78&lt;'PlayerGrades+'!$AC$18,"E-",IF(H78&lt;'PlayerGrades+'!$AC$17,"E",IF(H78&lt;'PlayerGrades+'!$AC$16,"E+",IF(H78&lt;'PlayerGrades+'!$AC$15,"D-",IF(H78&lt;'PlayerGrades+'!$AC$14,"D",IF(H78&lt;'PlayerGrades+'!$AC$13,"D+",IF(H78&lt;'PlayerGrades+'!$AC$12,"C-",IF(H78&lt;'PlayerGrades+'!$AC$11,"C",IF(H78&lt;'PlayerGrades+'!$AC$10,"C+",IF(H78&lt;'PlayerGrades+'!$AC$9,"B-",IF(H78&lt;'PlayerGrades+'!$AC$8,"B",IF(H78&lt;'PlayerGrades+'!$AC$7,"B+",IF(H78&lt;'PlayerGrades+'!$AC$6,"A-",IF(H78&lt;'PlayerGrades+'!$AC$5,"A",IF(H78&lt;'PlayerGrades+'!$AC$4,"A+",IF(H78&lt;'PlayerGrades+'!$AC$3,"S-",IF(H78&lt;'PlayerGrades+'!$AC$2,"S","S+"))))))))))))))))))))</f>
        <v>F</v>
      </c>
      <c r="J78" s="937">
        <f t="shared" si="4"/>
        <v>0</v>
      </c>
      <c r="K78" s="937" t="str">
        <f>IF(J78&lt;'PlayerGrades+'!$AD$21,"F-",IF(J78&lt;'PlayerGrades+'!$AD$20,"F",IF(J78&lt;'PlayerGrades+'!$AD$19,"F+",IF(J78&lt;'PlayerGrades+'!$AD$18,"E-",IF(J78&lt;'PlayerGrades+'!$AD$17,"E",IF(J78&lt;'PlayerGrades+'!$AD$16,"E+",IF(J78&lt;'PlayerGrades+'!$AD$15,"D-",IF(J78&lt;'PlayerGrades+'!$AD$14,"D",IF(J78&lt;'PlayerGrades+'!$AD$13,"D+",IF(J78&lt;'PlayerGrades+'!$AD$12,"C-",IF(J78&lt;'PlayerGrades+'!$AD$11,"C",IF(J78&lt;'PlayerGrades+'!$AD$10,"C+",IF(J78&lt;'PlayerGrades+'!$AD$9,"B-",IF(J78&lt;'PlayerGrades+'!$AD$8,"B",IF(J78&lt;'PlayerGrades+'!$AD$7,"B+",IF(J78&lt;'PlayerGrades+'!$AD$6,"A-",IF(J78&lt;'PlayerGrades+'!$AD$5,"A",IF(J78&lt;'PlayerGrades+'!$AD$4,"A+",IF(J78&lt;'PlayerGrades+'!$AD$3,"S-",IF(J78&lt;'PlayerGrades+'!$AD$2,"S","S+"))))))))))))))))))))</f>
        <v>F-</v>
      </c>
      <c r="L78" s="677">
        <f t="shared" si="5"/>
        <v>0.4008016032</v>
      </c>
      <c r="M78" s="938" t="str">
        <f>IF(L78&lt;'PlayerGrades+'!$AE$21,"F-",IF(L78&lt;'PlayerGrades+'!$AE$20,"F",IF(L78&lt;'PlayerGrades+'!$AE$19,"F+",IF(L78&lt;'PlayerGrades+'!$AE$18,"E-",IF(L78&lt;'PlayerGrades+'!$AE$17,"E",IF(L78&lt;'PlayerGrades+'!$AE$16,"E+",IF(L78&lt;'PlayerGrades+'!$AE$15,"D-",IF(L78&lt;'PlayerGrades+'!$AE$14,"D",IF(L78&lt;'PlayerGrades+'!$AE$13,"D+",IF(L78&lt;'PlayerGrades+'!$AE$12,"C-",IF(L78&lt;'PlayerGrades+'!$AE$11,"C",IF(L78&lt;'PlayerGrades+'!$AE$10,"C+",IF(L78&lt;'PlayerGrades+'!$AE$9,"B-",IF(L78&lt;'PlayerGrades+'!$AE$8,"B",IF(L78&lt;'PlayerGrades+'!$AE$7,"B+",IF(L78&lt;'PlayerGrades+'!$AE$6,"A-",IF(L78&lt;'PlayerGrades+'!$AE$5,"A",IF(L78&lt;'PlayerGrades+'!$AE$4,"A+",IF(L78&lt;'PlayerGrades+'!$AE$3,"S-",IF(L78&lt;'PlayerGrades+'!$AE$2,"S","S+"))))))))))))))))))))</f>
        <v>C</v>
      </c>
      <c r="N78" s="937">
        <f t="shared" si="6"/>
        <v>0.120240481</v>
      </c>
      <c r="O78" s="937" t="str">
        <f>IF(N78&lt;'PlayerGrades+'!$AF$21,"F-",IF(N78&lt;'PlayerGrades+'!$AF$20,"F",IF(N78&lt;'PlayerGrades+'!$AF$19,"F+",IF(N78&lt;'PlayerGrades+'!$AF$18,"E-",IF(N78&lt;'PlayerGrades+'!$AF$17,"E",IF(N78&lt;'PlayerGrades+'!$AF$16,"E+",IF(N78&lt;'PlayerGrades+'!$AF$15,"D-",IF(N78&lt;'PlayerGrades+'!$AF$14,"D",IF(N78&lt;'PlayerGrades+'!$AF$13,"D+",IF(N78&lt;'PlayerGrades+'!$AF$12,"C-",IF(N78&lt;'PlayerGrades+'!$AF$11,"C",IF(N78&lt;'PlayerGrades+'!$AF$10,"C+",IF(N78&lt;'PlayerGrades+'!$AF$9,"B-",IF(N78&lt;'PlayerGrades+'!$AF$8,"B",IF(N78&lt;'PlayerGrades+'!$AF$7,"B+",IF(N78&lt;'PlayerGrades+'!$AF$6,"A-",IF(N78&lt;'PlayerGrades+'!$AF$5,"A",IF(N78&lt;'PlayerGrades+'!$AF$4,"A+",IF(N78&lt;'PlayerGrades+'!$AF$3,"S-",IF(N78&lt;'PlayerGrades+'!$AF$2,"S","S+"))))))))))))))))))))</f>
        <v>S-</v>
      </c>
      <c r="P78" s="937">
        <f t="shared" si="7"/>
        <v>0</v>
      </c>
      <c r="Q78" s="937" t="str">
        <f>IF(P78&lt;'PlayerGrades+'!$AG$21,"F-",IF(P78&lt;'PlayerGrades+'!$AG$20,"F",IF(P78&lt;'PlayerGrades+'!$AG$19,"F+",IF(P78&lt;'PlayerGrades+'!$AG$18,"E-",IF(P78&lt;'PlayerGrades+'!$AG$17,"E",IF(P78&lt;'PlayerGrades+'!$AG$16,"E+",IF(P78&lt;'PlayerGrades+'!$AG$15,"D-",IF(P78&lt;'PlayerGrades+'!$AG$14,"D",IF(P78&lt;'PlayerGrades+'!$AG$13,"D+",IF(P78&lt;'PlayerGrades+'!$AG$12,"C-",IF(P78&lt;'PlayerGrades+'!$AG$11,"C",IF(P78&lt;'PlayerGrades+'!$AG$10,"C+",IF(P78&lt;'PlayerGrades+'!$AG$9,"B-",IF(P78&lt;'PlayerGrades+'!$AG$8,"B",IF(P78&lt;'PlayerGrades+'!$AG$7,"B+",IF(P78&lt;'PlayerGrades+'!$AG$6,"A-",IF(P78&lt;'PlayerGrades+'!$AG$5,"A",IF(P78&lt;'PlayerGrades+'!$AG$4,"A+",IF(P78&lt;'PlayerGrades+'!$AG$3,"S-",IF(P78&lt;'PlayerGrades+'!$AG$2,"S","S+"))))))))))))))))))))</f>
        <v>F</v>
      </c>
      <c r="R78" s="937">
        <f t="shared" si="8"/>
        <v>0.4809619238</v>
      </c>
      <c r="S78" s="937" t="str">
        <f>IF(R78&lt;'PlayerGrades+'!$AH$21,"F-",IF(R78&lt;'PlayerGrades+'!$AH$20,"F",IF(R78&lt;'PlayerGrades+'!$AH$19,"F+",IF(R78&lt;'PlayerGrades+'!$AH$18,"E-",IF(R78&lt;'PlayerGrades+'!$AH$17,"E",IF(R78&lt;'PlayerGrades+'!$AH$16,"E+",IF(R78&lt;'PlayerGrades+'!$AH$15,"D-",IF(R78&lt;'PlayerGrades+'!$AH$14,"D",IF(R78&lt;'PlayerGrades+'!$AH$13,"D+",IF(R78&lt;'PlayerGrades+'!$AH$12,"C-",IF(R78&lt;'PlayerGrades+'!$AH$11,"C",IF(R78&lt;'PlayerGrades+'!$AH$10,"C+",IF(R78&lt;'PlayerGrades+'!$AH$9,"B-",IF(R78&lt;'PlayerGrades+'!$AH$8,"B",IF(R78&lt;'PlayerGrades+'!$AH$7,"B+",IF(R78&lt;'PlayerGrades+'!$AH$6,"A-",IF(R78&lt;'PlayerGrades+'!$AH$5,"A",IF(R78&lt;'PlayerGrades+'!$AH$4,"A+",IF(R78&lt;'PlayerGrades+'!$AH$3,"S-",IF(R78&lt;'PlayerGrades+'!$AH$2,"S","S+"))))))))))))))))))))</f>
        <v>E+</v>
      </c>
      <c r="T78" s="937">
        <f t="shared" si="9"/>
        <v>0.4809619238</v>
      </c>
      <c r="U78" s="937" t="str">
        <f>IF(T78&lt;'PlayerGrades+'!$AI$21,"F-",IF(T78&lt;'PlayerGrades+'!$AI$20,"F",IF(T78&lt;'PlayerGrades+'!$AI$19,"F+",IF(T78&lt;'PlayerGrades+'!$AI$18,"E-",IF(T78&lt;'PlayerGrades+'!$AI$17,"E",IF(T78&lt;'PlayerGrades+'!$AI$16,"E+",IF(T78&lt;'PlayerGrades+'!$AI$15,"D-",IF(T78&lt;'PlayerGrades+'!$AI$14,"D",IF(T78&lt;'PlayerGrades+'!$AI$13,"D+",IF(T78&lt;'PlayerGrades+'!$AI$12,"C-",IF(T78&lt;'PlayerGrades+'!$AI$11,"C",IF(T78&lt;'PlayerGrades+'!$AI$10,"C+",IF(T78&lt;'PlayerGrades+'!$AI$9,"B-",IF(T78&lt;'PlayerGrades+'!$AI$8,"B",IF(T78&lt;'PlayerGrades+'!$AI$7,"B+",IF(T78&lt;'PlayerGrades+'!$AI$6,"A-",IF(T78&lt;'PlayerGrades+'!$AI$5,"A",IF(T78&lt;'PlayerGrades+'!$AI$4,"A+",IF(T78&lt;'PlayerGrades+'!$AI$3,"S-",IF(T78&lt;'PlayerGrades+'!$AI$2,"S","S+"))))))))))))))))))))</f>
        <v>F-</v>
      </c>
      <c r="V78" s="941">
        <v>1.0</v>
      </c>
      <c r="W78" s="941">
        <v>1.0</v>
      </c>
      <c r="X78" s="941">
        <v>0.0</v>
      </c>
      <c r="Y78" s="941">
        <v>0.0</v>
      </c>
      <c r="Z78" s="941">
        <v>0.0</v>
      </c>
      <c r="AA78" s="941">
        <v>79.0</v>
      </c>
      <c r="AB78" s="941">
        <v>121.0</v>
      </c>
      <c r="AC78" s="941">
        <v>-42.0</v>
      </c>
      <c r="AD78" s="941">
        <v>7.0</v>
      </c>
      <c r="AE78" s="941">
        <v>4.0</v>
      </c>
      <c r="AF78" s="941">
        <v>1.0</v>
      </c>
      <c r="AG78" s="941">
        <v>1071.0</v>
      </c>
      <c r="AH78" s="941">
        <v>1497.0</v>
      </c>
      <c r="AI78" s="941">
        <v>8.0</v>
      </c>
      <c r="AJ78" s="941">
        <v>0.0</v>
      </c>
      <c r="AK78" s="941">
        <v>0.0</v>
      </c>
      <c r="AL78" s="941">
        <v>0.0</v>
      </c>
      <c r="AM78" s="941">
        <v>0.0</v>
      </c>
      <c r="AN78" s="941">
        <v>0.0</v>
      </c>
      <c r="AO78" s="941">
        <v>0.0</v>
      </c>
      <c r="AP78" s="941">
        <v>0.0</v>
      </c>
      <c r="AQ78" s="941">
        <v>0.0</v>
      </c>
      <c r="AR78" s="941">
        <v>10.0</v>
      </c>
      <c r="AS78" s="941">
        <v>3.0</v>
      </c>
      <c r="AT78" s="941">
        <v>2.0</v>
      </c>
      <c r="AU78" s="941">
        <v>0.0</v>
      </c>
      <c r="AV78" s="941">
        <v>0.0</v>
      </c>
      <c r="AW78" s="941">
        <v>0.0</v>
      </c>
      <c r="AX78" s="941">
        <v>0.0</v>
      </c>
      <c r="AY78" s="941">
        <v>0.0</v>
      </c>
      <c r="AZ78" s="941">
        <v>0.0</v>
      </c>
      <c r="BA78" s="941">
        <v>0.0</v>
      </c>
      <c r="BB78" s="941">
        <v>1.0</v>
      </c>
      <c r="BC78" s="941">
        <v>0.0</v>
      </c>
      <c r="BD78" s="941">
        <v>5.0</v>
      </c>
      <c r="BE78" s="942">
        <v>12.0</v>
      </c>
      <c r="BF78" s="941">
        <v>0.0</v>
      </c>
      <c r="BG78" s="941">
        <v>1.0</v>
      </c>
    </row>
    <row r="79">
      <c r="A79" s="935" t="s">
        <v>138</v>
      </c>
      <c r="B79" s="16" t="str">
        <f>IF(C79&lt;'PlayerGrades+'!$Y$44,"F-",IF(C79&lt;'PlayerGrades+'!$Y$43,"F",IF(C79&lt;'PlayerGrades+'!$Y$42,"F+",IF(C79&lt;'PlayerGrades+'!$Y$41,"E-",IF(C79&lt;'PlayerGrades+'!$Y$40,"E",IF(C79&lt;'PlayerGrades+'!$Y$39,"E+",IF(C79&lt;'PlayerGrades+'!$Y$38,"D-",IF(C79&lt;'PlayerGrades+'!$Y$37,"D",IF(C79&lt;'PlayerGrades+'!$Y$36,"D+",IF(C79&lt;'PlayerGrades+'!$Y$35,"C-",IF(C79&lt;'PlayerGrades+'!$Y$34,"C",IF(C79&lt;'PlayerGrades+'!$Y$33,"C+",IF(C79&lt;'PlayerGrades+'!$Y$32,"B-",IF(C79&lt;'PlayerGrades+'!$Y$31,"B",IF(C79&lt;'PlayerGrades+'!$Y$30,"B+",IF(C79&lt;'PlayerGrades+'!$Y$29,"A-",IF(C79&lt;'PlayerGrades+'!$Y$28,"A",IF(C79&lt;'PlayerGrades+'!$Y$27,"A+",IF(C79&lt;'PlayerGrades+'!$Y$26,"S-",IF(C79&lt;'PlayerGrades+'!$Y$25,"S","S+"))))))))))))))))))))</f>
        <v>A</v>
      </c>
      <c r="C79" s="936">
        <f>('PlayerGrades+'!$Y$47*(VLOOKUP(E79, 'PlayerGrades+'!$X$3:$Y$23, 2, FALSE)))+('PlayerGrades+'!$Y$48*(VLOOKUP(G79, 'PlayerGrades+'!$X$3:$Y$23, 2, FALSE)))+('PlayerGrades+'!$Y$49*(VLOOKUP(I79, 'PlayerGrades+'!$X$3:$Y$23, 2, FALSE)))+('PlayerGrades+'!$Y$50*(VLOOKUP(K79, 'PlayerGrades+'!$X$3:$Y$23, 2, FALSE)))+('PlayerGrades+'!$Y$51*(VLOOKUP(M79, 'PlayerGrades+'!$X$3:$Y$23, 2, FALSE)))+('PlayerGrades+'!$Y$52*(VLOOKUP(O79, 'PlayerGrades+'!$X$3:$Y$23, 2, FALSE)))+('PlayerGrades+'!$Y$53*(VLOOKUP(Q79, 'PlayerGrades+'!$X$3:$Y$23, 2, FALSE)))+('PlayerGrades+'!$Y$54*(VLOOKUP(S79, 'PlayerGrades+'!$X$3:$Y$23, 2, FALSE)))+('PlayerGrades+'!$Y$55*(VLOOKUP(U79, 'PlayerGrades+'!$X$3:$Y$23, 2, FALSE)))</f>
        <v>26.7</v>
      </c>
      <c r="D79" s="937">
        <f t="shared" si="1"/>
        <v>0</v>
      </c>
      <c r="E79" s="937" t="str">
        <f>IF(D79&lt;'PlayerGrades+'!$AA$21,"F-",IF(D79&lt;'PlayerGrades+'!$AA$20,"F",IF(D79&lt;'PlayerGrades+'!$AA$19,"F+",IF(D79&lt;'PlayerGrades+'!$AA$18,"E-",IF(D79&lt;'PlayerGrades+'!$AA$17,"E",IF(D79&lt;'PlayerGrades+'!$AA$16,"E+",IF(D79&lt;'PlayerGrades+'!$AA$15,"D-",IF(D79&lt;'PlayerGrades+'!$AA$14,"D",IF(D79&lt;'PlayerGrades+'!$AA$13,"D+",IF(D79&lt;'PlayerGrades+'!$AA$12,"C-",IF(D79&lt;'PlayerGrades+'!$AA$11,"C",IF(D79&lt;'PlayerGrades+'!$AA$10,"C+",IF(D79&lt;'PlayerGrades+'!$AA$9,"B-",IF(D79&lt;'PlayerGrades+'!$AA$8,"B",IF(D79&lt;'PlayerGrades+'!$AA$7,"B+",IF(D79&lt;'PlayerGrades+'!$AA$6,"A-",IF(D79&lt;'PlayerGrades+'!$AA$5,"A",IF(D79&lt;'PlayerGrades+'!$AA$4,"A+",IF(D79&lt;'PlayerGrades+'!$AA$3,"S-",IF(D79&lt;'PlayerGrades+'!$AA$2,"S","S+"))))))))))))))))))))</f>
        <v>F-</v>
      </c>
      <c r="F79" s="937">
        <f t="shared" si="2"/>
        <v>0.1603206413</v>
      </c>
      <c r="G79" s="937" t="str">
        <f>IF(F79&lt;'PlayerGrades+'!$AB$21,"F-",IF(F79&lt;'PlayerGrades+'!$AB$20,"F",IF(F79&lt;'PlayerGrades+'!$AB$19,"F+",IF(F79&lt;'PlayerGrades+'!$AB$18,"E-",IF(F79&lt;'PlayerGrades+'!$AB$17,"E",IF(F79&lt;'PlayerGrades+'!$AB$16,"E+",IF(F79&lt;'PlayerGrades+'!$AB$15,"D-",IF(F79&lt;'PlayerGrades+'!$AB$14,"D",IF(F79&lt;'PlayerGrades+'!$AB$13,"D+",IF(F79&lt;'PlayerGrades+'!$AB$12,"C-",IF(F79&lt;'PlayerGrades+'!$AB$11,"C",IF(F79&lt;'PlayerGrades+'!$AB$10,"C+",IF(F79&lt;'PlayerGrades+'!$AB$9,"B-",IF(F79&lt;'PlayerGrades+'!$AB$8,"B",IF(F79&lt;'PlayerGrades+'!$AB$7,"B+",IF(F79&lt;'PlayerGrades+'!$AB$6,"A-",IF(F79&lt;'PlayerGrades+'!$AB$5,"A",IF(F79&lt;'PlayerGrades+'!$AB$4,"A+",IF(F79&lt;'PlayerGrades+'!$AB$3,"S-",IF(F79&lt;'PlayerGrades+'!$AB$2,"S","S+"))))))))))))))))))))</f>
        <v>B+</v>
      </c>
      <c r="H79" s="937">
        <f t="shared" si="3"/>
        <v>0.4408817635</v>
      </c>
      <c r="I79" s="937" t="str">
        <f>IF(H79&lt;'PlayerGrades+'!$AC$21,"F-",IF(H79&lt;'PlayerGrades+'!$AC$20,"F",IF(H79&lt;'PlayerGrades+'!$AC$19,"F+",IF(H79&lt;'PlayerGrades+'!$AC$18,"E-",IF(H79&lt;'PlayerGrades+'!$AC$17,"E",IF(H79&lt;'PlayerGrades+'!$AC$16,"E+",IF(H79&lt;'PlayerGrades+'!$AC$15,"D-",IF(H79&lt;'PlayerGrades+'!$AC$14,"D",IF(H79&lt;'PlayerGrades+'!$AC$13,"D+",IF(H79&lt;'PlayerGrades+'!$AC$12,"C-",IF(H79&lt;'PlayerGrades+'!$AC$11,"C",IF(H79&lt;'PlayerGrades+'!$AC$10,"C+",IF(H79&lt;'PlayerGrades+'!$AC$9,"B-",IF(H79&lt;'PlayerGrades+'!$AC$8,"B",IF(H79&lt;'PlayerGrades+'!$AC$7,"B+",IF(H79&lt;'PlayerGrades+'!$AC$6,"A-",IF(H79&lt;'PlayerGrades+'!$AC$5,"A",IF(H79&lt;'PlayerGrades+'!$AC$4,"A+",IF(H79&lt;'PlayerGrades+'!$AC$3,"S-",IF(H79&lt;'PlayerGrades+'!$AC$2,"S","S+"))))))))))))))))))))</f>
        <v>S+</v>
      </c>
      <c r="J79" s="937">
        <f t="shared" si="4"/>
        <v>0.04008016032</v>
      </c>
      <c r="K79" s="937" t="str">
        <f>IF(J79&lt;'PlayerGrades+'!$AD$21,"F-",IF(J79&lt;'PlayerGrades+'!$AD$20,"F",IF(J79&lt;'PlayerGrades+'!$AD$19,"F+",IF(J79&lt;'PlayerGrades+'!$AD$18,"E-",IF(J79&lt;'PlayerGrades+'!$AD$17,"E",IF(J79&lt;'PlayerGrades+'!$AD$16,"E+",IF(J79&lt;'PlayerGrades+'!$AD$15,"D-",IF(J79&lt;'PlayerGrades+'!$AD$14,"D",IF(J79&lt;'PlayerGrades+'!$AD$13,"D+",IF(J79&lt;'PlayerGrades+'!$AD$12,"C-",IF(J79&lt;'PlayerGrades+'!$AD$11,"C",IF(J79&lt;'PlayerGrades+'!$AD$10,"C+",IF(J79&lt;'PlayerGrades+'!$AD$9,"B-",IF(J79&lt;'PlayerGrades+'!$AD$8,"B",IF(J79&lt;'PlayerGrades+'!$AD$7,"B+",IF(J79&lt;'PlayerGrades+'!$AD$6,"A-",IF(J79&lt;'PlayerGrades+'!$AD$5,"A",IF(J79&lt;'PlayerGrades+'!$AD$4,"A+",IF(J79&lt;'PlayerGrades+'!$AD$3,"S-",IF(J79&lt;'PlayerGrades+'!$AD$2,"S","S+"))))))))))))))))))))</f>
        <v>C+</v>
      </c>
      <c r="L79" s="677">
        <f t="shared" si="5"/>
        <v>0.4809619238</v>
      </c>
      <c r="M79" s="938" t="str">
        <f>IF(L79&lt;'PlayerGrades+'!$AE$21,"F-",IF(L79&lt;'PlayerGrades+'!$AE$20,"F",IF(L79&lt;'PlayerGrades+'!$AE$19,"F+",IF(L79&lt;'PlayerGrades+'!$AE$18,"E-",IF(L79&lt;'PlayerGrades+'!$AE$17,"E",IF(L79&lt;'PlayerGrades+'!$AE$16,"E+",IF(L79&lt;'PlayerGrades+'!$AE$15,"D-",IF(L79&lt;'PlayerGrades+'!$AE$14,"D",IF(L79&lt;'PlayerGrades+'!$AE$13,"D+",IF(L79&lt;'PlayerGrades+'!$AE$12,"C-",IF(L79&lt;'PlayerGrades+'!$AE$11,"C",IF(L79&lt;'PlayerGrades+'!$AE$10,"C+",IF(L79&lt;'PlayerGrades+'!$AE$9,"B-",IF(L79&lt;'PlayerGrades+'!$AE$8,"B",IF(L79&lt;'PlayerGrades+'!$AE$7,"B+",IF(L79&lt;'PlayerGrades+'!$AE$6,"A-",IF(L79&lt;'PlayerGrades+'!$AE$5,"A",IF(L79&lt;'PlayerGrades+'!$AE$4,"A+",IF(L79&lt;'PlayerGrades+'!$AE$3,"S-",IF(L79&lt;'PlayerGrades+'!$AE$2,"S","S+"))))))))))))))))))))</f>
        <v>B+</v>
      </c>
      <c r="N79" s="937">
        <f t="shared" si="6"/>
        <v>0.120240481</v>
      </c>
      <c r="O79" s="937" t="str">
        <f>IF(N79&lt;'PlayerGrades+'!$AF$21,"F-",IF(N79&lt;'PlayerGrades+'!$AF$20,"F",IF(N79&lt;'PlayerGrades+'!$AF$19,"F+",IF(N79&lt;'PlayerGrades+'!$AF$18,"E-",IF(N79&lt;'PlayerGrades+'!$AF$17,"E",IF(N79&lt;'PlayerGrades+'!$AF$16,"E+",IF(N79&lt;'PlayerGrades+'!$AF$15,"D-",IF(N79&lt;'PlayerGrades+'!$AF$14,"D",IF(N79&lt;'PlayerGrades+'!$AF$13,"D+",IF(N79&lt;'PlayerGrades+'!$AF$12,"C-",IF(N79&lt;'PlayerGrades+'!$AF$11,"C",IF(N79&lt;'PlayerGrades+'!$AF$10,"C+",IF(N79&lt;'PlayerGrades+'!$AF$9,"B-",IF(N79&lt;'PlayerGrades+'!$AF$8,"B",IF(N79&lt;'PlayerGrades+'!$AF$7,"B+",IF(N79&lt;'PlayerGrades+'!$AF$6,"A-",IF(N79&lt;'PlayerGrades+'!$AF$5,"A",IF(N79&lt;'PlayerGrades+'!$AF$4,"A+",IF(N79&lt;'PlayerGrades+'!$AF$3,"S-",IF(N79&lt;'PlayerGrades+'!$AF$2,"S","S+"))))))))))))))))))))</f>
        <v>S-</v>
      </c>
      <c r="P79" s="937">
        <f t="shared" si="7"/>
        <v>0.04008016032</v>
      </c>
      <c r="Q79" s="937" t="str">
        <f>IF(P79&lt;'PlayerGrades+'!$AG$21,"F-",IF(P79&lt;'PlayerGrades+'!$AG$20,"F",IF(P79&lt;'PlayerGrades+'!$AG$19,"F+",IF(P79&lt;'PlayerGrades+'!$AG$18,"E-",IF(P79&lt;'PlayerGrades+'!$AG$17,"E",IF(P79&lt;'PlayerGrades+'!$AG$16,"E+",IF(P79&lt;'PlayerGrades+'!$AG$15,"D-",IF(P79&lt;'PlayerGrades+'!$AG$14,"D",IF(P79&lt;'PlayerGrades+'!$AG$13,"D+",IF(P79&lt;'PlayerGrades+'!$AG$12,"C-",IF(P79&lt;'PlayerGrades+'!$AG$11,"C",IF(P79&lt;'PlayerGrades+'!$AG$10,"C+",IF(P79&lt;'PlayerGrades+'!$AG$9,"B-",IF(P79&lt;'PlayerGrades+'!$AG$8,"B",IF(P79&lt;'PlayerGrades+'!$AG$7,"B+",IF(P79&lt;'PlayerGrades+'!$AG$6,"A-",IF(P79&lt;'PlayerGrades+'!$AG$5,"A",IF(P79&lt;'PlayerGrades+'!$AG$4,"A+",IF(P79&lt;'PlayerGrades+'!$AG$3,"S-",IF(P79&lt;'PlayerGrades+'!$AG$2,"S","S+"))))))))))))))))))))</f>
        <v>A-</v>
      </c>
      <c r="R79" s="937">
        <f t="shared" si="8"/>
        <v>0.6412825651</v>
      </c>
      <c r="S79" s="937" t="str">
        <f>IF(R79&lt;'PlayerGrades+'!$AH$21,"F-",IF(R79&lt;'PlayerGrades+'!$AH$20,"F",IF(R79&lt;'PlayerGrades+'!$AH$19,"F+",IF(R79&lt;'PlayerGrades+'!$AH$18,"E-",IF(R79&lt;'PlayerGrades+'!$AH$17,"E",IF(R79&lt;'PlayerGrades+'!$AH$16,"E+",IF(R79&lt;'PlayerGrades+'!$AH$15,"D-",IF(R79&lt;'PlayerGrades+'!$AH$14,"D",IF(R79&lt;'PlayerGrades+'!$AH$13,"D+",IF(R79&lt;'PlayerGrades+'!$AH$12,"C-",IF(R79&lt;'PlayerGrades+'!$AH$11,"C",IF(R79&lt;'PlayerGrades+'!$AH$10,"C+",IF(R79&lt;'PlayerGrades+'!$AH$9,"B-",IF(R79&lt;'PlayerGrades+'!$AH$8,"B",IF(R79&lt;'PlayerGrades+'!$AH$7,"B+",IF(R79&lt;'PlayerGrades+'!$AH$6,"A-",IF(R79&lt;'PlayerGrades+'!$AH$5,"A",IF(R79&lt;'PlayerGrades+'!$AH$4,"A+",IF(R79&lt;'PlayerGrades+'!$AH$3,"S-",IF(R79&lt;'PlayerGrades+'!$AH$2,"S","S+"))))))))))))))))))))</f>
        <v>A</v>
      </c>
      <c r="T79" s="937">
        <f t="shared" si="9"/>
        <v>1.240480962</v>
      </c>
      <c r="U79" s="937" t="str">
        <f>IF(T79&lt;'PlayerGrades+'!$AI$21,"F-",IF(T79&lt;'PlayerGrades+'!$AI$20,"F",IF(T79&lt;'PlayerGrades+'!$AI$19,"F+",IF(T79&lt;'PlayerGrades+'!$AI$18,"E-",IF(T79&lt;'PlayerGrades+'!$AI$17,"E",IF(T79&lt;'PlayerGrades+'!$AI$16,"E+",IF(T79&lt;'PlayerGrades+'!$AI$15,"D-",IF(T79&lt;'PlayerGrades+'!$AI$14,"D",IF(T79&lt;'PlayerGrades+'!$AI$13,"D+",IF(T79&lt;'PlayerGrades+'!$AI$12,"C-",IF(T79&lt;'PlayerGrades+'!$AI$11,"C",IF(T79&lt;'PlayerGrades+'!$AI$10,"C+",IF(T79&lt;'PlayerGrades+'!$AI$9,"B-",IF(T79&lt;'PlayerGrades+'!$AI$8,"B",IF(T79&lt;'PlayerGrades+'!$AI$7,"B+",IF(T79&lt;'PlayerGrades+'!$AI$6,"A-",IF(T79&lt;'PlayerGrades+'!$AI$5,"A",IF(T79&lt;'PlayerGrades+'!$AI$4,"A+",IF(T79&lt;'PlayerGrades+'!$AI$3,"S-",IF(T79&lt;'PlayerGrades+'!$AI$2,"S","S+"))))))))))))))))))))</f>
        <v>C</v>
      </c>
      <c r="V79" s="941">
        <v>1.0</v>
      </c>
      <c r="W79" s="941">
        <v>1.0</v>
      </c>
      <c r="X79" s="941">
        <v>0.0</v>
      </c>
      <c r="Y79" s="941">
        <v>0.0</v>
      </c>
      <c r="Z79" s="941">
        <v>0.0</v>
      </c>
      <c r="AA79" s="941">
        <v>98.0</v>
      </c>
      <c r="AB79" s="941">
        <v>94.0</v>
      </c>
      <c r="AC79" s="941">
        <v>4.0</v>
      </c>
      <c r="AD79" s="941">
        <v>8.0</v>
      </c>
      <c r="AE79" s="941">
        <v>5.0</v>
      </c>
      <c r="AF79" s="941">
        <v>2.0</v>
      </c>
      <c r="AG79" s="941">
        <v>1147.0</v>
      </c>
      <c r="AH79" s="941">
        <v>1497.0</v>
      </c>
      <c r="AI79" s="941">
        <v>12.0</v>
      </c>
      <c r="AJ79" s="941">
        <v>13.0</v>
      </c>
      <c r="AK79" s="941">
        <v>0.0</v>
      </c>
      <c r="AL79" s="941">
        <v>1.0</v>
      </c>
      <c r="AM79" s="941">
        <v>0.0</v>
      </c>
      <c r="AN79" s="941">
        <v>0.0</v>
      </c>
      <c r="AO79" s="941">
        <v>0.0</v>
      </c>
      <c r="AP79" s="941">
        <v>1.0</v>
      </c>
      <c r="AQ79" s="941">
        <v>0.0</v>
      </c>
      <c r="AR79" s="941">
        <v>12.0</v>
      </c>
      <c r="AS79" s="941">
        <v>3.0</v>
      </c>
      <c r="AT79" s="941">
        <v>0.0</v>
      </c>
      <c r="AU79" s="941">
        <v>0.0</v>
      </c>
      <c r="AV79" s="941">
        <v>0.0</v>
      </c>
      <c r="AW79" s="941">
        <v>0.0</v>
      </c>
      <c r="AX79" s="941">
        <v>0.0</v>
      </c>
      <c r="AY79" s="941">
        <v>0.0</v>
      </c>
      <c r="AZ79" s="941">
        <v>0.0</v>
      </c>
      <c r="BA79" s="941">
        <v>0.0</v>
      </c>
      <c r="BB79" s="941">
        <v>11.0</v>
      </c>
      <c r="BC79" s="941">
        <v>0.0</v>
      </c>
      <c r="BD79" s="941">
        <v>8.0</v>
      </c>
      <c r="BE79" s="942">
        <v>6.0</v>
      </c>
      <c r="BF79" s="941">
        <v>1.0</v>
      </c>
      <c r="BG79" s="941">
        <v>1.0</v>
      </c>
    </row>
    <row r="80">
      <c r="A80" s="935" t="s">
        <v>418</v>
      </c>
      <c r="B80" s="16" t="str">
        <f>IF(C80&lt;'PlayerGrades+'!$Y$44,"F-",IF(C80&lt;'PlayerGrades+'!$Y$43,"F",IF(C80&lt;'PlayerGrades+'!$Y$42,"F+",IF(C80&lt;'PlayerGrades+'!$Y$41,"E-",IF(C80&lt;'PlayerGrades+'!$Y$40,"E",IF(C80&lt;'PlayerGrades+'!$Y$39,"E+",IF(C80&lt;'PlayerGrades+'!$Y$38,"D-",IF(C80&lt;'PlayerGrades+'!$Y$37,"D",IF(C80&lt;'PlayerGrades+'!$Y$36,"D+",IF(C80&lt;'PlayerGrades+'!$Y$35,"C-",IF(C80&lt;'PlayerGrades+'!$Y$34,"C",IF(C80&lt;'PlayerGrades+'!$Y$33,"C+",IF(C80&lt;'PlayerGrades+'!$Y$32,"B-",IF(C80&lt;'PlayerGrades+'!$Y$31,"B",IF(C80&lt;'PlayerGrades+'!$Y$30,"B+",IF(C80&lt;'PlayerGrades+'!$Y$29,"A-",IF(C80&lt;'PlayerGrades+'!$Y$28,"A",IF(C80&lt;'PlayerGrades+'!$Y$27,"A+",IF(C80&lt;'PlayerGrades+'!$Y$26,"S-",IF(C80&lt;'PlayerGrades+'!$Y$25,"S","S+"))))))))))))))))))))</f>
        <v>A+</v>
      </c>
      <c r="C80" s="936">
        <f>('PlayerGrades+'!$Y$47*(VLOOKUP(E80, 'PlayerGrades+'!$X$3:$Y$23, 2, FALSE)))+('PlayerGrades+'!$Y$48*(VLOOKUP(G80, 'PlayerGrades+'!$X$3:$Y$23, 2, FALSE)))+('PlayerGrades+'!$Y$49*(VLOOKUP(I80, 'PlayerGrades+'!$X$3:$Y$23, 2, FALSE)))+('PlayerGrades+'!$Y$50*(VLOOKUP(K80, 'PlayerGrades+'!$X$3:$Y$23, 2, FALSE)))+('PlayerGrades+'!$Y$51*(VLOOKUP(M80, 'PlayerGrades+'!$X$3:$Y$23, 2, FALSE)))+('PlayerGrades+'!$Y$52*(VLOOKUP(O80, 'PlayerGrades+'!$X$3:$Y$23, 2, FALSE)))+('PlayerGrades+'!$Y$53*(VLOOKUP(Q80, 'PlayerGrades+'!$X$3:$Y$23, 2, FALSE)))+('PlayerGrades+'!$Y$54*(VLOOKUP(S80, 'PlayerGrades+'!$X$3:$Y$23, 2, FALSE)))+('PlayerGrades+'!$Y$55*(VLOOKUP(U80, 'PlayerGrades+'!$X$3:$Y$23, 2, FALSE)))</f>
        <v>28.7</v>
      </c>
      <c r="D80" s="937">
        <f t="shared" si="1"/>
        <v>0.08016032064</v>
      </c>
      <c r="E80" s="937" t="str">
        <f>IF(D80&lt;'PlayerGrades+'!$AA$21,"F-",IF(D80&lt;'PlayerGrades+'!$AA$20,"F",IF(D80&lt;'PlayerGrades+'!$AA$19,"F+",IF(D80&lt;'PlayerGrades+'!$AA$18,"E-",IF(D80&lt;'PlayerGrades+'!$AA$17,"E",IF(D80&lt;'PlayerGrades+'!$AA$16,"E+",IF(D80&lt;'PlayerGrades+'!$AA$15,"D-",IF(D80&lt;'PlayerGrades+'!$AA$14,"D",IF(D80&lt;'PlayerGrades+'!$AA$13,"D+",IF(D80&lt;'PlayerGrades+'!$AA$12,"C-",IF(D80&lt;'PlayerGrades+'!$AA$11,"C",IF(D80&lt;'PlayerGrades+'!$AA$10,"C+",IF(D80&lt;'PlayerGrades+'!$AA$9,"B-",IF(D80&lt;'PlayerGrades+'!$AA$8,"B",IF(D80&lt;'PlayerGrades+'!$AA$7,"B+",IF(D80&lt;'PlayerGrades+'!$AA$6,"A-",IF(D80&lt;'PlayerGrades+'!$AA$5,"A",IF(D80&lt;'PlayerGrades+'!$AA$4,"A+",IF(D80&lt;'PlayerGrades+'!$AA$3,"S-",IF(D80&lt;'PlayerGrades+'!$AA$2,"S","S+"))))))))))))))))))))</f>
        <v>B</v>
      </c>
      <c r="F80" s="937">
        <f t="shared" si="2"/>
        <v>1.162324649</v>
      </c>
      <c r="G80" s="937" t="str">
        <f>IF(F80&lt;'PlayerGrades+'!$AB$21,"F-",IF(F80&lt;'PlayerGrades+'!$AB$20,"F",IF(F80&lt;'PlayerGrades+'!$AB$19,"F+",IF(F80&lt;'PlayerGrades+'!$AB$18,"E-",IF(F80&lt;'PlayerGrades+'!$AB$17,"E",IF(F80&lt;'PlayerGrades+'!$AB$16,"E+",IF(F80&lt;'PlayerGrades+'!$AB$15,"D-",IF(F80&lt;'PlayerGrades+'!$AB$14,"D",IF(F80&lt;'PlayerGrades+'!$AB$13,"D+",IF(F80&lt;'PlayerGrades+'!$AB$12,"C-",IF(F80&lt;'PlayerGrades+'!$AB$11,"C",IF(F80&lt;'PlayerGrades+'!$AB$10,"C+",IF(F80&lt;'PlayerGrades+'!$AB$9,"B-",IF(F80&lt;'PlayerGrades+'!$AB$8,"B",IF(F80&lt;'PlayerGrades+'!$AB$7,"B+",IF(F80&lt;'PlayerGrades+'!$AB$6,"A-",IF(F80&lt;'PlayerGrades+'!$AB$5,"A",IF(F80&lt;'PlayerGrades+'!$AB$4,"A+",IF(F80&lt;'PlayerGrades+'!$AB$3,"S-",IF(F80&lt;'PlayerGrades+'!$AB$2,"S","S+"))))))))))))))))))))</f>
        <v>S+</v>
      </c>
      <c r="H80" s="937">
        <f t="shared" si="3"/>
        <v>0.2805611222</v>
      </c>
      <c r="I80" s="937" t="str">
        <f>IF(H80&lt;'PlayerGrades+'!$AC$21,"F-",IF(H80&lt;'PlayerGrades+'!$AC$20,"F",IF(H80&lt;'PlayerGrades+'!$AC$19,"F+",IF(H80&lt;'PlayerGrades+'!$AC$18,"E-",IF(H80&lt;'PlayerGrades+'!$AC$17,"E",IF(H80&lt;'PlayerGrades+'!$AC$16,"E+",IF(H80&lt;'PlayerGrades+'!$AC$15,"D-",IF(H80&lt;'PlayerGrades+'!$AC$14,"D",IF(H80&lt;'PlayerGrades+'!$AC$13,"D+",IF(H80&lt;'PlayerGrades+'!$AC$12,"C-",IF(H80&lt;'PlayerGrades+'!$AC$11,"C",IF(H80&lt;'PlayerGrades+'!$AC$10,"C+",IF(H80&lt;'PlayerGrades+'!$AC$9,"B-",IF(H80&lt;'PlayerGrades+'!$AC$8,"B",IF(H80&lt;'PlayerGrades+'!$AC$7,"B+",IF(H80&lt;'PlayerGrades+'!$AC$6,"A-",IF(H80&lt;'PlayerGrades+'!$AC$5,"A",IF(H80&lt;'PlayerGrades+'!$AC$4,"A+",IF(H80&lt;'PlayerGrades+'!$AC$3,"S-",IF(H80&lt;'PlayerGrades+'!$AC$2,"S","S+"))))))))))))))))))))</f>
        <v>S</v>
      </c>
      <c r="J80" s="937">
        <f t="shared" si="4"/>
        <v>0.1603206413</v>
      </c>
      <c r="K80" s="937" t="str">
        <f>IF(J80&lt;'PlayerGrades+'!$AD$21,"F-",IF(J80&lt;'PlayerGrades+'!$AD$20,"F",IF(J80&lt;'PlayerGrades+'!$AD$19,"F+",IF(J80&lt;'PlayerGrades+'!$AD$18,"E-",IF(J80&lt;'PlayerGrades+'!$AD$17,"E",IF(J80&lt;'PlayerGrades+'!$AD$16,"E+",IF(J80&lt;'PlayerGrades+'!$AD$15,"D-",IF(J80&lt;'PlayerGrades+'!$AD$14,"D",IF(J80&lt;'PlayerGrades+'!$AD$13,"D+",IF(J80&lt;'PlayerGrades+'!$AD$12,"C-",IF(J80&lt;'PlayerGrades+'!$AD$11,"C",IF(J80&lt;'PlayerGrades+'!$AD$10,"C+",IF(J80&lt;'PlayerGrades+'!$AD$9,"B-",IF(J80&lt;'PlayerGrades+'!$AD$8,"B",IF(J80&lt;'PlayerGrades+'!$AD$7,"B+",IF(J80&lt;'PlayerGrades+'!$AD$6,"A-",IF(J80&lt;'PlayerGrades+'!$AD$5,"A",IF(J80&lt;'PlayerGrades+'!$AD$4,"A+",IF(J80&lt;'PlayerGrades+'!$AD$3,"S-",IF(J80&lt;'PlayerGrades+'!$AD$2,"S","S+"))))))))))))))))))))</f>
        <v>S+</v>
      </c>
      <c r="L80" s="677">
        <f t="shared" si="5"/>
        <v>0.9619238477</v>
      </c>
      <c r="M80" s="938" t="str">
        <f>IF(L80&lt;'PlayerGrades+'!$AE$21,"F-",IF(L80&lt;'PlayerGrades+'!$AE$20,"F",IF(L80&lt;'PlayerGrades+'!$AE$19,"F+",IF(L80&lt;'PlayerGrades+'!$AE$18,"E-",IF(L80&lt;'PlayerGrades+'!$AE$17,"E",IF(L80&lt;'PlayerGrades+'!$AE$16,"E+",IF(L80&lt;'PlayerGrades+'!$AE$15,"D-",IF(L80&lt;'PlayerGrades+'!$AE$14,"D",IF(L80&lt;'PlayerGrades+'!$AE$13,"D+",IF(L80&lt;'PlayerGrades+'!$AE$12,"C-",IF(L80&lt;'PlayerGrades+'!$AE$11,"C",IF(L80&lt;'PlayerGrades+'!$AE$10,"C+",IF(L80&lt;'PlayerGrades+'!$AE$9,"B-",IF(L80&lt;'PlayerGrades+'!$AE$8,"B",IF(L80&lt;'PlayerGrades+'!$AE$7,"B+",IF(L80&lt;'PlayerGrades+'!$AE$6,"A-",IF(L80&lt;'PlayerGrades+'!$AE$5,"A",IF(L80&lt;'PlayerGrades+'!$AE$4,"A+",IF(L80&lt;'PlayerGrades+'!$AE$3,"S-",IF(L80&lt;'PlayerGrades+'!$AE$2,"S","S+"))))))))))))))))))))</f>
        <v>S+</v>
      </c>
      <c r="N80" s="937">
        <f t="shared" si="6"/>
        <v>0.04008016032</v>
      </c>
      <c r="O80" s="937" t="str">
        <f>IF(N80&lt;'PlayerGrades+'!$AF$21,"F-",IF(N80&lt;'PlayerGrades+'!$AF$20,"F",IF(N80&lt;'PlayerGrades+'!$AF$19,"F+",IF(N80&lt;'PlayerGrades+'!$AF$18,"E-",IF(N80&lt;'PlayerGrades+'!$AF$17,"E",IF(N80&lt;'PlayerGrades+'!$AF$16,"E+",IF(N80&lt;'PlayerGrades+'!$AF$15,"D-",IF(N80&lt;'PlayerGrades+'!$AF$14,"D",IF(N80&lt;'PlayerGrades+'!$AF$13,"D+",IF(N80&lt;'PlayerGrades+'!$AF$12,"C-",IF(N80&lt;'PlayerGrades+'!$AF$11,"C",IF(N80&lt;'PlayerGrades+'!$AF$10,"C+",IF(N80&lt;'PlayerGrades+'!$AF$9,"B-",IF(N80&lt;'PlayerGrades+'!$AF$8,"B",IF(N80&lt;'PlayerGrades+'!$AF$7,"B+",IF(N80&lt;'PlayerGrades+'!$AF$6,"A-",IF(N80&lt;'PlayerGrades+'!$AF$5,"A",IF(N80&lt;'PlayerGrades+'!$AF$4,"A+",IF(N80&lt;'PlayerGrades+'!$AF$3,"S-",IF(N80&lt;'PlayerGrades+'!$AF$2,"S","S+"))))))))))))))))))))</f>
        <v>E-</v>
      </c>
      <c r="P80" s="937">
        <f t="shared" si="7"/>
        <v>0.1603206413</v>
      </c>
      <c r="Q80" s="937" t="str">
        <f>IF(P80&lt;'PlayerGrades+'!$AG$21,"F-",IF(P80&lt;'PlayerGrades+'!$AG$20,"F",IF(P80&lt;'PlayerGrades+'!$AG$19,"F+",IF(P80&lt;'PlayerGrades+'!$AG$18,"E-",IF(P80&lt;'PlayerGrades+'!$AG$17,"E",IF(P80&lt;'PlayerGrades+'!$AG$16,"E+",IF(P80&lt;'PlayerGrades+'!$AG$15,"D-",IF(P80&lt;'PlayerGrades+'!$AG$14,"D",IF(P80&lt;'PlayerGrades+'!$AG$13,"D+",IF(P80&lt;'PlayerGrades+'!$AG$12,"C-",IF(P80&lt;'PlayerGrades+'!$AG$11,"C",IF(P80&lt;'PlayerGrades+'!$AG$10,"C+",IF(P80&lt;'PlayerGrades+'!$AG$9,"B-",IF(P80&lt;'PlayerGrades+'!$AG$8,"B",IF(P80&lt;'PlayerGrades+'!$AG$7,"B+",IF(P80&lt;'PlayerGrades+'!$AG$6,"A-",IF(P80&lt;'PlayerGrades+'!$AG$5,"A",IF(P80&lt;'PlayerGrades+'!$AG$4,"A+",IF(P80&lt;'PlayerGrades+'!$AG$3,"S-",IF(P80&lt;'PlayerGrades+'!$AG$2,"S","S+"))))))))))))))))))))</f>
        <v>S+</v>
      </c>
      <c r="R80" s="937">
        <f t="shared" si="8"/>
        <v>1.322645291</v>
      </c>
      <c r="S80" s="937" t="str">
        <f>IF(R80&lt;'PlayerGrades+'!$AH$21,"F-",IF(R80&lt;'PlayerGrades+'!$AH$20,"F",IF(R80&lt;'PlayerGrades+'!$AH$19,"F+",IF(R80&lt;'PlayerGrades+'!$AH$18,"E-",IF(R80&lt;'PlayerGrades+'!$AH$17,"E",IF(R80&lt;'PlayerGrades+'!$AH$16,"E+",IF(R80&lt;'PlayerGrades+'!$AH$15,"D-",IF(R80&lt;'PlayerGrades+'!$AH$14,"D",IF(R80&lt;'PlayerGrades+'!$AH$13,"D+",IF(R80&lt;'PlayerGrades+'!$AH$12,"C-",IF(R80&lt;'PlayerGrades+'!$AH$11,"C",IF(R80&lt;'PlayerGrades+'!$AH$10,"C+",IF(R80&lt;'PlayerGrades+'!$AH$9,"B-",IF(R80&lt;'PlayerGrades+'!$AH$8,"B",IF(R80&lt;'PlayerGrades+'!$AH$7,"B+",IF(R80&lt;'PlayerGrades+'!$AH$6,"A-",IF(R80&lt;'PlayerGrades+'!$AH$5,"A",IF(R80&lt;'PlayerGrades+'!$AH$4,"A+",IF(R80&lt;'PlayerGrades+'!$AH$3,"S-",IF(R80&lt;'PlayerGrades+'!$AH$2,"S","S+"))))))))))))))))))))</f>
        <v>S+</v>
      </c>
      <c r="T80" s="937">
        <f t="shared" si="9"/>
        <v>0.4408817635</v>
      </c>
      <c r="U80" s="937" t="str">
        <f>IF(T80&lt;'PlayerGrades+'!$AI$21,"F-",IF(T80&lt;'PlayerGrades+'!$AI$20,"F",IF(T80&lt;'PlayerGrades+'!$AI$19,"F+",IF(T80&lt;'PlayerGrades+'!$AI$18,"E-",IF(T80&lt;'PlayerGrades+'!$AI$17,"E",IF(T80&lt;'PlayerGrades+'!$AI$16,"E+",IF(T80&lt;'PlayerGrades+'!$AI$15,"D-",IF(T80&lt;'PlayerGrades+'!$AI$14,"D",IF(T80&lt;'PlayerGrades+'!$AI$13,"D+",IF(T80&lt;'PlayerGrades+'!$AI$12,"C-",IF(T80&lt;'PlayerGrades+'!$AI$11,"C",IF(T80&lt;'PlayerGrades+'!$AI$10,"C+",IF(T80&lt;'PlayerGrades+'!$AI$9,"B-",IF(T80&lt;'PlayerGrades+'!$AI$8,"B",IF(T80&lt;'PlayerGrades+'!$AI$7,"B+",IF(T80&lt;'PlayerGrades+'!$AI$6,"A-",IF(T80&lt;'PlayerGrades+'!$AI$5,"A",IF(T80&lt;'PlayerGrades+'!$AI$4,"A+",IF(T80&lt;'PlayerGrades+'!$AI$3,"S-",IF(T80&lt;'PlayerGrades+'!$AI$2,"S","S+"))))))))))))))))))))</f>
        <v>F-</v>
      </c>
      <c r="V80" s="941">
        <v>1.0</v>
      </c>
      <c r="W80" s="941">
        <v>1.0</v>
      </c>
      <c r="X80" s="941">
        <v>0.0</v>
      </c>
      <c r="Y80" s="941">
        <v>1.0</v>
      </c>
      <c r="Z80" s="941">
        <v>1.0</v>
      </c>
      <c r="AA80" s="941">
        <v>111.0</v>
      </c>
      <c r="AB80" s="941">
        <v>82.0</v>
      </c>
      <c r="AC80" s="941">
        <v>29.0</v>
      </c>
      <c r="AD80" s="941">
        <v>17.0</v>
      </c>
      <c r="AE80" s="941">
        <v>7.0</v>
      </c>
      <c r="AF80" s="941">
        <v>3.0</v>
      </c>
      <c r="AG80" s="941">
        <v>1182.0</v>
      </c>
      <c r="AH80" s="941">
        <v>1497.0</v>
      </c>
      <c r="AI80" s="941">
        <v>14.0</v>
      </c>
      <c r="AJ80" s="941">
        <v>20.0</v>
      </c>
      <c r="AK80" s="941">
        <v>0.0</v>
      </c>
      <c r="AL80" s="941">
        <v>4.0</v>
      </c>
      <c r="AM80" s="941">
        <v>0.0</v>
      </c>
      <c r="AN80" s="941">
        <v>0.0</v>
      </c>
      <c r="AO80" s="941">
        <v>0.0</v>
      </c>
      <c r="AP80" s="941">
        <v>4.0</v>
      </c>
      <c r="AQ80" s="941">
        <v>0.0</v>
      </c>
      <c r="AR80" s="941">
        <v>24.0</v>
      </c>
      <c r="AS80" s="941">
        <v>1.0</v>
      </c>
      <c r="AT80" s="941">
        <v>1.0</v>
      </c>
      <c r="AU80" s="941">
        <v>1.0</v>
      </c>
      <c r="AV80" s="941">
        <v>0.0</v>
      </c>
      <c r="AW80" s="941">
        <v>0.0</v>
      </c>
      <c r="AX80" s="941">
        <v>0.0</v>
      </c>
      <c r="AY80" s="941">
        <v>0.0</v>
      </c>
      <c r="AZ80" s="941">
        <v>0.0</v>
      </c>
      <c r="BA80" s="941">
        <v>0.0</v>
      </c>
      <c r="BB80" s="941">
        <v>7.0</v>
      </c>
      <c r="BC80" s="941">
        <v>0.0</v>
      </c>
      <c r="BD80" s="941">
        <v>16.0</v>
      </c>
      <c r="BE80" s="942">
        <v>11.0</v>
      </c>
      <c r="BF80" s="941">
        <v>0.0</v>
      </c>
      <c r="BG80" s="941">
        <v>1.0</v>
      </c>
    </row>
    <row r="81">
      <c r="A81" s="943" t="s">
        <v>149</v>
      </c>
      <c r="B81" s="16" t="str">
        <f>IF(C81&lt;'PlayerGrades+'!$Y$44,"F-",IF(C81&lt;'PlayerGrades+'!$Y$43,"F",IF(C81&lt;'PlayerGrades+'!$Y$42,"F+",IF(C81&lt;'PlayerGrades+'!$Y$41,"E-",IF(C81&lt;'PlayerGrades+'!$Y$40,"E",IF(C81&lt;'PlayerGrades+'!$Y$39,"E+",IF(C81&lt;'PlayerGrades+'!$Y$38,"D-",IF(C81&lt;'PlayerGrades+'!$Y$37,"D",IF(C81&lt;'PlayerGrades+'!$Y$36,"D+",IF(C81&lt;'PlayerGrades+'!$Y$35,"C-",IF(C81&lt;'PlayerGrades+'!$Y$34,"C",IF(C81&lt;'PlayerGrades+'!$Y$33,"C+",IF(C81&lt;'PlayerGrades+'!$Y$32,"B-",IF(C81&lt;'PlayerGrades+'!$Y$31,"B",IF(C81&lt;'PlayerGrades+'!$Y$30,"B+",IF(C81&lt;'PlayerGrades+'!$Y$29,"A-",IF(C81&lt;'PlayerGrades+'!$Y$28,"A",IF(C81&lt;'PlayerGrades+'!$Y$27,"A+",IF(C81&lt;'PlayerGrades+'!$Y$26,"S-",IF(C81&lt;'PlayerGrades+'!$Y$25,"S","S+"))))))))))))))))))))</f>
        <v>D</v>
      </c>
      <c r="C81" s="936">
        <f>('PlayerGrades+'!$Y$47*(VLOOKUP(E81, 'PlayerGrades+'!$X$3:$Y$23, 2, FALSE)))+('PlayerGrades+'!$Y$48*(VLOOKUP(G81, 'PlayerGrades+'!$X$3:$Y$23, 2, FALSE)))+('PlayerGrades+'!$Y$49*(VLOOKUP(I81, 'PlayerGrades+'!$X$3:$Y$23, 2, FALSE)))+('PlayerGrades+'!$Y$50*(VLOOKUP(K81, 'PlayerGrades+'!$X$3:$Y$23, 2, FALSE)))+('PlayerGrades+'!$Y$51*(VLOOKUP(M81, 'PlayerGrades+'!$X$3:$Y$23, 2, FALSE)))+('PlayerGrades+'!$Y$52*(VLOOKUP(O81, 'PlayerGrades+'!$X$3:$Y$23, 2, FALSE)))+('PlayerGrades+'!$Y$53*(VLOOKUP(Q81, 'PlayerGrades+'!$X$3:$Y$23, 2, FALSE)))+('PlayerGrades+'!$Y$54*(VLOOKUP(S81, 'PlayerGrades+'!$X$3:$Y$23, 2, FALSE)))+('PlayerGrades+'!$Y$55*(VLOOKUP(U81, 'PlayerGrades+'!$X$3:$Y$23, 2, FALSE)))</f>
        <v>16.8</v>
      </c>
      <c r="D81" s="937">
        <f t="shared" si="1"/>
        <v>0.8416833667</v>
      </c>
      <c r="E81" s="937" t="str">
        <f>IF(D81&lt;'PlayerGrades+'!$AA$21,"F-",IF(D81&lt;'PlayerGrades+'!$AA$20,"F",IF(D81&lt;'PlayerGrades+'!$AA$19,"F+",IF(D81&lt;'PlayerGrades+'!$AA$18,"E-",IF(D81&lt;'PlayerGrades+'!$AA$17,"E",IF(D81&lt;'PlayerGrades+'!$AA$16,"E+",IF(D81&lt;'PlayerGrades+'!$AA$15,"D-",IF(D81&lt;'PlayerGrades+'!$AA$14,"D",IF(D81&lt;'PlayerGrades+'!$AA$13,"D+",IF(D81&lt;'PlayerGrades+'!$AA$12,"C-",IF(D81&lt;'PlayerGrades+'!$AA$11,"C",IF(D81&lt;'PlayerGrades+'!$AA$10,"C+",IF(D81&lt;'PlayerGrades+'!$AA$9,"B-",IF(D81&lt;'PlayerGrades+'!$AA$8,"B",IF(D81&lt;'PlayerGrades+'!$AA$7,"B+",IF(D81&lt;'PlayerGrades+'!$AA$6,"A-",IF(D81&lt;'PlayerGrades+'!$AA$5,"A",IF(D81&lt;'PlayerGrades+'!$AA$4,"A+",IF(D81&lt;'PlayerGrades+'!$AA$3,"S-",IF(D81&lt;'PlayerGrades+'!$AA$2,"S","S+"))))))))))))))))))))</f>
        <v>S</v>
      </c>
      <c r="F81" s="937">
        <f t="shared" si="2"/>
        <v>0.6412825651</v>
      </c>
      <c r="G81" s="937" t="str">
        <f>IF(F81&lt;'PlayerGrades+'!$AB$21,"F-",IF(F81&lt;'PlayerGrades+'!$AB$20,"F",IF(F81&lt;'PlayerGrades+'!$AB$19,"F+",IF(F81&lt;'PlayerGrades+'!$AB$18,"E-",IF(F81&lt;'PlayerGrades+'!$AB$17,"E",IF(F81&lt;'PlayerGrades+'!$AB$16,"E+",IF(F81&lt;'PlayerGrades+'!$AB$15,"D-",IF(F81&lt;'PlayerGrades+'!$AB$14,"D",IF(F81&lt;'PlayerGrades+'!$AB$13,"D+",IF(F81&lt;'PlayerGrades+'!$AB$12,"C-",IF(F81&lt;'PlayerGrades+'!$AB$11,"C",IF(F81&lt;'PlayerGrades+'!$AB$10,"C+",IF(F81&lt;'PlayerGrades+'!$AB$9,"B-",IF(F81&lt;'PlayerGrades+'!$AB$8,"B",IF(F81&lt;'PlayerGrades+'!$AB$7,"B+",IF(F81&lt;'PlayerGrades+'!$AB$6,"A-",IF(F81&lt;'PlayerGrades+'!$AB$5,"A",IF(F81&lt;'PlayerGrades+'!$AB$4,"A+",IF(F81&lt;'PlayerGrades+'!$AB$3,"S-",IF(F81&lt;'PlayerGrades+'!$AB$2,"S","S+"))))))))))))))))))))</f>
        <v>S-</v>
      </c>
      <c r="H81" s="937">
        <f t="shared" si="3"/>
        <v>0.08016032064</v>
      </c>
      <c r="I81" s="937" t="str">
        <f>IF(H81&lt;'PlayerGrades+'!$AC$21,"F-",IF(H81&lt;'PlayerGrades+'!$AC$20,"F",IF(H81&lt;'PlayerGrades+'!$AC$19,"F+",IF(H81&lt;'PlayerGrades+'!$AC$18,"E-",IF(H81&lt;'PlayerGrades+'!$AC$17,"E",IF(H81&lt;'PlayerGrades+'!$AC$16,"E+",IF(H81&lt;'PlayerGrades+'!$AC$15,"D-",IF(H81&lt;'PlayerGrades+'!$AC$14,"D",IF(H81&lt;'PlayerGrades+'!$AC$13,"D+",IF(H81&lt;'PlayerGrades+'!$AC$12,"C-",IF(H81&lt;'PlayerGrades+'!$AC$11,"C",IF(H81&lt;'PlayerGrades+'!$AC$10,"C+",IF(H81&lt;'PlayerGrades+'!$AC$9,"B-",IF(H81&lt;'PlayerGrades+'!$AC$8,"B",IF(H81&lt;'PlayerGrades+'!$AC$7,"B+",IF(H81&lt;'PlayerGrades+'!$AC$6,"A-",IF(H81&lt;'PlayerGrades+'!$AC$5,"A",IF(H81&lt;'PlayerGrades+'!$AC$4,"A+",IF(H81&lt;'PlayerGrades+'!$AC$3,"S-",IF(H81&lt;'PlayerGrades+'!$AC$2,"S","S+"))))))))))))))))))))</f>
        <v>D-</v>
      </c>
      <c r="J81" s="937">
        <f t="shared" si="4"/>
        <v>0.04008016032</v>
      </c>
      <c r="K81" s="937" t="str">
        <f>IF(J81&lt;'PlayerGrades+'!$AD$21,"F-",IF(J81&lt;'PlayerGrades+'!$AD$20,"F",IF(J81&lt;'PlayerGrades+'!$AD$19,"F+",IF(J81&lt;'PlayerGrades+'!$AD$18,"E-",IF(J81&lt;'PlayerGrades+'!$AD$17,"E",IF(J81&lt;'PlayerGrades+'!$AD$16,"E+",IF(J81&lt;'PlayerGrades+'!$AD$15,"D-",IF(J81&lt;'PlayerGrades+'!$AD$14,"D",IF(J81&lt;'PlayerGrades+'!$AD$13,"D+",IF(J81&lt;'PlayerGrades+'!$AD$12,"C-",IF(J81&lt;'PlayerGrades+'!$AD$11,"C",IF(J81&lt;'PlayerGrades+'!$AD$10,"C+",IF(J81&lt;'PlayerGrades+'!$AD$9,"B-",IF(J81&lt;'PlayerGrades+'!$AD$8,"B",IF(J81&lt;'PlayerGrades+'!$AD$7,"B+",IF(J81&lt;'PlayerGrades+'!$AD$6,"A-",IF(J81&lt;'PlayerGrades+'!$AD$5,"A",IF(J81&lt;'PlayerGrades+'!$AD$4,"A+",IF(J81&lt;'PlayerGrades+'!$AD$3,"S-",IF(J81&lt;'PlayerGrades+'!$AD$2,"S","S+"))))))))))))))))))))</f>
        <v>C+</v>
      </c>
      <c r="L81" s="677">
        <f t="shared" si="5"/>
        <v>0.2404809619</v>
      </c>
      <c r="M81" s="938" t="str">
        <f>IF(L81&lt;'PlayerGrades+'!$AE$21,"F-",IF(L81&lt;'PlayerGrades+'!$AE$20,"F",IF(L81&lt;'PlayerGrades+'!$AE$19,"F+",IF(L81&lt;'PlayerGrades+'!$AE$18,"E-",IF(L81&lt;'PlayerGrades+'!$AE$17,"E",IF(L81&lt;'PlayerGrades+'!$AE$16,"E+",IF(L81&lt;'PlayerGrades+'!$AE$15,"D-",IF(L81&lt;'PlayerGrades+'!$AE$14,"D",IF(L81&lt;'PlayerGrades+'!$AE$13,"D+",IF(L81&lt;'PlayerGrades+'!$AE$12,"C-",IF(L81&lt;'PlayerGrades+'!$AE$11,"C",IF(L81&lt;'PlayerGrades+'!$AE$10,"C+",IF(L81&lt;'PlayerGrades+'!$AE$9,"B-",IF(L81&lt;'PlayerGrades+'!$AE$8,"B",IF(L81&lt;'PlayerGrades+'!$AE$7,"B+",IF(L81&lt;'PlayerGrades+'!$AE$6,"A-",IF(L81&lt;'PlayerGrades+'!$AE$5,"A",IF(L81&lt;'PlayerGrades+'!$AE$4,"A+",IF(L81&lt;'PlayerGrades+'!$AE$3,"S-",IF(L81&lt;'PlayerGrades+'!$AE$2,"S","S+"))))))))))))))))))))</f>
        <v>F</v>
      </c>
      <c r="N81" s="937">
        <f t="shared" si="6"/>
        <v>0</v>
      </c>
      <c r="O81" s="937" t="str">
        <f>IF(N81&lt;'PlayerGrades+'!$AF$21,"F-",IF(N81&lt;'PlayerGrades+'!$AF$20,"F",IF(N81&lt;'PlayerGrades+'!$AF$19,"F+",IF(N81&lt;'PlayerGrades+'!$AF$18,"E-",IF(N81&lt;'PlayerGrades+'!$AF$17,"E",IF(N81&lt;'PlayerGrades+'!$AF$16,"E+",IF(N81&lt;'PlayerGrades+'!$AF$15,"D-",IF(N81&lt;'PlayerGrades+'!$AF$14,"D",IF(N81&lt;'PlayerGrades+'!$AF$13,"D+",IF(N81&lt;'PlayerGrades+'!$AF$12,"C-",IF(N81&lt;'PlayerGrades+'!$AF$11,"C",IF(N81&lt;'PlayerGrades+'!$AF$10,"C+",IF(N81&lt;'PlayerGrades+'!$AF$9,"B-",IF(N81&lt;'PlayerGrades+'!$AF$8,"B",IF(N81&lt;'PlayerGrades+'!$AF$7,"B+",IF(N81&lt;'PlayerGrades+'!$AF$6,"A-",IF(N81&lt;'PlayerGrades+'!$AF$5,"A",IF(N81&lt;'PlayerGrades+'!$AF$4,"A+",IF(N81&lt;'PlayerGrades+'!$AF$3,"S-",IF(N81&lt;'PlayerGrades+'!$AF$2,"S","S+"))))))))))))))))))))</f>
        <v>F-</v>
      </c>
      <c r="P81" s="937">
        <f t="shared" si="7"/>
        <v>0</v>
      </c>
      <c r="Q81" s="937" t="str">
        <f>IF(P81&lt;'PlayerGrades+'!$AG$21,"F-",IF(P81&lt;'PlayerGrades+'!$AG$20,"F",IF(P81&lt;'PlayerGrades+'!$AG$19,"F+",IF(P81&lt;'PlayerGrades+'!$AG$18,"E-",IF(P81&lt;'PlayerGrades+'!$AG$17,"E",IF(P81&lt;'PlayerGrades+'!$AG$16,"E+",IF(P81&lt;'PlayerGrades+'!$AG$15,"D-",IF(P81&lt;'PlayerGrades+'!$AG$14,"D",IF(P81&lt;'PlayerGrades+'!$AG$13,"D+",IF(P81&lt;'PlayerGrades+'!$AG$12,"C-",IF(P81&lt;'PlayerGrades+'!$AG$11,"C",IF(P81&lt;'PlayerGrades+'!$AG$10,"C+",IF(P81&lt;'PlayerGrades+'!$AG$9,"B-",IF(P81&lt;'PlayerGrades+'!$AG$8,"B",IF(P81&lt;'PlayerGrades+'!$AG$7,"B+",IF(P81&lt;'PlayerGrades+'!$AG$6,"A-",IF(P81&lt;'PlayerGrades+'!$AG$5,"A",IF(P81&lt;'PlayerGrades+'!$AG$4,"A+",IF(P81&lt;'PlayerGrades+'!$AG$3,"S-",IF(P81&lt;'PlayerGrades+'!$AG$2,"S","S+"))))))))))))))))))))</f>
        <v>F</v>
      </c>
      <c r="R81" s="937">
        <f t="shared" si="8"/>
        <v>0.4008016032</v>
      </c>
      <c r="S81" s="937" t="str">
        <f>IF(R81&lt;'PlayerGrades+'!$AH$21,"F-",IF(R81&lt;'PlayerGrades+'!$AH$20,"F",IF(R81&lt;'PlayerGrades+'!$AH$19,"F+",IF(R81&lt;'PlayerGrades+'!$AH$18,"E-",IF(R81&lt;'PlayerGrades+'!$AH$17,"E",IF(R81&lt;'PlayerGrades+'!$AH$16,"E+",IF(R81&lt;'PlayerGrades+'!$AH$15,"D-",IF(R81&lt;'PlayerGrades+'!$AH$14,"D",IF(R81&lt;'PlayerGrades+'!$AH$13,"D+",IF(R81&lt;'PlayerGrades+'!$AH$12,"C-",IF(R81&lt;'PlayerGrades+'!$AH$11,"C",IF(R81&lt;'PlayerGrades+'!$AH$10,"C+",IF(R81&lt;'PlayerGrades+'!$AH$9,"B-",IF(R81&lt;'PlayerGrades+'!$AH$8,"B",IF(R81&lt;'PlayerGrades+'!$AH$7,"B+",IF(R81&lt;'PlayerGrades+'!$AH$6,"A-",IF(R81&lt;'PlayerGrades+'!$AH$5,"A",IF(R81&lt;'PlayerGrades+'!$AH$4,"A+",IF(R81&lt;'PlayerGrades+'!$AH$3,"S-",IF(R81&lt;'PlayerGrades+'!$AH$2,"S","S+"))))))))))))))))))))</f>
        <v>F+</v>
      </c>
      <c r="T81" s="937">
        <f t="shared" si="9"/>
        <v>3.160320641</v>
      </c>
      <c r="U81" s="937" t="str">
        <f>IF(T81&lt;'PlayerGrades+'!$AI$21,"F-",IF(T81&lt;'PlayerGrades+'!$AI$20,"F",IF(T81&lt;'PlayerGrades+'!$AI$19,"F+",IF(T81&lt;'PlayerGrades+'!$AI$18,"E-",IF(T81&lt;'PlayerGrades+'!$AI$17,"E",IF(T81&lt;'PlayerGrades+'!$AI$16,"E+",IF(T81&lt;'PlayerGrades+'!$AI$15,"D-",IF(T81&lt;'PlayerGrades+'!$AI$14,"D",IF(T81&lt;'PlayerGrades+'!$AI$13,"D+",IF(T81&lt;'PlayerGrades+'!$AI$12,"C-",IF(T81&lt;'PlayerGrades+'!$AI$11,"C",IF(T81&lt;'PlayerGrades+'!$AI$10,"C+",IF(T81&lt;'PlayerGrades+'!$AI$9,"B-",IF(T81&lt;'PlayerGrades+'!$AI$8,"B",IF(T81&lt;'PlayerGrades+'!$AI$7,"B+",IF(T81&lt;'PlayerGrades+'!$AI$6,"A-",IF(T81&lt;'PlayerGrades+'!$AI$5,"A",IF(T81&lt;'PlayerGrades+'!$AI$4,"A+",IF(T81&lt;'PlayerGrades+'!$AI$3,"S-",IF(T81&lt;'PlayerGrades+'!$AI$2,"S","S+"))))))))))))))))))))</f>
        <v>S+</v>
      </c>
      <c r="V81" s="944">
        <v>1.0</v>
      </c>
      <c r="W81" s="944">
        <v>1.0</v>
      </c>
      <c r="X81" s="944">
        <v>0.0</v>
      </c>
      <c r="Y81" s="944">
        <v>4.0</v>
      </c>
      <c r="Z81" s="944">
        <v>17.0</v>
      </c>
      <c r="AA81" s="944">
        <v>58.0</v>
      </c>
      <c r="AB81" s="944">
        <v>42.0</v>
      </c>
      <c r="AC81" s="944">
        <v>16.0</v>
      </c>
      <c r="AD81" s="944">
        <v>0.0</v>
      </c>
      <c r="AE81" s="944">
        <v>7.0</v>
      </c>
      <c r="AF81" s="944">
        <v>1.0</v>
      </c>
      <c r="AG81" s="944">
        <v>1300.0</v>
      </c>
      <c r="AH81" s="944">
        <v>1497.0</v>
      </c>
      <c r="AI81" s="944">
        <v>30.0</v>
      </c>
      <c r="AJ81" s="944">
        <v>848.0</v>
      </c>
      <c r="AK81" s="944">
        <v>0.0</v>
      </c>
      <c r="AL81" s="944">
        <v>1.0</v>
      </c>
      <c r="AM81" s="944">
        <v>0.0</v>
      </c>
      <c r="AN81" s="944">
        <v>0.0</v>
      </c>
      <c r="AO81" s="944">
        <v>0.0</v>
      </c>
      <c r="AP81" s="944">
        <v>0.0</v>
      </c>
      <c r="AQ81" s="944">
        <v>0.0</v>
      </c>
      <c r="AR81" s="944">
        <v>6.0</v>
      </c>
      <c r="AS81" s="944">
        <v>0.0</v>
      </c>
      <c r="AT81" s="944">
        <v>0.0</v>
      </c>
      <c r="AU81" s="944">
        <v>0.0</v>
      </c>
      <c r="AV81" s="944">
        <v>0.0</v>
      </c>
      <c r="AW81" s="944">
        <v>0.0</v>
      </c>
      <c r="AX81" s="944">
        <v>0.0</v>
      </c>
      <c r="AY81" s="944">
        <v>0.0</v>
      </c>
      <c r="AZ81" s="944">
        <v>0.0</v>
      </c>
      <c r="BA81" s="944">
        <v>0.0</v>
      </c>
      <c r="BB81" s="944">
        <v>2.0</v>
      </c>
      <c r="BC81" s="882">
        <v>0.0</v>
      </c>
      <c r="BD81" s="882">
        <v>10.0</v>
      </c>
      <c r="BE81" s="948">
        <v>4.0</v>
      </c>
      <c r="BF81" s="941">
        <v>3.0</v>
      </c>
      <c r="BG81" s="941">
        <v>1.0</v>
      </c>
    </row>
    <row r="82">
      <c r="A82" s="946" t="s">
        <v>131</v>
      </c>
      <c r="B82" s="16" t="str">
        <f>IF(C82&lt;'PlayerGrades+'!$Y$44,"F-",IF(C82&lt;'PlayerGrades+'!$Y$43,"F",IF(C82&lt;'PlayerGrades+'!$Y$42,"F+",IF(C82&lt;'PlayerGrades+'!$Y$41,"E-",IF(C82&lt;'PlayerGrades+'!$Y$40,"E",IF(C82&lt;'PlayerGrades+'!$Y$39,"E+",IF(C82&lt;'PlayerGrades+'!$Y$38,"D-",IF(C82&lt;'PlayerGrades+'!$Y$37,"D",IF(C82&lt;'PlayerGrades+'!$Y$36,"D+",IF(C82&lt;'PlayerGrades+'!$Y$35,"C-",IF(C82&lt;'PlayerGrades+'!$Y$34,"C",IF(C82&lt;'PlayerGrades+'!$Y$33,"C+",IF(C82&lt;'PlayerGrades+'!$Y$32,"B-",IF(C82&lt;'PlayerGrades+'!$Y$31,"B",IF(C82&lt;'PlayerGrades+'!$Y$30,"B+",IF(C82&lt;'PlayerGrades+'!$Y$29,"A-",IF(C82&lt;'PlayerGrades+'!$Y$28,"A",IF(C82&lt;'PlayerGrades+'!$Y$27,"A+",IF(C82&lt;'PlayerGrades+'!$Y$26,"S-",IF(C82&lt;'PlayerGrades+'!$Y$25,"S","S+"))))))))))))))))))))</f>
        <v>C+</v>
      </c>
      <c r="C82" s="936">
        <f>('PlayerGrades+'!$Y$47*(VLOOKUP(E82, 'PlayerGrades+'!$X$3:$Y$23, 2, FALSE)))+('PlayerGrades+'!$Y$48*(VLOOKUP(G82, 'PlayerGrades+'!$X$3:$Y$23, 2, FALSE)))+('PlayerGrades+'!$Y$49*(VLOOKUP(I82, 'PlayerGrades+'!$X$3:$Y$23, 2, FALSE)))+('PlayerGrades+'!$Y$50*(VLOOKUP(K82, 'PlayerGrades+'!$X$3:$Y$23, 2, FALSE)))+('PlayerGrades+'!$Y$51*(VLOOKUP(M82, 'PlayerGrades+'!$X$3:$Y$23, 2, FALSE)))+('PlayerGrades+'!$Y$52*(VLOOKUP(O82, 'PlayerGrades+'!$X$3:$Y$23, 2, FALSE)))+('PlayerGrades+'!$Y$53*(VLOOKUP(Q82, 'PlayerGrades+'!$X$3:$Y$23, 2, FALSE)))+('PlayerGrades+'!$Y$54*(VLOOKUP(S82, 'PlayerGrades+'!$X$3:$Y$23, 2, FALSE)))+('PlayerGrades+'!$Y$55*(VLOOKUP(U82, 'PlayerGrades+'!$X$3:$Y$23, 2, FALSE)))</f>
        <v>21.25</v>
      </c>
      <c r="D82" s="937">
        <f t="shared" si="1"/>
        <v>0</v>
      </c>
      <c r="E82" s="937" t="str">
        <f>IF(D82&lt;'PlayerGrades+'!$AA$21,"F-",IF(D82&lt;'PlayerGrades+'!$AA$20,"F",IF(D82&lt;'PlayerGrades+'!$AA$19,"F+",IF(D82&lt;'PlayerGrades+'!$AA$18,"E-",IF(D82&lt;'PlayerGrades+'!$AA$17,"E",IF(D82&lt;'PlayerGrades+'!$AA$16,"E+",IF(D82&lt;'PlayerGrades+'!$AA$15,"D-",IF(D82&lt;'PlayerGrades+'!$AA$14,"D",IF(D82&lt;'PlayerGrades+'!$AA$13,"D+",IF(D82&lt;'PlayerGrades+'!$AA$12,"C-",IF(D82&lt;'PlayerGrades+'!$AA$11,"C",IF(D82&lt;'PlayerGrades+'!$AA$10,"C+",IF(D82&lt;'PlayerGrades+'!$AA$9,"B-",IF(D82&lt;'PlayerGrades+'!$AA$8,"B",IF(D82&lt;'PlayerGrades+'!$AA$7,"B+",IF(D82&lt;'PlayerGrades+'!$AA$6,"A-",IF(D82&lt;'PlayerGrades+'!$AA$5,"A",IF(D82&lt;'PlayerGrades+'!$AA$4,"A+",IF(D82&lt;'PlayerGrades+'!$AA$3,"S-",IF(D82&lt;'PlayerGrades+'!$AA$2,"S","S+"))))))))))))))))))))</f>
        <v>F-</v>
      </c>
      <c r="F82" s="937">
        <f t="shared" si="2"/>
        <v>-0.1094527363</v>
      </c>
      <c r="G82" s="937" t="str">
        <f>IF(F82&lt;'PlayerGrades+'!$AB$21,"F-",IF(F82&lt;'PlayerGrades+'!$AB$20,"F",IF(F82&lt;'PlayerGrades+'!$AB$19,"F+",IF(F82&lt;'PlayerGrades+'!$AB$18,"E-",IF(F82&lt;'PlayerGrades+'!$AB$17,"E",IF(F82&lt;'PlayerGrades+'!$AB$16,"E+",IF(F82&lt;'PlayerGrades+'!$AB$15,"D-",IF(F82&lt;'PlayerGrades+'!$AB$14,"D",IF(F82&lt;'PlayerGrades+'!$AB$13,"D+",IF(F82&lt;'PlayerGrades+'!$AB$12,"C-",IF(F82&lt;'PlayerGrades+'!$AB$11,"C",IF(F82&lt;'PlayerGrades+'!$AB$10,"C+",IF(F82&lt;'PlayerGrades+'!$AB$9,"B-",IF(F82&lt;'PlayerGrades+'!$AB$8,"B",IF(F82&lt;'PlayerGrades+'!$AB$7,"B+",IF(F82&lt;'PlayerGrades+'!$AB$6,"A-",IF(F82&lt;'PlayerGrades+'!$AB$5,"A",IF(F82&lt;'PlayerGrades+'!$AB$4,"A+",IF(F82&lt;'PlayerGrades+'!$AB$3,"S-",IF(F82&lt;'PlayerGrades+'!$AB$2,"S","S+"))))))))))))))))))))</f>
        <v>C+</v>
      </c>
      <c r="H82" s="937">
        <f t="shared" si="3"/>
        <v>0.05970149254</v>
      </c>
      <c r="I82" s="937" t="str">
        <f>IF(H82&lt;'PlayerGrades+'!$AC$21,"F-",IF(H82&lt;'PlayerGrades+'!$AC$20,"F",IF(H82&lt;'PlayerGrades+'!$AC$19,"F+",IF(H82&lt;'PlayerGrades+'!$AC$18,"E-",IF(H82&lt;'PlayerGrades+'!$AC$17,"E",IF(H82&lt;'PlayerGrades+'!$AC$16,"E+",IF(H82&lt;'PlayerGrades+'!$AC$15,"D-",IF(H82&lt;'PlayerGrades+'!$AC$14,"D",IF(H82&lt;'PlayerGrades+'!$AC$13,"D+",IF(H82&lt;'PlayerGrades+'!$AC$12,"C-",IF(H82&lt;'PlayerGrades+'!$AC$11,"C",IF(H82&lt;'PlayerGrades+'!$AC$10,"C+",IF(H82&lt;'PlayerGrades+'!$AC$9,"B-",IF(H82&lt;'PlayerGrades+'!$AC$8,"B",IF(H82&lt;'PlayerGrades+'!$AC$7,"B+",IF(H82&lt;'PlayerGrades+'!$AC$6,"A-",IF(H82&lt;'PlayerGrades+'!$AC$5,"A",IF(H82&lt;'PlayerGrades+'!$AC$4,"A+",IF(H82&lt;'PlayerGrades+'!$AC$3,"S-",IF(H82&lt;'PlayerGrades+'!$AC$2,"S","S+"))))))))))))))))))))</f>
        <v>E-</v>
      </c>
      <c r="J82" s="937">
        <f t="shared" si="4"/>
        <v>0.04975124378</v>
      </c>
      <c r="K82" s="937" t="str">
        <f>IF(J82&lt;'PlayerGrades+'!$AD$21,"F-",IF(J82&lt;'PlayerGrades+'!$AD$20,"F",IF(J82&lt;'PlayerGrades+'!$AD$19,"F+",IF(J82&lt;'PlayerGrades+'!$AD$18,"E-",IF(J82&lt;'PlayerGrades+'!$AD$17,"E",IF(J82&lt;'PlayerGrades+'!$AD$16,"E+",IF(J82&lt;'PlayerGrades+'!$AD$15,"D-",IF(J82&lt;'PlayerGrades+'!$AD$14,"D",IF(J82&lt;'PlayerGrades+'!$AD$13,"D+",IF(J82&lt;'PlayerGrades+'!$AD$12,"C-",IF(J82&lt;'PlayerGrades+'!$AD$11,"C",IF(J82&lt;'PlayerGrades+'!$AD$10,"C+",IF(J82&lt;'PlayerGrades+'!$AD$9,"B-",IF(J82&lt;'PlayerGrades+'!$AD$8,"B",IF(J82&lt;'PlayerGrades+'!$AD$7,"B+",IF(J82&lt;'PlayerGrades+'!$AD$6,"A-",IF(J82&lt;'PlayerGrades+'!$AD$5,"A",IF(J82&lt;'PlayerGrades+'!$AD$4,"A+",IF(J82&lt;'PlayerGrades+'!$AD$3,"S-",IF(J82&lt;'PlayerGrades+'!$AD$2,"S","S+"))))))))))))))))))))</f>
        <v>B</v>
      </c>
      <c r="L82" s="677">
        <f t="shared" si="5"/>
        <v>0.4179104478</v>
      </c>
      <c r="M82" s="938" t="str">
        <f>IF(L82&lt;'PlayerGrades+'!$AE$21,"F-",IF(L82&lt;'PlayerGrades+'!$AE$20,"F",IF(L82&lt;'PlayerGrades+'!$AE$19,"F+",IF(L82&lt;'PlayerGrades+'!$AE$18,"E-",IF(L82&lt;'PlayerGrades+'!$AE$17,"E",IF(L82&lt;'PlayerGrades+'!$AE$16,"E+",IF(L82&lt;'PlayerGrades+'!$AE$15,"D-",IF(L82&lt;'PlayerGrades+'!$AE$14,"D",IF(L82&lt;'PlayerGrades+'!$AE$13,"D+",IF(L82&lt;'PlayerGrades+'!$AE$12,"C-",IF(L82&lt;'PlayerGrades+'!$AE$11,"C",IF(L82&lt;'PlayerGrades+'!$AE$10,"C+",IF(L82&lt;'PlayerGrades+'!$AE$9,"B-",IF(L82&lt;'PlayerGrades+'!$AE$8,"B",IF(L82&lt;'PlayerGrades+'!$AE$7,"B+",IF(L82&lt;'PlayerGrades+'!$AE$6,"A-",IF(L82&lt;'PlayerGrades+'!$AE$5,"A",IF(L82&lt;'PlayerGrades+'!$AE$4,"A+",IF(L82&lt;'PlayerGrades+'!$AE$3,"S-",IF(L82&lt;'PlayerGrades+'!$AE$2,"S","S+"))))))))))))))))))))</f>
        <v>C+</v>
      </c>
      <c r="N82" s="937">
        <f t="shared" si="6"/>
        <v>0.09950248756</v>
      </c>
      <c r="O82" s="937" t="str">
        <f>IF(N82&lt;'PlayerGrades+'!$AF$21,"F-",IF(N82&lt;'PlayerGrades+'!$AF$20,"F",IF(N82&lt;'PlayerGrades+'!$AF$19,"F+",IF(N82&lt;'PlayerGrades+'!$AF$18,"E-",IF(N82&lt;'PlayerGrades+'!$AF$17,"E",IF(N82&lt;'PlayerGrades+'!$AF$16,"E+",IF(N82&lt;'PlayerGrades+'!$AF$15,"D-",IF(N82&lt;'PlayerGrades+'!$AF$14,"D",IF(N82&lt;'PlayerGrades+'!$AF$13,"D+",IF(N82&lt;'PlayerGrades+'!$AF$12,"C-",IF(N82&lt;'PlayerGrades+'!$AF$11,"C",IF(N82&lt;'PlayerGrades+'!$AF$10,"C+",IF(N82&lt;'PlayerGrades+'!$AF$9,"B-",IF(N82&lt;'PlayerGrades+'!$AF$8,"B",IF(N82&lt;'PlayerGrades+'!$AF$7,"B+",IF(N82&lt;'PlayerGrades+'!$AF$6,"A-",IF(N82&lt;'PlayerGrades+'!$AF$5,"A",IF(N82&lt;'PlayerGrades+'!$AF$4,"A+",IF(N82&lt;'PlayerGrades+'!$AF$3,"S-",IF(N82&lt;'PlayerGrades+'!$AF$2,"S","S+"))))))))))))))))))))</f>
        <v>A</v>
      </c>
      <c r="P82" s="937">
        <f t="shared" si="7"/>
        <v>0.04975124378</v>
      </c>
      <c r="Q82" s="937" t="str">
        <f>IF(P82&lt;'PlayerGrades+'!$AG$21,"F-",IF(P82&lt;'PlayerGrades+'!$AG$20,"F",IF(P82&lt;'PlayerGrades+'!$AG$19,"F+",IF(P82&lt;'PlayerGrades+'!$AG$18,"E-",IF(P82&lt;'PlayerGrades+'!$AG$17,"E",IF(P82&lt;'PlayerGrades+'!$AG$16,"E+",IF(P82&lt;'PlayerGrades+'!$AG$15,"D-",IF(P82&lt;'PlayerGrades+'!$AG$14,"D",IF(P82&lt;'PlayerGrades+'!$AG$13,"D+",IF(P82&lt;'PlayerGrades+'!$AG$12,"C-",IF(P82&lt;'PlayerGrades+'!$AG$11,"C",IF(P82&lt;'PlayerGrades+'!$AG$10,"C+",IF(P82&lt;'PlayerGrades+'!$AG$9,"B-",IF(P82&lt;'PlayerGrades+'!$AG$8,"B",IF(P82&lt;'PlayerGrades+'!$AG$7,"B+",IF(P82&lt;'PlayerGrades+'!$AG$6,"A-",IF(P82&lt;'PlayerGrades+'!$AG$5,"A",IF(P82&lt;'PlayerGrades+'!$AG$4,"A+",IF(P82&lt;'PlayerGrades+'!$AG$3,"S-",IF(P82&lt;'PlayerGrades+'!$AG$2,"S","S+"))))))))))))))))))))</f>
        <v>A</v>
      </c>
      <c r="R82" s="937">
        <f t="shared" si="8"/>
        <v>0.5572139303</v>
      </c>
      <c r="S82" s="937" t="str">
        <f>IF(R82&lt;'PlayerGrades+'!$AH$21,"F-",IF(R82&lt;'PlayerGrades+'!$AH$20,"F",IF(R82&lt;'PlayerGrades+'!$AH$19,"F+",IF(R82&lt;'PlayerGrades+'!$AH$18,"E-",IF(R82&lt;'PlayerGrades+'!$AH$17,"E",IF(R82&lt;'PlayerGrades+'!$AH$16,"E+",IF(R82&lt;'PlayerGrades+'!$AH$15,"D-",IF(R82&lt;'PlayerGrades+'!$AH$14,"D",IF(R82&lt;'PlayerGrades+'!$AH$13,"D+",IF(R82&lt;'PlayerGrades+'!$AH$12,"C-",IF(R82&lt;'PlayerGrades+'!$AH$11,"C",IF(R82&lt;'PlayerGrades+'!$AH$10,"C+",IF(R82&lt;'PlayerGrades+'!$AH$9,"B-",IF(R82&lt;'PlayerGrades+'!$AH$8,"B",IF(R82&lt;'PlayerGrades+'!$AH$7,"B+",IF(R82&lt;'PlayerGrades+'!$AH$6,"A-",IF(R82&lt;'PlayerGrades+'!$AH$5,"A",IF(R82&lt;'PlayerGrades+'!$AH$4,"A+",IF(R82&lt;'PlayerGrades+'!$AH$3,"S-",IF(R82&lt;'PlayerGrades+'!$AH$2,"S","S+"))))))))))))))))))))</f>
        <v>B-</v>
      </c>
      <c r="T82" s="937">
        <f t="shared" si="9"/>
        <v>1.507462687</v>
      </c>
      <c r="U82" s="937" t="str">
        <f>IF(T82&lt;'PlayerGrades+'!$AI$21,"F-",IF(T82&lt;'PlayerGrades+'!$AI$20,"F",IF(T82&lt;'PlayerGrades+'!$AI$19,"F+",IF(T82&lt;'PlayerGrades+'!$AI$18,"E-",IF(T82&lt;'PlayerGrades+'!$AI$17,"E",IF(T82&lt;'PlayerGrades+'!$AI$16,"E+",IF(T82&lt;'PlayerGrades+'!$AI$15,"D-",IF(T82&lt;'PlayerGrades+'!$AI$14,"D",IF(T82&lt;'PlayerGrades+'!$AI$13,"D+",IF(T82&lt;'PlayerGrades+'!$AI$12,"C-",IF(T82&lt;'PlayerGrades+'!$AI$11,"C",IF(T82&lt;'PlayerGrades+'!$AI$10,"C+",IF(T82&lt;'PlayerGrades+'!$AI$9,"B-",IF(T82&lt;'PlayerGrades+'!$AI$8,"B",IF(T82&lt;'PlayerGrades+'!$AI$7,"B+",IF(T82&lt;'PlayerGrades+'!$AI$6,"A-",IF(T82&lt;'PlayerGrades+'!$AI$5,"A",IF(T82&lt;'PlayerGrades+'!$AI$4,"A+",IF(T82&lt;'PlayerGrades+'!$AI$3,"S-",IF(T82&lt;'PlayerGrades+'!$AI$2,"S","S+"))))))))))))))))))))</f>
        <v>A</v>
      </c>
      <c r="V82" s="939">
        <v>1.0</v>
      </c>
      <c r="W82" s="939">
        <v>0.0</v>
      </c>
      <c r="X82" s="939">
        <v>1.0</v>
      </c>
      <c r="Y82" s="939">
        <v>0.0</v>
      </c>
      <c r="Z82" s="939">
        <v>0.0</v>
      </c>
      <c r="AA82" s="939">
        <v>325.0</v>
      </c>
      <c r="AB82" s="939">
        <v>336.0</v>
      </c>
      <c r="AC82" s="939">
        <v>-11.0</v>
      </c>
      <c r="AD82" s="939">
        <v>18.0</v>
      </c>
      <c r="AE82" s="939">
        <v>5.0</v>
      </c>
      <c r="AF82" s="939">
        <v>7.0</v>
      </c>
      <c r="AG82" s="939">
        <v>4902.0</v>
      </c>
      <c r="AH82" s="939">
        <v>6030.0</v>
      </c>
      <c r="AI82" s="939">
        <v>14.0</v>
      </c>
      <c r="AJ82" s="939">
        <v>18.0</v>
      </c>
      <c r="AK82" s="939">
        <v>0.0</v>
      </c>
      <c r="AL82" s="939">
        <v>5.0</v>
      </c>
      <c r="AM82" s="939">
        <v>0.0</v>
      </c>
      <c r="AN82" s="939">
        <v>0.0</v>
      </c>
      <c r="AO82" s="939">
        <v>0.0</v>
      </c>
      <c r="AP82" s="939">
        <v>5.0</v>
      </c>
      <c r="AQ82" s="939">
        <v>0.0</v>
      </c>
      <c r="AR82" s="939">
        <v>42.0</v>
      </c>
      <c r="AS82" s="939">
        <v>10.0</v>
      </c>
      <c r="AT82" s="939">
        <v>1.0</v>
      </c>
      <c r="AU82" s="939">
        <v>0.0</v>
      </c>
      <c r="AV82" s="939">
        <v>0.0</v>
      </c>
      <c r="AW82" s="939">
        <v>0.0</v>
      </c>
      <c r="AX82" s="939">
        <v>0.0</v>
      </c>
      <c r="AY82" s="939">
        <v>0.0</v>
      </c>
      <c r="AZ82" s="939">
        <v>0.0</v>
      </c>
      <c r="BA82" s="939">
        <v>0.0</v>
      </c>
      <c r="BB82" s="939">
        <v>6.0</v>
      </c>
      <c r="BC82" s="895">
        <v>0.0</v>
      </c>
      <c r="BD82" s="895">
        <v>38.0</v>
      </c>
      <c r="BE82" s="947">
        <v>51.0</v>
      </c>
      <c r="BF82" s="941">
        <v>1.0</v>
      </c>
      <c r="BG82" s="941">
        <v>0.0</v>
      </c>
    </row>
    <row r="83">
      <c r="A83" s="935" t="s">
        <v>142</v>
      </c>
      <c r="B83" s="16" t="str">
        <f>IF(C83&lt;'PlayerGrades+'!$Y$44,"F-",IF(C83&lt;'PlayerGrades+'!$Y$43,"F",IF(C83&lt;'PlayerGrades+'!$Y$42,"F+",IF(C83&lt;'PlayerGrades+'!$Y$41,"E-",IF(C83&lt;'PlayerGrades+'!$Y$40,"E",IF(C83&lt;'PlayerGrades+'!$Y$39,"E+",IF(C83&lt;'PlayerGrades+'!$Y$38,"D-",IF(C83&lt;'PlayerGrades+'!$Y$37,"D",IF(C83&lt;'PlayerGrades+'!$Y$36,"D+",IF(C83&lt;'PlayerGrades+'!$Y$35,"C-",IF(C83&lt;'PlayerGrades+'!$Y$34,"C",IF(C83&lt;'PlayerGrades+'!$Y$33,"C+",IF(C83&lt;'PlayerGrades+'!$Y$32,"B-",IF(C83&lt;'PlayerGrades+'!$Y$31,"B",IF(C83&lt;'PlayerGrades+'!$Y$30,"B+",IF(C83&lt;'PlayerGrades+'!$Y$29,"A-",IF(C83&lt;'PlayerGrades+'!$Y$28,"A",IF(C83&lt;'PlayerGrades+'!$Y$27,"A+",IF(C83&lt;'PlayerGrades+'!$Y$26,"S-",IF(C83&lt;'PlayerGrades+'!$Y$25,"S","S+"))))))))))))))))))))</f>
        <v>E-</v>
      </c>
      <c r="C83" s="936">
        <f>('PlayerGrades+'!$Y$47*(VLOOKUP(E83, 'PlayerGrades+'!$X$3:$Y$23, 2, FALSE)))+('PlayerGrades+'!$Y$48*(VLOOKUP(G83, 'PlayerGrades+'!$X$3:$Y$23, 2, FALSE)))+('PlayerGrades+'!$Y$49*(VLOOKUP(I83, 'PlayerGrades+'!$X$3:$Y$23, 2, FALSE)))+('PlayerGrades+'!$Y$50*(VLOOKUP(K83, 'PlayerGrades+'!$X$3:$Y$23, 2, FALSE)))+('PlayerGrades+'!$Y$51*(VLOOKUP(M83, 'PlayerGrades+'!$X$3:$Y$23, 2, FALSE)))+('PlayerGrades+'!$Y$52*(VLOOKUP(O83, 'PlayerGrades+'!$X$3:$Y$23, 2, FALSE)))+('PlayerGrades+'!$Y$53*(VLOOKUP(Q83, 'PlayerGrades+'!$X$3:$Y$23, 2, FALSE)))+('PlayerGrades+'!$Y$54*(VLOOKUP(S83, 'PlayerGrades+'!$X$3:$Y$23, 2, FALSE)))+('PlayerGrades+'!$Y$55*(VLOOKUP(U83, 'PlayerGrades+'!$X$3:$Y$23, 2, FALSE)))</f>
        <v>11.9</v>
      </c>
      <c r="D83" s="937">
        <f t="shared" si="1"/>
        <v>0</v>
      </c>
      <c r="E83" s="937" t="str">
        <f>IF(D83&lt;'PlayerGrades+'!$AA$21,"F-",IF(D83&lt;'PlayerGrades+'!$AA$20,"F",IF(D83&lt;'PlayerGrades+'!$AA$19,"F+",IF(D83&lt;'PlayerGrades+'!$AA$18,"E-",IF(D83&lt;'PlayerGrades+'!$AA$17,"E",IF(D83&lt;'PlayerGrades+'!$AA$16,"E+",IF(D83&lt;'PlayerGrades+'!$AA$15,"D-",IF(D83&lt;'PlayerGrades+'!$AA$14,"D",IF(D83&lt;'PlayerGrades+'!$AA$13,"D+",IF(D83&lt;'PlayerGrades+'!$AA$12,"C-",IF(D83&lt;'PlayerGrades+'!$AA$11,"C",IF(D83&lt;'PlayerGrades+'!$AA$10,"C+",IF(D83&lt;'PlayerGrades+'!$AA$9,"B-",IF(D83&lt;'PlayerGrades+'!$AA$8,"B",IF(D83&lt;'PlayerGrades+'!$AA$7,"B+",IF(D83&lt;'PlayerGrades+'!$AA$6,"A-",IF(D83&lt;'PlayerGrades+'!$AA$5,"A",IF(D83&lt;'PlayerGrades+'!$AA$4,"A+",IF(D83&lt;'PlayerGrades+'!$AA$3,"S-",IF(D83&lt;'PlayerGrades+'!$AA$2,"S","S+"))))))))))))))))))))</f>
        <v>F-</v>
      </c>
      <c r="F83" s="937">
        <f t="shared" si="2"/>
        <v>-0.4278606965</v>
      </c>
      <c r="G83" s="937" t="str">
        <f>IF(F83&lt;'PlayerGrades+'!$AB$21,"F-",IF(F83&lt;'PlayerGrades+'!$AB$20,"F",IF(F83&lt;'PlayerGrades+'!$AB$19,"F+",IF(F83&lt;'PlayerGrades+'!$AB$18,"E-",IF(F83&lt;'PlayerGrades+'!$AB$17,"E",IF(F83&lt;'PlayerGrades+'!$AB$16,"E+",IF(F83&lt;'PlayerGrades+'!$AB$15,"D-",IF(F83&lt;'PlayerGrades+'!$AB$14,"D",IF(F83&lt;'PlayerGrades+'!$AB$13,"D+",IF(F83&lt;'PlayerGrades+'!$AB$12,"C-",IF(F83&lt;'PlayerGrades+'!$AB$11,"C",IF(F83&lt;'PlayerGrades+'!$AB$10,"C+",IF(F83&lt;'PlayerGrades+'!$AB$9,"B-",IF(F83&lt;'PlayerGrades+'!$AB$8,"B",IF(F83&lt;'PlayerGrades+'!$AB$7,"B+",IF(F83&lt;'PlayerGrades+'!$AB$6,"A-",IF(F83&lt;'PlayerGrades+'!$AB$5,"A",IF(F83&lt;'PlayerGrades+'!$AB$4,"A+",IF(F83&lt;'PlayerGrades+'!$AB$3,"S-",IF(F83&lt;'PlayerGrades+'!$AB$2,"S","S+"))))))))))))))))))))</f>
        <v>D</v>
      </c>
      <c r="H83" s="937">
        <f t="shared" si="3"/>
        <v>0.02985074627</v>
      </c>
      <c r="I83" s="937" t="str">
        <f>IF(H83&lt;'PlayerGrades+'!$AC$21,"F-",IF(H83&lt;'PlayerGrades+'!$AC$20,"F",IF(H83&lt;'PlayerGrades+'!$AC$19,"F+",IF(H83&lt;'PlayerGrades+'!$AC$18,"E-",IF(H83&lt;'PlayerGrades+'!$AC$17,"E",IF(H83&lt;'PlayerGrades+'!$AC$16,"E+",IF(H83&lt;'PlayerGrades+'!$AC$15,"D-",IF(H83&lt;'PlayerGrades+'!$AC$14,"D",IF(H83&lt;'PlayerGrades+'!$AC$13,"D+",IF(H83&lt;'PlayerGrades+'!$AC$12,"C-",IF(H83&lt;'PlayerGrades+'!$AC$11,"C",IF(H83&lt;'PlayerGrades+'!$AC$10,"C+",IF(H83&lt;'PlayerGrades+'!$AC$9,"B-",IF(H83&lt;'PlayerGrades+'!$AC$8,"B",IF(H83&lt;'PlayerGrades+'!$AC$7,"B+",IF(H83&lt;'PlayerGrades+'!$AC$6,"A-",IF(H83&lt;'PlayerGrades+'!$AC$5,"A",IF(H83&lt;'PlayerGrades+'!$AC$4,"A+",IF(H83&lt;'PlayerGrades+'!$AC$3,"S-",IF(H83&lt;'PlayerGrades+'!$AC$2,"S","S+"))))))))))))))))))))</f>
        <v>F-</v>
      </c>
      <c r="J83" s="937">
        <f t="shared" si="4"/>
        <v>0.01990049751</v>
      </c>
      <c r="K83" s="937" t="str">
        <f>IF(J83&lt;'PlayerGrades+'!$AD$21,"F-",IF(J83&lt;'PlayerGrades+'!$AD$20,"F",IF(J83&lt;'PlayerGrades+'!$AD$19,"F+",IF(J83&lt;'PlayerGrades+'!$AD$18,"E-",IF(J83&lt;'PlayerGrades+'!$AD$17,"E",IF(J83&lt;'PlayerGrades+'!$AD$16,"E+",IF(J83&lt;'PlayerGrades+'!$AD$15,"D-",IF(J83&lt;'PlayerGrades+'!$AD$14,"D",IF(J83&lt;'PlayerGrades+'!$AD$13,"D+",IF(J83&lt;'PlayerGrades+'!$AD$12,"C-",IF(J83&lt;'PlayerGrades+'!$AD$11,"C",IF(J83&lt;'PlayerGrades+'!$AD$10,"C+",IF(J83&lt;'PlayerGrades+'!$AD$9,"B-",IF(J83&lt;'PlayerGrades+'!$AD$8,"B",IF(J83&lt;'PlayerGrades+'!$AD$7,"B+",IF(J83&lt;'PlayerGrades+'!$AD$6,"A-",IF(J83&lt;'PlayerGrades+'!$AD$5,"A",IF(J83&lt;'PlayerGrades+'!$AD$4,"A+",IF(J83&lt;'PlayerGrades+'!$AD$3,"S-",IF(J83&lt;'PlayerGrades+'!$AD$2,"S","S+"))))))))))))))))))))</f>
        <v>E+</v>
      </c>
      <c r="L83" s="677">
        <f t="shared" si="5"/>
        <v>0.3383084577</v>
      </c>
      <c r="M83" s="938" t="str">
        <f>IF(L83&lt;'PlayerGrades+'!$AE$21,"F-",IF(L83&lt;'PlayerGrades+'!$AE$20,"F",IF(L83&lt;'PlayerGrades+'!$AE$19,"F+",IF(L83&lt;'PlayerGrades+'!$AE$18,"E-",IF(L83&lt;'PlayerGrades+'!$AE$17,"E",IF(L83&lt;'PlayerGrades+'!$AE$16,"E+",IF(L83&lt;'PlayerGrades+'!$AE$15,"D-",IF(L83&lt;'PlayerGrades+'!$AE$14,"D",IF(L83&lt;'PlayerGrades+'!$AE$13,"D+",IF(L83&lt;'PlayerGrades+'!$AE$12,"C-",IF(L83&lt;'PlayerGrades+'!$AE$11,"C",IF(L83&lt;'PlayerGrades+'!$AE$10,"C+",IF(L83&lt;'PlayerGrades+'!$AE$9,"B-",IF(L83&lt;'PlayerGrades+'!$AE$8,"B",IF(L83&lt;'PlayerGrades+'!$AE$7,"B+",IF(L83&lt;'PlayerGrades+'!$AE$6,"A-",IF(L83&lt;'PlayerGrades+'!$AE$5,"A",IF(L83&lt;'PlayerGrades+'!$AE$4,"A+",IF(L83&lt;'PlayerGrades+'!$AE$3,"S-",IF(L83&lt;'PlayerGrades+'!$AE$2,"S","S+"))))))))))))))))))))</f>
        <v>D-</v>
      </c>
      <c r="N83" s="937">
        <f t="shared" si="6"/>
        <v>0.02985074627</v>
      </c>
      <c r="O83" s="937" t="str">
        <f>IF(N83&lt;'PlayerGrades+'!$AF$21,"F-",IF(N83&lt;'PlayerGrades+'!$AF$20,"F",IF(N83&lt;'PlayerGrades+'!$AF$19,"F+",IF(N83&lt;'PlayerGrades+'!$AF$18,"E-",IF(N83&lt;'PlayerGrades+'!$AF$17,"E",IF(N83&lt;'PlayerGrades+'!$AF$16,"E+",IF(N83&lt;'PlayerGrades+'!$AF$15,"D-",IF(N83&lt;'PlayerGrades+'!$AF$14,"D",IF(N83&lt;'PlayerGrades+'!$AF$13,"D+",IF(N83&lt;'PlayerGrades+'!$AF$12,"C-",IF(N83&lt;'PlayerGrades+'!$AF$11,"C",IF(N83&lt;'PlayerGrades+'!$AF$10,"C+",IF(N83&lt;'PlayerGrades+'!$AF$9,"B-",IF(N83&lt;'PlayerGrades+'!$AF$8,"B",IF(N83&lt;'PlayerGrades+'!$AF$7,"B+",IF(N83&lt;'PlayerGrades+'!$AF$6,"A-",IF(N83&lt;'PlayerGrades+'!$AF$5,"A",IF(N83&lt;'PlayerGrades+'!$AF$4,"A+",IF(N83&lt;'PlayerGrades+'!$AF$3,"S-",IF(N83&lt;'PlayerGrades+'!$AF$2,"S","S+"))))))))))))))))))))</f>
        <v>F</v>
      </c>
      <c r="P83" s="937">
        <f t="shared" si="7"/>
        <v>0.01990049751</v>
      </c>
      <c r="Q83" s="937" t="str">
        <f>IF(P83&lt;'PlayerGrades+'!$AG$21,"F-",IF(P83&lt;'PlayerGrades+'!$AG$20,"F",IF(P83&lt;'PlayerGrades+'!$AG$19,"F+",IF(P83&lt;'PlayerGrades+'!$AG$18,"E-",IF(P83&lt;'PlayerGrades+'!$AG$17,"E",IF(P83&lt;'PlayerGrades+'!$AG$16,"E+",IF(P83&lt;'PlayerGrades+'!$AG$15,"D-",IF(P83&lt;'PlayerGrades+'!$AG$14,"D",IF(P83&lt;'PlayerGrades+'!$AG$13,"D+",IF(P83&lt;'PlayerGrades+'!$AG$12,"C-",IF(P83&lt;'PlayerGrades+'!$AG$11,"C",IF(P83&lt;'PlayerGrades+'!$AG$10,"C+",IF(P83&lt;'PlayerGrades+'!$AG$9,"B-",IF(P83&lt;'PlayerGrades+'!$AG$8,"B",IF(P83&lt;'PlayerGrades+'!$AG$7,"B+",IF(P83&lt;'PlayerGrades+'!$AG$6,"A-",IF(P83&lt;'PlayerGrades+'!$AG$5,"A",IF(P83&lt;'PlayerGrades+'!$AG$4,"A+",IF(P83&lt;'PlayerGrades+'!$AG$3,"S-",IF(P83&lt;'PlayerGrades+'!$AG$2,"S","S+"))))))))))))))))))))</f>
        <v>C</v>
      </c>
      <c r="R83" s="937">
        <f t="shared" si="8"/>
        <v>0.5970149254</v>
      </c>
      <c r="S83" s="937" t="str">
        <f>IF(R83&lt;'PlayerGrades+'!$AH$21,"F-",IF(R83&lt;'PlayerGrades+'!$AH$20,"F",IF(R83&lt;'PlayerGrades+'!$AH$19,"F+",IF(R83&lt;'PlayerGrades+'!$AH$18,"E-",IF(R83&lt;'PlayerGrades+'!$AH$17,"E",IF(R83&lt;'PlayerGrades+'!$AH$16,"E+",IF(R83&lt;'PlayerGrades+'!$AH$15,"D-",IF(R83&lt;'PlayerGrades+'!$AH$14,"D",IF(R83&lt;'PlayerGrades+'!$AH$13,"D+",IF(R83&lt;'PlayerGrades+'!$AH$12,"C-",IF(R83&lt;'PlayerGrades+'!$AH$11,"C",IF(R83&lt;'PlayerGrades+'!$AH$10,"C+",IF(R83&lt;'PlayerGrades+'!$AH$9,"B-",IF(R83&lt;'PlayerGrades+'!$AH$8,"B",IF(R83&lt;'PlayerGrades+'!$AH$7,"B+",IF(R83&lt;'PlayerGrades+'!$AH$6,"A-",IF(R83&lt;'PlayerGrades+'!$AH$5,"A",IF(R83&lt;'PlayerGrades+'!$AH$4,"A+",IF(R83&lt;'PlayerGrades+'!$AH$3,"S-",IF(R83&lt;'PlayerGrades+'!$AH$2,"S","S+"))))))))))))))))))))</f>
        <v>A-</v>
      </c>
      <c r="T83" s="937">
        <f t="shared" si="9"/>
        <v>0.3980099502</v>
      </c>
      <c r="U83" s="937" t="str">
        <f>IF(T83&lt;'PlayerGrades+'!$AI$21,"F-",IF(T83&lt;'PlayerGrades+'!$AI$20,"F",IF(T83&lt;'PlayerGrades+'!$AI$19,"F+",IF(T83&lt;'PlayerGrades+'!$AI$18,"E-",IF(T83&lt;'PlayerGrades+'!$AI$17,"E",IF(T83&lt;'PlayerGrades+'!$AI$16,"E+",IF(T83&lt;'PlayerGrades+'!$AI$15,"D-",IF(T83&lt;'PlayerGrades+'!$AI$14,"D",IF(T83&lt;'PlayerGrades+'!$AI$13,"D+",IF(T83&lt;'PlayerGrades+'!$AI$12,"C-",IF(T83&lt;'PlayerGrades+'!$AI$11,"C",IF(T83&lt;'PlayerGrades+'!$AI$10,"C+",IF(T83&lt;'PlayerGrades+'!$AI$9,"B-",IF(T83&lt;'PlayerGrades+'!$AI$8,"B",IF(T83&lt;'PlayerGrades+'!$AI$7,"B+",IF(T83&lt;'PlayerGrades+'!$AI$6,"A-",IF(T83&lt;'PlayerGrades+'!$AI$5,"A",IF(T83&lt;'PlayerGrades+'!$AI$4,"A+",IF(T83&lt;'PlayerGrades+'!$AI$3,"S-",IF(T83&lt;'PlayerGrades+'!$AI$2,"S","S+"))))))))))))))))))))</f>
        <v>F-</v>
      </c>
      <c r="V83" s="941">
        <v>1.0</v>
      </c>
      <c r="W83" s="941">
        <v>0.0</v>
      </c>
      <c r="X83" s="941">
        <v>1.0</v>
      </c>
      <c r="Y83" s="941">
        <v>0.0</v>
      </c>
      <c r="Z83" s="941">
        <v>0.0</v>
      </c>
      <c r="AA83" s="941">
        <v>277.0</v>
      </c>
      <c r="AB83" s="941">
        <v>320.0</v>
      </c>
      <c r="AC83" s="941">
        <v>-43.0</v>
      </c>
      <c r="AD83" s="941">
        <v>21.0</v>
      </c>
      <c r="AE83" s="941">
        <v>6.0</v>
      </c>
      <c r="AF83" s="941">
        <v>5.0</v>
      </c>
      <c r="AG83" s="941">
        <v>4956.0</v>
      </c>
      <c r="AH83" s="941">
        <v>6030.0</v>
      </c>
      <c r="AI83" s="941">
        <v>15.0</v>
      </c>
      <c r="AJ83" s="941">
        <v>29.0</v>
      </c>
      <c r="AK83" s="941">
        <v>0.0</v>
      </c>
      <c r="AL83" s="941">
        <v>2.0</v>
      </c>
      <c r="AM83" s="941">
        <v>0.0</v>
      </c>
      <c r="AN83" s="941">
        <v>0.0</v>
      </c>
      <c r="AO83" s="941">
        <v>0.0</v>
      </c>
      <c r="AP83" s="941">
        <v>2.0</v>
      </c>
      <c r="AQ83" s="941">
        <v>0.0</v>
      </c>
      <c r="AR83" s="941">
        <v>34.0</v>
      </c>
      <c r="AS83" s="941">
        <v>3.0</v>
      </c>
      <c r="AT83" s="941">
        <v>0.0</v>
      </c>
      <c r="AU83" s="941">
        <v>0.0</v>
      </c>
      <c r="AV83" s="941">
        <v>0.0</v>
      </c>
      <c r="AW83" s="941">
        <v>0.0</v>
      </c>
      <c r="AX83" s="941">
        <v>0.0</v>
      </c>
      <c r="AY83" s="941">
        <v>0.0</v>
      </c>
      <c r="AZ83" s="941">
        <v>0.0</v>
      </c>
      <c r="BA83" s="941">
        <v>0.0</v>
      </c>
      <c r="BB83" s="941">
        <v>3.0</v>
      </c>
      <c r="BC83" s="941">
        <v>0.0</v>
      </c>
      <c r="BD83" s="941">
        <v>39.0</v>
      </c>
      <c r="BE83" s="942">
        <v>40.0</v>
      </c>
      <c r="BF83" s="941">
        <v>0.0</v>
      </c>
      <c r="BG83" s="941">
        <v>0.0</v>
      </c>
    </row>
    <row r="84">
      <c r="A84" s="935" t="s">
        <v>120</v>
      </c>
      <c r="B84" s="16" t="str">
        <f>IF(C84&lt;'PlayerGrades+'!$Y$44,"F-",IF(C84&lt;'PlayerGrades+'!$Y$43,"F",IF(C84&lt;'PlayerGrades+'!$Y$42,"F+",IF(C84&lt;'PlayerGrades+'!$Y$41,"E-",IF(C84&lt;'PlayerGrades+'!$Y$40,"E",IF(C84&lt;'PlayerGrades+'!$Y$39,"E+",IF(C84&lt;'PlayerGrades+'!$Y$38,"D-",IF(C84&lt;'PlayerGrades+'!$Y$37,"D",IF(C84&lt;'PlayerGrades+'!$Y$36,"D+",IF(C84&lt;'PlayerGrades+'!$Y$35,"C-",IF(C84&lt;'PlayerGrades+'!$Y$34,"C",IF(C84&lt;'PlayerGrades+'!$Y$33,"C+",IF(C84&lt;'PlayerGrades+'!$Y$32,"B-",IF(C84&lt;'PlayerGrades+'!$Y$31,"B",IF(C84&lt;'PlayerGrades+'!$Y$30,"B+",IF(C84&lt;'PlayerGrades+'!$Y$29,"A-",IF(C84&lt;'PlayerGrades+'!$Y$28,"A",IF(C84&lt;'PlayerGrades+'!$Y$27,"A+",IF(C84&lt;'PlayerGrades+'!$Y$26,"S-",IF(C84&lt;'PlayerGrades+'!$Y$25,"S","S+"))))))))))))))))))))</f>
        <v>A</v>
      </c>
      <c r="C84" s="936">
        <f>('PlayerGrades+'!$Y$47*(VLOOKUP(E84, 'PlayerGrades+'!$X$3:$Y$23, 2, FALSE)))+('PlayerGrades+'!$Y$48*(VLOOKUP(G84, 'PlayerGrades+'!$X$3:$Y$23, 2, FALSE)))+('PlayerGrades+'!$Y$49*(VLOOKUP(I84, 'PlayerGrades+'!$X$3:$Y$23, 2, FALSE)))+('PlayerGrades+'!$Y$50*(VLOOKUP(K84, 'PlayerGrades+'!$X$3:$Y$23, 2, FALSE)))+('PlayerGrades+'!$Y$51*(VLOOKUP(M84, 'PlayerGrades+'!$X$3:$Y$23, 2, FALSE)))+('PlayerGrades+'!$Y$52*(VLOOKUP(O84, 'PlayerGrades+'!$X$3:$Y$23, 2, FALSE)))+('PlayerGrades+'!$Y$53*(VLOOKUP(Q84, 'PlayerGrades+'!$X$3:$Y$23, 2, FALSE)))+('PlayerGrades+'!$Y$54*(VLOOKUP(S84, 'PlayerGrades+'!$X$3:$Y$23, 2, FALSE)))+('PlayerGrades+'!$Y$55*(VLOOKUP(U84, 'PlayerGrades+'!$X$3:$Y$23, 2, FALSE)))</f>
        <v>25.5</v>
      </c>
      <c r="D84" s="937">
        <f t="shared" si="1"/>
        <v>0</v>
      </c>
      <c r="E84" s="937" t="str">
        <f>IF(D84&lt;'PlayerGrades+'!$AA$21,"F-",IF(D84&lt;'PlayerGrades+'!$AA$20,"F",IF(D84&lt;'PlayerGrades+'!$AA$19,"F+",IF(D84&lt;'PlayerGrades+'!$AA$18,"E-",IF(D84&lt;'PlayerGrades+'!$AA$17,"E",IF(D84&lt;'PlayerGrades+'!$AA$16,"E+",IF(D84&lt;'PlayerGrades+'!$AA$15,"D-",IF(D84&lt;'PlayerGrades+'!$AA$14,"D",IF(D84&lt;'PlayerGrades+'!$AA$13,"D+",IF(D84&lt;'PlayerGrades+'!$AA$12,"C-",IF(D84&lt;'PlayerGrades+'!$AA$11,"C",IF(D84&lt;'PlayerGrades+'!$AA$10,"C+",IF(D84&lt;'PlayerGrades+'!$AA$9,"B-",IF(D84&lt;'PlayerGrades+'!$AA$8,"B",IF(D84&lt;'PlayerGrades+'!$AA$7,"B+",IF(D84&lt;'PlayerGrades+'!$AA$6,"A-",IF(D84&lt;'PlayerGrades+'!$AA$5,"A",IF(D84&lt;'PlayerGrades+'!$AA$4,"A+",IF(D84&lt;'PlayerGrades+'!$AA$3,"S-",IF(D84&lt;'PlayerGrades+'!$AA$2,"S","S+"))))))))))))))))))))</f>
        <v>F-</v>
      </c>
      <c r="F84" s="937">
        <f t="shared" si="2"/>
        <v>0.8358208955</v>
      </c>
      <c r="G84" s="937" t="str">
        <f>IF(F84&lt;'PlayerGrades+'!$AB$21,"F-",IF(F84&lt;'PlayerGrades+'!$AB$20,"F",IF(F84&lt;'PlayerGrades+'!$AB$19,"F+",IF(F84&lt;'PlayerGrades+'!$AB$18,"E-",IF(F84&lt;'PlayerGrades+'!$AB$17,"E",IF(F84&lt;'PlayerGrades+'!$AB$16,"E+",IF(F84&lt;'PlayerGrades+'!$AB$15,"D-",IF(F84&lt;'PlayerGrades+'!$AB$14,"D",IF(F84&lt;'PlayerGrades+'!$AB$13,"D+",IF(F84&lt;'PlayerGrades+'!$AB$12,"C-",IF(F84&lt;'PlayerGrades+'!$AB$11,"C",IF(F84&lt;'PlayerGrades+'!$AB$10,"C+",IF(F84&lt;'PlayerGrades+'!$AB$9,"B-",IF(F84&lt;'PlayerGrades+'!$AB$8,"B",IF(F84&lt;'PlayerGrades+'!$AB$7,"B+",IF(F84&lt;'PlayerGrades+'!$AB$6,"A-",IF(F84&lt;'PlayerGrades+'!$AB$5,"A",IF(F84&lt;'PlayerGrades+'!$AB$4,"A+",IF(F84&lt;'PlayerGrades+'!$AB$3,"S-",IF(F84&lt;'PlayerGrades+'!$AB$2,"S","S+"))))))))))))))))))))</f>
        <v>S</v>
      </c>
      <c r="H84" s="937">
        <f t="shared" si="3"/>
        <v>0.07960199005</v>
      </c>
      <c r="I84" s="937" t="str">
        <f>IF(H84&lt;'PlayerGrades+'!$AC$21,"F-",IF(H84&lt;'PlayerGrades+'!$AC$20,"F",IF(H84&lt;'PlayerGrades+'!$AC$19,"F+",IF(H84&lt;'PlayerGrades+'!$AC$18,"E-",IF(H84&lt;'PlayerGrades+'!$AC$17,"E",IF(H84&lt;'PlayerGrades+'!$AC$16,"E+",IF(H84&lt;'PlayerGrades+'!$AC$15,"D-",IF(H84&lt;'PlayerGrades+'!$AC$14,"D",IF(H84&lt;'PlayerGrades+'!$AC$13,"D+",IF(H84&lt;'PlayerGrades+'!$AC$12,"C-",IF(H84&lt;'PlayerGrades+'!$AC$11,"C",IF(H84&lt;'PlayerGrades+'!$AC$10,"C+",IF(H84&lt;'PlayerGrades+'!$AC$9,"B-",IF(H84&lt;'PlayerGrades+'!$AC$8,"B",IF(H84&lt;'PlayerGrades+'!$AC$7,"B+",IF(H84&lt;'PlayerGrades+'!$AC$6,"A-",IF(H84&lt;'PlayerGrades+'!$AC$5,"A",IF(H84&lt;'PlayerGrades+'!$AC$4,"A+",IF(H84&lt;'PlayerGrades+'!$AC$3,"S-",IF(H84&lt;'PlayerGrades+'!$AC$2,"S","S+"))))))))))))))))))))</f>
        <v>D-</v>
      </c>
      <c r="J84" s="937">
        <f t="shared" si="4"/>
        <v>0.06965174129</v>
      </c>
      <c r="K84" s="937" t="str">
        <f>IF(J84&lt;'PlayerGrades+'!$AD$21,"F-",IF(J84&lt;'PlayerGrades+'!$AD$20,"F",IF(J84&lt;'PlayerGrades+'!$AD$19,"F+",IF(J84&lt;'PlayerGrades+'!$AD$18,"E-",IF(J84&lt;'PlayerGrades+'!$AD$17,"E",IF(J84&lt;'PlayerGrades+'!$AD$16,"E+",IF(J84&lt;'PlayerGrades+'!$AD$15,"D-",IF(J84&lt;'PlayerGrades+'!$AD$14,"D",IF(J84&lt;'PlayerGrades+'!$AD$13,"D+",IF(J84&lt;'PlayerGrades+'!$AD$12,"C-",IF(J84&lt;'PlayerGrades+'!$AD$11,"C",IF(J84&lt;'PlayerGrades+'!$AD$10,"C+",IF(J84&lt;'PlayerGrades+'!$AD$9,"B-",IF(J84&lt;'PlayerGrades+'!$AD$8,"B",IF(J84&lt;'PlayerGrades+'!$AD$7,"B+",IF(J84&lt;'PlayerGrades+'!$AD$6,"A-",IF(J84&lt;'PlayerGrades+'!$AD$5,"A",IF(J84&lt;'PlayerGrades+'!$AD$4,"A+",IF(J84&lt;'PlayerGrades+'!$AD$3,"S-",IF(J84&lt;'PlayerGrades+'!$AD$2,"S","S+"))))))))))))))))))))</f>
        <v>A-</v>
      </c>
      <c r="L84" s="677">
        <f t="shared" si="5"/>
        <v>0.5771144279</v>
      </c>
      <c r="M84" s="938" t="str">
        <f>IF(L84&lt;'PlayerGrades+'!$AE$21,"F-",IF(L84&lt;'PlayerGrades+'!$AE$20,"F",IF(L84&lt;'PlayerGrades+'!$AE$19,"F+",IF(L84&lt;'PlayerGrades+'!$AE$18,"E-",IF(L84&lt;'PlayerGrades+'!$AE$17,"E",IF(L84&lt;'PlayerGrades+'!$AE$16,"E+",IF(L84&lt;'PlayerGrades+'!$AE$15,"D-",IF(L84&lt;'PlayerGrades+'!$AE$14,"D",IF(L84&lt;'PlayerGrades+'!$AE$13,"D+",IF(L84&lt;'PlayerGrades+'!$AE$12,"C-",IF(L84&lt;'PlayerGrades+'!$AE$11,"C",IF(L84&lt;'PlayerGrades+'!$AE$10,"C+",IF(L84&lt;'PlayerGrades+'!$AE$9,"B-",IF(L84&lt;'PlayerGrades+'!$AE$8,"B",IF(L84&lt;'PlayerGrades+'!$AE$7,"B+",IF(L84&lt;'PlayerGrades+'!$AE$6,"A-",IF(L84&lt;'PlayerGrades+'!$AE$5,"A",IF(L84&lt;'PlayerGrades+'!$AE$4,"A+",IF(L84&lt;'PlayerGrades+'!$AE$3,"S-",IF(L84&lt;'PlayerGrades+'!$AE$2,"S","S+"))))))))))))))))))))</f>
        <v>A</v>
      </c>
      <c r="N84" s="937">
        <f t="shared" si="6"/>
        <v>0.07960199005</v>
      </c>
      <c r="O84" s="937" t="str">
        <f>IF(N84&lt;'PlayerGrades+'!$AF$21,"F-",IF(N84&lt;'PlayerGrades+'!$AF$20,"F",IF(N84&lt;'PlayerGrades+'!$AF$19,"F+",IF(N84&lt;'PlayerGrades+'!$AF$18,"E-",IF(N84&lt;'PlayerGrades+'!$AF$17,"E",IF(N84&lt;'PlayerGrades+'!$AF$16,"E+",IF(N84&lt;'PlayerGrades+'!$AF$15,"D-",IF(N84&lt;'PlayerGrades+'!$AF$14,"D",IF(N84&lt;'PlayerGrades+'!$AF$13,"D+",IF(N84&lt;'PlayerGrades+'!$AF$12,"C-",IF(N84&lt;'PlayerGrades+'!$AF$11,"C",IF(N84&lt;'PlayerGrades+'!$AF$10,"C+",IF(N84&lt;'PlayerGrades+'!$AF$9,"B-",IF(N84&lt;'PlayerGrades+'!$AF$8,"B",IF(N84&lt;'PlayerGrades+'!$AF$7,"B+",IF(N84&lt;'PlayerGrades+'!$AF$6,"A-",IF(N84&lt;'PlayerGrades+'!$AF$5,"A",IF(N84&lt;'PlayerGrades+'!$AF$4,"A+",IF(N84&lt;'PlayerGrades+'!$AF$3,"S-",IF(N84&lt;'PlayerGrades+'!$AF$2,"S","S+"))))))))))))))))))))</f>
        <v>B-</v>
      </c>
      <c r="P84" s="937">
        <f t="shared" si="7"/>
        <v>0.05970149254</v>
      </c>
      <c r="Q84" s="937" t="str">
        <f>IF(P84&lt;'PlayerGrades+'!$AG$21,"F-",IF(P84&lt;'PlayerGrades+'!$AG$20,"F",IF(P84&lt;'PlayerGrades+'!$AG$19,"F+",IF(P84&lt;'PlayerGrades+'!$AG$18,"E-",IF(P84&lt;'PlayerGrades+'!$AG$17,"E",IF(P84&lt;'PlayerGrades+'!$AG$16,"E+",IF(P84&lt;'PlayerGrades+'!$AG$15,"D-",IF(P84&lt;'PlayerGrades+'!$AG$14,"D",IF(P84&lt;'PlayerGrades+'!$AG$13,"D+",IF(P84&lt;'PlayerGrades+'!$AG$12,"C-",IF(P84&lt;'PlayerGrades+'!$AG$11,"C",IF(P84&lt;'PlayerGrades+'!$AG$10,"C+",IF(P84&lt;'PlayerGrades+'!$AG$9,"B-",IF(P84&lt;'PlayerGrades+'!$AG$8,"B",IF(P84&lt;'PlayerGrades+'!$AG$7,"B+",IF(P84&lt;'PlayerGrades+'!$AG$6,"A-",IF(P84&lt;'PlayerGrades+'!$AG$5,"A",IF(P84&lt;'PlayerGrades+'!$AG$4,"A+",IF(P84&lt;'PlayerGrades+'!$AG$3,"S-",IF(P84&lt;'PlayerGrades+'!$AG$2,"S","S+"))))))))))))))))))))</f>
        <v>A</v>
      </c>
      <c r="R84" s="937">
        <f t="shared" si="8"/>
        <v>0.6567164179</v>
      </c>
      <c r="S84" s="937" t="str">
        <f>IF(R84&lt;'PlayerGrades+'!$AH$21,"F-",IF(R84&lt;'PlayerGrades+'!$AH$20,"F",IF(R84&lt;'PlayerGrades+'!$AH$19,"F+",IF(R84&lt;'PlayerGrades+'!$AH$18,"E-",IF(R84&lt;'PlayerGrades+'!$AH$17,"E",IF(R84&lt;'PlayerGrades+'!$AH$16,"E+",IF(R84&lt;'PlayerGrades+'!$AH$15,"D-",IF(R84&lt;'PlayerGrades+'!$AH$14,"D",IF(R84&lt;'PlayerGrades+'!$AH$13,"D+",IF(R84&lt;'PlayerGrades+'!$AH$12,"C-",IF(R84&lt;'PlayerGrades+'!$AH$11,"C",IF(R84&lt;'PlayerGrades+'!$AH$10,"C+",IF(R84&lt;'PlayerGrades+'!$AH$9,"B-",IF(R84&lt;'PlayerGrades+'!$AH$8,"B",IF(R84&lt;'PlayerGrades+'!$AH$7,"B+",IF(R84&lt;'PlayerGrades+'!$AH$6,"A-",IF(R84&lt;'PlayerGrades+'!$AH$5,"A",IF(R84&lt;'PlayerGrades+'!$AH$4,"A+",IF(R84&lt;'PlayerGrades+'!$AH$3,"S-",IF(R84&lt;'PlayerGrades+'!$AH$2,"S","S+"))))))))))))))))))))</f>
        <v>A+</v>
      </c>
      <c r="T84" s="937">
        <f t="shared" si="9"/>
        <v>2.497512438</v>
      </c>
      <c r="U84" s="937" t="str">
        <f>IF(T84&lt;'PlayerGrades+'!$AI$21,"F-",IF(T84&lt;'PlayerGrades+'!$AI$20,"F",IF(T84&lt;'PlayerGrades+'!$AI$19,"F+",IF(T84&lt;'PlayerGrades+'!$AI$18,"E-",IF(T84&lt;'PlayerGrades+'!$AI$17,"E",IF(T84&lt;'PlayerGrades+'!$AI$16,"E+",IF(T84&lt;'PlayerGrades+'!$AI$15,"D-",IF(T84&lt;'PlayerGrades+'!$AI$14,"D",IF(T84&lt;'PlayerGrades+'!$AI$13,"D+",IF(T84&lt;'PlayerGrades+'!$AI$12,"C-",IF(T84&lt;'PlayerGrades+'!$AI$11,"C",IF(T84&lt;'PlayerGrades+'!$AI$10,"C+",IF(T84&lt;'PlayerGrades+'!$AI$9,"B-",IF(T84&lt;'PlayerGrades+'!$AI$8,"B",IF(T84&lt;'PlayerGrades+'!$AI$7,"B+",IF(T84&lt;'PlayerGrades+'!$AI$6,"A-",IF(T84&lt;'PlayerGrades+'!$AI$5,"A",IF(T84&lt;'PlayerGrades+'!$AI$4,"A+",IF(T84&lt;'PlayerGrades+'!$AI$3,"S-",IF(T84&lt;'PlayerGrades+'!$AI$2,"S","S+"))))))))))))))))))))</f>
        <v>S+</v>
      </c>
      <c r="V84" s="941">
        <v>1.0</v>
      </c>
      <c r="W84" s="941">
        <v>0.0</v>
      </c>
      <c r="X84" s="941">
        <v>1.0</v>
      </c>
      <c r="Y84" s="941">
        <v>0.0</v>
      </c>
      <c r="Z84" s="941">
        <v>0.0</v>
      </c>
      <c r="AA84" s="941">
        <v>350.0</v>
      </c>
      <c r="AB84" s="941">
        <v>266.0</v>
      </c>
      <c r="AC84" s="941">
        <v>84.0</v>
      </c>
      <c r="AD84" s="941">
        <v>23.0</v>
      </c>
      <c r="AE84" s="941">
        <v>6.0</v>
      </c>
      <c r="AF84" s="941">
        <v>5.0</v>
      </c>
      <c r="AG84" s="941">
        <v>5118.0</v>
      </c>
      <c r="AH84" s="941">
        <v>6030.0</v>
      </c>
      <c r="AI84" s="941">
        <v>19.0</v>
      </c>
      <c r="AJ84" s="941">
        <v>7.0</v>
      </c>
      <c r="AK84" s="941">
        <v>0.0</v>
      </c>
      <c r="AL84" s="941">
        <v>7.0</v>
      </c>
      <c r="AM84" s="941">
        <v>0.0</v>
      </c>
      <c r="AN84" s="941">
        <v>0.0</v>
      </c>
      <c r="AO84" s="941">
        <v>0.0</v>
      </c>
      <c r="AP84" s="941">
        <v>6.0</v>
      </c>
      <c r="AQ84" s="941">
        <v>0.0</v>
      </c>
      <c r="AR84" s="941">
        <v>58.0</v>
      </c>
      <c r="AS84" s="941">
        <v>8.0</v>
      </c>
      <c r="AT84" s="941">
        <v>0.0</v>
      </c>
      <c r="AU84" s="941">
        <v>0.0</v>
      </c>
      <c r="AV84" s="941">
        <v>0.0</v>
      </c>
      <c r="AW84" s="941">
        <v>0.0</v>
      </c>
      <c r="AX84" s="941">
        <v>0.0</v>
      </c>
      <c r="AY84" s="941">
        <v>0.0</v>
      </c>
      <c r="AZ84" s="941">
        <v>0.0</v>
      </c>
      <c r="BA84" s="941">
        <v>0.0</v>
      </c>
      <c r="BB84" s="941">
        <v>8.0</v>
      </c>
      <c r="BC84" s="941">
        <v>0.0</v>
      </c>
      <c r="BD84" s="941">
        <v>43.0</v>
      </c>
      <c r="BE84" s="942">
        <v>50.0</v>
      </c>
      <c r="BF84" s="941">
        <v>2.0</v>
      </c>
      <c r="BG84" s="941">
        <v>0.0</v>
      </c>
    </row>
    <row r="85">
      <c r="A85" s="935" t="s">
        <v>153</v>
      </c>
      <c r="B85" s="16" t="str">
        <f>IF(C85&lt;'PlayerGrades+'!$Y$44,"F-",IF(C85&lt;'PlayerGrades+'!$Y$43,"F",IF(C85&lt;'PlayerGrades+'!$Y$42,"F+",IF(C85&lt;'PlayerGrades+'!$Y$41,"E-",IF(C85&lt;'PlayerGrades+'!$Y$40,"E",IF(C85&lt;'PlayerGrades+'!$Y$39,"E+",IF(C85&lt;'PlayerGrades+'!$Y$38,"D-",IF(C85&lt;'PlayerGrades+'!$Y$37,"D",IF(C85&lt;'PlayerGrades+'!$Y$36,"D+",IF(C85&lt;'PlayerGrades+'!$Y$35,"C-",IF(C85&lt;'PlayerGrades+'!$Y$34,"C",IF(C85&lt;'PlayerGrades+'!$Y$33,"C+",IF(C85&lt;'PlayerGrades+'!$Y$32,"B-",IF(C85&lt;'PlayerGrades+'!$Y$31,"B",IF(C85&lt;'PlayerGrades+'!$Y$30,"B+",IF(C85&lt;'PlayerGrades+'!$Y$29,"A-",IF(C85&lt;'PlayerGrades+'!$Y$28,"A",IF(C85&lt;'PlayerGrades+'!$Y$27,"A+",IF(C85&lt;'PlayerGrades+'!$Y$26,"S-",IF(C85&lt;'PlayerGrades+'!$Y$25,"S","S+"))))))))))))))))))))</f>
        <v>F-</v>
      </c>
      <c r="C85" s="936">
        <f>('PlayerGrades+'!$Y$47*(VLOOKUP(E85, 'PlayerGrades+'!$X$3:$Y$23, 2, FALSE)))+('PlayerGrades+'!$Y$48*(VLOOKUP(G85, 'PlayerGrades+'!$X$3:$Y$23, 2, FALSE)))+('PlayerGrades+'!$Y$49*(VLOOKUP(I85, 'PlayerGrades+'!$X$3:$Y$23, 2, FALSE)))+('PlayerGrades+'!$Y$50*(VLOOKUP(K85, 'PlayerGrades+'!$X$3:$Y$23, 2, FALSE)))+('PlayerGrades+'!$Y$51*(VLOOKUP(M85, 'PlayerGrades+'!$X$3:$Y$23, 2, FALSE)))+('PlayerGrades+'!$Y$52*(VLOOKUP(O85, 'PlayerGrades+'!$X$3:$Y$23, 2, FALSE)))+('PlayerGrades+'!$Y$53*(VLOOKUP(Q85, 'PlayerGrades+'!$X$3:$Y$23, 2, FALSE)))+('PlayerGrades+'!$Y$54*(VLOOKUP(S85, 'PlayerGrades+'!$X$3:$Y$23, 2, FALSE)))+('PlayerGrades+'!$Y$55*(VLOOKUP(U85, 'PlayerGrades+'!$X$3:$Y$23, 2, FALSE)))</f>
        <v>7.2</v>
      </c>
      <c r="D85" s="937">
        <f t="shared" si="1"/>
        <v>0.08955223881</v>
      </c>
      <c r="E85" s="937" t="str">
        <f>IF(D85&lt;'PlayerGrades+'!$AA$21,"F-",IF(D85&lt;'PlayerGrades+'!$AA$20,"F",IF(D85&lt;'PlayerGrades+'!$AA$19,"F+",IF(D85&lt;'PlayerGrades+'!$AA$18,"E-",IF(D85&lt;'PlayerGrades+'!$AA$17,"E",IF(D85&lt;'PlayerGrades+'!$AA$16,"E+",IF(D85&lt;'PlayerGrades+'!$AA$15,"D-",IF(D85&lt;'PlayerGrades+'!$AA$14,"D",IF(D85&lt;'PlayerGrades+'!$AA$13,"D+",IF(D85&lt;'PlayerGrades+'!$AA$12,"C-",IF(D85&lt;'PlayerGrades+'!$AA$11,"C",IF(D85&lt;'PlayerGrades+'!$AA$10,"C+",IF(D85&lt;'PlayerGrades+'!$AA$9,"B-",IF(D85&lt;'PlayerGrades+'!$AA$8,"B",IF(D85&lt;'PlayerGrades+'!$AA$7,"B+",IF(D85&lt;'PlayerGrades+'!$AA$6,"A-",IF(D85&lt;'PlayerGrades+'!$AA$5,"A",IF(D85&lt;'PlayerGrades+'!$AA$4,"A+",IF(D85&lt;'PlayerGrades+'!$AA$3,"S-",IF(D85&lt;'PlayerGrades+'!$AA$2,"S","S+"))))))))))))))))))))</f>
        <v>B</v>
      </c>
      <c r="F85" s="937">
        <f t="shared" si="2"/>
        <v>-1.303482587</v>
      </c>
      <c r="G85" s="937" t="str">
        <f>IF(F85&lt;'PlayerGrades+'!$AB$21,"F-",IF(F85&lt;'PlayerGrades+'!$AB$20,"F",IF(F85&lt;'PlayerGrades+'!$AB$19,"F+",IF(F85&lt;'PlayerGrades+'!$AB$18,"E-",IF(F85&lt;'PlayerGrades+'!$AB$17,"E",IF(F85&lt;'PlayerGrades+'!$AB$16,"E+",IF(F85&lt;'PlayerGrades+'!$AB$15,"D-",IF(F85&lt;'PlayerGrades+'!$AB$14,"D",IF(F85&lt;'PlayerGrades+'!$AB$13,"D+",IF(F85&lt;'PlayerGrades+'!$AB$12,"C-",IF(F85&lt;'PlayerGrades+'!$AB$11,"C",IF(F85&lt;'PlayerGrades+'!$AB$10,"C+",IF(F85&lt;'PlayerGrades+'!$AB$9,"B-",IF(F85&lt;'PlayerGrades+'!$AB$8,"B",IF(F85&lt;'PlayerGrades+'!$AB$7,"B+",IF(F85&lt;'PlayerGrades+'!$AB$6,"A-",IF(F85&lt;'PlayerGrades+'!$AB$5,"A",IF(F85&lt;'PlayerGrades+'!$AB$4,"A+",IF(F85&lt;'PlayerGrades+'!$AB$3,"S-",IF(F85&lt;'PlayerGrades+'!$AB$2,"S","S+"))))))))))))))))))))</f>
        <v>F-</v>
      </c>
      <c r="H85" s="937">
        <f t="shared" si="3"/>
        <v>0.009950248756</v>
      </c>
      <c r="I85" s="937" t="str">
        <f>IF(H85&lt;'PlayerGrades+'!$AC$21,"F-",IF(H85&lt;'PlayerGrades+'!$AC$20,"F",IF(H85&lt;'PlayerGrades+'!$AC$19,"F+",IF(H85&lt;'PlayerGrades+'!$AC$18,"E-",IF(H85&lt;'PlayerGrades+'!$AC$17,"E",IF(H85&lt;'PlayerGrades+'!$AC$16,"E+",IF(H85&lt;'PlayerGrades+'!$AC$15,"D-",IF(H85&lt;'PlayerGrades+'!$AC$14,"D",IF(H85&lt;'PlayerGrades+'!$AC$13,"D+",IF(H85&lt;'PlayerGrades+'!$AC$12,"C-",IF(H85&lt;'PlayerGrades+'!$AC$11,"C",IF(H85&lt;'PlayerGrades+'!$AC$10,"C+",IF(H85&lt;'PlayerGrades+'!$AC$9,"B-",IF(H85&lt;'PlayerGrades+'!$AC$8,"B",IF(H85&lt;'PlayerGrades+'!$AC$7,"B+",IF(H85&lt;'PlayerGrades+'!$AC$6,"A-",IF(H85&lt;'PlayerGrades+'!$AC$5,"A",IF(H85&lt;'PlayerGrades+'!$AC$4,"A+",IF(H85&lt;'PlayerGrades+'!$AC$3,"S-",IF(H85&lt;'PlayerGrades+'!$AC$2,"S","S+"))))))))))))))))))))</f>
        <v>F-</v>
      </c>
      <c r="J85" s="937">
        <f t="shared" si="4"/>
        <v>0</v>
      </c>
      <c r="K85" s="937" t="str">
        <f>IF(J85&lt;'PlayerGrades+'!$AD$21,"F-",IF(J85&lt;'PlayerGrades+'!$AD$20,"F",IF(J85&lt;'PlayerGrades+'!$AD$19,"F+",IF(J85&lt;'PlayerGrades+'!$AD$18,"E-",IF(J85&lt;'PlayerGrades+'!$AD$17,"E",IF(J85&lt;'PlayerGrades+'!$AD$16,"E+",IF(J85&lt;'PlayerGrades+'!$AD$15,"D-",IF(J85&lt;'PlayerGrades+'!$AD$14,"D",IF(J85&lt;'PlayerGrades+'!$AD$13,"D+",IF(J85&lt;'PlayerGrades+'!$AD$12,"C-",IF(J85&lt;'PlayerGrades+'!$AD$11,"C",IF(J85&lt;'PlayerGrades+'!$AD$10,"C+",IF(J85&lt;'PlayerGrades+'!$AD$9,"B-",IF(J85&lt;'PlayerGrades+'!$AD$8,"B",IF(J85&lt;'PlayerGrades+'!$AD$7,"B+",IF(J85&lt;'PlayerGrades+'!$AD$6,"A-",IF(J85&lt;'PlayerGrades+'!$AD$5,"A",IF(J85&lt;'PlayerGrades+'!$AD$4,"A+",IF(J85&lt;'PlayerGrades+'!$AD$3,"S-",IF(J85&lt;'PlayerGrades+'!$AD$2,"S","S+"))))))))))))))))))))</f>
        <v>F-</v>
      </c>
      <c r="L85" s="677">
        <f t="shared" si="5"/>
        <v>0.1592039801</v>
      </c>
      <c r="M85" s="938" t="str">
        <f>IF(L85&lt;'PlayerGrades+'!$AE$21,"F-",IF(L85&lt;'PlayerGrades+'!$AE$20,"F",IF(L85&lt;'PlayerGrades+'!$AE$19,"F+",IF(L85&lt;'PlayerGrades+'!$AE$18,"E-",IF(L85&lt;'PlayerGrades+'!$AE$17,"E",IF(L85&lt;'PlayerGrades+'!$AE$16,"E+",IF(L85&lt;'PlayerGrades+'!$AE$15,"D-",IF(L85&lt;'PlayerGrades+'!$AE$14,"D",IF(L85&lt;'PlayerGrades+'!$AE$13,"D+",IF(L85&lt;'PlayerGrades+'!$AE$12,"C-",IF(L85&lt;'PlayerGrades+'!$AE$11,"C",IF(L85&lt;'PlayerGrades+'!$AE$10,"C+",IF(L85&lt;'PlayerGrades+'!$AE$9,"B-",IF(L85&lt;'PlayerGrades+'!$AE$8,"B",IF(L85&lt;'PlayerGrades+'!$AE$7,"B+",IF(L85&lt;'PlayerGrades+'!$AE$6,"A-",IF(L85&lt;'PlayerGrades+'!$AE$5,"A",IF(L85&lt;'PlayerGrades+'!$AE$4,"A+",IF(L85&lt;'PlayerGrades+'!$AE$3,"S-",IF(L85&lt;'PlayerGrades+'!$AE$2,"S","S+"))))))))))))))))))))</f>
        <v>F-</v>
      </c>
      <c r="N85" s="937">
        <f t="shared" si="6"/>
        <v>0.01990049751</v>
      </c>
      <c r="O85" s="937" t="str">
        <f>IF(N85&lt;'PlayerGrades+'!$AF$21,"F-",IF(N85&lt;'PlayerGrades+'!$AF$20,"F",IF(N85&lt;'PlayerGrades+'!$AF$19,"F+",IF(N85&lt;'PlayerGrades+'!$AF$18,"E-",IF(N85&lt;'PlayerGrades+'!$AF$17,"E",IF(N85&lt;'PlayerGrades+'!$AF$16,"E+",IF(N85&lt;'PlayerGrades+'!$AF$15,"D-",IF(N85&lt;'PlayerGrades+'!$AF$14,"D",IF(N85&lt;'PlayerGrades+'!$AF$13,"D+",IF(N85&lt;'PlayerGrades+'!$AF$12,"C-",IF(N85&lt;'PlayerGrades+'!$AF$11,"C",IF(N85&lt;'PlayerGrades+'!$AF$10,"C+",IF(N85&lt;'PlayerGrades+'!$AF$9,"B-",IF(N85&lt;'PlayerGrades+'!$AF$8,"B",IF(N85&lt;'PlayerGrades+'!$AF$7,"B+",IF(N85&lt;'PlayerGrades+'!$AF$6,"A-",IF(N85&lt;'PlayerGrades+'!$AF$5,"A",IF(N85&lt;'PlayerGrades+'!$AF$4,"A+",IF(N85&lt;'PlayerGrades+'!$AF$3,"S-",IF(N85&lt;'PlayerGrades+'!$AF$2,"S","S+"))))))))))))))))))))</f>
        <v>F-</v>
      </c>
      <c r="P85" s="937">
        <f t="shared" si="7"/>
        <v>0</v>
      </c>
      <c r="Q85" s="937" t="str">
        <f>IF(P85&lt;'PlayerGrades+'!$AG$21,"F-",IF(P85&lt;'PlayerGrades+'!$AG$20,"F",IF(P85&lt;'PlayerGrades+'!$AG$19,"F+",IF(P85&lt;'PlayerGrades+'!$AG$18,"E-",IF(P85&lt;'PlayerGrades+'!$AG$17,"E",IF(P85&lt;'PlayerGrades+'!$AG$16,"E+",IF(P85&lt;'PlayerGrades+'!$AG$15,"D-",IF(P85&lt;'PlayerGrades+'!$AG$14,"D",IF(P85&lt;'PlayerGrades+'!$AG$13,"D+",IF(P85&lt;'PlayerGrades+'!$AG$12,"C-",IF(P85&lt;'PlayerGrades+'!$AG$11,"C",IF(P85&lt;'PlayerGrades+'!$AG$10,"C+",IF(P85&lt;'PlayerGrades+'!$AG$9,"B-",IF(P85&lt;'PlayerGrades+'!$AG$8,"B",IF(P85&lt;'PlayerGrades+'!$AG$7,"B+",IF(P85&lt;'PlayerGrades+'!$AG$6,"A-",IF(P85&lt;'PlayerGrades+'!$AG$5,"A",IF(P85&lt;'PlayerGrades+'!$AG$4,"A+",IF(P85&lt;'PlayerGrades+'!$AG$3,"S-",IF(P85&lt;'PlayerGrades+'!$AG$2,"S","S+"))))))))))))))))))))</f>
        <v>F</v>
      </c>
      <c r="R85" s="937">
        <f t="shared" si="8"/>
        <v>0.2388059701</v>
      </c>
      <c r="S85" s="937" t="str">
        <f>IF(R85&lt;'PlayerGrades+'!$AH$21,"F-",IF(R85&lt;'PlayerGrades+'!$AH$20,"F",IF(R85&lt;'PlayerGrades+'!$AH$19,"F+",IF(R85&lt;'PlayerGrades+'!$AH$18,"E-",IF(R85&lt;'PlayerGrades+'!$AH$17,"E",IF(R85&lt;'PlayerGrades+'!$AH$16,"E+",IF(R85&lt;'PlayerGrades+'!$AH$15,"D-",IF(R85&lt;'PlayerGrades+'!$AH$14,"D",IF(R85&lt;'PlayerGrades+'!$AH$13,"D+",IF(R85&lt;'PlayerGrades+'!$AH$12,"C-",IF(R85&lt;'PlayerGrades+'!$AH$11,"C",IF(R85&lt;'PlayerGrades+'!$AH$10,"C+",IF(R85&lt;'PlayerGrades+'!$AH$9,"B-",IF(R85&lt;'PlayerGrades+'!$AH$8,"B",IF(R85&lt;'PlayerGrades+'!$AH$7,"B+",IF(R85&lt;'PlayerGrades+'!$AH$6,"A-",IF(R85&lt;'PlayerGrades+'!$AH$5,"A",IF(R85&lt;'PlayerGrades+'!$AH$4,"A+",IF(R85&lt;'PlayerGrades+'!$AH$3,"S-",IF(R85&lt;'PlayerGrades+'!$AH$2,"S","S+"))))))))))))))))))))</f>
        <v>F-</v>
      </c>
      <c r="T85" s="937">
        <f t="shared" si="9"/>
        <v>1.31840796</v>
      </c>
      <c r="U85" s="937" t="str">
        <f>IF(T85&lt;'PlayerGrades+'!$AI$21,"F-",IF(T85&lt;'PlayerGrades+'!$AI$20,"F",IF(T85&lt;'PlayerGrades+'!$AI$19,"F+",IF(T85&lt;'PlayerGrades+'!$AI$18,"E-",IF(T85&lt;'PlayerGrades+'!$AI$17,"E",IF(T85&lt;'PlayerGrades+'!$AI$16,"E+",IF(T85&lt;'PlayerGrades+'!$AI$15,"D-",IF(T85&lt;'PlayerGrades+'!$AI$14,"D",IF(T85&lt;'PlayerGrades+'!$AI$13,"D+",IF(T85&lt;'PlayerGrades+'!$AI$12,"C-",IF(T85&lt;'PlayerGrades+'!$AI$11,"C",IF(T85&lt;'PlayerGrades+'!$AI$10,"C+",IF(T85&lt;'PlayerGrades+'!$AI$9,"B-",IF(T85&lt;'PlayerGrades+'!$AI$8,"B",IF(T85&lt;'PlayerGrades+'!$AI$7,"B+",IF(T85&lt;'PlayerGrades+'!$AI$6,"A-",IF(T85&lt;'PlayerGrades+'!$AI$5,"A",IF(T85&lt;'PlayerGrades+'!$AI$4,"A+",IF(T85&lt;'PlayerGrades+'!$AI$3,"S-",IF(T85&lt;'PlayerGrades+'!$AI$2,"S","S+"))))))))))))))))))))</f>
        <v>C+</v>
      </c>
      <c r="V85" s="941">
        <v>1.0</v>
      </c>
      <c r="W85" s="941">
        <v>0.0</v>
      </c>
      <c r="X85" s="941">
        <v>1.0</v>
      </c>
      <c r="Y85" s="941">
        <v>4.0</v>
      </c>
      <c r="Z85" s="941">
        <v>5.0</v>
      </c>
      <c r="AA85" s="941">
        <v>234.0</v>
      </c>
      <c r="AB85" s="941">
        <v>365.0</v>
      </c>
      <c r="AC85" s="941">
        <v>-131.0</v>
      </c>
      <c r="AD85" s="941">
        <v>6.0</v>
      </c>
      <c r="AE85" s="941">
        <v>4.0</v>
      </c>
      <c r="AF85" s="941">
        <v>1.0</v>
      </c>
      <c r="AG85" s="941">
        <v>4829.0</v>
      </c>
      <c r="AH85" s="941">
        <v>6030.0</v>
      </c>
      <c r="AI85" s="941">
        <v>13.0</v>
      </c>
      <c r="AJ85" s="941">
        <v>988.0</v>
      </c>
      <c r="AK85" s="941">
        <v>0.0</v>
      </c>
      <c r="AL85" s="941">
        <v>0.0</v>
      </c>
      <c r="AM85" s="941">
        <v>0.0</v>
      </c>
      <c r="AN85" s="941">
        <v>0.0</v>
      </c>
      <c r="AO85" s="941">
        <v>0.0</v>
      </c>
      <c r="AP85" s="941">
        <v>0.0</v>
      </c>
      <c r="AQ85" s="941">
        <v>0.0</v>
      </c>
      <c r="AR85" s="941">
        <v>16.0</v>
      </c>
      <c r="AS85" s="941">
        <v>2.0</v>
      </c>
      <c r="AT85" s="941">
        <v>0.0</v>
      </c>
      <c r="AU85" s="941">
        <v>0.0</v>
      </c>
      <c r="AV85" s="941">
        <v>0.0</v>
      </c>
      <c r="AW85" s="941">
        <v>0.0</v>
      </c>
      <c r="AX85" s="941">
        <v>0.0</v>
      </c>
      <c r="AY85" s="941">
        <v>0.0</v>
      </c>
      <c r="AZ85" s="941">
        <v>0.0</v>
      </c>
      <c r="BA85" s="941">
        <v>0.0</v>
      </c>
      <c r="BB85" s="941">
        <v>1.0</v>
      </c>
      <c r="BC85" s="941">
        <v>0.0</v>
      </c>
      <c r="BD85" s="941">
        <v>18.0</v>
      </c>
      <c r="BE85" s="942">
        <v>32.0</v>
      </c>
      <c r="BF85" s="941">
        <v>1.0</v>
      </c>
      <c r="BG85" s="941">
        <v>0.0</v>
      </c>
    </row>
    <row r="86">
      <c r="A86" s="935" t="s">
        <v>514</v>
      </c>
      <c r="B86" s="16" t="str">
        <f>IF(C86&lt;'PlayerGrades+'!$Y$44,"F-",IF(C86&lt;'PlayerGrades+'!$Y$43,"F",IF(C86&lt;'PlayerGrades+'!$Y$42,"F+",IF(C86&lt;'PlayerGrades+'!$Y$41,"E-",IF(C86&lt;'PlayerGrades+'!$Y$40,"E",IF(C86&lt;'PlayerGrades+'!$Y$39,"E+",IF(C86&lt;'PlayerGrades+'!$Y$38,"D-",IF(C86&lt;'PlayerGrades+'!$Y$37,"D",IF(C86&lt;'PlayerGrades+'!$Y$36,"D+",IF(C86&lt;'PlayerGrades+'!$Y$35,"C-",IF(C86&lt;'PlayerGrades+'!$Y$34,"C",IF(C86&lt;'PlayerGrades+'!$Y$33,"C+",IF(C86&lt;'PlayerGrades+'!$Y$32,"B-",IF(C86&lt;'PlayerGrades+'!$Y$31,"B",IF(C86&lt;'PlayerGrades+'!$Y$30,"B+",IF(C86&lt;'PlayerGrades+'!$Y$29,"A-",IF(C86&lt;'PlayerGrades+'!$Y$28,"A",IF(C86&lt;'PlayerGrades+'!$Y$27,"A+",IF(C86&lt;'PlayerGrades+'!$Y$26,"S-",IF(C86&lt;'PlayerGrades+'!$Y$25,"S","S+"))))))))))))))))))))</f>
        <v>B+</v>
      </c>
      <c r="C86" s="936">
        <f>('PlayerGrades+'!$Y$47*(VLOOKUP(E86, 'PlayerGrades+'!$X$3:$Y$23, 2, FALSE)))+('PlayerGrades+'!$Y$48*(VLOOKUP(G86, 'PlayerGrades+'!$X$3:$Y$23, 2, FALSE)))+('PlayerGrades+'!$Y$49*(VLOOKUP(I86, 'PlayerGrades+'!$X$3:$Y$23, 2, FALSE)))+('PlayerGrades+'!$Y$50*(VLOOKUP(K86, 'PlayerGrades+'!$X$3:$Y$23, 2, FALSE)))+('PlayerGrades+'!$Y$51*(VLOOKUP(M86, 'PlayerGrades+'!$X$3:$Y$23, 2, FALSE)))+('PlayerGrades+'!$Y$52*(VLOOKUP(O86, 'PlayerGrades+'!$X$3:$Y$23, 2, FALSE)))+('PlayerGrades+'!$Y$53*(VLOOKUP(Q86, 'PlayerGrades+'!$X$3:$Y$23, 2, FALSE)))+('PlayerGrades+'!$Y$54*(VLOOKUP(S86, 'PlayerGrades+'!$X$3:$Y$23, 2, FALSE)))+('PlayerGrades+'!$Y$55*(VLOOKUP(U86, 'PlayerGrades+'!$X$3:$Y$23, 2, FALSE)))</f>
        <v>23.55</v>
      </c>
      <c r="D86" s="937">
        <f t="shared" si="1"/>
        <v>0</v>
      </c>
      <c r="E86" s="937" t="str">
        <f>IF(D86&lt;'PlayerGrades+'!$AA$21,"F-",IF(D86&lt;'PlayerGrades+'!$AA$20,"F",IF(D86&lt;'PlayerGrades+'!$AA$19,"F+",IF(D86&lt;'PlayerGrades+'!$AA$18,"E-",IF(D86&lt;'PlayerGrades+'!$AA$17,"E",IF(D86&lt;'PlayerGrades+'!$AA$16,"E+",IF(D86&lt;'PlayerGrades+'!$AA$15,"D-",IF(D86&lt;'PlayerGrades+'!$AA$14,"D",IF(D86&lt;'PlayerGrades+'!$AA$13,"D+",IF(D86&lt;'PlayerGrades+'!$AA$12,"C-",IF(D86&lt;'PlayerGrades+'!$AA$11,"C",IF(D86&lt;'PlayerGrades+'!$AA$10,"C+",IF(D86&lt;'PlayerGrades+'!$AA$9,"B-",IF(D86&lt;'PlayerGrades+'!$AA$8,"B",IF(D86&lt;'PlayerGrades+'!$AA$7,"B+",IF(D86&lt;'PlayerGrades+'!$AA$6,"A-",IF(D86&lt;'PlayerGrades+'!$AA$5,"A",IF(D86&lt;'PlayerGrades+'!$AA$4,"A+",IF(D86&lt;'PlayerGrades+'!$AA$3,"S-",IF(D86&lt;'PlayerGrades+'!$AA$2,"S","S+"))))))))))))))))))))</f>
        <v>F-</v>
      </c>
      <c r="F86" s="937">
        <f t="shared" si="2"/>
        <v>-0.5057067603</v>
      </c>
      <c r="G86" s="937" t="str">
        <f>IF(F86&lt;'PlayerGrades+'!$AB$21,"F-",IF(F86&lt;'PlayerGrades+'!$AB$20,"F",IF(F86&lt;'PlayerGrades+'!$AB$19,"F+",IF(F86&lt;'PlayerGrades+'!$AB$18,"E-",IF(F86&lt;'PlayerGrades+'!$AB$17,"E",IF(F86&lt;'PlayerGrades+'!$AB$16,"E+",IF(F86&lt;'PlayerGrades+'!$AB$15,"D-",IF(F86&lt;'PlayerGrades+'!$AB$14,"D",IF(F86&lt;'PlayerGrades+'!$AB$13,"D+",IF(F86&lt;'PlayerGrades+'!$AB$12,"C-",IF(F86&lt;'PlayerGrades+'!$AB$11,"C",IF(F86&lt;'PlayerGrades+'!$AB$10,"C+",IF(F86&lt;'PlayerGrades+'!$AB$9,"B-",IF(F86&lt;'PlayerGrades+'!$AB$8,"B",IF(F86&lt;'PlayerGrades+'!$AB$7,"B+",IF(F86&lt;'PlayerGrades+'!$AB$6,"A-",IF(F86&lt;'PlayerGrades+'!$AB$5,"A",IF(F86&lt;'PlayerGrades+'!$AB$4,"A+",IF(F86&lt;'PlayerGrades+'!$AB$3,"S-",IF(F86&lt;'PlayerGrades+'!$AB$2,"S","S+"))))))))))))))))))))</f>
        <v>D</v>
      </c>
      <c r="H86" s="937">
        <f t="shared" si="3"/>
        <v>0.3476733977</v>
      </c>
      <c r="I86" s="937" t="str">
        <f>IF(H86&lt;'PlayerGrades+'!$AC$21,"F-",IF(H86&lt;'PlayerGrades+'!$AC$20,"F",IF(H86&lt;'PlayerGrades+'!$AC$19,"F+",IF(H86&lt;'PlayerGrades+'!$AC$18,"E-",IF(H86&lt;'PlayerGrades+'!$AC$17,"E",IF(H86&lt;'PlayerGrades+'!$AC$16,"E+",IF(H86&lt;'PlayerGrades+'!$AC$15,"D-",IF(H86&lt;'PlayerGrades+'!$AC$14,"D",IF(H86&lt;'PlayerGrades+'!$AC$13,"D+",IF(H86&lt;'PlayerGrades+'!$AC$12,"C-",IF(H86&lt;'PlayerGrades+'!$AC$11,"C",IF(H86&lt;'PlayerGrades+'!$AC$10,"C+",IF(H86&lt;'PlayerGrades+'!$AC$9,"B-",IF(H86&lt;'PlayerGrades+'!$AC$8,"B",IF(H86&lt;'PlayerGrades+'!$AC$7,"B+",IF(H86&lt;'PlayerGrades+'!$AC$6,"A-",IF(H86&lt;'PlayerGrades+'!$AC$5,"A",IF(H86&lt;'PlayerGrades+'!$AC$4,"A+",IF(H86&lt;'PlayerGrades+'!$AC$3,"S-",IF(H86&lt;'PlayerGrades+'!$AC$2,"S","S+"))))))))))))))))))))</f>
        <v>S+</v>
      </c>
      <c r="J86" s="937">
        <f t="shared" si="4"/>
        <v>0.02107111501</v>
      </c>
      <c r="K86" s="937" t="str">
        <f>IF(J86&lt;'PlayerGrades+'!$AD$21,"F-",IF(J86&lt;'PlayerGrades+'!$AD$20,"F",IF(J86&lt;'PlayerGrades+'!$AD$19,"F+",IF(J86&lt;'PlayerGrades+'!$AD$18,"E-",IF(J86&lt;'PlayerGrades+'!$AD$17,"E",IF(J86&lt;'PlayerGrades+'!$AD$16,"E+",IF(J86&lt;'PlayerGrades+'!$AD$15,"D-",IF(J86&lt;'PlayerGrades+'!$AD$14,"D",IF(J86&lt;'PlayerGrades+'!$AD$13,"D+",IF(J86&lt;'PlayerGrades+'!$AD$12,"C-",IF(J86&lt;'PlayerGrades+'!$AD$11,"C",IF(J86&lt;'PlayerGrades+'!$AD$10,"C+",IF(J86&lt;'PlayerGrades+'!$AD$9,"B-",IF(J86&lt;'PlayerGrades+'!$AD$8,"B",IF(J86&lt;'PlayerGrades+'!$AD$7,"B+",IF(J86&lt;'PlayerGrades+'!$AD$6,"A-",IF(J86&lt;'PlayerGrades+'!$AD$5,"A",IF(J86&lt;'PlayerGrades+'!$AD$4,"A+",IF(J86&lt;'PlayerGrades+'!$AD$3,"S-",IF(J86&lt;'PlayerGrades+'!$AD$2,"S","S+"))))))))))))))))))))</f>
        <v>E+</v>
      </c>
      <c r="L86" s="677">
        <f t="shared" si="5"/>
        <v>0.6215978929</v>
      </c>
      <c r="M86" s="938" t="str">
        <f>IF(L86&lt;'PlayerGrades+'!$AE$21,"F-",IF(L86&lt;'PlayerGrades+'!$AE$20,"F",IF(L86&lt;'PlayerGrades+'!$AE$19,"F+",IF(L86&lt;'PlayerGrades+'!$AE$18,"E-",IF(L86&lt;'PlayerGrades+'!$AE$17,"E",IF(L86&lt;'PlayerGrades+'!$AE$16,"E+",IF(L86&lt;'PlayerGrades+'!$AE$15,"D-",IF(L86&lt;'PlayerGrades+'!$AE$14,"D",IF(L86&lt;'PlayerGrades+'!$AE$13,"D+",IF(L86&lt;'PlayerGrades+'!$AE$12,"C-",IF(L86&lt;'PlayerGrades+'!$AE$11,"C",IF(L86&lt;'PlayerGrades+'!$AE$10,"C+",IF(L86&lt;'PlayerGrades+'!$AE$9,"B-",IF(L86&lt;'PlayerGrades+'!$AE$8,"B",IF(L86&lt;'PlayerGrades+'!$AE$7,"B+",IF(L86&lt;'PlayerGrades+'!$AE$6,"A-",IF(L86&lt;'PlayerGrades+'!$AE$5,"A",IF(L86&lt;'PlayerGrades+'!$AE$4,"A+",IF(L86&lt;'PlayerGrades+'!$AE$3,"S-",IF(L86&lt;'PlayerGrades+'!$AE$2,"S","S+"))))))))))))))))))))</f>
        <v>S-</v>
      </c>
      <c r="N86" s="937">
        <f t="shared" si="6"/>
        <v>0.1264266901</v>
      </c>
      <c r="O86" s="937" t="str">
        <f>IF(N86&lt;'PlayerGrades+'!$AF$21,"F-",IF(N86&lt;'PlayerGrades+'!$AF$20,"F",IF(N86&lt;'PlayerGrades+'!$AF$19,"F+",IF(N86&lt;'PlayerGrades+'!$AF$18,"E-",IF(N86&lt;'PlayerGrades+'!$AF$17,"E",IF(N86&lt;'PlayerGrades+'!$AF$16,"E+",IF(N86&lt;'PlayerGrades+'!$AF$15,"D-",IF(N86&lt;'PlayerGrades+'!$AF$14,"D",IF(N86&lt;'PlayerGrades+'!$AF$13,"D+",IF(N86&lt;'PlayerGrades+'!$AF$12,"C-",IF(N86&lt;'PlayerGrades+'!$AF$11,"C",IF(N86&lt;'PlayerGrades+'!$AF$10,"C+",IF(N86&lt;'PlayerGrades+'!$AF$9,"B-",IF(N86&lt;'PlayerGrades+'!$AF$8,"B",IF(N86&lt;'PlayerGrades+'!$AF$7,"B+",IF(N86&lt;'PlayerGrades+'!$AF$6,"A-",IF(N86&lt;'PlayerGrades+'!$AF$5,"A",IF(N86&lt;'PlayerGrades+'!$AF$4,"A+",IF(N86&lt;'PlayerGrades+'!$AF$3,"S-",IF(N86&lt;'PlayerGrades+'!$AF$2,"S","S+"))))))))))))))))))))</f>
        <v>S</v>
      </c>
      <c r="P86" s="937">
        <f t="shared" si="7"/>
        <v>0.02107111501</v>
      </c>
      <c r="Q86" s="937" t="str">
        <f>IF(P86&lt;'PlayerGrades+'!$AG$21,"F-",IF(P86&lt;'PlayerGrades+'!$AG$20,"F",IF(P86&lt;'PlayerGrades+'!$AG$19,"F+",IF(P86&lt;'PlayerGrades+'!$AG$18,"E-",IF(P86&lt;'PlayerGrades+'!$AG$17,"E",IF(P86&lt;'PlayerGrades+'!$AG$16,"E+",IF(P86&lt;'PlayerGrades+'!$AG$15,"D-",IF(P86&lt;'PlayerGrades+'!$AG$14,"D",IF(P86&lt;'PlayerGrades+'!$AG$13,"D+",IF(P86&lt;'PlayerGrades+'!$AG$12,"C-",IF(P86&lt;'PlayerGrades+'!$AG$11,"C",IF(P86&lt;'PlayerGrades+'!$AG$10,"C+",IF(P86&lt;'PlayerGrades+'!$AG$9,"B-",IF(P86&lt;'PlayerGrades+'!$AG$8,"B",IF(P86&lt;'PlayerGrades+'!$AG$7,"B+",IF(P86&lt;'PlayerGrades+'!$AG$6,"A-",IF(P86&lt;'PlayerGrades+'!$AG$5,"A",IF(P86&lt;'PlayerGrades+'!$AG$4,"A+",IF(P86&lt;'PlayerGrades+'!$AG$3,"S-",IF(P86&lt;'PlayerGrades+'!$AG$2,"S","S+"))))))))))))))))))))</f>
        <v>C+</v>
      </c>
      <c r="R86" s="937">
        <f t="shared" si="8"/>
        <v>0.5162423178</v>
      </c>
      <c r="S86" s="937" t="str">
        <f>IF(R86&lt;'PlayerGrades+'!$AH$21,"F-",IF(R86&lt;'PlayerGrades+'!$AH$20,"F",IF(R86&lt;'PlayerGrades+'!$AH$19,"F+",IF(R86&lt;'PlayerGrades+'!$AH$18,"E-",IF(R86&lt;'PlayerGrades+'!$AH$17,"E",IF(R86&lt;'PlayerGrades+'!$AH$16,"E+",IF(R86&lt;'PlayerGrades+'!$AH$15,"D-",IF(R86&lt;'PlayerGrades+'!$AH$14,"D",IF(R86&lt;'PlayerGrades+'!$AH$13,"D+",IF(R86&lt;'PlayerGrades+'!$AH$12,"C-",IF(R86&lt;'PlayerGrades+'!$AH$11,"C",IF(R86&lt;'PlayerGrades+'!$AH$10,"C+",IF(R86&lt;'PlayerGrades+'!$AH$9,"B-",IF(R86&lt;'PlayerGrades+'!$AH$8,"B",IF(R86&lt;'PlayerGrades+'!$AH$7,"B+",IF(R86&lt;'PlayerGrades+'!$AH$6,"A-",IF(R86&lt;'PlayerGrades+'!$AH$5,"A",IF(R86&lt;'PlayerGrades+'!$AH$4,"A+",IF(R86&lt;'PlayerGrades+'!$AH$3,"S-",IF(R86&lt;'PlayerGrades+'!$AH$2,"S","S+"))))))))))))))))))))</f>
        <v>D+</v>
      </c>
      <c r="T86" s="937">
        <f t="shared" si="9"/>
        <v>1.474100088</v>
      </c>
      <c r="U86" s="937" t="str">
        <f>IF(T86&lt;'PlayerGrades+'!$AI$21,"F-",IF(T86&lt;'PlayerGrades+'!$AI$20,"F",IF(T86&lt;'PlayerGrades+'!$AI$19,"F+",IF(T86&lt;'PlayerGrades+'!$AI$18,"E-",IF(T86&lt;'PlayerGrades+'!$AI$17,"E",IF(T86&lt;'PlayerGrades+'!$AI$16,"E+",IF(T86&lt;'PlayerGrades+'!$AI$15,"D-",IF(T86&lt;'PlayerGrades+'!$AI$14,"D",IF(T86&lt;'PlayerGrades+'!$AI$13,"D+",IF(T86&lt;'PlayerGrades+'!$AI$12,"C-",IF(T86&lt;'PlayerGrades+'!$AI$11,"C",IF(T86&lt;'PlayerGrades+'!$AI$10,"C+",IF(T86&lt;'PlayerGrades+'!$AI$9,"B-",IF(T86&lt;'PlayerGrades+'!$AI$8,"B",IF(T86&lt;'PlayerGrades+'!$AI$7,"B+",IF(T86&lt;'PlayerGrades+'!$AI$6,"A-",IF(T86&lt;'PlayerGrades+'!$AI$5,"A",IF(T86&lt;'PlayerGrades+'!$AI$4,"A+",IF(T86&lt;'PlayerGrades+'!$AI$3,"S-",IF(T86&lt;'PlayerGrades+'!$AI$2,"S","S+"))))))))))))))))))))</f>
        <v>A-</v>
      </c>
      <c r="V86" s="941">
        <v>1.0</v>
      </c>
      <c r="W86" s="941">
        <v>1.0</v>
      </c>
      <c r="X86" s="941">
        <v>0.0</v>
      </c>
      <c r="Y86" s="941">
        <v>0.0</v>
      </c>
      <c r="Z86" s="941">
        <v>0.0</v>
      </c>
      <c r="AA86" s="941">
        <v>388.0</v>
      </c>
      <c r="AB86" s="941">
        <v>436.0</v>
      </c>
      <c r="AC86" s="941">
        <v>-48.0</v>
      </c>
      <c r="AD86" s="941">
        <v>24.0</v>
      </c>
      <c r="AE86" s="941">
        <v>6.0</v>
      </c>
      <c r="AF86" s="941">
        <v>7.0</v>
      </c>
      <c r="AG86" s="941">
        <v>4237.0</v>
      </c>
      <c r="AH86" s="941">
        <v>5695.0</v>
      </c>
      <c r="AI86" s="941">
        <v>9.0</v>
      </c>
      <c r="AJ86" s="941">
        <v>15.0</v>
      </c>
      <c r="AK86" s="941">
        <v>0.0</v>
      </c>
      <c r="AL86" s="941">
        <v>2.0</v>
      </c>
      <c r="AM86" s="941">
        <v>0.0</v>
      </c>
      <c r="AN86" s="941">
        <v>0.0</v>
      </c>
      <c r="AO86" s="941">
        <v>0.0</v>
      </c>
      <c r="AP86" s="941">
        <v>2.0</v>
      </c>
      <c r="AQ86" s="941">
        <v>0.0</v>
      </c>
      <c r="AR86" s="941">
        <v>59.0</v>
      </c>
      <c r="AS86" s="941">
        <v>12.0</v>
      </c>
      <c r="AT86" s="941">
        <v>3.0</v>
      </c>
      <c r="AU86" s="941">
        <v>1.0</v>
      </c>
      <c r="AV86" s="941">
        <v>0.0</v>
      </c>
      <c r="AW86" s="941">
        <v>0.0</v>
      </c>
      <c r="AX86" s="941">
        <v>0.0</v>
      </c>
      <c r="AY86" s="941">
        <v>0.0</v>
      </c>
      <c r="AZ86" s="941">
        <v>0.0</v>
      </c>
      <c r="BA86" s="941">
        <v>0.0</v>
      </c>
      <c r="BB86" s="941">
        <v>33.0</v>
      </c>
      <c r="BC86" s="941">
        <v>0.0</v>
      </c>
      <c r="BD86" s="941">
        <v>25.0</v>
      </c>
      <c r="BE86" s="942">
        <v>45.0</v>
      </c>
      <c r="BF86" s="941">
        <v>1.0</v>
      </c>
      <c r="BG86" s="941">
        <v>1.0</v>
      </c>
    </row>
    <row r="87">
      <c r="A87" s="935" t="s">
        <v>132</v>
      </c>
      <c r="B87" s="16" t="str">
        <f>IF(C87&lt;'PlayerGrades+'!$Y$44,"F-",IF(C87&lt;'PlayerGrades+'!$Y$43,"F",IF(C87&lt;'PlayerGrades+'!$Y$42,"F+",IF(C87&lt;'PlayerGrades+'!$Y$41,"E-",IF(C87&lt;'PlayerGrades+'!$Y$40,"E",IF(C87&lt;'PlayerGrades+'!$Y$39,"E+",IF(C87&lt;'PlayerGrades+'!$Y$38,"D-",IF(C87&lt;'PlayerGrades+'!$Y$37,"D",IF(C87&lt;'PlayerGrades+'!$Y$36,"D+",IF(C87&lt;'PlayerGrades+'!$Y$35,"C-",IF(C87&lt;'PlayerGrades+'!$Y$34,"C",IF(C87&lt;'PlayerGrades+'!$Y$33,"C+",IF(C87&lt;'PlayerGrades+'!$Y$32,"B-",IF(C87&lt;'PlayerGrades+'!$Y$31,"B",IF(C87&lt;'PlayerGrades+'!$Y$30,"B+",IF(C87&lt;'PlayerGrades+'!$Y$29,"A-",IF(C87&lt;'PlayerGrades+'!$Y$28,"A",IF(C87&lt;'PlayerGrades+'!$Y$27,"A+",IF(C87&lt;'PlayerGrades+'!$Y$26,"S-",IF(C87&lt;'PlayerGrades+'!$Y$25,"S","S+"))))))))))))))))))))</f>
        <v>S</v>
      </c>
      <c r="C87" s="936">
        <f>('PlayerGrades+'!$Y$47*(VLOOKUP(E87, 'PlayerGrades+'!$X$3:$Y$23, 2, FALSE)))+('PlayerGrades+'!$Y$48*(VLOOKUP(G87, 'PlayerGrades+'!$X$3:$Y$23, 2, FALSE)))+('PlayerGrades+'!$Y$49*(VLOOKUP(I87, 'PlayerGrades+'!$X$3:$Y$23, 2, FALSE)))+('PlayerGrades+'!$Y$50*(VLOOKUP(K87, 'PlayerGrades+'!$X$3:$Y$23, 2, FALSE)))+('PlayerGrades+'!$Y$51*(VLOOKUP(M87, 'PlayerGrades+'!$X$3:$Y$23, 2, FALSE)))+('PlayerGrades+'!$Y$52*(VLOOKUP(O87, 'PlayerGrades+'!$X$3:$Y$23, 2, FALSE)))+('PlayerGrades+'!$Y$53*(VLOOKUP(Q87, 'PlayerGrades+'!$X$3:$Y$23, 2, FALSE)))+('PlayerGrades+'!$Y$54*(VLOOKUP(S87, 'PlayerGrades+'!$X$3:$Y$23, 2, FALSE)))+('PlayerGrades+'!$Y$55*(VLOOKUP(U87, 'PlayerGrades+'!$X$3:$Y$23, 2, FALSE)))</f>
        <v>32.25</v>
      </c>
      <c r="D87" s="937">
        <f t="shared" si="1"/>
        <v>0.01990049751</v>
      </c>
      <c r="E87" s="937" t="str">
        <f>IF(D87&lt;'PlayerGrades+'!$AA$21,"F-",IF(D87&lt;'PlayerGrades+'!$AA$20,"F",IF(D87&lt;'PlayerGrades+'!$AA$19,"F+",IF(D87&lt;'PlayerGrades+'!$AA$18,"E-",IF(D87&lt;'PlayerGrades+'!$AA$17,"E",IF(D87&lt;'PlayerGrades+'!$AA$16,"E+",IF(D87&lt;'PlayerGrades+'!$AA$15,"D-",IF(D87&lt;'PlayerGrades+'!$AA$14,"D",IF(D87&lt;'PlayerGrades+'!$AA$13,"D+",IF(D87&lt;'PlayerGrades+'!$AA$12,"C-",IF(D87&lt;'PlayerGrades+'!$AA$11,"C",IF(D87&lt;'PlayerGrades+'!$AA$10,"C+",IF(D87&lt;'PlayerGrades+'!$AA$9,"B-",IF(D87&lt;'PlayerGrades+'!$AA$8,"B",IF(D87&lt;'PlayerGrades+'!$AA$7,"B+",IF(D87&lt;'PlayerGrades+'!$AA$6,"A-",IF(D87&lt;'PlayerGrades+'!$AA$5,"A",IF(D87&lt;'PlayerGrades+'!$AA$4,"A+",IF(D87&lt;'PlayerGrades+'!$AA$3,"S-",IF(D87&lt;'PlayerGrades+'!$AA$2,"S","S+"))))))))))))))))))))</f>
        <v>E-</v>
      </c>
      <c r="F87" s="937">
        <f t="shared" si="2"/>
        <v>0.6965174129</v>
      </c>
      <c r="G87" s="937" t="str">
        <f>IF(F87&lt;'PlayerGrades+'!$AB$21,"F-",IF(F87&lt;'PlayerGrades+'!$AB$20,"F",IF(F87&lt;'PlayerGrades+'!$AB$19,"F+",IF(F87&lt;'PlayerGrades+'!$AB$18,"E-",IF(F87&lt;'PlayerGrades+'!$AB$17,"E",IF(F87&lt;'PlayerGrades+'!$AB$16,"E+",IF(F87&lt;'PlayerGrades+'!$AB$15,"D-",IF(F87&lt;'PlayerGrades+'!$AB$14,"D",IF(F87&lt;'PlayerGrades+'!$AB$13,"D+",IF(F87&lt;'PlayerGrades+'!$AB$12,"C-",IF(F87&lt;'PlayerGrades+'!$AB$11,"C",IF(F87&lt;'PlayerGrades+'!$AB$10,"C+",IF(F87&lt;'PlayerGrades+'!$AB$9,"B-",IF(F87&lt;'PlayerGrades+'!$AB$8,"B",IF(F87&lt;'PlayerGrades+'!$AB$7,"B+",IF(F87&lt;'PlayerGrades+'!$AB$6,"A-",IF(F87&lt;'PlayerGrades+'!$AB$5,"A",IF(F87&lt;'PlayerGrades+'!$AB$4,"A+",IF(F87&lt;'PlayerGrades+'!$AB$3,"S-",IF(F87&lt;'PlayerGrades+'!$AB$2,"S","S+"))))))))))))))))))))</f>
        <v>S-</v>
      </c>
      <c r="H87" s="937">
        <f t="shared" si="3"/>
        <v>0.5074626866</v>
      </c>
      <c r="I87" s="937" t="str">
        <f>IF(H87&lt;'PlayerGrades+'!$AC$21,"F-",IF(H87&lt;'PlayerGrades+'!$AC$20,"F",IF(H87&lt;'PlayerGrades+'!$AC$19,"F+",IF(H87&lt;'PlayerGrades+'!$AC$18,"E-",IF(H87&lt;'PlayerGrades+'!$AC$17,"E",IF(H87&lt;'PlayerGrades+'!$AC$16,"E+",IF(H87&lt;'PlayerGrades+'!$AC$15,"D-",IF(H87&lt;'PlayerGrades+'!$AC$14,"D",IF(H87&lt;'PlayerGrades+'!$AC$13,"D+",IF(H87&lt;'PlayerGrades+'!$AC$12,"C-",IF(H87&lt;'PlayerGrades+'!$AC$11,"C",IF(H87&lt;'PlayerGrades+'!$AC$10,"C+",IF(H87&lt;'PlayerGrades+'!$AC$9,"B-",IF(H87&lt;'PlayerGrades+'!$AC$8,"B",IF(H87&lt;'PlayerGrades+'!$AC$7,"B+",IF(H87&lt;'PlayerGrades+'!$AC$6,"A-",IF(H87&lt;'PlayerGrades+'!$AC$5,"A",IF(H87&lt;'PlayerGrades+'!$AC$4,"A+",IF(H87&lt;'PlayerGrades+'!$AC$3,"S-",IF(H87&lt;'PlayerGrades+'!$AC$2,"S","S+"))))))))))))))))))))</f>
        <v>S+</v>
      </c>
      <c r="J87" s="937">
        <f t="shared" si="4"/>
        <v>0.05970149254</v>
      </c>
      <c r="K87" s="937" t="str">
        <f>IF(J87&lt;'PlayerGrades+'!$AD$21,"F-",IF(J87&lt;'PlayerGrades+'!$AD$20,"F",IF(J87&lt;'PlayerGrades+'!$AD$19,"F+",IF(J87&lt;'PlayerGrades+'!$AD$18,"E-",IF(J87&lt;'PlayerGrades+'!$AD$17,"E",IF(J87&lt;'PlayerGrades+'!$AD$16,"E+",IF(J87&lt;'PlayerGrades+'!$AD$15,"D-",IF(J87&lt;'PlayerGrades+'!$AD$14,"D",IF(J87&lt;'PlayerGrades+'!$AD$13,"D+",IF(J87&lt;'PlayerGrades+'!$AD$12,"C-",IF(J87&lt;'PlayerGrades+'!$AD$11,"C",IF(J87&lt;'PlayerGrades+'!$AD$10,"C+",IF(J87&lt;'PlayerGrades+'!$AD$9,"B-",IF(J87&lt;'PlayerGrades+'!$AD$8,"B",IF(J87&lt;'PlayerGrades+'!$AD$7,"B+",IF(J87&lt;'PlayerGrades+'!$AD$6,"A-",IF(J87&lt;'PlayerGrades+'!$AD$5,"A",IF(J87&lt;'PlayerGrades+'!$AD$4,"A+",IF(J87&lt;'PlayerGrades+'!$AD$3,"S-",IF(J87&lt;'PlayerGrades+'!$AD$2,"S","S+"))))))))))))))))))))</f>
        <v>B+</v>
      </c>
      <c r="L87" s="677">
        <f t="shared" si="5"/>
        <v>0.7064676617</v>
      </c>
      <c r="M87" s="938" t="str">
        <f>IF(L87&lt;'PlayerGrades+'!$AE$21,"F-",IF(L87&lt;'PlayerGrades+'!$AE$20,"F",IF(L87&lt;'PlayerGrades+'!$AE$19,"F+",IF(L87&lt;'PlayerGrades+'!$AE$18,"E-",IF(L87&lt;'PlayerGrades+'!$AE$17,"E",IF(L87&lt;'PlayerGrades+'!$AE$16,"E+",IF(L87&lt;'PlayerGrades+'!$AE$15,"D-",IF(L87&lt;'PlayerGrades+'!$AE$14,"D",IF(L87&lt;'PlayerGrades+'!$AE$13,"D+",IF(L87&lt;'PlayerGrades+'!$AE$12,"C-",IF(L87&lt;'PlayerGrades+'!$AE$11,"C",IF(L87&lt;'PlayerGrades+'!$AE$10,"C+",IF(L87&lt;'PlayerGrades+'!$AE$9,"B-",IF(L87&lt;'PlayerGrades+'!$AE$8,"B",IF(L87&lt;'PlayerGrades+'!$AE$7,"B+",IF(L87&lt;'PlayerGrades+'!$AE$6,"A-",IF(L87&lt;'PlayerGrades+'!$AE$5,"A",IF(L87&lt;'PlayerGrades+'!$AE$4,"A+",IF(L87&lt;'PlayerGrades+'!$AE$3,"S-",IF(L87&lt;'PlayerGrades+'!$AE$2,"S","S+"))))))))))))))))))))</f>
        <v>S+</v>
      </c>
      <c r="N87" s="937">
        <f t="shared" si="6"/>
        <v>0.1691542289</v>
      </c>
      <c r="O87" s="937" t="str">
        <f>IF(N87&lt;'PlayerGrades+'!$AF$21,"F-",IF(N87&lt;'PlayerGrades+'!$AF$20,"F",IF(N87&lt;'PlayerGrades+'!$AF$19,"F+",IF(N87&lt;'PlayerGrades+'!$AF$18,"E-",IF(N87&lt;'PlayerGrades+'!$AF$17,"E",IF(N87&lt;'PlayerGrades+'!$AF$16,"E+",IF(N87&lt;'PlayerGrades+'!$AF$15,"D-",IF(N87&lt;'PlayerGrades+'!$AF$14,"D",IF(N87&lt;'PlayerGrades+'!$AF$13,"D+",IF(N87&lt;'PlayerGrades+'!$AF$12,"C-",IF(N87&lt;'PlayerGrades+'!$AF$11,"C",IF(N87&lt;'PlayerGrades+'!$AF$10,"C+",IF(N87&lt;'PlayerGrades+'!$AF$9,"B-",IF(N87&lt;'PlayerGrades+'!$AF$8,"B",IF(N87&lt;'PlayerGrades+'!$AF$7,"B+",IF(N87&lt;'PlayerGrades+'!$AF$6,"A-",IF(N87&lt;'PlayerGrades+'!$AF$5,"A",IF(N87&lt;'PlayerGrades+'!$AF$4,"A+",IF(N87&lt;'PlayerGrades+'!$AF$3,"S-",IF(N87&lt;'PlayerGrades+'!$AF$2,"S","S+"))))))))))))))))))))</f>
        <v>S+</v>
      </c>
      <c r="P87" s="937">
        <f t="shared" si="7"/>
        <v>0.05970149254</v>
      </c>
      <c r="Q87" s="937" t="str">
        <f>IF(P87&lt;'PlayerGrades+'!$AG$21,"F-",IF(P87&lt;'PlayerGrades+'!$AG$20,"F",IF(P87&lt;'PlayerGrades+'!$AG$19,"F+",IF(P87&lt;'PlayerGrades+'!$AG$18,"E-",IF(P87&lt;'PlayerGrades+'!$AG$17,"E",IF(P87&lt;'PlayerGrades+'!$AG$16,"E+",IF(P87&lt;'PlayerGrades+'!$AG$15,"D-",IF(P87&lt;'PlayerGrades+'!$AG$14,"D",IF(P87&lt;'PlayerGrades+'!$AG$13,"D+",IF(P87&lt;'PlayerGrades+'!$AG$12,"C-",IF(P87&lt;'PlayerGrades+'!$AG$11,"C",IF(P87&lt;'PlayerGrades+'!$AG$10,"C+",IF(P87&lt;'PlayerGrades+'!$AG$9,"B-",IF(P87&lt;'PlayerGrades+'!$AG$8,"B",IF(P87&lt;'PlayerGrades+'!$AG$7,"B+",IF(P87&lt;'PlayerGrades+'!$AG$6,"A-",IF(P87&lt;'PlayerGrades+'!$AG$5,"A",IF(P87&lt;'PlayerGrades+'!$AG$4,"A+",IF(P87&lt;'PlayerGrades+'!$AG$3,"S-",IF(P87&lt;'PlayerGrades+'!$AG$2,"S","S+"))))))))))))))))))))</f>
        <v>A</v>
      </c>
      <c r="R87" s="937">
        <f t="shared" si="8"/>
        <v>0.7562189055</v>
      </c>
      <c r="S87" s="937" t="str">
        <f>IF(R87&lt;'PlayerGrades+'!$AH$21,"F-",IF(R87&lt;'PlayerGrades+'!$AH$20,"F",IF(R87&lt;'PlayerGrades+'!$AH$19,"F+",IF(R87&lt;'PlayerGrades+'!$AH$18,"E-",IF(R87&lt;'PlayerGrades+'!$AH$17,"E",IF(R87&lt;'PlayerGrades+'!$AH$16,"E+",IF(R87&lt;'PlayerGrades+'!$AH$15,"D-",IF(R87&lt;'PlayerGrades+'!$AH$14,"D",IF(R87&lt;'PlayerGrades+'!$AH$13,"D+",IF(R87&lt;'PlayerGrades+'!$AH$12,"C-",IF(R87&lt;'PlayerGrades+'!$AH$11,"C",IF(R87&lt;'PlayerGrades+'!$AH$10,"C+",IF(R87&lt;'PlayerGrades+'!$AH$9,"B-",IF(R87&lt;'PlayerGrades+'!$AH$8,"B",IF(R87&lt;'PlayerGrades+'!$AH$7,"B+",IF(R87&lt;'PlayerGrades+'!$AH$6,"A-",IF(R87&lt;'PlayerGrades+'!$AH$5,"A",IF(R87&lt;'PlayerGrades+'!$AH$4,"A+",IF(R87&lt;'PlayerGrades+'!$AH$3,"S-",IF(R87&lt;'PlayerGrades+'!$AH$2,"S","S+"))))))))))))))))))))</f>
        <v>S</v>
      </c>
      <c r="T87" s="937">
        <f t="shared" si="9"/>
        <v>3.447761194</v>
      </c>
      <c r="U87" s="937" t="str">
        <f>IF(T87&lt;'PlayerGrades+'!$AI$21,"F-",IF(T87&lt;'PlayerGrades+'!$AI$20,"F",IF(T87&lt;'PlayerGrades+'!$AI$19,"F+",IF(T87&lt;'PlayerGrades+'!$AI$18,"E-",IF(T87&lt;'PlayerGrades+'!$AI$17,"E",IF(T87&lt;'PlayerGrades+'!$AI$16,"E+",IF(T87&lt;'PlayerGrades+'!$AI$15,"D-",IF(T87&lt;'PlayerGrades+'!$AI$14,"D",IF(T87&lt;'PlayerGrades+'!$AI$13,"D+",IF(T87&lt;'PlayerGrades+'!$AI$12,"C-",IF(T87&lt;'PlayerGrades+'!$AI$11,"C",IF(T87&lt;'PlayerGrades+'!$AI$10,"C+",IF(T87&lt;'PlayerGrades+'!$AI$9,"B-",IF(T87&lt;'PlayerGrades+'!$AI$8,"B",IF(T87&lt;'PlayerGrades+'!$AI$7,"B+",IF(T87&lt;'PlayerGrades+'!$AI$6,"A-",IF(T87&lt;'PlayerGrades+'!$AI$5,"A",IF(T87&lt;'PlayerGrades+'!$AI$4,"A+",IF(T87&lt;'PlayerGrades+'!$AI$3,"S-",IF(T87&lt;'PlayerGrades+'!$AI$2,"S","S+"))))))))))))))))))))</f>
        <v>S+</v>
      </c>
      <c r="V87" s="941">
        <v>1.0</v>
      </c>
      <c r="W87" s="941">
        <v>1.0</v>
      </c>
      <c r="X87" s="941">
        <v>0.0</v>
      </c>
      <c r="Y87" s="941">
        <v>0.0</v>
      </c>
      <c r="Z87" s="941">
        <v>2.0</v>
      </c>
      <c r="AA87" s="941">
        <v>431.0</v>
      </c>
      <c r="AB87" s="941">
        <v>361.0</v>
      </c>
      <c r="AC87" s="941">
        <v>70.0</v>
      </c>
      <c r="AD87" s="941">
        <v>26.0</v>
      </c>
      <c r="AE87" s="941">
        <v>8.0</v>
      </c>
      <c r="AF87" s="941">
        <v>5.0</v>
      </c>
      <c r="AG87" s="941">
        <v>4835.0</v>
      </c>
      <c r="AH87" s="941">
        <v>6030.0</v>
      </c>
      <c r="AI87" s="941">
        <v>13.0</v>
      </c>
      <c r="AJ87" s="941">
        <v>106.0</v>
      </c>
      <c r="AK87" s="941">
        <v>0.0</v>
      </c>
      <c r="AL87" s="941">
        <v>6.0</v>
      </c>
      <c r="AM87" s="941">
        <v>0.0</v>
      </c>
      <c r="AN87" s="941">
        <v>0.0</v>
      </c>
      <c r="AO87" s="941">
        <v>0.0</v>
      </c>
      <c r="AP87" s="941">
        <v>6.0</v>
      </c>
      <c r="AQ87" s="941">
        <v>0.0</v>
      </c>
      <c r="AR87" s="941">
        <v>71.0</v>
      </c>
      <c r="AS87" s="941">
        <v>17.0</v>
      </c>
      <c r="AT87" s="941">
        <v>4.0</v>
      </c>
      <c r="AU87" s="941">
        <v>0.0</v>
      </c>
      <c r="AV87" s="941">
        <v>0.0</v>
      </c>
      <c r="AW87" s="941">
        <v>0.0</v>
      </c>
      <c r="AX87" s="941">
        <v>0.0</v>
      </c>
      <c r="AY87" s="941">
        <v>0.0</v>
      </c>
      <c r="AZ87" s="941">
        <v>0.0</v>
      </c>
      <c r="BA87" s="941">
        <v>0.0</v>
      </c>
      <c r="BB87" s="941">
        <v>51.0</v>
      </c>
      <c r="BC87" s="941">
        <v>0.0</v>
      </c>
      <c r="BD87" s="941">
        <v>50.0</v>
      </c>
      <c r="BE87" s="942">
        <v>45.0</v>
      </c>
      <c r="BF87" s="941">
        <v>3.0</v>
      </c>
      <c r="BG87" s="941">
        <v>1.0</v>
      </c>
    </row>
    <row r="88">
      <c r="A88" s="935" t="s">
        <v>121</v>
      </c>
      <c r="B88" s="16" t="str">
        <f>IF(C88&lt;'PlayerGrades+'!$Y$44,"F-",IF(C88&lt;'PlayerGrades+'!$Y$43,"F",IF(C88&lt;'PlayerGrades+'!$Y$42,"F+",IF(C88&lt;'PlayerGrades+'!$Y$41,"E-",IF(C88&lt;'PlayerGrades+'!$Y$40,"E",IF(C88&lt;'PlayerGrades+'!$Y$39,"E+",IF(C88&lt;'PlayerGrades+'!$Y$38,"D-",IF(C88&lt;'PlayerGrades+'!$Y$37,"D",IF(C88&lt;'PlayerGrades+'!$Y$36,"D+",IF(C88&lt;'PlayerGrades+'!$Y$35,"C-",IF(C88&lt;'PlayerGrades+'!$Y$34,"C",IF(C88&lt;'PlayerGrades+'!$Y$33,"C+",IF(C88&lt;'PlayerGrades+'!$Y$32,"B-",IF(C88&lt;'PlayerGrades+'!$Y$31,"B",IF(C88&lt;'PlayerGrades+'!$Y$30,"B+",IF(C88&lt;'PlayerGrades+'!$Y$29,"A-",IF(C88&lt;'PlayerGrades+'!$Y$28,"A",IF(C88&lt;'PlayerGrades+'!$Y$27,"A+",IF(C88&lt;'PlayerGrades+'!$Y$26,"S-",IF(C88&lt;'PlayerGrades+'!$Y$25,"S","S+"))))))))))))))))))))</f>
        <v>B</v>
      </c>
      <c r="C88" s="936">
        <f>('PlayerGrades+'!$Y$47*(VLOOKUP(E88, 'PlayerGrades+'!$X$3:$Y$23, 2, FALSE)))+('PlayerGrades+'!$Y$48*(VLOOKUP(G88, 'PlayerGrades+'!$X$3:$Y$23, 2, FALSE)))+('PlayerGrades+'!$Y$49*(VLOOKUP(I88, 'PlayerGrades+'!$X$3:$Y$23, 2, FALSE)))+('PlayerGrades+'!$Y$50*(VLOOKUP(K88, 'PlayerGrades+'!$X$3:$Y$23, 2, FALSE)))+('PlayerGrades+'!$Y$51*(VLOOKUP(M88, 'PlayerGrades+'!$X$3:$Y$23, 2, FALSE)))+('PlayerGrades+'!$Y$52*(VLOOKUP(O88, 'PlayerGrades+'!$X$3:$Y$23, 2, FALSE)))+('PlayerGrades+'!$Y$53*(VLOOKUP(Q88, 'PlayerGrades+'!$X$3:$Y$23, 2, FALSE)))+('PlayerGrades+'!$Y$54*(VLOOKUP(S88, 'PlayerGrades+'!$X$3:$Y$23, 2, FALSE)))+('PlayerGrades+'!$Y$55*(VLOOKUP(U88, 'PlayerGrades+'!$X$3:$Y$23, 2, FALSE)))</f>
        <v>22.85</v>
      </c>
      <c r="D88" s="937">
        <f t="shared" si="1"/>
        <v>0.05970149254</v>
      </c>
      <c r="E88" s="937" t="str">
        <f>IF(D88&lt;'PlayerGrades+'!$AA$21,"F-",IF(D88&lt;'PlayerGrades+'!$AA$20,"F",IF(D88&lt;'PlayerGrades+'!$AA$19,"F+",IF(D88&lt;'PlayerGrades+'!$AA$18,"E-",IF(D88&lt;'PlayerGrades+'!$AA$17,"E",IF(D88&lt;'PlayerGrades+'!$AA$16,"E+",IF(D88&lt;'PlayerGrades+'!$AA$15,"D-",IF(D88&lt;'PlayerGrades+'!$AA$14,"D",IF(D88&lt;'PlayerGrades+'!$AA$13,"D+",IF(D88&lt;'PlayerGrades+'!$AA$12,"C-",IF(D88&lt;'PlayerGrades+'!$AA$11,"C",IF(D88&lt;'PlayerGrades+'!$AA$10,"C+",IF(D88&lt;'PlayerGrades+'!$AA$9,"B-",IF(D88&lt;'PlayerGrades+'!$AA$8,"B",IF(D88&lt;'PlayerGrades+'!$AA$7,"B+",IF(D88&lt;'PlayerGrades+'!$AA$6,"A-",IF(D88&lt;'PlayerGrades+'!$AA$5,"A",IF(D88&lt;'PlayerGrades+'!$AA$4,"A+",IF(D88&lt;'PlayerGrades+'!$AA$3,"S-",IF(D88&lt;'PlayerGrades+'!$AA$2,"S","S+"))))))))))))))))))))</f>
        <v>B-</v>
      </c>
      <c r="F88" s="937">
        <f t="shared" si="2"/>
        <v>0.4875621891</v>
      </c>
      <c r="G88" s="937" t="str">
        <f>IF(F88&lt;'PlayerGrades+'!$AB$21,"F-",IF(F88&lt;'PlayerGrades+'!$AB$20,"F",IF(F88&lt;'PlayerGrades+'!$AB$19,"F+",IF(F88&lt;'PlayerGrades+'!$AB$18,"E-",IF(F88&lt;'PlayerGrades+'!$AB$17,"E",IF(F88&lt;'PlayerGrades+'!$AB$16,"E+",IF(F88&lt;'PlayerGrades+'!$AB$15,"D-",IF(F88&lt;'PlayerGrades+'!$AB$14,"D",IF(F88&lt;'PlayerGrades+'!$AB$13,"D+",IF(F88&lt;'PlayerGrades+'!$AB$12,"C-",IF(F88&lt;'PlayerGrades+'!$AB$11,"C",IF(F88&lt;'PlayerGrades+'!$AB$10,"C+",IF(F88&lt;'PlayerGrades+'!$AB$9,"B-",IF(F88&lt;'PlayerGrades+'!$AB$8,"B",IF(F88&lt;'PlayerGrades+'!$AB$7,"B+",IF(F88&lt;'PlayerGrades+'!$AB$6,"A-",IF(F88&lt;'PlayerGrades+'!$AB$5,"A",IF(F88&lt;'PlayerGrades+'!$AB$4,"A+",IF(F88&lt;'PlayerGrades+'!$AB$3,"S-",IF(F88&lt;'PlayerGrades+'!$AB$2,"S","S+"))))))))))))))))))))</f>
        <v>A+</v>
      </c>
      <c r="H88" s="937">
        <f t="shared" si="3"/>
        <v>0.5074626866</v>
      </c>
      <c r="I88" s="937" t="str">
        <f>IF(H88&lt;'PlayerGrades+'!$AC$21,"F-",IF(H88&lt;'PlayerGrades+'!$AC$20,"F",IF(H88&lt;'PlayerGrades+'!$AC$19,"F+",IF(H88&lt;'PlayerGrades+'!$AC$18,"E-",IF(H88&lt;'PlayerGrades+'!$AC$17,"E",IF(H88&lt;'PlayerGrades+'!$AC$16,"E+",IF(H88&lt;'PlayerGrades+'!$AC$15,"D-",IF(H88&lt;'PlayerGrades+'!$AC$14,"D",IF(H88&lt;'PlayerGrades+'!$AC$13,"D+",IF(H88&lt;'PlayerGrades+'!$AC$12,"C-",IF(H88&lt;'PlayerGrades+'!$AC$11,"C",IF(H88&lt;'PlayerGrades+'!$AC$10,"C+",IF(H88&lt;'PlayerGrades+'!$AC$9,"B-",IF(H88&lt;'PlayerGrades+'!$AC$8,"B",IF(H88&lt;'PlayerGrades+'!$AC$7,"B+",IF(H88&lt;'PlayerGrades+'!$AC$6,"A-",IF(H88&lt;'PlayerGrades+'!$AC$5,"A",IF(H88&lt;'PlayerGrades+'!$AC$4,"A+",IF(H88&lt;'PlayerGrades+'!$AC$3,"S-",IF(H88&lt;'PlayerGrades+'!$AC$2,"S","S+"))))))))))))))))))))</f>
        <v>S+</v>
      </c>
      <c r="J88" s="937">
        <f t="shared" si="4"/>
        <v>0.02985074627</v>
      </c>
      <c r="K88" s="937" t="str">
        <f>IF(J88&lt;'PlayerGrades+'!$AD$21,"F-",IF(J88&lt;'PlayerGrades+'!$AD$20,"F",IF(J88&lt;'PlayerGrades+'!$AD$19,"F+",IF(J88&lt;'PlayerGrades+'!$AD$18,"E-",IF(J88&lt;'PlayerGrades+'!$AD$17,"E",IF(J88&lt;'PlayerGrades+'!$AD$16,"E+",IF(J88&lt;'PlayerGrades+'!$AD$15,"D-",IF(J88&lt;'PlayerGrades+'!$AD$14,"D",IF(J88&lt;'PlayerGrades+'!$AD$13,"D+",IF(J88&lt;'PlayerGrades+'!$AD$12,"C-",IF(J88&lt;'PlayerGrades+'!$AD$11,"C",IF(J88&lt;'PlayerGrades+'!$AD$10,"C+",IF(J88&lt;'PlayerGrades+'!$AD$9,"B-",IF(J88&lt;'PlayerGrades+'!$AD$8,"B",IF(J88&lt;'PlayerGrades+'!$AD$7,"B+",IF(J88&lt;'PlayerGrades+'!$AD$6,"A-",IF(J88&lt;'PlayerGrades+'!$AD$5,"A",IF(J88&lt;'PlayerGrades+'!$AD$4,"A+",IF(J88&lt;'PlayerGrades+'!$AD$3,"S-",IF(J88&lt;'PlayerGrades+'!$AD$2,"S","S+"))))))))))))))))))))</f>
        <v>C-</v>
      </c>
      <c r="L88" s="677">
        <f t="shared" si="5"/>
        <v>0.4577114428</v>
      </c>
      <c r="M88" s="938" t="str">
        <f>IF(L88&lt;'PlayerGrades+'!$AE$21,"F-",IF(L88&lt;'PlayerGrades+'!$AE$20,"F",IF(L88&lt;'PlayerGrades+'!$AE$19,"F+",IF(L88&lt;'PlayerGrades+'!$AE$18,"E-",IF(L88&lt;'PlayerGrades+'!$AE$17,"E",IF(L88&lt;'PlayerGrades+'!$AE$16,"E+",IF(L88&lt;'PlayerGrades+'!$AE$15,"D-",IF(L88&lt;'PlayerGrades+'!$AE$14,"D",IF(L88&lt;'PlayerGrades+'!$AE$13,"D+",IF(L88&lt;'PlayerGrades+'!$AE$12,"C-",IF(L88&lt;'PlayerGrades+'!$AE$11,"C",IF(L88&lt;'PlayerGrades+'!$AE$10,"C+",IF(L88&lt;'PlayerGrades+'!$AE$9,"B-",IF(L88&lt;'PlayerGrades+'!$AE$8,"B",IF(L88&lt;'PlayerGrades+'!$AE$7,"B+",IF(L88&lt;'PlayerGrades+'!$AE$6,"A-",IF(L88&lt;'PlayerGrades+'!$AE$5,"A",IF(L88&lt;'PlayerGrades+'!$AE$4,"A+",IF(L88&lt;'PlayerGrades+'!$AE$3,"S-",IF(L88&lt;'PlayerGrades+'!$AE$2,"S","S+"))))))))))))))))))))</f>
        <v>B+</v>
      </c>
      <c r="N88" s="937">
        <f t="shared" si="6"/>
        <v>0.03980099502</v>
      </c>
      <c r="O88" s="937" t="str">
        <f>IF(N88&lt;'PlayerGrades+'!$AF$21,"F-",IF(N88&lt;'PlayerGrades+'!$AF$20,"F",IF(N88&lt;'PlayerGrades+'!$AF$19,"F+",IF(N88&lt;'PlayerGrades+'!$AF$18,"E-",IF(N88&lt;'PlayerGrades+'!$AF$17,"E",IF(N88&lt;'PlayerGrades+'!$AF$16,"E+",IF(N88&lt;'PlayerGrades+'!$AF$15,"D-",IF(N88&lt;'PlayerGrades+'!$AF$14,"D",IF(N88&lt;'PlayerGrades+'!$AF$13,"D+",IF(N88&lt;'PlayerGrades+'!$AF$12,"C-",IF(N88&lt;'PlayerGrades+'!$AF$11,"C",IF(N88&lt;'PlayerGrades+'!$AF$10,"C+",IF(N88&lt;'PlayerGrades+'!$AF$9,"B-",IF(N88&lt;'PlayerGrades+'!$AF$8,"B",IF(N88&lt;'PlayerGrades+'!$AF$7,"B+",IF(N88&lt;'PlayerGrades+'!$AF$6,"A-",IF(N88&lt;'PlayerGrades+'!$AF$5,"A",IF(N88&lt;'PlayerGrades+'!$AF$4,"A+",IF(N88&lt;'PlayerGrades+'!$AF$3,"S-",IF(N88&lt;'PlayerGrades+'!$AF$2,"S","S+"))))))))))))))))))))</f>
        <v>E-</v>
      </c>
      <c r="P88" s="937">
        <f t="shared" si="7"/>
        <v>0.009950248756</v>
      </c>
      <c r="Q88" s="937" t="str">
        <f>IF(P88&lt;'PlayerGrades+'!$AG$21,"F-",IF(P88&lt;'PlayerGrades+'!$AG$20,"F",IF(P88&lt;'PlayerGrades+'!$AG$19,"F+",IF(P88&lt;'PlayerGrades+'!$AG$18,"E-",IF(P88&lt;'PlayerGrades+'!$AG$17,"E",IF(P88&lt;'PlayerGrades+'!$AG$16,"E+",IF(P88&lt;'PlayerGrades+'!$AG$15,"D-",IF(P88&lt;'PlayerGrades+'!$AG$14,"D",IF(P88&lt;'PlayerGrades+'!$AG$13,"D+",IF(P88&lt;'PlayerGrades+'!$AG$12,"C-",IF(P88&lt;'PlayerGrades+'!$AG$11,"C",IF(P88&lt;'PlayerGrades+'!$AG$10,"C+",IF(P88&lt;'PlayerGrades+'!$AG$9,"B-",IF(P88&lt;'PlayerGrades+'!$AG$8,"B",IF(P88&lt;'PlayerGrades+'!$AG$7,"B+",IF(P88&lt;'PlayerGrades+'!$AG$6,"A-",IF(P88&lt;'PlayerGrades+'!$AG$5,"A",IF(P88&lt;'PlayerGrades+'!$AG$4,"A+",IF(P88&lt;'PlayerGrades+'!$AG$3,"S-",IF(P88&lt;'PlayerGrades+'!$AG$2,"S","S+"))))))))))))))))))))</f>
        <v>E</v>
      </c>
      <c r="R88" s="937">
        <f t="shared" si="8"/>
        <v>0.5273631841</v>
      </c>
      <c r="S88" s="937" t="str">
        <f>IF(R88&lt;'PlayerGrades+'!$AH$21,"F-",IF(R88&lt;'PlayerGrades+'!$AH$20,"F",IF(R88&lt;'PlayerGrades+'!$AH$19,"F+",IF(R88&lt;'PlayerGrades+'!$AH$18,"E-",IF(R88&lt;'PlayerGrades+'!$AH$17,"E",IF(R88&lt;'PlayerGrades+'!$AH$16,"E+",IF(R88&lt;'PlayerGrades+'!$AH$15,"D-",IF(R88&lt;'PlayerGrades+'!$AH$14,"D",IF(R88&lt;'PlayerGrades+'!$AH$13,"D+",IF(R88&lt;'PlayerGrades+'!$AH$12,"C-",IF(R88&lt;'PlayerGrades+'!$AH$11,"C",IF(R88&lt;'PlayerGrades+'!$AH$10,"C+",IF(R88&lt;'PlayerGrades+'!$AH$9,"B-",IF(R88&lt;'PlayerGrades+'!$AH$8,"B",IF(R88&lt;'PlayerGrades+'!$AH$7,"B+",IF(R88&lt;'PlayerGrades+'!$AH$6,"A-",IF(R88&lt;'PlayerGrades+'!$AH$5,"A",IF(R88&lt;'PlayerGrades+'!$AH$4,"A+",IF(R88&lt;'PlayerGrades+'!$AH$3,"S-",IF(R88&lt;'PlayerGrades+'!$AH$2,"S","S+"))))))))))))))))))))</f>
        <v>C</v>
      </c>
      <c r="T88" s="937">
        <f t="shared" si="9"/>
        <v>1.358208955</v>
      </c>
      <c r="U88" s="937" t="str">
        <f>IF(T88&lt;'PlayerGrades+'!$AI$21,"F-",IF(T88&lt;'PlayerGrades+'!$AI$20,"F",IF(T88&lt;'PlayerGrades+'!$AI$19,"F+",IF(T88&lt;'PlayerGrades+'!$AI$18,"E-",IF(T88&lt;'PlayerGrades+'!$AI$17,"E",IF(T88&lt;'PlayerGrades+'!$AI$16,"E+",IF(T88&lt;'PlayerGrades+'!$AI$15,"D-",IF(T88&lt;'PlayerGrades+'!$AI$14,"D",IF(T88&lt;'PlayerGrades+'!$AI$13,"D+",IF(T88&lt;'PlayerGrades+'!$AI$12,"C-",IF(T88&lt;'PlayerGrades+'!$AI$11,"C",IF(T88&lt;'PlayerGrades+'!$AI$10,"C+",IF(T88&lt;'PlayerGrades+'!$AI$9,"B-",IF(T88&lt;'PlayerGrades+'!$AI$8,"B",IF(T88&lt;'PlayerGrades+'!$AI$7,"B+",IF(T88&lt;'PlayerGrades+'!$AI$6,"A-",IF(T88&lt;'PlayerGrades+'!$AI$5,"A",IF(T88&lt;'PlayerGrades+'!$AI$4,"A+",IF(T88&lt;'PlayerGrades+'!$AI$3,"S-",IF(T88&lt;'PlayerGrades+'!$AI$2,"S","S+"))))))))))))))))))))</f>
        <v>B</v>
      </c>
      <c r="V88" s="941">
        <v>1.0</v>
      </c>
      <c r="W88" s="941">
        <v>1.0</v>
      </c>
      <c r="X88" s="941">
        <v>0.0</v>
      </c>
      <c r="Y88" s="941">
        <v>1.0</v>
      </c>
      <c r="Z88" s="941">
        <v>5.0</v>
      </c>
      <c r="AA88" s="941">
        <v>341.0</v>
      </c>
      <c r="AB88" s="941">
        <v>292.0</v>
      </c>
      <c r="AC88" s="941">
        <v>49.0</v>
      </c>
      <c r="AD88" s="941">
        <v>16.0</v>
      </c>
      <c r="AE88" s="941">
        <v>6.0</v>
      </c>
      <c r="AF88" s="941">
        <v>3.0</v>
      </c>
      <c r="AG88" s="941">
        <v>5032.0</v>
      </c>
      <c r="AH88" s="941">
        <v>6030.0</v>
      </c>
      <c r="AI88" s="941">
        <v>17.0</v>
      </c>
      <c r="AJ88" s="941">
        <v>568.0</v>
      </c>
      <c r="AK88" s="941">
        <v>0.0</v>
      </c>
      <c r="AL88" s="941">
        <v>3.0</v>
      </c>
      <c r="AM88" s="941">
        <v>0.0</v>
      </c>
      <c r="AN88" s="941">
        <v>0.0</v>
      </c>
      <c r="AO88" s="941">
        <v>0.0</v>
      </c>
      <c r="AP88" s="941">
        <v>1.0</v>
      </c>
      <c r="AQ88" s="941">
        <v>0.0</v>
      </c>
      <c r="AR88" s="941">
        <v>46.0</v>
      </c>
      <c r="AS88" s="941">
        <v>4.0</v>
      </c>
      <c r="AT88" s="941">
        <v>2.0</v>
      </c>
      <c r="AU88" s="941">
        <v>0.0</v>
      </c>
      <c r="AV88" s="941">
        <v>0.0</v>
      </c>
      <c r="AW88" s="941">
        <v>0.0</v>
      </c>
      <c r="AX88" s="941">
        <v>0.0</v>
      </c>
      <c r="AY88" s="941">
        <v>0.0</v>
      </c>
      <c r="AZ88" s="941">
        <v>0.0</v>
      </c>
      <c r="BA88" s="941">
        <v>0.0</v>
      </c>
      <c r="BB88" s="941">
        <v>51.0</v>
      </c>
      <c r="BC88" s="941">
        <v>0.0</v>
      </c>
      <c r="BD88" s="941">
        <v>37.0</v>
      </c>
      <c r="BE88" s="942">
        <v>36.0</v>
      </c>
      <c r="BF88" s="941">
        <v>1.0</v>
      </c>
      <c r="BG88" s="941">
        <v>1.0</v>
      </c>
    </row>
    <row r="89">
      <c r="A89" s="943" t="s">
        <v>154</v>
      </c>
      <c r="B89" s="16" t="str">
        <f>IF(C89&lt;'PlayerGrades+'!$Y$44,"F-",IF(C89&lt;'PlayerGrades+'!$Y$43,"F",IF(C89&lt;'PlayerGrades+'!$Y$42,"F+",IF(C89&lt;'PlayerGrades+'!$Y$41,"E-",IF(C89&lt;'PlayerGrades+'!$Y$40,"E",IF(C89&lt;'PlayerGrades+'!$Y$39,"E+",IF(C89&lt;'PlayerGrades+'!$Y$38,"D-",IF(C89&lt;'PlayerGrades+'!$Y$37,"D",IF(C89&lt;'PlayerGrades+'!$Y$36,"D+",IF(C89&lt;'PlayerGrades+'!$Y$35,"C-",IF(C89&lt;'PlayerGrades+'!$Y$34,"C",IF(C89&lt;'PlayerGrades+'!$Y$33,"C+",IF(C89&lt;'PlayerGrades+'!$Y$32,"B-",IF(C89&lt;'PlayerGrades+'!$Y$31,"B",IF(C89&lt;'PlayerGrades+'!$Y$30,"B+",IF(C89&lt;'PlayerGrades+'!$Y$29,"A-",IF(C89&lt;'PlayerGrades+'!$Y$28,"A",IF(C89&lt;'PlayerGrades+'!$Y$27,"A+",IF(C89&lt;'PlayerGrades+'!$Y$26,"S-",IF(C89&lt;'PlayerGrades+'!$Y$25,"S","S+"))))))))))))))))))))</f>
        <v>F+</v>
      </c>
      <c r="C89" s="936">
        <f>('PlayerGrades+'!$Y$47*(VLOOKUP(E89, 'PlayerGrades+'!$X$3:$Y$23, 2, FALSE)))+('PlayerGrades+'!$Y$48*(VLOOKUP(G89, 'PlayerGrades+'!$X$3:$Y$23, 2, FALSE)))+('PlayerGrades+'!$Y$49*(VLOOKUP(I89, 'PlayerGrades+'!$X$3:$Y$23, 2, FALSE)))+('PlayerGrades+'!$Y$50*(VLOOKUP(K89, 'PlayerGrades+'!$X$3:$Y$23, 2, FALSE)))+('PlayerGrades+'!$Y$51*(VLOOKUP(M89, 'PlayerGrades+'!$X$3:$Y$23, 2, FALSE)))+('PlayerGrades+'!$Y$52*(VLOOKUP(O89, 'PlayerGrades+'!$X$3:$Y$23, 2, FALSE)))+('PlayerGrades+'!$Y$53*(VLOOKUP(Q89, 'PlayerGrades+'!$X$3:$Y$23, 2, FALSE)))+('PlayerGrades+'!$Y$54*(VLOOKUP(S89, 'PlayerGrades+'!$X$3:$Y$23, 2, FALSE)))+('PlayerGrades+'!$Y$55*(VLOOKUP(U89, 'PlayerGrades+'!$X$3:$Y$23, 2, FALSE)))</f>
        <v>10.4</v>
      </c>
      <c r="D89" s="937">
        <f t="shared" si="1"/>
        <v>0.1890547264</v>
      </c>
      <c r="E89" s="937" t="str">
        <f>IF(D89&lt;'PlayerGrades+'!$AA$21,"F-",IF(D89&lt;'PlayerGrades+'!$AA$20,"F",IF(D89&lt;'PlayerGrades+'!$AA$19,"F+",IF(D89&lt;'PlayerGrades+'!$AA$18,"E-",IF(D89&lt;'PlayerGrades+'!$AA$17,"E",IF(D89&lt;'PlayerGrades+'!$AA$16,"E+",IF(D89&lt;'PlayerGrades+'!$AA$15,"D-",IF(D89&lt;'PlayerGrades+'!$AA$14,"D",IF(D89&lt;'PlayerGrades+'!$AA$13,"D+",IF(D89&lt;'PlayerGrades+'!$AA$12,"C-",IF(D89&lt;'PlayerGrades+'!$AA$11,"C",IF(D89&lt;'PlayerGrades+'!$AA$10,"C+",IF(D89&lt;'PlayerGrades+'!$AA$9,"B-",IF(D89&lt;'PlayerGrades+'!$AA$8,"B",IF(D89&lt;'PlayerGrades+'!$AA$7,"B+",IF(D89&lt;'PlayerGrades+'!$AA$6,"A-",IF(D89&lt;'PlayerGrades+'!$AA$5,"A",IF(D89&lt;'PlayerGrades+'!$AA$4,"A+",IF(D89&lt;'PlayerGrades+'!$AA$3,"S-",IF(D89&lt;'PlayerGrades+'!$AA$2,"S","S+"))))))))))))))))))))</f>
        <v>B+</v>
      </c>
      <c r="F89" s="937">
        <f t="shared" si="2"/>
        <v>-0.2587064677</v>
      </c>
      <c r="G89" s="937" t="str">
        <f>IF(F89&lt;'PlayerGrades+'!$AB$21,"F-",IF(F89&lt;'PlayerGrades+'!$AB$20,"F",IF(F89&lt;'PlayerGrades+'!$AB$19,"F+",IF(F89&lt;'PlayerGrades+'!$AB$18,"E-",IF(F89&lt;'PlayerGrades+'!$AB$17,"E",IF(F89&lt;'PlayerGrades+'!$AB$16,"E+",IF(F89&lt;'PlayerGrades+'!$AB$15,"D-",IF(F89&lt;'PlayerGrades+'!$AB$14,"D",IF(F89&lt;'PlayerGrades+'!$AB$13,"D+",IF(F89&lt;'PlayerGrades+'!$AB$12,"C-",IF(F89&lt;'PlayerGrades+'!$AB$11,"C",IF(F89&lt;'PlayerGrades+'!$AB$10,"C+",IF(F89&lt;'PlayerGrades+'!$AB$9,"B-",IF(F89&lt;'PlayerGrades+'!$AB$8,"B",IF(F89&lt;'PlayerGrades+'!$AB$7,"B+",IF(F89&lt;'PlayerGrades+'!$AB$6,"A-",IF(F89&lt;'PlayerGrades+'!$AB$5,"A",IF(F89&lt;'PlayerGrades+'!$AB$4,"A+",IF(F89&lt;'PlayerGrades+'!$AB$3,"S-",IF(F89&lt;'PlayerGrades+'!$AB$2,"S","S+"))))))))))))))))))))</f>
        <v>C</v>
      </c>
      <c r="H89" s="937">
        <f t="shared" si="3"/>
        <v>0.08955223881</v>
      </c>
      <c r="I89" s="937" t="str">
        <f>IF(H89&lt;'PlayerGrades+'!$AC$21,"F-",IF(H89&lt;'PlayerGrades+'!$AC$20,"F",IF(H89&lt;'PlayerGrades+'!$AC$19,"F+",IF(H89&lt;'PlayerGrades+'!$AC$18,"E-",IF(H89&lt;'PlayerGrades+'!$AC$17,"E",IF(H89&lt;'PlayerGrades+'!$AC$16,"E+",IF(H89&lt;'PlayerGrades+'!$AC$15,"D-",IF(H89&lt;'PlayerGrades+'!$AC$14,"D",IF(H89&lt;'PlayerGrades+'!$AC$13,"D+",IF(H89&lt;'PlayerGrades+'!$AC$12,"C-",IF(H89&lt;'PlayerGrades+'!$AC$11,"C",IF(H89&lt;'PlayerGrades+'!$AC$10,"C+",IF(H89&lt;'PlayerGrades+'!$AC$9,"B-",IF(H89&lt;'PlayerGrades+'!$AC$8,"B",IF(H89&lt;'PlayerGrades+'!$AC$7,"B+",IF(H89&lt;'PlayerGrades+'!$AC$6,"A-",IF(H89&lt;'PlayerGrades+'!$AC$5,"A",IF(H89&lt;'PlayerGrades+'!$AC$4,"A+",IF(H89&lt;'PlayerGrades+'!$AC$3,"S-",IF(H89&lt;'PlayerGrades+'!$AC$2,"S","S+"))))))))))))))))))))</f>
        <v>D</v>
      </c>
      <c r="J89" s="937">
        <f t="shared" si="4"/>
        <v>0.009950248756</v>
      </c>
      <c r="K89" s="937" t="str">
        <f>IF(J89&lt;'PlayerGrades+'!$AD$21,"F-",IF(J89&lt;'PlayerGrades+'!$AD$20,"F",IF(J89&lt;'PlayerGrades+'!$AD$19,"F+",IF(J89&lt;'PlayerGrades+'!$AD$18,"E-",IF(J89&lt;'PlayerGrades+'!$AD$17,"E",IF(J89&lt;'PlayerGrades+'!$AD$16,"E+",IF(J89&lt;'PlayerGrades+'!$AD$15,"D-",IF(J89&lt;'PlayerGrades+'!$AD$14,"D",IF(J89&lt;'PlayerGrades+'!$AD$13,"D+",IF(J89&lt;'PlayerGrades+'!$AD$12,"C-",IF(J89&lt;'PlayerGrades+'!$AD$11,"C",IF(J89&lt;'PlayerGrades+'!$AD$10,"C+",IF(J89&lt;'PlayerGrades+'!$AD$9,"B-",IF(J89&lt;'PlayerGrades+'!$AD$8,"B",IF(J89&lt;'PlayerGrades+'!$AD$7,"B+",IF(J89&lt;'PlayerGrades+'!$AD$6,"A-",IF(J89&lt;'PlayerGrades+'!$AD$5,"A",IF(J89&lt;'PlayerGrades+'!$AD$4,"A+",IF(J89&lt;'PlayerGrades+'!$AD$3,"S-",IF(J89&lt;'PlayerGrades+'!$AD$2,"S","S+"))))))))))))))))))))</f>
        <v>F+</v>
      </c>
      <c r="L89" s="677">
        <f t="shared" si="5"/>
        <v>0.05970149254</v>
      </c>
      <c r="M89" s="938" t="str">
        <f>IF(L89&lt;'PlayerGrades+'!$AE$21,"F-",IF(L89&lt;'PlayerGrades+'!$AE$20,"F",IF(L89&lt;'PlayerGrades+'!$AE$19,"F+",IF(L89&lt;'PlayerGrades+'!$AE$18,"E-",IF(L89&lt;'PlayerGrades+'!$AE$17,"E",IF(L89&lt;'PlayerGrades+'!$AE$16,"E+",IF(L89&lt;'PlayerGrades+'!$AE$15,"D-",IF(L89&lt;'PlayerGrades+'!$AE$14,"D",IF(L89&lt;'PlayerGrades+'!$AE$13,"D+",IF(L89&lt;'PlayerGrades+'!$AE$12,"C-",IF(L89&lt;'PlayerGrades+'!$AE$11,"C",IF(L89&lt;'PlayerGrades+'!$AE$10,"C+",IF(L89&lt;'PlayerGrades+'!$AE$9,"B-",IF(L89&lt;'PlayerGrades+'!$AE$8,"B",IF(L89&lt;'PlayerGrades+'!$AE$7,"B+",IF(L89&lt;'PlayerGrades+'!$AE$6,"A-",IF(L89&lt;'PlayerGrades+'!$AE$5,"A",IF(L89&lt;'PlayerGrades+'!$AE$4,"A+",IF(L89&lt;'PlayerGrades+'!$AE$3,"S-",IF(L89&lt;'PlayerGrades+'!$AE$2,"S","S+"))))))))))))))))))))</f>
        <v>F-</v>
      </c>
      <c r="N89" s="937">
        <f t="shared" si="6"/>
        <v>0.009950248756</v>
      </c>
      <c r="O89" s="937" t="str">
        <f>IF(N89&lt;'PlayerGrades+'!$AF$21,"F-",IF(N89&lt;'PlayerGrades+'!$AF$20,"F",IF(N89&lt;'PlayerGrades+'!$AF$19,"F+",IF(N89&lt;'PlayerGrades+'!$AF$18,"E-",IF(N89&lt;'PlayerGrades+'!$AF$17,"E",IF(N89&lt;'PlayerGrades+'!$AF$16,"E+",IF(N89&lt;'PlayerGrades+'!$AF$15,"D-",IF(N89&lt;'PlayerGrades+'!$AF$14,"D",IF(N89&lt;'PlayerGrades+'!$AF$13,"D+",IF(N89&lt;'PlayerGrades+'!$AF$12,"C-",IF(N89&lt;'PlayerGrades+'!$AF$11,"C",IF(N89&lt;'PlayerGrades+'!$AF$10,"C+",IF(N89&lt;'PlayerGrades+'!$AF$9,"B-",IF(N89&lt;'PlayerGrades+'!$AF$8,"B",IF(N89&lt;'PlayerGrades+'!$AF$7,"B+",IF(N89&lt;'PlayerGrades+'!$AF$6,"A-",IF(N89&lt;'PlayerGrades+'!$AF$5,"A",IF(N89&lt;'PlayerGrades+'!$AF$4,"A+",IF(N89&lt;'PlayerGrades+'!$AF$3,"S-",IF(N89&lt;'PlayerGrades+'!$AF$2,"S","S+"))))))))))))))))))))</f>
        <v>F-</v>
      </c>
      <c r="P89" s="937">
        <f t="shared" si="7"/>
        <v>0</v>
      </c>
      <c r="Q89" s="937" t="str">
        <f>IF(P89&lt;'PlayerGrades+'!$AG$21,"F-",IF(P89&lt;'PlayerGrades+'!$AG$20,"F",IF(P89&lt;'PlayerGrades+'!$AG$19,"F+",IF(P89&lt;'PlayerGrades+'!$AG$18,"E-",IF(P89&lt;'PlayerGrades+'!$AG$17,"E",IF(P89&lt;'PlayerGrades+'!$AG$16,"E+",IF(P89&lt;'PlayerGrades+'!$AG$15,"D-",IF(P89&lt;'PlayerGrades+'!$AG$14,"D",IF(P89&lt;'PlayerGrades+'!$AG$13,"D+",IF(P89&lt;'PlayerGrades+'!$AG$12,"C-",IF(P89&lt;'PlayerGrades+'!$AG$11,"C",IF(P89&lt;'PlayerGrades+'!$AG$10,"C+",IF(P89&lt;'PlayerGrades+'!$AG$9,"B-",IF(P89&lt;'PlayerGrades+'!$AG$8,"B",IF(P89&lt;'PlayerGrades+'!$AG$7,"B+",IF(P89&lt;'PlayerGrades+'!$AG$6,"A-",IF(P89&lt;'PlayerGrades+'!$AG$5,"A",IF(P89&lt;'PlayerGrades+'!$AG$4,"A+",IF(P89&lt;'PlayerGrades+'!$AG$3,"S-",IF(P89&lt;'PlayerGrades+'!$AG$2,"S","S+"))))))))))))))))))))</f>
        <v>F</v>
      </c>
      <c r="R89" s="937">
        <f t="shared" si="8"/>
        <v>0.1393034826</v>
      </c>
      <c r="S89" s="937" t="str">
        <f>IF(R89&lt;'PlayerGrades+'!$AH$21,"F-",IF(R89&lt;'PlayerGrades+'!$AH$20,"F",IF(R89&lt;'PlayerGrades+'!$AH$19,"F+",IF(R89&lt;'PlayerGrades+'!$AH$18,"E-",IF(R89&lt;'PlayerGrades+'!$AH$17,"E",IF(R89&lt;'PlayerGrades+'!$AH$16,"E+",IF(R89&lt;'PlayerGrades+'!$AH$15,"D-",IF(R89&lt;'PlayerGrades+'!$AH$14,"D",IF(R89&lt;'PlayerGrades+'!$AH$13,"D+",IF(R89&lt;'PlayerGrades+'!$AH$12,"C-",IF(R89&lt;'PlayerGrades+'!$AH$11,"C",IF(R89&lt;'PlayerGrades+'!$AH$10,"C+",IF(R89&lt;'PlayerGrades+'!$AH$9,"B-",IF(R89&lt;'PlayerGrades+'!$AH$8,"B",IF(R89&lt;'PlayerGrades+'!$AH$7,"B+",IF(R89&lt;'PlayerGrades+'!$AH$6,"A-",IF(R89&lt;'PlayerGrades+'!$AH$5,"A",IF(R89&lt;'PlayerGrades+'!$AH$4,"A+",IF(R89&lt;'PlayerGrades+'!$AH$3,"S-",IF(R89&lt;'PlayerGrades+'!$AH$2,"S","S+"))))))))))))))))))))</f>
        <v>F-</v>
      </c>
      <c r="T89" s="937">
        <f t="shared" si="9"/>
        <v>0.1492537313</v>
      </c>
      <c r="U89" s="937" t="str">
        <f>IF(T89&lt;'PlayerGrades+'!$AI$21,"F-",IF(T89&lt;'PlayerGrades+'!$AI$20,"F",IF(T89&lt;'PlayerGrades+'!$AI$19,"F+",IF(T89&lt;'PlayerGrades+'!$AI$18,"E-",IF(T89&lt;'PlayerGrades+'!$AI$17,"E",IF(T89&lt;'PlayerGrades+'!$AI$16,"E+",IF(T89&lt;'PlayerGrades+'!$AI$15,"D-",IF(T89&lt;'PlayerGrades+'!$AI$14,"D",IF(T89&lt;'PlayerGrades+'!$AI$13,"D+",IF(T89&lt;'PlayerGrades+'!$AI$12,"C-",IF(T89&lt;'PlayerGrades+'!$AI$11,"C",IF(T89&lt;'PlayerGrades+'!$AI$10,"C+",IF(T89&lt;'PlayerGrades+'!$AI$9,"B-",IF(T89&lt;'PlayerGrades+'!$AI$8,"B",IF(T89&lt;'PlayerGrades+'!$AI$7,"B+",IF(T89&lt;'PlayerGrades+'!$AI$6,"A-",IF(T89&lt;'PlayerGrades+'!$AI$5,"A",IF(T89&lt;'PlayerGrades+'!$AI$4,"A+",IF(T89&lt;'PlayerGrades+'!$AI$3,"S-",IF(T89&lt;'PlayerGrades+'!$AI$2,"S","S+"))))))))))))))))))))</f>
        <v>F-</v>
      </c>
      <c r="V89" s="944">
        <v>1.0</v>
      </c>
      <c r="W89" s="944">
        <v>1.0</v>
      </c>
      <c r="X89" s="944">
        <v>0.0</v>
      </c>
      <c r="Y89" s="944">
        <v>4.0</v>
      </c>
      <c r="Z89" s="944">
        <v>15.0</v>
      </c>
      <c r="AA89" s="944">
        <v>99.0</v>
      </c>
      <c r="AB89" s="944">
        <v>125.0</v>
      </c>
      <c r="AC89" s="944">
        <v>-26.0</v>
      </c>
      <c r="AD89" s="944">
        <v>2.0</v>
      </c>
      <c r="AE89" s="944">
        <v>5.0</v>
      </c>
      <c r="AF89" s="944">
        <v>1.0</v>
      </c>
      <c r="AG89" s="944">
        <v>5532.0</v>
      </c>
      <c r="AH89" s="944">
        <v>6030.0</v>
      </c>
      <c r="AI89" s="944">
        <v>44.0</v>
      </c>
      <c r="AJ89" s="944">
        <v>3951.0</v>
      </c>
      <c r="AK89" s="944">
        <v>0.0</v>
      </c>
      <c r="AL89" s="944">
        <v>1.0</v>
      </c>
      <c r="AM89" s="944">
        <v>0.0</v>
      </c>
      <c r="AN89" s="944">
        <v>0.0</v>
      </c>
      <c r="AO89" s="944">
        <v>0.0</v>
      </c>
      <c r="AP89" s="944">
        <v>0.0</v>
      </c>
      <c r="AQ89" s="944">
        <v>0.0</v>
      </c>
      <c r="AR89" s="944">
        <v>6.0</v>
      </c>
      <c r="AS89" s="944">
        <v>1.0</v>
      </c>
      <c r="AT89" s="944">
        <v>0.0</v>
      </c>
      <c r="AU89" s="944">
        <v>0.0</v>
      </c>
      <c r="AV89" s="944">
        <v>0.0</v>
      </c>
      <c r="AW89" s="944">
        <v>0.0</v>
      </c>
      <c r="AX89" s="944">
        <v>0.0</v>
      </c>
      <c r="AY89" s="944">
        <v>0.0</v>
      </c>
      <c r="AZ89" s="944">
        <v>0.0</v>
      </c>
      <c r="BA89" s="944">
        <v>0.0</v>
      </c>
      <c r="BB89" s="944">
        <v>9.0</v>
      </c>
      <c r="BC89" s="882">
        <v>0.0</v>
      </c>
      <c r="BD89" s="882">
        <v>12.0</v>
      </c>
      <c r="BE89" s="948">
        <v>15.0</v>
      </c>
      <c r="BF89" s="941">
        <v>0.0</v>
      </c>
      <c r="BG89" s="941">
        <v>1.0</v>
      </c>
    </row>
    <row r="90">
      <c r="A90" s="946" t="s">
        <v>120</v>
      </c>
      <c r="B90" s="16" t="str">
        <f>IF(C90&lt;'PlayerGrades+'!$Y$44,"F-",IF(C90&lt;'PlayerGrades+'!$Y$43,"F",IF(C90&lt;'PlayerGrades+'!$Y$42,"F+",IF(C90&lt;'PlayerGrades+'!$Y$41,"E-",IF(C90&lt;'PlayerGrades+'!$Y$40,"E",IF(C90&lt;'PlayerGrades+'!$Y$39,"E+",IF(C90&lt;'PlayerGrades+'!$Y$38,"D-",IF(C90&lt;'PlayerGrades+'!$Y$37,"D",IF(C90&lt;'PlayerGrades+'!$Y$36,"D+",IF(C90&lt;'PlayerGrades+'!$Y$35,"C-",IF(C90&lt;'PlayerGrades+'!$Y$34,"C",IF(C90&lt;'PlayerGrades+'!$Y$33,"C+",IF(C90&lt;'PlayerGrades+'!$Y$32,"B-",IF(C90&lt;'PlayerGrades+'!$Y$31,"B",IF(C90&lt;'PlayerGrades+'!$Y$30,"B+",IF(C90&lt;'PlayerGrades+'!$Y$29,"A-",IF(C90&lt;'PlayerGrades+'!$Y$28,"A",IF(C90&lt;'PlayerGrades+'!$Y$27,"A+",IF(C90&lt;'PlayerGrades+'!$Y$26,"S-",IF(C90&lt;'PlayerGrades+'!$Y$25,"S","S+"))))))))))))))))))))</f>
        <v>C-</v>
      </c>
      <c r="C90" s="936">
        <f>('PlayerGrades+'!$Y$47*(VLOOKUP(E90, 'PlayerGrades+'!$X$3:$Y$23, 2, FALSE)))+('PlayerGrades+'!$Y$48*(VLOOKUP(G90, 'PlayerGrades+'!$X$3:$Y$23, 2, FALSE)))+('PlayerGrades+'!$Y$49*(VLOOKUP(I90, 'PlayerGrades+'!$X$3:$Y$23, 2, FALSE)))+('PlayerGrades+'!$Y$50*(VLOOKUP(K90, 'PlayerGrades+'!$X$3:$Y$23, 2, FALSE)))+('PlayerGrades+'!$Y$51*(VLOOKUP(M90, 'PlayerGrades+'!$X$3:$Y$23, 2, FALSE)))+('PlayerGrades+'!$Y$52*(VLOOKUP(O90, 'PlayerGrades+'!$X$3:$Y$23, 2, FALSE)))+('PlayerGrades+'!$Y$53*(VLOOKUP(Q90, 'PlayerGrades+'!$X$3:$Y$23, 2, FALSE)))+('PlayerGrades+'!$Y$54*(VLOOKUP(S90, 'PlayerGrades+'!$X$3:$Y$23, 2, FALSE)))+('PlayerGrades+'!$Y$55*(VLOOKUP(U90, 'PlayerGrades+'!$X$3:$Y$23, 2, FALSE)))</f>
        <v>18.25</v>
      </c>
      <c r="D90" s="937">
        <f t="shared" si="1"/>
        <v>0</v>
      </c>
      <c r="E90" s="937" t="str">
        <f>IF(D90&lt;'PlayerGrades+'!$AA$21,"F-",IF(D90&lt;'PlayerGrades+'!$AA$20,"F",IF(D90&lt;'PlayerGrades+'!$AA$19,"F+",IF(D90&lt;'PlayerGrades+'!$AA$18,"E-",IF(D90&lt;'PlayerGrades+'!$AA$17,"E",IF(D90&lt;'PlayerGrades+'!$AA$16,"E+",IF(D90&lt;'PlayerGrades+'!$AA$15,"D-",IF(D90&lt;'PlayerGrades+'!$AA$14,"D",IF(D90&lt;'PlayerGrades+'!$AA$13,"D+",IF(D90&lt;'PlayerGrades+'!$AA$12,"C-",IF(D90&lt;'PlayerGrades+'!$AA$11,"C",IF(D90&lt;'PlayerGrades+'!$AA$10,"C+",IF(D90&lt;'PlayerGrades+'!$AA$9,"B-",IF(D90&lt;'PlayerGrades+'!$AA$8,"B",IF(D90&lt;'PlayerGrades+'!$AA$7,"B+",IF(D90&lt;'PlayerGrades+'!$AA$6,"A-",IF(D90&lt;'PlayerGrades+'!$AA$5,"A",IF(D90&lt;'PlayerGrades+'!$AA$4,"A+",IF(D90&lt;'PlayerGrades+'!$AA$3,"S-",IF(D90&lt;'PlayerGrades+'!$AA$2,"S","S+"))))))))))))))))))))</f>
        <v>F-</v>
      </c>
      <c r="F90" s="937">
        <f t="shared" si="2"/>
        <v>-0.7672634271</v>
      </c>
      <c r="G90" s="937" t="str">
        <f>IF(F90&lt;'PlayerGrades+'!$AB$21,"F-",IF(F90&lt;'PlayerGrades+'!$AB$20,"F",IF(F90&lt;'PlayerGrades+'!$AB$19,"F+",IF(F90&lt;'PlayerGrades+'!$AB$18,"E-",IF(F90&lt;'PlayerGrades+'!$AB$17,"E",IF(F90&lt;'PlayerGrades+'!$AB$16,"E+",IF(F90&lt;'PlayerGrades+'!$AB$15,"D-",IF(F90&lt;'PlayerGrades+'!$AB$14,"D",IF(F90&lt;'PlayerGrades+'!$AB$13,"D+",IF(F90&lt;'PlayerGrades+'!$AB$12,"C-",IF(F90&lt;'PlayerGrades+'!$AB$11,"C",IF(F90&lt;'PlayerGrades+'!$AB$10,"C+",IF(F90&lt;'PlayerGrades+'!$AB$9,"B-",IF(F90&lt;'PlayerGrades+'!$AB$8,"B",IF(F90&lt;'PlayerGrades+'!$AB$7,"B+",IF(F90&lt;'PlayerGrades+'!$AB$6,"A-",IF(F90&lt;'PlayerGrades+'!$AB$5,"A",IF(F90&lt;'PlayerGrades+'!$AB$4,"A+",IF(F90&lt;'PlayerGrades+'!$AB$3,"S-",IF(F90&lt;'PlayerGrades+'!$AB$2,"S","S+"))))))))))))))))))))</f>
        <v>E</v>
      </c>
      <c r="H90" s="937">
        <f t="shared" si="3"/>
        <v>0.1023017903</v>
      </c>
      <c r="I90" s="937" t="str">
        <f>IF(H90&lt;'PlayerGrades+'!$AC$21,"F-",IF(H90&lt;'PlayerGrades+'!$AC$20,"F",IF(H90&lt;'PlayerGrades+'!$AC$19,"F+",IF(H90&lt;'PlayerGrades+'!$AC$18,"E-",IF(H90&lt;'PlayerGrades+'!$AC$17,"E",IF(H90&lt;'PlayerGrades+'!$AC$16,"E+",IF(H90&lt;'PlayerGrades+'!$AC$15,"D-",IF(H90&lt;'PlayerGrades+'!$AC$14,"D",IF(H90&lt;'PlayerGrades+'!$AC$13,"D+",IF(H90&lt;'PlayerGrades+'!$AC$12,"C-",IF(H90&lt;'PlayerGrades+'!$AC$11,"C",IF(H90&lt;'PlayerGrades+'!$AC$10,"C+",IF(H90&lt;'PlayerGrades+'!$AC$9,"B-",IF(H90&lt;'PlayerGrades+'!$AC$8,"B",IF(H90&lt;'PlayerGrades+'!$AC$7,"B+",IF(H90&lt;'PlayerGrades+'!$AC$6,"A-",IF(H90&lt;'PlayerGrades+'!$AC$5,"A",IF(H90&lt;'PlayerGrades+'!$AC$4,"A+",IF(H90&lt;'PlayerGrades+'!$AC$3,"S-",IF(H90&lt;'PlayerGrades+'!$AC$2,"S","S+"))))))))))))))))))))</f>
        <v>C-</v>
      </c>
      <c r="J90" s="937">
        <f t="shared" si="4"/>
        <v>0</v>
      </c>
      <c r="K90" s="937" t="str">
        <f>IF(J90&lt;'PlayerGrades+'!$AD$21,"F-",IF(J90&lt;'PlayerGrades+'!$AD$20,"F",IF(J90&lt;'PlayerGrades+'!$AD$19,"F+",IF(J90&lt;'PlayerGrades+'!$AD$18,"E-",IF(J90&lt;'PlayerGrades+'!$AD$17,"E",IF(J90&lt;'PlayerGrades+'!$AD$16,"E+",IF(J90&lt;'PlayerGrades+'!$AD$15,"D-",IF(J90&lt;'PlayerGrades+'!$AD$14,"D",IF(J90&lt;'PlayerGrades+'!$AD$13,"D+",IF(J90&lt;'PlayerGrades+'!$AD$12,"C-",IF(J90&lt;'PlayerGrades+'!$AD$11,"C",IF(J90&lt;'PlayerGrades+'!$AD$10,"C+",IF(J90&lt;'PlayerGrades+'!$AD$9,"B-",IF(J90&lt;'PlayerGrades+'!$AD$8,"B",IF(J90&lt;'PlayerGrades+'!$AD$7,"B+",IF(J90&lt;'PlayerGrades+'!$AD$6,"A-",IF(J90&lt;'PlayerGrades+'!$AD$5,"A",IF(J90&lt;'PlayerGrades+'!$AD$4,"A+",IF(J90&lt;'PlayerGrades+'!$AD$3,"S-",IF(J90&lt;'PlayerGrades+'!$AD$2,"S","S+"))))))))))))))))))))</f>
        <v>F-</v>
      </c>
      <c r="L90" s="677">
        <f t="shared" si="5"/>
        <v>0.716112532</v>
      </c>
      <c r="M90" s="938" t="str">
        <f>IF(L90&lt;'PlayerGrades+'!$AE$21,"F-",IF(L90&lt;'PlayerGrades+'!$AE$20,"F",IF(L90&lt;'PlayerGrades+'!$AE$19,"F+",IF(L90&lt;'PlayerGrades+'!$AE$18,"E-",IF(L90&lt;'PlayerGrades+'!$AE$17,"E",IF(L90&lt;'PlayerGrades+'!$AE$16,"E+",IF(L90&lt;'PlayerGrades+'!$AE$15,"D-",IF(L90&lt;'PlayerGrades+'!$AE$14,"D",IF(L90&lt;'PlayerGrades+'!$AE$13,"D+",IF(L90&lt;'PlayerGrades+'!$AE$12,"C-",IF(L90&lt;'PlayerGrades+'!$AE$11,"C",IF(L90&lt;'PlayerGrades+'!$AE$10,"C+",IF(L90&lt;'PlayerGrades+'!$AE$9,"B-",IF(L90&lt;'PlayerGrades+'!$AE$8,"B",IF(L90&lt;'PlayerGrades+'!$AE$7,"B+",IF(L90&lt;'PlayerGrades+'!$AE$6,"A-",IF(L90&lt;'PlayerGrades+'!$AE$5,"A",IF(L90&lt;'PlayerGrades+'!$AE$4,"A+",IF(L90&lt;'PlayerGrades+'!$AE$3,"S-",IF(L90&lt;'PlayerGrades+'!$AE$2,"S","S+"))))))))))))))))))))</f>
        <v>S+</v>
      </c>
      <c r="N90" s="937">
        <f t="shared" si="6"/>
        <v>0.05115089514</v>
      </c>
      <c r="O90" s="937" t="str">
        <f>IF(N90&lt;'PlayerGrades+'!$AF$21,"F-",IF(N90&lt;'PlayerGrades+'!$AF$20,"F",IF(N90&lt;'PlayerGrades+'!$AF$19,"F+",IF(N90&lt;'PlayerGrades+'!$AF$18,"E-",IF(N90&lt;'PlayerGrades+'!$AF$17,"E",IF(N90&lt;'PlayerGrades+'!$AF$16,"E+",IF(N90&lt;'PlayerGrades+'!$AF$15,"D-",IF(N90&lt;'PlayerGrades+'!$AF$14,"D",IF(N90&lt;'PlayerGrades+'!$AF$13,"D+",IF(N90&lt;'PlayerGrades+'!$AF$12,"C-",IF(N90&lt;'PlayerGrades+'!$AF$11,"C",IF(N90&lt;'PlayerGrades+'!$AF$10,"C+",IF(N90&lt;'PlayerGrades+'!$AF$9,"B-",IF(N90&lt;'PlayerGrades+'!$AF$8,"B",IF(N90&lt;'PlayerGrades+'!$AF$7,"B+",IF(N90&lt;'PlayerGrades+'!$AF$6,"A-",IF(N90&lt;'PlayerGrades+'!$AF$5,"A",IF(N90&lt;'PlayerGrades+'!$AF$4,"A+",IF(N90&lt;'PlayerGrades+'!$AF$3,"S-",IF(N90&lt;'PlayerGrades+'!$AF$2,"S","S+"))))))))))))))))))))</f>
        <v>D</v>
      </c>
      <c r="P90" s="937">
        <f t="shared" si="7"/>
        <v>0</v>
      </c>
      <c r="Q90" s="937" t="str">
        <f>IF(P90&lt;'PlayerGrades+'!$AG$21,"F-",IF(P90&lt;'PlayerGrades+'!$AG$20,"F",IF(P90&lt;'PlayerGrades+'!$AG$19,"F+",IF(P90&lt;'PlayerGrades+'!$AG$18,"E-",IF(P90&lt;'PlayerGrades+'!$AG$17,"E",IF(P90&lt;'PlayerGrades+'!$AG$16,"E+",IF(P90&lt;'PlayerGrades+'!$AG$15,"D-",IF(P90&lt;'PlayerGrades+'!$AG$14,"D",IF(P90&lt;'PlayerGrades+'!$AG$13,"D+",IF(P90&lt;'PlayerGrades+'!$AG$12,"C-",IF(P90&lt;'PlayerGrades+'!$AG$11,"C",IF(P90&lt;'PlayerGrades+'!$AG$10,"C+",IF(P90&lt;'PlayerGrades+'!$AG$9,"B-",IF(P90&lt;'PlayerGrades+'!$AG$8,"B",IF(P90&lt;'PlayerGrades+'!$AG$7,"B+",IF(P90&lt;'PlayerGrades+'!$AG$6,"A-",IF(P90&lt;'PlayerGrades+'!$AG$5,"A",IF(P90&lt;'PlayerGrades+'!$AG$4,"A+",IF(P90&lt;'PlayerGrades+'!$AG$3,"S-",IF(P90&lt;'PlayerGrades+'!$AG$2,"S","S+"))))))))))))))))))))</f>
        <v>F</v>
      </c>
      <c r="R90" s="937">
        <f t="shared" si="8"/>
        <v>0.716112532</v>
      </c>
      <c r="S90" s="937" t="str">
        <f>IF(R90&lt;'PlayerGrades+'!$AH$21,"F-",IF(R90&lt;'PlayerGrades+'!$AH$20,"F",IF(R90&lt;'PlayerGrades+'!$AH$19,"F+",IF(R90&lt;'PlayerGrades+'!$AH$18,"E-",IF(R90&lt;'PlayerGrades+'!$AH$17,"E",IF(R90&lt;'PlayerGrades+'!$AH$16,"E+",IF(R90&lt;'PlayerGrades+'!$AH$15,"D-",IF(R90&lt;'PlayerGrades+'!$AH$14,"D",IF(R90&lt;'PlayerGrades+'!$AH$13,"D+",IF(R90&lt;'PlayerGrades+'!$AH$12,"C-",IF(R90&lt;'PlayerGrades+'!$AH$11,"C",IF(R90&lt;'PlayerGrades+'!$AH$10,"C+",IF(R90&lt;'PlayerGrades+'!$AH$9,"B-",IF(R90&lt;'PlayerGrades+'!$AH$8,"B",IF(R90&lt;'PlayerGrades+'!$AH$7,"B+",IF(R90&lt;'PlayerGrades+'!$AH$6,"A-",IF(R90&lt;'PlayerGrades+'!$AH$5,"A",IF(R90&lt;'PlayerGrades+'!$AH$4,"A+",IF(R90&lt;'PlayerGrades+'!$AH$3,"S-",IF(R90&lt;'PlayerGrades+'!$AH$2,"S","S+"))))))))))))))))))))</f>
        <v>S</v>
      </c>
      <c r="T90" s="937">
        <f t="shared" si="9"/>
        <v>1.306905371</v>
      </c>
      <c r="U90" s="937" t="str">
        <f>IF(T90&lt;'PlayerGrades+'!$AI$21,"F-",IF(T90&lt;'PlayerGrades+'!$AI$20,"F",IF(T90&lt;'PlayerGrades+'!$AI$19,"F+",IF(T90&lt;'PlayerGrades+'!$AI$18,"E-",IF(T90&lt;'PlayerGrades+'!$AI$17,"E",IF(T90&lt;'PlayerGrades+'!$AI$16,"E+",IF(T90&lt;'PlayerGrades+'!$AI$15,"D-",IF(T90&lt;'PlayerGrades+'!$AI$14,"D",IF(T90&lt;'PlayerGrades+'!$AI$13,"D+",IF(T90&lt;'PlayerGrades+'!$AI$12,"C-",IF(T90&lt;'PlayerGrades+'!$AI$11,"C",IF(T90&lt;'PlayerGrades+'!$AI$10,"C+",IF(T90&lt;'PlayerGrades+'!$AI$9,"B-",IF(T90&lt;'PlayerGrades+'!$AI$8,"B",IF(T90&lt;'PlayerGrades+'!$AI$7,"B+",IF(T90&lt;'PlayerGrades+'!$AI$6,"A-",IF(T90&lt;'PlayerGrades+'!$AI$5,"A",IF(T90&lt;'PlayerGrades+'!$AI$4,"A+",IF(T90&lt;'PlayerGrades+'!$AI$3,"S-",IF(T90&lt;'PlayerGrades+'!$AI$2,"S","S+"))))))))))))))))))))</f>
        <v>C+</v>
      </c>
      <c r="V90" s="939">
        <v>1.0</v>
      </c>
      <c r="W90" s="939">
        <v>0.0</v>
      </c>
      <c r="X90" s="939">
        <v>1.0</v>
      </c>
      <c r="Y90" s="939">
        <v>0.0</v>
      </c>
      <c r="Z90" s="939">
        <v>0.0</v>
      </c>
      <c r="AA90" s="939">
        <v>76.0</v>
      </c>
      <c r="AB90" s="939">
        <v>91.0</v>
      </c>
      <c r="AC90" s="939">
        <v>-15.0</v>
      </c>
      <c r="AD90" s="939">
        <v>6.0</v>
      </c>
      <c r="AE90" s="939">
        <v>4.0</v>
      </c>
      <c r="AF90" s="939">
        <v>1.0</v>
      </c>
      <c r="AG90" s="939">
        <v>825.0</v>
      </c>
      <c r="AH90" s="939">
        <v>1173.0</v>
      </c>
      <c r="AI90" s="939">
        <v>9.0</v>
      </c>
      <c r="AJ90" s="939">
        <v>0.0</v>
      </c>
      <c r="AK90" s="939">
        <v>0.0</v>
      </c>
      <c r="AL90" s="939">
        <v>0.0</v>
      </c>
      <c r="AM90" s="939">
        <v>0.0</v>
      </c>
      <c r="AN90" s="939">
        <v>0.0</v>
      </c>
      <c r="AO90" s="939">
        <v>0.0</v>
      </c>
      <c r="AP90" s="939">
        <v>0.0</v>
      </c>
      <c r="AQ90" s="939">
        <v>0.0</v>
      </c>
      <c r="AR90" s="939">
        <v>14.0</v>
      </c>
      <c r="AS90" s="939">
        <v>1.0</v>
      </c>
      <c r="AT90" s="939">
        <v>0.0</v>
      </c>
      <c r="AU90" s="939">
        <v>0.0</v>
      </c>
      <c r="AV90" s="939">
        <v>0.0</v>
      </c>
      <c r="AW90" s="939">
        <v>0.0</v>
      </c>
      <c r="AX90" s="939">
        <v>0.0</v>
      </c>
      <c r="AY90" s="939">
        <v>0.0</v>
      </c>
      <c r="AZ90" s="939">
        <v>0.0</v>
      </c>
      <c r="BA90" s="939">
        <v>0.0</v>
      </c>
      <c r="BB90" s="939">
        <v>2.0</v>
      </c>
      <c r="BC90" s="895">
        <v>0.0</v>
      </c>
      <c r="BD90" s="895">
        <v>8.0</v>
      </c>
      <c r="BE90" s="947">
        <v>6.0</v>
      </c>
      <c r="BF90" s="941">
        <v>1.0</v>
      </c>
      <c r="BG90" s="941">
        <v>0.0</v>
      </c>
    </row>
    <row r="91">
      <c r="A91" s="935" t="s">
        <v>142</v>
      </c>
      <c r="B91" s="16" t="str">
        <f>IF(C91&lt;'PlayerGrades+'!$Y$44,"F-",IF(C91&lt;'PlayerGrades+'!$Y$43,"F",IF(C91&lt;'PlayerGrades+'!$Y$42,"F+",IF(C91&lt;'PlayerGrades+'!$Y$41,"E-",IF(C91&lt;'PlayerGrades+'!$Y$40,"E",IF(C91&lt;'PlayerGrades+'!$Y$39,"E+",IF(C91&lt;'PlayerGrades+'!$Y$38,"D-",IF(C91&lt;'PlayerGrades+'!$Y$37,"D",IF(C91&lt;'PlayerGrades+'!$Y$36,"D+",IF(C91&lt;'PlayerGrades+'!$Y$35,"C-",IF(C91&lt;'PlayerGrades+'!$Y$34,"C",IF(C91&lt;'PlayerGrades+'!$Y$33,"C+",IF(C91&lt;'PlayerGrades+'!$Y$32,"B-",IF(C91&lt;'PlayerGrades+'!$Y$31,"B",IF(C91&lt;'PlayerGrades+'!$Y$30,"B+",IF(C91&lt;'PlayerGrades+'!$Y$29,"A-",IF(C91&lt;'PlayerGrades+'!$Y$28,"A",IF(C91&lt;'PlayerGrades+'!$Y$27,"A+",IF(C91&lt;'PlayerGrades+'!$Y$26,"S-",IF(C91&lt;'PlayerGrades+'!$Y$25,"S","S+"))))))))))))))))))))</f>
        <v>B-</v>
      </c>
      <c r="C91" s="936">
        <f>('PlayerGrades+'!$Y$47*(VLOOKUP(E91, 'PlayerGrades+'!$X$3:$Y$23, 2, FALSE)))+('PlayerGrades+'!$Y$48*(VLOOKUP(G91, 'PlayerGrades+'!$X$3:$Y$23, 2, FALSE)))+('PlayerGrades+'!$Y$49*(VLOOKUP(I91, 'PlayerGrades+'!$X$3:$Y$23, 2, FALSE)))+('PlayerGrades+'!$Y$50*(VLOOKUP(K91, 'PlayerGrades+'!$X$3:$Y$23, 2, FALSE)))+('PlayerGrades+'!$Y$51*(VLOOKUP(M91, 'PlayerGrades+'!$X$3:$Y$23, 2, FALSE)))+('PlayerGrades+'!$Y$52*(VLOOKUP(O91, 'PlayerGrades+'!$X$3:$Y$23, 2, FALSE)))+('PlayerGrades+'!$Y$53*(VLOOKUP(Q91, 'PlayerGrades+'!$X$3:$Y$23, 2, FALSE)))+('PlayerGrades+'!$Y$54*(VLOOKUP(S91, 'PlayerGrades+'!$X$3:$Y$23, 2, FALSE)))+('PlayerGrades+'!$Y$55*(VLOOKUP(U91, 'PlayerGrades+'!$X$3:$Y$23, 2, FALSE)))</f>
        <v>22.25</v>
      </c>
      <c r="D91" s="937">
        <f t="shared" si="1"/>
        <v>0.05115089514</v>
      </c>
      <c r="E91" s="937" t="str">
        <f>IF(D91&lt;'PlayerGrades+'!$AA$21,"F-",IF(D91&lt;'PlayerGrades+'!$AA$20,"F",IF(D91&lt;'PlayerGrades+'!$AA$19,"F+",IF(D91&lt;'PlayerGrades+'!$AA$18,"E-",IF(D91&lt;'PlayerGrades+'!$AA$17,"E",IF(D91&lt;'PlayerGrades+'!$AA$16,"E+",IF(D91&lt;'PlayerGrades+'!$AA$15,"D-",IF(D91&lt;'PlayerGrades+'!$AA$14,"D",IF(D91&lt;'PlayerGrades+'!$AA$13,"D+",IF(D91&lt;'PlayerGrades+'!$AA$12,"C-",IF(D91&lt;'PlayerGrades+'!$AA$11,"C",IF(D91&lt;'PlayerGrades+'!$AA$10,"C+",IF(D91&lt;'PlayerGrades+'!$AA$9,"B-",IF(D91&lt;'PlayerGrades+'!$AA$8,"B",IF(D91&lt;'PlayerGrades+'!$AA$7,"B+",IF(D91&lt;'PlayerGrades+'!$AA$6,"A-",IF(D91&lt;'PlayerGrades+'!$AA$5,"A",IF(D91&lt;'PlayerGrades+'!$AA$4,"A+",IF(D91&lt;'PlayerGrades+'!$AA$3,"S-",IF(D91&lt;'PlayerGrades+'!$AA$2,"S","S+"))))))))))))))))))))</f>
        <v>C+</v>
      </c>
      <c r="F91" s="937">
        <f t="shared" si="2"/>
        <v>-0.1534526854</v>
      </c>
      <c r="G91" s="937" t="str">
        <f>IF(F91&lt;'PlayerGrades+'!$AB$21,"F-",IF(F91&lt;'PlayerGrades+'!$AB$20,"F",IF(F91&lt;'PlayerGrades+'!$AB$19,"F+",IF(F91&lt;'PlayerGrades+'!$AB$18,"E-",IF(F91&lt;'PlayerGrades+'!$AB$17,"E",IF(F91&lt;'PlayerGrades+'!$AB$16,"E+",IF(F91&lt;'PlayerGrades+'!$AB$15,"D-",IF(F91&lt;'PlayerGrades+'!$AB$14,"D",IF(F91&lt;'PlayerGrades+'!$AB$13,"D+",IF(F91&lt;'PlayerGrades+'!$AB$12,"C-",IF(F91&lt;'PlayerGrades+'!$AB$11,"C",IF(F91&lt;'PlayerGrades+'!$AB$10,"C+",IF(F91&lt;'PlayerGrades+'!$AB$9,"B-",IF(F91&lt;'PlayerGrades+'!$AB$8,"B",IF(F91&lt;'PlayerGrades+'!$AB$7,"B+",IF(F91&lt;'PlayerGrades+'!$AB$6,"A-",IF(F91&lt;'PlayerGrades+'!$AB$5,"A",IF(F91&lt;'PlayerGrades+'!$AB$4,"A+",IF(F91&lt;'PlayerGrades+'!$AB$3,"S-",IF(F91&lt;'PlayerGrades+'!$AB$2,"S","S+"))))))))))))))))))))</f>
        <v>C+</v>
      </c>
      <c r="H91" s="937">
        <f t="shared" si="3"/>
        <v>0.2046035806</v>
      </c>
      <c r="I91" s="937" t="str">
        <f>IF(H91&lt;'PlayerGrades+'!$AC$21,"F-",IF(H91&lt;'PlayerGrades+'!$AC$20,"F",IF(H91&lt;'PlayerGrades+'!$AC$19,"F+",IF(H91&lt;'PlayerGrades+'!$AC$18,"E-",IF(H91&lt;'PlayerGrades+'!$AC$17,"E",IF(H91&lt;'PlayerGrades+'!$AC$16,"E+",IF(H91&lt;'PlayerGrades+'!$AC$15,"D-",IF(H91&lt;'PlayerGrades+'!$AC$14,"D",IF(H91&lt;'PlayerGrades+'!$AC$13,"D+",IF(H91&lt;'PlayerGrades+'!$AC$12,"C-",IF(H91&lt;'PlayerGrades+'!$AC$11,"C",IF(H91&lt;'PlayerGrades+'!$AC$10,"C+",IF(H91&lt;'PlayerGrades+'!$AC$9,"B-",IF(H91&lt;'PlayerGrades+'!$AC$8,"B",IF(H91&lt;'PlayerGrades+'!$AC$7,"B+",IF(H91&lt;'PlayerGrades+'!$AC$6,"A-",IF(H91&lt;'PlayerGrades+'!$AC$5,"A",IF(H91&lt;'PlayerGrades+'!$AC$4,"A+",IF(H91&lt;'PlayerGrades+'!$AC$3,"S-",IF(H91&lt;'PlayerGrades+'!$AC$2,"S","S+"))))))))))))))))))))</f>
        <v>S</v>
      </c>
      <c r="J91" s="937">
        <f t="shared" si="4"/>
        <v>0</v>
      </c>
      <c r="K91" s="937" t="str">
        <f>IF(J91&lt;'PlayerGrades+'!$AD$21,"F-",IF(J91&lt;'PlayerGrades+'!$AD$20,"F",IF(J91&lt;'PlayerGrades+'!$AD$19,"F+",IF(J91&lt;'PlayerGrades+'!$AD$18,"E-",IF(J91&lt;'PlayerGrades+'!$AD$17,"E",IF(J91&lt;'PlayerGrades+'!$AD$16,"E+",IF(J91&lt;'PlayerGrades+'!$AD$15,"D-",IF(J91&lt;'PlayerGrades+'!$AD$14,"D",IF(J91&lt;'PlayerGrades+'!$AD$13,"D+",IF(J91&lt;'PlayerGrades+'!$AD$12,"C-",IF(J91&lt;'PlayerGrades+'!$AD$11,"C",IF(J91&lt;'PlayerGrades+'!$AD$10,"C+",IF(J91&lt;'PlayerGrades+'!$AD$9,"B-",IF(J91&lt;'PlayerGrades+'!$AD$8,"B",IF(J91&lt;'PlayerGrades+'!$AD$7,"B+",IF(J91&lt;'PlayerGrades+'!$AD$6,"A-",IF(J91&lt;'PlayerGrades+'!$AD$5,"A",IF(J91&lt;'PlayerGrades+'!$AD$4,"A+",IF(J91&lt;'PlayerGrades+'!$AD$3,"S-",IF(J91&lt;'PlayerGrades+'!$AD$2,"S","S+"))))))))))))))))))))</f>
        <v>F-</v>
      </c>
      <c r="L91" s="677">
        <f t="shared" si="5"/>
        <v>0.5626598465</v>
      </c>
      <c r="M91" s="938" t="str">
        <f>IF(L91&lt;'PlayerGrades+'!$AE$21,"F-",IF(L91&lt;'PlayerGrades+'!$AE$20,"F",IF(L91&lt;'PlayerGrades+'!$AE$19,"F+",IF(L91&lt;'PlayerGrades+'!$AE$18,"E-",IF(L91&lt;'PlayerGrades+'!$AE$17,"E",IF(L91&lt;'PlayerGrades+'!$AE$16,"E+",IF(L91&lt;'PlayerGrades+'!$AE$15,"D-",IF(L91&lt;'PlayerGrades+'!$AE$14,"D",IF(L91&lt;'PlayerGrades+'!$AE$13,"D+",IF(L91&lt;'PlayerGrades+'!$AE$12,"C-",IF(L91&lt;'PlayerGrades+'!$AE$11,"C",IF(L91&lt;'PlayerGrades+'!$AE$10,"C+",IF(L91&lt;'PlayerGrades+'!$AE$9,"B-",IF(L91&lt;'PlayerGrades+'!$AE$8,"B",IF(L91&lt;'PlayerGrades+'!$AE$7,"B+",IF(L91&lt;'PlayerGrades+'!$AE$6,"A-",IF(L91&lt;'PlayerGrades+'!$AE$5,"A",IF(L91&lt;'PlayerGrades+'!$AE$4,"A+",IF(L91&lt;'PlayerGrades+'!$AE$3,"S-",IF(L91&lt;'PlayerGrades+'!$AE$2,"S","S+"))))))))))))))))))))</f>
        <v>A</v>
      </c>
      <c r="N91" s="937">
        <f t="shared" si="6"/>
        <v>0</v>
      </c>
      <c r="O91" s="937" t="str">
        <f>IF(N91&lt;'PlayerGrades+'!$AF$21,"F-",IF(N91&lt;'PlayerGrades+'!$AF$20,"F",IF(N91&lt;'PlayerGrades+'!$AF$19,"F+",IF(N91&lt;'PlayerGrades+'!$AF$18,"E-",IF(N91&lt;'PlayerGrades+'!$AF$17,"E",IF(N91&lt;'PlayerGrades+'!$AF$16,"E+",IF(N91&lt;'PlayerGrades+'!$AF$15,"D-",IF(N91&lt;'PlayerGrades+'!$AF$14,"D",IF(N91&lt;'PlayerGrades+'!$AF$13,"D+",IF(N91&lt;'PlayerGrades+'!$AF$12,"C-",IF(N91&lt;'PlayerGrades+'!$AF$11,"C",IF(N91&lt;'PlayerGrades+'!$AF$10,"C+",IF(N91&lt;'PlayerGrades+'!$AF$9,"B-",IF(N91&lt;'PlayerGrades+'!$AF$8,"B",IF(N91&lt;'PlayerGrades+'!$AF$7,"B+",IF(N91&lt;'PlayerGrades+'!$AF$6,"A-",IF(N91&lt;'PlayerGrades+'!$AF$5,"A",IF(N91&lt;'PlayerGrades+'!$AF$4,"A+",IF(N91&lt;'PlayerGrades+'!$AF$3,"S-",IF(N91&lt;'PlayerGrades+'!$AF$2,"S","S+"))))))))))))))))))))</f>
        <v>F-</v>
      </c>
      <c r="P91" s="937">
        <f t="shared" si="7"/>
        <v>0</v>
      </c>
      <c r="Q91" s="937" t="str">
        <f>IF(P91&lt;'PlayerGrades+'!$AG$21,"F-",IF(P91&lt;'PlayerGrades+'!$AG$20,"F",IF(P91&lt;'PlayerGrades+'!$AG$19,"F+",IF(P91&lt;'PlayerGrades+'!$AG$18,"E-",IF(P91&lt;'PlayerGrades+'!$AG$17,"E",IF(P91&lt;'PlayerGrades+'!$AG$16,"E+",IF(P91&lt;'PlayerGrades+'!$AG$15,"D-",IF(P91&lt;'PlayerGrades+'!$AG$14,"D",IF(P91&lt;'PlayerGrades+'!$AG$13,"D+",IF(P91&lt;'PlayerGrades+'!$AG$12,"C-",IF(P91&lt;'PlayerGrades+'!$AG$11,"C",IF(P91&lt;'PlayerGrades+'!$AG$10,"C+",IF(P91&lt;'PlayerGrades+'!$AG$9,"B-",IF(P91&lt;'PlayerGrades+'!$AG$8,"B",IF(P91&lt;'PlayerGrades+'!$AG$7,"B+",IF(P91&lt;'PlayerGrades+'!$AG$6,"A-",IF(P91&lt;'PlayerGrades+'!$AG$5,"A",IF(P91&lt;'PlayerGrades+'!$AG$4,"A+",IF(P91&lt;'PlayerGrades+'!$AG$3,"S-",IF(P91&lt;'PlayerGrades+'!$AG$2,"S","S+"))))))))))))))))))))</f>
        <v>F</v>
      </c>
      <c r="R91" s="937">
        <f t="shared" si="8"/>
        <v>0.8184143223</v>
      </c>
      <c r="S91" s="937" t="str">
        <f>IF(R91&lt;'PlayerGrades+'!$AH$21,"F-",IF(R91&lt;'PlayerGrades+'!$AH$20,"F",IF(R91&lt;'PlayerGrades+'!$AH$19,"F+",IF(R91&lt;'PlayerGrades+'!$AH$18,"E-",IF(R91&lt;'PlayerGrades+'!$AH$17,"E",IF(R91&lt;'PlayerGrades+'!$AH$16,"E+",IF(R91&lt;'PlayerGrades+'!$AH$15,"D-",IF(R91&lt;'PlayerGrades+'!$AH$14,"D",IF(R91&lt;'PlayerGrades+'!$AH$13,"D+",IF(R91&lt;'PlayerGrades+'!$AH$12,"C-",IF(R91&lt;'PlayerGrades+'!$AH$11,"C",IF(R91&lt;'PlayerGrades+'!$AH$10,"C+",IF(R91&lt;'PlayerGrades+'!$AH$9,"B-",IF(R91&lt;'PlayerGrades+'!$AH$8,"B",IF(R91&lt;'PlayerGrades+'!$AH$7,"B+",IF(R91&lt;'PlayerGrades+'!$AH$6,"A-",IF(R91&lt;'PlayerGrades+'!$AH$5,"A",IF(R91&lt;'PlayerGrades+'!$AH$4,"A+",IF(R91&lt;'PlayerGrades+'!$AH$3,"S-",IF(R91&lt;'PlayerGrades+'!$AH$2,"S","S+"))))))))))))))))))))</f>
        <v>S+</v>
      </c>
      <c r="T91" s="937">
        <f t="shared" si="9"/>
        <v>1.613810742</v>
      </c>
      <c r="U91" s="937" t="str">
        <f>IF(T91&lt;'PlayerGrades+'!$AI$21,"F-",IF(T91&lt;'PlayerGrades+'!$AI$20,"F",IF(T91&lt;'PlayerGrades+'!$AI$19,"F+",IF(T91&lt;'PlayerGrades+'!$AI$18,"E-",IF(T91&lt;'PlayerGrades+'!$AI$17,"E",IF(T91&lt;'PlayerGrades+'!$AI$16,"E+",IF(T91&lt;'PlayerGrades+'!$AI$15,"D-",IF(T91&lt;'PlayerGrades+'!$AI$14,"D",IF(T91&lt;'PlayerGrades+'!$AI$13,"D+",IF(T91&lt;'PlayerGrades+'!$AI$12,"C-",IF(T91&lt;'PlayerGrades+'!$AI$11,"C",IF(T91&lt;'PlayerGrades+'!$AI$10,"C+",IF(T91&lt;'PlayerGrades+'!$AI$9,"B-",IF(T91&lt;'PlayerGrades+'!$AI$8,"B",IF(T91&lt;'PlayerGrades+'!$AI$7,"B+",IF(T91&lt;'PlayerGrades+'!$AI$6,"A-",IF(T91&lt;'PlayerGrades+'!$AI$5,"A",IF(T91&lt;'PlayerGrades+'!$AI$4,"A+",IF(T91&lt;'PlayerGrades+'!$AI$3,"S-",IF(T91&lt;'PlayerGrades+'!$AI$2,"S","S+"))))))))))))))))))))</f>
        <v>S-</v>
      </c>
      <c r="V91" s="941">
        <v>1.0</v>
      </c>
      <c r="W91" s="941">
        <v>0.0</v>
      </c>
      <c r="X91" s="941">
        <v>1.0</v>
      </c>
      <c r="Y91" s="941">
        <v>0.0</v>
      </c>
      <c r="Z91" s="941">
        <v>1.0</v>
      </c>
      <c r="AA91" s="941">
        <v>71.0</v>
      </c>
      <c r="AB91" s="941">
        <v>74.0</v>
      </c>
      <c r="AC91" s="941">
        <v>-3.0</v>
      </c>
      <c r="AD91" s="941">
        <v>7.0</v>
      </c>
      <c r="AE91" s="941">
        <v>4.0</v>
      </c>
      <c r="AF91" s="941">
        <v>3.0</v>
      </c>
      <c r="AG91" s="941">
        <v>874.0</v>
      </c>
      <c r="AH91" s="941">
        <v>1173.0</v>
      </c>
      <c r="AI91" s="941">
        <v>11.0</v>
      </c>
      <c r="AJ91" s="941">
        <v>24.0</v>
      </c>
      <c r="AK91" s="941">
        <v>0.0</v>
      </c>
      <c r="AL91" s="941">
        <v>0.0</v>
      </c>
      <c r="AM91" s="941">
        <v>0.0</v>
      </c>
      <c r="AN91" s="941">
        <v>0.0</v>
      </c>
      <c r="AO91" s="941">
        <v>0.0</v>
      </c>
      <c r="AP91" s="941">
        <v>0.0</v>
      </c>
      <c r="AQ91" s="941">
        <v>0.0</v>
      </c>
      <c r="AR91" s="941">
        <v>11.0</v>
      </c>
      <c r="AS91" s="941">
        <v>0.0</v>
      </c>
      <c r="AT91" s="941">
        <v>0.0</v>
      </c>
      <c r="AU91" s="941">
        <v>0.0</v>
      </c>
      <c r="AV91" s="941">
        <v>0.0</v>
      </c>
      <c r="AW91" s="941">
        <v>0.0</v>
      </c>
      <c r="AX91" s="941">
        <v>0.0</v>
      </c>
      <c r="AY91" s="941">
        <v>0.0</v>
      </c>
      <c r="AZ91" s="941">
        <v>0.0</v>
      </c>
      <c r="BA91" s="941">
        <v>0.0</v>
      </c>
      <c r="BB91" s="941">
        <v>4.0</v>
      </c>
      <c r="BC91" s="941">
        <v>0.0</v>
      </c>
      <c r="BD91" s="941">
        <v>9.0</v>
      </c>
      <c r="BE91" s="942">
        <v>12.0</v>
      </c>
      <c r="BF91" s="941">
        <v>1.0</v>
      </c>
      <c r="BG91" s="941">
        <v>0.0</v>
      </c>
    </row>
    <row r="92">
      <c r="A92" s="935" t="s">
        <v>131</v>
      </c>
      <c r="B92" s="16" t="str">
        <f>IF(C92&lt;'PlayerGrades+'!$Y$44,"F-",IF(C92&lt;'PlayerGrades+'!$Y$43,"F",IF(C92&lt;'PlayerGrades+'!$Y$42,"F+",IF(C92&lt;'PlayerGrades+'!$Y$41,"E-",IF(C92&lt;'PlayerGrades+'!$Y$40,"E",IF(C92&lt;'PlayerGrades+'!$Y$39,"E+",IF(C92&lt;'PlayerGrades+'!$Y$38,"D-",IF(C92&lt;'PlayerGrades+'!$Y$37,"D",IF(C92&lt;'PlayerGrades+'!$Y$36,"D+",IF(C92&lt;'PlayerGrades+'!$Y$35,"C-",IF(C92&lt;'PlayerGrades+'!$Y$34,"C",IF(C92&lt;'PlayerGrades+'!$Y$33,"C+",IF(C92&lt;'PlayerGrades+'!$Y$32,"B-",IF(C92&lt;'PlayerGrades+'!$Y$31,"B",IF(C92&lt;'PlayerGrades+'!$Y$30,"B+",IF(C92&lt;'PlayerGrades+'!$Y$29,"A-",IF(C92&lt;'PlayerGrades+'!$Y$28,"A",IF(C92&lt;'PlayerGrades+'!$Y$27,"A+",IF(C92&lt;'PlayerGrades+'!$Y$26,"S-",IF(C92&lt;'PlayerGrades+'!$Y$25,"S","S+"))))))))))))))))))))</f>
        <v>E-</v>
      </c>
      <c r="C92" s="936">
        <f>('PlayerGrades+'!$Y$47*(VLOOKUP(E92, 'PlayerGrades+'!$X$3:$Y$23, 2, FALSE)))+('PlayerGrades+'!$Y$48*(VLOOKUP(G92, 'PlayerGrades+'!$X$3:$Y$23, 2, FALSE)))+('PlayerGrades+'!$Y$49*(VLOOKUP(I92, 'PlayerGrades+'!$X$3:$Y$23, 2, FALSE)))+('PlayerGrades+'!$Y$50*(VLOOKUP(K92, 'PlayerGrades+'!$X$3:$Y$23, 2, FALSE)))+('PlayerGrades+'!$Y$51*(VLOOKUP(M92, 'PlayerGrades+'!$X$3:$Y$23, 2, FALSE)))+('PlayerGrades+'!$Y$52*(VLOOKUP(O92, 'PlayerGrades+'!$X$3:$Y$23, 2, FALSE)))+('PlayerGrades+'!$Y$53*(VLOOKUP(Q92, 'PlayerGrades+'!$X$3:$Y$23, 2, FALSE)))+('PlayerGrades+'!$Y$54*(VLOOKUP(S92, 'PlayerGrades+'!$X$3:$Y$23, 2, FALSE)))+('PlayerGrades+'!$Y$55*(VLOOKUP(U92, 'PlayerGrades+'!$X$3:$Y$23, 2, FALSE)))</f>
        <v>11.85</v>
      </c>
      <c r="D92" s="937">
        <f t="shared" si="1"/>
        <v>0</v>
      </c>
      <c r="E92" s="937" t="str">
        <f>IF(D92&lt;'PlayerGrades+'!$AA$21,"F-",IF(D92&lt;'PlayerGrades+'!$AA$20,"F",IF(D92&lt;'PlayerGrades+'!$AA$19,"F+",IF(D92&lt;'PlayerGrades+'!$AA$18,"E-",IF(D92&lt;'PlayerGrades+'!$AA$17,"E",IF(D92&lt;'PlayerGrades+'!$AA$16,"E+",IF(D92&lt;'PlayerGrades+'!$AA$15,"D-",IF(D92&lt;'PlayerGrades+'!$AA$14,"D",IF(D92&lt;'PlayerGrades+'!$AA$13,"D+",IF(D92&lt;'PlayerGrades+'!$AA$12,"C-",IF(D92&lt;'PlayerGrades+'!$AA$11,"C",IF(D92&lt;'PlayerGrades+'!$AA$10,"C+",IF(D92&lt;'PlayerGrades+'!$AA$9,"B-",IF(D92&lt;'PlayerGrades+'!$AA$8,"B",IF(D92&lt;'PlayerGrades+'!$AA$7,"B+",IF(D92&lt;'PlayerGrades+'!$AA$6,"A-",IF(D92&lt;'PlayerGrades+'!$AA$5,"A",IF(D92&lt;'PlayerGrades+'!$AA$4,"A+",IF(D92&lt;'PlayerGrades+'!$AA$3,"S-",IF(D92&lt;'PlayerGrades+'!$AA$2,"S","S+"))))))))))))))))))))</f>
        <v>F-</v>
      </c>
      <c r="F92" s="937">
        <f t="shared" si="2"/>
        <v>-0.8184143223</v>
      </c>
      <c r="G92" s="937" t="str">
        <f>IF(F92&lt;'PlayerGrades+'!$AB$21,"F-",IF(F92&lt;'PlayerGrades+'!$AB$20,"F",IF(F92&lt;'PlayerGrades+'!$AB$19,"F+",IF(F92&lt;'PlayerGrades+'!$AB$18,"E-",IF(F92&lt;'PlayerGrades+'!$AB$17,"E",IF(F92&lt;'PlayerGrades+'!$AB$16,"E+",IF(F92&lt;'PlayerGrades+'!$AB$15,"D-",IF(F92&lt;'PlayerGrades+'!$AB$14,"D",IF(F92&lt;'PlayerGrades+'!$AB$13,"D+",IF(F92&lt;'PlayerGrades+'!$AB$12,"C-",IF(F92&lt;'PlayerGrades+'!$AB$11,"C",IF(F92&lt;'PlayerGrades+'!$AB$10,"C+",IF(F92&lt;'PlayerGrades+'!$AB$9,"B-",IF(F92&lt;'PlayerGrades+'!$AB$8,"B",IF(F92&lt;'PlayerGrades+'!$AB$7,"B+",IF(F92&lt;'PlayerGrades+'!$AB$6,"A-",IF(F92&lt;'PlayerGrades+'!$AB$5,"A",IF(F92&lt;'PlayerGrades+'!$AB$4,"A+",IF(F92&lt;'PlayerGrades+'!$AB$3,"S-",IF(F92&lt;'PlayerGrades+'!$AB$2,"S","S+"))))))))))))))))))))</f>
        <v>E</v>
      </c>
      <c r="H92" s="937">
        <f t="shared" si="3"/>
        <v>0.05115089514</v>
      </c>
      <c r="I92" s="937" t="str">
        <f>IF(H92&lt;'PlayerGrades+'!$AC$21,"F-",IF(H92&lt;'PlayerGrades+'!$AC$20,"F",IF(H92&lt;'PlayerGrades+'!$AC$19,"F+",IF(H92&lt;'PlayerGrades+'!$AC$18,"E-",IF(H92&lt;'PlayerGrades+'!$AC$17,"E",IF(H92&lt;'PlayerGrades+'!$AC$16,"E+",IF(H92&lt;'PlayerGrades+'!$AC$15,"D-",IF(H92&lt;'PlayerGrades+'!$AC$14,"D",IF(H92&lt;'PlayerGrades+'!$AC$13,"D+",IF(H92&lt;'PlayerGrades+'!$AC$12,"C-",IF(H92&lt;'PlayerGrades+'!$AC$11,"C",IF(H92&lt;'PlayerGrades+'!$AC$10,"C+",IF(H92&lt;'PlayerGrades+'!$AC$9,"B-",IF(H92&lt;'PlayerGrades+'!$AC$8,"B",IF(H92&lt;'PlayerGrades+'!$AC$7,"B+",IF(H92&lt;'PlayerGrades+'!$AC$6,"A-",IF(H92&lt;'PlayerGrades+'!$AC$5,"A",IF(H92&lt;'PlayerGrades+'!$AC$4,"A+",IF(H92&lt;'PlayerGrades+'!$AC$3,"S-",IF(H92&lt;'PlayerGrades+'!$AC$2,"S","S+"))))))))))))))))))))</f>
        <v>F</v>
      </c>
      <c r="J92" s="937">
        <f t="shared" si="4"/>
        <v>0.05115089514</v>
      </c>
      <c r="K92" s="937" t="str">
        <f>IF(J92&lt;'PlayerGrades+'!$AD$21,"F-",IF(J92&lt;'PlayerGrades+'!$AD$20,"F",IF(J92&lt;'PlayerGrades+'!$AD$19,"F+",IF(J92&lt;'PlayerGrades+'!$AD$18,"E-",IF(J92&lt;'PlayerGrades+'!$AD$17,"E",IF(J92&lt;'PlayerGrades+'!$AD$16,"E+",IF(J92&lt;'PlayerGrades+'!$AD$15,"D-",IF(J92&lt;'PlayerGrades+'!$AD$14,"D",IF(J92&lt;'PlayerGrades+'!$AD$13,"D+",IF(J92&lt;'PlayerGrades+'!$AD$12,"C-",IF(J92&lt;'PlayerGrades+'!$AD$11,"C",IF(J92&lt;'PlayerGrades+'!$AD$10,"C+",IF(J92&lt;'PlayerGrades+'!$AD$9,"B-",IF(J92&lt;'PlayerGrades+'!$AD$8,"B",IF(J92&lt;'PlayerGrades+'!$AD$7,"B+",IF(J92&lt;'PlayerGrades+'!$AD$6,"A-",IF(J92&lt;'PlayerGrades+'!$AD$5,"A",IF(J92&lt;'PlayerGrades+'!$AD$4,"A+",IF(J92&lt;'PlayerGrades+'!$AD$3,"S-",IF(J92&lt;'PlayerGrades+'!$AD$2,"S","S+"))))))))))))))))))))</f>
        <v>B</v>
      </c>
      <c r="L92" s="677">
        <f t="shared" si="5"/>
        <v>0.358056266</v>
      </c>
      <c r="M92" s="938" t="str">
        <f>IF(L92&lt;'PlayerGrades+'!$AE$21,"F-",IF(L92&lt;'PlayerGrades+'!$AE$20,"F",IF(L92&lt;'PlayerGrades+'!$AE$19,"F+",IF(L92&lt;'PlayerGrades+'!$AE$18,"E-",IF(L92&lt;'PlayerGrades+'!$AE$17,"E",IF(L92&lt;'PlayerGrades+'!$AE$16,"E+",IF(L92&lt;'PlayerGrades+'!$AE$15,"D-",IF(L92&lt;'PlayerGrades+'!$AE$14,"D",IF(L92&lt;'PlayerGrades+'!$AE$13,"D+",IF(L92&lt;'PlayerGrades+'!$AE$12,"C-",IF(L92&lt;'PlayerGrades+'!$AE$11,"C",IF(L92&lt;'PlayerGrades+'!$AE$10,"C+",IF(L92&lt;'PlayerGrades+'!$AE$9,"B-",IF(L92&lt;'PlayerGrades+'!$AE$8,"B",IF(L92&lt;'PlayerGrades+'!$AE$7,"B+",IF(L92&lt;'PlayerGrades+'!$AE$6,"A-",IF(L92&lt;'PlayerGrades+'!$AE$5,"A",IF(L92&lt;'PlayerGrades+'!$AE$4,"A+",IF(L92&lt;'PlayerGrades+'!$AE$3,"S-",IF(L92&lt;'PlayerGrades+'!$AE$2,"S","S+"))))))))))))))))))))</f>
        <v>D+</v>
      </c>
      <c r="N92" s="937">
        <f t="shared" si="6"/>
        <v>0</v>
      </c>
      <c r="O92" s="937" t="str">
        <f>IF(N92&lt;'PlayerGrades+'!$AF$21,"F-",IF(N92&lt;'PlayerGrades+'!$AF$20,"F",IF(N92&lt;'PlayerGrades+'!$AF$19,"F+",IF(N92&lt;'PlayerGrades+'!$AF$18,"E-",IF(N92&lt;'PlayerGrades+'!$AF$17,"E",IF(N92&lt;'PlayerGrades+'!$AF$16,"E+",IF(N92&lt;'PlayerGrades+'!$AF$15,"D-",IF(N92&lt;'PlayerGrades+'!$AF$14,"D",IF(N92&lt;'PlayerGrades+'!$AF$13,"D+",IF(N92&lt;'PlayerGrades+'!$AF$12,"C-",IF(N92&lt;'PlayerGrades+'!$AF$11,"C",IF(N92&lt;'PlayerGrades+'!$AF$10,"C+",IF(N92&lt;'PlayerGrades+'!$AF$9,"B-",IF(N92&lt;'PlayerGrades+'!$AF$8,"B",IF(N92&lt;'PlayerGrades+'!$AF$7,"B+",IF(N92&lt;'PlayerGrades+'!$AF$6,"A-",IF(N92&lt;'PlayerGrades+'!$AF$5,"A",IF(N92&lt;'PlayerGrades+'!$AF$4,"A+",IF(N92&lt;'PlayerGrades+'!$AF$3,"S-",IF(N92&lt;'PlayerGrades+'!$AF$2,"S","S+"))))))))))))))))))))</f>
        <v>F-</v>
      </c>
      <c r="P92" s="937">
        <f t="shared" si="7"/>
        <v>0</v>
      </c>
      <c r="Q92" s="937" t="str">
        <f>IF(P92&lt;'PlayerGrades+'!$AG$21,"F-",IF(P92&lt;'PlayerGrades+'!$AG$20,"F",IF(P92&lt;'PlayerGrades+'!$AG$19,"F+",IF(P92&lt;'PlayerGrades+'!$AG$18,"E-",IF(P92&lt;'PlayerGrades+'!$AG$17,"E",IF(P92&lt;'PlayerGrades+'!$AG$16,"E+",IF(P92&lt;'PlayerGrades+'!$AG$15,"D-",IF(P92&lt;'PlayerGrades+'!$AG$14,"D",IF(P92&lt;'PlayerGrades+'!$AG$13,"D+",IF(P92&lt;'PlayerGrades+'!$AG$12,"C-",IF(P92&lt;'PlayerGrades+'!$AG$11,"C",IF(P92&lt;'PlayerGrades+'!$AG$10,"C+",IF(P92&lt;'PlayerGrades+'!$AG$9,"B-",IF(P92&lt;'PlayerGrades+'!$AG$8,"B",IF(P92&lt;'PlayerGrades+'!$AG$7,"B+",IF(P92&lt;'PlayerGrades+'!$AG$6,"A-",IF(P92&lt;'PlayerGrades+'!$AG$5,"A",IF(P92&lt;'PlayerGrades+'!$AG$4,"A+",IF(P92&lt;'PlayerGrades+'!$AG$3,"S-",IF(P92&lt;'PlayerGrades+'!$AG$2,"S","S+"))))))))))))))))))))</f>
        <v>F</v>
      </c>
      <c r="R92" s="937">
        <f t="shared" si="8"/>
        <v>0.6649616368</v>
      </c>
      <c r="S92" s="937" t="str">
        <f>IF(R92&lt;'PlayerGrades+'!$AH$21,"F-",IF(R92&lt;'PlayerGrades+'!$AH$20,"F",IF(R92&lt;'PlayerGrades+'!$AH$19,"F+",IF(R92&lt;'PlayerGrades+'!$AH$18,"E-",IF(R92&lt;'PlayerGrades+'!$AH$17,"E",IF(R92&lt;'PlayerGrades+'!$AH$16,"E+",IF(R92&lt;'PlayerGrades+'!$AH$15,"D-",IF(R92&lt;'PlayerGrades+'!$AH$14,"D",IF(R92&lt;'PlayerGrades+'!$AH$13,"D+",IF(R92&lt;'PlayerGrades+'!$AH$12,"C-",IF(R92&lt;'PlayerGrades+'!$AH$11,"C",IF(R92&lt;'PlayerGrades+'!$AH$10,"C+",IF(R92&lt;'PlayerGrades+'!$AH$9,"B-",IF(R92&lt;'PlayerGrades+'!$AH$8,"B",IF(R92&lt;'PlayerGrades+'!$AH$7,"B+",IF(R92&lt;'PlayerGrades+'!$AH$6,"A-",IF(R92&lt;'PlayerGrades+'!$AH$5,"A",IF(R92&lt;'PlayerGrades+'!$AH$4,"A+",IF(R92&lt;'PlayerGrades+'!$AH$3,"S-",IF(R92&lt;'PlayerGrades+'!$AH$2,"S","S+"))))))))))))))))))))</f>
        <v>A+</v>
      </c>
      <c r="T92" s="937">
        <f t="shared" si="9"/>
        <v>0.4603580563</v>
      </c>
      <c r="U92" s="937" t="str">
        <f>IF(T92&lt;'PlayerGrades+'!$AI$21,"F-",IF(T92&lt;'PlayerGrades+'!$AI$20,"F",IF(T92&lt;'PlayerGrades+'!$AI$19,"F+",IF(T92&lt;'PlayerGrades+'!$AI$18,"E-",IF(T92&lt;'PlayerGrades+'!$AI$17,"E",IF(T92&lt;'PlayerGrades+'!$AI$16,"E+",IF(T92&lt;'PlayerGrades+'!$AI$15,"D-",IF(T92&lt;'PlayerGrades+'!$AI$14,"D",IF(T92&lt;'PlayerGrades+'!$AI$13,"D+",IF(T92&lt;'PlayerGrades+'!$AI$12,"C-",IF(T92&lt;'PlayerGrades+'!$AI$11,"C",IF(T92&lt;'PlayerGrades+'!$AI$10,"C+",IF(T92&lt;'PlayerGrades+'!$AI$9,"B-",IF(T92&lt;'PlayerGrades+'!$AI$8,"B",IF(T92&lt;'PlayerGrades+'!$AI$7,"B+",IF(T92&lt;'PlayerGrades+'!$AI$6,"A-",IF(T92&lt;'PlayerGrades+'!$AI$5,"A",IF(T92&lt;'PlayerGrades+'!$AI$4,"A+",IF(T92&lt;'PlayerGrades+'!$AI$3,"S-",IF(T92&lt;'PlayerGrades+'!$AI$2,"S","S+"))))))))))))))))))))</f>
        <v>F-</v>
      </c>
      <c r="V92" s="941">
        <v>1.0</v>
      </c>
      <c r="W92" s="941">
        <v>0.0</v>
      </c>
      <c r="X92" s="941">
        <v>1.0</v>
      </c>
      <c r="Y92" s="941">
        <v>0.0</v>
      </c>
      <c r="Z92" s="941">
        <v>0.0</v>
      </c>
      <c r="AA92" s="941">
        <v>56.0</v>
      </c>
      <c r="AB92" s="941">
        <v>72.0</v>
      </c>
      <c r="AC92" s="941">
        <v>-16.0</v>
      </c>
      <c r="AD92" s="941">
        <v>3.0</v>
      </c>
      <c r="AE92" s="941">
        <v>5.0</v>
      </c>
      <c r="AF92" s="941">
        <v>4.0</v>
      </c>
      <c r="AG92" s="941">
        <v>883.0</v>
      </c>
      <c r="AH92" s="941">
        <v>1173.0</v>
      </c>
      <c r="AI92" s="941">
        <v>12.0</v>
      </c>
      <c r="AJ92" s="941">
        <v>18.0</v>
      </c>
      <c r="AK92" s="941">
        <v>0.0</v>
      </c>
      <c r="AL92" s="941">
        <v>1.0</v>
      </c>
      <c r="AM92" s="941">
        <v>0.0</v>
      </c>
      <c r="AN92" s="941">
        <v>0.0</v>
      </c>
      <c r="AO92" s="941">
        <v>0.0</v>
      </c>
      <c r="AP92" s="941">
        <v>0.0</v>
      </c>
      <c r="AQ92" s="941">
        <v>0.0</v>
      </c>
      <c r="AR92" s="941">
        <v>7.0</v>
      </c>
      <c r="AS92" s="941">
        <v>0.0</v>
      </c>
      <c r="AT92" s="941">
        <v>0.0</v>
      </c>
      <c r="AU92" s="941">
        <v>0.0</v>
      </c>
      <c r="AV92" s="941">
        <v>0.0</v>
      </c>
      <c r="AW92" s="941">
        <v>0.0</v>
      </c>
      <c r="AX92" s="941">
        <v>0.0</v>
      </c>
      <c r="AY92" s="941">
        <v>0.0</v>
      </c>
      <c r="AZ92" s="941">
        <v>0.0</v>
      </c>
      <c r="BA92" s="941">
        <v>0.0</v>
      </c>
      <c r="BB92" s="941">
        <v>1.0</v>
      </c>
      <c r="BC92" s="941">
        <v>0.0</v>
      </c>
      <c r="BD92" s="941">
        <v>10.0</v>
      </c>
      <c r="BE92" s="942">
        <v>9.0</v>
      </c>
      <c r="BF92" s="941">
        <v>0.0</v>
      </c>
      <c r="BG92" s="941">
        <v>0.0</v>
      </c>
    </row>
    <row r="93">
      <c r="A93" s="935" t="s">
        <v>153</v>
      </c>
      <c r="B93" s="16" t="str">
        <f>IF(C93&lt;'PlayerGrades+'!$Y$44,"F-",IF(C93&lt;'PlayerGrades+'!$Y$43,"F",IF(C93&lt;'PlayerGrades+'!$Y$42,"F+",IF(C93&lt;'PlayerGrades+'!$Y$41,"E-",IF(C93&lt;'PlayerGrades+'!$Y$40,"E",IF(C93&lt;'PlayerGrades+'!$Y$39,"E+",IF(C93&lt;'PlayerGrades+'!$Y$38,"D-",IF(C93&lt;'PlayerGrades+'!$Y$37,"D",IF(C93&lt;'PlayerGrades+'!$Y$36,"D+",IF(C93&lt;'PlayerGrades+'!$Y$35,"C-",IF(C93&lt;'PlayerGrades+'!$Y$34,"C",IF(C93&lt;'PlayerGrades+'!$Y$33,"C+",IF(C93&lt;'PlayerGrades+'!$Y$32,"B-",IF(C93&lt;'PlayerGrades+'!$Y$31,"B",IF(C93&lt;'PlayerGrades+'!$Y$30,"B+",IF(C93&lt;'PlayerGrades+'!$Y$29,"A-",IF(C93&lt;'PlayerGrades+'!$Y$28,"A",IF(C93&lt;'PlayerGrades+'!$Y$27,"A+",IF(C93&lt;'PlayerGrades+'!$Y$26,"S-",IF(C93&lt;'PlayerGrades+'!$Y$25,"S","S+"))))))))))))))))))))</f>
        <v>D</v>
      </c>
      <c r="C93" s="936">
        <f>('PlayerGrades+'!$Y$47*(VLOOKUP(E93, 'PlayerGrades+'!$X$3:$Y$23, 2, FALSE)))+('PlayerGrades+'!$Y$48*(VLOOKUP(G93, 'PlayerGrades+'!$X$3:$Y$23, 2, FALSE)))+('PlayerGrades+'!$Y$49*(VLOOKUP(I93, 'PlayerGrades+'!$X$3:$Y$23, 2, FALSE)))+('PlayerGrades+'!$Y$50*(VLOOKUP(K93, 'PlayerGrades+'!$X$3:$Y$23, 2, FALSE)))+('PlayerGrades+'!$Y$51*(VLOOKUP(M93, 'PlayerGrades+'!$X$3:$Y$23, 2, FALSE)))+('PlayerGrades+'!$Y$52*(VLOOKUP(O93, 'PlayerGrades+'!$X$3:$Y$23, 2, FALSE)))+('PlayerGrades+'!$Y$53*(VLOOKUP(Q93, 'PlayerGrades+'!$X$3:$Y$23, 2, FALSE)))+('PlayerGrades+'!$Y$54*(VLOOKUP(S93, 'PlayerGrades+'!$X$3:$Y$23, 2, FALSE)))+('PlayerGrades+'!$Y$55*(VLOOKUP(U93, 'PlayerGrades+'!$X$3:$Y$23, 2, FALSE)))</f>
        <v>16.15</v>
      </c>
      <c r="D93" s="937">
        <f t="shared" si="1"/>
        <v>0.7672634271</v>
      </c>
      <c r="E93" s="937" t="str">
        <f>IF(D93&lt;'PlayerGrades+'!$AA$21,"F-",IF(D93&lt;'PlayerGrades+'!$AA$20,"F",IF(D93&lt;'PlayerGrades+'!$AA$19,"F+",IF(D93&lt;'PlayerGrades+'!$AA$18,"E-",IF(D93&lt;'PlayerGrades+'!$AA$17,"E",IF(D93&lt;'PlayerGrades+'!$AA$16,"E+",IF(D93&lt;'PlayerGrades+'!$AA$15,"D-",IF(D93&lt;'PlayerGrades+'!$AA$14,"D",IF(D93&lt;'PlayerGrades+'!$AA$13,"D+",IF(D93&lt;'PlayerGrades+'!$AA$12,"C-",IF(D93&lt;'PlayerGrades+'!$AA$11,"C",IF(D93&lt;'PlayerGrades+'!$AA$10,"C+",IF(D93&lt;'PlayerGrades+'!$AA$9,"B-",IF(D93&lt;'PlayerGrades+'!$AA$8,"B",IF(D93&lt;'PlayerGrades+'!$AA$7,"B+",IF(D93&lt;'PlayerGrades+'!$AA$6,"A-",IF(D93&lt;'PlayerGrades+'!$AA$5,"A",IF(D93&lt;'PlayerGrades+'!$AA$4,"A+",IF(D93&lt;'PlayerGrades+'!$AA$3,"S-",IF(D93&lt;'PlayerGrades+'!$AA$2,"S","S+"))))))))))))))))))))</f>
        <v>S</v>
      </c>
      <c r="F93" s="937">
        <f t="shared" si="2"/>
        <v>-0.4092071611</v>
      </c>
      <c r="G93" s="937" t="str">
        <f>IF(F93&lt;'PlayerGrades+'!$AB$21,"F-",IF(F93&lt;'PlayerGrades+'!$AB$20,"F",IF(F93&lt;'PlayerGrades+'!$AB$19,"F+",IF(F93&lt;'PlayerGrades+'!$AB$18,"E-",IF(F93&lt;'PlayerGrades+'!$AB$17,"E",IF(F93&lt;'PlayerGrades+'!$AB$16,"E+",IF(F93&lt;'PlayerGrades+'!$AB$15,"D-",IF(F93&lt;'PlayerGrades+'!$AB$14,"D",IF(F93&lt;'PlayerGrades+'!$AB$13,"D+",IF(F93&lt;'PlayerGrades+'!$AB$12,"C-",IF(F93&lt;'PlayerGrades+'!$AB$11,"C",IF(F93&lt;'PlayerGrades+'!$AB$10,"C+",IF(F93&lt;'PlayerGrades+'!$AB$9,"B-",IF(F93&lt;'PlayerGrades+'!$AB$8,"B",IF(F93&lt;'PlayerGrades+'!$AB$7,"B+",IF(F93&lt;'PlayerGrades+'!$AB$6,"A-",IF(F93&lt;'PlayerGrades+'!$AB$5,"A",IF(F93&lt;'PlayerGrades+'!$AB$4,"A+",IF(F93&lt;'PlayerGrades+'!$AB$3,"S-",IF(F93&lt;'PlayerGrades+'!$AB$2,"S","S+"))))))))))))))))))))</f>
        <v>D+</v>
      </c>
      <c r="H93" s="937">
        <f t="shared" si="3"/>
        <v>0</v>
      </c>
      <c r="I93" s="937" t="str">
        <f>IF(H93&lt;'PlayerGrades+'!$AC$21,"F-",IF(H93&lt;'PlayerGrades+'!$AC$20,"F",IF(H93&lt;'PlayerGrades+'!$AC$19,"F+",IF(H93&lt;'PlayerGrades+'!$AC$18,"E-",IF(H93&lt;'PlayerGrades+'!$AC$17,"E",IF(H93&lt;'PlayerGrades+'!$AC$16,"E+",IF(H93&lt;'PlayerGrades+'!$AC$15,"D-",IF(H93&lt;'PlayerGrades+'!$AC$14,"D",IF(H93&lt;'PlayerGrades+'!$AC$13,"D+",IF(H93&lt;'PlayerGrades+'!$AC$12,"C-",IF(H93&lt;'PlayerGrades+'!$AC$11,"C",IF(H93&lt;'PlayerGrades+'!$AC$10,"C+",IF(H93&lt;'PlayerGrades+'!$AC$9,"B-",IF(H93&lt;'PlayerGrades+'!$AC$8,"B",IF(H93&lt;'PlayerGrades+'!$AC$7,"B+",IF(H93&lt;'PlayerGrades+'!$AC$6,"A-",IF(H93&lt;'PlayerGrades+'!$AC$5,"A",IF(H93&lt;'PlayerGrades+'!$AC$4,"A+",IF(H93&lt;'PlayerGrades+'!$AC$3,"S-",IF(H93&lt;'PlayerGrades+'!$AC$2,"S","S+"))))))))))))))))))))</f>
        <v>F-</v>
      </c>
      <c r="J93" s="937">
        <f t="shared" si="4"/>
        <v>0.1023017903</v>
      </c>
      <c r="K93" s="937" t="str">
        <f>IF(J93&lt;'PlayerGrades+'!$AD$21,"F-",IF(J93&lt;'PlayerGrades+'!$AD$20,"F",IF(J93&lt;'PlayerGrades+'!$AD$19,"F+",IF(J93&lt;'PlayerGrades+'!$AD$18,"E-",IF(J93&lt;'PlayerGrades+'!$AD$17,"E",IF(J93&lt;'PlayerGrades+'!$AD$16,"E+",IF(J93&lt;'PlayerGrades+'!$AD$15,"D-",IF(J93&lt;'PlayerGrades+'!$AD$14,"D",IF(J93&lt;'PlayerGrades+'!$AD$13,"D+",IF(J93&lt;'PlayerGrades+'!$AD$12,"C-",IF(J93&lt;'PlayerGrades+'!$AD$11,"C",IF(J93&lt;'PlayerGrades+'!$AD$10,"C+",IF(J93&lt;'PlayerGrades+'!$AD$9,"B-",IF(J93&lt;'PlayerGrades+'!$AD$8,"B",IF(J93&lt;'PlayerGrades+'!$AD$7,"B+",IF(J93&lt;'PlayerGrades+'!$AD$6,"A-",IF(J93&lt;'PlayerGrades+'!$AD$5,"A",IF(J93&lt;'PlayerGrades+'!$AD$4,"A+",IF(J93&lt;'PlayerGrades+'!$AD$3,"S-",IF(J93&lt;'PlayerGrades+'!$AD$2,"S","S+"))))))))))))))))))))</f>
        <v>S</v>
      </c>
      <c r="L93" s="677">
        <f t="shared" si="5"/>
        <v>0.2046035806</v>
      </c>
      <c r="M93" s="938" t="str">
        <f>IF(L93&lt;'PlayerGrades+'!$AE$21,"F-",IF(L93&lt;'PlayerGrades+'!$AE$20,"F",IF(L93&lt;'PlayerGrades+'!$AE$19,"F+",IF(L93&lt;'PlayerGrades+'!$AE$18,"E-",IF(L93&lt;'PlayerGrades+'!$AE$17,"E",IF(L93&lt;'PlayerGrades+'!$AE$16,"E+",IF(L93&lt;'PlayerGrades+'!$AE$15,"D-",IF(L93&lt;'PlayerGrades+'!$AE$14,"D",IF(L93&lt;'PlayerGrades+'!$AE$13,"D+",IF(L93&lt;'PlayerGrades+'!$AE$12,"C-",IF(L93&lt;'PlayerGrades+'!$AE$11,"C",IF(L93&lt;'PlayerGrades+'!$AE$10,"C+",IF(L93&lt;'PlayerGrades+'!$AE$9,"B-",IF(L93&lt;'PlayerGrades+'!$AE$8,"B",IF(L93&lt;'PlayerGrades+'!$AE$7,"B+",IF(L93&lt;'PlayerGrades+'!$AE$6,"A-",IF(L93&lt;'PlayerGrades+'!$AE$5,"A",IF(L93&lt;'PlayerGrades+'!$AE$4,"A+",IF(L93&lt;'PlayerGrades+'!$AE$3,"S-",IF(L93&lt;'PlayerGrades+'!$AE$2,"S","S+"))))))))))))))))))))</f>
        <v>F</v>
      </c>
      <c r="N93" s="937">
        <f t="shared" si="6"/>
        <v>0</v>
      </c>
      <c r="O93" s="937" t="str">
        <f>IF(N93&lt;'PlayerGrades+'!$AF$21,"F-",IF(N93&lt;'PlayerGrades+'!$AF$20,"F",IF(N93&lt;'PlayerGrades+'!$AF$19,"F+",IF(N93&lt;'PlayerGrades+'!$AF$18,"E-",IF(N93&lt;'PlayerGrades+'!$AF$17,"E",IF(N93&lt;'PlayerGrades+'!$AF$16,"E+",IF(N93&lt;'PlayerGrades+'!$AF$15,"D-",IF(N93&lt;'PlayerGrades+'!$AF$14,"D",IF(N93&lt;'PlayerGrades+'!$AF$13,"D+",IF(N93&lt;'PlayerGrades+'!$AF$12,"C-",IF(N93&lt;'PlayerGrades+'!$AF$11,"C",IF(N93&lt;'PlayerGrades+'!$AF$10,"C+",IF(N93&lt;'PlayerGrades+'!$AF$9,"B-",IF(N93&lt;'PlayerGrades+'!$AF$8,"B",IF(N93&lt;'PlayerGrades+'!$AF$7,"B+",IF(N93&lt;'PlayerGrades+'!$AF$6,"A-",IF(N93&lt;'PlayerGrades+'!$AF$5,"A",IF(N93&lt;'PlayerGrades+'!$AF$4,"A+",IF(N93&lt;'PlayerGrades+'!$AF$3,"S-",IF(N93&lt;'PlayerGrades+'!$AF$2,"S","S+"))))))))))))))))))))</f>
        <v>F-</v>
      </c>
      <c r="P93" s="937">
        <f t="shared" si="7"/>
        <v>0</v>
      </c>
      <c r="Q93" s="937" t="str">
        <f>IF(P93&lt;'PlayerGrades+'!$AG$21,"F-",IF(P93&lt;'PlayerGrades+'!$AG$20,"F",IF(P93&lt;'PlayerGrades+'!$AG$19,"F+",IF(P93&lt;'PlayerGrades+'!$AG$18,"E-",IF(P93&lt;'PlayerGrades+'!$AG$17,"E",IF(P93&lt;'PlayerGrades+'!$AG$16,"E+",IF(P93&lt;'PlayerGrades+'!$AG$15,"D-",IF(P93&lt;'PlayerGrades+'!$AG$14,"D",IF(P93&lt;'PlayerGrades+'!$AG$13,"D+",IF(P93&lt;'PlayerGrades+'!$AG$12,"C-",IF(P93&lt;'PlayerGrades+'!$AG$11,"C",IF(P93&lt;'PlayerGrades+'!$AG$10,"C+",IF(P93&lt;'PlayerGrades+'!$AG$9,"B-",IF(P93&lt;'PlayerGrades+'!$AG$8,"B",IF(P93&lt;'PlayerGrades+'!$AG$7,"B+",IF(P93&lt;'PlayerGrades+'!$AG$6,"A-",IF(P93&lt;'PlayerGrades+'!$AG$5,"A",IF(P93&lt;'PlayerGrades+'!$AG$4,"A+",IF(P93&lt;'PlayerGrades+'!$AG$3,"S-",IF(P93&lt;'PlayerGrades+'!$AG$2,"S","S+"))))))))))))))))))))</f>
        <v>F</v>
      </c>
      <c r="R93" s="937">
        <f t="shared" si="8"/>
        <v>0.716112532</v>
      </c>
      <c r="S93" s="937" t="str">
        <f>IF(R93&lt;'PlayerGrades+'!$AH$21,"F-",IF(R93&lt;'PlayerGrades+'!$AH$20,"F",IF(R93&lt;'PlayerGrades+'!$AH$19,"F+",IF(R93&lt;'PlayerGrades+'!$AH$18,"E-",IF(R93&lt;'PlayerGrades+'!$AH$17,"E",IF(R93&lt;'PlayerGrades+'!$AH$16,"E+",IF(R93&lt;'PlayerGrades+'!$AH$15,"D-",IF(R93&lt;'PlayerGrades+'!$AH$14,"D",IF(R93&lt;'PlayerGrades+'!$AH$13,"D+",IF(R93&lt;'PlayerGrades+'!$AH$12,"C-",IF(R93&lt;'PlayerGrades+'!$AH$11,"C",IF(R93&lt;'PlayerGrades+'!$AH$10,"C+",IF(R93&lt;'PlayerGrades+'!$AH$9,"B-",IF(R93&lt;'PlayerGrades+'!$AH$8,"B",IF(R93&lt;'PlayerGrades+'!$AH$7,"B+",IF(R93&lt;'PlayerGrades+'!$AH$6,"A-",IF(R93&lt;'PlayerGrades+'!$AH$5,"A",IF(R93&lt;'PlayerGrades+'!$AH$4,"A+",IF(R93&lt;'PlayerGrades+'!$AH$3,"S-",IF(R93&lt;'PlayerGrades+'!$AH$2,"S","S+"))))))))))))))))))))</f>
        <v>S</v>
      </c>
      <c r="T93" s="937">
        <f t="shared" si="9"/>
        <v>0.2557544757</v>
      </c>
      <c r="U93" s="937" t="str">
        <f>IF(T93&lt;'PlayerGrades+'!$AI$21,"F-",IF(T93&lt;'PlayerGrades+'!$AI$20,"F",IF(T93&lt;'PlayerGrades+'!$AI$19,"F+",IF(T93&lt;'PlayerGrades+'!$AI$18,"E-",IF(T93&lt;'PlayerGrades+'!$AI$17,"E",IF(T93&lt;'PlayerGrades+'!$AI$16,"E+",IF(T93&lt;'PlayerGrades+'!$AI$15,"D-",IF(T93&lt;'PlayerGrades+'!$AI$14,"D",IF(T93&lt;'PlayerGrades+'!$AI$13,"D+",IF(T93&lt;'PlayerGrades+'!$AI$12,"C-",IF(T93&lt;'PlayerGrades+'!$AI$11,"C",IF(T93&lt;'PlayerGrades+'!$AI$10,"C+",IF(T93&lt;'PlayerGrades+'!$AI$9,"B-",IF(T93&lt;'PlayerGrades+'!$AI$8,"B",IF(T93&lt;'PlayerGrades+'!$AI$7,"B+",IF(T93&lt;'PlayerGrades+'!$AI$6,"A-",IF(T93&lt;'PlayerGrades+'!$AI$5,"A",IF(T93&lt;'PlayerGrades+'!$AI$4,"A+",IF(T93&lt;'PlayerGrades+'!$AI$3,"S-",IF(T93&lt;'PlayerGrades+'!$AI$2,"S","S+"))))))))))))))))))))</f>
        <v>F-</v>
      </c>
      <c r="V93" s="941">
        <v>1.0</v>
      </c>
      <c r="W93" s="941">
        <v>0.0</v>
      </c>
      <c r="X93" s="941">
        <v>1.0</v>
      </c>
      <c r="Y93" s="941">
        <v>1.0</v>
      </c>
      <c r="Z93" s="941">
        <v>14.0</v>
      </c>
      <c r="AA93" s="941">
        <v>42.0</v>
      </c>
      <c r="AB93" s="941">
        <v>50.0</v>
      </c>
      <c r="AC93" s="941">
        <v>-8.0</v>
      </c>
      <c r="AD93" s="941">
        <v>1.0</v>
      </c>
      <c r="AE93" s="941">
        <v>5.0</v>
      </c>
      <c r="AF93" s="941">
        <v>3.0</v>
      </c>
      <c r="AG93" s="941">
        <v>946.0</v>
      </c>
      <c r="AH93" s="941">
        <v>1173.0</v>
      </c>
      <c r="AI93" s="941">
        <v>18.0</v>
      </c>
      <c r="AJ93" s="941">
        <v>577.0</v>
      </c>
      <c r="AK93" s="941">
        <v>0.0</v>
      </c>
      <c r="AL93" s="941">
        <v>2.0</v>
      </c>
      <c r="AM93" s="941">
        <v>0.0</v>
      </c>
      <c r="AN93" s="941">
        <v>0.0</v>
      </c>
      <c r="AO93" s="941">
        <v>0.0</v>
      </c>
      <c r="AP93" s="941">
        <v>0.0</v>
      </c>
      <c r="AQ93" s="941">
        <v>0.0</v>
      </c>
      <c r="AR93" s="941">
        <v>4.0</v>
      </c>
      <c r="AS93" s="941">
        <v>0.0</v>
      </c>
      <c r="AT93" s="941">
        <v>0.0</v>
      </c>
      <c r="AU93" s="941">
        <v>0.0</v>
      </c>
      <c r="AV93" s="941">
        <v>0.0</v>
      </c>
      <c r="AW93" s="941">
        <v>0.0</v>
      </c>
      <c r="AX93" s="941">
        <v>0.0</v>
      </c>
      <c r="AY93" s="941">
        <v>0.0</v>
      </c>
      <c r="AZ93" s="941">
        <v>0.0</v>
      </c>
      <c r="BA93" s="941">
        <v>0.0</v>
      </c>
      <c r="BB93" s="941">
        <v>0.0</v>
      </c>
      <c r="BC93" s="941">
        <v>0.0</v>
      </c>
      <c r="BD93" s="941">
        <v>13.0</v>
      </c>
      <c r="BE93" s="942">
        <v>5.0</v>
      </c>
      <c r="BF93" s="941">
        <v>0.0</v>
      </c>
      <c r="BG93" s="941">
        <v>0.0</v>
      </c>
    </row>
    <row r="94">
      <c r="A94" s="935" t="s">
        <v>152</v>
      </c>
      <c r="B94" s="16" t="str">
        <f>IF(C94&lt;'PlayerGrades+'!$Y$44,"F-",IF(C94&lt;'PlayerGrades+'!$Y$43,"F",IF(C94&lt;'PlayerGrades+'!$Y$42,"F+",IF(C94&lt;'PlayerGrades+'!$Y$41,"E-",IF(C94&lt;'PlayerGrades+'!$Y$40,"E",IF(C94&lt;'PlayerGrades+'!$Y$39,"E+",IF(C94&lt;'PlayerGrades+'!$Y$38,"D-",IF(C94&lt;'PlayerGrades+'!$Y$37,"D",IF(C94&lt;'PlayerGrades+'!$Y$36,"D+",IF(C94&lt;'PlayerGrades+'!$Y$35,"C-",IF(C94&lt;'PlayerGrades+'!$Y$34,"C",IF(C94&lt;'PlayerGrades+'!$Y$33,"C+",IF(C94&lt;'PlayerGrades+'!$Y$32,"B-",IF(C94&lt;'PlayerGrades+'!$Y$31,"B",IF(C94&lt;'PlayerGrades+'!$Y$30,"B+",IF(C94&lt;'PlayerGrades+'!$Y$29,"A-",IF(C94&lt;'PlayerGrades+'!$Y$28,"A",IF(C94&lt;'PlayerGrades+'!$Y$27,"A+",IF(C94&lt;'PlayerGrades+'!$Y$26,"S-",IF(C94&lt;'PlayerGrades+'!$Y$25,"S","S+"))))))))))))))))))))</f>
        <v>D</v>
      </c>
      <c r="C94" s="936">
        <f>('PlayerGrades+'!$Y$47*(VLOOKUP(E94, 'PlayerGrades+'!$X$3:$Y$23, 2, FALSE)))+('PlayerGrades+'!$Y$48*(VLOOKUP(G94, 'PlayerGrades+'!$X$3:$Y$23, 2, FALSE)))+('PlayerGrades+'!$Y$49*(VLOOKUP(I94, 'PlayerGrades+'!$X$3:$Y$23, 2, FALSE)))+('PlayerGrades+'!$Y$50*(VLOOKUP(K94, 'PlayerGrades+'!$X$3:$Y$23, 2, FALSE)))+('PlayerGrades+'!$Y$51*(VLOOKUP(M94, 'PlayerGrades+'!$X$3:$Y$23, 2, FALSE)))+('PlayerGrades+'!$Y$52*(VLOOKUP(O94, 'PlayerGrades+'!$X$3:$Y$23, 2, FALSE)))+('PlayerGrades+'!$Y$53*(VLOOKUP(Q94, 'PlayerGrades+'!$X$3:$Y$23, 2, FALSE)))+('PlayerGrades+'!$Y$54*(VLOOKUP(S94, 'PlayerGrades+'!$X$3:$Y$23, 2, FALSE)))+('PlayerGrades+'!$Y$55*(VLOOKUP(U94, 'PlayerGrades+'!$X$3:$Y$23, 2, FALSE)))</f>
        <v>16.2</v>
      </c>
      <c r="D94" s="937">
        <f t="shared" si="1"/>
        <v>0.1023017903</v>
      </c>
      <c r="E94" s="937" t="str">
        <f>IF(D94&lt;'PlayerGrades+'!$AA$21,"F-",IF(D94&lt;'PlayerGrades+'!$AA$20,"F",IF(D94&lt;'PlayerGrades+'!$AA$19,"F+",IF(D94&lt;'PlayerGrades+'!$AA$18,"E-",IF(D94&lt;'PlayerGrades+'!$AA$17,"E",IF(D94&lt;'PlayerGrades+'!$AA$16,"E+",IF(D94&lt;'PlayerGrades+'!$AA$15,"D-",IF(D94&lt;'PlayerGrades+'!$AA$14,"D",IF(D94&lt;'PlayerGrades+'!$AA$13,"D+",IF(D94&lt;'PlayerGrades+'!$AA$12,"C-",IF(D94&lt;'PlayerGrades+'!$AA$11,"C",IF(D94&lt;'PlayerGrades+'!$AA$10,"C+",IF(D94&lt;'PlayerGrades+'!$AA$9,"B-",IF(D94&lt;'PlayerGrades+'!$AA$8,"B",IF(D94&lt;'PlayerGrades+'!$AA$7,"B+",IF(D94&lt;'PlayerGrades+'!$AA$6,"A-",IF(D94&lt;'PlayerGrades+'!$AA$5,"A",IF(D94&lt;'PlayerGrades+'!$AA$4,"A+",IF(D94&lt;'PlayerGrades+'!$AA$3,"S-",IF(D94&lt;'PlayerGrades+'!$AA$2,"S","S+"))))))))))))))))))))</f>
        <v>B</v>
      </c>
      <c r="F94" s="937">
        <f t="shared" si="2"/>
        <v>-0.5115089514</v>
      </c>
      <c r="G94" s="937" t="str">
        <f>IF(F94&lt;'PlayerGrades+'!$AB$21,"F-",IF(F94&lt;'PlayerGrades+'!$AB$20,"F",IF(F94&lt;'PlayerGrades+'!$AB$19,"F+",IF(F94&lt;'PlayerGrades+'!$AB$18,"E-",IF(F94&lt;'PlayerGrades+'!$AB$17,"E",IF(F94&lt;'PlayerGrades+'!$AB$16,"E+",IF(F94&lt;'PlayerGrades+'!$AB$15,"D-",IF(F94&lt;'PlayerGrades+'!$AB$14,"D",IF(F94&lt;'PlayerGrades+'!$AB$13,"D+",IF(F94&lt;'PlayerGrades+'!$AB$12,"C-",IF(F94&lt;'PlayerGrades+'!$AB$11,"C",IF(F94&lt;'PlayerGrades+'!$AB$10,"C+",IF(F94&lt;'PlayerGrades+'!$AB$9,"B-",IF(F94&lt;'PlayerGrades+'!$AB$8,"B",IF(F94&lt;'PlayerGrades+'!$AB$7,"B+",IF(F94&lt;'PlayerGrades+'!$AB$6,"A-",IF(F94&lt;'PlayerGrades+'!$AB$5,"A",IF(F94&lt;'PlayerGrades+'!$AB$4,"A+",IF(F94&lt;'PlayerGrades+'!$AB$3,"S-",IF(F94&lt;'PlayerGrades+'!$AB$2,"S","S+"))))))))))))))))))))</f>
        <v>D</v>
      </c>
      <c r="H94" s="937">
        <f t="shared" si="3"/>
        <v>0</v>
      </c>
      <c r="I94" s="937" t="str">
        <f>IF(H94&lt;'PlayerGrades+'!$AC$21,"F-",IF(H94&lt;'PlayerGrades+'!$AC$20,"F",IF(H94&lt;'PlayerGrades+'!$AC$19,"F+",IF(H94&lt;'PlayerGrades+'!$AC$18,"E-",IF(H94&lt;'PlayerGrades+'!$AC$17,"E",IF(H94&lt;'PlayerGrades+'!$AC$16,"E+",IF(H94&lt;'PlayerGrades+'!$AC$15,"D-",IF(H94&lt;'PlayerGrades+'!$AC$14,"D",IF(H94&lt;'PlayerGrades+'!$AC$13,"D+",IF(H94&lt;'PlayerGrades+'!$AC$12,"C-",IF(H94&lt;'PlayerGrades+'!$AC$11,"C",IF(H94&lt;'PlayerGrades+'!$AC$10,"C+",IF(H94&lt;'PlayerGrades+'!$AC$9,"B-",IF(H94&lt;'PlayerGrades+'!$AC$8,"B",IF(H94&lt;'PlayerGrades+'!$AC$7,"B+",IF(H94&lt;'PlayerGrades+'!$AC$6,"A-",IF(H94&lt;'PlayerGrades+'!$AC$5,"A",IF(H94&lt;'PlayerGrades+'!$AC$4,"A+",IF(H94&lt;'PlayerGrades+'!$AC$3,"S-",IF(H94&lt;'PlayerGrades+'!$AC$2,"S","S+"))))))))))))))))))))</f>
        <v>F-</v>
      </c>
      <c r="J94" s="937">
        <f t="shared" si="4"/>
        <v>0.05115089514</v>
      </c>
      <c r="K94" s="937" t="str">
        <f>IF(J94&lt;'PlayerGrades+'!$AD$21,"F-",IF(J94&lt;'PlayerGrades+'!$AD$20,"F",IF(J94&lt;'PlayerGrades+'!$AD$19,"F+",IF(J94&lt;'PlayerGrades+'!$AD$18,"E-",IF(J94&lt;'PlayerGrades+'!$AD$17,"E",IF(J94&lt;'PlayerGrades+'!$AD$16,"E+",IF(J94&lt;'PlayerGrades+'!$AD$15,"D-",IF(J94&lt;'PlayerGrades+'!$AD$14,"D",IF(J94&lt;'PlayerGrades+'!$AD$13,"D+",IF(J94&lt;'PlayerGrades+'!$AD$12,"C-",IF(J94&lt;'PlayerGrades+'!$AD$11,"C",IF(J94&lt;'PlayerGrades+'!$AD$10,"C+",IF(J94&lt;'PlayerGrades+'!$AD$9,"B-",IF(J94&lt;'PlayerGrades+'!$AD$8,"B",IF(J94&lt;'PlayerGrades+'!$AD$7,"B+",IF(J94&lt;'PlayerGrades+'!$AD$6,"A-",IF(J94&lt;'PlayerGrades+'!$AD$5,"A",IF(J94&lt;'PlayerGrades+'!$AD$4,"A+",IF(J94&lt;'PlayerGrades+'!$AD$3,"S-",IF(J94&lt;'PlayerGrades+'!$AD$2,"S","S+"))))))))))))))))))))</f>
        <v>B</v>
      </c>
      <c r="L94" s="677">
        <f t="shared" si="5"/>
        <v>0.4092071611</v>
      </c>
      <c r="M94" s="938" t="str">
        <f>IF(L94&lt;'PlayerGrades+'!$AE$21,"F-",IF(L94&lt;'PlayerGrades+'!$AE$20,"F",IF(L94&lt;'PlayerGrades+'!$AE$19,"F+",IF(L94&lt;'PlayerGrades+'!$AE$18,"E-",IF(L94&lt;'PlayerGrades+'!$AE$17,"E",IF(L94&lt;'PlayerGrades+'!$AE$16,"E+",IF(L94&lt;'PlayerGrades+'!$AE$15,"D-",IF(L94&lt;'PlayerGrades+'!$AE$14,"D",IF(L94&lt;'PlayerGrades+'!$AE$13,"D+",IF(L94&lt;'PlayerGrades+'!$AE$12,"C-",IF(L94&lt;'PlayerGrades+'!$AE$11,"C",IF(L94&lt;'PlayerGrades+'!$AE$10,"C+",IF(L94&lt;'PlayerGrades+'!$AE$9,"B-",IF(L94&lt;'PlayerGrades+'!$AE$8,"B",IF(L94&lt;'PlayerGrades+'!$AE$7,"B+",IF(L94&lt;'PlayerGrades+'!$AE$6,"A-",IF(L94&lt;'PlayerGrades+'!$AE$5,"A",IF(L94&lt;'PlayerGrades+'!$AE$4,"A+",IF(L94&lt;'PlayerGrades+'!$AE$3,"S-",IF(L94&lt;'PlayerGrades+'!$AE$2,"S","S+"))))))))))))))))))))</f>
        <v>C+</v>
      </c>
      <c r="N94" s="937">
        <f t="shared" si="6"/>
        <v>0.05115089514</v>
      </c>
      <c r="O94" s="937" t="str">
        <f>IF(N94&lt;'PlayerGrades+'!$AF$21,"F-",IF(N94&lt;'PlayerGrades+'!$AF$20,"F",IF(N94&lt;'PlayerGrades+'!$AF$19,"F+",IF(N94&lt;'PlayerGrades+'!$AF$18,"E-",IF(N94&lt;'PlayerGrades+'!$AF$17,"E",IF(N94&lt;'PlayerGrades+'!$AF$16,"E+",IF(N94&lt;'PlayerGrades+'!$AF$15,"D-",IF(N94&lt;'PlayerGrades+'!$AF$14,"D",IF(N94&lt;'PlayerGrades+'!$AF$13,"D+",IF(N94&lt;'PlayerGrades+'!$AF$12,"C-",IF(N94&lt;'PlayerGrades+'!$AF$11,"C",IF(N94&lt;'PlayerGrades+'!$AF$10,"C+",IF(N94&lt;'PlayerGrades+'!$AF$9,"B-",IF(N94&lt;'PlayerGrades+'!$AF$8,"B",IF(N94&lt;'PlayerGrades+'!$AF$7,"B+",IF(N94&lt;'PlayerGrades+'!$AF$6,"A-",IF(N94&lt;'PlayerGrades+'!$AF$5,"A",IF(N94&lt;'PlayerGrades+'!$AF$4,"A+",IF(N94&lt;'PlayerGrades+'!$AF$3,"S-",IF(N94&lt;'PlayerGrades+'!$AF$2,"S","S+"))))))))))))))))))))</f>
        <v>D</v>
      </c>
      <c r="P94" s="937">
        <f t="shared" si="7"/>
        <v>0</v>
      </c>
      <c r="Q94" s="937" t="str">
        <f>IF(P94&lt;'PlayerGrades+'!$AG$21,"F-",IF(P94&lt;'PlayerGrades+'!$AG$20,"F",IF(P94&lt;'PlayerGrades+'!$AG$19,"F+",IF(P94&lt;'PlayerGrades+'!$AG$18,"E-",IF(P94&lt;'PlayerGrades+'!$AG$17,"E",IF(P94&lt;'PlayerGrades+'!$AG$16,"E+",IF(P94&lt;'PlayerGrades+'!$AG$15,"D-",IF(P94&lt;'PlayerGrades+'!$AG$14,"D",IF(P94&lt;'PlayerGrades+'!$AG$13,"D+",IF(P94&lt;'PlayerGrades+'!$AG$12,"C-",IF(P94&lt;'PlayerGrades+'!$AG$11,"C",IF(P94&lt;'PlayerGrades+'!$AG$10,"C+",IF(P94&lt;'PlayerGrades+'!$AG$9,"B-",IF(P94&lt;'PlayerGrades+'!$AG$8,"B",IF(P94&lt;'PlayerGrades+'!$AG$7,"B+",IF(P94&lt;'PlayerGrades+'!$AG$6,"A-",IF(P94&lt;'PlayerGrades+'!$AG$5,"A",IF(P94&lt;'PlayerGrades+'!$AG$4,"A+",IF(P94&lt;'PlayerGrades+'!$AG$3,"S-",IF(P94&lt;'PlayerGrades+'!$AG$2,"S","S+"))))))))))))))))))))</f>
        <v>F</v>
      </c>
      <c r="R94" s="937">
        <f t="shared" si="8"/>
        <v>0.5115089514</v>
      </c>
      <c r="S94" s="937" t="str">
        <f>IF(R94&lt;'PlayerGrades+'!$AH$21,"F-",IF(R94&lt;'PlayerGrades+'!$AH$20,"F",IF(R94&lt;'PlayerGrades+'!$AH$19,"F+",IF(R94&lt;'PlayerGrades+'!$AH$18,"E-",IF(R94&lt;'PlayerGrades+'!$AH$17,"E",IF(R94&lt;'PlayerGrades+'!$AH$16,"E+",IF(R94&lt;'PlayerGrades+'!$AH$15,"D-",IF(R94&lt;'PlayerGrades+'!$AH$14,"D",IF(R94&lt;'PlayerGrades+'!$AH$13,"D+",IF(R94&lt;'PlayerGrades+'!$AH$12,"C-",IF(R94&lt;'PlayerGrades+'!$AH$11,"C",IF(R94&lt;'PlayerGrades+'!$AH$10,"C+",IF(R94&lt;'PlayerGrades+'!$AH$9,"B-",IF(R94&lt;'PlayerGrades+'!$AH$8,"B",IF(R94&lt;'PlayerGrades+'!$AH$7,"B+",IF(R94&lt;'PlayerGrades+'!$AH$6,"A-",IF(R94&lt;'PlayerGrades+'!$AH$5,"A",IF(R94&lt;'PlayerGrades+'!$AH$4,"A+",IF(R94&lt;'PlayerGrades+'!$AH$3,"S-",IF(R94&lt;'PlayerGrades+'!$AH$2,"S","S+"))))))))))))))))))))</f>
        <v>D</v>
      </c>
      <c r="T94" s="937">
        <f t="shared" si="9"/>
        <v>1.255754476</v>
      </c>
      <c r="U94" s="937" t="str">
        <f>IF(T94&lt;'PlayerGrades+'!$AI$21,"F-",IF(T94&lt;'PlayerGrades+'!$AI$20,"F",IF(T94&lt;'PlayerGrades+'!$AI$19,"F+",IF(T94&lt;'PlayerGrades+'!$AI$18,"E-",IF(T94&lt;'PlayerGrades+'!$AI$17,"E",IF(T94&lt;'PlayerGrades+'!$AI$16,"E+",IF(T94&lt;'PlayerGrades+'!$AI$15,"D-",IF(T94&lt;'PlayerGrades+'!$AI$14,"D",IF(T94&lt;'PlayerGrades+'!$AI$13,"D+",IF(T94&lt;'PlayerGrades+'!$AI$12,"C-",IF(T94&lt;'PlayerGrades+'!$AI$11,"C",IF(T94&lt;'PlayerGrades+'!$AI$10,"C+",IF(T94&lt;'PlayerGrades+'!$AI$9,"B-",IF(T94&lt;'PlayerGrades+'!$AI$8,"B",IF(T94&lt;'PlayerGrades+'!$AI$7,"B+",IF(T94&lt;'PlayerGrades+'!$AI$6,"A-",IF(T94&lt;'PlayerGrades+'!$AI$5,"A",IF(T94&lt;'PlayerGrades+'!$AI$4,"A+",IF(T94&lt;'PlayerGrades+'!$AI$3,"S-",IF(T94&lt;'PlayerGrades+'!$AI$2,"S","S+"))))))))))))))))))))</f>
        <v>C</v>
      </c>
      <c r="V94" s="941">
        <v>1.0</v>
      </c>
      <c r="W94" s="941">
        <v>1.0</v>
      </c>
      <c r="X94" s="941">
        <v>0.0</v>
      </c>
      <c r="Y94" s="941">
        <v>0.0</v>
      </c>
      <c r="Z94" s="941">
        <v>2.0</v>
      </c>
      <c r="AA94" s="941">
        <v>70.0</v>
      </c>
      <c r="AB94" s="941">
        <v>80.0</v>
      </c>
      <c r="AC94" s="941">
        <v>-10.0</v>
      </c>
      <c r="AD94" s="941">
        <v>2.0</v>
      </c>
      <c r="AE94" s="941">
        <v>5.0</v>
      </c>
      <c r="AF94" s="941">
        <v>0.0</v>
      </c>
      <c r="AG94" s="941">
        <v>852.0</v>
      </c>
      <c r="AH94" s="941">
        <v>1173.0</v>
      </c>
      <c r="AI94" s="941">
        <v>10.0</v>
      </c>
      <c r="AJ94" s="941">
        <v>26.0</v>
      </c>
      <c r="AK94" s="941">
        <v>0.0</v>
      </c>
      <c r="AL94" s="941">
        <v>1.0</v>
      </c>
      <c r="AM94" s="941">
        <v>0.0</v>
      </c>
      <c r="AN94" s="941">
        <v>0.0</v>
      </c>
      <c r="AO94" s="941">
        <v>0.0</v>
      </c>
      <c r="AP94" s="941">
        <v>0.0</v>
      </c>
      <c r="AQ94" s="941">
        <v>0.0</v>
      </c>
      <c r="AR94" s="941">
        <v>8.0</v>
      </c>
      <c r="AS94" s="941">
        <v>1.0</v>
      </c>
      <c r="AT94" s="941">
        <v>0.0</v>
      </c>
      <c r="AU94" s="941">
        <v>0.0</v>
      </c>
      <c r="AV94" s="941">
        <v>0.0</v>
      </c>
      <c r="AW94" s="941">
        <v>0.0</v>
      </c>
      <c r="AX94" s="941">
        <v>0.0</v>
      </c>
      <c r="AY94" s="941">
        <v>0.0</v>
      </c>
      <c r="AZ94" s="941">
        <v>0.0</v>
      </c>
      <c r="BA94" s="941">
        <v>0.0</v>
      </c>
      <c r="BB94" s="941">
        <v>0.0</v>
      </c>
      <c r="BC94" s="941">
        <v>0.0</v>
      </c>
      <c r="BD94" s="941">
        <v>8.0</v>
      </c>
      <c r="BE94" s="942">
        <v>5.0</v>
      </c>
      <c r="BF94" s="941">
        <v>1.0</v>
      </c>
      <c r="BG94" s="941">
        <v>1.0</v>
      </c>
    </row>
    <row r="95">
      <c r="A95" s="935" t="s">
        <v>130</v>
      </c>
      <c r="B95" s="16" t="str">
        <f>IF(C95&lt;'PlayerGrades+'!$Y$44,"F-",IF(C95&lt;'PlayerGrades+'!$Y$43,"F",IF(C95&lt;'PlayerGrades+'!$Y$42,"F+",IF(C95&lt;'PlayerGrades+'!$Y$41,"E-",IF(C95&lt;'PlayerGrades+'!$Y$40,"E",IF(C95&lt;'PlayerGrades+'!$Y$39,"E+",IF(C95&lt;'PlayerGrades+'!$Y$38,"D-",IF(C95&lt;'PlayerGrades+'!$Y$37,"D",IF(C95&lt;'PlayerGrades+'!$Y$36,"D+",IF(C95&lt;'PlayerGrades+'!$Y$35,"C-",IF(C95&lt;'PlayerGrades+'!$Y$34,"C",IF(C95&lt;'PlayerGrades+'!$Y$33,"C+",IF(C95&lt;'PlayerGrades+'!$Y$32,"B-",IF(C95&lt;'PlayerGrades+'!$Y$31,"B",IF(C95&lt;'PlayerGrades+'!$Y$30,"B+",IF(C95&lt;'PlayerGrades+'!$Y$29,"A-",IF(C95&lt;'PlayerGrades+'!$Y$28,"A",IF(C95&lt;'PlayerGrades+'!$Y$27,"A+",IF(C95&lt;'PlayerGrades+'!$Y$26,"S-",IF(C95&lt;'PlayerGrades+'!$Y$25,"S","S+"))))))))))))))))))))</f>
        <v>A</v>
      </c>
      <c r="C95" s="936">
        <f>('PlayerGrades+'!$Y$47*(VLOOKUP(E95, 'PlayerGrades+'!$X$3:$Y$23, 2, FALSE)))+('PlayerGrades+'!$Y$48*(VLOOKUP(G95, 'PlayerGrades+'!$X$3:$Y$23, 2, FALSE)))+('PlayerGrades+'!$Y$49*(VLOOKUP(I95, 'PlayerGrades+'!$X$3:$Y$23, 2, FALSE)))+('PlayerGrades+'!$Y$50*(VLOOKUP(K95, 'PlayerGrades+'!$X$3:$Y$23, 2, FALSE)))+('PlayerGrades+'!$Y$51*(VLOOKUP(M95, 'PlayerGrades+'!$X$3:$Y$23, 2, FALSE)))+('PlayerGrades+'!$Y$52*(VLOOKUP(O95, 'PlayerGrades+'!$X$3:$Y$23, 2, FALSE)))+('PlayerGrades+'!$Y$53*(VLOOKUP(Q95, 'PlayerGrades+'!$X$3:$Y$23, 2, FALSE)))+('PlayerGrades+'!$Y$54*(VLOOKUP(S95, 'PlayerGrades+'!$X$3:$Y$23, 2, FALSE)))+('PlayerGrades+'!$Y$55*(VLOOKUP(U95, 'PlayerGrades+'!$X$3:$Y$23, 2, FALSE)))</f>
        <v>26.2</v>
      </c>
      <c r="D95" s="937">
        <f t="shared" si="1"/>
        <v>0</v>
      </c>
      <c r="E95" s="937" t="str">
        <f>IF(D95&lt;'PlayerGrades+'!$AA$21,"F-",IF(D95&lt;'PlayerGrades+'!$AA$20,"F",IF(D95&lt;'PlayerGrades+'!$AA$19,"F+",IF(D95&lt;'PlayerGrades+'!$AA$18,"E-",IF(D95&lt;'PlayerGrades+'!$AA$17,"E",IF(D95&lt;'PlayerGrades+'!$AA$16,"E+",IF(D95&lt;'PlayerGrades+'!$AA$15,"D-",IF(D95&lt;'PlayerGrades+'!$AA$14,"D",IF(D95&lt;'PlayerGrades+'!$AA$13,"D+",IF(D95&lt;'PlayerGrades+'!$AA$12,"C-",IF(D95&lt;'PlayerGrades+'!$AA$11,"C",IF(D95&lt;'PlayerGrades+'!$AA$10,"C+",IF(D95&lt;'PlayerGrades+'!$AA$9,"B-",IF(D95&lt;'PlayerGrades+'!$AA$8,"B",IF(D95&lt;'PlayerGrades+'!$AA$7,"B+",IF(D95&lt;'PlayerGrades+'!$AA$6,"A-",IF(D95&lt;'PlayerGrades+'!$AA$5,"A",IF(D95&lt;'PlayerGrades+'!$AA$4,"A+",IF(D95&lt;'PlayerGrades+'!$AA$3,"S-",IF(D95&lt;'PlayerGrades+'!$AA$2,"S","S+"))))))))))))))))))))</f>
        <v>F-</v>
      </c>
      <c r="F95" s="937">
        <f t="shared" si="2"/>
        <v>1.176470588</v>
      </c>
      <c r="G95" s="937" t="str">
        <f>IF(F95&lt;'PlayerGrades+'!$AB$21,"F-",IF(F95&lt;'PlayerGrades+'!$AB$20,"F",IF(F95&lt;'PlayerGrades+'!$AB$19,"F+",IF(F95&lt;'PlayerGrades+'!$AB$18,"E-",IF(F95&lt;'PlayerGrades+'!$AB$17,"E",IF(F95&lt;'PlayerGrades+'!$AB$16,"E+",IF(F95&lt;'PlayerGrades+'!$AB$15,"D-",IF(F95&lt;'PlayerGrades+'!$AB$14,"D",IF(F95&lt;'PlayerGrades+'!$AB$13,"D+",IF(F95&lt;'PlayerGrades+'!$AB$12,"C-",IF(F95&lt;'PlayerGrades+'!$AB$11,"C",IF(F95&lt;'PlayerGrades+'!$AB$10,"C+",IF(F95&lt;'PlayerGrades+'!$AB$9,"B-",IF(F95&lt;'PlayerGrades+'!$AB$8,"B",IF(F95&lt;'PlayerGrades+'!$AB$7,"B+",IF(F95&lt;'PlayerGrades+'!$AB$6,"A-",IF(F95&lt;'PlayerGrades+'!$AB$5,"A",IF(F95&lt;'PlayerGrades+'!$AB$4,"A+",IF(F95&lt;'PlayerGrades+'!$AB$3,"S-",IF(F95&lt;'PlayerGrades+'!$AB$2,"S","S+"))))))))))))))))))))</f>
        <v>S+</v>
      </c>
      <c r="H95" s="937">
        <f t="shared" si="3"/>
        <v>0.3069053708</v>
      </c>
      <c r="I95" s="937" t="str">
        <f>IF(H95&lt;'PlayerGrades+'!$AC$21,"F-",IF(H95&lt;'PlayerGrades+'!$AC$20,"F",IF(H95&lt;'PlayerGrades+'!$AC$19,"F+",IF(H95&lt;'PlayerGrades+'!$AC$18,"E-",IF(H95&lt;'PlayerGrades+'!$AC$17,"E",IF(H95&lt;'PlayerGrades+'!$AC$16,"E+",IF(H95&lt;'PlayerGrades+'!$AC$15,"D-",IF(H95&lt;'PlayerGrades+'!$AC$14,"D",IF(H95&lt;'PlayerGrades+'!$AC$13,"D+",IF(H95&lt;'PlayerGrades+'!$AC$12,"C-",IF(H95&lt;'PlayerGrades+'!$AC$11,"C",IF(H95&lt;'PlayerGrades+'!$AC$10,"C+",IF(H95&lt;'PlayerGrades+'!$AC$9,"B-",IF(H95&lt;'PlayerGrades+'!$AC$8,"B",IF(H95&lt;'PlayerGrades+'!$AC$7,"B+",IF(H95&lt;'PlayerGrades+'!$AC$6,"A-",IF(H95&lt;'PlayerGrades+'!$AC$5,"A",IF(H95&lt;'PlayerGrades+'!$AC$4,"A+",IF(H95&lt;'PlayerGrades+'!$AC$3,"S-",IF(H95&lt;'PlayerGrades+'!$AC$2,"S","S+"))))))))))))))))))))</f>
        <v>S+</v>
      </c>
      <c r="J95" s="937">
        <f t="shared" si="4"/>
        <v>0.1023017903</v>
      </c>
      <c r="K95" s="937" t="str">
        <f>IF(J95&lt;'PlayerGrades+'!$AD$21,"F-",IF(J95&lt;'PlayerGrades+'!$AD$20,"F",IF(J95&lt;'PlayerGrades+'!$AD$19,"F+",IF(J95&lt;'PlayerGrades+'!$AD$18,"E-",IF(J95&lt;'PlayerGrades+'!$AD$17,"E",IF(J95&lt;'PlayerGrades+'!$AD$16,"E+",IF(J95&lt;'PlayerGrades+'!$AD$15,"D-",IF(J95&lt;'PlayerGrades+'!$AD$14,"D",IF(J95&lt;'PlayerGrades+'!$AD$13,"D+",IF(J95&lt;'PlayerGrades+'!$AD$12,"C-",IF(J95&lt;'PlayerGrades+'!$AD$11,"C",IF(J95&lt;'PlayerGrades+'!$AD$10,"C+",IF(J95&lt;'PlayerGrades+'!$AD$9,"B-",IF(J95&lt;'PlayerGrades+'!$AD$8,"B",IF(J95&lt;'PlayerGrades+'!$AD$7,"B+",IF(J95&lt;'PlayerGrades+'!$AD$6,"A-",IF(J95&lt;'PlayerGrades+'!$AD$5,"A",IF(J95&lt;'PlayerGrades+'!$AD$4,"A+",IF(J95&lt;'PlayerGrades+'!$AD$3,"S-",IF(J95&lt;'PlayerGrades+'!$AD$2,"S","S+"))))))))))))))))))))</f>
        <v>S</v>
      </c>
      <c r="L95" s="677">
        <f t="shared" si="5"/>
        <v>0.5115089514</v>
      </c>
      <c r="M95" s="938" t="str">
        <f>IF(L95&lt;'PlayerGrades+'!$AE$21,"F-",IF(L95&lt;'PlayerGrades+'!$AE$20,"F",IF(L95&lt;'PlayerGrades+'!$AE$19,"F+",IF(L95&lt;'PlayerGrades+'!$AE$18,"E-",IF(L95&lt;'PlayerGrades+'!$AE$17,"E",IF(L95&lt;'PlayerGrades+'!$AE$16,"E+",IF(L95&lt;'PlayerGrades+'!$AE$15,"D-",IF(L95&lt;'PlayerGrades+'!$AE$14,"D",IF(L95&lt;'PlayerGrades+'!$AE$13,"D+",IF(L95&lt;'PlayerGrades+'!$AE$12,"C-",IF(L95&lt;'PlayerGrades+'!$AE$11,"C",IF(L95&lt;'PlayerGrades+'!$AE$10,"C+",IF(L95&lt;'PlayerGrades+'!$AE$9,"B-",IF(L95&lt;'PlayerGrades+'!$AE$8,"B",IF(L95&lt;'PlayerGrades+'!$AE$7,"B+",IF(L95&lt;'PlayerGrades+'!$AE$6,"A-",IF(L95&lt;'PlayerGrades+'!$AE$5,"A",IF(L95&lt;'PlayerGrades+'!$AE$4,"A+",IF(L95&lt;'PlayerGrades+'!$AE$3,"S-",IF(L95&lt;'PlayerGrades+'!$AE$2,"S","S+"))))))))))))))))))))</f>
        <v>A-</v>
      </c>
      <c r="N95" s="937">
        <f t="shared" si="6"/>
        <v>0.1534526854</v>
      </c>
      <c r="O95" s="937" t="str">
        <f>IF(N95&lt;'PlayerGrades+'!$AF$21,"F-",IF(N95&lt;'PlayerGrades+'!$AF$20,"F",IF(N95&lt;'PlayerGrades+'!$AF$19,"F+",IF(N95&lt;'PlayerGrades+'!$AF$18,"E-",IF(N95&lt;'PlayerGrades+'!$AF$17,"E",IF(N95&lt;'PlayerGrades+'!$AF$16,"E+",IF(N95&lt;'PlayerGrades+'!$AF$15,"D-",IF(N95&lt;'PlayerGrades+'!$AF$14,"D",IF(N95&lt;'PlayerGrades+'!$AF$13,"D+",IF(N95&lt;'PlayerGrades+'!$AF$12,"C-",IF(N95&lt;'PlayerGrades+'!$AF$11,"C",IF(N95&lt;'PlayerGrades+'!$AF$10,"C+",IF(N95&lt;'PlayerGrades+'!$AF$9,"B-",IF(N95&lt;'PlayerGrades+'!$AF$8,"B",IF(N95&lt;'PlayerGrades+'!$AF$7,"B+",IF(N95&lt;'PlayerGrades+'!$AF$6,"A-",IF(N95&lt;'PlayerGrades+'!$AF$5,"A",IF(N95&lt;'PlayerGrades+'!$AF$4,"A+",IF(N95&lt;'PlayerGrades+'!$AF$3,"S-",IF(N95&lt;'PlayerGrades+'!$AF$2,"S","S+"))))))))))))))))))))</f>
        <v>S+</v>
      </c>
      <c r="P95" s="937">
        <f t="shared" si="7"/>
        <v>0.1023017903</v>
      </c>
      <c r="Q95" s="937" t="str">
        <f>IF(P95&lt;'PlayerGrades+'!$AG$21,"F-",IF(P95&lt;'PlayerGrades+'!$AG$20,"F",IF(P95&lt;'PlayerGrades+'!$AG$19,"F+",IF(P95&lt;'PlayerGrades+'!$AG$18,"E-",IF(P95&lt;'PlayerGrades+'!$AG$17,"E",IF(P95&lt;'PlayerGrades+'!$AG$16,"E+",IF(P95&lt;'PlayerGrades+'!$AG$15,"D-",IF(P95&lt;'PlayerGrades+'!$AG$14,"D",IF(P95&lt;'PlayerGrades+'!$AG$13,"D+",IF(P95&lt;'PlayerGrades+'!$AG$12,"C-",IF(P95&lt;'PlayerGrades+'!$AG$11,"C",IF(P95&lt;'PlayerGrades+'!$AG$10,"C+",IF(P95&lt;'PlayerGrades+'!$AG$9,"B-",IF(P95&lt;'PlayerGrades+'!$AG$8,"B",IF(P95&lt;'PlayerGrades+'!$AG$7,"B+",IF(P95&lt;'PlayerGrades+'!$AG$6,"A-",IF(P95&lt;'PlayerGrades+'!$AG$5,"A",IF(P95&lt;'PlayerGrades+'!$AG$4,"A+",IF(P95&lt;'PlayerGrades+'!$AG$3,"S-",IF(P95&lt;'PlayerGrades+'!$AG$2,"S","S+"))))))))))))))))))))</f>
        <v>S+</v>
      </c>
      <c r="R95" s="937">
        <f t="shared" si="8"/>
        <v>0.3069053708</v>
      </c>
      <c r="S95" s="937" t="str">
        <f>IF(R95&lt;'PlayerGrades+'!$AH$21,"F-",IF(R95&lt;'PlayerGrades+'!$AH$20,"F",IF(R95&lt;'PlayerGrades+'!$AH$19,"F+",IF(R95&lt;'PlayerGrades+'!$AH$18,"E-",IF(R95&lt;'PlayerGrades+'!$AH$17,"E",IF(R95&lt;'PlayerGrades+'!$AH$16,"E+",IF(R95&lt;'PlayerGrades+'!$AH$15,"D-",IF(R95&lt;'PlayerGrades+'!$AH$14,"D",IF(R95&lt;'PlayerGrades+'!$AH$13,"D+",IF(R95&lt;'PlayerGrades+'!$AH$12,"C-",IF(R95&lt;'PlayerGrades+'!$AH$11,"C",IF(R95&lt;'PlayerGrades+'!$AH$10,"C+",IF(R95&lt;'PlayerGrades+'!$AH$9,"B-",IF(R95&lt;'PlayerGrades+'!$AH$8,"B",IF(R95&lt;'PlayerGrades+'!$AH$7,"B+",IF(R95&lt;'PlayerGrades+'!$AH$6,"A-",IF(R95&lt;'PlayerGrades+'!$AH$5,"A",IF(R95&lt;'PlayerGrades+'!$AH$4,"A+",IF(R95&lt;'PlayerGrades+'!$AH$3,"S-",IF(R95&lt;'PlayerGrades+'!$AH$2,"S","S+"))))))))))))))))))))</f>
        <v>F-</v>
      </c>
      <c r="T95" s="937">
        <f t="shared" si="9"/>
        <v>1.204603581</v>
      </c>
      <c r="U95" s="937" t="str">
        <f>IF(T95&lt;'PlayerGrades+'!$AI$21,"F-",IF(T95&lt;'PlayerGrades+'!$AI$20,"F",IF(T95&lt;'PlayerGrades+'!$AI$19,"F+",IF(T95&lt;'PlayerGrades+'!$AI$18,"E-",IF(T95&lt;'PlayerGrades+'!$AI$17,"E",IF(T95&lt;'PlayerGrades+'!$AI$16,"E+",IF(T95&lt;'PlayerGrades+'!$AI$15,"D-",IF(T95&lt;'PlayerGrades+'!$AI$14,"D",IF(T95&lt;'PlayerGrades+'!$AI$13,"D+",IF(T95&lt;'PlayerGrades+'!$AI$12,"C-",IF(T95&lt;'PlayerGrades+'!$AI$11,"C",IF(T95&lt;'PlayerGrades+'!$AI$10,"C+",IF(T95&lt;'PlayerGrades+'!$AI$9,"B-",IF(T95&lt;'PlayerGrades+'!$AI$8,"B",IF(T95&lt;'PlayerGrades+'!$AI$7,"B+",IF(T95&lt;'PlayerGrades+'!$AI$6,"A-",IF(T95&lt;'PlayerGrades+'!$AI$5,"A",IF(T95&lt;'PlayerGrades+'!$AI$4,"A+",IF(T95&lt;'PlayerGrades+'!$AI$3,"S-",IF(T95&lt;'PlayerGrades+'!$AI$2,"S","S+"))))))))))))))))))))</f>
        <v>C-</v>
      </c>
      <c r="V95" s="941">
        <v>1.0</v>
      </c>
      <c r="W95" s="941">
        <v>1.0</v>
      </c>
      <c r="X95" s="941">
        <v>0.0</v>
      </c>
      <c r="Y95" s="941">
        <v>0.0</v>
      </c>
      <c r="Z95" s="941">
        <v>0.0</v>
      </c>
      <c r="AA95" s="941">
        <v>67.0</v>
      </c>
      <c r="AB95" s="941">
        <v>44.0</v>
      </c>
      <c r="AC95" s="941">
        <v>23.0</v>
      </c>
      <c r="AD95" s="941">
        <v>1.0</v>
      </c>
      <c r="AE95" s="941">
        <v>9.0</v>
      </c>
      <c r="AF95" s="941">
        <v>2.0</v>
      </c>
      <c r="AG95" s="941">
        <v>960.0</v>
      </c>
      <c r="AH95" s="941">
        <v>1173.0</v>
      </c>
      <c r="AI95" s="941">
        <v>21.0</v>
      </c>
      <c r="AJ95" s="941">
        <v>1.0</v>
      </c>
      <c r="AK95" s="941">
        <v>0.0</v>
      </c>
      <c r="AL95" s="941">
        <v>2.0</v>
      </c>
      <c r="AM95" s="941">
        <v>0.0</v>
      </c>
      <c r="AN95" s="941">
        <v>0.0</v>
      </c>
      <c r="AO95" s="941">
        <v>0.0</v>
      </c>
      <c r="AP95" s="941">
        <v>2.0</v>
      </c>
      <c r="AQ95" s="941">
        <v>0.0</v>
      </c>
      <c r="AR95" s="941">
        <v>10.0</v>
      </c>
      <c r="AS95" s="941">
        <v>3.0</v>
      </c>
      <c r="AT95" s="941">
        <v>0.0</v>
      </c>
      <c r="AU95" s="941">
        <v>0.0</v>
      </c>
      <c r="AV95" s="941">
        <v>0.0</v>
      </c>
      <c r="AW95" s="941">
        <v>0.0</v>
      </c>
      <c r="AX95" s="941">
        <v>0.0</v>
      </c>
      <c r="AY95" s="941">
        <v>0.0</v>
      </c>
      <c r="AZ95" s="941">
        <v>0.0</v>
      </c>
      <c r="BA95" s="941">
        <v>0.0</v>
      </c>
      <c r="BB95" s="941">
        <v>6.0</v>
      </c>
      <c r="BC95" s="941">
        <v>0.0</v>
      </c>
      <c r="BD95" s="941">
        <v>5.0</v>
      </c>
      <c r="BE95" s="942">
        <v>4.0</v>
      </c>
      <c r="BF95" s="941">
        <v>1.0</v>
      </c>
      <c r="BG95" s="941">
        <v>1.0</v>
      </c>
    </row>
    <row r="96">
      <c r="A96" s="935" t="s">
        <v>141</v>
      </c>
      <c r="B96" s="16" t="str">
        <f>IF(C96&lt;'PlayerGrades+'!$Y$44,"F-",IF(C96&lt;'PlayerGrades+'!$Y$43,"F",IF(C96&lt;'PlayerGrades+'!$Y$42,"F+",IF(C96&lt;'PlayerGrades+'!$Y$41,"E-",IF(C96&lt;'PlayerGrades+'!$Y$40,"E",IF(C96&lt;'PlayerGrades+'!$Y$39,"E+",IF(C96&lt;'PlayerGrades+'!$Y$38,"D-",IF(C96&lt;'PlayerGrades+'!$Y$37,"D",IF(C96&lt;'PlayerGrades+'!$Y$36,"D+",IF(C96&lt;'PlayerGrades+'!$Y$35,"C-",IF(C96&lt;'PlayerGrades+'!$Y$34,"C",IF(C96&lt;'PlayerGrades+'!$Y$33,"C+",IF(C96&lt;'PlayerGrades+'!$Y$32,"B-",IF(C96&lt;'PlayerGrades+'!$Y$31,"B",IF(C96&lt;'PlayerGrades+'!$Y$30,"B+",IF(C96&lt;'PlayerGrades+'!$Y$29,"A-",IF(C96&lt;'PlayerGrades+'!$Y$28,"A",IF(C96&lt;'PlayerGrades+'!$Y$27,"A+",IF(C96&lt;'PlayerGrades+'!$Y$26,"S-",IF(C96&lt;'PlayerGrades+'!$Y$25,"S","S+"))))))))))))))))))))</f>
        <v>A</v>
      </c>
      <c r="C96" s="936">
        <f>('PlayerGrades+'!$Y$47*(VLOOKUP(E96, 'PlayerGrades+'!$X$3:$Y$23, 2, FALSE)))+('PlayerGrades+'!$Y$48*(VLOOKUP(G96, 'PlayerGrades+'!$X$3:$Y$23, 2, FALSE)))+('PlayerGrades+'!$Y$49*(VLOOKUP(I96, 'PlayerGrades+'!$X$3:$Y$23, 2, FALSE)))+('PlayerGrades+'!$Y$50*(VLOOKUP(K96, 'PlayerGrades+'!$X$3:$Y$23, 2, FALSE)))+('PlayerGrades+'!$Y$51*(VLOOKUP(M96, 'PlayerGrades+'!$X$3:$Y$23, 2, FALSE)))+('PlayerGrades+'!$Y$52*(VLOOKUP(O96, 'PlayerGrades+'!$X$3:$Y$23, 2, FALSE)))+('PlayerGrades+'!$Y$53*(VLOOKUP(Q96, 'PlayerGrades+'!$X$3:$Y$23, 2, FALSE)))+('PlayerGrades+'!$Y$54*(VLOOKUP(S96, 'PlayerGrades+'!$X$3:$Y$23, 2, FALSE)))+('PlayerGrades+'!$Y$55*(VLOOKUP(U96, 'PlayerGrades+'!$X$3:$Y$23, 2, FALSE)))</f>
        <v>26.65</v>
      </c>
      <c r="D96" s="937">
        <f t="shared" si="1"/>
        <v>0.1023017903</v>
      </c>
      <c r="E96" s="937" t="str">
        <f>IF(D96&lt;'PlayerGrades+'!$AA$21,"F-",IF(D96&lt;'PlayerGrades+'!$AA$20,"F",IF(D96&lt;'PlayerGrades+'!$AA$19,"F+",IF(D96&lt;'PlayerGrades+'!$AA$18,"E-",IF(D96&lt;'PlayerGrades+'!$AA$17,"E",IF(D96&lt;'PlayerGrades+'!$AA$16,"E+",IF(D96&lt;'PlayerGrades+'!$AA$15,"D-",IF(D96&lt;'PlayerGrades+'!$AA$14,"D",IF(D96&lt;'PlayerGrades+'!$AA$13,"D+",IF(D96&lt;'PlayerGrades+'!$AA$12,"C-",IF(D96&lt;'PlayerGrades+'!$AA$11,"C",IF(D96&lt;'PlayerGrades+'!$AA$10,"C+",IF(D96&lt;'PlayerGrades+'!$AA$9,"B-",IF(D96&lt;'PlayerGrades+'!$AA$8,"B",IF(D96&lt;'PlayerGrades+'!$AA$7,"B+",IF(D96&lt;'PlayerGrades+'!$AA$6,"A-",IF(D96&lt;'PlayerGrades+'!$AA$5,"A",IF(D96&lt;'PlayerGrades+'!$AA$4,"A+",IF(D96&lt;'PlayerGrades+'!$AA$3,"S-",IF(D96&lt;'PlayerGrades+'!$AA$2,"S","S+"))))))))))))))))))))</f>
        <v>B</v>
      </c>
      <c r="F96" s="937">
        <f t="shared" si="2"/>
        <v>-1.176470588</v>
      </c>
      <c r="G96" s="937" t="str">
        <f>IF(F96&lt;'PlayerGrades+'!$AB$21,"F-",IF(F96&lt;'PlayerGrades+'!$AB$20,"F",IF(F96&lt;'PlayerGrades+'!$AB$19,"F+",IF(F96&lt;'PlayerGrades+'!$AB$18,"E-",IF(F96&lt;'PlayerGrades+'!$AB$17,"E",IF(F96&lt;'PlayerGrades+'!$AB$16,"E+",IF(F96&lt;'PlayerGrades+'!$AB$15,"D-",IF(F96&lt;'PlayerGrades+'!$AB$14,"D",IF(F96&lt;'PlayerGrades+'!$AB$13,"D+",IF(F96&lt;'PlayerGrades+'!$AB$12,"C-",IF(F96&lt;'PlayerGrades+'!$AB$11,"C",IF(F96&lt;'PlayerGrades+'!$AB$10,"C+",IF(F96&lt;'PlayerGrades+'!$AB$9,"B-",IF(F96&lt;'PlayerGrades+'!$AB$8,"B",IF(F96&lt;'PlayerGrades+'!$AB$7,"B+",IF(F96&lt;'PlayerGrades+'!$AB$6,"A-",IF(F96&lt;'PlayerGrades+'!$AB$5,"A",IF(F96&lt;'PlayerGrades+'!$AB$4,"A+",IF(F96&lt;'PlayerGrades+'!$AB$3,"S-",IF(F96&lt;'PlayerGrades+'!$AB$2,"S","S+"))))))))))))))))))))</f>
        <v>F-</v>
      </c>
      <c r="H96" s="937">
        <f t="shared" si="3"/>
        <v>0.1023017903</v>
      </c>
      <c r="I96" s="937" t="str">
        <f>IF(H96&lt;'PlayerGrades+'!$AC$21,"F-",IF(H96&lt;'PlayerGrades+'!$AC$20,"F",IF(H96&lt;'PlayerGrades+'!$AC$19,"F+",IF(H96&lt;'PlayerGrades+'!$AC$18,"E-",IF(H96&lt;'PlayerGrades+'!$AC$17,"E",IF(H96&lt;'PlayerGrades+'!$AC$16,"E+",IF(H96&lt;'PlayerGrades+'!$AC$15,"D-",IF(H96&lt;'PlayerGrades+'!$AC$14,"D",IF(H96&lt;'PlayerGrades+'!$AC$13,"D+",IF(H96&lt;'PlayerGrades+'!$AC$12,"C-",IF(H96&lt;'PlayerGrades+'!$AC$11,"C",IF(H96&lt;'PlayerGrades+'!$AC$10,"C+",IF(H96&lt;'PlayerGrades+'!$AC$9,"B-",IF(H96&lt;'PlayerGrades+'!$AC$8,"B",IF(H96&lt;'PlayerGrades+'!$AC$7,"B+",IF(H96&lt;'PlayerGrades+'!$AC$6,"A-",IF(H96&lt;'PlayerGrades+'!$AC$5,"A",IF(H96&lt;'PlayerGrades+'!$AC$4,"A+",IF(H96&lt;'PlayerGrades+'!$AC$3,"S-",IF(H96&lt;'PlayerGrades+'!$AC$2,"S","S+"))))))))))))))))))))</f>
        <v>C-</v>
      </c>
      <c r="J96" s="937">
        <f t="shared" si="4"/>
        <v>0.05115089514</v>
      </c>
      <c r="K96" s="937" t="str">
        <f>IF(J96&lt;'PlayerGrades+'!$AD$21,"F-",IF(J96&lt;'PlayerGrades+'!$AD$20,"F",IF(J96&lt;'PlayerGrades+'!$AD$19,"F+",IF(J96&lt;'PlayerGrades+'!$AD$18,"E-",IF(J96&lt;'PlayerGrades+'!$AD$17,"E",IF(J96&lt;'PlayerGrades+'!$AD$16,"E+",IF(J96&lt;'PlayerGrades+'!$AD$15,"D-",IF(J96&lt;'PlayerGrades+'!$AD$14,"D",IF(J96&lt;'PlayerGrades+'!$AD$13,"D+",IF(J96&lt;'PlayerGrades+'!$AD$12,"C-",IF(J96&lt;'PlayerGrades+'!$AD$11,"C",IF(J96&lt;'PlayerGrades+'!$AD$10,"C+",IF(J96&lt;'PlayerGrades+'!$AD$9,"B-",IF(J96&lt;'PlayerGrades+'!$AD$8,"B",IF(J96&lt;'PlayerGrades+'!$AD$7,"B+",IF(J96&lt;'PlayerGrades+'!$AD$6,"A-",IF(J96&lt;'PlayerGrades+'!$AD$5,"A",IF(J96&lt;'PlayerGrades+'!$AD$4,"A+",IF(J96&lt;'PlayerGrades+'!$AD$3,"S-",IF(J96&lt;'PlayerGrades+'!$AD$2,"S","S+"))))))))))))))))))))</f>
        <v>B</v>
      </c>
      <c r="L96" s="677">
        <f t="shared" si="5"/>
        <v>0.5626598465</v>
      </c>
      <c r="M96" s="938" t="str">
        <f>IF(L96&lt;'PlayerGrades+'!$AE$21,"F-",IF(L96&lt;'PlayerGrades+'!$AE$20,"F",IF(L96&lt;'PlayerGrades+'!$AE$19,"F+",IF(L96&lt;'PlayerGrades+'!$AE$18,"E-",IF(L96&lt;'PlayerGrades+'!$AE$17,"E",IF(L96&lt;'PlayerGrades+'!$AE$16,"E+",IF(L96&lt;'PlayerGrades+'!$AE$15,"D-",IF(L96&lt;'PlayerGrades+'!$AE$14,"D",IF(L96&lt;'PlayerGrades+'!$AE$13,"D+",IF(L96&lt;'PlayerGrades+'!$AE$12,"C-",IF(L96&lt;'PlayerGrades+'!$AE$11,"C",IF(L96&lt;'PlayerGrades+'!$AE$10,"C+",IF(L96&lt;'PlayerGrades+'!$AE$9,"B-",IF(L96&lt;'PlayerGrades+'!$AE$8,"B",IF(L96&lt;'PlayerGrades+'!$AE$7,"B+",IF(L96&lt;'PlayerGrades+'!$AE$6,"A-",IF(L96&lt;'PlayerGrades+'!$AE$5,"A",IF(L96&lt;'PlayerGrades+'!$AE$4,"A+",IF(L96&lt;'PlayerGrades+'!$AE$3,"S-",IF(L96&lt;'PlayerGrades+'!$AE$2,"S","S+"))))))))))))))))))))</f>
        <v>A</v>
      </c>
      <c r="N96" s="937">
        <f t="shared" si="6"/>
        <v>0.1534526854</v>
      </c>
      <c r="O96" s="937" t="str">
        <f>IF(N96&lt;'PlayerGrades+'!$AF$21,"F-",IF(N96&lt;'PlayerGrades+'!$AF$20,"F",IF(N96&lt;'PlayerGrades+'!$AF$19,"F+",IF(N96&lt;'PlayerGrades+'!$AF$18,"E-",IF(N96&lt;'PlayerGrades+'!$AF$17,"E",IF(N96&lt;'PlayerGrades+'!$AF$16,"E+",IF(N96&lt;'PlayerGrades+'!$AF$15,"D-",IF(N96&lt;'PlayerGrades+'!$AF$14,"D",IF(N96&lt;'PlayerGrades+'!$AF$13,"D+",IF(N96&lt;'PlayerGrades+'!$AF$12,"C-",IF(N96&lt;'PlayerGrades+'!$AF$11,"C",IF(N96&lt;'PlayerGrades+'!$AF$10,"C+",IF(N96&lt;'PlayerGrades+'!$AF$9,"B-",IF(N96&lt;'PlayerGrades+'!$AF$8,"B",IF(N96&lt;'PlayerGrades+'!$AF$7,"B+",IF(N96&lt;'PlayerGrades+'!$AF$6,"A-",IF(N96&lt;'PlayerGrades+'!$AF$5,"A",IF(N96&lt;'PlayerGrades+'!$AF$4,"A+",IF(N96&lt;'PlayerGrades+'!$AF$3,"S-",IF(N96&lt;'PlayerGrades+'!$AF$2,"S","S+"))))))))))))))))))))</f>
        <v>S+</v>
      </c>
      <c r="P96" s="937">
        <f t="shared" si="7"/>
        <v>0.05115089514</v>
      </c>
      <c r="Q96" s="937" t="str">
        <f>IF(P96&lt;'PlayerGrades+'!$AG$21,"F-",IF(P96&lt;'PlayerGrades+'!$AG$20,"F",IF(P96&lt;'PlayerGrades+'!$AG$19,"F+",IF(P96&lt;'PlayerGrades+'!$AG$18,"E-",IF(P96&lt;'PlayerGrades+'!$AG$17,"E",IF(P96&lt;'PlayerGrades+'!$AG$16,"E+",IF(P96&lt;'PlayerGrades+'!$AG$15,"D-",IF(P96&lt;'PlayerGrades+'!$AG$14,"D",IF(P96&lt;'PlayerGrades+'!$AG$13,"D+",IF(P96&lt;'PlayerGrades+'!$AG$12,"C-",IF(P96&lt;'PlayerGrades+'!$AG$11,"C",IF(P96&lt;'PlayerGrades+'!$AG$10,"C+",IF(P96&lt;'PlayerGrades+'!$AG$9,"B-",IF(P96&lt;'PlayerGrades+'!$AG$8,"B",IF(P96&lt;'PlayerGrades+'!$AG$7,"B+",IF(P96&lt;'PlayerGrades+'!$AG$6,"A-",IF(P96&lt;'PlayerGrades+'!$AG$5,"A",IF(P96&lt;'PlayerGrades+'!$AG$4,"A+",IF(P96&lt;'PlayerGrades+'!$AG$3,"S-",IF(P96&lt;'PlayerGrades+'!$AG$2,"S","S+"))))))))))))))))))))</f>
        <v>A</v>
      </c>
      <c r="R96" s="937">
        <f t="shared" si="8"/>
        <v>0.716112532</v>
      </c>
      <c r="S96" s="937" t="str">
        <f>IF(R96&lt;'PlayerGrades+'!$AH$21,"F-",IF(R96&lt;'PlayerGrades+'!$AH$20,"F",IF(R96&lt;'PlayerGrades+'!$AH$19,"F+",IF(R96&lt;'PlayerGrades+'!$AH$18,"E-",IF(R96&lt;'PlayerGrades+'!$AH$17,"E",IF(R96&lt;'PlayerGrades+'!$AH$16,"E+",IF(R96&lt;'PlayerGrades+'!$AH$15,"D-",IF(R96&lt;'PlayerGrades+'!$AH$14,"D",IF(R96&lt;'PlayerGrades+'!$AH$13,"D+",IF(R96&lt;'PlayerGrades+'!$AH$12,"C-",IF(R96&lt;'PlayerGrades+'!$AH$11,"C",IF(R96&lt;'PlayerGrades+'!$AH$10,"C+",IF(R96&lt;'PlayerGrades+'!$AH$9,"B-",IF(R96&lt;'PlayerGrades+'!$AH$8,"B",IF(R96&lt;'PlayerGrades+'!$AH$7,"B+",IF(R96&lt;'PlayerGrades+'!$AH$6,"A-",IF(R96&lt;'PlayerGrades+'!$AH$5,"A",IF(R96&lt;'PlayerGrades+'!$AH$4,"A+",IF(R96&lt;'PlayerGrades+'!$AH$3,"S-",IF(R96&lt;'PlayerGrades+'!$AH$2,"S","S+"))))))))))))))))))))</f>
        <v>S</v>
      </c>
      <c r="T96" s="937">
        <f t="shared" si="9"/>
        <v>2.613810742</v>
      </c>
      <c r="U96" s="937" t="str">
        <f>IF(T96&lt;'PlayerGrades+'!$AI$21,"F-",IF(T96&lt;'PlayerGrades+'!$AI$20,"F",IF(T96&lt;'PlayerGrades+'!$AI$19,"F+",IF(T96&lt;'PlayerGrades+'!$AI$18,"E-",IF(T96&lt;'PlayerGrades+'!$AI$17,"E",IF(T96&lt;'PlayerGrades+'!$AI$16,"E+",IF(T96&lt;'PlayerGrades+'!$AI$15,"D-",IF(T96&lt;'PlayerGrades+'!$AI$14,"D",IF(T96&lt;'PlayerGrades+'!$AI$13,"D+",IF(T96&lt;'PlayerGrades+'!$AI$12,"C-",IF(T96&lt;'PlayerGrades+'!$AI$11,"C",IF(T96&lt;'PlayerGrades+'!$AI$10,"C+",IF(T96&lt;'PlayerGrades+'!$AI$9,"B-",IF(T96&lt;'PlayerGrades+'!$AI$8,"B",IF(T96&lt;'PlayerGrades+'!$AI$7,"B+",IF(T96&lt;'PlayerGrades+'!$AI$6,"A-",IF(T96&lt;'PlayerGrades+'!$AI$5,"A",IF(T96&lt;'PlayerGrades+'!$AI$4,"A+",IF(T96&lt;'PlayerGrades+'!$AI$3,"S-",IF(T96&lt;'PlayerGrades+'!$AI$2,"S","S+"))))))))))))))))))))</f>
        <v>S+</v>
      </c>
      <c r="V96" s="941">
        <v>1.0</v>
      </c>
      <c r="W96" s="941">
        <v>1.0</v>
      </c>
      <c r="X96" s="941">
        <v>0.0</v>
      </c>
      <c r="Y96" s="941">
        <v>2.0</v>
      </c>
      <c r="Z96" s="941">
        <v>0.0</v>
      </c>
      <c r="AA96" s="941">
        <v>62.0</v>
      </c>
      <c r="AB96" s="941">
        <v>85.0</v>
      </c>
      <c r="AC96" s="941">
        <v>-23.0</v>
      </c>
      <c r="AD96" s="941">
        <v>9.0</v>
      </c>
      <c r="AE96" s="941">
        <v>6.0</v>
      </c>
      <c r="AF96" s="941">
        <v>3.0</v>
      </c>
      <c r="AG96" s="941">
        <v>835.0</v>
      </c>
      <c r="AH96" s="941">
        <v>1173.0</v>
      </c>
      <c r="AI96" s="941">
        <v>9.0</v>
      </c>
      <c r="AJ96" s="941">
        <v>46.0</v>
      </c>
      <c r="AK96" s="941">
        <v>0.0</v>
      </c>
      <c r="AL96" s="941">
        <v>1.0</v>
      </c>
      <c r="AM96" s="941">
        <v>0.0</v>
      </c>
      <c r="AN96" s="941">
        <v>0.0</v>
      </c>
      <c r="AO96" s="941">
        <v>0.0</v>
      </c>
      <c r="AP96" s="941">
        <v>1.0</v>
      </c>
      <c r="AQ96" s="941">
        <v>0.0</v>
      </c>
      <c r="AR96" s="941">
        <v>11.0</v>
      </c>
      <c r="AS96" s="941">
        <v>3.0</v>
      </c>
      <c r="AT96" s="941">
        <v>1.0</v>
      </c>
      <c r="AU96" s="941">
        <v>0.0</v>
      </c>
      <c r="AV96" s="941">
        <v>0.0</v>
      </c>
      <c r="AW96" s="941">
        <v>0.0</v>
      </c>
      <c r="AX96" s="941">
        <v>0.0</v>
      </c>
      <c r="AY96" s="941">
        <v>0.0</v>
      </c>
      <c r="AZ96" s="941">
        <v>0.0</v>
      </c>
      <c r="BA96" s="941">
        <v>0.0</v>
      </c>
      <c r="BB96" s="941">
        <v>2.0</v>
      </c>
      <c r="BC96" s="941">
        <v>0.0</v>
      </c>
      <c r="BD96" s="941">
        <v>5.0</v>
      </c>
      <c r="BE96" s="942">
        <v>12.0</v>
      </c>
      <c r="BF96" s="941">
        <v>2.0</v>
      </c>
      <c r="BG96" s="941">
        <v>1.0</v>
      </c>
    </row>
    <row r="97">
      <c r="A97" s="943" t="s">
        <v>119</v>
      </c>
      <c r="B97" s="16" t="str">
        <f>IF(C97&lt;'PlayerGrades+'!$Y$44,"F-",IF(C97&lt;'PlayerGrades+'!$Y$43,"F",IF(C97&lt;'PlayerGrades+'!$Y$42,"F+",IF(C97&lt;'PlayerGrades+'!$Y$41,"E-",IF(C97&lt;'PlayerGrades+'!$Y$40,"E",IF(C97&lt;'PlayerGrades+'!$Y$39,"E+",IF(C97&lt;'PlayerGrades+'!$Y$38,"D-",IF(C97&lt;'PlayerGrades+'!$Y$37,"D",IF(C97&lt;'PlayerGrades+'!$Y$36,"D+",IF(C97&lt;'PlayerGrades+'!$Y$35,"C-",IF(C97&lt;'PlayerGrades+'!$Y$34,"C",IF(C97&lt;'PlayerGrades+'!$Y$33,"C+",IF(C97&lt;'PlayerGrades+'!$Y$32,"B-",IF(C97&lt;'PlayerGrades+'!$Y$31,"B",IF(C97&lt;'PlayerGrades+'!$Y$30,"B+",IF(C97&lt;'PlayerGrades+'!$Y$29,"A-",IF(C97&lt;'PlayerGrades+'!$Y$28,"A",IF(C97&lt;'PlayerGrades+'!$Y$27,"A+",IF(C97&lt;'PlayerGrades+'!$Y$26,"S-",IF(C97&lt;'PlayerGrades+'!$Y$25,"S","S+"))))))))))))))))))))</f>
        <v>S-</v>
      </c>
      <c r="C97" s="936">
        <f>('PlayerGrades+'!$Y$47*(VLOOKUP(E97, 'PlayerGrades+'!$X$3:$Y$23, 2, FALSE)))+('PlayerGrades+'!$Y$48*(VLOOKUP(G97, 'PlayerGrades+'!$X$3:$Y$23, 2, FALSE)))+('PlayerGrades+'!$Y$49*(VLOOKUP(I97, 'PlayerGrades+'!$X$3:$Y$23, 2, FALSE)))+('PlayerGrades+'!$Y$50*(VLOOKUP(K97, 'PlayerGrades+'!$X$3:$Y$23, 2, FALSE)))+('PlayerGrades+'!$Y$51*(VLOOKUP(M97, 'PlayerGrades+'!$X$3:$Y$23, 2, FALSE)))+('PlayerGrades+'!$Y$52*(VLOOKUP(O97, 'PlayerGrades+'!$X$3:$Y$23, 2, FALSE)))+('PlayerGrades+'!$Y$53*(VLOOKUP(Q97, 'PlayerGrades+'!$X$3:$Y$23, 2, FALSE)))+('PlayerGrades+'!$Y$54*(VLOOKUP(S97, 'PlayerGrades+'!$X$3:$Y$23, 2, FALSE)))+('PlayerGrades+'!$Y$55*(VLOOKUP(U97, 'PlayerGrades+'!$X$3:$Y$23, 2, FALSE)))</f>
        <v>30.75</v>
      </c>
      <c r="D97" s="937">
        <f t="shared" si="1"/>
        <v>0.6649616368</v>
      </c>
      <c r="E97" s="937" t="str">
        <f>IF(D97&lt;'PlayerGrades+'!$AA$21,"F-",IF(D97&lt;'PlayerGrades+'!$AA$20,"F",IF(D97&lt;'PlayerGrades+'!$AA$19,"F+",IF(D97&lt;'PlayerGrades+'!$AA$18,"E-",IF(D97&lt;'PlayerGrades+'!$AA$17,"E",IF(D97&lt;'PlayerGrades+'!$AA$16,"E+",IF(D97&lt;'PlayerGrades+'!$AA$15,"D-",IF(D97&lt;'PlayerGrades+'!$AA$14,"D",IF(D97&lt;'PlayerGrades+'!$AA$13,"D+",IF(D97&lt;'PlayerGrades+'!$AA$12,"C-",IF(D97&lt;'PlayerGrades+'!$AA$11,"C",IF(D97&lt;'PlayerGrades+'!$AA$10,"C+",IF(D97&lt;'PlayerGrades+'!$AA$9,"B-",IF(D97&lt;'PlayerGrades+'!$AA$8,"B",IF(D97&lt;'PlayerGrades+'!$AA$7,"B+",IF(D97&lt;'PlayerGrades+'!$AA$6,"A-",IF(D97&lt;'PlayerGrades+'!$AA$5,"A",IF(D97&lt;'PlayerGrades+'!$AA$4,"A+",IF(D97&lt;'PlayerGrades+'!$AA$3,"S-",IF(D97&lt;'PlayerGrades+'!$AA$2,"S","S+"))))))))))))))))))))</f>
        <v>S</v>
      </c>
      <c r="F97" s="937">
        <f t="shared" si="2"/>
        <v>0.9207161125</v>
      </c>
      <c r="G97" s="937" t="str">
        <f>IF(F97&lt;'PlayerGrades+'!$AB$21,"F-",IF(F97&lt;'PlayerGrades+'!$AB$20,"F",IF(F97&lt;'PlayerGrades+'!$AB$19,"F+",IF(F97&lt;'PlayerGrades+'!$AB$18,"E-",IF(F97&lt;'PlayerGrades+'!$AB$17,"E",IF(F97&lt;'PlayerGrades+'!$AB$16,"E+",IF(F97&lt;'PlayerGrades+'!$AB$15,"D-",IF(F97&lt;'PlayerGrades+'!$AB$14,"D",IF(F97&lt;'PlayerGrades+'!$AB$13,"D+",IF(F97&lt;'PlayerGrades+'!$AB$12,"C-",IF(F97&lt;'PlayerGrades+'!$AB$11,"C",IF(F97&lt;'PlayerGrades+'!$AB$10,"C+",IF(F97&lt;'PlayerGrades+'!$AB$9,"B-",IF(F97&lt;'PlayerGrades+'!$AB$8,"B",IF(F97&lt;'PlayerGrades+'!$AB$7,"B+",IF(F97&lt;'PlayerGrades+'!$AB$6,"A-",IF(F97&lt;'PlayerGrades+'!$AB$5,"A",IF(F97&lt;'PlayerGrades+'!$AB$4,"A+",IF(F97&lt;'PlayerGrades+'!$AB$3,"S-",IF(F97&lt;'PlayerGrades+'!$AB$2,"S","S+"))))))))))))))))))))</f>
        <v>S</v>
      </c>
      <c r="H97" s="937">
        <f t="shared" si="3"/>
        <v>0.1023017903</v>
      </c>
      <c r="I97" s="937" t="str">
        <f>IF(H97&lt;'PlayerGrades+'!$AC$21,"F-",IF(H97&lt;'PlayerGrades+'!$AC$20,"F",IF(H97&lt;'PlayerGrades+'!$AC$19,"F+",IF(H97&lt;'PlayerGrades+'!$AC$18,"E-",IF(H97&lt;'PlayerGrades+'!$AC$17,"E",IF(H97&lt;'PlayerGrades+'!$AC$16,"E+",IF(H97&lt;'PlayerGrades+'!$AC$15,"D-",IF(H97&lt;'PlayerGrades+'!$AC$14,"D",IF(H97&lt;'PlayerGrades+'!$AC$13,"D+",IF(H97&lt;'PlayerGrades+'!$AC$12,"C-",IF(H97&lt;'PlayerGrades+'!$AC$11,"C",IF(H97&lt;'PlayerGrades+'!$AC$10,"C+",IF(H97&lt;'PlayerGrades+'!$AC$9,"B-",IF(H97&lt;'PlayerGrades+'!$AC$8,"B",IF(H97&lt;'PlayerGrades+'!$AC$7,"B+",IF(H97&lt;'PlayerGrades+'!$AC$6,"A-",IF(H97&lt;'PlayerGrades+'!$AC$5,"A",IF(H97&lt;'PlayerGrades+'!$AC$4,"A+",IF(H97&lt;'PlayerGrades+'!$AC$3,"S-",IF(H97&lt;'PlayerGrades+'!$AC$2,"S","S+"))))))))))))))))))))</f>
        <v>C-</v>
      </c>
      <c r="J97" s="937">
        <f t="shared" si="4"/>
        <v>0.05115089514</v>
      </c>
      <c r="K97" s="937" t="str">
        <f>IF(J97&lt;'PlayerGrades+'!$AD$21,"F-",IF(J97&lt;'PlayerGrades+'!$AD$20,"F",IF(J97&lt;'PlayerGrades+'!$AD$19,"F+",IF(J97&lt;'PlayerGrades+'!$AD$18,"E-",IF(J97&lt;'PlayerGrades+'!$AD$17,"E",IF(J97&lt;'PlayerGrades+'!$AD$16,"E+",IF(J97&lt;'PlayerGrades+'!$AD$15,"D-",IF(J97&lt;'PlayerGrades+'!$AD$14,"D",IF(J97&lt;'PlayerGrades+'!$AD$13,"D+",IF(J97&lt;'PlayerGrades+'!$AD$12,"C-",IF(J97&lt;'PlayerGrades+'!$AD$11,"C",IF(J97&lt;'PlayerGrades+'!$AD$10,"C+",IF(J97&lt;'PlayerGrades+'!$AD$9,"B-",IF(J97&lt;'PlayerGrades+'!$AD$8,"B",IF(J97&lt;'PlayerGrades+'!$AD$7,"B+",IF(J97&lt;'PlayerGrades+'!$AD$6,"A-",IF(J97&lt;'PlayerGrades+'!$AD$5,"A",IF(J97&lt;'PlayerGrades+'!$AD$4,"A+",IF(J97&lt;'PlayerGrades+'!$AD$3,"S-",IF(J97&lt;'PlayerGrades+'!$AD$2,"S","S+"))))))))))))))))))))</f>
        <v>B</v>
      </c>
      <c r="L97" s="677">
        <f t="shared" si="5"/>
        <v>0.7672634271</v>
      </c>
      <c r="M97" s="938" t="str">
        <f>IF(L97&lt;'PlayerGrades+'!$AE$21,"F-",IF(L97&lt;'PlayerGrades+'!$AE$20,"F",IF(L97&lt;'PlayerGrades+'!$AE$19,"F+",IF(L97&lt;'PlayerGrades+'!$AE$18,"E-",IF(L97&lt;'PlayerGrades+'!$AE$17,"E",IF(L97&lt;'PlayerGrades+'!$AE$16,"E+",IF(L97&lt;'PlayerGrades+'!$AE$15,"D-",IF(L97&lt;'PlayerGrades+'!$AE$14,"D",IF(L97&lt;'PlayerGrades+'!$AE$13,"D+",IF(L97&lt;'PlayerGrades+'!$AE$12,"C-",IF(L97&lt;'PlayerGrades+'!$AE$11,"C",IF(L97&lt;'PlayerGrades+'!$AE$10,"C+",IF(L97&lt;'PlayerGrades+'!$AE$9,"B-",IF(L97&lt;'PlayerGrades+'!$AE$8,"B",IF(L97&lt;'PlayerGrades+'!$AE$7,"B+",IF(L97&lt;'PlayerGrades+'!$AE$6,"A-",IF(L97&lt;'PlayerGrades+'!$AE$5,"A",IF(L97&lt;'PlayerGrades+'!$AE$4,"A+",IF(L97&lt;'PlayerGrades+'!$AE$3,"S-",IF(L97&lt;'PlayerGrades+'!$AE$2,"S","S+"))))))))))))))))))))</f>
        <v>S+</v>
      </c>
      <c r="N97" s="937">
        <f t="shared" si="6"/>
        <v>0.1023017903</v>
      </c>
      <c r="O97" s="937" t="str">
        <f>IF(N97&lt;'PlayerGrades+'!$AF$21,"F-",IF(N97&lt;'PlayerGrades+'!$AF$20,"F",IF(N97&lt;'PlayerGrades+'!$AF$19,"F+",IF(N97&lt;'PlayerGrades+'!$AF$18,"E-",IF(N97&lt;'PlayerGrades+'!$AF$17,"E",IF(N97&lt;'PlayerGrades+'!$AF$16,"E+",IF(N97&lt;'PlayerGrades+'!$AF$15,"D-",IF(N97&lt;'PlayerGrades+'!$AF$14,"D",IF(N97&lt;'PlayerGrades+'!$AF$13,"D+",IF(N97&lt;'PlayerGrades+'!$AF$12,"C-",IF(N97&lt;'PlayerGrades+'!$AF$11,"C",IF(N97&lt;'PlayerGrades+'!$AF$10,"C+",IF(N97&lt;'PlayerGrades+'!$AF$9,"B-",IF(N97&lt;'PlayerGrades+'!$AF$8,"B",IF(N97&lt;'PlayerGrades+'!$AF$7,"B+",IF(N97&lt;'PlayerGrades+'!$AF$6,"A-",IF(N97&lt;'PlayerGrades+'!$AF$5,"A",IF(N97&lt;'PlayerGrades+'!$AF$4,"A+",IF(N97&lt;'PlayerGrades+'!$AF$3,"S-",IF(N97&lt;'PlayerGrades+'!$AF$2,"S","S+"))))))))))))))))))))</f>
        <v>A+</v>
      </c>
      <c r="P97" s="937">
        <f t="shared" si="7"/>
        <v>0.05115089514</v>
      </c>
      <c r="Q97" s="937" t="str">
        <f>IF(P97&lt;'PlayerGrades+'!$AG$21,"F-",IF(P97&lt;'PlayerGrades+'!$AG$20,"F",IF(P97&lt;'PlayerGrades+'!$AG$19,"F+",IF(P97&lt;'PlayerGrades+'!$AG$18,"E-",IF(P97&lt;'PlayerGrades+'!$AG$17,"E",IF(P97&lt;'PlayerGrades+'!$AG$16,"E+",IF(P97&lt;'PlayerGrades+'!$AG$15,"D-",IF(P97&lt;'PlayerGrades+'!$AG$14,"D",IF(P97&lt;'PlayerGrades+'!$AG$13,"D+",IF(P97&lt;'PlayerGrades+'!$AG$12,"C-",IF(P97&lt;'PlayerGrades+'!$AG$11,"C",IF(P97&lt;'PlayerGrades+'!$AG$10,"C+",IF(P97&lt;'PlayerGrades+'!$AG$9,"B-",IF(P97&lt;'PlayerGrades+'!$AG$8,"B",IF(P97&lt;'PlayerGrades+'!$AG$7,"B+",IF(P97&lt;'PlayerGrades+'!$AG$6,"A-",IF(P97&lt;'PlayerGrades+'!$AG$5,"A",IF(P97&lt;'PlayerGrades+'!$AG$4,"A+",IF(P97&lt;'PlayerGrades+'!$AG$3,"S-",IF(P97&lt;'PlayerGrades+'!$AG$2,"S","S+"))))))))))))))))))))</f>
        <v>A</v>
      </c>
      <c r="R97" s="937">
        <f t="shared" si="8"/>
        <v>0.7672634271</v>
      </c>
      <c r="S97" s="937" t="str">
        <f>IF(R97&lt;'PlayerGrades+'!$AH$21,"F-",IF(R97&lt;'PlayerGrades+'!$AH$20,"F",IF(R97&lt;'PlayerGrades+'!$AH$19,"F+",IF(R97&lt;'PlayerGrades+'!$AH$18,"E-",IF(R97&lt;'PlayerGrades+'!$AH$17,"E",IF(R97&lt;'PlayerGrades+'!$AH$16,"E+",IF(R97&lt;'PlayerGrades+'!$AH$15,"D-",IF(R97&lt;'PlayerGrades+'!$AH$14,"D",IF(R97&lt;'PlayerGrades+'!$AH$13,"D+",IF(R97&lt;'PlayerGrades+'!$AH$12,"C-",IF(R97&lt;'PlayerGrades+'!$AH$11,"C",IF(R97&lt;'PlayerGrades+'!$AH$10,"C+",IF(R97&lt;'PlayerGrades+'!$AH$9,"B-",IF(R97&lt;'PlayerGrades+'!$AH$8,"B",IF(R97&lt;'PlayerGrades+'!$AH$7,"B+",IF(R97&lt;'PlayerGrades+'!$AH$6,"A-",IF(R97&lt;'PlayerGrades+'!$AH$5,"A",IF(R97&lt;'PlayerGrades+'!$AH$4,"A+",IF(R97&lt;'PlayerGrades+'!$AH$3,"S-",IF(R97&lt;'PlayerGrades+'!$AH$2,"S","S+"))))))))))))))))))))</f>
        <v>S+</v>
      </c>
      <c r="T97" s="937">
        <f t="shared" si="9"/>
        <v>0.4603580563</v>
      </c>
      <c r="U97" s="937" t="str">
        <f>IF(T97&lt;'PlayerGrades+'!$AI$21,"F-",IF(T97&lt;'PlayerGrades+'!$AI$20,"F",IF(T97&lt;'PlayerGrades+'!$AI$19,"F+",IF(T97&lt;'PlayerGrades+'!$AI$18,"E-",IF(T97&lt;'PlayerGrades+'!$AI$17,"E",IF(T97&lt;'PlayerGrades+'!$AI$16,"E+",IF(T97&lt;'PlayerGrades+'!$AI$15,"D-",IF(T97&lt;'PlayerGrades+'!$AI$14,"D",IF(T97&lt;'PlayerGrades+'!$AI$13,"D+",IF(T97&lt;'PlayerGrades+'!$AI$12,"C-",IF(T97&lt;'PlayerGrades+'!$AI$11,"C",IF(T97&lt;'PlayerGrades+'!$AI$10,"C+",IF(T97&lt;'PlayerGrades+'!$AI$9,"B-",IF(T97&lt;'PlayerGrades+'!$AI$8,"B",IF(T97&lt;'PlayerGrades+'!$AI$7,"B+",IF(T97&lt;'PlayerGrades+'!$AI$6,"A-",IF(T97&lt;'PlayerGrades+'!$AI$5,"A",IF(T97&lt;'PlayerGrades+'!$AI$4,"A+",IF(T97&lt;'PlayerGrades+'!$AI$3,"S-",IF(T97&lt;'PlayerGrades+'!$AI$2,"S","S+"))))))))))))))))))))</f>
        <v>F-</v>
      </c>
      <c r="V97" s="944">
        <v>1.0</v>
      </c>
      <c r="W97" s="944">
        <v>1.0</v>
      </c>
      <c r="X97" s="944">
        <v>0.0</v>
      </c>
      <c r="Y97" s="944">
        <v>3.0</v>
      </c>
      <c r="Z97" s="944">
        <v>10.0</v>
      </c>
      <c r="AA97" s="944">
        <v>67.0</v>
      </c>
      <c r="AB97" s="944">
        <v>49.0</v>
      </c>
      <c r="AC97" s="944">
        <v>18.0</v>
      </c>
      <c r="AD97" s="944">
        <v>4.0</v>
      </c>
      <c r="AE97" s="944">
        <v>6.0</v>
      </c>
      <c r="AF97" s="944">
        <v>3.0</v>
      </c>
      <c r="AG97" s="944">
        <v>946.0</v>
      </c>
      <c r="AH97" s="944">
        <v>1173.0</v>
      </c>
      <c r="AI97" s="944">
        <v>19.0</v>
      </c>
      <c r="AJ97" s="944">
        <v>287.0</v>
      </c>
      <c r="AK97" s="944">
        <v>0.0</v>
      </c>
      <c r="AL97" s="944">
        <v>1.0</v>
      </c>
      <c r="AM97" s="944">
        <v>0.0</v>
      </c>
      <c r="AN97" s="944">
        <v>0.0</v>
      </c>
      <c r="AO97" s="944">
        <v>0.0</v>
      </c>
      <c r="AP97" s="944">
        <v>1.0</v>
      </c>
      <c r="AQ97" s="944">
        <v>0.0</v>
      </c>
      <c r="AR97" s="944">
        <v>15.0</v>
      </c>
      <c r="AS97" s="944">
        <v>2.0</v>
      </c>
      <c r="AT97" s="944">
        <v>0.0</v>
      </c>
      <c r="AU97" s="944">
        <v>0.0</v>
      </c>
      <c r="AV97" s="944">
        <v>0.0</v>
      </c>
      <c r="AW97" s="944">
        <v>0.0</v>
      </c>
      <c r="AX97" s="944">
        <v>0.0</v>
      </c>
      <c r="AY97" s="944">
        <v>0.0</v>
      </c>
      <c r="AZ97" s="944">
        <v>0.0</v>
      </c>
      <c r="BA97" s="944">
        <v>0.0</v>
      </c>
      <c r="BB97" s="944">
        <v>2.0</v>
      </c>
      <c r="BC97" s="882">
        <v>0.0</v>
      </c>
      <c r="BD97" s="882">
        <v>11.0</v>
      </c>
      <c r="BE97" s="948">
        <v>9.0</v>
      </c>
      <c r="BF97" s="941">
        <v>0.0</v>
      </c>
      <c r="BG97" s="941">
        <v>1.0</v>
      </c>
    </row>
    <row r="98">
      <c r="A98" s="949" t="s">
        <v>117</v>
      </c>
      <c r="B98" s="16" t="str">
        <f>IF(C98&lt;'PlayerGrades+'!$Y$44,"F-",IF(C98&lt;'PlayerGrades+'!$Y$43,"F",IF(C98&lt;'PlayerGrades+'!$Y$42,"F+",IF(C98&lt;'PlayerGrades+'!$Y$41,"E-",IF(C98&lt;'PlayerGrades+'!$Y$40,"E",IF(C98&lt;'PlayerGrades+'!$Y$39,"E+",IF(C98&lt;'PlayerGrades+'!$Y$38,"D-",IF(C98&lt;'PlayerGrades+'!$Y$37,"D",IF(C98&lt;'PlayerGrades+'!$Y$36,"D+",IF(C98&lt;'PlayerGrades+'!$Y$35,"C-",IF(C98&lt;'PlayerGrades+'!$Y$34,"C",IF(C98&lt;'PlayerGrades+'!$Y$33,"C+",IF(C98&lt;'PlayerGrades+'!$Y$32,"B-",IF(C98&lt;'PlayerGrades+'!$Y$31,"B",IF(C98&lt;'PlayerGrades+'!$Y$30,"B+",IF(C98&lt;'PlayerGrades+'!$Y$29,"A-",IF(C98&lt;'PlayerGrades+'!$Y$28,"A",IF(C98&lt;'PlayerGrades+'!$Y$27,"A+",IF(C98&lt;'PlayerGrades+'!$Y$26,"S-",IF(C98&lt;'PlayerGrades+'!$Y$25,"S","S+"))))))))))))))))))))</f>
        <v>D</v>
      </c>
      <c r="C98" s="936">
        <f>('PlayerGrades+'!$Y$47*(VLOOKUP(E98, 'PlayerGrades+'!$X$3:$Y$23, 2, FALSE)))+('PlayerGrades+'!$Y$48*(VLOOKUP(G98, 'PlayerGrades+'!$X$3:$Y$23, 2, FALSE)))+('PlayerGrades+'!$Y$49*(VLOOKUP(I98, 'PlayerGrades+'!$X$3:$Y$23, 2, FALSE)))+('PlayerGrades+'!$Y$50*(VLOOKUP(K98, 'PlayerGrades+'!$X$3:$Y$23, 2, FALSE)))+('PlayerGrades+'!$Y$51*(VLOOKUP(M98, 'PlayerGrades+'!$X$3:$Y$23, 2, FALSE)))+('PlayerGrades+'!$Y$52*(VLOOKUP(O98, 'PlayerGrades+'!$X$3:$Y$23, 2, FALSE)))+('PlayerGrades+'!$Y$53*(VLOOKUP(Q98, 'PlayerGrades+'!$X$3:$Y$23, 2, FALSE)))+('PlayerGrades+'!$Y$54*(VLOOKUP(S98, 'PlayerGrades+'!$X$3:$Y$23, 2, FALSE)))+('PlayerGrades+'!$Y$55*(VLOOKUP(U98, 'PlayerGrades+'!$X$3:$Y$23, 2, FALSE)))</f>
        <v>16.1</v>
      </c>
      <c r="D98" s="937">
        <f t="shared" si="1"/>
        <v>0.02802428772</v>
      </c>
      <c r="E98" s="937" t="str">
        <f>IF(D98&lt;'PlayerGrades+'!$AA$21,"F-",IF(D98&lt;'PlayerGrades+'!$AA$20,"F",IF(D98&lt;'PlayerGrades+'!$AA$19,"F+",IF(D98&lt;'PlayerGrades+'!$AA$18,"E-",IF(D98&lt;'PlayerGrades+'!$AA$17,"E",IF(D98&lt;'PlayerGrades+'!$AA$16,"E+",IF(D98&lt;'PlayerGrades+'!$AA$15,"D-",IF(D98&lt;'PlayerGrades+'!$AA$14,"D",IF(D98&lt;'PlayerGrades+'!$AA$13,"D+",IF(D98&lt;'PlayerGrades+'!$AA$12,"C-",IF(D98&lt;'PlayerGrades+'!$AA$11,"C",IF(D98&lt;'PlayerGrades+'!$AA$10,"C+",IF(D98&lt;'PlayerGrades+'!$AA$9,"B-",IF(D98&lt;'PlayerGrades+'!$AA$8,"B",IF(D98&lt;'PlayerGrades+'!$AA$7,"B+",IF(D98&lt;'PlayerGrades+'!$AA$6,"A-",IF(D98&lt;'PlayerGrades+'!$AA$5,"A",IF(D98&lt;'PlayerGrades+'!$AA$4,"A+",IF(D98&lt;'PlayerGrades+'!$AA$3,"S-",IF(D98&lt;'PlayerGrades+'!$AA$2,"S","S+"))))))))))))))))))))</f>
        <v>D-</v>
      </c>
      <c r="F98" s="937">
        <f t="shared" si="2"/>
        <v>0.1401214386</v>
      </c>
      <c r="G98" s="937" t="str">
        <f>IF(F98&lt;'PlayerGrades+'!$AB$21,"F-",IF(F98&lt;'PlayerGrades+'!$AB$20,"F",IF(F98&lt;'PlayerGrades+'!$AB$19,"F+",IF(F98&lt;'PlayerGrades+'!$AB$18,"E-",IF(F98&lt;'PlayerGrades+'!$AB$17,"E",IF(F98&lt;'PlayerGrades+'!$AB$16,"E+",IF(F98&lt;'PlayerGrades+'!$AB$15,"D-",IF(F98&lt;'PlayerGrades+'!$AB$14,"D",IF(F98&lt;'PlayerGrades+'!$AB$13,"D+",IF(F98&lt;'PlayerGrades+'!$AB$12,"C-",IF(F98&lt;'PlayerGrades+'!$AB$11,"C",IF(F98&lt;'PlayerGrades+'!$AB$10,"C+",IF(F98&lt;'PlayerGrades+'!$AB$9,"B-",IF(F98&lt;'PlayerGrades+'!$AB$8,"B",IF(F98&lt;'PlayerGrades+'!$AB$7,"B+",IF(F98&lt;'PlayerGrades+'!$AB$6,"A-",IF(F98&lt;'PlayerGrades+'!$AB$5,"A",IF(F98&lt;'PlayerGrades+'!$AB$4,"A+",IF(F98&lt;'PlayerGrades+'!$AB$3,"S-",IF(F98&lt;'PlayerGrades+'!$AB$2,"S","S+"))))))))))))))))))))</f>
        <v>B+</v>
      </c>
      <c r="H98" s="937">
        <f t="shared" si="3"/>
        <v>0.4483886035</v>
      </c>
      <c r="I98" s="937" t="str">
        <f>IF(H98&lt;'PlayerGrades+'!$AC$21,"F-",IF(H98&lt;'PlayerGrades+'!$AC$20,"F",IF(H98&lt;'PlayerGrades+'!$AC$19,"F+",IF(H98&lt;'PlayerGrades+'!$AC$18,"E-",IF(H98&lt;'PlayerGrades+'!$AC$17,"E",IF(H98&lt;'PlayerGrades+'!$AC$16,"E+",IF(H98&lt;'PlayerGrades+'!$AC$15,"D-",IF(H98&lt;'PlayerGrades+'!$AC$14,"D",IF(H98&lt;'PlayerGrades+'!$AC$13,"D+",IF(H98&lt;'PlayerGrades+'!$AC$12,"C-",IF(H98&lt;'PlayerGrades+'!$AC$11,"C",IF(H98&lt;'PlayerGrades+'!$AC$10,"C+",IF(H98&lt;'PlayerGrades+'!$AC$9,"B-",IF(H98&lt;'PlayerGrades+'!$AC$8,"B",IF(H98&lt;'PlayerGrades+'!$AC$7,"B+",IF(H98&lt;'PlayerGrades+'!$AC$6,"A-",IF(H98&lt;'PlayerGrades+'!$AC$5,"A",IF(H98&lt;'PlayerGrades+'!$AC$4,"A+",IF(H98&lt;'PlayerGrades+'!$AC$3,"S-",IF(H98&lt;'PlayerGrades+'!$AC$2,"S","S+"))))))))))))))))))))</f>
        <v>S+</v>
      </c>
      <c r="J98" s="937">
        <f t="shared" si="4"/>
        <v>0</v>
      </c>
      <c r="K98" s="937" t="str">
        <f>IF(J98&lt;'PlayerGrades+'!$AD$21,"F-",IF(J98&lt;'PlayerGrades+'!$AD$20,"F",IF(J98&lt;'PlayerGrades+'!$AD$19,"F+",IF(J98&lt;'PlayerGrades+'!$AD$18,"E-",IF(J98&lt;'PlayerGrades+'!$AD$17,"E",IF(J98&lt;'PlayerGrades+'!$AD$16,"E+",IF(J98&lt;'PlayerGrades+'!$AD$15,"D-",IF(J98&lt;'PlayerGrades+'!$AD$14,"D",IF(J98&lt;'PlayerGrades+'!$AD$13,"D+",IF(J98&lt;'PlayerGrades+'!$AD$12,"C-",IF(J98&lt;'PlayerGrades+'!$AD$11,"C",IF(J98&lt;'PlayerGrades+'!$AD$10,"C+",IF(J98&lt;'PlayerGrades+'!$AD$9,"B-",IF(J98&lt;'PlayerGrades+'!$AD$8,"B",IF(J98&lt;'PlayerGrades+'!$AD$7,"B+",IF(J98&lt;'PlayerGrades+'!$AD$6,"A-",IF(J98&lt;'PlayerGrades+'!$AD$5,"A",IF(J98&lt;'PlayerGrades+'!$AD$4,"A+",IF(J98&lt;'PlayerGrades+'!$AD$3,"S-",IF(J98&lt;'PlayerGrades+'!$AD$2,"S","S+"))))))))))))))))))))</f>
        <v>F-</v>
      </c>
      <c r="L98" s="677">
        <f t="shared" si="5"/>
        <v>0.4483886035</v>
      </c>
      <c r="M98" s="938" t="str">
        <f>IF(L98&lt;'PlayerGrades+'!$AE$21,"F-",IF(L98&lt;'PlayerGrades+'!$AE$20,"F",IF(L98&lt;'PlayerGrades+'!$AE$19,"F+",IF(L98&lt;'PlayerGrades+'!$AE$18,"E-",IF(L98&lt;'PlayerGrades+'!$AE$17,"E",IF(L98&lt;'PlayerGrades+'!$AE$16,"E+",IF(L98&lt;'PlayerGrades+'!$AE$15,"D-",IF(L98&lt;'PlayerGrades+'!$AE$14,"D",IF(L98&lt;'PlayerGrades+'!$AE$13,"D+",IF(L98&lt;'PlayerGrades+'!$AE$12,"C-",IF(L98&lt;'PlayerGrades+'!$AE$11,"C",IF(L98&lt;'PlayerGrades+'!$AE$10,"C+",IF(L98&lt;'PlayerGrades+'!$AE$9,"B-",IF(L98&lt;'PlayerGrades+'!$AE$8,"B",IF(L98&lt;'PlayerGrades+'!$AE$7,"B+",IF(L98&lt;'PlayerGrades+'!$AE$6,"A-",IF(L98&lt;'PlayerGrades+'!$AE$5,"A",IF(L98&lt;'PlayerGrades+'!$AE$4,"A+",IF(L98&lt;'PlayerGrades+'!$AE$3,"S-",IF(L98&lt;'PlayerGrades+'!$AE$2,"S","S+"))))))))))))))))))))</f>
        <v>B</v>
      </c>
      <c r="N98" s="937">
        <f t="shared" si="6"/>
        <v>0</v>
      </c>
      <c r="O98" s="937" t="str">
        <f>IF(N98&lt;'PlayerGrades+'!$AF$21,"F-",IF(N98&lt;'PlayerGrades+'!$AF$20,"F",IF(N98&lt;'PlayerGrades+'!$AF$19,"F+",IF(N98&lt;'PlayerGrades+'!$AF$18,"E-",IF(N98&lt;'PlayerGrades+'!$AF$17,"E",IF(N98&lt;'PlayerGrades+'!$AF$16,"E+",IF(N98&lt;'PlayerGrades+'!$AF$15,"D-",IF(N98&lt;'PlayerGrades+'!$AF$14,"D",IF(N98&lt;'PlayerGrades+'!$AF$13,"D+",IF(N98&lt;'PlayerGrades+'!$AF$12,"C-",IF(N98&lt;'PlayerGrades+'!$AF$11,"C",IF(N98&lt;'PlayerGrades+'!$AF$10,"C+",IF(N98&lt;'PlayerGrades+'!$AF$9,"B-",IF(N98&lt;'PlayerGrades+'!$AF$8,"B",IF(N98&lt;'PlayerGrades+'!$AF$7,"B+",IF(N98&lt;'PlayerGrades+'!$AF$6,"A-",IF(N98&lt;'PlayerGrades+'!$AF$5,"A",IF(N98&lt;'PlayerGrades+'!$AF$4,"A+",IF(N98&lt;'PlayerGrades+'!$AF$3,"S-",IF(N98&lt;'PlayerGrades+'!$AF$2,"S","S+"))))))))))))))))))))</f>
        <v>F-</v>
      </c>
      <c r="P98" s="937">
        <f t="shared" si="7"/>
        <v>0</v>
      </c>
      <c r="Q98" s="937" t="str">
        <f>IF(P98&lt;'PlayerGrades+'!$AG$21,"F-",IF(P98&lt;'PlayerGrades+'!$AG$20,"F",IF(P98&lt;'PlayerGrades+'!$AG$19,"F+",IF(P98&lt;'PlayerGrades+'!$AG$18,"E-",IF(P98&lt;'PlayerGrades+'!$AG$17,"E",IF(P98&lt;'PlayerGrades+'!$AG$16,"E+",IF(P98&lt;'PlayerGrades+'!$AG$15,"D-",IF(P98&lt;'PlayerGrades+'!$AG$14,"D",IF(P98&lt;'PlayerGrades+'!$AG$13,"D+",IF(P98&lt;'PlayerGrades+'!$AG$12,"C-",IF(P98&lt;'PlayerGrades+'!$AG$11,"C",IF(P98&lt;'PlayerGrades+'!$AG$10,"C+",IF(P98&lt;'PlayerGrades+'!$AG$9,"B-",IF(P98&lt;'PlayerGrades+'!$AG$8,"B",IF(P98&lt;'PlayerGrades+'!$AG$7,"B+",IF(P98&lt;'PlayerGrades+'!$AG$6,"A-",IF(P98&lt;'PlayerGrades+'!$AG$5,"A",IF(P98&lt;'PlayerGrades+'!$AG$4,"A+",IF(P98&lt;'PlayerGrades+'!$AG$3,"S-",IF(P98&lt;'PlayerGrades+'!$AG$2,"S","S+"))))))))))))))))))))</f>
        <v>F</v>
      </c>
      <c r="R98" s="937">
        <f t="shared" si="8"/>
        <v>0.3082671649</v>
      </c>
      <c r="S98" s="937" t="str">
        <f>IF(R98&lt;'PlayerGrades+'!$AH$21,"F-",IF(R98&lt;'PlayerGrades+'!$AH$20,"F",IF(R98&lt;'PlayerGrades+'!$AH$19,"F+",IF(R98&lt;'PlayerGrades+'!$AH$18,"E-",IF(R98&lt;'PlayerGrades+'!$AH$17,"E",IF(R98&lt;'PlayerGrades+'!$AH$16,"E+",IF(R98&lt;'PlayerGrades+'!$AH$15,"D-",IF(R98&lt;'PlayerGrades+'!$AH$14,"D",IF(R98&lt;'PlayerGrades+'!$AH$13,"D+",IF(R98&lt;'PlayerGrades+'!$AH$12,"C-",IF(R98&lt;'PlayerGrades+'!$AH$11,"C",IF(R98&lt;'PlayerGrades+'!$AH$10,"C+",IF(R98&lt;'PlayerGrades+'!$AH$9,"B-",IF(R98&lt;'PlayerGrades+'!$AH$8,"B",IF(R98&lt;'PlayerGrades+'!$AH$7,"B+",IF(R98&lt;'PlayerGrades+'!$AH$6,"A-",IF(R98&lt;'PlayerGrades+'!$AH$5,"A",IF(R98&lt;'PlayerGrades+'!$AH$4,"A+",IF(R98&lt;'PlayerGrades+'!$AH$3,"S-",IF(R98&lt;'PlayerGrades+'!$AH$2,"S","S+"))))))))))))))))))))</f>
        <v>F-</v>
      </c>
      <c r="T98" s="937">
        <f t="shared" si="9"/>
        <v>1.36431574</v>
      </c>
      <c r="U98" s="937" t="str">
        <f>IF(T98&lt;'PlayerGrades+'!$AI$21,"F-",IF(T98&lt;'PlayerGrades+'!$AI$20,"F",IF(T98&lt;'PlayerGrades+'!$AI$19,"F+",IF(T98&lt;'PlayerGrades+'!$AI$18,"E-",IF(T98&lt;'PlayerGrades+'!$AI$17,"E",IF(T98&lt;'PlayerGrades+'!$AI$16,"E+",IF(T98&lt;'PlayerGrades+'!$AI$15,"D-",IF(T98&lt;'PlayerGrades+'!$AI$14,"D",IF(T98&lt;'PlayerGrades+'!$AI$13,"D+",IF(T98&lt;'PlayerGrades+'!$AI$12,"C-",IF(T98&lt;'PlayerGrades+'!$AI$11,"C",IF(T98&lt;'PlayerGrades+'!$AI$10,"C+",IF(T98&lt;'PlayerGrades+'!$AI$9,"B-",IF(T98&lt;'PlayerGrades+'!$AI$8,"B",IF(T98&lt;'PlayerGrades+'!$AI$7,"B+",IF(T98&lt;'PlayerGrades+'!$AI$6,"A-",IF(T98&lt;'PlayerGrades+'!$AI$5,"A",IF(T98&lt;'PlayerGrades+'!$AI$4,"A+",IF(T98&lt;'PlayerGrades+'!$AI$3,"S-",IF(T98&lt;'PlayerGrades+'!$AI$2,"S","S+"))))))))))))))))))))</f>
        <v>B</v>
      </c>
      <c r="V98" s="950">
        <v>1.0</v>
      </c>
      <c r="W98" s="950">
        <v>0.0</v>
      </c>
      <c r="X98" s="950">
        <v>0.0</v>
      </c>
      <c r="Y98" s="958">
        <v>0.0</v>
      </c>
      <c r="Z98" s="958">
        <v>1.0</v>
      </c>
      <c r="AA98" s="958">
        <v>116.0</v>
      </c>
      <c r="AB98" s="958">
        <v>111.0</v>
      </c>
      <c r="AC98" s="958">
        <v>5.0</v>
      </c>
      <c r="AD98" s="958">
        <v>5.0</v>
      </c>
      <c r="AE98" s="958">
        <v>4.0</v>
      </c>
      <c r="AF98" s="958">
        <v>3.0</v>
      </c>
      <c r="AG98" s="958">
        <v>1736.0</v>
      </c>
      <c r="AH98" s="958">
        <v>2141.0</v>
      </c>
      <c r="AI98" s="958">
        <v>15.0</v>
      </c>
      <c r="AJ98" s="958">
        <v>153.0</v>
      </c>
      <c r="AK98" s="958">
        <v>0.0</v>
      </c>
      <c r="AL98" s="958">
        <v>0.0</v>
      </c>
      <c r="AM98" s="958">
        <v>0.0</v>
      </c>
      <c r="AN98" s="958">
        <v>0.0</v>
      </c>
      <c r="AO98" s="958">
        <v>0.0</v>
      </c>
      <c r="AP98" s="958">
        <v>0.0</v>
      </c>
      <c r="AQ98" s="958">
        <v>0.0</v>
      </c>
      <c r="AR98" s="958">
        <v>16.0</v>
      </c>
      <c r="AS98" s="958">
        <v>0.0</v>
      </c>
      <c r="AT98" s="958">
        <v>0.0</v>
      </c>
      <c r="AU98" s="958">
        <v>0.0</v>
      </c>
      <c r="AV98" s="958">
        <v>0.0</v>
      </c>
      <c r="AW98" s="958">
        <v>0.0</v>
      </c>
      <c r="AX98" s="958">
        <v>0.0</v>
      </c>
      <c r="AY98" s="958">
        <v>0.0</v>
      </c>
      <c r="AZ98" s="958">
        <v>0.0</v>
      </c>
      <c r="BA98" s="958">
        <v>0.0</v>
      </c>
      <c r="BB98" s="958">
        <v>16.0</v>
      </c>
      <c r="BC98" s="958">
        <v>1.0</v>
      </c>
      <c r="BD98" s="958">
        <v>6.0</v>
      </c>
      <c r="BE98" s="959">
        <v>13.0</v>
      </c>
      <c r="BF98" s="960">
        <v>1.0</v>
      </c>
      <c r="BG98" s="960">
        <v>0.0</v>
      </c>
    </row>
    <row r="99">
      <c r="A99" s="953" t="s">
        <v>128</v>
      </c>
      <c r="B99" s="16" t="str">
        <f>IF(C99&lt;'PlayerGrades+'!$Y$44,"F-",IF(C99&lt;'PlayerGrades+'!$Y$43,"F",IF(C99&lt;'PlayerGrades+'!$Y$42,"F+",IF(C99&lt;'PlayerGrades+'!$Y$41,"E-",IF(C99&lt;'PlayerGrades+'!$Y$40,"E",IF(C99&lt;'PlayerGrades+'!$Y$39,"E+",IF(C99&lt;'PlayerGrades+'!$Y$38,"D-",IF(C99&lt;'PlayerGrades+'!$Y$37,"D",IF(C99&lt;'PlayerGrades+'!$Y$36,"D+",IF(C99&lt;'PlayerGrades+'!$Y$35,"C-",IF(C99&lt;'PlayerGrades+'!$Y$34,"C",IF(C99&lt;'PlayerGrades+'!$Y$33,"C+",IF(C99&lt;'PlayerGrades+'!$Y$32,"B-",IF(C99&lt;'PlayerGrades+'!$Y$31,"B",IF(C99&lt;'PlayerGrades+'!$Y$30,"B+",IF(C99&lt;'PlayerGrades+'!$Y$29,"A-",IF(C99&lt;'PlayerGrades+'!$Y$28,"A",IF(C99&lt;'PlayerGrades+'!$Y$27,"A+",IF(C99&lt;'PlayerGrades+'!$Y$26,"S-",IF(C99&lt;'PlayerGrades+'!$Y$25,"S","S+"))))))))))))))))))))</f>
        <v>B+</v>
      </c>
      <c r="C99" s="936">
        <f>('PlayerGrades+'!$Y$47*(VLOOKUP(E99, 'PlayerGrades+'!$X$3:$Y$23, 2, FALSE)))+('PlayerGrades+'!$Y$48*(VLOOKUP(G99, 'PlayerGrades+'!$X$3:$Y$23, 2, FALSE)))+('PlayerGrades+'!$Y$49*(VLOOKUP(I99, 'PlayerGrades+'!$X$3:$Y$23, 2, FALSE)))+('PlayerGrades+'!$Y$50*(VLOOKUP(K99, 'PlayerGrades+'!$X$3:$Y$23, 2, FALSE)))+('PlayerGrades+'!$Y$51*(VLOOKUP(M99, 'PlayerGrades+'!$X$3:$Y$23, 2, FALSE)))+('PlayerGrades+'!$Y$52*(VLOOKUP(O99, 'PlayerGrades+'!$X$3:$Y$23, 2, FALSE)))+('PlayerGrades+'!$Y$53*(VLOOKUP(Q99, 'PlayerGrades+'!$X$3:$Y$23, 2, FALSE)))+('PlayerGrades+'!$Y$54*(VLOOKUP(S99, 'PlayerGrades+'!$X$3:$Y$23, 2, FALSE)))+('PlayerGrades+'!$Y$55*(VLOOKUP(U99, 'PlayerGrades+'!$X$3:$Y$23, 2, FALSE)))</f>
        <v>24.35</v>
      </c>
      <c r="D99" s="937">
        <f t="shared" si="1"/>
        <v>0</v>
      </c>
      <c r="E99" s="937" t="str">
        <f>IF(D99&lt;'PlayerGrades+'!$AA$21,"F-",IF(D99&lt;'PlayerGrades+'!$AA$20,"F",IF(D99&lt;'PlayerGrades+'!$AA$19,"F+",IF(D99&lt;'PlayerGrades+'!$AA$18,"E-",IF(D99&lt;'PlayerGrades+'!$AA$17,"E",IF(D99&lt;'PlayerGrades+'!$AA$16,"E+",IF(D99&lt;'PlayerGrades+'!$AA$15,"D-",IF(D99&lt;'PlayerGrades+'!$AA$14,"D",IF(D99&lt;'PlayerGrades+'!$AA$13,"D+",IF(D99&lt;'PlayerGrades+'!$AA$12,"C-",IF(D99&lt;'PlayerGrades+'!$AA$11,"C",IF(D99&lt;'PlayerGrades+'!$AA$10,"C+",IF(D99&lt;'PlayerGrades+'!$AA$9,"B-",IF(D99&lt;'PlayerGrades+'!$AA$8,"B",IF(D99&lt;'PlayerGrades+'!$AA$7,"B+",IF(D99&lt;'PlayerGrades+'!$AA$6,"A-",IF(D99&lt;'PlayerGrades+'!$AA$5,"A",IF(D99&lt;'PlayerGrades+'!$AA$4,"A+",IF(D99&lt;'PlayerGrades+'!$AA$3,"S-",IF(D99&lt;'PlayerGrades+'!$AA$2,"S","S+"))))))))))))))))))))</f>
        <v>F-</v>
      </c>
      <c r="F99" s="937">
        <f t="shared" si="2"/>
        <v>-0.1120971509</v>
      </c>
      <c r="G99" s="937" t="str">
        <f>IF(F99&lt;'PlayerGrades+'!$AB$21,"F-",IF(F99&lt;'PlayerGrades+'!$AB$20,"F",IF(F99&lt;'PlayerGrades+'!$AB$19,"F+",IF(F99&lt;'PlayerGrades+'!$AB$18,"E-",IF(F99&lt;'PlayerGrades+'!$AB$17,"E",IF(F99&lt;'PlayerGrades+'!$AB$16,"E+",IF(F99&lt;'PlayerGrades+'!$AB$15,"D-",IF(F99&lt;'PlayerGrades+'!$AB$14,"D",IF(F99&lt;'PlayerGrades+'!$AB$13,"D+",IF(F99&lt;'PlayerGrades+'!$AB$12,"C-",IF(F99&lt;'PlayerGrades+'!$AB$11,"C",IF(F99&lt;'PlayerGrades+'!$AB$10,"C+",IF(F99&lt;'PlayerGrades+'!$AB$9,"B-",IF(F99&lt;'PlayerGrades+'!$AB$8,"B",IF(F99&lt;'PlayerGrades+'!$AB$7,"B+",IF(F99&lt;'PlayerGrades+'!$AB$6,"A-",IF(F99&lt;'PlayerGrades+'!$AB$5,"A",IF(F99&lt;'PlayerGrades+'!$AB$4,"A+",IF(F99&lt;'PlayerGrades+'!$AB$3,"S-",IF(F99&lt;'PlayerGrades+'!$AB$2,"S","S+"))))))))))))))))))))</f>
        <v>C+</v>
      </c>
      <c r="H99" s="937">
        <f t="shared" si="3"/>
        <v>0.3643157403</v>
      </c>
      <c r="I99" s="937" t="str">
        <f>IF(H99&lt;'PlayerGrades+'!$AC$21,"F-",IF(H99&lt;'PlayerGrades+'!$AC$20,"F",IF(H99&lt;'PlayerGrades+'!$AC$19,"F+",IF(H99&lt;'PlayerGrades+'!$AC$18,"E-",IF(H99&lt;'PlayerGrades+'!$AC$17,"E",IF(H99&lt;'PlayerGrades+'!$AC$16,"E+",IF(H99&lt;'PlayerGrades+'!$AC$15,"D-",IF(H99&lt;'PlayerGrades+'!$AC$14,"D",IF(H99&lt;'PlayerGrades+'!$AC$13,"D+",IF(H99&lt;'PlayerGrades+'!$AC$12,"C-",IF(H99&lt;'PlayerGrades+'!$AC$11,"C",IF(H99&lt;'PlayerGrades+'!$AC$10,"C+",IF(H99&lt;'PlayerGrades+'!$AC$9,"B-",IF(H99&lt;'PlayerGrades+'!$AC$8,"B",IF(H99&lt;'PlayerGrades+'!$AC$7,"B+",IF(H99&lt;'PlayerGrades+'!$AC$6,"A-",IF(H99&lt;'PlayerGrades+'!$AC$5,"A",IF(H99&lt;'PlayerGrades+'!$AC$4,"A+",IF(H99&lt;'PlayerGrades+'!$AC$3,"S-",IF(H99&lt;'PlayerGrades+'!$AC$2,"S","S+"))))))))))))))))))))</f>
        <v>S+</v>
      </c>
      <c r="J99" s="937">
        <f t="shared" si="4"/>
        <v>0.02802428772</v>
      </c>
      <c r="K99" s="937" t="str">
        <f>IF(J99&lt;'PlayerGrades+'!$AD$21,"F-",IF(J99&lt;'PlayerGrades+'!$AD$20,"F",IF(J99&lt;'PlayerGrades+'!$AD$19,"F+",IF(J99&lt;'PlayerGrades+'!$AD$18,"E-",IF(J99&lt;'PlayerGrades+'!$AD$17,"E",IF(J99&lt;'PlayerGrades+'!$AD$16,"E+",IF(J99&lt;'PlayerGrades+'!$AD$15,"D-",IF(J99&lt;'PlayerGrades+'!$AD$14,"D",IF(J99&lt;'PlayerGrades+'!$AD$13,"D+",IF(J99&lt;'PlayerGrades+'!$AD$12,"C-",IF(J99&lt;'PlayerGrades+'!$AD$11,"C",IF(J99&lt;'PlayerGrades+'!$AD$10,"C+",IF(J99&lt;'PlayerGrades+'!$AD$9,"B-",IF(J99&lt;'PlayerGrades+'!$AD$8,"B",IF(J99&lt;'PlayerGrades+'!$AD$7,"B+",IF(J99&lt;'PlayerGrades+'!$AD$6,"A-",IF(J99&lt;'PlayerGrades+'!$AD$5,"A",IF(J99&lt;'PlayerGrades+'!$AD$4,"A+",IF(J99&lt;'PlayerGrades+'!$AD$3,"S-",IF(J99&lt;'PlayerGrades+'!$AD$2,"S","S+"))))))))))))))))))))</f>
        <v>D+</v>
      </c>
      <c r="L99" s="677">
        <f t="shared" si="5"/>
        <v>0.5604857543</v>
      </c>
      <c r="M99" s="938" t="str">
        <f>IF(L99&lt;'PlayerGrades+'!$AE$21,"F-",IF(L99&lt;'PlayerGrades+'!$AE$20,"F",IF(L99&lt;'PlayerGrades+'!$AE$19,"F+",IF(L99&lt;'PlayerGrades+'!$AE$18,"E-",IF(L99&lt;'PlayerGrades+'!$AE$17,"E",IF(L99&lt;'PlayerGrades+'!$AE$16,"E+",IF(L99&lt;'PlayerGrades+'!$AE$15,"D-",IF(L99&lt;'PlayerGrades+'!$AE$14,"D",IF(L99&lt;'PlayerGrades+'!$AE$13,"D+",IF(L99&lt;'PlayerGrades+'!$AE$12,"C-",IF(L99&lt;'PlayerGrades+'!$AE$11,"C",IF(L99&lt;'PlayerGrades+'!$AE$10,"C+",IF(L99&lt;'PlayerGrades+'!$AE$9,"B-",IF(L99&lt;'PlayerGrades+'!$AE$8,"B",IF(L99&lt;'PlayerGrades+'!$AE$7,"B+",IF(L99&lt;'PlayerGrades+'!$AE$6,"A-",IF(L99&lt;'PlayerGrades+'!$AE$5,"A",IF(L99&lt;'PlayerGrades+'!$AE$4,"A+",IF(L99&lt;'PlayerGrades+'!$AE$3,"S-",IF(L99&lt;'PlayerGrades+'!$AE$2,"S","S+"))))))))))))))))))))</f>
        <v>A</v>
      </c>
      <c r="N99" s="937">
        <f t="shared" si="6"/>
        <v>0.1120971509</v>
      </c>
      <c r="O99" s="937" t="str">
        <f>IF(N99&lt;'PlayerGrades+'!$AF$21,"F-",IF(N99&lt;'PlayerGrades+'!$AF$20,"F",IF(N99&lt;'PlayerGrades+'!$AF$19,"F+",IF(N99&lt;'PlayerGrades+'!$AF$18,"E-",IF(N99&lt;'PlayerGrades+'!$AF$17,"E",IF(N99&lt;'PlayerGrades+'!$AF$16,"E+",IF(N99&lt;'PlayerGrades+'!$AF$15,"D-",IF(N99&lt;'PlayerGrades+'!$AF$14,"D",IF(N99&lt;'PlayerGrades+'!$AF$13,"D+",IF(N99&lt;'PlayerGrades+'!$AF$12,"C-",IF(N99&lt;'PlayerGrades+'!$AF$11,"C",IF(N99&lt;'PlayerGrades+'!$AF$10,"C+",IF(N99&lt;'PlayerGrades+'!$AF$9,"B-",IF(N99&lt;'PlayerGrades+'!$AF$8,"B",IF(N99&lt;'PlayerGrades+'!$AF$7,"B+",IF(N99&lt;'PlayerGrades+'!$AF$6,"A-",IF(N99&lt;'PlayerGrades+'!$AF$5,"A",IF(N99&lt;'PlayerGrades+'!$AF$4,"A+",IF(N99&lt;'PlayerGrades+'!$AF$3,"S-",IF(N99&lt;'PlayerGrades+'!$AF$2,"S","S+"))))))))))))))))))))</f>
        <v>S-</v>
      </c>
      <c r="P99" s="937">
        <f t="shared" si="7"/>
        <v>0.02802428772</v>
      </c>
      <c r="Q99" s="937" t="str">
        <f>IF(P99&lt;'PlayerGrades+'!$AG$21,"F-",IF(P99&lt;'PlayerGrades+'!$AG$20,"F",IF(P99&lt;'PlayerGrades+'!$AG$19,"F+",IF(P99&lt;'PlayerGrades+'!$AG$18,"E-",IF(P99&lt;'PlayerGrades+'!$AG$17,"E",IF(P99&lt;'PlayerGrades+'!$AG$16,"E+",IF(P99&lt;'PlayerGrades+'!$AG$15,"D-",IF(P99&lt;'PlayerGrades+'!$AG$14,"D",IF(P99&lt;'PlayerGrades+'!$AG$13,"D+",IF(P99&lt;'PlayerGrades+'!$AG$12,"C-",IF(P99&lt;'PlayerGrades+'!$AG$11,"C",IF(P99&lt;'PlayerGrades+'!$AG$10,"C+",IF(P99&lt;'PlayerGrades+'!$AG$9,"B-",IF(P99&lt;'PlayerGrades+'!$AG$8,"B",IF(P99&lt;'PlayerGrades+'!$AG$7,"B+",IF(P99&lt;'PlayerGrades+'!$AG$6,"A-",IF(P99&lt;'PlayerGrades+'!$AG$5,"A",IF(P99&lt;'PlayerGrades+'!$AG$4,"A+",IF(P99&lt;'PlayerGrades+'!$AG$3,"S-",IF(P99&lt;'PlayerGrades+'!$AG$2,"S","S+"))))))))))))))))))))</f>
        <v>B</v>
      </c>
      <c r="R99" s="937">
        <f t="shared" si="8"/>
        <v>0.5044371789</v>
      </c>
      <c r="S99" s="937" t="str">
        <f>IF(R99&lt;'PlayerGrades+'!$AH$21,"F-",IF(R99&lt;'PlayerGrades+'!$AH$20,"F",IF(R99&lt;'PlayerGrades+'!$AH$19,"F+",IF(R99&lt;'PlayerGrades+'!$AH$18,"E-",IF(R99&lt;'PlayerGrades+'!$AH$17,"E",IF(R99&lt;'PlayerGrades+'!$AH$16,"E+",IF(R99&lt;'PlayerGrades+'!$AH$15,"D-",IF(R99&lt;'PlayerGrades+'!$AH$14,"D",IF(R99&lt;'PlayerGrades+'!$AH$13,"D+",IF(R99&lt;'PlayerGrades+'!$AH$12,"C-",IF(R99&lt;'PlayerGrades+'!$AH$11,"C",IF(R99&lt;'PlayerGrades+'!$AH$10,"C+",IF(R99&lt;'PlayerGrades+'!$AH$9,"B-",IF(R99&lt;'PlayerGrades+'!$AH$8,"B",IF(R99&lt;'PlayerGrades+'!$AH$7,"B+",IF(R99&lt;'PlayerGrades+'!$AH$6,"A-",IF(R99&lt;'PlayerGrades+'!$AH$5,"A",IF(R99&lt;'PlayerGrades+'!$AH$4,"A+",IF(R99&lt;'PlayerGrades+'!$AH$3,"S-",IF(R99&lt;'PlayerGrades+'!$AH$2,"S","S+"))))))))))))))))))))</f>
        <v>D-</v>
      </c>
      <c r="T99" s="937">
        <f t="shared" si="9"/>
        <v>2.36431574</v>
      </c>
      <c r="U99" s="937" t="str">
        <f>IF(T99&lt;'PlayerGrades+'!$AI$21,"F-",IF(T99&lt;'PlayerGrades+'!$AI$20,"F",IF(T99&lt;'PlayerGrades+'!$AI$19,"F+",IF(T99&lt;'PlayerGrades+'!$AI$18,"E-",IF(T99&lt;'PlayerGrades+'!$AI$17,"E",IF(T99&lt;'PlayerGrades+'!$AI$16,"E+",IF(T99&lt;'PlayerGrades+'!$AI$15,"D-",IF(T99&lt;'PlayerGrades+'!$AI$14,"D",IF(T99&lt;'PlayerGrades+'!$AI$13,"D+",IF(T99&lt;'PlayerGrades+'!$AI$12,"C-",IF(T99&lt;'PlayerGrades+'!$AI$11,"C",IF(T99&lt;'PlayerGrades+'!$AI$10,"C+",IF(T99&lt;'PlayerGrades+'!$AI$9,"B-",IF(T99&lt;'PlayerGrades+'!$AI$8,"B",IF(T99&lt;'PlayerGrades+'!$AI$7,"B+",IF(T99&lt;'PlayerGrades+'!$AI$6,"A-",IF(T99&lt;'PlayerGrades+'!$AI$5,"A",IF(T99&lt;'PlayerGrades+'!$AI$4,"A+",IF(T99&lt;'PlayerGrades+'!$AI$3,"S-",IF(T99&lt;'PlayerGrades+'!$AI$2,"S","S+"))))))))))))))))))))</f>
        <v>S+</v>
      </c>
      <c r="V99" s="952">
        <v>1.0</v>
      </c>
      <c r="W99" s="952">
        <v>0.0</v>
      </c>
      <c r="X99" s="952">
        <v>0.0</v>
      </c>
      <c r="Y99" s="960">
        <v>0.0</v>
      </c>
      <c r="Z99" s="960">
        <v>0.0</v>
      </c>
      <c r="AA99" s="960">
        <v>124.0</v>
      </c>
      <c r="AB99" s="960">
        <v>128.0</v>
      </c>
      <c r="AC99" s="960">
        <v>-4.0</v>
      </c>
      <c r="AD99" s="960">
        <v>8.0</v>
      </c>
      <c r="AE99" s="960">
        <v>5.0</v>
      </c>
      <c r="AF99" s="960">
        <v>3.0</v>
      </c>
      <c r="AG99" s="960">
        <v>1673.0</v>
      </c>
      <c r="AH99" s="960">
        <v>2141.0</v>
      </c>
      <c r="AI99" s="960">
        <v>13.0</v>
      </c>
      <c r="AJ99" s="960">
        <v>106.0</v>
      </c>
      <c r="AK99" s="960">
        <v>0.0</v>
      </c>
      <c r="AL99" s="960">
        <v>1.0</v>
      </c>
      <c r="AM99" s="960">
        <v>0.0</v>
      </c>
      <c r="AN99" s="960">
        <v>0.0</v>
      </c>
      <c r="AO99" s="960">
        <v>0.0</v>
      </c>
      <c r="AP99" s="960">
        <v>1.0</v>
      </c>
      <c r="AQ99" s="960">
        <v>0.0</v>
      </c>
      <c r="AR99" s="960">
        <v>20.0</v>
      </c>
      <c r="AS99" s="960">
        <v>4.0</v>
      </c>
      <c r="AT99" s="960">
        <v>0.0</v>
      </c>
      <c r="AU99" s="960">
        <v>0.0</v>
      </c>
      <c r="AV99" s="960">
        <v>0.0</v>
      </c>
      <c r="AW99" s="960">
        <v>0.0</v>
      </c>
      <c r="AX99" s="960">
        <v>0.0</v>
      </c>
      <c r="AY99" s="960">
        <v>0.0</v>
      </c>
      <c r="AZ99" s="960">
        <v>0.0</v>
      </c>
      <c r="BA99" s="960">
        <v>0.0</v>
      </c>
      <c r="BB99" s="960">
        <v>13.0</v>
      </c>
      <c r="BC99" s="960">
        <v>0.0</v>
      </c>
      <c r="BD99" s="960">
        <v>10.0</v>
      </c>
      <c r="BE99" s="961">
        <v>13.0</v>
      </c>
      <c r="BF99" s="960">
        <v>2.0</v>
      </c>
      <c r="BG99" s="960">
        <v>0.0</v>
      </c>
    </row>
    <row r="100">
      <c r="A100" s="953" t="s">
        <v>139</v>
      </c>
      <c r="B100" s="16" t="str">
        <f>IF(C100&lt;'PlayerGrades+'!$Y$44,"F-",IF(C100&lt;'PlayerGrades+'!$Y$43,"F",IF(C100&lt;'PlayerGrades+'!$Y$42,"F+",IF(C100&lt;'PlayerGrades+'!$Y$41,"E-",IF(C100&lt;'PlayerGrades+'!$Y$40,"E",IF(C100&lt;'PlayerGrades+'!$Y$39,"E+",IF(C100&lt;'PlayerGrades+'!$Y$38,"D-",IF(C100&lt;'PlayerGrades+'!$Y$37,"D",IF(C100&lt;'PlayerGrades+'!$Y$36,"D+",IF(C100&lt;'PlayerGrades+'!$Y$35,"C-",IF(C100&lt;'PlayerGrades+'!$Y$34,"C",IF(C100&lt;'PlayerGrades+'!$Y$33,"C+",IF(C100&lt;'PlayerGrades+'!$Y$32,"B-",IF(C100&lt;'PlayerGrades+'!$Y$31,"B",IF(C100&lt;'PlayerGrades+'!$Y$30,"B+",IF(C100&lt;'PlayerGrades+'!$Y$29,"A-",IF(C100&lt;'PlayerGrades+'!$Y$28,"A",IF(C100&lt;'PlayerGrades+'!$Y$27,"A+",IF(C100&lt;'PlayerGrades+'!$Y$26,"S-",IF(C100&lt;'PlayerGrades+'!$Y$25,"S","S+"))))))))))))))))))))</f>
        <v>C-</v>
      </c>
      <c r="C100" s="936">
        <f>('PlayerGrades+'!$Y$47*(VLOOKUP(E100, 'PlayerGrades+'!$X$3:$Y$23, 2, FALSE)))+('PlayerGrades+'!$Y$48*(VLOOKUP(G100, 'PlayerGrades+'!$X$3:$Y$23, 2, FALSE)))+('PlayerGrades+'!$Y$49*(VLOOKUP(I100, 'PlayerGrades+'!$X$3:$Y$23, 2, FALSE)))+('PlayerGrades+'!$Y$50*(VLOOKUP(K100, 'PlayerGrades+'!$X$3:$Y$23, 2, FALSE)))+('PlayerGrades+'!$Y$51*(VLOOKUP(M100, 'PlayerGrades+'!$X$3:$Y$23, 2, FALSE)))+('PlayerGrades+'!$Y$52*(VLOOKUP(O100, 'PlayerGrades+'!$X$3:$Y$23, 2, FALSE)))+('PlayerGrades+'!$Y$53*(VLOOKUP(Q100, 'PlayerGrades+'!$X$3:$Y$23, 2, FALSE)))+('PlayerGrades+'!$Y$54*(VLOOKUP(S100, 'PlayerGrades+'!$X$3:$Y$23, 2, FALSE)))+('PlayerGrades+'!$Y$55*(VLOOKUP(U100, 'PlayerGrades+'!$X$3:$Y$23, 2, FALSE)))</f>
        <v>18.5</v>
      </c>
      <c r="D100" s="937">
        <f t="shared" si="1"/>
        <v>0.02802428772</v>
      </c>
      <c r="E100" s="937" t="str">
        <f>IF(D100&lt;'PlayerGrades+'!$AA$21,"F-",IF(D100&lt;'PlayerGrades+'!$AA$20,"F",IF(D100&lt;'PlayerGrades+'!$AA$19,"F+",IF(D100&lt;'PlayerGrades+'!$AA$18,"E-",IF(D100&lt;'PlayerGrades+'!$AA$17,"E",IF(D100&lt;'PlayerGrades+'!$AA$16,"E+",IF(D100&lt;'PlayerGrades+'!$AA$15,"D-",IF(D100&lt;'PlayerGrades+'!$AA$14,"D",IF(D100&lt;'PlayerGrades+'!$AA$13,"D+",IF(D100&lt;'PlayerGrades+'!$AA$12,"C-",IF(D100&lt;'PlayerGrades+'!$AA$11,"C",IF(D100&lt;'PlayerGrades+'!$AA$10,"C+",IF(D100&lt;'PlayerGrades+'!$AA$9,"B-",IF(D100&lt;'PlayerGrades+'!$AA$8,"B",IF(D100&lt;'PlayerGrades+'!$AA$7,"B+",IF(D100&lt;'PlayerGrades+'!$AA$6,"A-",IF(D100&lt;'PlayerGrades+'!$AA$5,"A",IF(D100&lt;'PlayerGrades+'!$AA$4,"A+",IF(D100&lt;'PlayerGrades+'!$AA$3,"S-",IF(D100&lt;'PlayerGrades+'!$AA$2,"S","S+"))))))))))))))))))))</f>
        <v>D-</v>
      </c>
      <c r="F100" s="937">
        <f t="shared" si="2"/>
        <v>0.08407286315</v>
      </c>
      <c r="G100" s="937" t="str">
        <f>IF(F100&lt;'PlayerGrades+'!$AB$21,"F-",IF(F100&lt;'PlayerGrades+'!$AB$20,"F",IF(F100&lt;'PlayerGrades+'!$AB$19,"F+",IF(F100&lt;'PlayerGrades+'!$AB$18,"E-",IF(F100&lt;'PlayerGrades+'!$AB$17,"E",IF(F100&lt;'PlayerGrades+'!$AB$16,"E+",IF(F100&lt;'PlayerGrades+'!$AB$15,"D-",IF(F100&lt;'PlayerGrades+'!$AB$14,"D",IF(F100&lt;'PlayerGrades+'!$AB$13,"D+",IF(F100&lt;'PlayerGrades+'!$AB$12,"C-",IF(F100&lt;'PlayerGrades+'!$AB$11,"C",IF(F100&lt;'PlayerGrades+'!$AB$10,"C+",IF(F100&lt;'PlayerGrades+'!$AB$9,"B-",IF(F100&lt;'PlayerGrades+'!$AB$8,"B",IF(F100&lt;'PlayerGrades+'!$AB$7,"B+",IF(F100&lt;'PlayerGrades+'!$AB$6,"A-",IF(F100&lt;'PlayerGrades+'!$AB$5,"A",IF(F100&lt;'PlayerGrades+'!$AB$4,"A+",IF(F100&lt;'PlayerGrades+'!$AB$3,"S-",IF(F100&lt;'PlayerGrades+'!$AB$2,"S","S+"))))))))))))))))))))</f>
        <v>B</v>
      </c>
      <c r="H100" s="937">
        <f t="shared" si="3"/>
        <v>0.2522185894</v>
      </c>
      <c r="I100" s="937" t="str">
        <f>IF(H100&lt;'PlayerGrades+'!$AC$21,"F-",IF(H100&lt;'PlayerGrades+'!$AC$20,"F",IF(H100&lt;'PlayerGrades+'!$AC$19,"F+",IF(H100&lt;'PlayerGrades+'!$AC$18,"E-",IF(H100&lt;'PlayerGrades+'!$AC$17,"E",IF(H100&lt;'PlayerGrades+'!$AC$16,"E+",IF(H100&lt;'PlayerGrades+'!$AC$15,"D-",IF(H100&lt;'PlayerGrades+'!$AC$14,"D",IF(H100&lt;'PlayerGrades+'!$AC$13,"D+",IF(H100&lt;'PlayerGrades+'!$AC$12,"C-",IF(H100&lt;'PlayerGrades+'!$AC$11,"C",IF(H100&lt;'PlayerGrades+'!$AC$10,"C+",IF(H100&lt;'PlayerGrades+'!$AC$9,"B-",IF(H100&lt;'PlayerGrades+'!$AC$8,"B",IF(H100&lt;'PlayerGrades+'!$AC$7,"B+",IF(H100&lt;'PlayerGrades+'!$AC$6,"A-",IF(H100&lt;'PlayerGrades+'!$AC$5,"A",IF(H100&lt;'PlayerGrades+'!$AC$4,"A+",IF(H100&lt;'PlayerGrades+'!$AC$3,"S-",IF(H100&lt;'PlayerGrades+'!$AC$2,"S","S+"))))))))))))))))))))</f>
        <v>S</v>
      </c>
      <c r="J100" s="937">
        <f t="shared" si="4"/>
        <v>0</v>
      </c>
      <c r="K100" s="937" t="str">
        <f>IF(J100&lt;'PlayerGrades+'!$AD$21,"F-",IF(J100&lt;'PlayerGrades+'!$AD$20,"F",IF(J100&lt;'PlayerGrades+'!$AD$19,"F+",IF(J100&lt;'PlayerGrades+'!$AD$18,"E-",IF(J100&lt;'PlayerGrades+'!$AD$17,"E",IF(J100&lt;'PlayerGrades+'!$AD$16,"E+",IF(J100&lt;'PlayerGrades+'!$AD$15,"D-",IF(J100&lt;'PlayerGrades+'!$AD$14,"D",IF(J100&lt;'PlayerGrades+'!$AD$13,"D+",IF(J100&lt;'PlayerGrades+'!$AD$12,"C-",IF(J100&lt;'PlayerGrades+'!$AD$11,"C",IF(J100&lt;'PlayerGrades+'!$AD$10,"C+",IF(J100&lt;'PlayerGrades+'!$AD$9,"B-",IF(J100&lt;'PlayerGrades+'!$AD$8,"B",IF(J100&lt;'PlayerGrades+'!$AD$7,"B+",IF(J100&lt;'PlayerGrades+'!$AD$6,"A-",IF(J100&lt;'PlayerGrades+'!$AD$5,"A",IF(J100&lt;'PlayerGrades+'!$AD$4,"A+",IF(J100&lt;'PlayerGrades+'!$AD$3,"S-",IF(J100&lt;'PlayerGrades+'!$AD$2,"S","S+"))))))))))))))))))))</f>
        <v>F-</v>
      </c>
      <c r="L100" s="677">
        <f t="shared" si="5"/>
        <v>0.588510042</v>
      </c>
      <c r="M100" s="938" t="str">
        <f>IF(L100&lt;'PlayerGrades+'!$AE$21,"F-",IF(L100&lt;'PlayerGrades+'!$AE$20,"F",IF(L100&lt;'PlayerGrades+'!$AE$19,"F+",IF(L100&lt;'PlayerGrades+'!$AE$18,"E-",IF(L100&lt;'PlayerGrades+'!$AE$17,"E",IF(L100&lt;'PlayerGrades+'!$AE$16,"E+",IF(L100&lt;'PlayerGrades+'!$AE$15,"D-",IF(L100&lt;'PlayerGrades+'!$AE$14,"D",IF(L100&lt;'PlayerGrades+'!$AE$13,"D+",IF(L100&lt;'PlayerGrades+'!$AE$12,"C-",IF(L100&lt;'PlayerGrades+'!$AE$11,"C",IF(L100&lt;'PlayerGrades+'!$AE$10,"C+",IF(L100&lt;'PlayerGrades+'!$AE$9,"B-",IF(L100&lt;'PlayerGrades+'!$AE$8,"B",IF(L100&lt;'PlayerGrades+'!$AE$7,"B+",IF(L100&lt;'PlayerGrades+'!$AE$6,"A-",IF(L100&lt;'PlayerGrades+'!$AE$5,"A",IF(L100&lt;'PlayerGrades+'!$AE$4,"A+",IF(L100&lt;'PlayerGrades+'!$AE$3,"S-",IF(L100&lt;'PlayerGrades+'!$AE$2,"S","S+"))))))))))))))))))))</f>
        <v>A+</v>
      </c>
      <c r="N100" s="937">
        <f t="shared" si="6"/>
        <v>0.02802428772</v>
      </c>
      <c r="O100" s="937" t="str">
        <f>IF(N100&lt;'PlayerGrades+'!$AF$21,"F-",IF(N100&lt;'PlayerGrades+'!$AF$20,"F",IF(N100&lt;'PlayerGrades+'!$AF$19,"F+",IF(N100&lt;'PlayerGrades+'!$AF$18,"E-",IF(N100&lt;'PlayerGrades+'!$AF$17,"E",IF(N100&lt;'PlayerGrades+'!$AF$16,"E+",IF(N100&lt;'PlayerGrades+'!$AF$15,"D-",IF(N100&lt;'PlayerGrades+'!$AF$14,"D",IF(N100&lt;'PlayerGrades+'!$AF$13,"D+",IF(N100&lt;'PlayerGrades+'!$AF$12,"C-",IF(N100&lt;'PlayerGrades+'!$AF$11,"C",IF(N100&lt;'PlayerGrades+'!$AF$10,"C+",IF(N100&lt;'PlayerGrades+'!$AF$9,"B-",IF(N100&lt;'PlayerGrades+'!$AF$8,"B",IF(N100&lt;'PlayerGrades+'!$AF$7,"B+",IF(N100&lt;'PlayerGrades+'!$AF$6,"A-",IF(N100&lt;'PlayerGrades+'!$AF$5,"A",IF(N100&lt;'PlayerGrades+'!$AF$4,"A+",IF(N100&lt;'PlayerGrades+'!$AF$3,"S-",IF(N100&lt;'PlayerGrades+'!$AF$2,"S","S+"))))))))))))))))))))</f>
        <v>F</v>
      </c>
      <c r="P100" s="937">
        <f t="shared" si="7"/>
        <v>0</v>
      </c>
      <c r="Q100" s="937" t="str">
        <f>IF(P100&lt;'PlayerGrades+'!$AG$21,"F-",IF(P100&lt;'PlayerGrades+'!$AG$20,"F",IF(P100&lt;'PlayerGrades+'!$AG$19,"F+",IF(P100&lt;'PlayerGrades+'!$AG$18,"E-",IF(P100&lt;'PlayerGrades+'!$AG$17,"E",IF(P100&lt;'PlayerGrades+'!$AG$16,"E+",IF(P100&lt;'PlayerGrades+'!$AG$15,"D-",IF(P100&lt;'PlayerGrades+'!$AG$14,"D",IF(P100&lt;'PlayerGrades+'!$AG$13,"D+",IF(P100&lt;'PlayerGrades+'!$AG$12,"C-",IF(P100&lt;'PlayerGrades+'!$AG$11,"C",IF(P100&lt;'PlayerGrades+'!$AG$10,"C+",IF(P100&lt;'PlayerGrades+'!$AG$9,"B-",IF(P100&lt;'PlayerGrades+'!$AG$8,"B",IF(P100&lt;'PlayerGrades+'!$AG$7,"B+",IF(P100&lt;'PlayerGrades+'!$AG$6,"A-",IF(P100&lt;'PlayerGrades+'!$AG$5,"A",IF(P100&lt;'PlayerGrades+'!$AG$4,"A+",IF(P100&lt;'PlayerGrades+'!$AG$3,"S-",IF(P100&lt;'PlayerGrades+'!$AG$2,"S","S+"))))))))))))))))))))</f>
        <v>F</v>
      </c>
      <c r="R100" s="937">
        <f t="shared" si="8"/>
        <v>0.4764128912</v>
      </c>
      <c r="S100" s="937" t="str">
        <f>IF(R100&lt;'PlayerGrades+'!$AH$21,"F-",IF(R100&lt;'PlayerGrades+'!$AH$20,"F",IF(R100&lt;'PlayerGrades+'!$AH$19,"F+",IF(R100&lt;'PlayerGrades+'!$AH$18,"E-",IF(R100&lt;'PlayerGrades+'!$AH$17,"E",IF(R100&lt;'PlayerGrades+'!$AH$16,"E+",IF(R100&lt;'PlayerGrades+'!$AH$15,"D-",IF(R100&lt;'PlayerGrades+'!$AH$14,"D",IF(R100&lt;'PlayerGrades+'!$AH$13,"D+",IF(R100&lt;'PlayerGrades+'!$AH$12,"C-",IF(R100&lt;'PlayerGrades+'!$AH$11,"C",IF(R100&lt;'PlayerGrades+'!$AH$10,"C+",IF(R100&lt;'PlayerGrades+'!$AH$9,"B-",IF(R100&lt;'PlayerGrades+'!$AH$8,"B",IF(R100&lt;'PlayerGrades+'!$AH$7,"B+",IF(R100&lt;'PlayerGrades+'!$AH$6,"A-",IF(R100&lt;'PlayerGrades+'!$AH$5,"A",IF(R100&lt;'PlayerGrades+'!$AH$4,"A+",IF(R100&lt;'PlayerGrades+'!$AH$3,"S-",IF(R100&lt;'PlayerGrades+'!$AH$2,"S","S+"))))))))))))))))))))</f>
        <v>E+</v>
      </c>
      <c r="T100" s="937">
        <f t="shared" si="9"/>
        <v>1.672582905</v>
      </c>
      <c r="U100" s="937" t="str">
        <f>IF(T100&lt;'PlayerGrades+'!$AI$21,"F-",IF(T100&lt;'PlayerGrades+'!$AI$20,"F",IF(T100&lt;'PlayerGrades+'!$AI$19,"F+",IF(T100&lt;'PlayerGrades+'!$AI$18,"E-",IF(T100&lt;'PlayerGrades+'!$AI$17,"E",IF(T100&lt;'PlayerGrades+'!$AI$16,"E+",IF(T100&lt;'PlayerGrades+'!$AI$15,"D-",IF(T100&lt;'PlayerGrades+'!$AI$14,"D",IF(T100&lt;'PlayerGrades+'!$AI$13,"D+",IF(T100&lt;'PlayerGrades+'!$AI$12,"C-",IF(T100&lt;'PlayerGrades+'!$AI$11,"C",IF(T100&lt;'PlayerGrades+'!$AI$10,"C+",IF(T100&lt;'PlayerGrades+'!$AI$9,"B-",IF(T100&lt;'PlayerGrades+'!$AI$8,"B",IF(T100&lt;'PlayerGrades+'!$AI$7,"B+",IF(T100&lt;'PlayerGrades+'!$AI$6,"A-",IF(T100&lt;'PlayerGrades+'!$AI$5,"A",IF(T100&lt;'PlayerGrades+'!$AI$4,"A+",IF(T100&lt;'PlayerGrades+'!$AI$3,"S-",IF(T100&lt;'PlayerGrades+'!$AI$2,"S","S+"))))))))))))))))))))</f>
        <v>S-</v>
      </c>
      <c r="V100" s="952">
        <v>1.0</v>
      </c>
      <c r="W100" s="952">
        <v>0.0</v>
      </c>
      <c r="X100" s="952">
        <v>0.0</v>
      </c>
      <c r="Y100" s="960">
        <v>1.0</v>
      </c>
      <c r="Z100" s="960">
        <v>0.0</v>
      </c>
      <c r="AA100" s="960">
        <v>137.0</v>
      </c>
      <c r="AB100" s="960">
        <v>134.0</v>
      </c>
      <c r="AC100" s="960">
        <v>3.0</v>
      </c>
      <c r="AD100" s="960">
        <v>5.0</v>
      </c>
      <c r="AE100" s="960">
        <v>4.0</v>
      </c>
      <c r="AF100" s="960">
        <v>8.0</v>
      </c>
      <c r="AG100" s="960">
        <v>1660.0</v>
      </c>
      <c r="AH100" s="960">
        <v>2141.0</v>
      </c>
      <c r="AI100" s="960">
        <v>12.0</v>
      </c>
      <c r="AJ100" s="960">
        <v>22.0</v>
      </c>
      <c r="AK100" s="960">
        <v>0.0</v>
      </c>
      <c r="AL100" s="960">
        <v>0.0</v>
      </c>
      <c r="AM100" s="960">
        <v>0.0</v>
      </c>
      <c r="AN100" s="960">
        <v>0.0</v>
      </c>
      <c r="AO100" s="960">
        <v>0.0</v>
      </c>
      <c r="AP100" s="960">
        <v>0.0</v>
      </c>
      <c r="AQ100" s="960">
        <v>0.0</v>
      </c>
      <c r="AR100" s="960">
        <v>21.0</v>
      </c>
      <c r="AS100" s="960">
        <v>1.0</v>
      </c>
      <c r="AT100" s="960">
        <v>0.0</v>
      </c>
      <c r="AU100" s="960">
        <v>0.0</v>
      </c>
      <c r="AV100" s="960">
        <v>0.0</v>
      </c>
      <c r="AW100" s="960">
        <v>0.0</v>
      </c>
      <c r="AX100" s="960">
        <v>0.0</v>
      </c>
      <c r="AY100" s="960">
        <v>0.0</v>
      </c>
      <c r="AZ100" s="960">
        <v>0.0</v>
      </c>
      <c r="BA100" s="960">
        <v>0.0</v>
      </c>
      <c r="BB100" s="960">
        <v>9.0</v>
      </c>
      <c r="BC100" s="960">
        <v>0.0</v>
      </c>
      <c r="BD100" s="960">
        <v>12.0</v>
      </c>
      <c r="BE100" s="961">
        <v>24.0</v>
      </c>
      <c r="BF100" s="960">
        <v>1.0</v>
      </c>
      <c r="BG100" s="960">
        <v>0.0</v>
      </c>
    </row>
    <row r="101">
      <c r="A101" s="953" t="s">
        <v>150</v>
      </c>
      <c r="B101" s="16" t="str">
        <f>IF(C101&lt;'PlayerGrades+'!$Y$44,"F-",IF(C101&lt;'PlayerGrades+'!$Y$43,"F",IF(C101&lt;'PlayerGrades+'!$Y$42,"F+",IF(C101&lt;'PlayerGrades+'!$Y$41,"E-",IF(C101&lt;'PlayerGrades+'!$Y$40,"E",IF(C101&lt;'PlayerGrades+'!$Y$39,"E+",IF(C101&lt;'PlayerGrades+'!$Y$38,"D-",IF(C101&lt;'PlayerGrades+'!$Y$37,"D",IF(C101&lt;'PlayerGrades+'!$Y$36,"D+",IF(C101&lt;'PlayerGrades+'!$Y$35,"C-",IF(C101&lt;'PlayerGrades+'!$Y$34,"C",IF(C101&lt;'PlayerGrades+'!$Y$33,"C+",IF(C101&lt;'PlayerGrades+'!$Y$32,"B-",IF(C101&lt;'PlayerGrades+'!$Y$31,"B",IF(C101&lt;'PlayerGrades+'!$Y$30,"B+",IF(C101&lt;'PlayerGrades+'!$Y$29,"A-",IF(C101&lt;'PlayerGrades+'!$Y$28,"A",IF(C101&lt;'PlayerGrades+'!$Y$27,"A+",IF(C101&lt;'PlayerGrades+'!$Y$26,"S-",IF(C101&lt;'PlayerGrades+'!$Y$25,"S","S+"))))))))))))))))))))</f>
        <v>F</v>
      </c>
      <c r="C101" s="936">
        <f>('PlayerGrades+'!$Y$47*(VLOOKUP(E101, 'PlayerGrades+'!$X$3:$Y$23, 2, FALSE)))+('PlayerGrades+'!$Y$48*(VLOOKUP(G101, 'PlayerGrades+'!$X$3:$Y$23, 2, FALSE)))+('PlayerGrades+'!$Y$49*(VLOOKUP(I101, 'PlayerGrades+'!$X$3:$Y$23, 2, FALSE)))+('PlayerGrades+'!$Y$50*(VLOOKUP(K101, 'PlayerGrades+'!$X$3:$Y$23, 2, FALSE)))+('PlayerGrades+'!$Y$51*(VLOOKUP(M101, 'PlayerGrades+'!$X$3:$Y$23, 2, FALSE)))+('PlayerGrades+'!$Y$52*(VLOOKUP(O101, 'PlayerGrades+'!$X$3:$Y$23, 2, FALSE)))+('PlayerGrades+'!$Y$53*(VLOOKUP(Q101, 'PlayerGrades+'!$X$3:$Y$23, 2, FALSE)))+('PlayerGrades+'!$Y$54*(VLOOKUP(S101, 'PlayerGrades+'!$X$3:$Y$23, 2, FALSE)))+('PlayerGrades+'!$Y$55*(VLOOKUP(U101, 'PlayerGrades+'!$X$3:$Y$23, 2, FALSE)))</f>
        <v>9.65</v>
      </c>
      <c r="D101" s="937">
        <f t="shared" si="1"/>
        <v>0.5324614666</v>
      </c>
      <c r="E101" s="937" t="str">
        <f>IF(D101&lt;'PlayerGrades+'!$AA$21,"F-",IF(D101&lt;'PlayerGrades+'!$AA$20,"F",IF(D101&lt;'PlayerGrades+'!$AA$19,"F+",IF(D101&lt;'PlayerGrades+'!$AA$18,"E-",IF(D101&lt;'PlayerGrades+'!$AA$17,"E",IF(D101&lt;'PlayerGrades+'!$AA$16,"E+",IF(D101&lt;'PlayerGrades+'!$AA$15,"D-",IF(D101&lt;'PlayerGrades+'!$AA$14,"D",IF(D101&lt;'PlayerGrades+'!$AA$13,"D+",IF(D101&lt;'PlayerGrades+'!$AA$12,"C-",IF(D101&lt;'PlayerGrades+'!$AA$11,"C",IF(D101&lt;'PlayerGrades+'!$AA$10,"C+",IF(D101&lt;'PlayerGrades+'!$AA$9,"B-",IF(D101&lt;'PlayerGrades+'!$AA$8,"B",IF(D101&lt;'PlayerGrades+'!$AA$7,"B+",IF(D101&lt;'PlayerGrades+'!$AA$6,"A-",IF(D101&lt;'PlayerGrades+'!$AA$5,"A",IF(D101&lt;'PlayerGrades+'!$AA$4,"A+",IF(D101&lt;'PlayerGrades+'!$AA$3,"S-",IF(D101&lt;'PlayerGrades+'!$AA$2,"S","S+"))))))))))))))))))))</f>
        <v>S-</v>
      </c>
      <c r="F101" s="937">
        <f t="shared" si="2"/>
        <v>-0.4203643157</v>
      </c>
      <c r="G101" s="937" t="str">
        <f>IF(F101&lt;'PlayerGrades+'!$AB$21,"F-",IF(F101&lt;'PlayerGrades+'!$AB$20,"F",IF(F101&lt;'PlayerGrades+'!$AB$19,"F+",IF(F101&lt;'PlayerGrades+'!$AB$18,"E-",IF(F101&lt;'PlayerGrades+'!$AB$17,"E",IF(F101&lt;'PlayerGrades+'!$AB$16,"E+",IF(F101&lt;'PlayerGrades+'!$AB$15,"D-",IF(F101&lt;'PlayerGrades+'!$AB$14,"D",IF(F101&lt;'PlayerGrades+'!$AB$13,"D+",IF(F101&lt;'PlayerGrades+'!$AB$12,"C-",IF(F101&lt;'PlayerGrades+'!$AB$11,"C",IF(F101&lt;'PlayerGrades+'!$AB$10,"C+",IF(F101&lt;'PlayerGrades+'!$AB$9,"B-",IF(F101&lt;'PlayerGrades+'!$AB$8,"B",IF(F101&lt;'PlayerGrades+'!$AB$7,"B+",IF(F101&lt;'PlayerGrades+'!$AB$6,"A-",IF(F101&lt;'PlayerGrades+'!$AB$5,"A",IF(F101&lt;'PlayerGrades+'!$AB$4,"A+",IF(F101&lt;'PlayerGrades+'!$AB$3,"S-",IF(F101&lt;'PlayerGrades+'!$AB$2,"S","S+"))))))))))))))))))))</f>
        <v>D</v>
      </c>
      <c r="H101" s="937">
        <f t="shared" si="3"/>
        <v>0.02802428772</v>
      </c>
      <c r="I101" s="937" t="str">
        <f>IF(H101&lt;'PlayerGrades+'!$AC$21,"F-",IF(H101&lt;'PlayerGrades+'!$AC$20,"F",IF(H101&lt;'PlayerGrades+'!$AC$19,"F+",IF(H101&lt;'PlayerGrades+'!$AC$18,"E-",IF(H101&lt;'PlayerGrades+'!$AC$17,"E",IF(H101&lt;'PlayerGrades+'!$AC$16,"E+",IF(H101&lt;'PlayerGrades+'!$AC$15,"D-",IF(H101&lt;'PlayerGrades+'!$AC$14,"D",IF(H101&lt;'PlayerGrades+'!$AC$13,"D+",IF(H101&lt;'PlayerGrades+'!$AC$12,"C-",IF(H101&lt;'PlayerGrades+'!$AC$11,"C",IF(H101&lt;'PlayerGrades+'!$AC$10,"C+",IF(H101&lt;'PlayerGrades+'!$AC$9,"B-",IF(H101&lt;'PlayerGrades+'!$AC$8,"B",IF(H101&lt;'PlayerGrades+'!$AC$7,"B+",IF(H101&lt;'PlayerGrades+'!$AC$6,"A-",IF(H101&lt;'PlayerGrades+'!$AC$5,"A",IF(H101&lt;'PlayerGrades+'!$AC$4,"A+",IF(H101&lt;'PlayerGrades+'!$AC$3,"S-",IF(H101&lt;'PlayerGrades+'!$AC$2,"S","S+"))))))))))))))))))))</f>
        <v>F-</v>
      </c>
      <c r="J101" s="937">
        <f t="shared" si="4"/>
        <v>0.02802428772</v>
      </c>
      <c r="K101" s="937" t="str">
        <f>IF(J101&lt;'PlayerGrades+'!$AD$21,"F-",IF(J101&lt;'PlayerGrades+'!$AD$20,"F",IF(J101&lt;'PlayerGrades+'!$AD$19,"F+",IF(J101&lt;'PlayerGrades+'!$AD$18,"E-",IF(J101&lt;'PlayerGrades+'!$AD$17,"E",IF(J101&lt;'PlayerGrades+'!$AD$16,"E+",IF(J101&lt;'PlayerGrades+'!$AD$15,"D-",IF(J101&lt;'PlayerGrades+'!$AD$14,"D",IF(J101&lt;'PlayerGrades+'!$AD$13,"D+",IF(J101&lt;'PlayerGrades+'!$AD$12,"C-",IF(J101&lt;'PlayerGrades+'!$AD$11,"C",IF(J101&lt;'PlayerGrades+'!$AD$10,"C+",IF(J101&lt;'PlayerGrades+'!$AD$9,"B-",IF(J101&lt;'PlayerGrades+'!$AD$8,"B",IF(J101&lt;'PlayerGrades+'!$AD$7,"B+",IF(J101&lt;'PlayerGrades+'!$AD$6,"A-",IF(J101&lt;'PlayerGrades+'!$AD$5,"A",IF(J101&lt;'PlayerGrades+'!$AD$4,"A+",IF(J101&lt;'PlayerGrades+'!$AD$3,"S-",IF(J101&lt;'PlayerGrades+'!$AD$2,"S","S+"))))))))))))))))))))</f>
        <v>D+</v>
      </c>
      <c r="L101" s="677">
        <f t="shared" si="5"/>
        <v>0.1120971509</v>
      </c>
      <c r="M101" s="938" t="str">
        <f>IF(L101&lt;'PlayerGrades+'!$AE$21,"F-",IF(L101&lt;'PlayerGrades+'!$AE$20,"F",IF(L101&lt;'PlayerGrades+'!$AE$19,"F+",IF(L101&lt;'PlayerGrades+'!$AE$18,"E-",IF(L101&lt;'PlayerGrades+'!$AE$17,"E",IF(L101&lt;'PlayerGrades+'!$AE$16,"E+",IF(L101&lt;'PlayerGrades+'!$AE$15,"D-",IF(L101&lt;'PlayerGrades+'!$AE$14,"D",IF(L101&lt;'PlayerGrades+'!$AE$13,"D+",IF(L101&lt;'PlayerGrades+'!$AE$12,"C-",IF(L101&lt;'PlayerGrades+'!$AE$11,"C",IF(L101&lt;'PlayerGrades+'!$AE$10,"C+",IF(L101&lt;'PlayerGrades+'!$AE$9,"B-",IF(L101&lt;'PlayerGrades+'!$AE$8,"B",IF(L101&lt;'PlayerGrades+'!$AE$7,"B+",IF(L101&lt;'PlayerGrades+'!$AE$6,"A-",IF(L101&lt;'PlayerGrades+'!$AE$5,"A",IF(L101&lt;'PlayerGrades+'!$AE$4,"A+",IF(L101&lt;'PlayerGrades+'!$AE$3,"S-",IF(L101&lt;'PlayerGrades+'!$AE$2,"S","S+"))))))))))))))))))))</f>
        <v>F-</v>
      </c>
      <c r="N101" s="937">
        <f t="shared" si="6"/>
        <v>0</v>
      </c>
      <c r="O101" s="937" t="str">
        <f>IF(N101&lt;'PlayerGrades+'!$AF$21,"F-",IF(N101&lt;'PlayerGrades+'!$AF$20,"F",IF(N101&lt;'PlayerGrades+'!$AF$19,"F+",IF(N101&lt;'PlayerGrades+'!$AF$18,"E-",IF(N101&lt;'PlayerGrades+'!$AF$17,"E",IF(N101&lt;'PlayerGrades+'!$AF$16,"E+",IF(N101&lt;'PlayerGrades+'!$AF$15,"D-",IF(N101&lt;'PlayerGrades+'!$AF$14,"D",IF(N101&lt;'PlayerGrades+'!$AF$13,"D+",IF(N101&lt;'PlayerGrades+'!$AF$12,"C-",IF(N101&lt;'PlayerGrades+'!$AF$11,"C",IF(N101&lt;'PlayerGrades+'!$AF$10,"C+",IF(N101&lt;'PlayerGrades+'!$AF$9,"B-",IF(N101&lt;'PlayerGrades+'!$AF$8,"B",IF(N101&lt;'PlayerGrades+'!$AF$7,"B+",IF(N101&lt;'PlayerGrades+'!$AF$6,"A-",IF(N101&lt;'PlayerGrades+'!$AF$5,"A",IF(N101&lt;'PlayerGrades+'!$AF$4,"A+",IF(N101&lt;'PlayerGrades+'!$AF$3,"S-",IF(N101&lt;'PlayerGrades+'!$AF$2,"S","S+"))))))))))))))))))))</f>
        <v>F-</v>
      </c>
      <c r="P101" s="937">
        <f t="shared" si="7"/>
        <v>0</v>
      </c>
      <c r="Q101" s="937" t="str">
        <f>IF(P101&lt;'PlayerGrades+'!$AG$21,"F-",IF(P101&lt;'PlayerGrades+'!$AG$20,"F",IF(P101&lt;'PlayerGrades+'!$AG$19,"F+",IF(P101&lt;'PlayerGrades+'!$AG$18,"E-",IF(P101&lt;'PlayerGrades+'!$AG$17,"E",IF(P101&lt;'PlayerGrades+'!$AG$16,"E+",IF(P101&lt;'PlayerGrades+'!$AG$15,"D-",IF(P101&lt;'PlayerGrades+'!$AG$14,"D",IF(P101&lt;'PlayerGrades+'!$AG$13,"D+",IF(P101&lt;'PlayerGrades+'!$AG$12,"C-",IF(P101&lt;'PlayerGrades+'!$AG$11,"C",IF(P101&lt;'PlayerGrades+'!$AG$10,"C+",IF(P101&lt;'PlayerGrades+'!$AG$9,"B-",IF(P101&lt;'PlayerGrades+'!$AG$8,"B",IF(P101&lt;'PlayerGrades+'!$AG$7,"B+",IF(P101&lt;'PlayerGrades+'!$AG$6,"A-",IF(P101&lt;'PlayerGrades+'!$AG$5,"A",IF(P101&lt;'PlayerGrades+'!$AG$4,"A+",IF(P101&lt;'PlayerGrades+'!$AG$3,"S-",IF(P101&lt;'PlayerGrades+'!$AG$2,"S","S+"))))))))))))))))))))</f>
        <v>F</v>
      </c>
      <c r="R101" s="937">
        <f t="shared" si="8"/>
        <v>0.196170014</v>
      </c>
      <c r="S101" s="937" t="str">
        <f>IF(R101&lt;'PlayerGrades+'!$AH$21,"F-",IF(R101&lt;'PlayerGrades+'!$AH$20,"F",IF(R101&lt;'PlayerGrades+'!$AH$19,"F+",IF(R101&lt;'PlayerGrades+'!$AH$18,"E-",IF(R101&lt;'PlayerGrades+'!$AH$17,"E",IF(R101&lt;'PlayerGrades+'!$AH$16,"E+",IF(R101&lt;'PlayerGrades+'!$AH$15,"D-",IF(R101&lt;'PlayerGrades+'!$AH$14,"D",IF(R101&lt;'PlayerGrades+'!$AH$13,"D+",IF(R101&lt;'PlayerGrades+'!$AH$12,"C-",IF(R101&lt;'PlayerGrades+'!$AH$11,"C",IF(R101&lt;'PlayerGrades+'!$AH$10,"C+",IF(R101&lt;'PlayerGrades+'!$AH$9,"B-",IF(R101&lt;'PlayerGrades+'!$AH$8,"B",IF(R101&lt;'PlayerGrades+'!$AH$7,"B+",IF(R101&lt;'PlayerGrades+'!$AH$6,"A-",IF(R101&lt;'PlayerGrades+'!$AH$5,"A",IF(R101&lt;'PlayerGrades+'!$AH$4,"A+",IF(R101&lt;'PlayerGrades+'!$AH$3,"S-",IF(R101&lt;'PlayerGrades+'!$AH$2,"S","S+"))))))))))))))))))))</f>
        <v>F-</v>
      </c>
      <c r="T101" s="937">
        <f t="shared" si="9"/>
        <v>0.2241943017</v>
      </c>
      <c r="U101" s="937" t="str">
        <f>IF(T101&lt;'PlayerGrades+'!$AI$21,"F-",IF(T101&lt;'PlayerGrades+'!$AI$20,"F",IF(T101&lt;'PlayerGrades+'!$AI$19,"F+",IF(T101&lt;'PlayerGrades+'!$AI$18,"E-",IF(T101&lt;'PlayerGrades+'!$AI$17,"E",IF(T101&lt;'PlayerGrades+'!$AI$16,"E+",IF(T101&lt;'PlayerGrades+'!$AI$15,"D-",IF(T101&lt;'PlayerGrades+'!$AI$14,"D",IF(T101&lt;'PlayerGrades+'!$AI$13,"D+",IF(T101&lt;'PlayerGrades+'!$AI$12,"C-",IF(T101&lt;'PlayerGrades+'!$AI$11,"C",IF(T101&lt;'PlayerGrades+'!$AI$10,"C+",IF(T101&lt;'PlayerGrades+'!$AI$9,"B-",IF(T101&lt;'PlayerGrades+'!$AI$8,"B",IF(T101&lt;'PlayerGrades+'!$AI$7,"B+",IF(T101&lt;'PlayerGrades+'!$AI$6,"A-",IF(T101&lt;'PlayerGrades+'!$AI$5,"A",IF(T101&lt;'PlayerGrades+'!$AI$4,"A+",IF(T101&lt;'PlayerGrades+'!$AI$3,"S-",IF(T101&lt;'PlayerGrades+'!$AI$2,"S","S+"))))))))))))))))))))</f>
        <v>F-</v>
      </c>
      <c r="V101" s="952">
        <v>1.0</v>
      </c>
      <c r="W101" s="952">
        <v>0.0</v>
      </c>
      <c r="X101" s="952">
        <v>0.0</v>
      </c>
      <c r="Y101" s="960">
        <v>1.0</v>
      </c>
      <c r="Z101" s="960">
        <v>18.0</v>
      </c>
      <c r="AA101" s="960">
        <v>64.0</v>
      </c>
      <c r="AB101" s="960">
        <v>79.0</v>
      </c>
      <c r="AC101" s="960">
        <v>-15.0</v>
      </c>
      <c r="AD101" s="960">
        <v>1.0</v>
      </c>
      <c r="AE101" s="960">
        <v>5.0</v>
      </c>
      <c r="AF101" s="960">
        <v>1.0</v>
      </c>
      <c r="AG101" s="960">
        <v>1821.0</v>
      </c>
      <c r="AH101" s="960">
        <v>2141.0</v>
      </c>
      <c r="AI101" s="960">
        <v>23.0</v>
      </c>
      <c r="AJ101" s="960">
        <v>715.0</v>
      </c>
      <c r="AK101" s="960">
        <v>0.0</v>
      </c>
      <c r="AL101" s="960">
        <v>1.0</v>
      </c>
      <c r="AM101" s="960">
        <v>0.0</v>
      </c>
      <c r="AN101" s="960">
        <v>0.0</v>
      </c>
      <c r="AO101" s="960">
        <v>0.0</v>
      </c>
      <c r="AP101" s="960">
        <v>0.0</v>
      </c>
      <c r="AQ101" s="960">
        <v>0.0</v>
      </c>
      <c r="AR101" s="960">
        <v>4.0</v>
      </c>
      <c r="AS101" s="960">
        <v>0.0</v>
      </c>
      <c r="AT101" s="960">
        <v>0.0</v>
      </c>
      <c r="AU101" s="960">
        <v>0.0</v>
      </c>
      <c r="AV101" s="960">
        <v>0.0</v>
      </c>
      <c r="AW101" s="960">
        <v>0.0</v>
      </c>
      <c r="AX101" s="960">
        <v>0.0</v>
      </c>
      <c r="AY101" s="960">
        <v>0.0</v>
      </c>
      <c r="AZ101" s="960">
        <v>0.0</v>
      </c>
      <c r="BA101" s="960">
        <v>0.0</v>
      </c>
      <c r="BB101" s="960">
        <v>1.0</v>
      </c>
      <c r="BC101" s="960">
        <v>0.0</v>
      </c>
      <c r="BD101" s="960">
        <v>6.0</v>
      </c>
      <c r="BE101" s="961">
        <v>8.0</v>
      </c>
      <c r="BF101" s="960">
        <v>0.0</v>
      </c>
      <c r="BG101" s="960">
        <v>0.0</v>
      </c>
    </row>
    <row r="102">
      <c r="A102" s="953" t="s">
        <v>156</v>
      </c>
      <c r="B102" s="16" t="str">
        <f>IF(C102&lt;'PlayerGrades+'!$Y$44,"F-",IF(C102&lt;'PlayerGrades+'!$Y$43,"F",IF(C102&lt;'PlayerGrades+'!$Y$42,"F+",IF(C102&lt;'PlayerGrades+'!$Y$41,"E-",IF(C102&lt;'PlayerGrades+'!$Y$40,"E",IF(C102&lt;'PlayerGrades+'!$Y$39,"E+",IF(C102&lt;'PlayerGrades+'!$Y$38,"D-",IF(C102&lt;'PlayerGrades+'!$Y$37,"D",IF(C102&lt;'PlayerGrades+'!$Y$36,"D+",IF(C102&lt;'PlayerGrades+'!$Y$35,"C-",IF(C102&lt;'PlayerGrades+'!$Y$34,"C",IF(C102&lt;'PlayerGrades+'!$Y$33,"C+",IF(C102&lt;'PlayerGrades+'!$Y$32,"B-",IF(C102&lt;'PlayerGrades+'!$Y$31,"B",IF(C102&lt;'PlayerGrades+'!$Y$30,"B+",IF(C102&lt;'PlayerGrades+'!$Y$29,"A-",IF(C102&lt;'PlayerGrades+'!$Y$28,"A",IF(C102&lt;'PlayerGrades+'!$Y$27,"A+",IF(C102&lt;'PlayerGrades+'!$Y$26,"S-",IF(C102&lt;'PlayerGrades+'!$Y$25,"S","S+"))))))))))))))))))))</f>
        <v>D</v>
      </c>
      <c r="C102" s="936">
        <f>('PlayerGrades+'!$Y$47*(VLOOKUP(E102, 'PlayerGrades+'!$X$3:$Y$23, 2, FALSE)))+('PlayerGrades+'!$Y$48*(VLOOKUP(G102, 'PlayerGrades+'!$X$3:$Y$23, 2, FALSE)))+('PlayerGrades+'!$Y$49*(VLOOKUP(I102, 'PlayerGrades+'!$X$3:$Y$23, 2, FALSE)))+('PlayerGrades+'!$Y$50*(VLOOKUP(K102, 'PlayerGrades+'!$X$3:$Y$23, 2, FALSE)))+('PlayerGrades+'!$Y$51*(VLOOKUP(M102, 'PlayerGrades+'!$X$3:$Y$23, 2, FALSE)))+('PlayerGrades+'!$Y$52*(VLOOKUP(O102, 'PlayerGrades+'!$X$3:$Y$23, 2, FALSE)))+('PlayerGrades+'!$Y$53*(VLOOKUP(Q102, 'PlayerGrades+'!$X$3:$Y$23, 2, FALSE)))+('PlayerGrades+'!$Y$54*(VLOOKUP(S102, 'PlayerGrades+'!$X$3:$Y$23, 2, FALSE)))+('PlayerGrades+'!$Y$55*(VLOOKUP(U102, 'PlayerGrades+'!$X$3:$Y$23, 2, FALSE)))</f>
        <v>15.65</v>
      </c>
      <c r="D102" s="937">
        <f t="shared" si="1"/>
        <v>0.05604857543</v>
      </c>
      <c r="E102" s="937" t="str">
        <f>IF(D102&lt;'PlayerGrades+'!$AA$21,"F-",IF(D102&lt;'PlayerGrades+'!$AA$20,"F",IF(D102&lt;'PlayerGrades+'!$AA$19,"F+",IF(D102&lt;'PlayerGrades+'!$AA$18,"E-",IF(D102&lt;'PlayerGrades+'!$AA$17,"E",IF(D102&lt;'PlayerGrades+'!$AA$16,"E+",IF(D102&lt;'PlayerGrades+'!$AA$15,"D-",IF(D102&lt;'PlayerGrades+'!$AA$14,"D",IF(D102&lt;'PlayerGrades+'!$AA$13,"D+",IF(D102&lt;'PlayerGrades+'!$AA$12,"C-",IF(D102&lt;'PlayerGrades+'!$AA$11,"C",IF(D102&lt;'PlayerGrades+'!$AA$10,"C+",IF(D102&lt;'PlayerGrades+'!$AA$9,"B-",IF(D102&lt;'PlayerGrades+'!$AA$8,"B",IF(D102&lt;'PlayerGrades+'!$AA$7,"B+",IF(D102&lt;'PlayerGrades+'!$AA$6,"A-",IF(D102&lt;'PlayerGrades+'!$AA$5,"A",IF(D102&lt;'PlayerGrades+'!$AA$4,"A+",IF(D102&lt;'PlayerGrades+'!$AA$3,"S-",IF(D102&lt;'PlayerGrades+'!$AA$2,"S","S+"))))))))))))))))))))</f>
        <v>B-</v>
      </c>
      <c r="F102" s="937">
        <f t="shared" si="2"/>
        <v>-0.3643157403</v>
      </c>
      <c r="G102" s="937" t="str">
        <f>IF(F102&lt;'PlayerGrades+'!$AB$21,"F-",IF(F102&lt;'PlayerGrades+'!$AB$20,"F",IF(F102&lt;'PlayerGrades+'!$AB$19,"F+",IF(F102&lt;'PlayerGrades+'!$AB$18,"E-",IF(F102&lt;'PlayerGrades+'!$AB$17,"E",IF(F102&lt;'PlayerGrades+'!$AB$16,"E+",IF(F102&lt;'PlayerGrades+'!$AB$15,"D-",IF(F102&lt;'PlayerGrades+'!$AB$14,"D",IF(F102&lt;'PlayerGrades+'!$AB$13,"D+",IF(F102&lt;'PlayerGrades+'!$AB$12,"C-",IF(F102&lt;'PlayerGrades+'!$AB$11,"C",IF(F102&lt;'PlayerGrades+'!$AB$10,"C+",IF(F102&lt;'PlayerGrades+'!$AB$9,"B-",IF(F102&lt;'PlayerGrades+'!$AB$8,"B",IF(F102&lt;'PlayerGrades+'!$AB$7,"B+",IF(F102&lt;'PlayerGrades+'!$AB$6,"A-",IF(F102&lt;'PlayerGrades+'!$AB$5,"A",IF(F102&lt;'PlayerGrades+'!$AB$4,"A+",IF(F102&lt;'PlayerGrades+'!$AB$3,"S-",IF(F102&lt;'PlayerGrades+'!$AB$2,"S","S+"))))))))))))))))))))</f>
        <v>C-</v>
      </c>
      <c r="H102" s="937">
        <f t="shared" si="3"/>
        <v>0.1120971509</v>
      </c>
      <c r="I102" s="937" t="str">
        <f>IF(H102&lt;'PlayerGrades+'!$AC$21,"F-",IF(H102&lt;'PlayerGrades+'!$AC$20,"F",IF(H102&lt;'PlayerGrades+'!$AC$19,"F+",IF(H102&lt;'PlayerGrades+'!$AC$18,"E-",IF(H102&lt;'PlayerGrades+'!$AC$17,"E",IF(H102&lt;'PlayerGrades+'!$AC$16,"E+",IF(H102&lt;'PlayerGrades+'!$AC$15,"D-",IF(H102&lt;'PlayerGrades+'!$AC$14,"D",IF(H102&lt;'PlayerGrades+'!$AC$13,"D+",IF(H102&lt;'PlayerGrades+'!$AC$12,"C-",IF(H102&lt;'PlayerGrades+'!$AC$11,"C",IF(H102&lt;'PlayerGrades+'!$AC$10,"C+",IF(H102&lt;'PlayerGrades+'!$AC$9,"B-",IF(H102&lt;'PlayerGrades+'!$AC$8,"B",IF(H102&lt;'PlayerGrades+'!$AC$7,"B+",IF(H102&lt;'PlayerGrades+'!$AC$6,"A-",IF(H102&lt;'PlayerGrades+'!$AC$5,"A",IF(H102&lt;'PlayerGrades+'!$AC$4,"A+",IF(H102&lt;'PlayerGrades+'!$AC$3,"S-",IF(H102&lt;'PlayerGrades+'!$AC$2,"S","S+"))))))))))))))))))))</f>
        <v>C</v>
      </c>
      <c r="J102" s="937">
        <f t="shared" si="4"/>
        <v>0.02802428772</v>
      </c>
      <c r="K102" s="937" t="str">
        <f>IF(J102&lt;'PlayerGrades+'!$AD$21,"F-",IF(J102&lt;'PlayerGrades+'!$AD$20,"F",IF(J102&lt;'PlayerGrades+'!$AD$19,"F+",IF(J102&lt;'PlayerGrades+'!$AD$18,"E-",IF(J102&lt;'PlayerGrades+'!$AD$17,"E",IF(J102&lt;'PlayerGrades+'!$AD$16,"E+",IF(J102&lt;'PlayerGrades+'!$AD$15,"D-",IF(J102&lt;'PlayerGrades+'!$AD$14,"D",IF(J102&lt;'PlayerGrades+'!$AD$13,"D+",IF(J102&lt;'PlayerGrades+'!$AD$12,"C-",IF(J102&lt;'PlayerGrades+'!$AD$11,"C",IF(J102&lt;'PlayerGrades+'!$AD$10,"C+",IF(J102&lt;'PlayerGrades+'!$AD$9,"B-",IF(J102&lt;'PlayerGrades+'!$AD$8,"B",IF(J102&lt;'PlayerGrades+'!$AD$7,"B+",IF(J102&lt;'PlayerGrades+'!$AD$6,"A-",IF(J102&lt;'PlayerGrades+'!$AD$5,"A",IF(J102&lt;'PlayerGrades+'!$AD$4,"A+",IF(J102&lt;'PlayerGrades+'!$AD$3,"S-",IF(J102&lt;'PlayerGrades+'!$AD$2,"S","S+"))))))))))))))))))))</f>
        <v>D+</v>
      </c>
      <c r="L102" s="677">
        <f t="shared" si="5"/>
        <v>0.2522185894</v>
      </c>
      <c r="M102" s="938" t="str">
        <f>IF(L102&lt;'PlayerGrades+'!$AE$21,"F-",IF(L102&lt;'PlayerGrades+'!$AE$20,"F",IF(L102&lt;'PlayerGrades+'!$AE$19,"F+",IF(L102&lt;'PlayerGrades+'!$AE$18,"E-",IF(L102&lt;'PlayerGrades+'!$AE$17,"E",IF(L102&lt;'PlayerGrades+'!$AE$16,"E+",IF(L102&lt;'PlayerGrades+'!$AE$15,"D-",IF(L102&lt;'PlayerGrades+'!$AE$14,"D",IF(L102&lt;'PlayerGrades+'!$AE$13,"D+",IF(L102&lt;'PlayerGrades+'!$AE$12,"C-",IF(L102&lt;'PlayerGrades+'!$AE$11,"C",IF(L102&lt;'PlayerGrades+'!$AE$10,"C+",IF(L102&lt;'PlayerGrades+'!$AE$9,"B-",IF(L102&lt;'PlayerGrades+'!$AE$8,"B",IF(L102&lt;'PlayerGrades+'!$AE$7,"B+",IF(L102&lt;'PlayerGrades+'!$AE$6,"A-",IF(L102&lt;'PlayerGrades+'!$AE$5,"A",IF(L102&lt;'PlayerGrades+'!$AE$4,"A+",IF(L102&lt;'PlayerGrades+'!$AE$3,"S-",IF(L102&lt;'PlayerGrades+'!$AE$2,"S","S+"))))))))))))))))))))</f>
        <v>F</v>
      </c>
      <c r="N102" s="937">
        <f t="shared" si="6"/>
        <v>0.02802428772</v>
      </c>
      <c r="O102" s="937" t="str">
        <f>IF(N102&lt;'PlayerGrades+'!$AF$21,"F-",IF(N102&lt;'PlayerGrades+'!$AF$20,"F",IF(N102&lt;'PlayerGrades+'!$AF$19,"F+",IF(N102&lt;'PlayerGrades+'!$AF$18,"E-",IF(N102&lt;'PlayerGrades+'!$AF$17,"E",IF(N102&lt;'PlayerGrades+'!$AF$16,"E+",IF(N102&lt;'PlayerGrades+'!$AF$15,"D-",IF(N102&lt;'PlayerGrades+'!$AF$14,"D",IF(N102&lt;'PlayerGrades+'!$AF$13,"D+",IF(N102&lt;'PlayerGrades+'!$AF$12,"C-",IF(N102&lt;'PlayerGrades+'!$AF$11,"C",IF(N102&lt;'PlayerGrades+'!$AF$10,"C+",IF(N102&lt;'PlayerGrades+'!$AF$9,"B-",IF(N102&lt;'PlayerGrades+'!$AF$8,"B",IF(N102&lt;'PlayerGrades+'!$AF$7,"B+",IF(N102&lt;'PlayerGrades+'!$AF$6,"A-",IF(N102&lt;'PlayerGrades+'!$AF$5,"A",IF(N102&lt;'PlayerGrades+'!$AF$4,"A+",IF(N102&lt;'PlayerGrades+'!$AF$3,"S-",IF(N102&lt;'PlayerGrades+'!$AF$2,"S","S+"))))))))))))))))))))</f>
        <v>F</v>
      </c>
      <c r="P102" s="937">
        <f t="shared" si="7"/>
        <v>0.02802428772</v>
      </c>
      <c r="Q102" s="937" t="str">
        <f>IF(P102&lt;'PlayerGrades+'!$AG$21,"F-",IF(P102&lt;'PlayerGrades+'!$AG$20,"F",IF(P102&lt;'PlayerGrades+'!$AG$19,"F+",IF(P102&lt;'PlayerGrades+'!$AG$18,"E-",IF(P102&lt;'PlayerGrades+'!$AG$17,"E",IF(P102&lt;'PlayerGrades+'!$AG$16,"E+",IF(P102&lt;'PlayerGrades+'!$AG$15,"D-",IF(P102&lt;'PlayerGrades+'!$AG$14,"D",IF(P102&lt;'PlayerGrades+'!$AG$13,"D+",IF(P102&lt;'PlayerGrades+'!$AG$12,"C-",IF(P102&lt;'PlayerGrades+'!$AG$11,"C",IF(P102&lt;'PlayerGrades+'!$AG$10,"C+",IF(P102&lt;'PlayerGrades+'!$AG$9,"B-",IF(P102&lt;'PlayerGrades+'!$AG$8,"B",IF(P102&lt;'PlayerGrades+'!$AG$7,"B+",IF(P102&lt;'PlayerGrades+'!$AG$6,"A-",IF(P102&lt;'PlayerGrades+'!$AG$5,"A",IF(P102&lt;'PlayerGrades+'!$AG$4,"A+",IF(P102&lt;'PlayerGrades+'!$AG$3,"S-",IF(P102&lt;'PlayerGrades+'!$AG$2,"S","S+"))))))))))))))))))))</f>
        <v>B</v>
      </c>
      <c r="R102" s="937">
        <f t="shared" si="8"/>
        <v>0.5604857543</v>
      </c>
      <c r="S102" s="937" t="str">
        <f>IF(R102&lt;'PlayerGrades+'!$AH$21,"F-",IF(R102&lt;'PlayerGrades+'!$AH$20,"F",IF(R102&lt;'PlayerGrades+'!$AH$19,"F+",IF(R102&lt;'PlayerGrades+'!$AH$18,"E-",IF(R102&lt;'PlayerGrades+'!$AH$17,"E",IF(R102&lt;'PlayerGrades+'!$AH$16,"E+",IF(R102&lt;'PlayerGrades+'!$AH$15,"D-",IF(R102&lt;'PlayerGrades+'!$AH$14,"D",IF(R102&lt;'PlayerGrades+'!$AH$13,"D+",IF(R102&lt;'PlayerGrades+'!$AH$12,"C-",IF(R102&lt;'PlayerGrades+'!$AH$11,"C",IF(R102&lt;'PlayerGrades+'!$AH$10,"C+",IF(R102&lt;'PlayerGrades+'!$AH$9,"B-",IF(R102&lt;'PlayerGrades+'!$AH$8,"B",IF(R102&lt;'PlayerGrades+'!$AH$7,"B+",IF(R102&lt;'PlayerGrades+'!$AH$6,"A-",IF(R102&lt;'PlayerGrades+'!$AH$5,"A",IF(R102&lt;'PlayerGrades+'!$AH$4,"A+",IF(R102&lt;'PlayerGrades+'!$AH$3,"S-",IF(R102&lt;'PlayerGrades+'!$AH$2,"S","S+"))))))))))))))))))))</f>
        <v>B-</v>
      </c>
      <c r="T102" s="937">
        <f t="shared" si="9"/>
        <v>0.4483886035</v>
      </c>
      <c r="U102" s="937" t="str">
        <f>IF(T102&lt;'PlayerGrades+'!$AI$21,"F-",IF(T102&lt;'PlayerGrades+'!$AI$20,"F",IF(T102&lt;'PlayerGrades+'!$AI$19,"F+",IF(T102&lt;'PlayerGrades+'!$AI$18,"E-",IF(T102&lt;'PlayerGrades+'!$AI$17,"E",IF(T102&lt;'PlayerGrades+'!$AI$16,"E+",IF(T102&lt;'PlayerGrades+'!$AI$15,"D-",IF(T102&lt;'PlayerGrades+'!$AI$14,"D",IF(T102&lt;'PlayerGrades+'!$AI$13,"D+",IF(T102&lt;'PlayerGrades+'!$AI$12,"C-",IF(T102&lt;'PlayerGrades+'!$AI$11,"C",IF(T102&lt;'PlayerGrades+'!$AI$10,"C+",IF(T102&lt;'PlayerGrades+'!$AI$9,"B-",IF(T102&lt;'PlayerGrades+'!$AI$8,"B",IF(T102&lt;'PlayerGrades+'!$AI$7,"B+",IF(T102&lt;'PlayerGrades+'!$AI$6,"A-",IF(T102&lt;'PlayerGrades+'!$AI$5,"A",IF(T102&lt;'PlayerGrades+'!$AI$4,"A+",IF(T102&lt;'PlayerGrades+'!$AI$3,"S-",IF(T102&lt;'PlayerGrades+'!$AI$2,"S","S+"))))))))))))))))))))</f>
        <v>F-</v>
      </c>
      <c r="V102" s="952">
        <v>1.0</v>
      </c>
      <c r="W102" s="952">
        <v>0.0</v>
      </c>
      <c r="X102" s="952">
        <v>0.0</v>
      </c>
      <c r="Y102" s="960">
        <v>0.0</v>
      </c>
      <c r="Z102" s="960">
        <v>2.0</v>
      </c>
      <c r="AA102" s="960">
        <v>102.0</v>
      </c>
      <c r="AB102" s="960">
        <v>115.0</v>
      </c>
      <c r="AC102" s="960">
        <v>-13.0</v>
      </c>
      <c r="AD102" s="960">
        <v>10.0</v>
      </c>
      <c r="AE102" s="960">
        <v>8.0</v>
      </c>
      <c r="AF102" s="960">
        <v>4.0</v>
      </c>
      <c r="AG102" s="960">
        <v>1718.0</v>
      </c>
      <c r="AH102" s="960">
        <v>2141.0</v>
      </c>
      <c r="AI102" s="960">
        <v>14.0</v>
      </c>
      <c r="AJ102" s="960">
        <v>11.0</v>
      </c>
      <c r="AK102" s="960">
        <v>0.0</v>
      </c>
      <c r="AL102" s="960">
        <v>1.0</v>
      </c>
      <c r="AM102" s="960">
        <v>0.0</v>
      </c>
      <c r="AN102" s="960">
        <v>0.0</v>
      </c>
      <c r="AO102" s="960">
        <v>0.0</v>
      </c>
      <c r="AP102" s="960">
        <v>1.0</v>
      </c>
      <c r="AQ102" s="960">
        <v>0.0</v>
      </c>
      <c r="AR102" s="960">
        <v>9.0</v>
      </c>
      <c r="AS102" s="960">
        <v>1.0</v>
      </c>
      <c r="AT102" s="960">
        <v>1.0</v>
      </c>
      <c r="AU102" s="960">
        <v>0.0</v>
      </c>
      <c r="AV102" s="960">
        <v>0.0</v>
      </c>
      <c r="AW102" s="960">
        <v>0.0</v>
      </c>
      <c r="AX102" s="960">
        <v>0.0</v>
      </c>
      <c r="AY102" s="960">
        <v>0.0</v>
      </c>
      <c r="AZ102" s="960">
        <v>0.0</v>
      </c>
      <c r="BA102" s="960">
        <v>0.0</v>
      </c>
      <c r="BB102" s="960">
        <v>4.0</v>
      </c>
      <c r="BC102" s="960">
        <v>0.0</v>
      </c>
      <c r="BD102" s="960">
        <v>10.0</v>
      </c>
      <c r="BE102" s="961">
        <v>16.0</v>
      </c>
      <c r="BF102" s="960">
        <v>0.0</v>
      </c>
      <c r="BG102" s="960">
        <v>1.0</v>
      </c>
    </row>
    <row r="103">
      <c r="A103" s="953" t="s">
        <v>145</v>
      </c>
      <c r="B103" s="16" t="str">
        <f>IF(C103&lt;'PlayerGrades+'!$Y$44,"F-",IF(C103&lt;'PlayerGrades+'!$Y$43,"F",IF(C103&lt;'PlayerGrades+'!$Y$42,"F+",IF(C103&lt;'PlayerGrades+'!$Y$41,"E-",IF(C103&lt;'PlayerGrades+'!$Y$40,"E",IF(C103&lt;'PlayerGrades+'!$Y$39,"E+",IF(C103&lt;'PlayerGrades+'!$Y$38,"D-",IF(C103&lt;'PlayerGrades+'!$Y$37,"D",IF(C103&lt;'PlayerGrades+'!$Y$36,"D+",IF(C103&lt;'PlayerGrades+'!$Y$35,"C-",IF(C103&lt;'PlayerGrades+'!$Y$34,"C",IF(C103&lt;'PlayerGrades+'!$Y$33,"C+",IF(C103&lt;'PlayerGrades+'!$Y$32,"B-",IF(C103&lt;'PlayerGrades+'!$Y$31,"B",IF(C103&lt;'PlayerGrades+'!$Y$30,"B+",IF(C103&lt;'PlayerGrades+'!$Y$29,"A-",IF(C103&lt;'PlayerGrades+'!$Y$28,"A",IF(C103&lt;'PlayerGrades+'!$Y$27,"A+",IF(C103&lt;'PlayerGrades+'!$Y$26,"S-",IF(C103&lt;'PlayerGrades+'!$Y$25,"S","S+"))))))))))))))))))))</f>
        <v>D</v>
      </c>
      <c r="C103" s="936">
        <f>('PlayerGrades+'!$Y$47*(VLOOKUP(E103, 'PlayerGrades+'!$X$3:$Y$23, 2, FALSE)))+('PlayerGrades+'!$Y$48*(VLOOKUP(G103, 'PlayerGrades+'!$X$3:$Y$23, 2, FALSE)))+('PlayerGrades+'!$Y$49*(VLOOKUP(I103, 'PlayerGrades+'!$X$3:$Y$23, 2, FALSE)))+('PlayerGrades+'!$Y$50*(VLOOKUP(K103, 'PlayerGrades+'!$X$3:$Y$23, 2, FALSE)))+('PlayerGrades+'!$Y$51*(VLOOKUP(M103, 'PlayerGrades+'!$X$3:$Y$23, 2, FALSE)))+('PlayerGrades+'!$Y$52*(VLOOKUP(O103, 'PlayerGrades+'!$X$3:$Y$23, 2, FALSE)))+('PlayerGrades+'!$Y$53*(VLOOKUP(Q103, 'PlayerGrades+'!$X$3:$Y$23, 2, FALSE)))+('PlayerGrades+'!$Y$54*(VLOOKUP(S103, 'PlayerGrades+'!$X$3:$Y$23, 2, FALSE)))+('PlayerGrades+'!$Y$55*(VLOOKUP(U103, 'PlayerGrades+'!$X$3:$Y$23, 2, FALSE)))</f>
        <v>17.15</v>
      </c>
      <c r="D103" s="937">
        <f t="shared" si="1"/>
        <v>0</v>
      </c>
      <c r="E103" s="937" t="str">
        <f>IF(D103&lt;'PlayerGrades+'!$AA$21,"F-",IF(D103&lt;'PlayerGrades+'!$AA$20,"F",IF(D103&lt;'PlayerGrades+'!$AA$19,"F+",IF(D103&lt;'PlayerGrades+'!$AA$18,"E-",IF(D103&lt;'PlayerGrades+'!$AA$17,"E",IF(D103&lt;'PlayerGrades+'!$AA$16,"E+",IF(D103&lt;'PlayerGrades+'!$AA$15,"D-",IF(D103&lt;'PlayerGrades+'!$AA$14,"D",IF(D103&lt;'PlayerGrades+'!$AA$13,"D+",IF(D103&lt;'PlayerGrades+'!$AA$12,"C-",IF(D103&lt;'PlayerGrades+'!$AA$11,"C",IF(D103&lt;'PlayerGrades+'!$AA$10,"C+",IF(D103&lt;'PlayerGrades+'!$AA$9,"B-",IF(D103&lt;'PlayerGrades+'!$AA$8,"B",IF(D103&lt;'PlayerGrades+'!$AA$7,"B+",IF(D103&lt;'PlayerGrades+'!$AA$6,"A-",IF(D103&lt;'PlayerGrades+'!$AA$5,"A",IF(D103&lt;'PlayerGrades+'!$AA$4,"A+",IF(D103&lt;'PlayerGrades+'!$AA$3,"S-",IF(D103&lt;'PlayerGrades+'!$AA$2,"S","S+"))))))))))))))))))))</f>
        <v>F-</v>
      </c>
      <c r="F103" s="937">
        <f t="shared" si="2"/>
        <v>-0.05604857543</v>
      </c>
      <c r="G103" s="937" t="str">
        <f>IF(F103&lt;'PlayerGrades+'!$AB$21,"F-",IF(F103&lt;'PlayerGrades+'!$AB$20,"F",IF(F103&lt;'PlayerGrades+'!$AB$19,"F+",IF(F103&lt;'PlayerGrades+'!$AB$18,"E-",IF(F103&lt;'PlayerGrades+'!$AB$17,"E",IF(F103&lt;'PlayerGrades+'!$AB$16,"E+",IF(F103&lt;'PlayerGrades+'!$AB$15,"D-",IF(F103&lt;'PlayerGrades+'!$AB$14,"D",IF(F103&lt;'PlayerGrades+'!$AB$13,"D+",IF(F103&lt;'PlayerGrades+'!$AB$12,"C-",IF(F103&lt;'PlayerGrades+'!$AB$11,"C",IF(F103&lt;'PlayerGrades+'!$AB$10,"C+",IF(F103&lt;'PlayerGrades+'!$AB$9,"B-",IF(F103&lt;'PlayerGrades+'!$AB$8,"B",IF(F103&lt;'PlayerGrades+'!$AB$7,"B+",IF(F103&lt;'PlayerGrades+'!$AB$6,"A-",IF(F103&lt;'PlayerGrades+'!$AB$5,"A",IF(F103&lt;'PlayerGrades+'!$AB$4,"A+",IF(F103&lt;'PlayerGrades+'!$AB$3,"S-",IF(F103&lt;'PlayerGrades+'!$AB$2,"S","S+"))))))))))))))))))))</f>
        <v>B-</v>
      </c>
      <c r="H103" s="937">
        <f t="shared" si="3"/>
        <v>0.02802428772</v>
      </c>
      <c r="I103" s="937" t="str">
        <f>IF(H103&lt;'PlayerGrades+'!$AC$21,"F-",IF(H103&lt;'PlayerGrades+'!$AC$20,"F",IF(H103&lt;'PlayerGrades+'!$AC$19,"F+",IF(H103&lt;'PlayerGrades+'!$AC$18,"E-",IF(H103&lt;'PlayerGrades+'!$AC$17,"E",IF(H103&lt;'PlayerGrades+'!$AC$16,"E+",IF(H103&lt;'PlayerGrades+'!$AC$15,"D-",IF(H103&lt;'PlayerGrades+'!$AC$14,"D",IF(H103&lt;'PlayerGrades+'!$AC$13,"D+",IF(H103&lt;'PlayerGrades+'!$AC$12,"C-",IF(H103&lt;'PlayerGrades+'!$AC$11,"C",IF(H103&lt;'PlayerGrades+'!$AC$10,"C+",IF(H103&lt;'PlayerGrades+'!$AC$9,"B-",IF(H103&lt;'PlayerGrades+'!$AC$8,"B",IF(H103&lt;'PlayerGrades+'!$AC$7,"B+",IF(H103&lt;'PlayerGrades+'!$AC$6,"A-",IF(H103&lt;'PlayerGrades+'!$AC$5,"A",IF(H103&lt;'PlayerGrades+'!$AC$4,"A+",IF(H103&lt;'PlayerGrades+'!$AC$3,"S-",IF(H103&lt;'PlayerGrades+'!$AC$2,"S","S+"))))))))))))))))))))</f>
        <v>F-</v>
      </c>
      <c r="J103" s="937">
        <f t="shared" si="4"/>
        <v>0.02802428772</v>
      </c>
      <c r="K103" s="937" t="str">
        <f>IF(J103&lt;'PlayerGrades+'!$AD$21,"F-",IF(J103&lt;'PlayerGrades+'!$AD$20,"F",IF(J103&lt;'PlayerGrades+'!$AD$19,"F+",IF(J103&lt;'PlayerGrades+'!$AD$18,"E-",IF(J103&lt;'PlayerGrades+'!$AD$17,"E",IF(J103&lt;'PlayerGrades+'!$AD$16,"E+",IF(J103&lt;'PlayerGrades+'!$AD$15,"D-",IF(J103&lt;'PlayerGrades+'!$AD$14,"D",IF(J103&lt;'PlayerGrades+'!$AD$13,"D+",IF(J103&lt;'PlayerGrades+'!$AD$12,"C-",IF(J103&lt;'PlayerGrades+'!$AD$11,"C",IF(J103&lt;'PlayerGrades+'!$AD$10,"C+",IF(J103&lt;'PlayerGrades+'!$AD$9,"B-",IF(J103&lt;'PlayerGrades+'!$AD$8,"B",IF(J103&lt;'PlayerGrades+'!$AD$7,"B+",IF(J103&lt;'PlayerGrades+'!$AD$6,"A-",IF(J103&lt;'PlayerGrades+'!$AD$5,"A",IF(J103&lt;'PlayerGrades+'!$AD$4,"A+",IF(J103&lt;'PlayerGrades+'!$AD$3,"S-",IF(J103&lt;'PlayerGrades+'!$AD$2,"S","S+"))))))))))))))))))))</f>
        <v>D+</v>
      </c>
      <c r="L103" s="677">
        <f t="shared" si="5"/>
        <v>0.392340028</v>
      </c>
      <c r="M103" s="938" t="str">
        <f>IF(L103&lt;'PlayerGrades+'!$AE$21,"F-",IF(L103&lt;'PlayerGrades+'!$AE$20,"F",IF(L103&lt;'PlayerGrades+'!$AE$19,"F+",IF(L103&lt;'PlayerGrades+'!$AE$18,"E-",IF(L103&lt;'PlayerGrades+'!$AE$17,"E",IF(L103&lt;'PlayerGrades+'!$AE$16,"E+",IF(L103&lt;'PlayerGrades+'!$AE$15,"D-",IF(L103&lt;'PlayerGrades+'!$AE$14,"D",IF(L103&lt;'PlayerGrades+'!$AE$13,"D+",IF(L103&lt;'PlayerGrades+'!$AE$12,"C-",IF(L103&lt;'PlayerGrades+'!$AE$11,"C",IF(L103&lt;'PlayerGrades+'!$AE$10,"C+",IF(L103&lt;'PlayerGrades+'!$AE$9,"B-",IF(L103&lt;'PlayerGrades+'!$AE$8,"B",IF(L103&lt;'PlayerGrades+'!$AE$7,"B+",IF(L103&lt;'PlayerGrades+'!$AE$6,"A-",IF(L103&lt;'PlayerGrades+'!$AE$5,"A",IF(L103&lt;'PlayerGrades+'!$AE$4,"A+",IF(L103&lt;'PlayerGrades+'!$AE$3,"S-",IF(L103&lt;'PlayerGrades+'!$AE$2,"S","S+"))))))))))))))))))))</f>
        <v>C</v>
      </c>
      <c r="N103" s="937">
        <f t="shared" si="6"/>
        <v>0.08407286315</v>
      </c>
      <c r="O103" s="937" t="str">
        <f>IF(N103&lt;'PlayerGrades+'!$AF$21,"F-",IF(N103&lt;'PlayerGrades+'!$AF$20,"F",IF(N103&lt;'PlayerGrades+'!$AF$19,"F+",IF(N103&lt;'PlayerGrades+'!$AF$18,"E-",IF(N103&lt;'PlayerGrades+'!$AF$17,"E",IF(N103&lt;'PlayerGrades+'!$AF$16,"E+",IF(N103&lt;'PlayerGrades+'!$AF$15,"D-",IF(N103&lt;'PlayerGrades+'!$AF$14,"D",IF(N103&lt;'PlayerGrades+'!$AF$13,"D+",IF(N103&lt;'PlayerGrades+'!$AF$12,"C-",IF(N103&lt;'PlayerGrades+'!$AF$11,"C",IF(N103&lt;'PlayerGrades+'!$AF$10,"C+",IF(N103&lt;'PlayerGrades+'!$AF$9,"B-",IF(N103&lt;'PlayerGrades+'!$AF$8,"B",IF(N103&lt;'PlayerGrades+'!$AF$7,"B+",IF(N103&lt;'PlayerGrades+'!$AF$6,"A-",IF(N103&lt;'PlayerGrades+'!$AF$5,"A",IF(N103&lt;'PlayerGrades+'!$AF$4,"A+",IF(N103&lt;'PlayerGrades+'!$AF$3,"S-",IF(N103&lt;'PlayerGrades+'!$AF$2,"S","S+"))))))))))))))))))))</f>
        <v>B</v>
      </c>
      <c r="P103" s="937">
        <f t="shared" si="7"/>
        <v>0.02802428772</v>
      </c>
      <c r="Q103" s="937" t="str">
        <f>IF(P103&lt;'PlayerGrades+'!$AG$21,"F-",IF(P103&lt;'PlayerGrades+'!$AG$20,"F",IF(P103&lt;'PlayerGrades+'!$AG$19,"F+",IF(P103&lt;'PlayerGrades+'!$AG$18,"E-",IF(P103&lt;'PlayerGrades+'!$AG$17,"E",IF(P103&lt;'PlayerGrades+'!$AG$16,"E+",IF(P103&lt;'PlayerGrades+'!$AG$15,"D-",IF(P103&lt;'PlayerGrades+'!$AG$14,"D",IF(P103&lt;'PlayerGrades+'!$AG$13,"D+",IF(P103&lt;'PlayerGrades+'!$AG$12,"C-",IF(P103&lt;'PlayerGrades+'!$AG$11,"C",IF(P103&lt;'PlayerGrades+'!$AG$10,"C+",IF(P103&lt;'PlayerGrades+'!$AG$9,"B-",IF(P103&lt;'PlayerGrades+'!$AG$8,"B",IF(P103&lt;'PlayerGrades+'!$AG$7,"B+",IF(P103&lt;'PlayerGrades+'!$AG$6,"A-",IF(P103&lt;'PlayerGrades+'!$AG$5,"A",IF(P103&lt;'PlayerGrades+'!$AG$4,"A+",IF(P103&lt;'PlayerGrades+'!$AG$3,"S-",IF(P103&lt;'PlayerGrades+'!$AG$2,"S","S+"))))))))))))))))))))</f>
        <v>B</v>
      </c>
      <c r="R103" s="937">
        <f t="shared" si="8"/>
        <v>0.5324614666</v>
      </c>
      <c r="S103" s="937" t="str">
        <f>IF(R103&lt;'PlayerGrades+'!$AH$21,"F-",IF(R103&lt;'PlayerGrades+'!$AH$20,"F",IF(R103&lt;'PlayerGrades+'!$AH$19,"F+",IF(R103&lt;'PlayerGrades+'!$AH$18,"E-",IF(R103&lt;'PlayerGrades+'!$AH$17,"E",IF(R103&lt;'PlayerGrades+'!$AH$16,"E+",IF(R103&lt;'PlayerGrades+'!$AH$15,"D-",IF(R103&lt;'PlayerGrades+'!$AH$14,"D",IF(R103&lt;'PlayerGrades+'!$AH$13,"D+",IF(R103&lt;'PlayerGrades+'!$AH$12,"C-",IF(R103&lt;'PlayerGrades+'!$AH$11,"C",IF(R103&lt;'PlayerGrades+'!$AH$10,"C+",IF(R103&lt;'PlayerGrades+'!$AH$9,"B-",IF(R103&lt;'PlayerGrades+'!$AH$8,"B",IF(R103&lt;'PlayerGrades+'!$AH$7,"B+",IF(R103&lt;'PlayerGrades+'!$AH$6,"A-",IF(R103&lt;'PlayerGrades+'!$AH$5,"A",IF(R103&lt;'PlayerGrades+'!$AH$4,"A+",IF(R103&lt;'PlayerGrades+'!$AH$3,"S-",IF(R103&lt;'PlayerGrades+'!$AH$2,"S","S+"))))))))))))))))))))</f>
        <v>C+</v>
      </c>
      <c r="T103" s="937">
        <f t="shared" si="9"/>
        <v>0.3362914526</v>
      </c>
      <c r="U103" s="937" t="str">
        <f>IF(T103&lt;'PlayerGrades+'!$AI$21,"F-",IF(T103&lt;'PlayerGrades+'!$AI$20,"F",IF(T103&lt;'PlayerGrades+'!$AI$19,"F+",IF(T103&lt;'PlayerGrades+'!$AI$18,"E-",IF(T103&lt;'PlayerGrades+'!$AI$17,"E",IF(T103&lt;'PlayerGrades+'!$AI$16,"E+",IF(T103&lt;'PlayerGrades+'!$AI$15,"D-",IF(T103&lt;'PlayerGrades+'!$AI$14,"D",IF(T103&lt;'PlayerGrades+'!$AI$13,"D+",IF(T103&lt;'PlayerGrades+'!$AI$12,"C-",IF(T103&lt;'PlayerGrades+'!$AI$11,"C",IF(T103&lt;'PlayerGrades+'!$AI$10,"C+",IF(T103&lt;'PlayerGrades+'!$AI$9,"B-",IF(T103&lt;'PlayerGrades+'!$AI$8,"B",IF(T103&lt;'PlayerGrades+'!$AI$7,"B+",IF(T103&lt;'PlayerGrades+'!$AI$6,"A-",IF(T103&lt;'PlayerGrades+'!$AI$5,"A",IF(T103&lt;'PlayerGrades+'!$AI$4,"A+",IF(T103&lt;'PlayerGrades+'!$AI$3,"S-",IF(T103&lt;'PlayerGrades+'!$AI$2,"S","S+"))))))))))))))))))))</f>
        <v>F-</v>
      </c>
      <c r="V103" s="952">
        <v>1.0</v>
      </c>
      <c r="W103" s="952">
        <v>0.0</v>
      </c>
      <c r="X103" s="952">
        <v>0.0</v>
      </c>
      <c r="Y103" s="960">
        <v>0.0</v>
      </c>
      <c r="Z103" s="960">
        <v>0.0</v>
      </c>
      <c r="AA103" s="960">
        <v>138.0</v>
      </c>
      <c r="AB103" s="960">
        <v>140.0</v>
      </c>
      <c r="AC103" s="960">
        <v>-2.0</v>
      </c>
      <c r="AD103" s="960">
        <v>4.0</v>
      </c>
      <c r="AE103" s="960">
        <v>5.0</v>
      </c>
      <c r="AF103" s="960">
        <v>1.0</v>
      </c>
      <c r="AG103" s="960">
        <v>1641.0</v>
      </c>
      <c r="AH103" s="960">
        <v>2141.0</v>
      </c>
      <c r="AI103" s="960">
        <v>11.0</v>
      </c>
      <c r="AJ103" s="960">
        <v>8.0</v>
      </c>
      <c r="AK103" s="960">
        <v>0.0</v>
      </c>
      <c r="AL103" s="960">
        <v>1.0</v>
      </c>
      <c r="AM103" s="960">
        <v>0.0</v>
      </c>
      <c r="AN103" s="960">
        <v>0.0</v>
      </c>
      <c r="AO103" s="960">
        <v>0.0</v>
      </c>
      <c r="AP103" s="960">
        <v>1.0</v>
      </c>
      <c r="AQ103" s="960">
        <v>0.0</v>
      </c>
      <c r="AR103" s="960">
        <v>14.0</v>
      </c>
      <c r="AS103" s="960">
        <v>3.0</v>
      </c>
      <c r="AT103" s="960">
        <v>1.0</v>
      </c>
      <c r="AU103" s="960">
        <v>0.0</v>
      </c>
      <c r="AV103" s="960">
        <v>0.0</v>
      </c>
      <c r="AW103" s="960">
        <v>0.0</v>
      </c>
      <c r="AX103" s="960">
        <v>0.0</v>
      </c>
      <c r="AY103" s="960">
        <v>0.0</v>
      </c>
      <c r="AZ103" s="960">
        <v>0.0</v>
      </c>
      <c r="BA103" s="960">
        <v>0.0</v>
      </c>
      <c r="BB103" s="960">
        <v>1.0</v>
      </c>
      <c r="BC103" s="960">
        <v>0.0</v>
      </c>
      <c r="BD103" s="960">
        <v>15.0</v>
      </c>
      <c r="BE103" s="961">
        <v>12.0</v>
      </c>
      <c r="BF103" s="960">
        <v>0.0</v>
      </c>
      <c r="BG103" s="960">
        <v>1.0</v>
      </c>
    </row>
    <row r="104">
      <c r="A104" s="953" t="s">
        <v>419</v>
      </c>
      <c r="B104" s="16" t="str">
        <f>IF(C104&lt;'PlayerGrades+'!$Y$44,"F-",IF(C104&lt;'PlayerGrades+'!$Y$43,"F",IF(C104&lt;'PlayerGrades+'!$Y$42,"F+",IF(C104&lt;'PlayerGrades+'!$Y$41,"E-",IF(C104&lt;'PlayerGrades+'!$Y$40,"E",IF(C104&lt;'PlayerGrades+'!$Y$39,"E+",IF(C104&lt;'PlayerGrades+'!$Y$38,"D-",IF(C104&lt;'PlayerGrades+'!$Y$37,"D",IF(C104&lt;'PlayerGrades+'!$Y$36,"D+",IF(C104&lt;'PlayerGrades+'!$Y$35,"C-",IF(C104&lt;'PlayerGrades+'!$Y$34,"C",IF(C104&lt;'PlayerGrades+'!$Y$33,"C+",IF(C104&lt;'PlayerGrades+'!$Y$32,"B-",IF(C104&lt;'PlayerGrades+'!$Y$31,"B",IF(C104&lt;'PlayerGrades+'!$Y$30,"B+",IF(C104&lt;'PlayerGrades+'!$Y$29,"A-",IF(C104&lt;'PlayerGrades+'!$Y$28,"A",IF(C104&lt;'PlayerGrades+'!$Y$27,"A+",IF(C104&lt;'PlayerGrades+'!$Y$26,"S-",IF(C104&lt;'PlayerGrades+'!$Y$25,"S","S+"))))))))))))))))))))</f>
        <v>D</v>
      </c>
      <c r="C104" s="936">
        <f>('PlayerGrades+'!$Y$47*(VLOOKUP(E104, 'PlayerGrades+'!$X$3:$Y$23, 2, FALSE)))+('PlayerGrades+'!$Y$48*(VLOOKUP(G104, 'PlayerGrades+'!$X$3:$Y$23, 2, FALSE)))+('PlayerGrades+'!$Y$49*(VLOOKUP(I104, 'PlayerGrades+'!$X$3:$Y$23, 2, FALSE)))+('PlayerGrades+'!$Y$50*(VLOOKUP(K104, 'PlayerGrades+'!$X$3:$Y$23, 2, FALSE)))+('PlayerGrades+'!$Y$51*(VLOOKUP(M104, 'PlayerGrades+'!$X$3:$Y$23, 2, FALSE)))+('PlayerGrades+'!$Y$52*(VLOOKUP(O104, 'PlayerGrades+'!$X$3:$Y$23, 2, FALSE)))+('PlayerGrades+'!$Y$53*(VLOOKUP(Q104, 'PlayerGrades+'!$X$3:$Y$23, 2, FALSE)))+('PlayerGrades+'!$Y$54*(VLOOKUP(S104, 'PlayerGrades+'!$X$3:$Y$23, 2, FALSE)))+('PlayerGrades+'!$Y$55*(VLOOKUP(U104, 'PlayerGrades+'!$X$3:$Y$23, 2, FALSE)))</f>
        <v>16.45</v>
      </c>
      <c r="D104" s="937">
        <f t="shared" si="1"/>
        <v>0.02802428772</v>
      </c>
      <c r="E104" s="937" t="str">
        <f>IF(D104&lt;'PlayerGrades+'!$AA$21,"F-",IF(D104&lt;'PlayerGrades+'!$AA$20,"F",IF(D104&lt;'PlayerGrades+'!$AA$19,"F+",IF(D104&lt;'PlayerGrades+'!$AA$18,"E-",IF(D104&lt;'PlayerGrades+'!$AA$17,"E",IF(D104&lt;'PlayerGrades+'!$AA$16,"E+",IF(D104&lt;'PlayerGrades+'!$AA$15,"D-",IF(D104&lt;'PlayerGrades+'!$AA$14,"D",IF(D104&lt;'PlayerGrades+'!$AA$13,"D+",IF(D104&lt;'PlayerGrades+'!$AA$12,"C-",IF(D104&lt;'PlayerGrades+'!$AA$11,"C",IF(D104&lt;'PlayerGrades+'!$AA$10,"C+",IF(D104&lt;'PlayerGrades+'!$AA$9,"B-",IF(D104&lt;'PlayerGrades+'!$AA$8,"B",IF(D104&lt;'PlayerGrades+'!$AA$7,"B+",IF(D104&lt;'PlayerGrades+'!$AA$6,"A-",IF(D104&lt;'PlayerGrades+'!$AA$5,"A",IF(D104&lt;'PlayerGrades+'!$AA$4,"A+",IF(D104&lt;'PlayerGrades+'!$AA$3,"S-",IF(D104&lt;'PlayerGrades+'!$AA$2,"S","S+"))))))))))))))))))))</f>
        <v>D-</v>
      </c>
      <c r="F104" s="937">
        <f t="shared" si="2"/>
        <v>-0.3362914526</v>
      </c>
      <c r="G104" s="937" t="str">
        <f>IF(F104&lt;'PlayerGrades+'!$AB$21,"F-",IF(F104&lt;'PlayerGrades+'!$AB$20,"F",IF(F104&lt;'PlayerGrades+'!$AB$19,"F+",IF(F104&lt;'PlayerGrades+'!$AB$18,"E-",IF(F104&lt;'PlayerGrades+'!$AB$17,"E",IF(F104&lt;'PlayerGrades+'!$AB$16,"E+",IF(F104&lt;'PlayerGrades+'!$AB$15,"D-",IF(F104&lt;'PlayerGrades+'!$AB$14,"D",IF(F104&lt;'PlayerGrades+'!$AB$13,"D+",IF(F104&lt;'PlayerGrades+'!$AB$12,"C-",IF(F104&lt;'PlayerGrades+'!$AB$11,"C",IF(F104&lt;'PlayerGrades+'!$AB$10,"C+",IF(F104&lt;'PlayerGrades+'!$AB$9,"B-",IF(F104&lt;'PlayerGrades+'!$AB$8,"B",IF(F104&lt;'PlayerGrades+'!$AB$7,"B+",IF(F104&lt;'PlayerGrades+'!$AB$6,"A-",IF(F104&lt;'PlayerGrades+'!$AB$5,"A",IF(F104&lt;'PlayerGrades+'!$AB$4,"A+",IF(F104&lt;'PlayerGrades+'!$AB$3,"S-",IF(F104&lt;'PlayerGrades+'!$AB$2,"S","S+"))))))))))))))))))))</f>
        <v>C</v>
      </c>
      <c r="H104" s="937">
        <f t="shared" si="3"/>
        <v>0.2241943017</v>
      </c>
      <c r="I104" s="937" t="str">
        <f>IF(H104&lt;'PlayerGrades+'!$AC$21,"F-",IF(H104&lt;'PlayerGrades+'!$AC$20,"F",IF(H104&lt;'PlayerGrades+'!$AC$19,"F+",IF(H104&lt;'PlayerGrades+'!$AC$18,"E-",IF(H104&lt;'PlayerGrades+'!$AC$17,"E",IF(H104&lt;'PlayerGrades+'!$AC$16,"E+",IF(H104&lt;'PlayerGrades+'!$AC$15,"D-",IF(H104&lt;'PlayerGrades+'!$AC$14,"D",IF(H104&lt;'PlayerGrades+'!$AC$13,"D+",IF(H104&lt;'PlayerGrades+'!$AC$12,"C-",IF(H104&lt;'PlayerGrades+'!$AC$11,"C",IF(H104&lt;'PlayerGrades+'!$AC$10,"C+",IF(H104&lt;'PlayerGrades+'!$AC$9,"B-",IF(H104&lt;'PlayerGrades+'!$AC$8,"B",IF(H104&lt;'PlayerGrades+'!$AC$7,"B+",IF(H104&lt;'PlayerGrades+'!$AC$6,"A-",IF(H104&lt;'PlayerGrades+'!$AC$5,"A",IF(H104&lt;'PlayerGrades+'!$AC$4,"A+",IF(H104&lt;'PlayerGrades+'!$AC$3,"S-",IF(H104&lt;'PlayerGrades+'!$AC$2,"S","S+"))))))))))))))))))))</f>
        <v>S</v>
      </c>
      <c r="J104" s="937">
        <f t="shared" si="4"/>
        <v>0.05604857543</v>
      </c>
      <c r="K104" s="937" t="str">
        <f>IF(J104&lt;'PlayerGrades+'!$AD$21,"F-",IF(J104&lt;'PlayerGrades+'!$AD$20,"F",IF(J104&lt;'PlayerGrades+'!$AD$19,"F+",IF(J104&lt;'PlayerGrades+'!$AD$18,"E-",IF(J104&lt;'PlayerGrades+'!$AD$17,"E",IF(J104&lt;'PlayerGrades+'!$AD$16,"E+",IF(J104&lt;'PlayerGrades+'!$AD$15,"D-",IF(J104&lt;'PlayerGrades+'!$AD$14,"D",IF(J104&lt;'PlayerGrades+'!$AD$13,"D+",IF(J104&lt;'PlayerGrades+'!$AD$12,"C-",IF(J104&lt;'PlayerGrades+'!$AD$11,"C",IF(J104&lt;'PlayerGrades+'!$AD$10,"C+",IF(J104&lt;'PlayerGrades+'!$AD$9,"B-",IF(J104&lt;'PlayerGrades+'!$AD$8,"B",IF(J104&lt;'PlayerGrades+'!$AD$7,"B+",IF(J104&lt;'PlayerGrades+'!$AD$6,"A-",IF(J104&lt;'PlayerGrades+'!$AD$5,"A",IF(J104&lt;'PlayerGrades+'!$AD$4,"A+",IF(J104&lt;'PlayerGrades+'!$AD$3,"S-",IF(J104&lt;'PlayerGrades+'!$AD$2,"S","S+"))))))))))))))))))))</f>
        <v>B+</v>
      </c>
      <c r="L104" s="677">
        <f t="shared" si="5"/>
        <v>0.392340028</v>
      </c>
      <c r="M104" s="938" t="str">
        <f>IF(L104&lt;'PlayerGrades+'!$AE$21,"F-",IF(L104&lt;'PlayerGrades+'!$AE$20,"F",IF(L104&lt;'PlayerGrades+'!$AE$19,"F+",IF(L104&lt;'PlayerGrades+'!$AE$18,"E-",IF(L104&lt;'PlayerGrades+'!$AE$17,"E",IF(L104&lt;'PlayerGrades+'!$AE$16,"E+",IF(L104&lt;'PlayerGrades+'!$AE$15,"D-",IF(L104&lt;'PlayerGrades+'!$AE$14,"D",IF(L104&lt;'PlayerGrades+'!$AE$13,"D+",IF(L104&lt;'PlayerGrades+'!$AE$12,"C-",IF(L104&lt;'PlayerGrades+'!$AE$11,"C",IF(L104&lt;'PlayerGrades+'!$AE$10,"C+",IF(L104&lt;'PlayerGrades+'!$AE$9,"B-",IF(L104&lt;'PlayerGrades+'!$AE$8,"B",IF(L104&lt;'PlayerGrades+'!$AE$7,"B+",IF(L104&lt;'PlayerGrades+'!$AE$6,"A-",IF(L104&lt;'PlayerGrades+'!$AE$5,"A",IF(L104&lt;'PlayerGrades+'!$AE$4,"A+",IF(L104&lt;'PlayerGrades+'!$AE$3,"S-",IF(L104&lt;'PlayerGrades+'!$AE$2,"S","S+"))))))))))))))))))))</f>
        <v>C</v>
      </c>
      <c r="N104" s="937">
        <f t="shared" si="6"/>
        <v>0.02802428772</v>
      </c>
      <c r="O104" s="937" t="str">
        <f>IF(N104&lt;'PlayerGrades+'!$AF$21,"F-",IF(N104&lt;'PlayerGrades+'!$AF$20,"F",IF(N104&lt;'PlayerGrades+'!$AF$19,"F+",IF(N104&lt;'PlayerGrades+'!$AF$18,"E-",IF(N104&lt;'PlayerGrades+'!$AF$17,"E",IF(N104&lt;'PlayerGrades+'!$AF$16,"E+",IF(N104&lt;'PlayerGrades+'!$AF$15,"D-",IF(N104&lt;'PlayerGrades+'!$AF$14,"D",IF(N104&lt;'PlayerGrades+'!$AF$13,"D+",IF(N104&lt;'PlayerGrades+'!$AF$12,"C-",IF(N104&lt;'PlayerGrades+'!$AF$11,"C",IF(N104&lt;'PlayerGrades+'!$AF$10,"C+",IF(N104&lt;'PlayerGrades+'!$AF$9,"B-",IF(N104&lt;'PlayerGrades+'!$AF$8,"B",IF(N104&lt;'PlayerGrades+'!$AF$7,"B+",IF(N104&lt;'PlayerGrades+'!$AF$6,"A-",IF(N104&lt;'PlayerGrades+'!$AF$5,"A",IF(N104&lt;'PlayerGrades+'!$AF$4,"A+",IF(N104&lt;'PlayerGrades+'!$AF$3,"S-",IF(N104&lt;'PlayerGrades+'!$AF$2,"S","S+"))))))))))))))))))))</f>
        <v>F</v>
      </c>
      <c r="P104" s="937">
        <f t="shared" si="7"/>
        <v>0.05604857543</v>
      </c>
      <c r="Q104" s="937" t="str">
        <f>IF(P104&lt;'PlayerGrades+'!$AG$21,"F-",IF(P104&lt;'PlayerGrades+'!$AG$20,"F",IF(P104&lt;'PlayerGrades+'!$AG$19,"F+",IF(P104&lt;'PlayerGrades+'!$AG$18,"E-",IF(P104&lt;'PlayerGrades+'!$AG$17,"E",IF(P104&lt;'PlayerGrades+'!$AG$16,"E+",IF(P104&lt;'PlayerGrades+'!$AG$15,"D-",IF(P104&lt;'PlayerGrades+'!$AG$14,"D",IF(P104&lt;'PlayerGrades+'!$AG$13,"D+",IF(P104&lt;'PlayerGrades+'!$AG$12,"C-",IF(P104&lt;'PlayerGrades+'!$AG$11,"C",IF(P104&lt;'PlayerGrades+'!$AG$10,"C+",IF(P104&lt;'PlayerGrades+'!$AG$9,"B-",IF(P104&lt;'PlayerGrades+'!$AG$8,"B",IF(P104&lt;'PlayerGrades+'!$AG$7,"B+",IF(P104&lt;'PlayerGrades+'!$AG$6,"A-",IF(P104&lt;'PlayerGrades+'!$AG$5,"A",IF(P104&lt;'PlayerGrades+'!$AG$4,"A+",IF(P104&lt;'PlayerGrades+'!$AG$3,"S-",IF(P104&lt;'PlayerGrades+'!$AG$2,"S","S+"))))))))))))))))))))</f>
        <v>A</v>
      </c>
      <c r="R104" s="937">
        <f t="shared" si="8"/>
        <v>0.3643157403</v>
      </c>
      <c r="S104" s="937" t="str">
        <f>IF(R104&lt;'PlayerGrades+'!$AH$21,"F-",IF(R104&lt;'PlayerGrades+'!$AH$20,"F",IF(R104&lt;'PlayerGrades+'!$AH$19,"F+",IF(R104&lt;'PlayerGrades+'!$AH$18,"E-",IF(R104&lt;'PlayerGrades+'!$AH$17,"E",IF(R104&lt;'PlayerGrades+'!$AH$16,"E+",IF(R104&lt;'PlayerGrades+'!$AH$15,"D-",IF(R104&lt;'PlayerGrades+'!$AH$14,"D",IF(R104&lt;'PlayerGrades+'!$AH$13,"D+",IF(R104&lt;'PlayerGrades+'!$AH$12,"C-",IF(R104&lt;'PlayerGrades+'!$AH$11,"C",IF(R104&lt;'PlayerGrades+'!$AH$10,"C+",IF(R104&lt;'PlayerGrades+'!$AH$9,"B-",IF(R104&lt;'PlayerGrades+'!$AH$8,"B",IF(R104&lt;'PlayerGrades+'!$AH$7,"B+",IF(R104&lt;'PlayerGrades+'!$AH$6,"A-",IF(R104&lt;'PlayerGrades+'!$AH$5,"A",IF(R104&lt;'PlayerGrades+'!$AH$4,"A+",IF(R104&lt;'PlayerGrades+'!$AH$3,"S-",IF(R104&lt;'PlayerGrades+'!$AH$2,"S","S+"))))))))))))))))))))</f>
        <v>F</v>
      </c>
      <c r="T104" s="937">
        <f t="shared" si="9"/>
        <v>0.3643157403</v>
      </c>
      <c r="U104" s="937" t="str">
        <f>IF(T104&lt;'PlayerGrades+'!$AI$21,"F-",IF(T104&lt;'PlayerGrades+'!$AI$20,"F",IF(T104&lt;'PlayerGrades+'!$AI$19,"F+",IF(T104&lt;'PlayerGrades+'!$AI$18,"E-",IF(T104&lt;'PlayerGrades+'!$AI$17,"E",IF(T104&lt;'PlayerGrades+'!$AI$16,"E+",IF(T104&lt;'PlayerGrades+'!$AI$15,"D-",IF(T104&lt;'PlayerGrades+'!$AI$14,"D",IF(T104&lt;'PlayerGrades+'!$AI$13,"D+",IF(T104&lt;'PlayerGrades+'!$AI$12,"C-",IF(T104&lt;'PlayerGrades+'!$AI$11,"C",IF(T104&lt;'PlayerGrades+'!$AI$10,"C+",IF(T104&lt;'PlayerGrades+'!$AI$9,"B-",IF(T104&lt;'PlayerGrades+'!$AI$8,"B",IF(T104&lt;'PlayerGrades+'!$AI$7,"B+",IF(T104&lt;'PlayerGrades+'!$AI$6,"A-",IF(T104&lt;'PlayerGrades+'!$AI$5,"A",IF(T104&lt;'PlayerGrades+'!$AI$4,"A+",IF(T104&lt;'PlayerGrades+'!$AI$3,"S-",IF(T104&lt;'PlayerGrades+'!$AI$2,"S","S+"))))))))))))))))))))</f>
        <v>F-</v>
      </c>
      <c r="V104" s="952">
        <v>1.0</v>
      </c>
      <c r="W104" s="952">
        <v>0.0</v>
      </c>
      <c r="X104" s="952">
        <v>0.0</v>
      </c>
      <c r="Y104" s="960">
        <v>1.0</v>
      </c>
      <c r="Z104" s="960">
        <v>0.0</v>
      </c>
      <c r="AA104" s="960">
        <v>120.0</v>
      </c>
      <c r="AB104" s="960">
        <v>132.0</v>
      </c>
      <c r="AC104" s="960">
        <v>-12.0</v>
      </c>
      <c r="AD104" s="960">
        <v>3.0</v>
      </c>
      <c r="AE104" s="960">
        <v>7.0</v>
      </c>
      <c r="AF104" s="960">
        <v>1.0</v>
      </c>
      <c r="AG104" s="960">
        <v>1663.0</v>
      </c>
      <c r="AH104" s="960">
        <v>2141.0</v>
      </c>
      <c r="AI104" s="960">
        <v>12.0</v>
      </c>
      <c r="AJ104" s="960">
        <v>13.0</v>
      </c>
      <c r="AK104" s="960">
        <v>0.0</v>
      </c>
      <c r="AL104" s="960">
        <v>2.0</v>
      </c>
      <c r="AM104" s="960">
        <v>0.0</v>
      </c>
      <c r="AN104" s="960">
        <v>0.0</v>
      </c>
      <c r="AO104" s="960">
        <v>0.0</v>
      </c>
      <c r="AP104" s="960">
        <v>2.0</v>
      </c>
      <c r="AQ104" s="960">
        <v>0.0</v>
      </c>
      <c r="AR104" s="960">
        <v>14.0</v>
      </c>
      <c r="AS104" s="960">
        <v>1.0</v>
      </c>
      <c r="AT104" s="960">
        <v>0.0</v>
      </c>
      <c r="AU104" s="960">
        <v>0.0</v>
      </c>
      <c r="AV104" s="960">
        <v>0.0</v>
      </c>
      <c r="AW104" s="960">
        <v>0.0</v>
      </c>
      <c r="AX104" s="960">
        <v>0.0</v>
      </c>
      <c r="AY104" s="960">
        <v>0.0</v>
      </c>
      <c r="AZ104" s="960">
        <v>0.0</v>
      </c>
      <c r="BA104" s="960">
        <v>0.0</v>
      </c>
      <c r="BB104" s="960">
        <v>8.0</v>
      </c>
      <c r="BC104" s="960">
        <v>0.0</v>
      </c>
      <c r="BD104" s="960">
        <v>10.0</v>
      </c>
      <c r="BE104" s="961">
        <v>13.0</v>
      </c>
      <c r="BF104" s="960">
        <v>0.0</v>
      </c>
      <c r="BG104" s="960">
        <v>1.0</v>
      </c>
    </row>
    <row r="105">
      <c r="A105" s="955" t="s">
        <v>123</v>
      </c>
      <c r="B105" s="16" t="str">
        <f>IF(C105&lt;'PlayerGrades+'!$Y$44,"F-",IF(C105&lt;'PlayerGrades+'!$Y$43,"F",IF(C105&lt;'PlayerGrades+'!$Y$42,"F+",IF(C105&lt;'PlayerGrades+'!$Y$41,"E-",IF(C105&lt;'PlayerGrades+'!$Y$40,"E",IF(C105&lt;'PlayerGrades+'!$Y$39,"E+",IF(C105&lt;'PlayerGrades+'!$Y$38,"D-",IF(C105&lt;'PlayerGrades+'!$Y$37,"D",IF(C105&lt;'PlayerGrades+'!$Y$36,"D+",IF(C105&lt;'PlayerGrades+'!$Y$35,"C-",IF(C105&lt;'PlayerGrades+'!$Y$34,"C",IF(C105&lt;'PlayerGrades+'!$Y$33,"C+",IF(C105&lt;'PlayerGrades+'!$Y$32,"B-",IF(C105&lt;'PlayerGrades+'!$Y$31,"B",IF(C105&lt;'PlayerGrades+'!$Y$30,"B+",IF(C105&lt;'PlayerGrades+'!$Y$29,"A-",IF(C105&lt;'PlayerGrades+'!$Y$28,"A",IF(C105&lt;'PlayerGrades+'!$Y$27,"A+",IF(C105&lt;'PlayerGrades+'!$Y$26,"S-",IF(C105&lt;'PlayerGrades+'!$Y$25,"S","S+"))))))))))))))))))))</f>
        <v>C</v>
      </c>
      <c r="C105" s="936">
        <f>('PlayerGrades+'!$Y$47*(VLOOKUP(E105, 'PlayerGrades+'!$X$3:$Y$23, 2, FALSE)))+('PlayerGrades+'!$Y$48*(VLOOKUP(G105, 'PlayerGrades+'!$X$3:$Y$23, 2, FALSE)))+('PlayerGrades+'!$Y$49*(VLOOKUP(I105, 'PlayerGrades+'!$X$3:$Y$23, 2, FALSE)))+('PlayerGrades+'!$Y$50*(VLOOKUP(K105, 'PlayerGrades+'!$X$3:$Y$23, 2, FALSE)))+('PlayerGrades+'!$Y$51*(VLOOKUP(M105, 'PlayerGrades+'!$X$3:$Y$23, 2, FALSE)))+('PlayerGrades+'!$Y$52*(VLOOKUP(O105, 'PlayerGrades+'!$X$3:$Y$23, 2, FALSE)))+('PlayerGrades+'!$Y$53*(VLOOKUP(Q105, 'PlayerGrades+'!$X$3:$Y$23, 2, FALSE)))+('PlayerGrades+'!$Y$54*(VLOOKUP(S105, 'PlayerGrades+'!$X$3:$Y$23, 2, FALSE)))+('PlayerGrades+'!$Y$55*(VLOOKUP(U105, 'PlayerGrades+'!$X$3:$Y$23, 2, FALSE)))</f>
        <v>20</v>
      </c>
      <c r="D105" s="937">
        <f t="shared" si="1"/>
        <v>0.588510042</v>
      </c>
      <c r="E105" s="937" t="str">
        <f>IF(D105&lt;'PlayerGrades+'!$AA$21,"F-",IF(D105&lt;'PlayerGrades+'!$AA$20,"F",IF(D105&lt;'PlayerGrades+'!$AA$19,"F+",IF(D105&lt;'PlayerGrades+'!$AA$18,"E-",IF(D105&lt;'PlayerGrades+'!$AA$17,"E",IF(D105&lt;'PlayerGrades+'!$AA$16,"E+",IF(D105&lt;'PlayerGrades+'!$AA$15,"D-",IF(D105&lt;'PlayerGrades+'!$AA$14,"D",IF(D105&lt;'PlayerGrades+'!$AA$13,"D+",IF(D105&lt;'PlayerGrades+'!$AA$12,"C-",IF(D105&lt;'PlayerGrades+'!$AA$11,"C",IF(D105&lt;'PlayerGrades+'!$AA$10,"C+",IF(D105&lt;'PlayerGrades+'!$AA$9,"B-",IF(D105&lt;'PlayerGrades+'!$AA$8,"B",IF(D105&lt;'PlayerGrades+'!$AA$7,"B+",IF(D105&lt;'PlayerGrades+'!$AA$6,"A-",IF(D105&lt;'PlayerGrades+'!$AA$5,"A",IF(D105&lt;'PlayerGrades+'!$AA$4,"A+",IF(D105&lt;'PlayerGrades+'!$AA$3,"S-",IF(D105&lt;'PlayerGrades+'!$AA$2,"S","S+"))))))))))))))))))))</f>
        <v>S-</v>
      </c>
      <c r="F105" s="937">
        <f t="shared" si="2"/>
        <v>0.08407286315</v>
      </c>
      <c r="G105" s="937" t="str">
        <f>IF(F105&lt;'PlayerGrades+'!$AB$21,"F-",IF(F105&lt;'PlayerGrades+'!$AB$20,"F",IF(F105&lt;'PlayerGrades+'!$AB$19,"F+",IF(F105&lt;'PlayerGrades+'!$AB$18,"E-",IF(F105&lt;'PlayerGrades+'!$AB$17,"E",IF(F105&lt;'PlayerGrades+'!$AB$16,"E+",IF(F105&lt;'PlayerGrades+'!$AB$15,"D-",IF(F105&lt;'PlayerGrades+'!$AB$14,"D",IF(F105&lt;'PlayerGrades+'!$AB$13,"D+",IF(F105&lt;'PlayerGrades+'!$AB$12,"C-",IF(F105&lt;'PlayerGrades+'!$AB$11,"C",IF(F105&lt;'PlayerGrades+'!$AB$10,"C+",IF(F105&lt;'PlayerGrades+'!$AB$9,"B-",IF(F105&lt;'PlayerGrades+'!$AB$8,"B",IF(F105&lt;'PlayerGrades+'!$AB$7,"B+",IF(F105&lt;'PlayerGrades+'!$AB$6,"A-",IF(F105&lt;'PlayerGrades+'!$AB$5,"A",IF(F105&lt;'PlayerGrades+'!$AB$4,"A+",IF(F105&lt;'PlayerGrades+'!$AB$3,"S-",IF(F105&lt;'PlayerGrades+'!$AB$2,"S","S+"))))))))))))))))))))</f>
        <v>B</v>
      </c>
      <c r="H105" s="937">
        <f t="shared" si="3"/>
        <v>0</v>
      </c>
      <c r="I105" s="937" t="str">
        <f>IF(H105&lt;'PlayerGrades+'!$AC$21,"F-",IF(H105&lt;'PlayerGrades+'!$AC$20,"F",IF(H105&lt;'PlayerGrades+'!$AC$19,"F+",IF(H105&lt;'PlayerGrades+'!$AC$18,"E-",IF(H105&lt;'PlayerGrades+'!$AC$17,"E",IF(H105&lt;'PlayerGrades+'!$AC$16,"E+",IF(H105&lt;'PlayerGrades+'!$AC$15,"D-",IF(H105&lt;'PlayerGrades+'!$AC$14,"D",IF(H105&lt;'PlayerGrades+'!$AC$13,"D+",IF(H105&lt;'PlayerGrades+'!$AC$12,"C-",IF(H105&lt;'PlayerGrades+'!$AC$11,"C",IF(H105&lt;'PlayerGrades+'!$AC$10,"C+",IF(H105&lt;'PlayerGrades+'!$AC$9,"B-",IF(H105&lt;'PlayerGrades+'!$AC$8,"B",IF(H105&lt;'PlayerGrades+'!$AC$7,"B+",IF(H105&lt;'PlayerGrades+'!$AC$6,"A-",IF(H105&lt;'PlayerGrades+'!$AC$5,"A",IF(H105&lt;'PlayerGrades+'!$AC$4,"A+",IF(H105&lt;'PlayerGrades+'!$AC$3,"S-",IF(H105&lt;'PlayerGrades+'!$AC$2,"S","S+"))))))))))))))))))))</f>
        <v>F-</v>
      </c>
      <c r="J105" s="937">
        <f t="shared" si="4"/>
        <v>0.05604857543</v>
      </c>
      <c r="K105" s="937" t="str">
        <f>IF(J105&lt;'PlayerGrades+'!$AD$21,"F-",IF(J105&lt;'PlayerGrades+'!$AD$20,"F",IF(J105&lt;'PlayerGrades+'!$AD$19,"F+",IF(J105&lt;'PlayerGrades+'!$AD$18,"E-",IF(J105&lt;'PlayerGrades+'!$AD$17,"E",IF(J105&lt;'PlayerGrades+'!$AD$16,"E+",IF(J105&lt;'PlayerGrades+'!$AD$15,"D-",IF(J105&lt;'PlayerGrades+'!$AD$14,"D",IF(J105&lt;'PlayerGrades+'!$AD$13,"D+",IF(J105&lt;'PlayerGrades+'!$AD$12,"C-",IF(J105&lt;'PlayerGrades+'!$AD$11,"C",IF(J105&lt;'PlayerGrades+'!$AD$10,"C+",IF(J105&lt;'PlayerGrades+'!$AD$9,"B-",IF(J105&lt;'PlayerGrades+'!$AD$8,"B",IF(J105&lt;'PlayerGrades+'!$AD$7,"B+",IF(J105&lt;'PlayerGrades+'!$AD$6,"A-",IF(J105&lt;'PlayerGrades+'!$AD$5,"A",IF(J105&lt;'PlayerGrades+'!$AD$4,"A+",IF(J105&lt;'PlayerGrades+'!$AD$3,"S-",IF(J105&lt;'PlayerGrades+'!$AD$2,"S","S+"))))))))))))))))))))</f>
        <v>B+</v>
      </c>
      <c r="L105" s="677">
        <f t="shared" si="5"/>
        <v>0.2522185894</v>
      </c>
      <c r="M105" s="938" t="str">
        <f>IF(L105&lt;'PlayerGrades+'!$AE$21,"F-",IF(L105&lt;'PlayerGrades+'!$AE$20,"F",IF(L105&lt;'PlayerGrades+'!$AE$19,"F+",IF(L105&lt;'PlayerGrades+'!$AE$18,"E-",IF(L105&lt;'PlayerGrades+'!$AE$17,"E",IF(L105&lt;'PlayerGrades+'!$AE$16,"E+",IF(L105&lt;'PlayerGrades+'!$AE$15,"D-",IF(L105&lt;'PlayerGrades+'!$AE$14,"D",IF(L105&lt;'PlayerGrades+'!$AE$13,"D+",IF(L105&lt;'PlayerGrades+'!$AE$12,"C-",IF(L105&lt;'PlayerGrades+'!$AE$11,"C",IF(L105&lt;'PlayerGrades+'!$AE$10,"C+",IF(L105&lt;'PlayerGrades+'!$AE$9,"B-",IF(L105&lt;'PlayerGrades+'!$AE$8,"B",IF(L105&lt;'PlayerGrades+'!$AE$7,"B+",IF(L105&lt;'PlayerGrades+'!$AE$6,"A-",IF(L105&lt;'PlayerGrades+'!$AE$5,"A",IF(L105&lt;'PlayerGrades+'!$AE$4,"A+",IF(L105&lt;'PlayerGrades+'!$AE$3,"S-",IF(L105&lt;'PlayerGrades+'!$AE$2,"S","S+"))))))))))))))))))))</f>
        <v>F</v>
      </c>
      <c r="N105" s="937">
        <f t="shared" si="6"/>
        <v>0.05604857543</v>
      </c>
      <c r="O105" s="937" t="str">
        <f>IF(N105&lt;'PlayerGrades+'!$AF$21,"F-",IF(N105&lt;'PlayerGrades+'!$AF$20,"F",IF(N105&lt;'PlayerGrades+'!$AF$19,"F+",IF(N105&lt;'PlayerGrades+'!$AF$18,"E-",IF(N105&lt;'PlayerGrades+'!$AF$17,"E",IF(N105&lt;'PlayerGrades+'!$AF$16,"E+",IF(N105&lt;'PlayerGrades+'!$AF$15,"D-",IF(N105&lt;'PlayerGrades+'!$AF$14,"D",IF(N105&lt;'PlayerGrades+'!$AF$13,"D+",IF(N105&lt;'PlayerGrades+'!$AF$12,"C-",IF(N105&lt;'PlayerGrades+'!$AF$11,"C",IF(N105&lt;'PlayerGrades+'!$AF$10,"C+",IF(N105&lt;'PlayerGrades+'!$AF$9,"B-",IF(N105&lt;'PlayerGrades+'!$AF$8,"B",IF(N105&lt;'PlayerGrades+'!$AF$7,"B+",IF(N105&lt;'PlayerGrades+'!$AF$6,"A-",IF(N105&lt;'PlayerGrades+'!$AF$5,"A",IF(N105&lt;'PlayerGrades+'!$AF$4,"A+",IF(N105&lt;'PlayerGrades+'!$AF$3,"S-",IF(N105&lt;'PlayerGrades+'!$AF$2,"S","S+"))))))))))))))))))))</f>
        <v>D</v>
      </c>
      <c r="P105" s="937">
        <f t="shared" si="7"/>
        <v>0.02802428772</v>
      </c>
      <c r="Q105" s="937" t="str">
        <f>IF(P105&lt;'PlayerGrades+'!$AG$21,"F-",IF(P105&lt;'PlayerGrades+'!$AG$20,"F",IF(P105&lt;'PlayerGrades+'!$AG$19,"F+",IF(P105&lt;'PlayerGrades+'!$AG$18,"E-",IF(P105&lt;'PlayerGrades+'!$AG$17,"E",IF(P105&lt;'PlayerGrades+'!$AG$16,"E+",IF(P105&lt;'PlayerGrades+'!$AG$15,"D-",IF(P105&lt;'PlayerGrades+'!$AG$14,"D",IF(P105&lt;'PlayerGrades+'!$AG$13,"D+",IF(P105&lt;'PlayerGrades+'!$AG$12,"C-",IF(P105&lt;'PlayerGrades+'!$AG$11,"C",IF(P105&lt;'PlayerGrades+'!$AG$10,"C+",IF(P105&lt;'PlayerGrades+'!$AG$9,"B-",IF(P105&lt;'PlayerGrades+'!$AG$8,"B",IF(P105&lt;'PlayerGrades+'!$AG$7,"B+",IF(P105&lt;'PlayerGrades+'!$AG$6,"A-",IF(P105&lt;'PlayerGrades+'!$AG$5,"A",IF(P105&lt;'PlayerGrades+'!$AG$4,"A+",IF(P105&lt;'PlayerGrades+'!$AG$3,"S-",IF(P105&lt;'PlayerGrades+'!$AG$2,"S","S+"))))))))))))))))))))</f>
        <v>B</v>
      </c>
      <c r="R105" s="937">
        <f t="shared" si="8"/>
        <v>0.5324614666</v>
      </c>
      <c r="S105" s="937" t="str">
        <f>IF(R105&lt;'PlayerGrades+'!$AH$21,"F-",IF(R105&lt;'PlayerGrades+'!$AH$20,"F",IF(R105&lt;'PlayerGrades+'!$AH$19,"F+",IF(R105&lt;'PlayerGrades+'!$AH$18,"E-",IF(R105&lt;'PlayerGrades+'!$AH$17,"E",IF(R105&lt;'PlayerGrades+'!$AH$16,"E+",IF(R105&lt;'PlayerGrades+'!$AH$15,"D-",IF(R105&lt;'PlayerGrades+'!$AH$14,"D",IF(R105&lt;'PlayerGrades+'!$AH$13,"D+",IF(R105&lt;'PlayerGrades+'!$AH$12,"C-",IF(R105&lt;'PlayerGrades+'!$AH$11,"C",IF(R105&lt;'PlayerGrades+'!$AH$10,"C+",IF(R105&lt;'PlayerGrades+'!$AH$9,"B-",IF(R105&lt;'PlayerGrades+'!$AH$8,"B",IF(R105&lt;'PlayerGrades+'!$AH$7,"B+",IF(R105&lt;'PlayerGrades+'!$AH$6,"A-",IF(R105&lt;'PlayerGrades+'!$AH$5,"A",IF(R105&lt;'PlayerGrades+'!$AH$4,"A+",IF(R105&lt;'PlayerGrades+'!$AH$3,"S-",IF(R105&lt;'PlayerGrades+'!$AH$2,"S","S+"))))))))))))))))))))</f>
        <v>C+</v>
      </c>
      <c r="T105" s="937">
        <f t="shared" si="9"/>
        <v>2.252218589</v>
      </c>
      <c r="U105" s="937" t="str">
        <f>IF(T105&lt;'PlayerGrades+'!$AI$21,"F-",IF(T105&lt;'PlayerGrades+'!$AI$20,"F",IF(T105&lt;'PlayerGrades+'!$AI$19,"F+",IF(T105&lt;'PlayerGrades+'!$AI$18,"E-",IF(T105&lt;'PlayerGrades+'!$AI$17,"E",IF(T105&lt;'PlayerGrades+'!$AI$16,"E+",IF(T105&lt;'PlayerGrades+'!$AI$15,"D-",IF(T105&lt;'PlayerGrades+'!$AI$14,"D",IF(T105&lt;'PlayerGrades+'!$AI$13,"D+",IF(T105&lt;'PlayerGrades+'!$AI$12,"C-",IF(T105&lt;'PlayerGrades+'!$AI$11,"C",IF(T105&lt;'PlayerGrades+'!$AI$10,"C+",IF(T105&lt;'PlayerGrades+'!$AI$9,"B-",IF(T105&lt;'PlayerGrades+'!$AI$8,"B",IF(T105&lt;'PlayerGrades+'!$AI$7,"B+",IF(T105&lt;'PlayerGrades+'!$AI$6,"A-",IF(T105&lt;'PlayerGrades+'!$AI$5,"A",IF(T105&lt;'PlayerGrades+'!$AI$4,"A+",IF(T105&lt;'PlayerGrades+'!$AI$3,"S-",IF(T105&lt;'PlayerGrades+'!$AI$2,"S","S+"))))))))))))))))))))</f>
        <v>S+</v>
      </c>
      <c r="V105" s="956">
        <v>1.0</v>
      </c>
      <c r="W105" s="956">
        <v>0.0</v>
      </c>
      <c r="X105" s="956">
        <v>0.0</v>
      </c>
      <c r="Y105" s="962">
        <v>2.0</v>
      </c>
      <c r="Z105" s="962">
        <v>19.0</v>
      </c>
      <c r="AA105" s="962">
        <v>73.0</v>
      </c>
      <c r="AB105" s="962">
        <v>70.0</v>
      </c>
      <c r="AC105" s="962">
        <v>3.0</v>
      </c>
      <c r="AD105" s="962">
        <v>8.0</v>
      </c>
      <c r="AE105" s="962">
        <v>9.0</v>
      </c>
      <c r="AF105" s="962">
        <v>5.0</v>
      </c>
      <c r="AG105" s="962">
        <v>1849.0</v>
      </c>
      <c r="AH105" s="962">
        <v>2141.0</v>
      </c>
      <c r="AI105" s="962">
        <v>26.0</v>
      </c>
      <c r="AJ105" s="962">
        <v>862.0</v>
      </c>
      <c r="AK105" s="962">
        <v>0.0</v>
      </c>
      <c r="AL105" s="962">
        <v>2.0</v>
      </c>
      <c r="AM105" s="962">
        <v>0.0</v>
      </c>
      <c r="AN105" s="962">
        <v>0.0</v>
      </c>
      <c r="AO105" s="962">
        <v>0.0</v>
      </c>
      <c r="AP105" s="962">
        <v>1.0</v>
      </c>
      <c r="AQ105" s="962">
        <v>0.0</v>
      </c>
      <c r="AR105" s="962">
        <v>9.0</v>
      </c>
      <c r="AS105" s="962">
        <v>2.0</v>
      </c>
      <c r="AT105" s="962">
        <v>1.0</v>
      </c>
      <c r="AU105" s="962">
        <v>0.0</v>
      </c>
      <c r="AV105" s="962">
        <v>0.0</v>
      </c>
      <c r="AW105" s="962">
        <v>0.0</v>
      </c>
      <c r="AX105" s="962">
        <v>0.0</v>
      </c>
      <c r="AY105" s="962">
        <v>0.0</v>
      </c>
      <c r="AZ105" s="962">
        <v>0.0</v>
      </c>
      <c r="BA105" s="962">
        <v>0.0</v>
      </c>
      <c r="BB105" s="962">
        <v>0.0</v>
      </c>
      <c r="BC105" s="962">
        <v>0.0</v>
      </c>
      <c r="BD105" s="962">
        <v>11.0</v>
      </c>
      <c r="BE105" s="963">
        <v>9.0</v>
      </c>
      <c r="BF105" s="960">
        <v>2.0</v>
      </c>
      <c r="BG105" s="960">
        <v>1.0</v>
      </c>
    </row>
    <row r="106">
      <c r="A106" s="946" t="s">
        <v>156</v>
      </c>
      <c r="B106" s="16" t="str">
        <f>IF(C106&lt;'PlayerGrades+'!$Y$44,"F-",IF(C106&lt;'PlayerGrades+'!$Y$43,"F",IF(C106&lt;'PlayerGrades+'!$Y$42,"F+",IF(C106&lt;'PlayerGrades+'!$Y$41,"E-",IF(C106&lt;'PlayerGrades+'!$Y$40,"E",IF(C106&lt;'PlayerGrades+'!$Y$39,"E+",IF(C106&lt;'PlayerGrades+'!$Y$38,"D-",IF(C106&lt;'PlayerGrades+'!$Y$37,"D",IF(C106&lt;'PlayerGrades+'!$Y$36,"D+",IF(C106&lt;'PlayerGrades+'!$Y$35,"C-",IF(C106&lt;'PlayerGrades+'!$Y$34,"C",IF(C106&lt;'PlayerGrades+'!$Y$33,"C+",IF(C106&lt;'PlayerGrades+'!$Y$32,"B-",IF(C106&lt;'PlayerGrades+'!$Y$31,"B",IF(C106&lt;'PlayerGrades+'!$Y$30,"B+",IF(C106&lt;'PlayerGrades+'!$Y$29,"A-",IF(C106&lt;'PlayerGrades+'!$Y$28,"A",IF(C106&lt;'PlayerGrades+'!$Y$27,"A+",IF(C106&lt;'PlayerGrades+'!$Y$26,"S-",IF(C106&lt;'PlayerGrades+'!$Y$25,"S","S+"))))))))))))))))))))</f>
        <v>E</v>
      </c>
      <c r="C106" s="936">
        <f>('PlayerGrades+'!$Y$47*(VLOOKUP(E106, 'PlayerGrades+'!$X$3:$Y$23, 2, FALSE)))+('PlayerGrades+'!$Y$48*(VLOOKUP(G106, 'PlayerGrades+'!$X$3:$Y$23, 2, FALSE)))+('PlayerGrades+'!$Y$49*(VLOOKUP(I106, 'PlayerGrades+'!$X$3:$Y$23, 2, FALSE)))+('PlayerGrades+'!$Y$50*(VLOOKUP(K106, 'PlayerGrades+'!$X$3:$Y$23, 2, FALSE)))+('PlayerGrades+'!$Y$51*(VLOOKUP(M106, 'PlayerGrades+'!$X$3:$Y$23, 2, FALSE)))+('PlayerGrades+'!$Y$52*(VLOOKUP(O106, 'PlayerGrades+'!$X$3:$Y$23, 2, FALSE)))+('PlayerGrades+'!$Y$53*(VLOOKUP(Q106, 'PlayerGrades+'!$X$3:$Y$23, 2, FALSE)))+('PlayerGrades+'!$Y$54*(VLOOKUP(S106, 'PlayerGrades+'!$X$3:$Y$23, 2, FALSE)))+('PlayerGrades+'!$Y$55*(VLOOKUP(U106, 'PlayerGrades+'!$X$3:$Y$23, 2, FALSE)))</f>
        <v>12.8</v>
      </c>
      <c r="D106" s="937">
        <f t="shared" si="1"/>
        <v>0</v>
      </c>
      <c r="E106" s="937" t="str">
        <f>IF(D106&lt;'PlayerGrades+'!$AA$21,"F-",IF(D106&lt;'PlayerGrades+'!$AA$20,"F",IF(D106&lt;'PlayerGrades+'!$AA$19,"F+",IF(D106&lt;'PlayerGrades+'!$AA$18,"E-",IF(D106&lt;'PlayerGrades+'!$AA$17,"E",IF(D106&lt;'PlayerGrades+'!$AA$16,"E+",IF(D106&lt;'PlayerGrades+'!$AA$15,"D-",IF(D106&lt;'PlayerGrades+'!$AA$14,"D",IF(D106&lt;'PlayerGrades+'!$AA$13,"D+",IF(D106&lt;'PlayerGrades+'!$AA$12,"C-",IF(D106&lt;'PlayerGrades+'!$AA$11,"C",IF(D106&lt;'PlayerGrades+'!$AA$10,"C+",IF(D106&lt;'PlayerGrades+'!$AA$9,"B-",IF(D106&lt;'PlayerGrades+'!$AA$8,"B",IF(D106&lt;'PlayerGrades+'!$AA$7,"B+",IF(D106&lt;'PlayerGrades+'!$AA$6,"A-",IF(D106&lt;'PlayerGrades+'!$AA$5,"A",IF(D106&lt;'PlayerGrades+'!$AA$4,"A+",IF(D106&lt;'PlayerGrades+'!$AA$3,"S-",IF(D106&lt;'PlayerGrades+'!$AA$2,"S","S+"))))))))))))))))))))</f>
        <v>F-</v>
      </c>
      <c r="F106" s="937">
        <f t="shared" si="2"/>
        <v>-0.457433291</v>
      </c>
      <c r="G106" s="937" t="str">
        <f>IF(F106&lt;'PlayerGrades+'!$AB$21,"F-",IF(F106&lt;'PlayerGrades+'!$AB$20,"F",IF(F106&lt;'PlayerGrades+'!$AB$19,"F+",IF(F106&lt;'PlayerGrades+'!$AB$18,"E-",IF(F106&lt;'PlayerGrades+'!$AB$17,"E",IF(F106&lt;'PlayerGrades+'!$AB$16,"E+",IF(F106&lt;'PlayerGrades+'!$AB$15,"D-",IF(F106&lt;'PlayerGrades+'!$AB$14,"D",IF(F106&lt;'PlayerGrades+'!$AB$13,"D+",IF(F106&lt;'PlayerGrades+'!$AB$12,"C-",IF(F106&lt;'PlayerGrades+'!$AB$11,"C",IF(F106&lt;'PlayerGrades+'!$AB$10,"C+",IF(F106&lt;'PlayerGrades+'!$AB$9,"B-",IF(F106&lt;'PlayerGrades+'!$AB$8,"B",IF(F106&lt;'PlayerGrades+'!$AB$7,"B+",IF(F106&lt;'PlayerGrades+'!$AB$6,"A-",IF(F106&lt;'PlayerGrades+'!$AB$5,"A",IF(F106&lt;'PlayerGrades+'!$AB$4,"A+",IF(F106&lt;'PlayerGrades+'!$AB$3,"S-",IF(F106&lt;'PlayerGrades+'!$AB$2,"S","S+"))))))))))))))))))))</f>
        <v>D</v>
      </c>
      <c r="H106" s="937">
        <f t="shared" si="3"/>
        <v>0.1524777637</v>
      </c>
      <c r="I106" s="937" t="str">
        <f>IF(H106&lt;'PlayerGrades+'!$AC$21,"F-",IF(H106&lt;'PlayerGrades+'!$AC$20,"F",IF(H106&lt;'PlayerGrades+'!$AC$19,"F+",IF(H106&lt;'PlayerGrades+'!$AC$18,"E-",IF(H106&lt;'PlayerGrades+'!$AC$17,"E",IF(H106&lt;'PlayerGrades+'!$AC$16,"E+",IF(H106&lt;'PlayerGrades+'!$AC$15,"D-",IF(H106&lt;'PlayerGrades+'!$AC$14,"D",IF(H106&lt;'PlayerGrades+'!$AC$13,"D+",IF(H106&lt;'PlayerGrades+'!$AC$12,"C-",IF(H106&lt;'PlayerGrades+'!$AC$11,"C",IF(H106&lt;'PlayerGrades+'!$AC$10,"C+",IF(H106&lt;'PlayerGrades+'!$AC$9,"B-",IF(H106&lt;'PlayerGrades+'!$AC$8,"B",IF(H106&lt;'PlayerGrades+'!$AC$7,"B+",IF(H106&lt;'PlayerGrades+'!$AC$6,"A-",IF(H106&lt;'PlayerGrades+'!$AC$5,"A",IF(H106&lt;'PlayerGrades+'!$AC$4,"A+",IF(H106&lt;'PlayerGrades+'!$AC$3,"S-",IF(H106&lt;'PlayerGrades+'!$AC$2,"S","S+"))))))))))))))))))))</f>
        <v>A</v>
      </c>
      <c r="J106" s="937">
        <f t="shared" si="4"/>
        <v>0</v>
      </c>
      <c r="K106" s="937" t="str">
        <f>IF(J106&lt;'PlayerGrades+'!$AD$21,"F-",IF(J106&lt;'PlayerGrades+'!$AD$20,"F",IF(J106&lt;'PlayerGrades+'!$AD$19,"F+",IF(J106&lt;'PlayerGrades+'!$AD$18,"E-",IF(J106&lt;'PlayerGrades+'!$AD$17,"E",IF(J106&lt;'PlayerGrades+'!$AD$16,"E+",IF(J106&lt;'PlayerGrades+'!$AD$15,"D-",IF(J106&lt;'PlayerGrades+'!$AD$14,"D",IF(J106&lt;'PlayerGrades+'!$AD$13,"D+",IF(J106&lt;'PlayerGrades+'!$AD$12,"C-",IF(J106&lt;'PlayerGrades+'!$AD$11,"C",IF(J106&lt;'PlayerGrades+'!$AD$10,"C+",IF(J106&lt;'PlayerGrades+'!$AD$9,"B-",IF(J106&lt;'PlayerGrades+'!$AD$8,"B",IF(J106&lt;'PlayerGrades+'!$AD$7,"B+",IF(J106&lt;'PlayerGrades+'!$AD$6,"A-",IF(J106&lt;'PlayerGrades+'!$AD$5,"A",IF(J106&lt;'PlayerGrades+'!$AD$4,"A+",IF(J106&lt;'PlayerGrades+'!$AD$3,"S-",IF(J106&lt;'PlayerGrades+'!$AD$2,"S","S+"))))))))))))))))))))</f>
        <v>F-</v>
      </c>
      <c r="L106" s="677">
        <f t="shared" si="5"/>
        <v>0.3049555273</v>
      </c>
      <c r="M106" s="938" t="str">
        <f>IF(L106&lt;'PlayerGrades+'!$AE$21,"F-",IF(L106&lt;'PlayerGrades+'!$AE$20,"F",IF(L106&lt;'PlayerGrades+'!$AE$19,"F+",IF(L106&lt;'PlayerGrades+'!$AE$18,"E-",IF(L106&lt;'PlayerGrades+'!$AE$17,"E",IF(L106&lt;'PlayerGrades+'!$AE$16,"E+",IF(L106&lt;'PlayerGrades+'!$AE$15,"D-",IF(L106&lt;'PlayerGrades+'!$AE$14,"D",IF(L106&lt;'PlayerGrades+'!$AE$13,"D+",IF(L106&lt;'PlayerGrades+'!$AE$12,"C-",IF(L106&lt;'PlayerGrades+'!$AE$11,"C",IF(L106&lt;'PlayerGrades+'!$AE$10,"C+",IF(L106&lt;'PlayerGrades+'!$AE$9,"B-",IF(L106&lt;'PlayerGrades+'!$AE$8,"B",IF(L106&lt;'PlayerGrades+'!$AE$7,"B+",IF(L106&lt;'PlayerGrades+'!$AE$6,"A-",IF(L106&lt;'PlayerGrades+'!$AE$5,"A",IF(L106&lt;'PlayerGrades+'!$AE$4,"A+",IF(L106&lt;'PlayerGrades+'!$AE$3,"S-",IF(L106&lt;'PlayerGrades+'!$AE$2,"S","S+"))))))))))))))))))))</f>
        <v>E-</v>
      </c>
      <c r="N106" s="937">
        <f t="shared" si="6"/>
        <v>0</v>
      </c>
      <c r="O106" s="937" t="str">
        <f>IF(N106&lt;'PlayerGrades+'!$AF$21,"F-",IF(N106&lt;'PlayerGrades+'!$AF$20,"F",IF(N106&lt;'PlayerGrades+'!$AF$19,"F+",IF(N106&lt;'PlayerGrades+'!$AF$18,"E-",IF(N106&lt;'PlayerGrades+'!$AF$17,"E",IF(N106&lt;'PlayerGrades+'!$AF$16,"E+",IF(N106&lt;'PlayerGrades+'!$AF$15,"D-",IF(N106&lt;'PlayerGrades+'!$AF$14,"D",IF(N106&lt;'PlayerGrades+'!$AF$13,"D+",IF(N106&lt;'PlayerGrades+'!$AF$12,"C-",IF(N106&lt;'PlayerGrades+'!$AF$11,"C",IF(N106&lt;'PlayerGrades+'!$AF$10,"C+",IF(N106&lt;'PlayerGrades+'!$AF$9,"B-",IF(N106&lt;'PlayerGrades+'!$AF$8,"B",IF(N106&lt;'PlayerGrades+'!$AF$7,"B+",IF(N106&lt;'PlayerGrades+'!$AF$6,"A-",IF(N106&lt;'PlayerGrades+'!$AF$5,"A",IF(N106&lt;'PlayerGrades+'!$AF$4,"A+",IF(N106&lt;'PlayerGrades+'!$AF$3,"S-",IF(N106&lt;'PlayerGrades+'!$AF$2,"S","S+"))))))))))))))))))))</f>
        <v>F-</v>
      </c>
      <c r="P106" s="937">
        <f t="shared" si="7"/>
        <v>0</v>
      </c>
      <c r="Q106" s="937" t="str">
        <f>IF(P106&lt;'PlayerGrades+'!$AG$21,"F-",IF(P106&lt;'PlayerGrades+'!$AG$20,"F",IF(P106&lt;'PlayerGrades+'!$AG$19,"F+",IF(P106&lt;'PlayerGrades+'!$AG$18,"E-",IF(P106&lt;'PlayerGrades+'!$AG$17,"E",IF(P106&lt;'PlayerGrades+'!$AG$16,"E+",IF(P106&lt;'PlayerGrades+'!$AG$15,"D-",IF(P106&lt;'PlayerGrades+'!$AG$14,"D",IF(P106&lt;'PlayerGrades+'!$AG$13,"D+",IF(P106&lt;'PlayerGrades+'!$AG$12,"C-",IF(P106&lt;'PlayerGrades+'!$AG$11,"C",IF(P106&lt;'PlayerGrades+'!$AG$10,"C+",IF(P106&lt;'PlayerGrades+'!$AG$9,"B-",IF(P106&lt;'PlayerGrades+'!$AG$8,"B",IF(P106&lt;'PlayerGrades+'!$AG$7,"B+",IF(P106&lt;'PlayerGrades+'!$AG$6,"A-",IF(P106&lt;'PlayerGrades+'!$AG$5,"A",IF(P106&lt;'PlayerGrades+'!$AG$4,"A+",IF(P106&lt;'PlayerGrades+'!$AG$3,"S-",IF(P106&lt;'PlayerGrades+'!$AG$2,"S","S+"))))))))))))))))))))</f>
        <v>F</v>
      </c>
      <c r="R106" s="937">
        <f t="shared" si="8"/>
        <v>0.6099110546</v>
      </c>
      <c r="S106" s="937" t="str">
        <f>IF(R106&lt;'PlayerGrades+'!$AH$21,"F-",IF(R106&lt;'PlayerGrades+'!$AH$20,"F",IF(R106&lt;'PlayerGrades+'!$AH$19,"F+",IF(R106&lt;'PlayerGrades+'!$AH$18,"E-",IF(R106&lt;'PlayerGrades+'!$AH$17,"E",IF(R106&lt;'PlayerGrades+'!$AH$16,"E+",IF(R106&lt;'PlayerGrades+'!$AH$15,"D-",IF(R106&lt;'PlayerGrades+'!$AH$14,"D",IF(R106&lt;'PlayerGrades+'!$AH$13,"D+",IF(R106&lt;'PlayerGrades+'!$AH$12,"C-",IF(R106&lt;'PlayerGrades+'!$AH$11,"C",IF(R106&lt;'PlayerGrades+'!$AH$10,"C+",IF(R106&lt;'PlayerGrades+'!$AH$9,"B-",IF(R106&lt;'PlayerGrades+'!$AH$8,"B",IF(R106&lt;'PlayerGrades+'!$AH$7,"B+",IF(R106&lt;'PlayerGrades+'!$AH$6,"A-",IF(R106&lt;'PlayerGrades+'!$AH$5,"A",IF(R106&lt;'PlayerGrades+'!$AH$4,"A+",IF(R106&lt;'PlayerGrades+'!$AH$3,"S-",IF(R106&lt;'PlayerGrades+'!$AH$2,"S","S+"))))))))))))))))))))</f>
        <v>A-</v>
      </c>
      <c r="T106" s="937">
        <f t="shared" si="9"/>
        <v>0.3049555273</v>
      </c>
      <c r="U106" s="937" t="str">
        <f>IF(T106&lt;'PlayerGrades+'!$AI$21,"F-",IF(T106&lt;'PlayerGrades+'!$AI$20,"F",IF(T106&lt;'PlayerGrades+'!$AI$19,"F+",IF(T106&lt;'PlayerGrades+'!$AI$18,"E-",IF(T106&lt;'PlayerGrades+'!$AI$17,"E",IF(T106&lt;'PlayerGrades+'!$AI$16,"E+",IF(T106&lt;'PlayerGrades+'!$AI$15,"D-",IF(T106&lt;'PlayerGrades+'!$AI$14,"D",IF(T106&lt;'PlayerGrades+'!$AI$13,"D+",IF(T106&lt;'PlayerGrades+'!$AI$12,"C-",IF(T106&lt;'PlayerGrades+'!$AI$11,"C",IF(T106&lt;'PlayerGrades+'!$AI$10,"C+",IF(T106&lt;'PlayerGrades+'!$AI$9,"B-",IF(T106&lt;'PlayerGrades+'!$AI$8,"B",IF(T106&lt;'PlayerGrades+'!$AI$7,"B+",IF(T106&lt;'PlayerGrades+'!$AI$6,"A-",IF(T106&lt;'PlayerGrades+'!$AI$5,"A",IF(T106&lt;'PlayerGrades+'!$AI$4,"A+",IF(T106&lt;'PlayerGrades+'!$AI$3,"S-",IF(T106&lt;'PlayerGrades+'!$AI$2,"S","S+"))))))))))))))))))))</f>
        <v>F-</v>
      </c>
      <c r="V106" s="939">
        <v>1.0</v>
      </c>
      <c r="W106" s="939">
        <v>0.0</v>
      </c>
      <c r="X106" s="939">
        <v>1.0</v>
      </c>
      <c r="Y106" s="939">
        <v>0.0</v>
      </c>
      <c r="Z106" s="939">
        <v>0.0</v>
      </c>
      <c r="AA106" s="939">
        <v>46.0</v>
      </c>
      <c r="AB106" s="939">
        <v>52.0</v>
      </c>
      <c r="AC106" s="939">
        <v>-6.0</v>
      </c>
      <c r="AD106" s="939">
        <v>4.0</v>
      </c>
      <c r="AE106" s="939">
        <v>3.0</v>
      </c>
      <c r="AF106" s="939">
        <v>0.0</v>
      </c>
      <c r="AG106" s="939">
        <v>574.0</v>
      </c>
      <c r="AH106" s="939">
        <v>787.0</v>
      </c>
      <c r="AI106" s="939">
        <v>11.0</v>
      </c>
      <c r="AJ106" s="939">
        <v>10.0</v>
      </c>
      <c r="AK106" s="939">
        <v>0.0</v>
      </c>
      <c r="AL106" s="939">
        <v>0.0</v>
      </c>
      <c r="AM106" s="939">
        <v>0.0</v>
      </c>
      <c r="AN106" s="939">
        <v>0.0</v>
      </c>
      <c r="AO106" s="939">
        <v>0.0</v>
      </c>
      <c r="AP106" s="939">
        <v>0.0</v>
      </c>
      <c r="AQ106" s="939">
        <v>0.0</v>
      </c>
      <c r="AR106" s="939">
        <v>4.0</v>
      </c>
      <c r="AS106" s="939">
        <v>0.0</v>
      </c>
      <c r="AT106" s="939">
        <v>0.0</v>
      </c>
      <c r="AU106" s="939">
        <v>0.0</v>
      </c>
      <c r="AV106" s="939">
        <v>0.0</v>
      </c>
      <c r="AW106" s="939">
        <v>0.0</v>
      </c>
      <c r="AX106" s="939">
        <v>0.0</v>
      </c>
      <c r="AY106" s="939">
        <v>0.0</v>
      </c>
      <c r="AZ106" s="939">
        <v>0.0</v>
      </c>
      <c r="BA106" s="939">
        <v>0.0</v>
      </c>
      <c r="BB106" s="939">
        <v>2.0</v>
      </c>
      <c r="BC106" s="939">
        <v>0.0</v>
      </c>
      <c r="BD106" s="939">
        <v>4.0</v>
      </c>
      <c r="BE106" s="940">
        <v>4.0</v>
      </c>
      <c r="BF106" s="941">
        <v>0.0</v>
      </c>
      <c r="BG106" s="941">
        <v>1.0</v>
      </c>
    </row>
    <row r="107">
      <c r="A107" s="935" t="s">
        <v>145</v>
      </c>
      <c r="B107" s="16" t="str">
        <f>IF(C107&lt;'PlayerGrades+'!$Y$44,"F-",IF(C107&lt;'PlayerGrades+'!$Y$43,"F",IF(C107&lt;'PlayerGrades+'!$Y$42,"F+",IF(C107&lt;'PlayerGrades+'!$Y$41,"E-",IF(C107&lt;'PlayerGrades+'!$Y$40,"E",IF(C107&lt;'PlayerGrades+'!$Y$39,"E+",IF(C107&lt;'PlayerGrades+'!$Y$38,"D-",IF(C107&lt;'PlayerGrades+'!$Y$37,"D",IF(C107&lt;'PlayerGrades+'!$Y$36,"D+",IF(C107&lt;'PlayerGrades+'!$Y$35,"C-",IF(C107&lt;'PlayerGrades+'!$Y$34,"C",IF(C107&lt;'PlayerGrades+'!$Y$33,"C+",IF(C107&lt;'PlayerGrades+'!$Y$32,"B-",IF(C107&lt;'PlayerGrades+'!$Y$31,"B",IF(C107&lt;'PlayerGrades+'!$Y$30,"B+",IF(C107&lt;'PlayerGrades+'!$Y$29,"A-",IF(C107&lt;'PlayerGrades+'!$Y$28,"A",IF(C107&lt;'PlayerGrades+'!$Y$27,"A+",IF(C107&lt;'PlayerGrades+'!$Y$26,"S-",IF(C107&lt;'PlayerGrades+'!$Y$25,"S","S+"))))))))))))))))))))</f>
        <v>B</v>
      </c>
      <c r="C107" s="936">
        <f>('PlayerGrades+'!$Y$47*(VLOOKUP(E107, 'PlayerGrades+'!$X$3:$Y$23, 2, FALSE)))+('PlayerGrades+'!$Y$48*(VLOOKUP(G107, 'PlayerGrades+'!$X$3:$Y$23, 2, FALSE)))+('PlayerGrades+'!$Y$49*(VLOOKUP(I107, 'PlayerGrades+'!$X$3:$Y$23, 2, FALSE)))+('PlayerGrades+'!$Y$50*(VLOOKUP(K107, 'PlayerGrades+'!$X$3:$Y$23, 2, FALSE)))+('PlayerGrades+'!$Y$51*(VLOOKUP(M107, 'PlayerGrades+'!$X$3:$Y$23, 2, FALSE)))+('PlayerGrades+'!$Y$52*(VLOOKUP(O107, 'PlayerGrades+'!$X$3:$Y$23, 2, FALSE)))+('PlayerGrades+'!$Y$53*(VLOOKUP(Q107, 'PlayerGrades+'!$X$3:$Y$23, 2, FALSE)))+('PlayerGrades+'!$Y$54*(VLOOKUP(S107, 'PlayerGrades+'!$X$3:$Y$23, 2, FALSE)))+('PlayerGrades+'!$Y$55*(VLOOKUP(U107, 'PlayerGrades+'!$X$3:$Y$23, 2, FALSE)))</f>
        <v>23.45</v>
      </c>
      <c r="D107" s="937">
        <f t="shared" si="1"/>
        <v>0</v>
      </c>
      <c r="E107" s="937" t="str">
        <f>IF(D107&lt;'PlayerGrades+'!$AA$21,"F-",IF(D107&lt;'PlayerGrades+'!$AA$20,"F",IF(D107&lt;'PlayerGrades+'!$AA$19,"F+",IF(D107&lt;'PlayerGrades+'!$AA$18,"E-",IF(D107&lt;'PlayerGrades+'!$AA$17,"E",IF(D107&lt;'PlayerGrades+'!$AA$16,"E+",IF(D107&lt;'PlayerGrades+'!$AA$15,"D-",IF(D107&lt;'PlayerGrades+'!$AA$14,"D",IF(D107&lt;'PlayerGrades+'!$AA$13,"D+",IF(D107&lt;'PlayerGrades+'!$AA$12,"C-",IF(D107&lt;'PlayerGrades+'!$AA$11,"C",IF(D107&lt;'PlayerGrades+'!$AA$10,"C+",IF(D107&lt;'PlayerGrades+'!$AA$9,"B-",IF(D107&lt;'PlayerGrades+'!$AA$8,"B",IF(D107&lt;'PlayerGrades+'!$AA$7,"B+",IF(D107&lt;'PlayerGrades+'!$AA$6,"A-",IF(D107&lt;'PlayerGrades+'!$AA$5,"A",IF(D107&lt;'PlayerGrades+'!$AA$4,"A+",IF(D107&lt;'PlayerGrades+'!$AA$3,"S-",IF(D107&lt;'PlayerGrades+'!$AA$2,"S","S+"))))))))))))))))))))</f>
        <v>F-</v>
      </c>
      <c r="F107" s="937">
        <f t="shared" si="2"/>
        <v>0.3811944091</v>
      </c>
      <c r="G107" s="937" t="str">
        <f>IF(F107&lt;'PlayerGrades+'!$AB$21,"F-",IF(F107&lt;'PlayerGrades+'!$AB$20,"F",IF(F107&lt;'PlayerGrades+'!$AB$19,"F+",IF(F107&lt;'PlayerGrades+'!$AB$18,"E-",IF(F107&lt;'PlayerGrades+'!$AB$17,"E",IF(F107&lt;'PlayerGrades+'!$AB$16,"E+",IF(F107&lt;'PlayerGrades+'!$AB$15,"D-",IF(F107&lt;'PlayerGrades+'!$AB$14,"D",IF(F107&lt;'PlayerGrades+'!$AB$13,"D+",IF(F107&lt;'PlayerGrades+'!$AB$12,"C-",IF(F107&lt;'PlayerGrades+'!$AB$11,"C",IF(F107&lt;'PlayerGrades+'!$AB$10,"C+",IF(F107&lt;'PlayerGrades+'!$AB$9,"B-",IF(F107&lt;'PlayerGrades+'!$AB$8,"B",IF(F107&lt;'PlayerGrades+'!$AB$7,"B+",IF(F107&lt;'PlayerGrades+'!$AB$6,"A-",IF(F107&lt;'PlayerGrades+'!$AB$5,"A",IF(F107&lt;'PlayerGrades+'!$AB$4,"A+",IF(F107&lt;'PlayerGrades+'!$AB$3,"S-",IF(F107&lt;'PlayerGrades+'!$AB$2,"S","S+"))))))))))))))))))))</f>
        <v>A</v>
      </c>
      <c r="H107" s="937">
        <f t="shared" si="3"/>
        <v>0.07623888183</v>
      </c>
      <c r="I107" s="937" t="str">
        <f>IF(H107&lt;'PlayerGrades+'!$AC$21,"F-",IF(H107&lt;'PlayerGrades+'!$AC$20,"F",IF(H107&lt;'PlayerGrades+'!$AC$19,"F+",IF(H107&lt;'PlayerGrades+'!$AC$18,"E-",IF(H107&lt;'PlayerGrades+'!$AC$17,"E",IF(H107&lt;'PlayerGrades+'!$AC$16,"E+",IF(H107&lt;'PlayerGrades+'!$AC$15,"D-",IF(H107&lt;'PlayerGrades+'!$AC$14,"D",IF(H107&lt;'PlayerGrades+'!$AC$13,"D+",IF(H107&lt;'PlayerGrades+'!$AC$12,"C-",IF(H107&lt;'PlayerGrades+'!$AC$11,"C",IF(H107&lt;'PlayerGrades+'!$AC$10,"C+",IF(H107&lt;'PlayerGrades+'!$AC$9,"B-",IF(H107&lt;'PlayerGrades+'!$AC$8,"B",IF(H107&lt;'PlayerGrades+'!$AC$7,"B+",IF(H107&lt;'PlayerGrades+'!$AC$6,"A-",IF(H107&lt;'PlayerGrades+'!$AC$5,"A",IF(H107&lt;'PlayerGrades+'!$AC$4,"A+",IF(H107&lt;'PlayerGrades+'!$AC$3,"S-",IF(H107&lt;'PlayerGrades+'!$AC$2,"S","S+"))))))))))))))))))))</f>
        <v>E+</v>
      </c>
      <c r="J107" s="937">
        <f t="shared" si="4"/>
        <v>0.07623888183</v>
      </c>
      <c r="K107" s="937" t="str">
        <f>IF(J107&lt;'PlayerGrades+'!$AD$21,"F-",IF(J107&lt;'PlayerGrades+'!$AD$20,"F",IF(J107&lt;'PlayerGrades+'!$AD$19,"F+",IF(J107&lt;'PlayerGrades+'!$AD$18,"E-",IF(J107&lt;'PlayerGrades+'!$AD$17,"E",IF(J107&lt;'PlayerGrades+'!$AD$16,"E+",IF(J107&lt;'PlayerGrades+'!$AD$15,"D-",IF(J107&lt;'PlayerGrades+'!$AD$14,"D",IF(J107&lt;'PlayerGrades+'!$AD$13,"D+",IF(J107&lt;'PlayerGrades+'!$AD$12,"C-",IF(J107&lt;'PlayerGrades+'!$AD$11,"C",IF(J107&lt;'PlayerGrades+'!$AD$10,"C+",IF(J107&lt;'PlayerGrades+'!$AD$9,"B-",IF(J107&lt;'PlayerGrades+'!$AD$8,"B",IF(J107&lt;'PlayerGrades+'!$AD$7,"B+",IF(J107&lt;'PlayerGrades+'!$AD$6,"A-",IF(J107&lt;'PlayerGrades+'!$AD$5,"A",IF(J107&lt;'PlayerGrades+'!$AD$4,"A+",IF(J107&lt;'PlayerGrades+'!$AD$3,"S-",IF(J107&lt;'PlayerGrades+'!$AD$2,"S","S+"))))))))))))))))))))</f>
        <v>A+</v>
      </c>
      <c r="L107" s="677">
        <f t="shared" si="5"/>
        <v>0.7623888183</v>
      </c>
      <c r="M107" s="938" t="str">
        <f>IF(L107&lt;'PlayerGrades+'!$AE$21,"F-",IF(L107&lt;'PlayerGrades+'!$AE$20,"F",IF(L107&lt;'PlayerGrades+'!$AE$19,"F+",IF(L107&lt;'PlayerGrades+'!$AE$18,"E-",IF(L107&lt;'PlayerGrades+'!$AE$17,"E",IF(L107&lt;'PlayerGrades+'!$AE$16,"E+",IF(L107&lt;'PlayerGrades+'!$AE$15,"D-",IF(L107&lt;'PlayerGrades+'!$AE$14,"D",IF(L107&lt;'PlayerGrades+'!$AE$13,"D+",IF(L107&lt;'PlayerGrades+'!$AE$12,"C-",IF(L107&lt;'PlayerGrades+'!$AE$11,"C",IF(L107&lt;'PlayerGrades+'!$AE$10,"C+",IF(L107&lt;'PlayerGrades+'!$AE$9,"B-",IF(L107&lt;'PlayerGrades+'!$AE$8,"B",IF(L107&lt;'PlayerGrades+'!$AE$7,"B+",IF(L107&lt;'PlayerGrades+'!$AE$6,"A-",IF(L107&lt;'PlayerGrades+'!$AE$5,"A",IF(L107&lt;'PlayerGrades+'!$AE$4,"A+",IF(L107&lt;'PlayerGrades+'!$AE$3,"S-",IF(L107&lt;'PlayerGrades+'!$AE$2,"S","S+"))))))))))))))))))))</f>
        <v>S+</v>
      </c>
      <c r="N107" s="937">
        <f t="shared" si="6"/>
        <v>0.2287166455</v>
      </c>
      <c r="O107" s="937" t="str">
        <f>IF(N107&lt;'PlayerGrades+'!$AF$21,"F-",IF(N107&lt;'PlayerGrades+'!$AF$20,"F",IF(N107&lt;'PlayerGrades+'!$AF$19,"F+",IF(N107&lt;'PlayerGrades+'!$AF$18,"E-",IF(N107&lt;'PlayerGrades+'!$AF$17,"E",IF(N107&lt;'PlayerGrades+'!$AF$16,"E+",IF(N107&lt;'PlayerGrades+'!$AF$15,"D-",IF(N107&lt;'PlayerGrades+'!$AF$14,"D",IF(N107&lt;'PlayerGrades+'!$AF$13,"D+",IF(N107&lt;'PlayerGrades+'!$AF$12,"C-",IF(N107&lt;'PlayerGrades+'!$AF$11,"C",IF(N107&lt;'PlayerGrades+'!$AF$10,"C+",IF(N107&lt;'PlayerGrades+'!$AF$9,"B-",IF(N107&lt;'PlayerGrades+'!$AF$8,"B",IF(N107&lt;'PlayerGrades+'!$AF$7,"B+",IF(N107&lt;'PlayerGrades+'!$AF$6,"A-",IF(N107&lt;'PlayerGrades+'!$AF$5,"A",IF(N107&lt;'PlayerGrades+'!$AF$4,"A+",IF(N107&lt;'PlayerGrades+'!$AF$3,"S-",IF(N107&lt;'PlayerGrades+'!$AF$2,"S","S+"))))))))))))))))))))</f>
        <v>S+</v>
      </c>
      <c r="P107" s="937">
        <f t="shared" si="7"/>
        <v>0.07623888183</v>
      </c>
      <c r="Q107" s="937" t="str">
        <f>IF(P107&lt;'PlayerGrades+'!$AG$21,"F-",IF(P107&lt;'PlayerGrades+'!$AG$20,"F",IF(P107&lt;'PlayerGrades+'!$AG$19,"F+",IF(P107&lt;'PlayerGrades+'!$AG$18,"E-",IF(P107&lt;'PlayerGrades+'!$AG$17,"E",IF(P107&lt;'PlayerGrades+'!$AG$16,"E+",IF(P107&lt;'PlayerGrades+'!$AG$15,"D-",IF(P107&lt;'PlayerGrades+'!$AG$14,"D",IF(P107&lt;'PlayerGrades+'!$AG$13,"D+",IF(P107&lt;'PlayerGrades+'!$AG$12,"C-",IF(P107&lt;'PlayerGrades+'!$AG$11,"C",IF(P107&lt;'PlayerGrades+'!$AG$10,"C+",IF(P107&lt;'PlayerGrades+'!$AG$9,"B-",IF(P107&lt;'PlayerGrades+'!$AG$8,"B",IF(P107&lt;'PlayerGrades+'!$AG$7,"B+",IF(P107&lt;'PlayerGrades+'!$AG$6,"A-",IF(P107&lt;'PlayerGrades+'!$AG$5,"A",IF(P107&lt;'PlayerGrades+'!$AG$4,"A+",IF(P107&lt;'PlayerGrades+'!$AG$3,"S-",IF(P107&lt;'PlayerGrades+'!$AG$2,"S","S+"))))))))))))))))))))</f>
        <v>S-</v>
      </c>
      <c r="R107" s="937">
        <f t="shared" si="8"/>
        <v>0.3811944091</v>
      </c>
      <c r="S107" s="937" t="str">
        <f>IF(R107&lt;'PlayerGrades+'!$AH$21,"F-",IF(R107&lt;'PlayerGrades+'!$AH$20,"F",IF(R107&lt;'PlayerGrades+'!$AH$19,"F+",IF(R107&lt;'PlayerGrades+'!$AH$18,"E-",IF(R107&lt;'PlayerGrades+'!$AH$17,"E",IF(R107&lt;'PlayerGrades+'!$AH$16,"E+",IF(R107&lt;'PlayerGrades+'!$AH$15,"D-",IF(R107&lt;'PlayerGrades+'!$AH$14,"D",IF(R107&lt;'PlayerGrades+'!$AH$13,"D+",IF(R107&lt;'PlayerGrades+'!$AH$12,"C-",IF(R107&lt;'PlayerGrades+'!$AH$11,"C",IF(R107&lt;'PlayerGrades+'!$AH$10,"C+",IF(R107&lt;'PlayerGrades+'!$AH$9,"B-",IF(R107&lt;'PlayerGrades+'!$AH$8,"B",IF(R107&lt;'PlayerGrades+'!$AH$7,"B+",IF(R107&lt;'PlayerGrades+'!$AH$6,"A-",IF(R107&lt;'PlayerGrades+'!$AH$5,"A",IF(R107&lt;'PlayerGrades+'!$AH$4,"A+",IF(R107&lt;'PlayerGrades+'!$AH$3,"S-",IF(R107&lt;'PlayerGrades+'!$AH$2,"S","S+"))))))))))))))))))))</f>
        <v>F</v>
      </c>
      <c r="T107" s="937">
        <f t="shared" si="9"/>
        <v>1.381194409</v>
      </c>
      <c r="U107" s="937" t="str">
        <f>IF(T107&lt;'PlayerGrades+'!$AI$21,"F-",IF(T107&lt;'PlayerGrades+'!$AI$20,"F",IF(T107&lt;'PlayerGrades+'!$AI$19,"F+",IF(T107&lt;'PlayerGrades+'!$AI$18,"E-",IF(T107&lt;'PlayerGrades+'!$AI$17,"E",IF(T107&lt;'PlayerGrades+'!$AI$16,"E+",IF(T107&lt;'PlayerGrades+'!$AI$15,"D-",IF(T107&lt;'PlayerGrades+'!$AI$14,"D",IF(T107&lt;'PlayerGrades+'!$AI$13,"D+",IF(T107&lt;'PlayerGrades+'!$AI$12,"C-",IF(T107&lt;'PlayerGrades+'!$AI$11,"C",IF(T107&lt;'PlayerGrades+'!$AI$10,"C+",IF(T107&lt;'PlayerGrades+'!$AI$9,"B-",IF(T107&lt;'PlayerGrades+'!$AI$8,"B",IF(T107&lt;'PlayerGrades+'!$AI$7,"B+",IF(T107&lt;'PlayerGrades+'!$AI$6,"A-",IF(T107&lt;'PlayerGrades+'!$AI$5,"A",IF(T107&lt;'PlayerGrades+'!$AI$4,"A+",IF(T107&lt;'PlayerGrades+'!$AI$3,"S-",IF(T107&lt;'PlayerGrades+'!$AI$2,"S","S+"))))))))))))))))))))</f>
        <v>B</v>
      </c>
      <c r="V107" s="941">
        <v>1.0</v>
      </c>
      <c r="W107" s="941">
        <v>0.0</v>
      </c>
      <c r="X107" s="941">
        <v>1.0</v>
      </c>
      <c r="Y107" s="941">
        <v>0.0</v>
      </c>
      <c r="Z107" s="941">
        <v>0.0</v>
      </c>
      <c r="AA107" s="941">
        <v>61.0</v>
      </c>
      <c r="AB107" s="941">
        <v>56.0</v>
      </c>
      <c r="AC107" s="941">
        <v>5.0</v>
      </c>
      <c r="AD107" s="941">
        <v>0.0</v>
      </c>
      <c r="AE107" s="941">
        <v>5.0</v>
      </c>
      <c r="AF107" s="941">
        <v>0.0</v>
      </c>
      <c r="AG107" s="941">
        <v>563.0</v>
      </c>
      <c r="AH107" s="941">
        <v>787.0</v>
      </c>
      <c r="AI107" s="941">
        <v>10.0</v>
      </c>
      <c r="AJ107" s="941">
        <v>14.0</v>
      </c>
      <c r="AK107" s="941">
        <v>0.0</v>
      </c>
      <c r="AL107" s="941">
        <v>1.0</v>
      </c>
      <c r="AM107" s="941">
        <v>0.0</v>
      </c>
      <c r="AN107" s="941">
        <v>0.0</v>
      </c>
      <c r="AO107" s="941">
        <v>0.0</v>
      </c>
      <c r="AP107" s="941">
        <v>1.0</v>
      </c>
      <c r="AQ107" s="941">
        <v>0.0</v>
      </c>
      <c r="AR107" s="941">
        <v>10.0</v>
      </c>
      <c r="AS107" s="941">
        <v>3.0</v>
      </c>
      <c r="AT107" s="941">
        <v>1.0</v>
      </c>
      <c r="AU107" s="941">
        <v>1.0</v>
      </c>
      <c r="AV107" s="941">
        <v>0.0</v>
      </c>
      <c r="AW107" s="941">
        <v>0.0</v>
      </c>
      <c r="AX107" s="941">
        <v>0.0</v>
      </c>
      <c r="AY107" s="941">
        <v>0.0</v>
      </c>
      <c r="AZ107" s="941">
        <v>0.0</v>
      </c>
      <c r="BA107" s="941">
        <v>0.0</v>
      </c>
      <c r="BB107" s="941">
        <v>1.0</v>
      </c>
      <c r="BC107" s="941">
        <v>0.0</v>
      </c>
      <c r="BD107" s="941">
        <v>5.0</v>
      </c>
      <c r="BE107" s="942">
        <v>5.0</v>
      </c>
      <c r="BF107" s="941">
        <v>1.0</v>
      </c>
      <c r="BG107" s="941">
        <v>1.0</v>
      </c>
    </row>
    <row r="108">
      <c r="A108" s="935" t="s">
        <v>123</v>
      </c>
      <c r="B108" s="16" t="str">
        <f>IF(C108&lt;'PlayerGrades+'!$Y$44,"F-",IF(C108&lt;'PlayerGrades+'!$Y$43,"F",IF(C108&lt;'PlayerGrades+'!$Y$42,"F+",IF(C108&lt;'PlayerGrades+'!$Y$41,"E-",IF(C108&lt;'PlayerGrades+'!$Y$40,"E",IF(C108&lt;'PlayerGrades+'!$Y$39,"E+",IF(C108&lt;'PlayerGrades+'!$Y$38,"D-",IF(C108&lt;'PlayerGrades+'!$Y$37,"D",IF(C108&lt;'PlayerGrades+'!$Y$36,"D+",IF(C108&lt;'PlayerGrades+'!$Y$35,"C-",IF(C108&lt;'PlayerGrades+'!$Y$34,"C",IF(C108&lt;'PlayerGrades+'!$Y$33,"C+",IF(C108&lt;'PlayerGrades+'!$Y$32,"B-",IF(C108&lt;'PlayerGrades+'!$Y$31,"B",IF(C108&lt;'PlayerGrades+'!$Y$30,"B+",IF(C108&lt;'PlayerGrades+'!$Y$29,"A-",IF(C108&lt;'PlayerGrades+'!$Y$28,"A",IF(C108&lt;'PlayerGrades+'!$Y$27,"A+",IF(C108&lt;'PlayerGrades+'!$Y$26,"S-",IF(C108&lt;'PlayerGrades+'!$Y$25,"S","S+"))))))))))))))))))))</f>
        <v>C-</v>
      </c>
      <c r="C108" s="936">
        <f>('PlayerGrades+'!$Y$47*(VLOOKUP(E108, 'PlayerGrades+'!$X$3:$Y$23, 2, FALSE)))+('PlayerGrades+'!$Y$48*(VLOOKUP(G108, 'PlayerGrades+'!$X$3:$Y$23, 2, FALSE)))+('PlayerGrades+'!$Y$49*(VLOOKUP(I108, 'PlayerGrades+'!$X$3:$Y$23, 2, FALSE)))+('PlayerGrades+'!$Y$50*(VLOOKUP(K108, 'PlayerGrades+'!$X$3:$Y$23, 2, FALSE)))+('PlayerGrades+'!$Y$51*(VLOOKUP(M108, 'PlayerGrades+'!$X$3:$Y$23, 2, FALSE)))+('PlayerGrades+'!$Y$52*(VLOOKUP(O108, 'PlayerGrades+'!$X$3:$Y$23, 2, FALSE)))+('PlayerGrades+'!$Y$53*(VLOOKUP(Q108, 'PlayerGrades+'!$X$3:$Y$23, 2, FALSE)))+('PlayerGrades+'!$Y$54*(VLOOKUP(S108, 'PlayerGrades+'!$X$3:$Y$23, 2, FALSE)))+('PlayerGrades+'!$Y$55*(VLOOKUP(U108, 'PlayerGrades+'!$X$3:$Y$23, 2, FALSE)))</f>
        <v>18.4</v>
      </c>
      <c r="D108" s="937">
        <f t="shared" si="1"/>
        <v>0.8386277001</v>
      </c>
      <c r="E108" s="937" t="str">
        <f>IF(D108&lt;'PlayerGrades+'!$AA$21,"F-",IF(D108&lt;'PlayerGrades+'!$AA$20,"F",IF(D108&lt;'PlayerGrades+'!$AA$19,"F+",IF(D108&lt;'PlayerGrades+'!$AA$18,"E-",IF(D108&lt;'PlayerGrades+'!$AA$17,"E",IF(D108&lt;'PlayerGrades+'!$AA$16,"E+",IF(D108&lt;'PlayerGrades+'!$AA$15,"D-",IF(D108&lt;'PlayerGrades+'!$AA$14,"D",IF(D108&lt;'PlayerGrades+'!$AA$13,"D+",IF(D108&lt;'PlayerGrades+'!$AA$12,"C-",IF(D108&lt;'PlayerGrades+'!$AA$11,"C",IF(D108&lt;'PlayerGrades+'!$AA$10,"C+",IF(D108&lt;'PlayerGrades+'!$AA$9,"B-",IF(D108&lt;'PlayerGrades+'!$AA$8,"B",IF(D108&lt;'PlayerGrades+'!$AA$7,"B+",IF(D108&lt;'PlayerGrades+'!$AA$6,"A-",IF(D108&lt;'PlayerGrades+'!$AA$5,"A",IF(D108&lt;'PlayerGrades+'!$AA$4,"A+",IF(D108&lt;'PlayerGrades+'!$AA$3,"S-",IF(D108&lt;'PlayerGrades+'!$AA$2,"S","S+"))))))))))))))))))))</f>
        <v>S</v>
      </c>
      <c r="F108" s="937">
        <f t="shared" si="2"/>
        <v>0.3811944091</v>
      </c>
      <c r="G108" s="937" t="str">
        <f>IF(F108&lt;'PlayerGrades+'!$AB$21,"F-",IF(F108&lt;'PlayerGrades+'!$AB$20,"F",IF(F108&lt;'PlayerGrades+'!$AB$19,"F+",IF(F108&lt;'PlayerGrades+'!$AB$18,"E-",IF(F108&lt;'PlayerGrades+'!$AB$17,"E",IF(F108&lt;'PlayerGrades+'!$AB$16,"E+",IF(F108&lt;'PlayerGrades+'!$AB$15,"D-",IF(F108&lt;'PlayerGrades+'!$AB$14,"D",IF(F108&lt;'PlayerGrades+'!$AB$13,"D+",IF(F108&lt;'PlayerGrades+'!$AB$12,"C-",IF(F108&lt;'PlayerGrades+'!$AB$11,"C",IF(F108&lt;'PlayerGrades+'!$AB$10,"C+",IF(F108&lt;'PlayerGrades+'!$AB$9,"B-",IF(F108&lt;'PlayerGrades+'!$AB$8,"B",IF(F108&lt;'PlayerGrades+'!$AB$7,"B+",IF(F108&lt;'PlayerGrades+'!$AB$6,"A-",IF(F108&lt;'PlayerGrades+'!$AB$5,"A",IF(F108&lt;'PlayerGrades+'!$AB$4,"A+",IF(F108&lt;'PlayerGrades+'!$AB$3,"S-",IF(F108&lt;'PlayerGrades+'!$AB$2,"S","S+"))))))))))))))))))))</f>
        <v>A</v>
      </c>
      <c r="H108" s="937">
        <f t="shared" si="3"/>
        <v>0</v>
      </c>
      <c r="I108" s="937" t="str">
        <f>IF(H108&lt;'PlayerGrades+'!$AC$21,"F-",IF(H108&lt;'PlayerGrades+'!$AC$20,"F",IF(H108&lt;'PlayerGrades+'!$AC$19,"F+",IF(H108&lt;'PlayerGrades+'!$AC$18,"E-",IF(H108&lt;'PlayerGrades+'!$AC$17,"E",IF(H108&lt;'PlayerGrades+'!$AC$16,"E+",IF(H108&lt;'PlayerGrades+'!$AC$15,"D-",IF(H108&lt;'PlayerGrades+'!$AC$14,"D",IF(H108&lt;'PlayerGrades+'!$AC$13,"D+",IF(H108&lt;'PlayerGrades+'!$AC$12,"C-",IF(H108&lt;'PlayerGrades+'!$AC$11,"C",IF(H108&lt;'PlayerGrades+'!$AC$10,"C+",IF(H108&lt;'PlayerGrades+'!$AC$9,"B-",IF(H108&lt;'PlayerGrades+'!$AC$8,"B",IF(H108&lt;'PlayerGrades+'!$AC$7,"B+",IF(H108&lt;'PlayerGrades+'!$AC$6,"A-",IF(H108&lt;'PlayerGrades+'!$AC$5,"A",IF(H108&lt;'PlayerGrades+'!$AC$4,"A+",IF(H108&lt;'PlayerGrades+'!$AC$3,"S-",IF(H108&lt;'PlayerGrades+'!$AC$2,"S","S+"))))))))))))))))))))</f>
        <v>F-</v>
      </c>
      <c r="J108" s="937">
        <f t="shared" si="4"/>
        <v>0.1524777637</v>
      </c>
      <c r="K108" s="937" t="str">
        <f>IF(J108&lt;'PlayerGrades+'!$AD$21,"F-",IF(J108&lt;'PlayerGrades+'!$AD$20,"F",IF(J108&lt;'PlayerGrades+'!$AD$19,"F+",IF(J108&lt;'PlayerGrades+'!$AD$18,"E-",IF(J108&lt;'PlayerGrades+'!$AD$17,"E",IF(J108&lt;'PlayerGrades+'!$AD$16,"E+",IF(J108&lt;'PlayerGrades+'!$AD$15,"D-",IF(J108&lt;'PlayerGrades+'!$AD$14,"D",IF(J108&lt;'PlayerGrades+'!$AD$13,"D+",IF(J108&lt;'PlayerGrades+'!$AD$12,"C-",IF(J108&lt;'PlayerGrades+'!$AD$11,"C",IF(J108&lt;'PlayerGrades+'!$AD$10,"C+",IF(J108&lt;'PlayerGrades+'!$AD$9,"B-",IF(J108&lt;'PlayerGrades+'!$AD$8,"B",IF(J108&lt;'PlayerGrades+'!$AD$7,"B+",IF(J108&lt;'PlayerGrades+'!$AD$6,"A-",IF(J108&lt;'PlayerGrades+'!$AD$5,"A",IF(J108&lt;'PlayerGrades+'!$AD$4,"A+",IF(J108&lt;'PlayerGrades+'!$AD$3,"S-",IF(J108&lt;'PlayerGrades+'!$AD$2,"S","S+"))))))))))))))))))))</f>
        <v>S+</v>
      </c>
      <c r="L108" s="677">
        <f t="shared" si="5"/>
        <v>0.3049555273</v>
      </c>
      <c r="M108" s="938" t="str">
        <f>IF(L108&lt;'PlayerGrades+'!$AE$21,"F-",IF(L108&lt;'PlayerGrades+'!$AE$20,"F",IF(L108&lt;'PlayerGrades+'!$AE$19,"F+",IF(L108&lt;'PlayerGrades+'!$AE$18,"E-",IF(L108&lt;'PlayerGrades+'!$AE$17,"E",IF(L108&lt;'PlayerGrades+'!$AE$16,"E+",IF(L108&lt;'PlayerGrades+'!$AE$15,"D-",IF(L108&lt;'PlayerGrades+'!$AE$14,"D",IF(L108&lt;'PlayerGrades+'!$AE$13,"D+",IF(L108&lt;'PlayerGrades+'!$AE$12,"C-",IF(L108&lt;'PlayerGrades+'!$AE$11,"C",IF(L108&lt;'PlayerGrades+'!$AE$10,"C+",IF(L108&lt;'PlayerGrades+'!$AE$9,"B-",IF(L108&lt;'PlayerGrades+'!$AE$8,"B",IF(L108&lt;'PlayerGrades+'!$AE$7,"B+",IF(L108&lt;'PlayerGrades+'!$AE$6,"A-",IF(L108&lt;'PlayerGrades+'!$AE$5,"A",IF(L108&lt;'PlayerGrades+'!$AE$4,"A+",IF(L108&lt;'PlayerGrades+'!$AE$3,"S-",IF(L108&lt;'PlayerGrades+'!$AE$2,"S","S+"))))))))))))))))))))</f>
        <v>E-</v>
      </c>
      <c r="N108" s="937">
        <f t="shared" si="6"/>
        <v>0</v>
      </c>
      <c r="O108" s="937" t="str">
        <f>IF(N108&lt;'PlayerGrades+'!$AF$21,"F-",IF(N108&lt;'PlayerGrades+'!$AF$20,"F",IF(N108&lt;'PlayerGrades+'!$AF$19,"F+",IF(N108&lt;'PlayerGrades+'!$AF$18,"E-",IF(N108&lt;'PlayerGrades+'!$AF$17,"E",IF(N108&lt;'PlayerGrades+'!$AF$16,"E+",IF(N108&lt;'PlayerGrades+'!$AF$15,"D-",IF(N108&lt;'PlayerGrades+'!$AF$14,"D",IF(N108&lt;'PlayerGrades+'!$AF$13,"D+",IF(N108&lt;'PlayerGrades+'!$AF$12,"C-",IF(N108&lt;'PlayerGrades+'!$AF$11,"C",IF(N108&lt;'PlayerGrades+'!$AF$10,"C+",IF(N108&lt;'PlayerGrades+'!$AF$9,"B-",IF(N108&lt;'PlayerGrades+'!$AF$8,"B",IF(N108&lt;'PlayerGrades+'!$AF$7,"B+",IF(N108&lt;'PlayerGrades+'!$AF$6,"A-",IF(N108&lt;'PlayerGrades+'!$AF$5,"A",IF(N108&lt;'PlayerGrades+'!$AF$4,"A+",IF(N108&lt;'PlayerGrades+'!$AF$3,"S-",IF(N108&lt;'PlayerGrades+'!$AF$2,"S","S+"))))))))))))))))))))</f>
        <v>F-</v>
      </c>
      <c r="P108" s="937">
        <f t="shared" si="7"/>
        <v>0</v>
      </c>
      <c r="Q108" s="937" t="str">
        <f>IF(P108&lt;'PlayerGrades+'!$AG$21,"F-",IF(P108&lt;'PlayerGrades+'!$AG$20,"F",IF(P108&lt;'PlayerGrades+'!$AG$19,"F+",IF(P108&lt;'PlayerGrades+'!$AG$18,"E-",IF(P108&lt;'PlayerGrades+'!$AG$17,"E",IF(P108&lt;'PlayerGrades+'!$AG$16,"E+",IF(P108&lt;'PlayerGrades+'!$AG$15,"D-",IF(P108&lt;'PlayerGrades+'!$AG$14,"D",IF(P108&lt;'PlayerGrades+'!$AG$13,"D+",IF(P108&lt;'PlayerGrades+'!$AG$12,"C-",IF(P108&lt;'PlayerGrades+'!$AG$11,"C",IF(P108&lt;'PlayerGrades+'!$AG$10,"C+",IF(P108&lt;'PlayerGrades+'!$AG$9,"B-",IF(P108&lt;'PlayerGrades+'!$AG$8,"B",IF(P108&lt;'PlayerGrades+'!$AG$7,"B+",IF(P108&lt;'PlayerGrades+'!$AG$6,"A-",IF(P108&lt;'PlayerGrades+'!$AG$5,"A",IF(P108&lt;'PlayerGrades+'!$AG$4,"A+",IF(P108&lt;'PlayerGrades+'!$AG$3,"S-",IF(P108&lt;'PlayerGrades+'!$AG$2,"S","S+"))))))))))))))))))))</f>
        <v>F</v>
      </c>
      <c r="R108" s="937">
        <f t="shared" si="8"/>
        <v>0.6861499365</v>
      </c>
      <c r="S108" s="937" t="str">
        <f>IF(R108&lt;'PlayerGrades+'!$AH$21,"F-",IF(R108&lt;'PlayerGrades+'!$AH$20,"F",IF(R108&lt;'PlayerGrades+'!$AH$19,"F+",IF(R108&lt;'PlayerGrades+'!$AH$18,"E-",IF(R108&lt;'PlayerGrades+'!$AH$17,"E",IF(R108&lt;'PlayerGrades+'!$AH$16,"E+",IF(R108&lt;'PlayerGrades+'!$AH$15,"D-",IF(R108&lt;'PlayerGrades+'!$AH$14,"D",IF(R108&lt;'PlayerGrades+'!$AH$13,"D+",IF(R108&lt;'PlayerGrades+'!$AH$12,"C-",IF(R108&lt;'PlayerGrades+'!$AH$11,"C",IF(R108&lt;'PlayerGrades+'!$AH$10,"C+",IF(R108&lt;'PlayerGrades+'!$AH$9,"B-",IF(R108&lt;'PlayerGrades+'!$AH$8,"B",IF(R108&lt;'PlayerGrades+'!$AH$7,"B+",IF(R108&lt;'PlayerGrades+'!$AH$6,"A-",IF(R108&lt;'PlayerGrades+'!$AH$5,"A",IF(R108&lt;'PlayerGrades+'!$AH$4,"A+",IF(R108&lt;'PlayerGrades+'!$AH$3,"S-",IF(R108&lt;'PlayerGrades+'!$AH$2,"S","S+"))))))))))))))))))))</f>
        <v>S-</v>
      </c>
      <c r="T108" s="937">
        <f t="shared" si="9"/>
        <v>0.1524777637</v>
      </c>
      <c r="U108" s="937" t="str">
        <f>IF(T108&lt;'PlayerGrades+'!$AI$21,"F-",IF(T108&lt;'PlayerGrades+'!$AI$20,"F",IF(T108&lt;'PlayerGrades+'!$AI$19,"F+",IF(T108&lt;'PlayerGrades+'!$AI$18,"E-",IF(T108&lt;'PlayerGrades+'!$AI$17,"E",IF(T108&lt;'PlayerGrades+'!$AI$16,"E+",IF(T108&lt;'PlayerGrades+'!$AI$15,"D-",IF(T108&lt;'PlayerGrades+'!$AI$14,"D",IF(T108&lt;'PlayerGrades+'!$AI$13,"D+",IF(T108&lt;'PlayerGrades+'!$AI$12,"C-",IF(T108&lt;'PlayerGrades+'!$AI$11,"C",IF(T108&lt;'PlayerGrades+'!$AI$10,"C+",IF(T108&lt;'PlayerGrades+'!$AI$9,"B-",IF(T108&lt;'PlayerGrades+'!$AI$8,"B",IF(T108&lt;'PlayerGrades+'!$AI$7,"B+",IF(T108&lt;'PlayerGrades+'!$AI$6,"A-",IF(T108&lt;'PlayerGrades+'!$AI$5,"A",IF(T108&lt;'PlayerGrades+'!$AI$4,"A+",IF(T108&lt;'PlayerGrades+'!$AI$3,"S-",IF(T108&lt;'PlayerGrades+'!$AI$2,"S","S+"))))))))))))))))))))</f>
        <v>F-</v>
      </c>
      <c r="V108" s="941">
        <v>1.0</v>
      </c>
      <c r="W108" s="941">
        <v>0.0</v>
      </c>
      <c r="X108" s="941">
        <v>1.0</v>
      </c>
      <c r="Y108" s="941">
        <v>0.0</v>
      </c>
      <c r="Z108" s="941">
        <v>11.0</v>
      </c>
      <c r="AA108" s="941">
        <v>24.0</v>
      </c>
      <c r="AB108" s="941">
        <v>19.0</v>
      </c>
      <c r="AC108" s="941">
        <v>5.0</v>
      </c>
      <c r="AD108" s="941">
        <v>1.0</v>
      </c>
      <c r="AE108" s="941">
        <v>7.0</v>
      </c>
      <c r="AF108" s="941">
        <v>1.0</v>
      </c>
      <c r="AG108" s="941">
        <v>674.0</v>
      </c>
      <c r="AH108" s="941">
        <v>787.0</v>
      </c>
      <c r="AI108" s="941">
        <v>35.0</v>
      </c>
      <c r="AJ108" s="941">
        <v>492.0</v>
      </c>
      <c r="AK108" s="941">
        <v>0.0</v>
      </c>
      <c r="AL108" s="941">
        <v>2.0</v>
      </c>
      <c r="AM108" s="941">
        <v>0.0</v>
      </c>
      <c r="AN108" s="941">
        <v>0.0</v>
      </c>
      <c r="AO108" s="941">
        <v>0.0</v>
      </c>
      <c r="AP108" s="941">
        <v>0.0</v>
      </c>
      <c r="AQ108" s="941">
        <v>0.0</v>
      </c>
      <c r="AR108" s="941">
        <v>4.0</v>
      </c>
      <c r="AS108" s="941">
        <v>0.0</v>
      </c>
      <c r="AT108" s="941">
        <v>0.0</v>
      </c>
      <c r="AU108" s="941">
        <v>0.0</v>
      </c>
      <c r="AV108" s="941">
        <v>0.0</v>
      </c>
      <c r="AW108" s="941">
        <v>0.0</v>
      </c>
      <c r="AX108" s="941">
        <v>0.0</v>
      </c>
      <c r="AY108" s="941">
        <v>0.0</v>
      </c>
      <c r="AZ108" s="941">
        <v>0.0</v>
      </c>
      <c r="BA108" s="941">
        <v>0.0</v>
      </c>
      <c r="BB108" s="941">
        <v>0.0</v>
      </c>
      <c r="BC108" s="941">
        <v>0.0</v>
      </c>
      <c r="BD108" s="941">
        <v>8.0</v>
      </c>
      <c r="BE108" s="942">
        <v>2.0</v>
      </c>
      <c r="BF108" s="941">
        <v>0.0</v>
      </c>
      <c r="BG108" s="941">
        <v>1.0</v>
      </c>
    </row>
    <row r="109">
      <c r="A109" s="935" t="s">
        <v>419</v>
      </c>
      <c r="B109" s="16" t="str">
        <f>IF(C109&lt;'PlayerGrades+'!$Y$44,"F-",IF(C109&lt;'PlayerGrades+'!$Y$43,"F",IF(C109&lt;'PlayerGrades+'!$Y$42,"F+",IF(C109&lt;'PlayerGrades+'!$Y$41,"E-",IF(C109&lt;'PlayerGrades+'!$Y$40,"E",IF(C109&lt;'PlayerGrades+'!$Y$39,"E+",IF(C109&lt;'PlayerGrades+'!$Y$38,"D-",IF(C109&lt;'PlayerGrades+'!$Y$37,"D",IF(C109&lt;'PlayerGrades+'!$Y$36,"D+",IF(C109&lt;'PlayerGrades+'!$Y$35,"C-",IF(C109&lt;'PlayerGrades+'!$Y$34,"C",IF(C109&lt;'PlayerGrades+'!$Y$33,"C+",IF(C109&lt;'PlayerGrades+'!$Y$32,"B-",IF(C109&lt;'PlayerGrades+'!$Y$31,"B",IF(C109&lt;'PlayerGrades+'!$Y$30,"B+",IF(C109&lt;'PlayerGrades+'!$Y$29,"A-",IF(C109&lt;'PlayerGrades+'!$Y$28,"A",IF(C109&lt;'PlayerGrades+'!$Y$27,"A+",IF(C109&lt;'PlayerGrades+'!$Y$26,"S-",IF(C109&lt;'PlayerGrades+'!$Y$25,"S","S+"))))))))))))))))))))</f>
        <v>D</v>
      </c>
      <c r="C109" s="936">
        <f>('PlayerGrades+'!$Y$47*(VLOOKUP(E109, 'PlayerGrades+'!$X$3:$Y$23, 2, FALSE)))+('PlayerGrades+'!$Y$48*(VLOOKUP(G109, 'PlayerGrades+'!$X$3:$Y$23, 2, FALSE)))+('PlayerGrades+'!$Y$49*(VLOOKUP(I109, 'PlayerGrades+'!$X$3:$Y$23, 2, FALSE)))+('PlayerGrades+'!$Y$50*(VLOOKUP(K109, 'PlayerGrades+'!$X$3:$Y$23, 2, FALSE)))+('PlayerGrades+'!$Y$51*(VLOOKUP(M109, 'PlayerGrades+'!$X$3:$Y$23, 2, FALSE)))+('PlayerGrades+'!$Y$52*(VLOOKUP(O109, 'PlayerGrades+'!$X$3:$Y$23, 2, FALSE)))+('PlayerGrades+'!$Y$53*(VLOOKUP(Q109, 'PlayerGrades+'!$X$3:$Y$23, 2, FALSE)))+('PlayerGrades+'!$Y$54*(VLOOKUP(S109, 'PlayerGrades+'!$X$3:$Y$23, 2, FALSE)))+('PlayerGrades+'!$Y$55*(VLOOKUP(U109, 'PlayerGrades+'!$X$3:$Y$23, 2, FALSE)))</f>
        <v>16.75</v>
      </c>
      <c r="D109" s="937">
        <f t="shared" si="1"/>
        <v>0.07623888183</v>
      </c>
      <c r="E109" s="937" t="str">
        <f>IF(D109&lt;'PlayerGrades+'!$AA$21,"F-",IF(D109&lt;'PlayerGrades+'!$AA$20,"F",IF(D109&lt;'PlayerGrades+'!$AA$19,"F+",IF(D109&lt;'PlayerGrades+'!$AA$18,"E-",IF(D109&lt;'PlayerGrades+'!$AA$17,"E",IF(D109&lt;'PlayerGrades+'!$AA$16,"E+",IF(D109&lt;'PlayerGrades+'!$AA$15,"D-",IF(D109&lt;'PlayerGrades+'!$AA$14,"D",IF(D109&lt;'PlayerGrades+'!$AA$13,"D+",IF(D109&lt;'PlayerGrades+'!$AA$12,"C-",IF(D109&lt;'PlayerGrades+'!$AA$11,"C",IF(D109&lt;'PlayerGrades+'!$AA$10,"C+",IF(D109&lt;'PlayerGrades+'!$AA$9,"B-",IF(D109&lt;'PlayerGrades+'!$AA$8,"B",IF(D109&lt;'PlayerGrades+'!$AA$7,"B+",IF(D109&lt;'PlayerGrades+'!$AA$6,"A-",IF(D109&lt;'PlayerGrades+'!$AA$5,"A",IF(D109&lt;'PlayerGrades+'!$AA$4,"A+",IF(D109&lt;'PlayerGrades+'!$AA$3,"S-",IF(D109&lt;'PlayerGrades+'!$AA$2,"S","S+"))))))))))))))))))))</f>
        <v>B</v>
      </c>
      <c r="F109" s="937">
        <f t="shared" si="2"/>
        <v>-0.5336721728</v>
      </c>
      <c r="G109" s="937" t="str">
        <f>IF(F109&lt;'PlayerGrades+'!$AB$21,"F-",IF(F109&lt;'PlayerGrades+'!$AB$20,"F",IF(F109&lt;'PlayerGrades+'!$AB$19,"F+",IF(F109&lt;'PlayerGrades+'!$AB$18,"E-",IF(F109&lt;'PlayerGrades+'!$AB$17,"E",IF(F109&lt;'PlayerGrades+'!$AB$16,"E+",IF(F109&lt;'PlayerGrades+'!$AB$15,"D-",IF(F109&lt;'PlayerGrades+'!$AB$14,"D",IF(F109&lt;'PlayerGrades+'!$AB$13,"D+",IF(F109&lt;'PlayerGrades+'!$AB$12,"C-",IF(F109&lt;'PlayerGrades+'!$AB$11,"C",IF(F109&lt;'PlayerGrades+'!$AB$10,"C+",IF(F109&lt;'PlayerGrades+'!$AB$9,"B-",IF(F109&lt;'PlayerGrades+'!$AB$8,"B",IF(F109&lt;'PlayerGrades+'!$AB$7,"B+",IF(F109&lt;'PlayerGrades+'!$AB$6,"A-",IF(F109&lt;'PlayerGrades+'!$AB$5,"A",IF(F109&lt;'PlayerGrades+'!$AB$4,"A+",IF(F109&lt;'PlayerGrades+'!$AB$3,"S-",IF(F109&lt;'PlayerGrades+'!$AB$2,"S","S+"))))))))))))))))))))</f>
        <v>D</v>
      </c>
      <c r="H109" s="937">
        <f t="shared" si="3"/>
        <v>0.1524777637</v>
      </c>
      <c r="I109" s="937" t="str">
        <f>IF(H109&lt;'PlayerGrades+'!$AC$21,"F-",IF(H109&lt;'PlayerGrades+'!$AC$20,"F",IF(H109&lt;'PlayerGrades+'!$AC$19,"F+",IF(H109&lt;'PlayerGrades+'!$AC$18,"E-",IF(H109&lt;'PlayerGrades+'!$AC$17,"E",IF(H109&lt;'PlayerGrades+'!$AC$16,"E+",IF(H109&lt;'PlayerGrades+'!$AC$15,"D-",IF(H109&lt;'PlayerGrades+'!$AC$14,"D",IF(H109&lt;'PlayerGrades+'!$AC$13,"D+",IF(H109&lt;'PlayerGrades+'!$AC$12,"C-",IF(H109&lt;'PlayerGrades+'!$AC$11,"C",IF(H109&lt;'PlayerGrades+'!$AC$10,"C+",IF(H109&lt;'PlayerGrades+'!$AC$9,"B-",IF(H109&lt;'PlayerGrades+'!$AC$8,"B",IF(H109&lt;'PlayerGrades+'!$AC$7,"B+",IF(H109&lt;'PlayerGrades+'!$AC$6,"A-",IF(H109&lt;'PlayerGrades+'!$AC$5,"A",IF(H109&lt;'PlayerGrades+'!$AC$4,"A+",IF(H109&lt;'PlayerGrades+'!$AC$3,"S-",IF(H109&lt;'PlayerGrades+'!$AC$2,"S","S+"))))))))))))))))))))</f>
        <v>A</v>
      </c>
      <c r="J109" s="937">
        <f t="shared" si="4"/>
        <v>0</v>
      </c>
      <c r="K109" s="937" t="str">
        <f>IF(J109&lt;'PlayerGrades+'!$AD$21,"F-",IF(J109&lt;'PlayerGrades+'!$AD$20,"F",IF(J109&lt;'PlayerGrades+'!$AD$19,"F+",IF(J109&lt;'PlayerGrades+'!$AD$18,"E-",IF(J109&lt;'PlayerGrades+'!$AD$17,"E",IF(J109&lt;'PlayerGrades+'!$AD$16,"E+",IF(J109&lt;'PlayerGrades+'!$AD$15,"D-",IF(J109&lt;'PlayerGrades+'!$AD$14,"D",IF(J109&lt;'PlayerGrades+'!$AD$13,"D+",IF(J109&lt;'PlayerGrades+'!$AD$12,"C-",IF(J109&lt;'PlayerGrades+'!$AD$11,"C",IF(J109&lt;'PlayerGrades+'!$AD$10,"C+",IF(J109&lt;'PlayerGrades+'!$AD$9,"B-",IF(J109&lt;'PlayerGrades+'!$AD$8,"B",IF(J109&lt;'PlayerGrades+'!$AD$7,"B+",IF(J109&lt;'PlayerGrades+'!$AD$6,"A-",IF(J109&lt;'PlayerGrades+'!$AD$5,"A",IF(J109&lt;'PlayerGrades+'!$AD$4,"A+",IF(J109&lt;'PlayerGrades+'!$AD$3,"S-",IF(J109&lt;'PlayerGrades+'!$AD$2,"S","S+"))))))))))))))))))))</f>
        <v>F-</v>
      </c>
      <c r="L109" s="677">
        <f t="shared" si="5"/>
        <v>0.6861499365</v>
      </c>
      <c r="M109" s="938" t="str">
        <f>IF(L109&lt;'PlayerGrades+'!$AE$21,"F-",IF(L109&lt;'PlayerGrades+'!$AE$20,"F",IF(L109&lt;'PlayerGrades+'!$AE$19,"F+",IF(L109&lt;'PlayerGrades+'!$AE$18,"E-",IF(L109&lt;'PlayerGrades+'!$AE$17,"E",IF(L109&lt;'PlayerGrades+'!$AE$16,"E+",IF(L109&lt;'PlayerGrades+'!$AE$15,"D-",IF(L109&lt;'PlayerGrades+'!$AE$14,"D",IF(L109&lt;'PlayerGrades+'!$AE$13,"D+",IF(L109&lt;'PlayerGrades+'!$AE$12,"C-",IF(L109&lt;'PlayerGrades+'!$AE$11,"C",IF(L109&lt;'PlayerGrades+'!$AE$10,"C+",IF(L109&lt;'PlayerGrades+'!$AE$9,"B-",IF(L109&lt;'PlayerGrades+'!$AE$8,"B",IF(L109&lt;'PlayerGrades+'!$AE$7,"B+",IF(L109&lt;'PlayerGrades+'!$AE$6,"A-",IF(L109&lt;'PlayerGrades+'!$AE$5,"A",IF(L109&lt;'PlayerGrades+'!$AE$4,"A+",IF(L109&lt;'PlayerGrades+'!$AE$3,"S-",IF(L109&lt;'PlayerGrades+'!$AE$2,"S","S+"))))))))))))))))))))</f>
        <v>S</v>
      </c>
      <c r="N109" s="937">
        <f t="shared" si="6"/>
        <v>0</v>
      </c>
      <c r="O109" s="937" t="str">
        <f>IF(N109&lt;'PlayerGrades+'!$AF$21,"F-",IF(N109&lt;'PlayerGrades+'!$AF$20,"F",IF(N109&lt;'PlayerGrades+'!$AF$19,"F+",IF(N109&lt;'PlayerGrades+'!$AF$18,"E-",IF(N109&lt;'PlayerGrades+'!$AF$17,"E",IF(N109&lt;'PlayerGrades+'!$AF$16,"E+",IF(N109&lt;'PlayerGrades+'!$AF$15,"D-",IF(N109&lt;'PlayerGrades+'!$AF$14,"D",IF(N109&lt;'PlayerGrades+'!$AF$13,"D+",IF(N109&lt;'PlayerGrades+'!$AF$12,"C-",IF(N109&lt;'PlayerGrades+'!$AF$11,"C",IF(N109&lt;'PlayerGrades+'!$AF$10,"C+",IF(N109&lt;'PlayerGrades+'!$AF$9,"B-",IF(N109&lt;'PlayerGrades+'!$AF$8,"B",IF(N109&lt;'PlayerGrades+'!$AF$7,"B+",IF(N109&lt;'PlayerGrades+'!$AF$6,"A-",IF(N109&lt;'PlayerGrades+'!$AF$5,"A",IF(N109&lt;'PlayerGrades+'!$AF$4,"A+",IF(N109&lt;'PlayerGrades+'!$AF$3,"S-",IF(N109&lt;'PlayerGrades+'!$AF$2,"S","S+"))))))))))))))))))))</f>
        <v>F-</v>
      </c>
      <c r="P109" s="937">
        <f t="shared" si="7"/>
        <v>0</v>
      </c>
      <c r="Q109" s="937" t="str">
        <f>IF(P109&lt;'PlayerGrades+'!$AG$21,"F-",IF(P109&lt;'PlayerGrades+'!$AG$20,"F",IF(P109&lt;'PlayerGrades+'!$AG$19,"F+",IF(P109&lt;'PlayerGrades+'!$AG$18,"E-",IF(P109&lt;'PlayerGrades+'!$AG$17,"E",IF(P109&lt;'PlayerGrades+'!$AG$16,"E+",IF(P109&lt;'PlayerGrades+'!$AG$15,"D-",IF(P109&lt;'PlayerGrades+'!$AG$14,"D",IF(P109&lt;'PlayerGrades+'!$AG$13,"D+",IF(P109&lt;'PlayerGrades+'!$AG$12,"C-",IF(P109&lt;'PlayerGrades+'!$AG$11,"C",IF(P109&lt;'PlayerGrades+'!$AG$10,"C+",IF(P109&lt;'PlayerGrades+'!$AG$9,"B-",IF(P109&lt;'PlayerGrades+'!$AG$8,"B",IF(P109&lt;'PlayerGrades+'!$AG$7,"B+",IF(P109&lt;'PlayerGrades+'!$AG$6,"A-",IF(P109&lt;'PlayerGrades+'!$AG$5,"A",IF(P109&lt;'PlayerGrades+'!$AG$4,"A+",IF(P109&lt;'PlayerGrades+'!$AG$3,"S-",IF(P109&lt;'PlayerGrades+'!$AG$2,"S","S+"))))))))))))))))))))</f>
        <v>F</v>
      </c>
      <c r="R109" s="937">
        <f t="shared" si="8"/>
        <v>0.07623888183</v>
      </c>
      <c r="S109" s="937" t="str">
        <f>IF(R109&lt;'PlayerGrades+'!$AH$21,"F-",IF(R109&lt;'PlayerGrades+'!$AH$20,"F",IF(R109&lt;'PlayerGrades+'!$AH$19,"F+",IF(R109&lt;'PlayerGrades+'!$AH$18,"E-",IF(R109&lt;'PlayerGrades+'!$AH$17,"E",IF(R109&lt;'PlayerGrades+'!$AH$16,"E+",IF(R109&lt;'PlayerGrades+'!$AH$15,"D-",IF(R109&lt;'PlayerGrades+'!$AH$14,"D",IF(R109&lt;'PlayerGrades+'!$AH$13,"D+",IF(R109&lt;'PlayerGrades+'!$AH$12,"C-",IF(R109&lt;'PlayerGrades+'!$AH$11,"C",IF(R109&lt;'PlayerGrades+'!$AH$10,"C+",IF(R109&lt;'PlayerGrades+'!$AH$9,"B-",IF(R109&lt;'PlayerGrades+'!$AH$8,"B",IF(R109&lt;'PlayerGrades+'!$AH$7,"B+",IF(R109&lt;'PlayerGrades+'!$AH$6,"A-",IF(R109&lt;'PlayerGrades+'!$AH$5,"A",IF(R109&lt;'PlayerGrades+'!$AH$4,"A+",IF(R109&lt;'PlayerGrades+'!$AH$3,"S-",IF(R109&lt;'PlayerGrades+'!$AH$2,"S","S+"))))))))))))))))))))</f>
        <v>F-</v>
      </c>
      <c r="T109" s="937">
        <f t="shared" si="9"/>
        <v>1.8386277</v>
      </c>
      <c r="U109" s="937" t="str">
        <f>IF(T109&lt;'PlayerGrades+'!$AI$21,"F-",IF(T109&lt;'PlayerGrades+'!$AI$20,"F",IF(T109&lt;'PlayerGrades+'!$AI$19,"F+",IF(T109&lt;'PlayerGrades+'!$AI$18,"E-",IF(T109&lt;'PlayerGrades+'!$AI$17,"E",IF(T109&lt;'PlayerGrades+'!$AI$16,"E+",IF(T109&lt;'PlayerGrades+'!$AI$15,"D-",IF(T109&lt;'PlayerGrades+'!$AI$14,"D",IF(T109&lt;'PlayerGrades+'!$AI$13,"D+",IF(T109&lt;'PlayerGrades+'!$AI$12,"C-",IF(T109&lt;'PlayerGrades+'!$AI$11,"C",IF(T109&lt;'PlayerGrades+'!$AI$10,"C+",IF(T109&lt;'PlayerGrades+'!$AI$9,"B-",IF(T109&lt;'PlayerGrades+'!$AI$8,"B",IF(T109&lt;'PlayerGrades+'!$AI$7,"B+",IF(T109&lt;'PlayerGrades+'!$AI$6,"A-",IF(T109&lt;'PlayerGrades+'!$AI$5,"A",IF(T109&lt;'PlayerGrades+'!$AI$4,"A+",IF(T109&lt;'PlayerGrades+'!$AI$3,"S-",IF(T109&lt;'PlayerGrades+'!$AI$2,"S","S+"))))))))))))))))))))</f>
        <v>S</v>
      </c>
      <c r="V109" s="941">
        <v>1.0</v>
      </c>
      <c r="W109" s="941">
        <v>0.0</v>
      </c>
      <c r="X109" s="941">
        <v>1.0</v>
      </c>
      <c r="Y109" s="941">
        <v>1.0</v>
      </c>
      <c r="Z109" s="941">
        <v>0.0</v>
      </c>
      <c r="AA109" s="941">
        <v>48.0</v>
      </c>
      <c r="AB109" s="941">
        <v>55.0</v>
      </c>
      <c r="AC109" s="941">
        <v>-7.0</v>
      </c>
      <c r="AD109" s="941">
        <v>1.0</v>
      </c>
      <c r="AE109" s="941">
        <v>4.0</v>
      </c>
      <c r="AF109" s="941">
        <v>0.0</v>
      </c>
      <c r="AG109" s="941">
        <v>565.0</v>
      </c>
      <c r="AH109" s="941">
        <v>787.0</v>
      </c>
      <c r="AI109" s="941">
        <v>10.0</v>
      </c>
      <c r="AJ109" s="941">
        <v>25.0</v>
      </c>
      <c r="AK109" s="941">
        <v>0.0</v>
      </c>
      <c r="AL109" s="941">
        <v>0.0</v>
      </c>
      <c r="AM109" s="941">
        <v>0.0</v>
      </c>
      <c r="AN109" s="941">
        <v>0.0</v>
      </c>
      <c r="AO109" s="941">
        <v>0.0</v>
      </c>
      <c r="AP109" s="941">
        <v>0.0</v>
      </c>
      <c r="AQ109" s="941">
        <v>0.0</v>
      </c>
      <c r="AR109" s="941">
        <v>9.0</v>
      </c>
      <c r="AS109" s="941">
        <v>0.0</v>
      </c>
      <c r="AT109" s="941">
        <v>0.0</v>
      </c>
      <c r="AU109" s="941">
        <v>0.0</v>
      </c>
      <c r="AV109" s="941">
        <v>0.0</v>
      </c>
      <c r="AW109" s="941">
        <v>0.0</v>
      </c>
      <c r="AX109" s="941">
        <v>0.0</v>
      </c>
      <c r="AY109" s="941">
        <v>0.0</v>
      </c>
      <c r="AZ109" s="941">
        <v>0.0</v>
      </c>
      <c r="BA109" s="941">
        <v>0.0</v>
      </c>
      <c r="BB109" s="941">
        <v>2.0</v>
      </c>
      <c r="BC109" s="941">
        <v>0.0</v>
      </c>
      <c r="BD109" s="941">
        <v>0.0</v>
      </c>
      <c r="BE109" s="942">
        <v>11.0</v>
      </c>
      <c r="BF109" s="941">
        <v>1.0</v>
      </c>
      <c r="BG109" s="941">
        <v>1.0</v>
      </c>
    </row>
    <row r="110">
      <c r="A110" s="935" t="s">
        <v>117</v>
      </c>
      <c r="B110" s="16" t="str">
        <f>IF(C110&lt;'PlayerGrades+'!$Y$44,"F-",IF(C110&lt;'PlayerGrades+'!$Y$43,"F",IF(C110&lt;'PlayerGrades+'!$Y$42,"F+",IF(C110&lt;'PlayerGrades+'!$Y$41,"E-",IF(C110&lt;'PlayerGrades+'!$Y$40,"E",IF(C110&lt;'PlayerGrades+'!$Y$39,"E+",IF(C110&lt;'PlayerGrades+'!$Y$38,"D-",IF(C110&lt;'PlayerGrades+'!$Y$37,"D",IF(C110&lt;'PlayerGrades+'!$Y$36,"D+",IF(C110&lt;'PlayerGrades+'!$Y$35,"C-",IF(C110&lt;'PlayerGrades+'!$Y$34,"C",IF(C110&lt;'PlayerGrades+'!$Y$33,"C+",IF(C110&lt;'PlayerGrades+'!$Y$32,"B-",IF(C110&lt;'PlayerGrades+'!$Y$31,"B",IF(C110&lt;'PlayerGrades+'!$Y$30,"B+",IF(C110&lt;'PlayerGrades+'!$Y$29,"A-",IF(C110&lt;'PlayerGrades+'!$Y$28,"A",IF(C110&lt;'PlayerGrades+'!$Y$27,"A+",IF(C110&lt;'PlayerGrades+'!$Y$26,"S-",IF(C110&lt;'PlayerGrades+'!$Y$25,"S","S+"))))))))))))))))))))</f>
        <v>C-</v>
      </c>
      <c r="C110" s="936">
        <f>('PlayerGrades+'!$Y$47*(VLOOKUP(E110, 'PlayerGrades+'!$X$3:$Y$23, 2, FALSE)))+('PlayerGrades+'!$Y$48*(VLOOKUP(G110, 'PlayerGrades+'!$X$3:$Y$23, 2, FALSE)))+('PlayerGrades+'!$Y$49*(VLOOKUP(I110, 'PlayerGrades+'!$X$3:$Y$23, 2, FALSE)))+('PlayerGrades+'!$Y$50*(VLOOKUP(K110, 'PlayerGrades+'!$X$3:$Y$23, 2, FALSE)))+('PlayerGrades+'!$Y$51*(VLOOKUP(M110, 'PlayerGrades+'!$X$3:$Y$23, 2, FALSE)))+('PlayerGrades+'!$Y$52*(VLOOKUP(O110, 'PlayerGrades+'!$X$3:$Y$23, 2, FALSE)))+('PlayerGrades+'!$Y$53*(VLOOKUP(Q110, 'PlayerGrades+'!$X$3:$Y$23, 2, FALSE)))+('PlayerGrades+'!$Y$54*(VLOOKUP(S110, 'PlayerGrades+'!$X$3:$Y$23, 2, FALSE)))+('PlayerGrades+'!$Y$55*(VLOOKUP(U110, 'PlayerGrades+'!$X$3:$Y$23, 2, FALSE)))</f>
        <v>19.15</v>
      </c>
      <c r="D110" s="937">
        <f t="shared" si="1"/>
        <v>0</v>
      </c>
      <c r="E110" s="937" t="str">
        <f>IF(D110&lt;'PlayerGrades+'!$AA$21,"F-",IF(D110&lt;'PlayerGrades+'!$AA$20,"F",IF(D110&lt;'PlayerGrades+'!$AA$19,"F+",IF(D110&lt;'PlayerGrades+'!$AA$18,"E-",IF(D110&lt;'PlayerGrades+'!$AA$17,"E",IF(D110&lt;'PlayerGrades+'!$AA$16,"E+",IF(D110&lt;'PlayerGrades+'!$AA$15,"D-",IF(D110&lt;'PlayerGrades+'!$AA$14,"D",IF(D110&lt;'PlayerGrades+'!$AA$13,"D+",IF(D110&lt;'PlayerGrades+'!$AA$12,"C-",IF(D110&lt;'PlayerGrades+'!$AA$11,"C",IF(D110&lt;'PlayerGrades+'!$AA$10,"C+",IF(D110&lt;'PlayerGrades+'!$AA$9,"B-",IF(D110&lt;'PlayerGrades+'!$AA$8,"B",IF(D110&lt;'PlayerGrades+'!$AA$7,"B+",IF(D110&lt;'PlayerGrades+'!$AA$6,"A-",IF(D110&lt;'PlayerGrades+'!$AA$5,"A",IF(D110&lt;'PlayerGrades+'!$AA$4,"A+",IF(D110&lt;'PlayerGrades+'!$AA$3,"S-",IF(D110&lt;'PlayerGrades+'!$AA$2,"S","S+"))))))))))))))))))))</f>
        <v>F-</v>
      </c>
      <c r="F110" s="937">
        <f t="shared" si="2"/>
        <v>-1.143583227</v>
      </c>
      <c r="G110" s="937" t="str">
        <f>IF(F110&lt;'PlayerGrades+'!$AB$21,"F-",IF(F110&lt;'PlayerGrades+'!$AB$20,"F",IF(F110&lt;'PlayerGrades+'!$AB$19,"F+",IF(F110&lt;'PlayerGrades+'!$AB$18,"E-",IF(F110&lt;'PlayerGrades+'!$AB$17,"E",IF(F110&lt;'PlayerGrades+'!$AB$16,"E+",IF(F110&lt;'PlayerGrades+'!$AB$15,"D-",IF(F110&lt;'PlayerGrades+'!$AB$14,"D",IF(F110&lt;'PlayerGrades+'!$AB$13,"D+",IF(F110&lt;'PlayerGrades+'!$AB$12,"C-",IF(F110&lt;'PlayerGrades+'!$AB$11,"C",IF(F110&lt;'PlayerGrades+'!$AB$10,"C+",IF(F110&lt;'PlayerGrades+'!$AB$9,"B-",IF(F110&lt;'PlayerGrades+'!$AB$8,"B",IF(F110&lt;'PlayerGrades+'!$AB$7,"B+",IF(F110&lt;'PlayerGrades+'!$AB$6,"A-",IF(F110&lt;'PlayerGrades+'!$AB$5,"A",IF(F110&lt;'PlayerGrades+'!$AB$4,"A+",IF(F110&lt;'PlayerGrades+'!$AB$3,"S-",IF(F110&lt;'PlayerGrades+'!$AB$2,"S","S+"))))))))))))))))))))</f>
        <v>F-</v>
      </c>
      <c r="H110" s="937">
        <f t="shared" si="3"/>
        <v>0.3811944091</v>
      </c>
      <c r="I110" s="937" t="str">
        <f>IF(H110&lt;'PlayerGrades+'!$AC$21,"F-",IF(H110&lt;'PlayerGrades+'!$AC$20,"F",IF(H110&lt;'PlayerGrades+'!$AC$19,"F+",IF(H110&lt;'PlayerGrades+'!$AC$18,"E-",IF(H110&lt;'PlayerGrades+'!$AC$17,"E",IF(H110&lt;'PlayerGrades+'!$AC$16,"E+",IF(H110&lt;'PlayerGrades+'!$AC$15,"D-",IF(H110&lt;'PlayerGrades+'!$AC$14,"D",IF(H110&lt;'PlayerGrades+'!$AC$13,"D+",IF(H110&lt;'PlayerGrades+'!$AC$12,"C-",IF(H110&lt;'PlayerGrades+'!$AC$11,"C",IF(H110&lt;'PlayerGrades+'!$AC$10,"C+",IF(H110&lt;'PlayerGrades+'!$AC$9,"B-",IF(H110&lt;'PlayerGrades+'!$AC$8,"B",IF(H110&lt;'PlayerGrades+'!$AC$7,"B+",IF(H110&lt;'PlayerGrades+'!$AC$6,"A-",IF(H110&lt;'PlayerGrades+'!$AC$5,"A",IF(H110&lt;'PlayerGrades+'!$AC$4,"A+",IF(H110&lt;'PlayerGrades+'!$AC$3,"S-",IF(H110&lt;'PlayerGrades+'!$AC$2,"S","S+"))))))))))))))))))))</f>
        <v>S+</v>
      </c>
      <c r="J110" s="937">
        <f t="shared" si="4"/>
        <v>0.07623888183</v>
      </c>
      <c r="K110" s="937" t="str">
        <f>IF(J110&lt;'PlayerGrades+'!$AD$21,"F-",IF(J110&lt;'PlayerGrades+'!$AD$20,"F",IF(J110&lt;'PlayerGrades+'!$AD$19,"F+",IF(J110&lt;'PlayerGrades+'!$AD$18,"E-",IF(J110&lt;'PlayerGrades+'!$AD$17,"E",IF(J110&lt;'PlayerGrades+'!$AD$16,"E+",IF(J110&lt;'PlayerGrades+'!$AD$15,"D-",IF(J110&lt;'PlayerGrades+'!$AD$14,"D",IF(J110&lt;'PlayerGrades+'!$AD$13,"D+",IF(J110&lt;'PlayerGrades+'!$AD$12,"C-",IF(J110&lt;'PlayerGrades+'!$AD$11,"C",IF(J110&lt;'PlayerGrades+'!$AD$10,"C+",IF(J110&lt;'PlayerGrades+'!$AD$9,"B-",IF(J110&lt;'PlayerGrades+'!$AD$8,"B",IF(J110&lt;'PlayerGrades+'!$AD$7,"B+",IF(J110&lt;'PlayerGrades+'!$AD$6,"A-",IF(J110&lt;'PlayerGrades+'!$AD$5,"A",IF(J110&lt;'PlayerGrades+'!$AD$4,"A+",IF(J110&lt;'PlayerGrades+'!$AD$3,"S-",IF(J110&lt;'PlayerGrades+'!$AD$2,"S","S+"))))))))))))))))))))</f>
        <v>A+</v>
      </c>
      <c r="L110" s="677">
        <f t="shared" si="5"/>
        <v>0.3049555273</v>
      </c>
      <c r="M110" s="938" t="str">
        <f>IF(L110&lt;'PlayerGrades+'!$AE$21,"F-",IF(L110&lt;'PlayerGrades+'!$AE$20,"F",IF(L110&lt;'PlayerGrades+'!$AE$19,"F+",IF(L110&lt;'PlayerGrades+'!$AE$18,"E-",IF(L110&lt;'PlayerGrades+'!$AE$17,"E",IF(L110&lt;'PlayerGrades+'!$AE$16,"E+",IF(L110&lt;'PlayerGrades+'!$AE$15,"D-",IF(L110&lt;'PlayerGrades+'!$AE$14,"D",IF(L110&lt;'PlayerGrades+'!$AE$13,"D+",IF(L110&lt;'PlayerGrades+'!$AE$12,"C-",IF(L110&lt;'PlayerGrades+'!$AE$11,"C",IF(L110&lt;'PlayerGrades+'!$AE$10,"C+",IF(L110&lt;'PlayerGrades+'!$AE$9,"B-",IF(L110&lt;'PlayerGrades+'!$AE$8,"B",IF(L110&lt;'PlayerGrades+'!$AE$7,"B+",IF(L110&lt;'PlayerGrades+'!$AE$6,"A-",IF(L110&lt;'PlayerGrades+'!$AE$5,"A",IF(L110&lt;'PlayerGrades+'!$AE$4,"A+",IF(L110&lt;'PlayerGrades+'!$AE$3,"S-",IF(L110&lt;'PlayerGrades+'!$AE$2,"S","S+"))))))))))))))))))))</f>
        <v>E-</v>
      </c>
      <c r="N110" s="937">
        <f t="shared" si="6"/>
        <v>0.07623888183</v>
      </c>
      <c r="O110" s="937" t="str">
        <f>IF(N110&lt;'PlayerGrades+'!$AF$21,"F-",IF(N110&lt;'PlayerGrades+'!$AF$20,"F",IF(N110&lt;'PlayerGrades+'!$AF$19,"F+",IF(N110&lt;'PlayerGrades+'!$AF$18,"E-",IF(N110&lt;'PlayerGrades+'!$AF$17,"E",IF(N110&lt;'PlayerGrades+'!$AF$16,"E+",IF(N110&lt;'PlayerGrades+'!$AF$15,"D-",IF(N110&lt;'PlayerGrades+'!$AF$14,"D",IF(N110&lt;'PlayerGrades+'!$AF$13,"D+",IF(N110&lt;'PlayerGrades+'!$AF$12,"C-",IF(N110&lt;'PlayerGrades+'!$AF$11,"C",IF(N110&lt;'PlayerGrades+'!$AF$10,"C+",IF(N110&lt;'PlayerGrades+'!$AF$9,"B-",IF(N110&lt;'PlayerGrades+'!$AF$8,"B",IF(N110&lt;'PlayerGrades+'!$AF$7,"B+",IF(N110&lt;'PlayerGrades+'!$AF$6,"A-",IF(N110&lt;'PlayerGrades+'!$AF$5,"A",IF(N110&lt;'PlayerGrades+'!$AF$4,"A+",IF(N110&lt;'PlayerGrades+'!$AF$3,"S-",IF(N110&lt;'PlayerGrades+'!$AF$2,"S","S+"))))))))))))))))))))</f>
        <v>B-</v>
      </c>
      <c r="P110" s="937">
        <f t="shared" si="7"/>
        <v>0.07623888183</v>
      </c>
      <c r="Q110" s="937" t="str">
        <f>IF(P110&lt;'PlayerGrades+'!$AG$21,"F-",IF(P110&lt;'PlayerGrades+'!$AG$20,"F",IF(P110&lt;'PlayerGrades+'!$AG$19,"F+",IF(P110&lt;'PlayerGrades+'!$AG$18,"E-",IF(P110&lt;'PlayerGrades+'!$AG$17,"E",IF(P110&lt;'PlayerGrades+'!$AG$16,"E+",IF(P110&lt;'PlayerGrades+'!$AG$15,"D-",IF(P110&lt;'PlayerGrades+'!$AG$14,"D",IF(P110&lt;'PlayerGrades+'!$AG$13,"D+",IF(P110&lt;'PlayerGrades+'!$AG$12,"C-",IF(P110&lt;'PlayerGrades+'!$AG$11,"C",IF(P110&lt;'PlayerGrades+'!$AG$10,"C+",IF(P110&lt;'PlayerGrades+'!$AG$9,"B-",IF(P110&lt;'PlayerGrades+'!$AG$8,"B",IF(P110&lt;'PlayerGrades+'!$AG$7,"B+",IF(P110&lt;'PlayerGrades+'!$AG$6,"A-",IF(P110&lt;'PlayerGrades+'!$AG$5,"A",IF(P110&lt;'PlayerGrades+'!$AG$4,"A+",IF(P110&lt;'PlayerGrades+'!$AG$3,"S-",IF(P110&lt;'PlayerGrades+'!$AG$2,"S","S+"))))))))))))))))))))</f>
        <v>S-</v>
      </c>
      <c r="R110" s="937">
        <f t="shared" si="8"/>
        <v>0.5336721728</v>
      </c>
      <c r="S110" s="937" t="str">
        <f>IF(R110&lt;'PlayerGrades+'!$AH$21,"F-",IF(R110&lt;'PlayerGrades+'!$AH$20,"F",IF(R110&lt;'PlayerGrades+'!$AH$19,"F+",IF(R110&lt;'PlayerGrades+'!$AH$18,"E-",IF(R110&lt;'PlayerGrades+'!$AH$17,"E",IF(R110&lt;'PlayerGrades+'!$AH$16,"E+",IF(R110&lt;'PlayerGrades+'!$AH$15,"D-",IF(R110&lt;'PlayerGrades+'!$AH$14,"D",IF(R110&lt;'PlayerGrades+'!$AH$13,"D+",IF(R110&lt;'PlayerGrades+'!$AH$12,"C-",IF(R110&lt;'PlayerGrades+'!$AH$11,"C",IF(R110&lt;'PlayerGrades+'!$AH$10,"C+",IF(R110&lt;'PlayerGrades+'!$AH$9,"B-",IF(R110&lt;'PlayerGrades+'!$AH$8,"B",IF(R110&lt;'PlayerGrades+'!$AH$7,"B+",IF(R110&lt;'PlayerGrades+'!$AH$6,"A-",IF(R110&lt;'PlayerGrades+'!$AH$5,"A",IF(R110&lt;'PlayerGrades+'!$AH$4,"A+",IF(R110&lt;'PlayerGrades+'!$AH$3,"S-",IF(R110&lt;'PlayerGrades+'!$AH$2,"S","S+"))))))))))))))))))))</f>
        <v>C+</v>
      </c>
      <c r="T110" s="937">
        <f t="shared" si="9"/>
        <v>1.381194409</v>
      </c>
      <c r="U110" s="937" t="str">
        <f>IF(T110&lt;'PlayerGrades+'!$AI$21,"F-",IF(T110&lt;'PlayerGrades+'!$AI$20,"F",IF(T110&lt;'PlayerGrades+'!$AI$19,"F+",IF(T110&lt;'PlayerGrades+'!$AI$18,"E-",IF(T110&lt;'PlayerGrades+'!$AI$17,"E",IF(T110&lt;'PlayerGrades+'!$AI$16,"E+",IF(T110&lt;'PlayerGrades+'!$AI$15,"D-",IF(T110&lt;'PlayerGrades+'!$AI$14,"D",IF(T110&lt;'PlayerGrades+'!$AI$13,"D+",IF(T110&lt;'PlayerGrades+'!$AI$12,"C-",IF(T110&lt;'PlayerGrades+'!$AI$11,"C",IF(T110&lt;'PlayerGrades+'!$AI$10,"C+",IF(T110&lt;'PlayerGrades+'!$AI$9,"B-",IF(T110&lt;'PlayerGrades+'!$AI$8,"B",IF(T110&lt;'PlayerGrades+'!$AI$7,"B+",IF(T110&lt;'PlayerGrades+'!$AI$6,"A-",IF(T110&lt;'PlayerGrades+'!$AI$5,"A",IF(T110&lt;'PlayerGrades+'!$AI$4,"A+",IF(T110&lt;'PlayerGrades+'!$AI$3,"S-",IF(T110&lt;'PlayerGrades+'!$AI$2,"S","S+"))))))))))))))))))))</f>
        <v>B</v>
      </c>
      <c r="V110" s="941">
        <v>1.0</v>
      </c>
      <c r="W110" s="941">
        <v>1.0</v>
      </c>
      <c r="X110" s="941">
        <v>0.0</v>
      </c>
      <c r="Y110" s="941">
        <v>0.0</v>
      </c>
      <c r="Z110" s="941">
        <v>0.0</v>
      </c>
      <c r="AA110" s="941">
        <v>37.0</v>
      </c>
      <c r="AB110" s="941">
        <v>52.0</v>
      </c>
      <c r="AC110" s="941">
        <v>-15.0</v>
      </c>
      <c r="AD110" s="941">
        <v>3.0</v>
      </c>
      <c r="AE110" s="941">
        <v>6.0</v>
      </c>
      <c r="AF110" s="941">
        <v>1.0</v>
      </c>
      <c r="AG110" s="941">
        <v>575.0</v>
      </c>
      <c r="AH110" s="941">
        <v>787.0</v>
      </c>
      <c r="AI110" s="941">
        <v>11.0</v>
      </c>
      <c r="AJ110" s="941">
        <v>8.0</v>
      </c>
      <c r="AK110" s="941">
        <v>0.0</v>
      </c>
      <c r="AL110" s="941">
        <v>1.0</v>
      </c>
      <c r="AM110" s="941">
        <v>0.0</v>
      </c>
      <c r="AN110" s="941">
        <v>0.0</v>
      </c>
      <c r="AO110" s="941">
        <v>0.0</v>
      </c>
      <c r="AP110" s="941">
        <v>1.0</v>
      </c>
      <c r="AQ110" s="941">
        <v>0.0</v>
      </c>
      <c r="AR110" s="941">
        <v>4.0</v>
      </c>
      <c r="AS110" s="941">
        <v>1.0</v>
      </c>
      <c r="AT110" s="941">
        <v>1.0</v>
      </c>
      <c r="AU110" s="941">
        <v>0.0</v>
      </c>
      <c r="AV110" s="941">
        <v>0.0</v>
      </c>
      <c r="AW110" s="941">
        <v>0.0</v>
      </c>
      <c r="AX110" s="941">
        <v>0.0</v>
      </c>
      <c r="AY110" s="941">
        <v>0.0</v>
      </c>
      <c r="AZ110" s="941">
        <v>0.0</v>
      </c>
      <c r="BA110" s="941">
        <v>0.0</v>
      </c>
      <c r="BB110" s="941">
        <v>5.0</v>
      </c>
      <c r="BC110" s="941">
        <v>0.0</v>
      </c>
      <c r="BD110" s="941">
        <v>4.0</v>
      </c>
      <c r="BE110" s="942">
        <v>5.0</v>
      </c>
      <c r="BF110" s="941">
        <v>1.0</v>
      </c>
      <c r="BG110" s="941">
        <v>0.0</v>
      </c>
    </row>
    <row r="111">
      <c r="A111" s="935" t="s">
        <v>139</v>
      </c>
      <c r="B111" s="16" t="str">
        <f>IF(C111&lt;'PlayerGrades+'!$Y$44,"F-",IF(C111&lt;'PlayerGrades+'!$Y$43,"F",IF(C111&lt;'PlayerGrades+'!$Y$42,"F+",IF(C111&lt;'PlayerGrades+'!$Y$41,"E-",IF(C111&lt;'PlayerGrades+'!$Y$40,"E",IF(C111&lt;'PlayerGrades+'!$Y$39,"E+",IF(C111&lt;'PlayerGrades+'!$Y$38,"D-",IF(C111&lt;'PlayerGrades+'!$Y$37,"D",IF(C111&lt;'PlayerGrades+'!$Y$36,"D+",IF(C111&lt;'PlayerGrades+'!$Y$35,"C-",IF(C111&lt;'PlayerGrades+'!$Y$34,"C",IF(C111&lt;'PlayerGrades+'!$Y$33,"C+",IF(C111&lt;'PlayerGrades+'!$Y$32,"B-",IF(C111&lt;'PlayerGrades+'!$Y$31,"B",IF(C111&lt;'PlayerGrades+'!$Y$30,"B+",IF(C111&lt;'PlayerGrades+'!$Y$29,"A-",IF(C111&lt;'PlayerGrades+'!$Y$28,"A",IF(C111&lt;'PlayerGrades+'!$Y$27,"A+",IF(C111&lt;'PlayerGrades+'!$Y$26,"S-",IF(C111&lt;'PlayerGrades+'!$Y$25,"S","S+"))))))))))))))))))))</f>
        <v>D</v>
      </c>
      <c r="C111" s="936">
        <f>('PlayerGrades+'!$Y$47*(VLOOKUP(E111, 'PlayerGrades+'!$X$3:$Y$23, 2, FALSE)))+('PlayerGrades+'!$Y$48*(VLOOKUP(G111, 'PlayerGrades+'!$X$3:$Y$23, 2, FALSE)))+('PlayerGrades+'!$Y$49*(VLOOKUP(I111, 'PlayerGrades+'!$X$3:$Y$23, 2, FALSE)))+('PlayerGrades+'!$Y$50*(VLOOKUP(K111, 'PlayerGrades+'!$X$3:$Y$23, 2, FALSE)))+('PlayerGrades+'!$Y$51*(VLOOKUP(M111, 'PlayerGrades+'!$X$3:$Y$23, 2, FALSE)))+('PlayerGrades+'!$Y$52*(VLOOKUP(O111, 'PlayerGrades+'!$X$3:$Y$23, 2, FALSE)))+('PlayerGrades+'!$Y$53*(VLOOKUP(Q111, 'PlayerGrades+'!$X$3:$Y$23, 2, FALSE)))+('PlayerGrades+'!$Y$54*(VLOOKUP(S111, 'PlayerGrades+'!$X$3:$Y$23, 2, FALSE)))+('PlayerGrades+'!$Y$55*(VLOOKUP(U111, 'PlayerGrades+'!$X$3:$Y$23, 2, FALSE)))</f>
        <v>16.2</v>
      </c>
      <c r="D111" s="937">
        <f t="shared" si="1"/>
        <v>0</v>
      </c>
      <c r="E111" s="937" t="str">
        <f>IF(D111&lt;'PlayerGrades+'!$AA$21,"F-",IF(D111&lt;'PlayerGrades+'!$AA$20,"F",IF(D111&lt;'PlayerGrades+'!$AA$19,"F+",IF(D111&lt;'PlayerGrades+'!$AA$18,"E-",IF(D111&lt;'PlayerGrades+'!$AA$17,"E",IF(D111&lt;'PlayerGrades+'!$AA$16,"E+",IF(D111&lt;'PlayerGrades+'!$AA$15,"D-",IF(D111&lt;'PlayerGrades+'!$AA$14,"D",IF(D111&lt;'PlayerGrades+'!$AA$13,"D+",IF(D111&lt;'PlayerGrades+'!$AA$12,"C-",IF(D111&lt;'PlayerGrades+'!$AA$11,"C",IF(D111&lt;'PlayerGrades+'!$AA$10,"C+",IF(D111&lt;'PlayerGrades+'!$AA$9,"B-",IF(D111&lt;'PlayerGrades+'!$AA$8,"B",IF(D111&lt;'PlayerGrades+'!$AA$7,"B+",IF(D111&lt;'PlayerGrades+'!$AA$6,"A-",IF(D111&lt;'PlayerGrades+'!$AA$5,"A",IF(D111&lt;'PlayerGrades+'!$AA$4,"A+",IF(D111&lt;'PlayerGrades+'!$AA$3,"S-",IF(D111&lt;'PlayerGrades+'!$AA$2,"S","S+"))))))))))))))))))))</f>
        <v>F-</v>
      </c>
      <c r="F111" s="937">
        <f t="shared" si="2"/>
        <v>-0.3811944091</v>
      </c>
      <c r="G111" s="937" t="str">
        <f>IF(F111&lt;'PlayerGrades+'!$AB$21,"F-",IF(F111&lt;'PlayerGrades+'!$AB$20,"F",IF(F111&lt;'PlayerGrades+'!$AB$19,"F+",IF(F111&lt;'PlayerGrades+'!$AB$18,"E-",IF(F111&lt;'PlayerGrades+'!$AB$17,"E",IF(F111&lt;'PlayerGrades+'!$AB$16,"E+",IF(F111&lt;'PlayerGrades+'!$AB$15,"D-",IF(F111&lt;'PlayerGrades+'!$AB$14,"D",IF(F111&lt;'PlayerGrades+'!$AB$13,"D+",IF(F111&lt;'PlayerGrades+'!$AB$12,"C-",IF(F111&lt;'PlayerGrades+'!$AB$11,"C",IF(F111&lt;'PlayerGrades+'!$AB$10,"C+",IF(F111&lt;'PlayerGrades+'!$AB$9,"B-",IF(F111&lt;'PlayerGrades+'!$AB$8,"B",IF(F111&lt;'PlayerGrades+'!$AB$7,"B+",IF(F111&lt;'PlayerGrades+'!$AB$6,"A-",IF(F111&lt;'PlayerGrades+'!$AB$5,"A",IF(F111&lt;'PlayerGrades+'!$AB$4,"A+",IF(F111&lt;'PlayerGrades+'!$AB$3,"S-",IF(F111&lt;'PlayerGrades+'!$AB$2,"S","S+"))))))))))))))))))))</f>
        <v>C-</v>
      </c>
      <c r="H111" s="937">
        <f t="shared" si="3"/>
        <v>0.2287166455</v>
      </c>
      <c r="I111" s="937" t="str">
        <f>IF(H111&lt;'PlayerGrades+'!$AC$21,"F-",IF(H111&lt;'PlayerGrades+'!$AC$20,"F",IF(H111&lt;'PlayerGrades+'!$AC$19,"F+",IF(H111&lt;'PlayerGrades+'!$AC$18,"E-",IF(H111&lt;'PlayerGrades+'!$AC$17,"E",IF(H111&lt;'PlayerGrades+'!$AC$16,"E+",IF(H111&lt;'PlayerGrades+'!$AC$15,"D-",IF(H111&lt;'PlayerGrades+'!$AC$14,"D",IF(H111&lt;'PlayerGrades+'!$AC$13,"D+",IF(H111&lt;'PlayerGrades+'!$AC$12,"C-",IF(H111&lt;'PlayerGrades+'!$AC$11,"C",IF(H111&lt;'PlayerGrades+'!$AC$10,"C+",IF(H111&lt;'PlayerGrades+'!$AC$9,"B-",IF(H111&lt;'PlayerGrades+'!$AC$8,"B",IF(H111&lt;'PlayerGrades+'!$AC$7,"B+",IF(H111&lt;'PlayerGrades+'!$AC$6,"A-",IF(H111&lt;'PlayerGrades+'!$AC$5,"A",IF(H111&lt;'PlayerGrades+'!$AC$4,"A+",IF(H111&lt;'PlayerGrades+'!$AC$3,"S-",IF(H111&lt;'PlayerGrades+'!$AC$2,"S","S+"))))))))))))))))))))</f>
        <v>S</v>
      </c>
      <c r="J111" s="937">
        <f t="shared" si="4"/>
        <v>0</v>
      </c>
      <c r="K111" s="937" t="str">
        <f>IF(J111&lt;'PlayerGrades+'!$AD$21,"F-",IF(J111&lt;'PlayerGrades+'!$AD$20,"F",IF(J111&lt;'PlayerGrades+'!$AD$19,"F+",IF(J111&lt;'PlayerGrades+'!$AD$18,"E-",IF(J111&lt;'PlayerGrades+'!$AD$17,"E",IF(J111&lt;'PlayerGrades+'!$AD$16,"E+",IF(J111&lt;'PlayerGrades+'!$AD$15,"D-",IF(J111&lt;'PlayerGrades+'!$AD$14,"D",IF(J111&lt;'PlayerGrades+'!$AD$13,"D+",IF(J111&lt;'PlayerGrades+'!$AD$12,"C-",IF(J111&lt;'PlayerGrades+'!$AD$11,"C",IF(J111&lt;'PlayerGrades+'!$AD$10,"C+",IF(J111&lt;'PlayerGrades+'!$AD$9,"B-",IF(J111&lt;'PlayerGrades+'!$AD$8,"B",IF(J111&lt;'PlayerGrades+'!$AD$7,"B+",IF(J111&lt;'PlayerGrades+'!$AD$6,"A-",IF(J111&lt;'PlayerGrades+'!$AD$5,"A",IF(J111&lt;'PlayerGrades+'!$AD$4,"A+",IF(J111&lt;'PlayerGrades+'!$AD$3,"S-",IF(J111&lt;'PlayerGrades+'!$AD$2,"S","S+"))))))))))))))))))))</f>
        <v>F-</v>
      </c>
      <c r="L111" s="677">
        <f t="shared" si="5"/>
        <v>0.457433291</v>
      </c>
      <c r="M111" s="938" t="str">
        <f>IF(L111&lt;'PlayerGrades+'!$AE$21,"F-",IF(L111&lt;'PlayerGrades+'!$AE$20,"F",IF(L111&lt;'PlayerGrades+'!$AE$19,"F+",IF(L111&lt;'PlayerGrades+'!$AE$18,"E-",IF(L111&lt;'PlayerGrades+'!$AE$17,"E",IF(L111&lt;'PlayerGrades+'!$AE$16,"E+",IF(L111&lt;'PlayerGrades+'!$AE$15,"D-",IF(L111&lt;'PlayerGrades+'!$AE$14,"D",IF(L111&lt;'PlayerGrades+'!$AE$13,"D+",IF(L111&lt;'PlayerGrades+'!$AE$12,"C-",IF(L111&lt;'PlayerGrades+'!$AE$11,"C",IF(L111&lt;'PlayerGrades+'!$AE$10,"C+",IF(L111&lt;'PlayerGrades+'!$AE$9,"B-",IF(L111&lt;'PlayerGrades+'!$AE$8,"B",IF(L111&lt;'PlayerGrades+'!$AE$7,"B+",IF(L111&lt;'PlayerGrades+'!$AE$6,"A-",IF(L111&lt;'PlayerGrades+'!$AE$5,"A",IF(L111&lt;'PlayerGrades+'!$AE$4,"A+",IF(L111&lt;'PlayerGrades+'!$AE$3,"S-",IF(L111&lt;'PlayerGrades+'!$AE$2,"S","S+"))))))))))))))))))))</f>
        <v>B+</v>
      </c>
      <c r="N111" s="937">
        <f t="shared" si="6"/>
        <v>0.07623888183</v>
      </c>
      <c r="O111" s="937" t="str">
        <f>IF(N111&lt;'PlayerGrades+'!$AF$21,"F-",IF(N111&lt;'PlayerGrades+'!$AF$20,"F",IF(N111&lt;'PlayerGrades+'!$AF$19,"F+",IF(N111&lt;'PlayerGrades+'!$AF$18,"E-",IF(N111&lt;'PlayerGrades+'!$AF$17,"E",IF(N111&lt;'PlayerGrades+'!$AF$16,"E+",IF(N111&lt;'PlayerGrades+'!$AF$15,"D-",IF(N111&lt;'PlayerGrades+'!$AF$14,"D",IF(N111&lt;'PlayerGrades+'!$AF$13,"D+",IF(N111&lt;'PlayerGrades+'!$AF$12,"C-",IF(N111&lt;'PlayerGrades+'!$AF$11,"C",IF(N111&lt;'PlayerGrades+'!$AF$10,"C+",IF(N111&lt;'PlayerGrades+'!$AF$9,"B-",IF(N111&lt;'PlayerGrades+'!$AF$8,"B",IF(N111&lt;'PlayerGrades+'!$AF$7,"B+",IF(N111&lt;'PlayerGrades+'!$AF$6,"A-",IF(N111&lt;'PlayerGrades+'!$AF$5,"A",IF(N111&lt;'PlayerGrades+'!$AF$4,"A+",IF(N111&lt;'PlayerGrades+'!$AF$3,"S-",IF(N111&lt;'PlayerGrades+'!$AF$2,"S","S+"))))))))))))))))))))</f>
        <v>B-</v>
      </c>
      <c r="P111" s="937">
        <f t="shared" si="7"/>
        <v>0</v>
      </c>
      <c r="Q111" s="937" t="str">
        <f>IF(P111&lt;'PlayerGrades+'!$AG$21,"F-",IF(P111&lt;'PlayerGrades+'!$AG$20,"F",IF(P111&lt;'PlayerGrades+'!$AG$19,"F+",IF(P111&lt;'PlayerGrades+'!$AG$18,"E-",IF(P111&lt;'PlayerGrades+'!$AG$17,"E",IF(P111&lt;'PlayerGrades+'!$AG$16,"E+",IF(P111&lt;'PlayerGrades+'!$AG$15,"D-",IF(P111&lt;'PlayerGrades+'!$AG$14,"D",IF(P111&lt;'PlayerGrades+'!$AG$13,"D+",IF(P111&lt;'PlayerGrades+'!$AG$12,"C-",IF(P111&lt;'PlayerGrades+'!$AG$11,"C",IF(P111&lt;'PlayerGrades+'!$AG$10,"C+",IF(P111&lt;'PlayerGrades+'!$AG$9,"B-",IF(P111&lt;'PlayerGrades+'!$AG$8,"B",IF(P111&lt;'PlayerGrades+'!$AG$7,"B+",IF(P111&lt;'PlayerGrades+'!$AG$6,"A-",IF(P111&lt;'PlayerGrades+'!$AG$5,"A",IF(P111&lt;'PlayerGrades+'!$AG$4,"A+",IF(P111&lt;'PlayerGrades+'!$AG$3,"S-",IF(P111&lt;'PlayerGrades+'!$AG$2,"S","S+"))))))))))))))))))))</f>
        <v>F</v>
      </c>
      <c r="R111" s="937">
        <f t="shared" si="8"/>
        <v>0.3811944091</v>
      </c>
      <c r="S111" s="937" t="str">
        <f>IF(R111&lt;'PlayerGrades+'!$AH$21,"F-",IF(R111&lt;'PlayerGrades+'!$AH$20,"F",IF(R111&lt;'PlayerGrades+'!$AH$19,"F+",IF(R111&lt;'PlayerGrades+'!$AH$18,"E-",IF(R111&lt;'PlayerGrades+'!$AH$17,"E",IF(R111&lt;'PlayerGrades+'!$AH$16,"E+",IF(R111&lt;'PlayerGrades+'!$AH$15,"D-",IF(R111&lt;'PlayerGrades+'!$AH$14,"D",IF(R111&lt;'PlayerGrades+'!$AH$13,"D+",IF(R111&lt;'PlayerGrades+'!$AH$12,"C-",IF(R111&lt;'PlayerGrades+'!$AH$11,"C",IF(R111&lt;'PlayerGrades+'!$AH$10,"C+",IF(R111&lt;'PlayerGrades+'!$AH$9,"B-",IF(R111&lt;'PlayerGrades+'!$AH$8,"B",IF(R111&lt;'PlayerGrades+'!$AH$7,"B+",IF(R111&lt;'PlayerGrades+'!$AH$6,"A-",IF(R111&lt;'PlayerGrades+'!$AH$5,"A",IF(R111&lt;'PlayerGrades+'!$AH$4,"A+",IF(R111&lt;'PlayerGrades+'!$AH$3,"S-",IF(R111&lt;'PlayerGrades+'!$AH$2,"S","S+"))))))))))))))))))))</f>
        <v>F</v>
      </c>
      <c r="T111" s="937">
        <f t="shared" si="9"/>
        <v>0.6099110546</v>
      </c>
      <c r="U111" s="937" t="str">
        <f>IF(T111&lt;'PlayerGrades+'!$AI$21,"F-",IF(T111&lt;'PlayerGrades+'!$AI$20,"F",IF(T111&lt;'PlayerGrades+'!$AI$19,"F+",IF(T111&lt;'PlayerGrades+'!$AI$18,"E-",IF(T111&lt;'PlayerGrades+'!$AI$17,"E",IF(T111&lt;'PlayerGrades+'!$AI$16,"E+",IF(T111&lt;'PlayerGrades+'!$AI$15,"D-",IF(T111&lt;'PlayerGrades+'!$AI$14,"D",IF(T111&lt;'PlayerGrades+'!$AI$13,"D+",IF(T111&lt;'PlayerGrades+'!$AI$12,"C-",IF(T111&lt;'PlayerGrades+'!$AI$11,"C",IF(T111&lt;'PlayerGrades+'!$AI$10,"C+",IF(T111&lt;'PlayerGrades+'!$AI$9,"B-",IF(T111&lt;'PlayerGrades+'!$AI$8,"B",IF(T111&lt;'PlayerGrades+'!$AI$7,"B+",IF(T111&lt;'PlayerGrades+'!$AI$6,"A-",IF(T111&lt;'PlayerGrades+'!$AI$5,"A",IF(T111&lt;'PlayerGrades+'!$AI$4,"A+",IF(T111&lt;'PlayerGrades+'!$AI$3,"S-",IF(T111&lt;'PlayerGrades+'!$AI$2,"S","S+"))))))))))))))))))))</f>
        <v>F-</v>
      </c>
      <c r="V111" s="941">
        <v>1.0</v>
      </c>
      <c r="W111" s="941">
        <v>1.0</v>
      </c>
      <c r="X111" s="941">
        <v>0.0</v>
      </c>
      <c r="Y111" s="941">
        <v>0.0</v>
      </c>
      <c r="Z111" s="941">
        <v>0.0</v>
      </c>
      <c r="AA111" s="941">
        <v>48.0</v>
      </c>
      <c r="AB111" s="941">
        <v>53.0</v>
      </c>
      <c r="AC111" s="941">
        <v>-5.0</v>
      </c>
      <c r="AD111" s="941">
        <v>5.0</v>
      </c>
      <c r="AE111" s="941">
        <v>3.0</v>
      </c>
      <c r="AF111" s="941">
        <v>3.0</v>
      </c>
      <c r="AG111" s="941">
        <v>564.0</v>
      </c>
      <c r="AH111" s="941">
        <v>787.0</v>
      </c>
      <c r="AI111" s="941">
        <v>10.0</v>
      </c>
      <c r="AJ111" s="941">
        <v>1.0</v>
      </c>
      <c r="AK111" s="941">
        <v>0.0</v>
      </c>
      <c r="AL111" s="941">
        <v>0.0</v>
      </c>
      <c r="AM111" s="941">
        <v>0.0</v>
      </c>
      <c r="AN111" s="941">
        <v>0.0</v>
      </c>
      <c r="AO111" s="941">
        <v>0.0</v>
      </c>
      <c r="AP111" s="941">
        <v>0.0</v>
      </c>
      <c r="AQ111" s="941">
        <v>0.0</v>
      </c>
      <c r="AR111" s="941">
        <v>6.0</v>
      </c>
      <c r="AS111" s="941">
        <v>1.0</v>
      </c>
      <c r="AT111" s="941">
        <v>0.0</v>
      </c>
      <c r="AU111" s="941">
        <v>0.0</v>
      </c>
      <c r="AV111" s="941">
        <v>0.0</v>
      </c>
      <c r="AW111" s="941">
        <v>0.0</v>
      </c>
      <c r="AX111" s="941">
        <v>0.0</v>
      </c>
      <c r="AY111" s="941">
        <v>0.0</v>
      </c>
      <c r="AZ111" s="941">
        <v>0.0</v>
      </c>
      <c r="BA111" s="941">
        <v>0.0</v>
      </c>
      <c r="BB111" s="941">
        <v>3.0</v>
      </c>
      <c r="BC111" s="941">
        <v>0.0</v>
      </c>
      <c r="BD111" s="941">
        <v>0.0</v>
      </c>
      <c r="BE111" s="942">
        <v>8.0</v>
      </c>
      <c r="BF111" s="941">
        <v>0.0</v>
      </c>
      <c r="BG111" s="941">
        <v>0.0</v>
      </c>
    </row>
    <row r="112">
      <c r="A112" s="935" t="s">
        <v>128</v>
      </c>
      <c r="B112" s="16" t="str">
        <f>IF(C112&lt;'PlayerGrades+'!$Y$44,"F-",IF(C112&lt;'PlayerGrades+'!$Y$43,"F",IF(C112&lt;'PlayerGrades+'!$Y$42,"F+",IF(C112&lt;'PlayerGrades+'!$Y$41,"E-",IF(C112&lt;'PlayerGrades+'!$Y$40,"E",IF(C112&lt;'PlayerGrades+'!$Y$39,"E+",IF(C112&lt;'PlayerGrades+'!$Y$38,"D-",IF(C112&lt;'PlayerGrades+'!$Y$37,"D",IF(C112&lt;'PlayerGrades+'!$Y$36,"D+",IF(C112&lt;'PlayerGrades+'!$Y$35,"C-",IF(C112&lt;'PlayerGrades+'!$Y$34,"C",IF(C112&lt;'PlayerGrades+'!$Y$33,"C+",IF(C112&lt;'PlayerGrades+'!$Y$32,"B-",IF(C112&lt;'PlayerGrades+'!$Y$31,"B",IF(C112&lt;'PlayerGrades+'!$Y$30,"B+",IF(C112&lt;'PlayerGrades+'!$Y$29,"A-",IF(C112&lt;'PlayerGrades+'!$Y$28,"A",IF(C112&lt;'PlayerGrades+'!$Y$27,"A+",IF(C112&lt;'PlayerGrades+'!$Y$26,"S-",IF(C112&lt;'PlayerGrades+'!$Y$25,"S","S+"))))))))))))))))))))</f>
        <v>A</v>
      </c>
      <c r="C112" s="936">
        <f>('PlayerGrades+'!$Y$47*(VLOOKUP(E112, 'PlayerGrades+'!$X$3:$Y$23, 2, FALSE)))+('PlayerGrades+'!$Y$48*(VLOOKUP(G112, 'PlayerGrades+'!$X$3:$Y$23, 2, FALSE)))+('PlayerGrades+'!$Y$49*(VLOOKUP(I112, 'PlayerGrades+'!$X$3:$Y$23, 2, FALSE)))+('PlayerGrades+'!$Y$50*(VLOOKUP(K112, 'PlayerGrades+'!$X$3:$Y$23, 2, FALSE)))+('PlayerGrades+'!$Y$51*(VLOOKUP(M112, 'PlayerGrades+'!$X$3:$Y$23, 2, FALSE)))+('PlayerGrades+'!$Y$52*(VLOOKUP(O112, 'PlayerGrades+'!$X$3:$Y$23, 2, FALSE)))+('PlayerGrades+'!$Y$53*(VLOOKUP(Q112, 'PlayerGrades+'!$X$3:$Y$23, 2, FALSE)))+('PlayerGrades+'!$Y$54*(VLOOKUP(S112, 'PlayerGrades+'!$X$3:$Y$23, 2, FALSE)))+('PlayerGrades+'!$Y$55*(VLOOKUP(U112, 'PlayerGrades+'!$X$3:$Y$23, 2, FALSE)))</f>
        <v>25.75</v>
      </c>
      <c r="D112" s="937">
        <f t="shared" si="1"/>
        <v>0</v>
      </c>
      <c r="E112" s="937" t="str">
        <f>IF(D112&lt;'PlayerGrades+'!$AA$21,"F-",IF(D112&lt;'PlayerGrades+'!$AA$20,"F",IF(D112&lt;'PlayerGrades+'!$AA$19,"F+",IF(D112&lt;'PlayerGrades+'!$AA$18,"E-",IF(D112&lt;'PlayerGrades+'!$AA$17,"E",IF(D112&lt;'PlayerGrades+'!$AA$16,"E+",IF(D112&lt;'PlayerGrades+'!$AA$15,"D-",IF(D112&lt;'PlayerGrades+'!$AA$14,"D",IF(D112&lt;'PlayerGrades+'!$AA$13,"D+",IF(D112&lt;'PlayerGrades+'!$AA$12,"C-",IF(D112&lt;'PlayerGrades+'!$AA$11,"C",IF(D112&lt;'PlayerGrades+'!$AA$10,"C+",IF(D112&lt;'PlayerGrades+'!$AA$9,"B-",IF(D112&lt;'PlayerGrades+'!$AA$8,"B",IF(D112&lt;'PlayerGrades+'!$AA$7,"B+",IF(D112&lt;'PlayerGrades+'!$AA$6,"A-",IF(D112&lt;'PlayerGrades+'!$AA$5,"A",IF(D112&lt;'PlayerGrades+'!$AA$4,"A+",IF(D112&lt;'PlayerGrades+'!$AA$3,"S-",IF(D112&lt;'PlayerGrades+'!$AA$2,"S","S+"))))))))))))))))))))</f>
        <v>F-</v>
      </c>
      <c r="F112" s="937">
        <f t="shared" si="2"/>
        <v>0.5336721728</v>
      </c>
      <c r="G112" s="937" t="str">
        <f>IF(F112&lt;'PlayerGrades+'!$AB$21,"F-",IF(F112&lt;'PlayerGrades+'!$AB$20,"F",IF(F112&lt;'PlayerGrades+'!$AB$19,"F+",IF(F112&lt;'PlayerGrades+'!$AB$18,"E-",IF(F112&lt;'PlayerGrades+'!$AB$17,"E",IF(F112&lt;'PlayerGrades+'!$AB$16,"E+",IF(F112&lt;'PlayerGrades+'!$AB$15,"D-",IF(F112&lt;'PlayerGrades+'!$AB$14,"D",IF(F112&lt;'PlayerGrades+'!$AB$13,"D+",IF(F112&lt;'PlayerGrades+'!$AB$12,"C-",IF(F112&lt;'PlayerGrades+'!$AB$11,"C",IF(F112&lt;'PlayerGrades+'!$AB$10,"C+",IF(F112&lt;'PlayerGrades+'!$AB$9,"B-",IF(F112&lt;'PlayerGrades+'!$AB$8,"B",IF(F112&lt;'PlayerGrades+'!$AB$7,"B+",IF(F112&lt;'PlayerGrades+'!$AB$6,"A-",IF(F112&lt;'PlayerGrades+'!$AB$5,"A",IF(F112&lt;'PlayerGrades+'!$AB$4,"A+",IF(F112&lt;'PlayerGrades+'!$AB$3,"S-",IF(F112&lt;'PlayerGrades+'!$AB$2,"S","S+"))))))))))))))))))))</f>
        <v>A+</v>
      </c>
      <c r="H112" s="937">
        <f t="shared" si="3"/>
        <v>0.3049555273</v>
      </c>
      <c r="I112" s="937" t="str">
        <f>IF(H112&lt;'PlayerGrades+'!$AC$21,"F-",IF(H112&lt;'PlayerGrades+'!$AC$20,"F",IF(H112&lt;'PlayerGrades+'!$AC$19,"F+",IF(H112&lt;'PlayerGrades+'!$AC$18,"E-",IF(H112&lt;'PlayerGrades+'!$AC$17,"E",IF(H112&lt;'PlayerGrades+'!$AC$16,"E+",IF(H112&lt;'PlayerGrades+'!$AC$15,"D-",IF(H112&lt;'PlayerGrades+'!$AC$14,"D",IF(H112&lt;'PlayerGrades+'!$AC$13,"D+",IF(H112&lt;'PlayerGrades+'!$AC$12,"C-",IF(H112&lt;'PlayerGrades+'!$AC$11,"C",IF(H112&lt;'PlayerGrades+'!$AC$10,"C+",IF(H112&lt;'PlayerGrades+'!$AC$9,"B-",IF(H112&lt;'PlayerGrades+'!$AC$8,"B",IF(H112&lt;'PlayerGrades+'!$AC$7,"B+",IF(H112&lt;'PlayerGrades+'!$AC$6,"A-",IF(H112&lt;'PlayerGrades+'!$AC$5,"A",IF(H112&lt;'PlayerGrades+'!$AC$4,"A+",IF(H112&lt;'PlayerGrades+'!$AC$3,"S-",IF(H112&lt;'PlayerGrades+'!$AC$2,"S","S+"))))))))))))))))))))</f>
        <v>S+</v>
      </c>
      <c r="J112" s="937">
        <f t="shared" si="4"/>
        <v>0</v>
      </c>
      <c r="K112" s="937" t="str">
        <f>IF(J112&lt;'PlayerGrades+'!$AD$21,"F-",IF(J112&lt;'PlayerGrades+'!$AD$20,"F",IF(J112&lt;'PlayerGrades+'!$AD$19,"F+",IF(J112&lt;'PlayerGrades+'!$AD$18,"E-",IF(J112&lt;'PlayerGrades+'!$AD$17,"E",IF(J112&lt;'PlayerGrades+'!$AD$16,"E+",IF(J112&lt;'PlayerGrades+'!$AD$15,"D-",IF(J112&lt;'PlayerGrades+'!$AD$14,"D",IF(J112&lt;'PlayerGrades+'!$AD$13,"D+",IF(J112&lt;'PlayerGrades+'!$AD$12,"C-",IF(J112&lt;'PlayerGrades+'!$AD$11,"C",IF(J112&lt;'PlayerGrades+'!$AD$10,"C+",IF(J112&lt;'PlayerGrades+'!$AD$9,"B-",IF(J112&lt;'PlayerGrades+'!$AD$8,"B",IF(J112&lt;'PlayerGrades+'!$AD$7,"B+",IF(J112&lt;'PlayerGrades+'!$AD$6,"A-",IF(J112&lt;'PlayerGrades+'!$AD$5,"A",IF(J112&lt;'PlayerGrades+'!$AD$4,"A+",IF(J112&lt;'PlayerGrades+'!$AD$3,"S-",IF(J112&lt;'PlayerGrades+'!$AD$2,"S","S+"))))))))))))))))))))</f>
        <v>F-</v>
      </c>
      <c r="L112" s="677">
        <f t="shared" si="5"/>
        <v>0.5336721728</v>
      </c>
      <c r="M112" s="938" t="str">
        <f>IF(L112&lt;'PlayerGrades+'!$AE$21,"F-",IF(L112&lt;'PlayerGrades+'!$AE$20,"F",IF(L112&lt;'PlayerGrades+'!$AE$19,"F+",IF(L112&lt;'PlayerGrades+'!$AE$18,"E-",IF(L112&lt;'PlayerGrades+'!$AE$17,"E",IF(L112&lt;'PlayerGrades+'!$AE$16,"E+",IF(L112&lt;'PlayerGrades+'!$AE$15,"D-",IF(L112&lt;'PlayerGrades+'!$AE$14,"D",IF(L112&lt;'PlayerGrades+'!$AE$13,"D+",IF(L112&lt;'PlayerGrades+'!$AE$12,"C-",IF(L112&lt;'PlayerGrades+'!$AE$11,"C",IF(L112&lt;'PlayerGrades+'!$AE$10,"C+",IF(L112&lt;'PlayerGrades+'!$AE$9,"B-",IF(L112&lt;'PlayerGrades+'!$AE$8,"B",IF(L112&lt;'PlayerGrades+'!$AE$7,"B+",IF(L112&lt;'PlayerGrades+'!$AE$6,"A-",IF(L112&lt;'PlayerGrades+'!$AE$5,"A",IF(L112&lt;'PlayerGrades+'!$AE$4,"A+",IF(L112&lt;'PlayerGrades+'!$AE$3,"S-",IF(L112&lt;'PlayerGrades+'!$AE$2,"S","S+"))))))))))))))))))))</f>
        <v>A-</v>
      </c>
      <c r="N112" s="937">
        <f t="shared" si="6"/>
        <v>0.1524777637</v>
      </c>
      <c r="O112" s="937" t="str">
        <f>IF(N112&lt;'PlayerGrades+'!$AF$21,"F-",IF(N112&lt;'PlayerGrades+'!$AF$20,"F",IF(N112&lt;'PlayerGrades+'!$AF$19,"F+",IF(N112&lt;'PlayerGrades+'!$AF$18,"E-",IF(N112&lt;'PlayerGrades+'!$AF$17,"E",IF(N112&lt;'PlayerGrades+'!$AF$16,"E+",IF(N112&lt;'PlayerGrades+'!$AF$15,"D-",IF(N112&lt;'PlayerGrades+'!$AF$14,"D",IF(N112&lt;'PlayerGrades+'!$AF$13,"D+",IF(N112&lt;'PlayerGrades+'!$AF$12,"C-",IF(N112&lt;'PlayerGrades+'!$AF$11,"C",IF(N112&lt;'PlayerGrades+'!$AF$10,"C+",IF(N112&lt;'PlayerGrades+'!$AF$9,"B-",IF(N112&lt;'PlayerGrades+'!$AF$8,"B",IF(N112&lt;'PlayerGrades+'!$AF$7,"B+",IF(N112&lt;'PlayerGrades+'!$AF$6,"A-",IF(N112&lt;'PlayerGrades+'!$AF$5,"A",IF(N112&lt;'PlayerGrades+'!$AF$4,"A+",IF(N112&lt;'PlayerGrades+'!$AF$3,"S-",IF(N112&lt;'PlayerGrades+'!$AF$2,"S","S+"))))))))))))))))))))</f>
        <v>S+</v>
      </c>
      <c r="P112" s="937">
        <f t="shared" si="7"/>
        <v>0</v>
      </c>
      <c r="Q112" s="937" t="str">
        <f>IF(P112&lt;'PlayerGrades+'!$AG$21,"F-",IF(P112&lt;'PlayerGrades+'!$AG$20,"F",IF(P112&lt;'PlayerGrades+'!$AG$19,"F+",IF(P112&lt;'PlayerGrades+'!$AG$18,"E-",IF(P112&lt;'PlayerGrades+'!$AG$17,"E",IF(P112&lt;'PlayerGrades+'!$AG$16,"E+",IF(P112&lt;'PlayerGrades+'!$AG$15,"D-",IF(P112&lt;'PlayerGrades+'!$AG$14,"D",IF(P112&lt;'PlayerGrades+'!$AG$13,"D+",IF(P112&lt;'PlayerGrades+'!$AG$12,"C-",IF(P112&lt;'PlayerGrades+'!$AG$11,"C",IF(P112&lt;'PlayerGrades+'!$AG$10,"C+",IF(P112&lt;'PlayerGrades+'!$AG$9,"B-",IF(P112&lt;'PlayerGrades+'!$AG$8,"B",IF(P112&lt;'PlayerGrades+'!$AG$7,"B+",IF(P112&lt;'PlayerGrades+'!$AG$6,"A-",IF(P112&lt;'PlayerGrades+'!$AG$5,"A",IF(P112&lt;'PlayerGrades+'!$AG$4,"A+",IF(P112&lt;'PlayerGrades+'!$AG$3,"S-",IF(P112&lt;'PlayerGrades+'!$AG$2,"S","S+"))))))))))))))))))))</f>
        <v>F</v>
      </c>
      <c r="R112" s="937">
        <f t="shared" si="8"/>
        <v>0.9911054638</v>
      </c>
      <c r="S112" s="937" t="str">
        <f>IF(R112&lt;'PlayerGrades+'!$AH$21,"F-",IF(R112&lt;'PlayerGrades+'!$AH$20,"F",IF(R112&lt;'PlayerGrades+'!$AH$19,"F+",IF(R112&lt;'PlayerGrades+'!$AH$18,"E-",IF(R112&lt;'PlayerGrades+'!$AH$17,"E",IF(R112&lt;'PlayerGrades+'!$AH$16,"E+",IF(R112&lt;'PlayerGrades+'!$AH$15,"D-",IF(R112&lt;'PlayerGrades+'!$AH$14,"D",IF(R112&lt;'PlayerGrades+'!$AH$13,"D+",IF(R112&lt;'PlayerGrades+'!$AH$12,"C-",IF(R112&lt;'PlayerGrades+'!$AH$11,"C",IF(R112&lt;'PlayerGrades+'!$AH$10,"C+",IF(R112&lt;'PlayerGrades+'!$AH$9,"B-",IF(R112&lt;'PlayerGrades+'!$AH$8,"B",IF(R112&lt;'PlayerGrades+'!$AH$7,"B+",IF(R112&lt;'PlayerGrades+'!$AH$6,"A-",IF(R112&lt;'PlayerGrades+'!$AH$5,"A",IF(R112&lt;'PlayerGrades+'!$AH$4,"A+",IF(R112&lt;'PlayerGrades+'!$AH$3,"S-",IF(R112&lt;'PlayerGrades+'!$AH$2,"S","S+"))))))))))))))))))))</f>
        <v>S+</v>
      </c>
      <c r="T112" s="937">
        <f t="shared" si="9"/>
        <v>0.3049555273</v>
      </c>
      <c r="U112" s="937" t="str">
        <f>IF(T112&lt;'PlayerGrades+'!$AI$21,"F-",IF(T112&lt;'PlayerGrades+'!$AI$20,"F",IF(T112&lt;'PlayerGrades+'!$AI$19,"F+",IF(T112&lt;'PlayerGrades+'!$AI$18,"E-",IF(T112&lt;'PlayerGrades+'!$AI$17,"E",IF(T112&lt;'PlayerGrades+'!$AI$16,"E+",IF(T112&lt;'PlayerGrades+'!$AI$15,"D-",IF(T112&lt;'PlayerGrades+'!$AI$14,"D",IF(T112&lt;'PlayerGrades+'!$AI$13,"D+",IF(T112&lt;'PlayerGrades+'!$AI$12,"C-",IF(T112&lt;'PlayerGrades+'!$AI$11,"C",IF(T112&lt;'PlayerGrades+'!$AI$10,"C+",IF(T112&lt;'PlayerGrades+'!$AI$9,"B-",IF(T112&lt;'PlayerGrades+'!$AI$8,"B",IF(T112&lt;'PlayerGrades+'!$AI$7,"B+",IF(T112&lt;'PlayerGrades+'!$AI$6,"A-",IF(T112&lt;'PlayerGrades+'!$AI$5,"A",IF(T112&lt;'PlayerGrades+'!$AI$4,"A+",IF(T112&lt;'PlayerGrades+'!$AI$3,"S-",IF(T112&lt;'PlayerGrades+'!$AI$2,"S","S+"))))))))))))))))))))</f>
        <v>F-</v>
      </c>
      <c r="V112" s="941">
        <v>1.0</v>
      </c>
      <c r="W112" s="941">
        <v>1.0</v>
      </c>
      <c r="X112" s="941">
        <v>0.0</v>
      </c>
      <c r="Y112" s="941">
        <v>0.0</v>
      </c>
      <c r="Z112" s="941">
        <v>0.0</v>
      </c>
      <c r="AA112" s="941">
        <v>51.0</v>
      </c>
      <c r="AB112" s="941">
        <v>44.0</v>
      </c>
      <c r="AC112" s="941">
        <v>7.0</v>
      </c>
      <c r="AD112" s="941">
        <v>5.0</v>
      </c>
      <c r="AE112" s="941">
        <v>4.0</v>
      </c>
      <c r="AF112" s="941">
        <v>1.0</v>
      </c>
      <c r="AG112" s="941">
        <v>600.0</v>
      </c>
      <c r="AH112" s="941">
        <v>787.0</v>
      </c>
      <c r="AI112" s="941">
        <v>13.0</v>
      </c>
      <c r="AJ112" s="941">
        <v>1.0</v>
      </c>
      <c r="AK112" s="941">
        <v>0.0</v>
      </c>
      <c r="AL112" s="941">
        <v>0.0</v>
      </c>
      <c r="AM112" s="941">
        <v>0.0</v>
      </c>
      <c r="AN112" s="941">
        <v>0.0</v>
      </c>
      <c r="AO112" s="941">
        <v>0.0</v>
      </c>
      <c r="AP112" s="941">
        <v>0.0</v>
      </c>
      <c r="AQ112" s="941">
        <v>0.0</v>
      </c>
      <c r="AR112" s="941">
        <v>7.0</v>
      </c>
      <c r="AS112" s="941">
        <v>2.0</v>
      </c>
      <c r="AT112" s="941">
        <v>0.0</v>
      </c>
      <c r="AU112" s="941">
        <v>0.0</v>
      </c>
      <c r="AV112" s="941">
        <v>0.0</v>
      </c>
      <c r="AW112" s="941">
        <v>0.0</v>
      </c>
      <c r="AX112" s="941">
        <v>0.0</v>
      </c>
      <c r="AY112" s="941">
        <v>0.0</v>
      </c>
      <c r="AZ112" s="941">
        <v>0.0</v>
      </c>
      <c r="BA112" s="941">
        <v>0.0</v>
      </c>
      <c r="BB112" s="941">
        <v>4.0</v>
      </c>
      <c r="BC112" s="941">
        <v>0.0</v>
      </c>
      <c r="BD112" s="941">
        <v>8.0</v>
      </c>
      <c r="BE112" s="942">
        <v>4.0</v>
      </c>
      <c r="BF112" s="941">
        <v>0.0</v>
      </c>
      <c r="BG112" s="941">
        <v>0.0</v>
      </c>
    </row>
    <row r="113">
      <c r="A113" s="943" t="s">
        <v>150</v>
      </c>
      <c r="B113" s="16" t="str">
        <f>IF(C113&lt;'PlayerGrades+'!$Y$44,"F-",IF(C113&lt;'PlayerGrades+'!$Y$43,"F",IF(C113&lt;'PlayerGrades+'!$Y$42,"F+",IF(C113&lt;'PlayerGrades+'!$Y$41,"E-",IF(C113&lt;'PlayerGrades+'!$Y$40,"E",IF(C113&lt;'PlayerGrades+'!$Y$39,"E+",IF(C113&lt;'PlayerGrades+'!$Y$38,"D-",IF(C113&lt;'PlayerGrades+'!$Y$37,"D",IF(C113&lt;'PlayerGrades+'!$Y$36,"D+",IF(C113&lt;'PlayerGrades+'!$Y$35,"C-",IF(C113&lt;'PlayerGrades+'!$Y$34,"C",IF(C113&lt;'PlayerGrades+'!$Y$33,"C+",IF(C113&lt;'PlayerGrades+'!$Y$32,"B-",IF(C113&lt;'PlayerGrades+'!$Y$31,"B",IF(C113&lt;'PlayerGrades+'!$Y$30,"B+",IF(C113&lt;'PlayerGrades+'!$Y$29,"A-",IF(C113&lt;'PlayerGrades+'!$Y$28,"A",IF(C113&lt;'PlayerGrades+'!$Y$27,"A+",IF(C113&lt;'PlayerGrades+'!$Y$26,"S-",IF(C113&lt;'PlayerGrades+'!$Y$25,"S","S+"))))))))))))))))))))</f>
        <v>B</v>
      </c>
      <c r="C113" s="936">
        <f>('PlayerGrades+'!$Y$47*(VLOOKUP(E113, 'PlayerGrades+'!$X$3:$Y$23, 2, FALSE)))+('PlayerGrades+'!$Y$48*(VLOOKUP(G113, 'PlayerGrades+'!$X$3:$Y$23, 2, FALSE)))+('PlayerGrades+'!$Y$49*(VLOOKUP(I113, 'PlayerGrades+'!$X$3:$Y$23, 2, FALSE)))+('PlayerGrades+'!$Y$50*(VLOOKUP(K113, 'PlayerGrades+'!$X$3:$Y$23, 2, FALSE)))+('PlayerGrades+'!$Y$51*(VLOOKUP(M113, 'PlayerGrades+'!$X$3:$Y$23, 2, FALSE)))+('PlayerGrades+'!$Y$52*(VLOOKUP(O113, 'PlayerGrades+'!$X$3:$Y$23, 2, FALSE)))+('PlayerGrades+'!$Y$53*(VLOOKUP(Q113, 'PlayerGrades+'!$X$3:$Y$23, 2, FALSE)))+('PlayerGrades+'!$Y$54*(VLOOKUP(S113, 'PlayerGrades+'!$X$3:$Y$23, 2, FALSE)))+('PlayerGrades+'!$Y$55*(VLOOKUP(U113, 'PlayerGrades+'!$X$3:$Y$23, 2, FALSE)))</f>
        <v>22.7</v>
      </c>
      <c r="D113" s="937">
        <f t="shared" si="1"/>
        <v>0.6099110546</v>
      </c>
      <c r="E113" s="937" t="str">
        <f>IF(D113&lt;'PlayerGrades+'!$AA$21,"F-",IF(D113&lt;'PlayerGrades+'!$AA$20,"F",IF(D113&lt;'PlayerGrades+'!$AA$19,"F+",IF(D113&lt;'PlayerGrades+'!$AA$18,"E-",IF(D113&lt;'PlayerGrades+'!$AA$17,"E",IF(D113&lt;'PlayerGrades+'!$AA$16,"E+",IF(D113&lt;'PlayerGrades+'!$AA$15,"D-",IF(D113&lt;'PlayerGrades+'!$AA$14,"D",IF(D113&lt;'PlayerGrades+'!$AA$13,"D+",IF(D113&lt;'PlayerGrades+'!$AA$12,"C-",IF(D113&lt;'PlayerGrades+'!$AA$11,"C",IF(D113&lt;'PlayerGrades+'!$AA$10,"C+",IF(D113&lt;'PlayerGrades+'!$AA$9,"B-",IF(D113&lt;'PlayerGrades+'!$AA$8,"B",IF(D113&lt;'PlayerGrades+'!$AA$7,"B+",IF(D113&lt;'PlayerGrades+'!$AA$6,"A-",IF(D113&lt;'PlayerGrades+'!$AA$5,"A",IF(D113&lt;'PlayerGrades+'!$AA$4,"A+",IF(D113&lt;'PlayerGrades+'!$AA$3,"S-",IF(D113&lt;'PlayerGrades+'!$AA$2,"S","S+"))))))))))))))))))))</f>
        <v>S-</v>
      </c>
      <c r="F113" s="937">
        <f t="shared" si="2"/>
        <v>-0.2287166455</v>
      </c>
      <c r="G113" s="937" t="str">
        <f>IF(F113&lt;'PlayerGrades+'!$AB$21,"F-",IF(F113&lt;'PlayerGrades+'!$AB$20,"F",IF(F113&lt;'PlayerGrades+'!$AB$19,"F+",IF(F113&lt;'PlayerGrades+'!$AB$18,"E-",IF(F113&lt;'PlayerGrades+'!$AB$17,"E",IF(F113&lt;'PlayerGrades+'!$AB$16,"E+",IF(F113&lt;'PlayerGrades+'!$AB$15,"D-",IF(F113&lt;'PlayerGrades+'!$AB$14,"D",IF(F113&lt;'PlayerGrades+'!$AB$13,"D+",IF(F113&lt;'PlayerGrades+'!$AB$12,"C-",IF(F113&lt;'PlayerGrades+'!$AB$11,"C",IF(F113&lt;'PlayerGrades+'!$AB$10,"C+",IF(F113&lt;'PlayerGrades+'!$AB$9,"B-",IF(F113&lt;'PlayerGrades+'!$AB$8,"B",IF(F113&lt;'PlayerGrades+'!$AB$7,"B+",IF(F113&lt;'PlayerGrades+'!$AB$6,"A-",IF(F113&lt;'PlayerGrades+'!$AB$5,"A",IF(F113&lt;'PlayerGrades+'!$AB$4,"A+",IF(F113&lt;'PlayerGrades+'!$AB$3,"S-",IF(F113&lt;'PlayerGrades+'!$AB$2,"S","S+"))))))))))))))))))))</f>
        <v>C+</v>
      </c>
      <c r="H113" s="937">
        <f t="shared" si="3"/>
        <v>0.2287166455</v>
      </c>
      <c r="I113" s="937" t="str">
        <f>IF(H113&lt;'PlayerGrades+'!$AC$21,"F-",IF(H113&lt;'PlayerGrades+'!$AC$20,"F",IF(H113&lt;'PlayerGrades+'!$AC$19,"F+",IF(H113&lt;'PlayerGrades+'!$AC$18,"E-",IF(H113&lt;'PlayerGrades+'!$AC$17,"E",IF(H113&lt;'PlayerGrades+'!$AC$16,"E+",IF(H113&lt;'PlayerGrades+'!$AC$15,"D-",IF(H113&lt;'PlayerGrades+'!$AC$14,"D",IF(H113&lt;'PlayerGrades+'!$AC$13,"D+",IF(H113&lt;'PlayerGrades+'!$AC$12,"C-",IF(H113&lt;'PlayerGrades+'!$AC$11,"C",IF(H113&lt;'PlayerGrades+'!$AC$10,"C+",IF(H113&lt;'PlayerGrades+'!$AC$9,"B-",IF(H113&lt;'PlayerGrades+'!$AC$8,"B",IF(H113&lt;'PlayerGrades+'!$AC$7,"B+",IF(H113&lt;'PlayerGrades+'!$AC$6,"A-",IF(H113&lt;'PlayerGrades+'!$AC$5,"A",IF(H113&lt;'PlayerGrades+'!$AC$4,"A+",IF(H113&lt;'PlayerGrades+'!$AC$3,"S-",IF(H113&lt;'PlayerGrades+'!$AC$2,"S","S+"))))))))))))))))))))</f>
        <v>S</v>
      </c>
      <c r="J113" s="937">
        <f t="shared" si="4"/>
        <v>0</v>
      </c>
      <c r="K113" s="937" t="str">
        <f>IF(J113&lt;'PlayerGrades+'!$AD$21,"F-",IF(J113&lt;'PlayerGrades+'!$AD$20,"F",IF(J113&lt;'PlayerGrades+'!$AD$19,"F+",IF(J113&lt;'PlayerGrades+'!$AD$18,"E-",IF(J113&lt;'PlayerGrades+'!$AD$17,"E",IF(J113&lt;'PlayerGrades+'!$AD$16,"E+",IF(J113&lt;'PlayerGrades+'!$AD$15,"D-",IF(J113&lt;'PlayerGrades+'!$AD$14,"D",IF(J113&lt;'PlayerGrades+'!$AD$13,"D+",IF(J113&lt;'PlayerGrades+'!$AD$12,"C-",IF(J113&lt;'PlayerGrades+'!$AD$11,"C",IF(J113&lt;'PlayerGrades+'!$AD$10,"C+",IF(J113&lt;'PlayerGrades+'!$AD$9,"B-",IF(J113&lt;'PlayerGrades+'!$AD$8,"B",IF(J113&lt;'PlayerGrades+'!$AD$7,"B+",IF(J113&lt;'PlayerGrades+'!$AD$6,"A-",IF(J113&lt;'PlayerGrades+'!$AD$5,"A",IF(J113&lt;'PlayerGrades+'!$AD$4,"A+",IF(J113&lt;'PlayerGrades+'!$AD$3,"S-",IF(J113&lt;'PlayerGrades+'!$AD$2,"S","S+"))))))))))))))))))))</f>
        <v>F-</v>
      </c>
      <c r="L113" s="677">
        <f t="shared" si="5"/>
        <v>0.3811944091</v>
      </c>
      <c r="M113" s="938" t="str">
        <f>IF(L113&lt;'PlayerGrades+'!$AE$21,"F-",IF(L113&lt;'PlayerGrades+'!$AE$20,"F",IF(L113&lt;'PlayerGrades+'!$AE$19,"F+",IF(L113&lt;'PlayerGrades+'!$AE$18,"E-",IF(L113&lt;'PlayerGrades+'!$AE$17,"E",IF(L113&lt;'PlayerGrades+'!$AE$16,"E+",IF(L113&lt;'PlayerGrades+'!$AE$15,"D-",IF(L113&lt;'PlayerGrades+'!$AE$14,"D",IF(L113&lt;'PlayerGrades+'!$AE$13,"D+",IF(L113&lt;'PlayerGrades+'!$AE$12,"C-",IF(L113&lt;'PlayerGrades+'!$AE$11,"C",IF(L113&lt;'PlayerGrades+'!$AE$10,"C+",IF(L113&lt;'PlayerGrades+'!$AE$9,"B-",IF(L113&lt;'PlayerGrades+'!$AE$8,"B",IF(L113&lt;'PlayerGrades+'!$AE$7,"B+",IF(L113&lt;'PlayerGrades+'!$AE$6,"A-",IF(L113&lt;'PlayerGrades+'!$AE$5,"A",IF(L113&lt;'PlayerGrades+'!$AE$4,"A+",IF(L113&lt;'PlayerGrades+'!$AE$3,"S-",IF(L113&lt;'PlayerGrades+'!$AE$2,"S","S+"))))))))))))))))))))</f>
        <v>C</v>
      </c>
      <c r="N113" s="937">
        <f t="shared" si="6"/>
        <v>0.07623888183</v>
      </c>
      <c r="O113" s="937" t="str">
        <f>IF(N113&lt;'PlayerGrades+'!$AF$21,"F-",IF(N113&lt;'PlayerGrades+'!$AF$20,"F",IF(N113&lt;'PlayerGrades+'!$AF$19,"F+",IF(N113&lt;'PlayerGrades+'!$AF$18,"E-",IF(N113&lt;'PlayerGrades+'!$AF$17,"E",IF(N113&lt;'PlayerGrades+'!$AF$16,"E+",IF(N113&lt;'PlayerGrades+'!$AF$15,"D-",IF(N113&lt;'PlayerGrades+'!$AF$14,"D",IF(N113&lt;'PlayerGrades+'!$AF$13,"D+",IF(N113&lt;'PlayerGrades+'!$AF$12,"C-",IF(N113&lt;'PlayerGrades+'!$AF$11,"C",IF(N113&lt;'PlayerGrades+'!$AF$10,"C+",IF(N113&lt;'PlayerGrades+'!$AF$9,"B-",IF(N113&lt;'PlayerGrades+'!$AF$8,"B",IF(N113&lt;'PlayerGrades+'!$AF$7,"B+",IF(N113&lt;'PlayerGrades+'!$AF$6,"A-",IF(N113&lt;'PlayerGrades+'!$AF$5,"A",IF(N113&lt;'PlayerGrades+'!$AF$4,"A+",IF(N113&lt;'PlayerGrades+'!$AF$3,"S-",IF(N113&lt;'PlayerGrades+'!$AF$2,"S","S+"))))))))))))))))))))</f>
        <v>B-</v>
      </c>
      <c r="P113" s="937">
        <f t="shared" si="7"/>
        <v>0</v>
      </c>
      <c r="Q113" s="937" t="str">
        <f>IF(P113&lt;'PlayerGrades+'!$AG$21,"F-",IF(P113&lt;'PlayerGrades+'!$AG$20,"F",IF(P113&lt;'PlayerGrades+'!$AG$19,"F+",IF(P113&lt;'PlayerGrades+'!$AG$18,"E-",IF(P113&lt;'PlayerGrades+'!$AG$17,"E",IF(P113&lt;'PlayerGrades+'!$AG$16,"E+",IF(P113&lt;'PlayerGrades+'!$AG$15,"D-",IF(P113&lt;'PlayerGrades+'!$AG$14,"D",IF(P113&lt;'PlayerGrades+'!$AG$13,"D+",IF(P113&lt;'PlayerGrades+'!$AG$12,"C-",IF(P113&lt;'PlayerGrades+'!$AG$11,"C",IF(P113&lt;'PlayerGrades+'!$AG$10,"C+",IF(P113&lt;'PlayerGrades+'!$AG$9,"B-",IF(P113&lt;'PlayerGrades+'!$AG$8,"B",IF(P113&lt;'PlayerGrades+'!$AG$7,"B+",IF(P113&lt;'PlayerGrades+'!$AG$6,"A-",IF(P113&lt;'PlayerGrades+'!$AG$5,"A",IF(P113&lt;'PlayerGrades+'!$AG$4,"A+",IF(P113&lt;'PlayerGrades+'!$AG$3,"S-",IF(P113&lt;'PlayerGrades+'!$AG$2,"S","S+"))))))))))))))))))))</f>
        <v>F</v>
      </c>
      <c r="R113" s="937">
        <f t="shared" si="8"/>
        <v>0.5336721728</v>
      </c>
      <c r="S113" s="937" t="str">
        <f>IF(R113&lt;'PlayerGrades+'!$AH$21,"F-",IF(R113&lt;'PlayerGrades+'!$AH$20,"F",IF(R113&lt;'PlayerGrades+'!$AH$19,"F+",IF(R113&lt;'PlayerGrades+'!$AH$18,"E-",IF(R113&lt;'PlayerGrades+'!$AH$17,"E",IF(R113&lt;'PlayerGrades+'!$AH$16,"E+",IF(R113&lt;'PlayerGrades+'!$AH$15,"D-",IF(R113&lt;'PlayerGrades+'!$AH$14,"D",IF(R113&lt;'PlayerGrades+'!$AH$13,"D+",IF(R113&lt;'PlayerGrades+'!$AH$12,"C-",IF(R113&lt;'PlayerGrades+'!$AH$11,"C",IF(R113&lt;'PlayerGrades+'!$AH$10,"C+",IF(R113&lt;'PlayerGrades+'!$AH$9,"B-",IF(R113&lt;'PlayerGrades+'!$AH$8,"B",IF(R113&lt;'PlayerGrades+'!$AH$7,"B+",IF(R113&lt;'PlayerGrades+'!$AH$6,"A-",IF(R113&lt;'PlayerGrades+'!$AH$5,"A",IF(R113&lt;'PlayerGrades+'!$AH$4,"A+",IF(R113&lt;'PlayerGrades+'!$AH$3,"S-",IF(R113&lt;'PlayerGrades+'!$AH$2,"S","S+"))))))))))))))))))))</f>
        <v>C+</v>
      </c>
      <c r="T113" s="937">
        <f t="shared" si="9"/>
        <v>1.152477764</v>
      </c>
      <c r="U113" s="937" t="str">
        <f>IF(T113&lt;'PlayerGrades+'!$AI$21,"F-",IF(T113&lt;'PlayerGrades+'!$AI$20,"F",IF(T113&lt;'PlayerGrades+'!$AI$19,"F+",IF(T113&lt;'PlayerGrades+'!$AI$18,"E-",IF(T113&lt;'PlayerGrades+'!$AI$17,"E",IF(T113&lt;'PlayerGrades+'!$AI$16,"E+",IF(T113&lt;'PlayerGrades+'!$AI$15,"D-",IF(T113&lt;'PlayerGrades+'!$AI$14,"D",IF(T113&lt;'PlayerGrades+'!$AI$13,"D+",IF(T113&lt;'PlayerGrades+'!$AI$12,"C-",IF(T113&lt;'PlayerGrades+'!$AI$11,"C",IF(T113&lt;'PlayerGrades+'!$AI$10,"C+",IF(T113&lt;'PlayerGrades+'!$AI$9,"B-",IF(T113&lt;'PlayerGrades+'!$AI$8,"B",IF(T113&lt;'PlayerGrades+'!$AI$7,"B+",IF(T113&lt;'PlayerGrades+'!$AI$6,"A-",IF(T113&lt;'PlayerGrades+'!$AI$5,"A",IF(T113&lt;'PlayerGrades+'!$AI$4,"A+",IF(T113&lt;'PlayerGrades+'!$AI$3,"S-",IF(T113&lt;'PlayerGrades+'!$AI$2,"S","S+"))))))))))))))))))))</f>
        <v>D</v>
      </c>
      <c r="V113" s="944">
        <v>1.0</v>
      </c>
      <c r="W113" s="944">
        <v>1.0</v>
      </c>
      <c r="X113" s="944">
        <v>0.0</v>
      </c>
      <c r="Y113" s="944">
        <v>3.0</v>
      </c>
      <c r="Z113" s="944">
        <v>5.0</v>
      </c>
      <c r="AA113" s="944">
        <v>38.0</v>
      </c>
      <c r="AB113" s="944">
        <v>41.0</v>
      </c>
      <c r="AC113" s="944">
        <v>-3.0</v>
      </c>
      <c r="AD113" s="944">
        <v>1.0</v>
      </c>
      <c r="AE113" s="944">
        <v>4.0</v>
      </c>
      <c r="AF113" s="944">
        <v>0.0</v>
      </c>
      <c r="AG113" s="944">
        <v>613.0</v>
      </c>
      <c r="AH113" s="944">
        <v>787.0</v>
      </c>
      <c r="AI113" s="944">
        <v>14.0</v>
      </c>
      <c r="AJ113" s="944">
        <v>119.0</v>
      </c>
      <c r="AK113" s="944">
        <v>0.0</v>
      </c>
      <c r="AL113" s="944">
        <v>0.0</v>
      </c>
      <c r="AM113" s="944">
        <v>0.0</v>
      </c>
      <c r="AN113" s="944">
        <v>0.0</v>
      </c>
      <c r="AO113" s="944">
        <v>0.0</v>
      </c>
      <c r="AP113" s="944">
        <v>0.0</v>
      </c>
      <c r="AQ113" s="944">
        <v>0.0</v>
      </c>
      <c r="AR113" s="944">
        <v>5.0</v>
      </c>
      <c r="AS113" s="944">
        <v>1.0</v>
      </c>
      <c r="AT113" s="944">
        <v>0.0</v>
      </c>
      <c r="AU113" s="944">
        <v>0.0</v>
      </c>
      <c r="AV113" s="944">
        <v>0.0</v>
      </c>
      <c r="AW113" s="944">
        <v>0.0</v>
      </c>
      <c r="AX113" s="944">
        <v>0.0</v>
      </c>
      <c r="AY113" s="944">
        <v>0.0</v>
      </c>
      <c r="AZ113" s="944">
        <v>0.0</v>
      </c>
      <c r="BA113" s="944">
        <v>0.0</v>
      </c>
      <c r="BB113" s="944">
        <v>3.0</v>
      </c>
      <c r="BC113" s="944">
        <v>0.0</v>
      </c>
      <c r="BD113" s="944">
        <v>6.0</v>
      </c>
      <c r="BE113" s="945">
        <v>2.0</v>
      </c>
      <c r="BF113" s="941">
        <v>1.0</v>
      </c>
      <c r="BG113" s="941">
        <v>0.0</v>
      </c>
    </row>
    <row r="114">
      <c r="A114" s="946" t="s">
        <v>115</v>
      </c>
      <c r="B114" s="16" t="str">
        <f>IF(C114&lt;'PlayerGrades+'!$Y$44,"F-",IF(C114&lt;'PlayerGrades+'!$Y$43,"F",IF(C114&lt;'PlayerGrades+'!$Y$42,"F+",IF(C114&lt;'PlayerGrades+'!$Y$41,"E-",IF(C114&lt;'PlayerGrades+'!$Y$40,"E",IF(C114&lt;'PlayerGrades+'!$Y$39,"E+",IF(C114&lt;'PlayerGrades+'!$Y$38,"D-",IF(C114&lt;'PlayerGrades+'!$Y$37,"D",IF(C114&lt;'PlayerGrades+'!$Y$36,"D+",IF(C114&lt;'PlayerGrades+'!$Y$35,"C-",IF(C114&lt;'PlayerGrades+'!$Y$34,"C",IF(C114&lt;'PlayerGrades+'!$Y$33,"C+",IF(C114&lt;'PlayerGrades+'!$Y$32,"B-",IF(C114&lt;'PlayerGrades+'!$Y$31,"B",IF(C114&lt;'PlayerGrades+'!$Y$30,"B+",IF(C114&lt;'PlayerGrades+'!$Y$29,"A-",IF(C114&lt;'PlayerGrades+'!$Y$28,"A",IF(C114&lt;'PlayerGrades+'!$Y$27,"A+",IF(C114&lt;'PlayerGrades+'!$Y$26,"S-",IF(C114&lt;'PlayerGrades+'!$Y$25,"S","S+"))))))))))))))))))))</f>
        <v>E+</v>
      </c>
      <c r="C114" s="936">
        <f>('PlayerGrades+'!$Y$47*(VLOOKUP(E114, 'PlayerGrades+'!$X$3:$Y$23, 2, FALSE)))+('PlayerGrades+'!$Y$48*(VLOOKUP(G114, 'PlayerGrades+'!$X$3:$Y$23, 2, FALSE)))+('PlayerGrades+'!$Y$49*(VLOOKUP(I114, 'PlayerGrades+'!$X$3:$Y$23, 2, FALSE)))+('PlayerGrades+'!$Y$50*(VLOOKUP(K114, 'PlayerGrades+'!$X$3:$Y$23, 2, FALSE)))+('PlayerGrades+'!$Y$51*(VLOOKUP(M114, 'PlayerGrades+'!$X$3:$Y$23, 2, FALSE)))+('PlayerGrades+'!$Y$52*(VLOOKUP(O114, 'PlayerGrades+'!$X$3:$Y$23, 2, FALSE)))+('PlayerGrades+'!$Y$53*(VLOOKUP(Q114, 'PlayerGrades+'!$X$3:$Y$23, 2, FALSE)))+('PlayerGrades+'!$Y$54*(VLOOKUP(S114, 'PlayerGrades+'!$X$3:$Y$23, 2, FALSE)))+('PlayerGrades+'!$Y$55*(VLOOKUP(U114, 'PlayerGrades+'!$X$3:$Y$23, 2, FALSE)))</f>
        <v>13.6</v>
      </c>
      <c r="D114" s="937">
        <f t="shared" si="1"/>
        <v>0</v>
      </c>
      <c r="E114" s="937" t="str">
        <f>IF(D114&lt;'PlayerGrades+'!$AA$21,"F-",IF(D114&lt;'PlayerGrades+'!$AA$20,"F",IF(D114&lt;'PlayerGrades+'!$AA$19,"F+",IF(D114&lt;'PlayerGrades+'!$AA$18,"E-",IF(D114&lt;'PlayerGrades+'!$AA$17,"E",IF(D114&lt;'PlayerGrades+'!$AA$16,"E+",IF(D114&lt;'PlayerGrades+'!$AA$15,"D-",IF(D114&lt;'PlayerGrades+'!$AA$14,"D",IF(D114&lt;'PlayerGrades+'!$AA$13,"D+",IF(D114&lt;'PlayerGrades+'!$AA$12,"C-",IF(D114&lt;'PlayerGrades+'!$AA$11,"C",IF(D114&lt;'PlayerGrades+'!$AA$10,"C+",IF(D114&lt;'PlayerGrades+'!$AA$9,"B-",IF(D114&lt;'PlayerGrades+'!$AA$8,"B",IF(D114&lt;'PlayerGrades+'!$AA$7,"B+",IF(D114&lt;'PlayerGrades+'!$AA$6,"A-",IF(D114&lt;'PlayerGrades+'!$AA$5,"A",IF(D114&lt;'PlayerGrades+'!$AA$4,"A+",IF(D114&lt;'PlayerGrades+'!$AA$3,"S-",IF(D114&lt;'PlayerGrades+'!$AA$2,"S","S+"))))))))))))))))))))</f>
        <v>F-</v>
      </c>
      <c r="F114" s="937">
        <f t="shared" si="2"/>
        <v>-1.359570662</v>
      </c>
      <c r="G114" s="937" t="str">
        <f>IF(F114&lt;'PlayerGrades+'!$AB$21,"F-",IF(F114&lt;'PlayerGrades+'!$AB$20,"F",IF(F114&lt;'PlayerGrades+'!$AB$19,"F+",IF(F114&lt;'PlayerGrades+'!$AB$18,"E-",IF(F114&lt;'PlayerGrades+'!$AB$17,"E",IF(F114&lt;'PlayerGrades+'!$AB$16,"E+",IF(F114&lt;'PlayerGrades+'!$AB$15,"D-",IF(F114&lt;'PlayerGrades+'!$AB$14,"D",IF(F114&lt;'PlayerGrades+'!$AB$13,"D+",IF(F114&lt;'PlayerGrades+'!$AB$12,"C-",IF(F114&lt;'PlayerGrades+'!$AB$11,"C",IF(F114&lt;'PlayerGrades+'!$AB$10,"C+",IF(F114&lt;'PlayerGrades+'!$AB$9,"B-",IF(F114&lt;'PlayerGrades+'!$AB$8,"B",IF(F114&lt;'PlayerGrades+'!$AB$7,"B+",IF(F114&lt;'PlayerGrades+'!$AB$6,"A-",IF(F114&lt;'PlayerGrades+'!$AB$5,"A",IF(F114&lt;'PlayerGrades+'!$AB$4,"A+",IF(F114&lt;'PlayerGrades+'!$AB$3,"S-",IF(F114&lt;'PlayerGrades+'!$AB$2,"S","S+"))))))))))))))))))))</f>
        <v>F-</v>
      </c>
      <c r="H114" s="937">
        <f t="shared" si="3"/>
        <v>0</v>
      </c>
      <c r="I114" s="937" t="str">
        <f>IF(H114&lt;'PlayerGrades+'!$AC$21,"F-",IF(H114&lt;'PlayerGrades+'!$AC$20,"F",IF(H114&lt;'PlayerGrades+'!$AC$19,"F+",IF(H114&lt;'PlayerGrades+'!$AC$18,"E-",IF(H114&lt;'PlayerGrades+'!$AC$17,"E",IF(H114&lt;'PlayerGrades+'!$AC$16,"E+",IF(H114&lt;'PlayerGrades+'!$AC$15,"D-",IF(H114&lt;'PlayerGrades+'!$AC$14,"D",IF(H114&lt;'PlayerGrades+'!$AC$13,"D+",IF(H114&lt;'PlayerGrades+'!$AC$12,"C-",IF(H114&lt;'PlayerGrades+'!$AC$11,"C",IF(H114&lt;'PlayerGrades+'!$AC$10,"C+",IF(H114&lt;'PlayerGrades+'!$AC$9,"B-",IF(H114&lt;'PlayerGrades+'!$AC$8,"B",IF(H114&lt;'PlayerGrades+'!$AC$7,"B+",IF(H114&lt;'PlayerGrades+'!$AC$6,"A-",IF(H114&lt;'PlayerGrades+'!$AC$5,"A",IF(H114&lt;'PlayerGrades+'!$AC$4,"A+",IF(H114&lt;'PlayerGrades+'!$AC$3,"S-",IF(H114&lt;'PlayerGrades+'!$AC$2,"S","S+"))))))))))))))))))))</f>
        <v>F-</v>
      </c>
      <c r="J114" s="937">
        <f t="shared" si="4"/>
        <v>0</v>
      </c>
      <c r="K114" s="937" t="str">
        <f>IF(J114&lt;'PlayerGrades+'!$AD$21,"F-",IF(J114&lt;'PlayerGrades+'!$AD$20,"F",IF(J114&lt;'PlayerGrades+'!$AD$19,"F+",IF(J114&lt;'PlayerGrades+'!$AD$18,"E-",IF(J114&lt;'PlayerGrades+'!$AD$17,"E",IF(J114&lt;'PlayerGrades+'!$AD$16,"E+",IF(J114&lt;'PlayerGrades+'!$AD$15,"D-",IF(J114&lt;'PlayerGrades+'!$AD$14,"D",IF(J114&lt;'PlayerGrades+'!$AD$13,"D+",IF(J114&lt;'PlayerGrades+'!$AD$12,"C-",IF(J114&lt;'PlayerGrades+'!$AD$11,"C",IF(J114&lt;'PlayerGrades+'!$AD$10,"C+",IF(J114&lt;'PlayerGrades+'!$AD$9,"B-",IF(J114&lt;'PlayerGrades+'!$AD$8,"B",IF(J114&lt;'PlayerGrades+'!$AD$7,"B+",IF(J114&lt;'PlayerGrades+'!$AD$6,"A-",IF(J114&lt;'PlayerGrades+'!$AD$5,"A",IF(J114&lt;'PlayerGrades+'!$AD$4,"A+",IF(J114&lt;'PlayerGrades+'!$AD$3,"S-",IF(J114&lt;'PlayerGrades+'!$AD$2,"S","S+"))))))))))))))))))))</f>
        <v>F-</v>
      </c>
      <c r="L114" s="677">
        <f t="shared" si="5"/>
        <v>0.3220035778</v>
      </c>
      <c r="M114" s="938" t="str">
        <f>IF(L114&lt;'PlayerGrades+'!$AE$21,"F-",IF(L114&lt;'PlayerGrades+'!$AE$20,"F",IF(L114&lt;'PlayerGrades+'!$AE$19,"F+",IF(L114&lt;'PlayerGrades+'!$AE$18,"E-",IF(L114&lt;'PlayerGrades+'!$AE$17,"E",IF(L114&lt;'PlayerGrades+'!$AE$16,"E+",IF(L114&lt;'PlayerGrades+'!$AE$15,"D-",IF(L114&lt;'PlayerGrades+'!$AE$14,"D",IF(L114&lt;'PlayerGrades+'!$AE$13,"D+",IF(L114&lt;'PlayerGrades+'!$AE$12,"C-",IF(L114&lt;'PlayerGrades+'!$AE$11,"C",IF(L114&lt;'PlayerGrades+'!$AE$10,"C+",IF(L114&lt;'PlayerGrades+'!$AE$9,"B-",IF(L114&lt;'PlayerGrades+'!$AE$8,"B",IF(L114&lt;'PlayerGrades+'!$AE$7,"B+",IF(L114&lt;'PlayerGrades+'!$AE$6,"A-",IF(L114&lt;'PlayerGrades+'!$AE$5,"A",IF(L114&lt;'PlayerGrades+'!$AE$4,"A+",IF(L114&lt;'PlayerGrades+'!$AE$3,"S-",IF(L114&lt;'PlayerGrades+'!$AE$2,"S","S+"))))))))))))))))))))</f>
        <v>E</v>
      </c>
      <c r="N114" s="937">
        <f t="shared" si="6"/>
        <v>0.07155635063</v>
      </c>
      <c r="O114" s="937" t="str">
        <f>IF(N114&lt;'PlayerGrades+'!$AF$21,"F-",IF(N114&lt;'PlayerGrades+'!$AF$20,"F",IF(N114&lt;'PlayerGrades+'!$AF$19,"F+",IF(N114&lt;'PlayerGrades+'!$AF$18,"E-",IF(N114&lt;'PlayerGrades+'!$AF$17,"E",IF(N114&lt;'PlayerGrades+'!$AF$16,"E+",IF(N114&lt;'PlayerGrades+'!$AF$15,"D-",IF(N114&lt;'PlayerGrades+'!$AF$14,"D",IF(N114&lt;'PlayerGrades+'!$AF$13,"D+",IF(N114&lt;'PlayerGrades+'!$AF$12,"C-",IF(N114&lt;'PlayerGrades+'!$AF$11,"C",IF(N114&lt;'PlayerGrades+'!$AF$10,"C+",IF(N114&lt;'PlayerGrades+'!$AF$9,"B-",IF(N114&lt;'PlayerGrades+'!$AF$8,"B",IF(N114&lt;'PlayerGrades+'!$AF$7,"B+",IF(N114&lt;'PlayerGrades+'!$AF$6,"A-",IF(N114&lt;'PlayerGrades+'!$AF$5,"A",IF(N114&lt;'PlayerGrades+'!$AF$4,"A+",IF(N114&lt;'PlayerGrades+'!$AF$3,"S-",IF(N114&lt;'PlayerGrades+'!$AF$2,"S","S+"))))))))))))))))))))</f>
        <v>C+</v>
      </c>
      <c r="P114" s="937">
        <f t="shared" si="7"/>
        <v>0</v>
      </c>
      <c r="Q114" s="937" t="str">
        <f>IF(P114&lt;'PlayerGrades+'!$AG$21,"F-",IF(P114&lt;'PlayerGrades+'!$AG$20,"F",IF(P114&lt;'PlayerGrades+'!$AG$19,"F+",IF(P114&lt;'PlayerGrades+'!$AG$18,"E-",IF(P114&lt;'PlayerGrades+'!$AG$17,"E",IF(P114&lt;'PlayerGrades+'!$AG$16,"E+",IF(P114&lt;'PlayerGrades+'!$AG$15,"D-",IF(P114&lt;'PlayerGrades+'!$AG$14,"D",IF(P114&lt;'PlayerGrades+'!$AG$13,"D+",IF(P114&lt;'PlayerGrades+'!$AG$12,"C-",IF(P114&lt;'PlayerGrades+'!$AG$11,"C",IF(P114&lt;'PlayerGrades+'!$AG$10,"C+",IF(P114&lt;'PlayerGrades+'!$AG$9,"B-",IF(P114&lt;'PlayerGrades+'!$AG$8,"B",IF(P114&lt;'PlayerGrades+'!$AG$7,"B+",IF(P114&lt;'PlayerGrades+'!$AG$6,"A-",IF(P114&lt;'PlayerGrades+'!$AG$5,"A",IF(P114&lt;'PlayerGrades+'!$AG$4,"A+",IF(P114&lt;'PlayerGrades+'!$AG$3,"S-",IF(P114&lt;'PlayerGrades+'!$AG$2,"S","S+"))))))))))))))))))))</f>
        <v>F</v>
      </c>
      <c r="R114" s="937">
        <f t="shared" si="8"/>
        <v>0.7871198569</v>
      </c>
      <c r="S114" s="937" t="str">
        <f>IF(R114&lt;'PlayerGrades+'!$AH$21,"F-",IF(R114&lt;'PlayerGrades+'!$AH$20,"F",IF(R114&lt;'PlayerGrades+'!$AH$19,"F+",IF(R114&lt;'PlayerGrades+'!$AH$18,"E-",IF(R114&lt;'PlayerGrades+'!$AH$17,"E",IF(R114&lt;'PlayerGrades+'!$AH$16,"E+",IF(R114&lt;'PlayerGrades+'!$AH$15,"D-",IF(R114&lt;'PlayerGrades+'!$AH$14,"D",IF(R114&lt;'PlayerGrades+'!$AH$13,"D+",IF(R114&lt;'PlayerGrades+'!$AH$12,"C-",IF(R114&lt;'PlayerGrades+'!$AH$11,"C",IF(R114&lt;'PlayerGrades+'!$AH$10,"C+",IF(R114&lt;'PlayerGrades+'!$AH$9,"B-",IF(R114&lt;'PlayerGrades+'!$AH$8,"B",IF(R114&lt;'PlayerGrades+'!$AH$7,"B+",IF(R114&lt;'PlayerGrades+'!$AH$6,"A-",IF(R114&lt;'PlayerGrades+'!$AH$5,"A",IF(R114&lt;'PlayerGrades+'!$AH$4,"A+",IF(R114&lt;'PlayerGrades+'!$AH$3,"S-",IF(R114&lt;'PlayerGrades+'!$AH$2,"S","S+"))))))))))))))))))))</f>
        <v>S+</v>
      </c>
      <c r="T114" s="937">
        <f t="shared" si="9"/>
        <v>1.250447227</v>
      </c>
      <c r="U114" s="937" t="str">
        <f>IF(T114&lt;'PlayerGrades+'!$AI$21,"F-",IF(T114&lt;'PlayerGrades+'!$AI$20,"F",IF(T114&lt;'PlayerGrades+'!$AI$19,"F+",IF(T114&lt;'PlayerGrades+'!$AI$18,"E-",IF(T114&lt;'PlayerGrades+'!$AI$17,"E",IF(T114&lt;'PlayerGrades+'!$AI$16,"E+",IF(T114&lt;'PlayerGrades+'!$AI$15,"D-",IF(T114&lt;'PlayerGrades+'!$AI$14,"D",IF(T114&lt;'PlayerGrades+'!$AI$13,"D+",IF(T114&lt;'PlayerGrades+'!$AI$12,"C-",IF(T114&lt;'PlayerGrades+'!$AI$11,"C",IF(T114&lt;'PlayerGrades+'!$AI$10,"C+",IF(T114&lt;'PlayerGrades+'!$AI$9,"B-",IF(T114&lt;'PlayerGrades+'!$AI$8,"B",IF(T114&lt;'PlayerGrades+'!$AI$7,"B+",IF(T114&lt;'PlayerGrades+'!$AI$6,"A-",IF(T114&lt;'PlayerGrades+'!$AI$5,"A",IF(T114&lt;'PlayerGrades+'!$AI$4,"A+",IF(T114&lt;'PlayerGrades+'!$AI$3,"S-",IF(T114&lt;'PlayerGrades+'!$AI$2,"S","S+"))))))))))))))))))))</f>
        <v>C</v>
      </c>
      <c r="V114" s="939">
        <v>1.0</v>
      </c>
      <c r="W114" s="939">
        <v>0.0</v>
      </c>
      <c r="X114" s="939">
        <v>1.0</v>
      </c>
      <c r="Y114" s="939">
        <v>0.0</v>
      </c>
      <c r="Z114" s="939">
        <v>0.0</v>
      </c>
      <c r="AA114" s="939">
        <v>67.0</v>
      </c>
      <c r="AB114" s="939">
        <v>105.0</v>
      </c>
      <c r="AC114" s="939">
        <v>-38.0</v>
      </c>
      <c r="AD114" s="939">
        <v>11.0</v>
      </c>
      <c r="AE114" s="939">
        <v>4.0</v>
      </c>
      <c r="AF114" s="939">
        <v>1.0</v>
      </c>
      <c r="AG114" s="939">
        <v>1254.0</v>
      </c>
      <c r="AH114" s="939">
        <v>1677.0</v>
      </c>
      <c r="AI114" s="939">
        <v>11.0</v>
      </c>
      <c r="AJ114" s="939">
        <v>7.0</v>
      </c>
      <c r="AK114" s="939">
        <v>0.0</v>
      </c>
      <c r="AL114" s="939">
        <v>0.0</v>
      </c>
      <c r="AM114" s="939">
        <v>0.0</v>
      </c>
      <c r="AN114" s="939">
        <v>0.0</v>
      </c>
      <c r="AO114" s="939">
        <v>0.0</v>
      </c>
      <c r="AP114" s="939">
        <v>0.0</v>
      </c>
      <c r="AQ114" s="939">
        <v>0.0</v>
      </c>
      <c r="AR114" s="939">
        <v>9.0</v>
      </c>
      <c r="AS114" s="939">
        <v>2.0</v>
      </c>
      <c r="AT114" s="939">
        <v>0.0</v>
      </c>
      <c r="AU114" s="939">
        <v>0.0</v>
      </c>
      <c r="AV114" s="939">
        <v>0.0</v>
      </c>
      <c r="AW114" s="939">
        <v>0.0</v>
      </c>
      <c r="AX114" s="939">
        <v>0.0</v>
      </c>
      <c r="AY114" s="939">
        <v>0.0</v>
      </c>
      <c r="AZ114" s="939">
        <v>0.0</v>
      </c>
      <c r="BA114" s="939">
        <v>0.0</v>
      </c>
      <c r="BB114" s="939">
        <v>0.0</v>
      </c>
      <c r="BC114" s="895">
        <v>0.0</v>
      </c>
      <c r="BD114" s="895">
        <v>11.0</v>
      </c>
      <c r="BE114" s="947">
        <v>7.0</v>
      </c>
      <c r="BF114" s="941">
        <v>1.0</v>
      </c>
      <c r="BG114" s="941">
        <v>1.0</v>
      </c>
    </row>
    <row r="115">
      <c r="A115" s="935" t="s">
        <v>418</v>
      </c>
      <c r="B115" s="16" t="str">
        <f>IF(C115&lt;'PlayerGrades+'!$Y$44,"F-",IF(C115&lt;'PlayerGrades+'!$Y$43,"F",IF(C115&lt;'PlayerGrades+'!$Y$42,"F+",IF(C115&lt;'PlayerGrades+'!$Y$41,"E-",IF(C115&lt;'PlayerGrades+'!$Y$40,"E",IF(C115&lt;'PlayerGrades+'!$Y$39,"E+",IF(C115&lt;'PlayerGrades+'!$Y$38,"D-",IF(C115&lt;'PlayerGrades+'!$Y$37,"D",IF(C115&lt;'PlayerGrades+'!$Y$36,"D+",IF(C115&lt;'PlayerGrades+'!$Y$35,"C-",IF(C115&lt;'PlayerGrades+'!$Y$34,"C",IF(C115&lt;'PlayerGrades+'!$Y$33,"C+",IF(C115&lt;'PlayerGrades+'!$Y$32,"B-",IF(C115&lt;'PlayerGrades+'!$Y$31,"B",IF(C115&lt;'PlayerGrades+'!$Y$30,"B+",IF(C115&lt;'PlayerGrades+'!$Y$29,"A-",IF(C115&lt;'PlayerGrades+'!$Y$28,"A",IF(C115&lt;'PlayerGrades+'!$Y$27,"A+",IF(C115&lt;'PlayerGrades+'!$Y$26,"S-",IF(C115&lt;'PlayerGrades+'!$Y$25,"S","S+"))))))))))))))))))))</f>
        <v>C-</v>
      </c>
      <c r="C115" s="936">
        <f>('PlayerGrades+'!$Y$47*(VLOOKUP(E115, 'PlayerGrades+'!$X$3:$Y$23, 2, FALSE)))+('PlayerGrades+'!$Y$48*(VLOOKUP(G115, 'PlayerGrades+'!$X$3:$Y$23, 2, FALSE)))+('PlayerGrades+'!$Y$49*(VLOOKUP(I115, 'PlayerGrades+'!$X$3:$Y$23, 2, FALSE)))+('PlayerGrades+'!$Y$50*(VLOOKUP(K115, 'PlayerGrades+'!$X$3:$Y$23, 2, FALSE)))+('PlayerGrades+'!$Y$51*(VLOOKUP(M115, 'PlayerGrades+'!$X$3:$Y$23, 2, FALSE)))+('PlayerGrades+'!$Y$52*(VLOOKUP(O115, 'PlayerGrades+'!$X$3:$Y$23, 2, FALSE)))+('PlayerGrades+'!$Y$53*(VLOOKUP(Q115, 'PlayerGrades+'!$X$3:$Y$23, 2, FALSE)))+('PlayerGrades+'!$Y$54*(VLOOKUP(S115, 'PlayerGrades+'!$X$3:$Y$23, 2, FALSE)))+('PlayerGrades+'!$Y$55*(VLOOKUP(U115, 'PlayerGrades+'!$X$3:$Y$23, 2, FALSE)))</f>
        <v>18.95</v>
      </c>
      <c r="D115" s="937">
        <f t="shared" si="1"/>
        <v>0.03577817531</v>
      </c>
      <c r="E115" s="937" t="str">
        <f>IF(D115&lt;'PlayerGrades+'!$AA$21,"F-",IF(D115&lt;'PlayerGrades+'!$AA$20,"F",IF(D115&lt;'PlayerGrades+'!$AA$19,"F+",IF(D115&lt;'PlayerGrades+'!$AA$18,"E-",IF(D115&lt;'PlayerGrades+'!$AA$17,"E",IF(D115&lt;'PlayerGrades+'!$AA$16,"E+",IF(D115&lt;'PlayerGrades+'!$AA$15,"D-",IF(D115&lt;'PlayerGrades+'!$AA$14,"D",IF(D115&lt;'PlayerGrades+'!$AA$13,"D+",IF(D115&lt;'PlayerGrades+'!$AA$12,"C-",IF(D115&lt;'PlayerGrades+'!$AA$11,"C",IF(D115&lt;'PlayerGrades+'!$AA$10,"C+",IF(D115&lt;'PlayerGrades+'!$AA$9,"B-",IF(D115&lt;'PlayerGrades+'!$AA$8,"B",IF(D115&lt;'PlayerGrades+'!$AA$7,"B+",IF(D115&lt;'PlayerGrades+'!$AA$6,"A-",IF(D115&lt;'PlayerGrades+'!$AA$5,"A",IF(D115&lt;'PlayerGrades+'!$AA$4,"A+",IF(D115&lt;'PlayerGrades+'!$AA$3,"S-",IF(D115&lt;'PlayerGrades+'!$AA$2,"S","S+"))))))))))))))))))))</f>
        <v>C</v>
      </c>
      <c r="F115" s="937">
        <f t="shared" si="2"/>
        <v>-0.07155635063</v>
      </c>
      <c r="G115" s="937" t="str">
        <f>IF(F115&lt;'PlayerGrades+'!$AB$21,"F-",IF(F115&lt;'PlayerGrades+'!$AB$20,"F",IF(F115&lt;'PlayerGrades+'!$AB$19,"F+",IF(F115&lt;'PlayerGrades+'!$AB$18,"E-",IF(F115&lt;'PlayerGrades+'!$AB$17,"E",IF(F115&lt;'PlayerGrades+'!$AB$16,"E+",IF(F115&lt;'PlayerGrades+'!$AB$15,"D-",IF(F115&lt;'PlayerGrades+'!$AB$14,"D",IF(F115&lt;'PlayerGrades+'!$AB$13,"D+",IF(F115&lt;'PlayerGrades+'!$AB$12,"C-",IF(F115&lt;'PlayerGrades+'!$AB$11,"C",IF(F115&lt;'PlayerGrades+'!$AB$10,"C+",IF(F115&lt;'PlayerGrades+'!$AB$9,"B-",IF(F115&lt;'PlayerGrades+'!$AB$8,"B",IF(F115&lt;'PlayerGrades+'!$AB$7,"B+",IF(F115&lt;'PlayerGrades+'!$AB$6,"A-",IF(F115&lt;'PlayerGrades+'!$AB$5,"A",IF(F115&lt;'PlayerGrades+'!$AB$4,"A+",IF(F115&lt;'PlayerGrades+'!$AB$3,"S-",IF(F115&lt;'PlayerGrades+'!$AB$2,"S","S+"))))))))))))))))))))</f>
        <v>B-</v>
      </c>
      <c r="H115" s="937">
        <f t="shared" si="3"/>
        <v>0.1073345259</v>
      </c>
      <c r="I115" s="937" t="str">
        <f>IF(H115&lt;'PlayerGrades+'!$AC$21,"F-",IF(H115&lt;'PlayerGrades+'!$AC$20,"F",IF(H115&lt;'PlayerGrades+'!$AC$19,"F+",IF(H115&lt;'PlayerGrades+'!$AC$18,"E-",IF(H115&lt;'PlayerGrades+'!$AC$17,"E",IF(H115&lt;'PlayerGrades+'!$AC$16,"E+",IF(H115&lt;'PlayerGrades+'!$AC$15,"D-",IF(H115&lt;'PlayerGrades+'!$AC$14,"D",IF(H115&lt;'PlayerGrades+'!$AC$13,"D+",IF(H115&lt;'PlayerGrades+'!$AC$12,"C-",IF(H115&lt;'PlayerGrades+'!$AC$11,"C",IF(H115&lt;'PlayerGrades+'!$AC$10,"C+",IF(H115&lt;'PlayerGrades+'!$AC$9,"B-",IF(H115&lt;'PlayerGrades+'!$AC$8,"B",IF(H115&lt;'PlayerGrades+'!$AC$7,"B+",IF(H115&lt;'PlayerGrades+'!$AC$6,"A-",IF(H115&lt;'PlayerGrades+'!$AC$5,"A",IF(H115&lt;'PlayerGrades+'!$AC$4,"A+",IF(H115&lt;'PlayerGrades+'!$AC$3,"S-",IF(H115&lt;'PlayerGrades+'!$AC$2,"S","S+"))))))))))))))))))))</f>
        <v>C-</v>
      </c>
      <c r="J115" s="937">
        <f t="shared" si="4"/>
        <v>0.07155635063</v>
      </c>
      <c r="K115" s="937" t="str">
        <f>IF(J115&lt;'PlayerGrades+'!$AD$21,"F-",IF(J115&lt;'PlayerGrades+'!$AD$20,"F",IF(J115&lt;'PlayerGrades+'!$AD$19,"F+",IF(J115&lt;'PlayerGrades+'!$AD$18,"E-",IF(J115&lt;'PlayerGrades+'!$AD$17,"E",IF(J115&lt;'PlayerGrades+'!$AD$16,"E+",IF(J115&lt;'PlayerGrades+'!$AD$15,"D-",IF(J115&lt;'PlayerGrades+'!$AD$14,"D",IF(J115&lt;'PlayerGrades+'!$AD$13,"D+",IF(J115&lt;'PlayerGrades+'!$AD$12,"C-",IF(J115&lt;'PlayerGrades+'!$AD$11,"C",IF(J115&lt;'PlayerGrades+'!$AD$10,"C+",IF(J115&lt;'PlayerGrades+'!$AD$9,"B-",IF(J115&lt;'PlayerGrades+'!$AD$8,"B",IF(J115&lt;'PlayerGrades+'!$AD$7,"B+",IF(J115&lt;'PlayerGrades+'!$AD$6,"A-",IF(J115&lt;'PlayerGrades+'!$AD$5,"A",IF(J115&lt;'PlayerGrades+'!$AD$4,"A+",IF(J115&lt;'PlayerGrades+'!$AD$3,"S-",IF(J115&lt;'PlayerGrades+'!$AD$2,"S","S+"))))))))))))))))))))</f>
        <v>A</v>
      </c>
      <c r="L115" s="677">
        <f t="shared" si="5"/>
        <v>0.5366726297</v>
      </c>
      <c r="M115" s="938" t="str">
        <f>IF(L115&lt;'PlayerGrades+'!$AE$21,"F-",IF(L115&lt;'PlayerGrades+'!$AE$20,"F",IF(L115&lt;'PlayerGrades+'!$AE$19,"F+",IF(L115&lt;'PlayerGrades+'!$AE$18,"E-",IF(L115&lt;'PlayerGrades+'!$AE$17,"E",IF(L115&lt;'PlayerGrades+'!$AE$16,"E+",IF(L115&lt;'PlayerGrades+'!$AE$15,"D-",IF(L115&lt;'PlayerGrades+'!$AE$14,"D",IF(L115&lt;'PlayerGrades+'!$AE$13,"D+",IF(L115&lt;'PlayerGrades+'!$AE$12,"C-",IF(L115&lt;'PlayerGrades+'!$AE$11,"C",IF(L115&lt;'PlayerGrades+'!$AE$10,"C+",IF(L115&lt;'PlayerGrades+'!$AE$9,"B-",IF(L115&lt;'PlayerGrades+'!$AE$8,"B",IF(L115&lt;'PlayerGrades+'!$AE$7,"B+",IF(L115&lt;'PlayerGrades+'!$AE$6,"A-",IF(L115&lt;'PlayerGrades+'!$AE$5,"A",IF(L115&lt;'PlayerGrades+'!$AE$4,"A+",IF(L115&lt;'PlayerGrades+'!$AE$3,"S-",IF(L115&lt;'PlayerGrades+'!$AE$2,"S","S+"))))))))))))))))))))</f>
        <v>A-</v>
      </c>
      <c r="N115" s="937">
        <f t="shared" si="6"/>
        <v>0</v>
      </c>
      <c r="O115" s="937" t="str">
        <f>IF(N115&lt;'PlayerGrades+'!$AF$21,"F-",IF(N115&lt;'PlayerGrades+'!$AF$20,"F",IF(N115&lt;'PlayerGrades+'!$AF$19,"F+",IF(N115&lt;'PlayerGrades+'!$AF$18,"E-",IF(N115&lt;'PlayerGrades+'!$AF$17,"E",IF(N115&lt;'PlayerGrades+'!$AF$16,"E+",IF(N115&lt;'PlayerGrades+'!$AF$15,"D-",IF(N115&lt;'PlayerGrades+'!$AF$14,"D",IF(N115&lt;'PlayerGrades+'!$AF$13,"D+",IF(N115&lt;'PlayerGrades+'!$AF$12,"C-",IF(N115&lt;'PlayerGrades+'!$AF$11,"C",IF(N115&lt;'PlayerGrades+'!$AF$10,"C+",IF(N115&lt;'PlayerGrades+'!$AF$9,"B-",IF(N115&lt;'PlayerGrades+'!$AF$8,"B",IF(N115&lt;'PlayerGrades+'!$AF$7,"B+",IF(N115&lt;'PlayerGrades+'!$AF$6,"A-",IF(N115&lt;'PlayerGrades+'!$AF$5,"A",IF(N115&lt;'PlayerGrades+'!$AF$4,"A+",IF(N115&lt;'PlayerGrades+'!$AF$3,"S-",IF(N115&lt;'PlayerGrades+'!$AF$2,"S","S+"))))))))))))))))))))</f>
        <v>F-</v>
      </c>
      <c r="P115" s="937">
        <f t="shared" si="7"/>
        <v>0.03577817531</v>
      </c>
      <c r="Q115" s="937" t="str">
        <f>IF(P115&lt;'PlayerGrades+'!$AG$21,"F-",IF(P115&lt;'PlayerGrades+'!$AG$20,"F",IF(P115&lt;'PlayerGrades+'!$AG$19,"F+",IF(P115&lt;'PlayerGrades+'!$AG$18,"E-",IF(P115&lt;'PlayerGrades+'!$AG$17,"E",IF(P115&lt;'PlayerGrades+'!$AG$16,"E+",IF(P115&lt;'PlayerGrades+'!$AG$15,"D-",IF(P115&lt;'PlayerGrades+'!$AG$14,"D",IF(P115&lt;'PlayerGrades+'!$AG$13,"D+",IF(P115&lt;'PlayerGrades+'!$AG$12,"C-",IF(P115&lt;'PlayerGrades+'!$AG$11,"C",IF(P115&lt;'PlayerGrades+'!$AG$10,"C+",IF(P115&lt;'PlayerGrades+'!$AG$9,"B-",IF(P115&lt;'PlayerGrades+'!$AG$8,"B",IF(P115&lt;'PlayerGrades+'!$AG$7,"B+",IF(P115&lt;'PlayerGrades+'!$AG$6,"A-",IF(P115&lt;'PlayerGrades+'!$AG$5,"A",IF(P115&lt;'PlayerGrades+'!$AG$4,"A+",IF(P115&lt;'PlayerGrades+'!$AG$3,"S-",IF(P115&lt;'PlayerGrades+'!$AG$2,"S","S+"))))))))))))))))))))</f>
        <v>B+</v>
      </c>
      <c r="R115" s="937">
        <f t="shared" si="8"/>
        <v>0.5366726297</v>
      </c>
      <c r="S115" s="937" t="str">
        <f>IF(R115&lt;'PlayerGrades+'!$AH$21,"F-",IF(R115&lt;'PlayerGrades+'!$AH$20,"F",IF(R115&lt;'PlayerGrades+'!$AH$19,"F+",IF(R115&lt;'PlayerGrades+'!$AH$18,"E-",IF(R115&lt;'PlayerGrades+'!$AH$17,"E",IF(R115&lt;'PlayerGrades+'!$AH$16,"E+",IF(R115&lt;'PlayerGrades+'!$AH$15,"D-",IF(R115&lt;'PlayerGrades+'!$AH$14,"D",IF(R115&lt;'PlayerGrades+'!$AH$13,"D+",IF(R115&lt;'PlayerGrades+'!$AH$12,"C-",IF(R115&lt;'PlayerGrades+'!$AH$11,"C",IF(R115&lt;'PlayerGrades+'!$AH$10,"C+",IF(R115&lt;'PlayerGrades+'!$AH$9,"B-",IF(R115&lt;'PlayerGrades+'!$AH$8,"B",IF(R115&lt;'PlayerGrades+'!$AH$7,"B+",IF(R115&lt;'PlayerGrades+'!$AH$6,"A-",IF(R115&lt;'PlayerGrades+'!$AH$5,"A",IF(R115&lt;'PlayerGrades+'!$AH$4,"A+",IF(R115&lt;'PlayerGrades+'!$AH$3,"S-",IF(R115&lt;'PlayerGrades+'!$AH$2,"S","S+"))))))))))))))))))))</f>
        <v>C+</v>
      </c>
      <c r="T115" s="937">
        <f t="shared" si="9"/>
        <v>0.6082289803</v>
      </c>
      <c r="U115" s="937" t="str">
        <f>IF(T115&lt;'PlayerGrades+'!$AI$21,"F-",IF(T115&lt;'PlayerGrades+'!$AI$20,"F",IF(T115&lt;'PlayerGrades+'!$AI$19,"F+",IF(T115&lt;'PlayerGrades+'!$AI$18,"E-",IF(T115&lt;'PlayerGrades+'!$AI$17,"E",IF(T115&lt;'PlayerGrades+'!$AI$16,"E+",IF(T115&lt;'PlayerGrades+'!$AI$15,"D-",IF(T115&lt;'PlayerGrades+'!$AI$14,"D",IF(T115&lt;'PlayerGrades+'!$AI$13,"D+",IF(T115&lt;'PlayerGrades+'!$AI$12,"C-",IF(T115&lt;'PlayerGrades+'!$AI$11,"C",IF(T115&lt;'PlayerGrades+'!$AI$10,"C+",IF(T115&lt;'PlayerGrades+'!$AI$9,"B-",IF(T115&lt;'PlayerGrades+'!$AI$8,"B",IF(T115&lt;'PlayerGrades+'!$AI$7,"B+",IF(T115&lt;'PlayerGrades+'!$AI$6,"A-",IF(T115&lt;'PlayerGrades+'!$AI$5,"A",IF(T115&lt;'PlayerGrades+'!$AI$4,"A+",IF(T115&lt;'PlayerGrades+'!$AI$3,"S-",IF(T115&lt;'PlayerGrades+'!$AI$2,"S","S+"))))))))))))))))))))</f>
        <v>F-</v>
      </c>
      <c r="V115" s="941">
        <v>1.0</v>
      </c>
      <c r="W115" s="941">
        <v>0.0</v>
      </c>
      <c r="X115" s="941">
        <v>1.0</v>
      </c>
      <c r="Y115" s="941">
        <v>0.0</v>
      </c>
      <c r="Z115" s="941">
        <v>1.0</v>
      </c>
      <c r="AA115" s="941">
        <v>96.0</v>
      </c>
      <c r="AB115" s="941">
        <v>98.0</v>
      </c>
      <c r="AC115" s="941">
        <v>-2.0</v>
      </c>
      <c r="AD115" s="941">
        <v>2.0</v>
      </c>
      <c r="AE115" s="941">
        <v>5.0</v>
      </c>
      <c r="AF115" s="941">
        <v>1.0</v>
      </c>
      <c r="AG115" s="941">
        <v>1273.0</v>
      </c>
      <c r="AH115" s="941">
        <v>1677.0</v>
      </c>
      <c r="AI115" s="941">
        <v>12.0</v>
      </c>
      <c r="AJ115" s="941">
        <v>2.0</v>
      </c>
      <c r="AK115" s="941">
        <v>0.0</v>
      </c>
      <c r="AL115" s="941">
        <v>2.0</v>
      </c>
      <c r="AM115" s="941">
        <v>0.0</v>
      </c>
      <c r="AN115" s="941">
        <v>0.0</v>
      </c>
      <c r="AO115" s="941">
        <v>0.0</v>
      </c>
      <c r="AP115" s="941">
        <v>1.0</v>
      </c>
      <c r="AQ115" s="941">
        <v>0.0</v>
      </c>
      <c r="AR115" s="941">
        <v>15.0</v>
      </c>
      <c r="AS115" s="941">
        <v>0.0</v>
      </c>
      <c r="AT115" s="941">
        <v>0.0</v>
      </c>
      <c r="AU115" s="941">
        <v>0.0</v>
      </c>
      <c r="AV115" s="941">
        <v>0.0</v>
      </c>
      <c r="AW115" s="941">
        <v>0.0</v>
      </c>
      <c r="AX115" s="941">
        <v>0.0</v>
      </c>
      <c r="AY115" s="941">
        <v>0.0</v>
      </c>
      <c r="AZ115" s="941">
        <v>0.0</v>
      </c>
      <c r="BA115" s="941">
        <v>0.0</v>
      </c>
      <c r="BB115" s="941">
        <v>3.0</v>
      </c>
      <c r="BC115" s="941">
        <v>0.0</v>
      </c>
      <c r="BD115" s="941">
        <v>13.0</v>
      </c>
      <c r="BE115" s="942">
        <v>17.0</v>
      </c>
      <c r="BF115" s="941">
        <v>0.0</v>
      </c>
      <c r="BG115" s="941">
        <v>1.0</v>
      </c>
    </row>
    <row r="116">
      <c r="A116" s="935" t="s">
        <v>137</v>
      </c>
      <c r="B116" s="16" t="str">
        <f>IF(C116&lt;'PlayerGrades+'!$Y$44,"F-",IF(C116&lt;'PlayerGrades+'!$Y$43,"F",IF(C116&lt;'PlayerGrades+'!$Y$42,"F+",IF(C116&lt;'PlayerGrades+'!$Y$41,"E-",IF(C116&lt;'PlayerGrades+'!$Y$40,"E",IF(C116&lt;'PlayerGrades+'!$Y$39,"E+",IF(C116&lt;'PlayerGrades+'!$Y$38,"D-",IF(C116&lt;'PlayerGrades+'!$Y$37,"D",IF(C116&lt;'PlayerGrades+'!$Y$36,"D+",IF(C116&lt;'PlayerGrades+'!$Y$35,"C-",IF(C116&lt;'PlayerGrades+'!$Y$34,"C",IF(C116&lt;'PlayerGrades+'!$Y$33,"C+",IF(C116&lt;'PlayerGrades+'!$Y$32,"B-",IF(C116&lt;'PlayerGrades+'!$Y$31,"B",IF(C116&lt;'PlayerGrades+'!$Y$30,"B+",IF(C116&lt;'PlayerGrades+'!$Y$29,"A-",IF(C116&lt;'PlayerGrades+'!$Y$28,"A",IF(C116&lt;'PlayerGrades+'!$Y$27,"A+",IF(C116&lt;'PlayerGrades+'!$Y$26,"S-",IF(C116&lt;'PlayerGrades+'!$Y$25,"S","S+"))))))))))))))))))))</f>
        <v>F</v>
      </c>
      <c r="C116" s="936">
        <f>('PlayerGrades+'!$Y$47*(VLOOKUP(E116, 'PlayerGrades+'!$X$3:$Y$23, 2, FALSE)))+('PlayerGrades+'!$Y$48*(VLOOKUP(G116, 'PlayerGrades+'!$X$3:$Y$23, 2, FALSE)))+('PlayerGrades+'!$Y$49*(VLOOKUP(I116, 'PlayerGrades+'!$X$3:$Y$23, 2, FALSE)))+('PlayerGrades+'!$Y$50*(VLOOKUP(K116, 'PlayerGrades+'!$X$3:$Y$23, 2, FALSE)))+('PlayerGrades+'!$Y$51*(VLOOKUP(M116, 'PlayerGrades+'!$X$3:$Y$23, 2, FALSE)))+('PlayerGrades+'!$Y$52*(VLOOKUP(O116, 'PlayerGrades+'!$X$3:$Y$23, 2, FALSE)))+('PlayerGrades+'!$Y$53*(VLOOKUP(Q116, 'PlayerGrades+'!$X$3:$Y$23, 2, FALSE)))+('PlayerGrades+'!$Y$54*(VLOOKUP(S116, 'PlayerGrades+'!$X$3:$Y$23, 2, FALSE)))+('PlayerGrades+'!$Y$55*(VLOOKUP(U116, 'PlayerGrades+'!$X$3:$Y$23, 2, FALSE)))</f>
        <v>8.45</v>
      </c>
      <c r="D116" s="937">
        <f t="shared" si="1"/>
        <v>0</v>
      </c>
      <c r="E116" s="937" t="str">
        <f>IF(D116&lt;'PlayerGrades+'!$AA$21,"F-",IF(D116&lt;'PlayerGrades+'!$AA$20,"F",IF(D116&lt;'PlayerGrades+'!$AA$19,"F+",IF(D116&lt;'PlayerGrades+'!$AA$18,"E-",IF(D116&lt;'PlayerGrades+'!$AA$17,"E",IF(D116&lt;'PlayerGrades+'!$AA$16,"E+",IF(D116&lt;'PlayerGrades+'!$AA$15,"D-",IF(D116&lt;'PlayerGrades+'!$AA$14,"D",IF(D116&lt;'PlayerGrades+'!$AA$13,"D+",IF(D116&lt;'PlayerGrades+'!$AA$12,"C-",IF(D116&lt;'PlayerGrades+'!$AA$11,"C",IF(D116&lt;'PlayerGrades+'!$AA$10,"C+",IF(D116&lt;'PlayerGrades+'!$AA$9,"B-",IF(D116&lt;'PlayerGrades+'!$AA$8,"B",IF(D116&lt;'PlayerGrades+'!$AA$7,"B+",IF(D116&lt;'PlayerGrades+'!$AA$6,"A-",IF(D116&lt;'PlayerGrades+'!$AA$5,"A",IF(D116&lt;'PlayerGrades+'!$AA$4,"A+",IF(D116&lt;'PlayerGrades+'!$AA$3,"S-",IF(D116&lt;'PlayerGrades+'!$AA$2,"S","S+"))))))))))))))))))))</f>
        <v>F-</v>
      </c>
      <c r="F116" s="937">
        <f t="shared" si="2"/>
        <v>-1.288014311</v>
      </c>
      <c r="G116" s="937" t="str">
        <f>IF(F116&lt;'PlayerGrades+'!$AB$21,"F-",IF(F116&lt;'PlayerGrades+'!$AB$20,"F",IF(F116&lt;'PlayerGrades+'!$AB$19,"F+",IF(F116&lt;'PlayerGrades+'!$AB$18,"E-",IF(F116&lt;'PlayerGrades+'!$AB$17,"E",IF(F116&lt;'PlayerGrades+'!$AB$16,"E+",IF(F116&lt;'PlayerGrades+'!$AB$15,"D-",IF(F116&lt;'PlayerGrades+'!$AB$14,"D",IF(F116&lt;'PlayerGrades+'!$AB$13,"D+",IF(F116&lt;'PlayerGrades+'!$AB$12,"C-",IF(F116&lt;'PlayerGrades+'!$AB$11,"C",IF(F116&lt;'PlayerGrades+'!$AB$10,"C+",IF(F116&lt;'PlayerGrades+'!$AB$9,"B-",IF(F116&lt;'PlayerGrades+'!$AB$8,"B",IF(F116&lt;'PlayerGrades+'!$AB$7,"B+",IF(F116&lt;'PlayerGrades+'!$AB$6,"A-",IF(F116&lt;'PlayerGrades+'!$AB$5,"A",IF(F116&lt;'PlayerGrades+'!$AB$4,"A+",IF(F116&lt;'PlayerGrades+'!$AB$3,"S-",IF(F116&lt;'PlayerGrades+'!$AB$2,"S","S+"))))))))))))))))))))</f>
        <v>F-</v>
      </c>
      <c r="H116" s="937">
        <f t="shared" si="3"/>
        <v>0.1073345259</v>
      </c>
      <c r="I116" s="937" t="str">
        <f>IF(H116&lt;'PlayerGrades+'!$AC$21,"F-",IF(H116&lt;'PlayerGrades+'!$AC$20,"F",IF(H116&lt;'PlayerGrades+'!$AC$19,"F+",IF(H116&lt;'PlayerGrades+'!$AC$18,"E-",IF(H116&lt;'PlayerGrades+'!$AC$17,"E",IF(H116&lt;'PlayerGrades+'!$AC$16,"E+",IF(H116&lt;'PlayerGrades+'!$AC$15,"D-",IF(H116&lt;'PlayerGrades+'!$AC$14,"D",IF(H116&lt;'PlayerGrades+'!$AC$13,"D+",IF(H116&lt;'PlayerGrades+'!$AC$12,"C-",IF(H116&lt;'PlayerGrades+'!$AC$11,"C",IF(H116&lt;'PlayerGrades+'!$AC$10,"C+",IF(H116&lt;'PlayerGrades+'!$AC$9,"B-",IF(H116&lt;'PlayerGrades+'!$AC$8,"B",IF(H116&lt;'PlayerGrades+'!$AC$7,"B+",IF(H116&lt;'PlayerGrades+'!$AC$6,"A-",IF(H116&lt;'PlayerGrades+'!$AC$5,"A",IF(H116&lt;'PlayerGrades+'!$AC$4,"A+",IF(H116&lt;'PlayerGrades+'!$AC$3,"S-",IF(H116&lt;'PlayerGrades+'!$AC$2,"S","S+"))))))))))))))))))))</f>
        <v>C-</v>
      </c>
      <c r="J116" s="937">
        <f t="shared" si="4"/>
        <v>0</v>
      </c>
      <c r="K116" s="937" t="str">
        <f>IF(J116&lt;'PlayerGrades+'!$AD$21,"F-",IF(J116&lt;'PlayerGrades+'!$AD$20,"F",IF(J116&lt;'PlayerGrades+'!$AD$19,"F+",IF(J116&lt;'PlayerGrades+'!$AD$18,"E-",IF(J116&lt;'PlayerGrades+'!$AD$17,"E",IF(J116&lt;'PlayerGrades+'!$AD$16,"E+",IF(J116&lt;'PlayerGrades+'!$AD$15,"D-",IF(J116&lt;'PlayerGrades+'!$AD$14,"D",IF(J116&lt;'PlayerGrades+'!$AD$13,"D+",IF(J116&lt;'PlayerGrades+'!$AD$12,"C-",IF(J116&lt;'PlayerGrades+'!$AD$11,"C",IF(J116&lt;'PlayerGrades+'!$AD$10,"C+",IF(J116&lt;'PlayerGrades+'!$AD$9,"B-",IF(J116&lt;'PlayerGrades+'!$AD$8,"B",IF(J116&lt;'PlayerGrades+'!$AD$7,"B+",IF(J116&lt;'PlayerGrades+'!$AD$6,"A-",IF(J116&lt;'PlayerGrades+'!$AD$5,"A",IF(J116&lt;'PlayerGrades+'!$AD$4,"A+",IF(J116&lt;'PlayerGrades+'!$AD$3,"S-",IF(J116&lt;'PlayerGrades+'!$AD$2,"S","S+"))))))))))))))))))))</f>
        <v>F-</v>
      </c>
      <c r="L116" s="677">
        <f t="shared" si="5"/>
        <v>0.2862254025</v>
      </c>
      <c r="M116" s="938" t="str">
        <f>IF(L116&lt;'PlayerGrades+'!$AE$21,"F-",IF(L116&lt;'PlayerGrades+'!$AE$20,"F",IF(L116&lt;'PlayerGrades+'!$AE$19,"F+",IF(L116&lt;'PlayerGrades+'!$AE$18,"E-",IF(L116&lt;'PlayerGrades+'!$AE$17,"E",IF(L116&lt;'PlayerGrades+'!$AE$16,"E+",IF(L116&lt;'PlayerGrades+'!$AE$15,"D-",IF(L116&lt;'PlayerGrades+'!$AE$14,"D",IF(L116&lt;'PlayerGrades+'!$AE$13,"D+",IF(L116&lt;'PlayerGrades+'!$AE$12,"C-",IF(L116&lt;'PlayerGrades+'!$AE$11,"C",IF(L116&lt;'PlayerGrades+'!$AE$10,"C+",IF(L116&lt;'PlayerGrades+'!$AE$9,"B-",IF(L116&lt;'PlayerGrades+'!$AE$8,"B",IF(L116&lt;'PlayerGrades+'!$AE$7,"B+",IF(L116&lt;'PlayerGrades+'!$AE$6,"A-",IF(L116&lt;'PlayerGrades+'!$AE$5,"A",IF(L116&lt;'PlayerGrades+'!$AE$4,"A+",IF(L116&lt;'PlayerGrades+'!$AE$3,"S-",IF(L116&lt;'PlayerGrades+'!$AE$2,"S","S+"))))))))))))))))))))</f>
        <v>F+</v>
      </c>
      <c r="N116" s="937">
        <f t="shared" si="6"/>
        <v>0.03577817531</v>
      </c>
      <c r="O116" s="937" t="str">
        <f>IF(N116&lt;'PlayerGrades+'!$AF$21,"F-",IF(N116&lt;'PlayerGrades+'!$AF$20,"F",IF(N116&lt;'PlayerGrades+'!$AF$19,"F+",IF(N116&lt;'PlayerGrades+'!$AF$18,"E-",IF(N116&lt;'PlayerGrades+'!$AF$17,"E",IF(N116&lt;'PlayerGrades+'!$AF$16,"E+",IF(N116&lt;'PlayerGrades+'!$AF$15,"D-",IF(N116&lt;'PlayerGrades+'!$AF$14,"D",IF(N116&lt;'PlayerGrades+'!$AF$13,"D+",IF(N116&lt;'PlayerGrades+'!$AF$12,"C-",IF(N116&lt;'PlayerGrades+'!$AF$11,"C",IF(N116&lt;'PlayerGrades+'!$AF$10,"C+",IF(N116&lt;'PlayerGrades+'!$AF$9,"B-",IF(N116&lt;'PlayerGrades+'!$AF$8,"B",IF(N116&lt;'PlayerGrades+'!$AF$7,"B+",IF(N116&lt;'PlayerGrades+'!$AF$6,"A-",IF(N116&lt;'PlayerGrades+'!$AF$5,"A",IF(N116&lt;'PlayerGrades+'!$AF$4,"A+",IF(N116&lt;'PlayerGrades+'!$AF$3,"S-",IF(N116&lt;'PlayerGrades+'!$AF$2,"S","S+"))))))))))))))))))))</f>
        <v>F+</v>
      </c>
      <c r="P116" s="937">
        <f t="shared" si="7"/>
        <v>0</v>
      </c>
      <c r="Q116" s="937" t="str">
        <f>IF(P116&lt;'PlayerGrades+'!$AG$21,"F-",IF(P116&lt;'PlayerGrades+'!$AG$20,"F",IF(P116&lt;'PlayerGrades+'!$AG$19,"F+",IF(P116&lt;'PlayerGrades+'!$AG$18,"E-",IF(P116&lt;'PlayerGrades+'!$AG$17,"E",IF(P116&lt;'PlayerGrades+'!$AG$16,"E+",IF(P116&lt;'PlayerGrades+'!$AG$15,"D-",IF(P116&lt;'PlayerGrades+'!$AG$14,"D",IF(P116&lt;'PlayerGrades+'!$AG$13,"D+",IF(P116&lt;'PlayerGrades+'!$AG$12,"C-",IF(P116&lt;'PlayerGrades+'!$AG$11,"C",IF(P116&lt;'PlayerGrades+'!$AG$10,"C+",IF(P116&lt;'PlayerGrades+'!$AG$9,"B-",IF(P116&lt;'PlayerGrades+'!$AG$8,"B",IF(P116&lt;'PlayerGrades+'!$AG$7,"B+",IF(P116&lt;'PlayerGrades+'!$AG$6,"A-",IF(P116&lt;'PlayerGrades+'!$AG$5,"A",IF(P116&lt;'PlayerGrades+'!$AG$4,"A+",IF(P116&lt;'PlayerGrades+'!$AG$3,"S-",IF(P116&lt;'PlayerGrades+'!$AG$2,"S","S+"))))))))))))))))))))</f>
        <v>F</v>
      </c>
      <c r="R116" s="937">
        <f t="shared" si="8"/>
        <v>0.4651162791</v>
      </c>
      <c r="S116" s="937" t="str">
        <f>IF(R116&lt;'PlayerGrades+'!$AH$21,"F-",IF(R116&lt;'PlayerGrades+'!$AH$20,"F",IF(R116&lt;'PlayerGrades+'!$AH$19,"F+",IF(R116&lt;'PlayerGrades+'!$AH$18,"E-",IF(R116&lt;'PlayerGrades+'!$AH$17,"E",IF(R116&lt;'PlayerGrades+'!$AH$16,"E+",IF(R116&lt;'PlayerGrades+'!$AH$15,"D-",IF(R116&lt;'PlayerGrades+'!$AH$14,"D",IF(R116&lt;'PlayerGrades+'!$AH$13,"D+",IF(R116&lt;'PlayerGrades+'!$AH$12,"C-",IF(R116&lt;'PlayerGrades+'!$AH$11,"C",IF(R116&lt;'PlayerGrades+'!$AH$10,"C+",IF(R116&lt;'PlayerGrades+'!$AH$9,"B-",IF(R116&lt;'PlayerGrades+'!$AH$8,"B",IF(R116&lt;'PlayerGrades+'!$AH$7,"B+",IF(R116&lt;'PlayerGrades+'!$AH$6,"A-",IF(R116&lt;'PlayerGrades+'!$AH$5,"A",IF(R116&lt;'PlayerGrades+'!$AH$4,"A+",IF(R116&lt;'PlayerGrades+'!$AH$3,"S-",IF(R116&lt;'PlayerGrades+'!$AH$2,"S","S+"))))))))))))))))))))</f>
        <v>E-</v>
      </c>
      <c r="T116" s="937">
        <f t="shared" si="9"/>
        <v>1.429338104</v>
      </c>
      <c r="U116" s="937" t="str">
        <f>IF(T116&lt;'PlayerGrades+'!$AI$21,"F-",IF(T116&lt;'PlayerGrades+'!$AI$20,"F",IF(T116&lt;'PlayerGrades+'!$AI$19,"F+",IF(T116&lt;'PlayerGrades+'!$AI$18,"E-",IF(T116&lt;'PlayerGrades+'!$AI$17,"E",IF(T116&lt;'PlayerGrades+'!$AI$16,"E+",IF(T116&lt;'PlayerGrades+'!$AI$15,"D-",IF(T116&lt;'PlayerGrades+'!$AI$14,"D",IF(T116&lt;'PlayerGrades+'!$AI$13,"D+",IF(T116&lt;'PlayerGrades+'!$AI$12,"C-",IF(T116&lt;'PlayerGrades+'!$AI$11,"C",IF(T116&lt;'PlayerGrades+'!$AI$10,"C+",IF(T116&lt;'PlayerGrades+'!$AI$9,"B-",IF(T116&lt;'PlayerGrades+'!$AI$8,"B",IF(T116&lt;'PlayerGrades+'!$AI$7,"B+",IF(T116&lt;'PlayerGrades+'!$AI$6,"A-",IF(T116&lt;'PlayerGrades+'!$AI$5,"A",IF(T116&lt;'PlayerGrades+'!$AI$4,"A+",IF(T116&lt;'PlayerGrades+'!$AI$3,"S-",IF(T116&lt;'PlayerGrades+'!$AI$2,"S","S+"))))))))))))))))))))</f>
        <v>B+</v>
      </c>
      <c r="V116" s="941">
        <v>1.0</v>
      </c>
      <c r="W116" s="941">
        <v>0.0</v>
      </c>
      <c r="X116" s="941">
        <v>1.0</v>
      </c>
      <c r="Y116" s="941">
        <v>0.0</v>
      </c>
      <c r="Z116" s="941">
        <v>0.0</v>
      </c>
      <c r="AA116" s="941">
        <v>83.0</v>
      </c>
      <c r="AB116" s="941">
        <v>119.0</v>
      </c>
      <c r="AC116" s="941">
        <v>-36.0</v>
      </c>
      <c r="AD116" s="941">
        <v>8.0</v>
      </c>
      <c r="AE116" s="941">
        <v>4.0</v>
      </c>
      <c r="AF116" s="941">
        <v>1.0</v>
      </c>
      <c r="AG116" s="941">
        <v>1214.0</v>
      </c>
      <c r="AH116" s="941">
        <v>1677.0</v>
      </c>
      <c r="AI116" s="941">
        <v>10.0</v>
      </c>
      <c r="AJ116" s="941">
        <v>9.0</v>
      </c>
      <c r="AK116" s="941">
        <v>0.0</v>
      </c>
      <c r="AL116" s="941">
        <v>0.0</v>
      </c>
      <c r="AM116" s="941">
        <v>0.0</v>
      </c>
      <c r="AN116" s="941">
        <v>0.0</v>
      </c>
      <c r="AO116" s="941">
        <v>0.0</v>
      </c>
      <c r="AP116" s="941">
        <v>0.0</v>
      </c>
      <c r="AQ116" s="941">
        <v>0.0</v>
      </c>
      <c r="AR116" s="941">
        <v>8.0</v>
      </c>
      <c r="AS116" s="941">
        <v>1.0</v>
      </c>
      <c r="AT116" s="941">
        <v>1.0</v>
      </c>
      <c r="AU116" s="941">
        <v>0.0</v>
      </c>
      <c r="AV116" s="941">
        <v>0.0</v>
      </c>
      <c r="AW116" s="941">
        <v>0.0</v>
      </c>
      <c r="AX116" s="941">
        <v>0.0</v>
      </c>
      <c r="AY116" s="941">
        <v>0.0</v>
      </c>
      <c r="AZ116" s="941">
        <v>0.0</v>
      </c>
      <c r="BA116" s="941">
        <v>0.0</v>
      </c>
      <c r="BB116" s="941">
        <v>3.0</v>
      </c>
      <c r="BC116" s="941">
        <v>0.0</v>
      </c>
      <c r="BD116" s="941">
        <v>5.0</v>
      </c>
      <c r="BE116" s="942">
        <v>12.0</v>
      </c>
      <c r="BF116" s="941">
        <v>1.0</v>
      </c>
      <c r="BG116" s="941">
        <v>1.0</v>
      </c>
    </row>
    <row r="117">
      <c r="A117" s="935" t="s">
        <v>420</v>
      </c>
      <c r="B117" s="16" t="str">
        <f>IF(C117&lt;'PlayerGrades+'!$Y$44,"F-",IF(C117&lt;'PlayerGrades+'!$Y$43,"F",IF(C117&lt;'PlayerGrades+'!$Y$42,"F+",IF(C117&lt;'PlayerGrades+'!$Y$41,"E-",IF(C117&lt;'PlayerGrades+'!$Y$40,"E",IF(C117&lt;'PlayerGrades+'!$Y$39,"E+",IF(C117&lt;'PlayerGrades+'!$Y$38,"D-",IF(C117&lt;'PlayerGrades+'!$Y$37,"D",IF(C117&lt;'PlayerGrades+'!$Y$36,"D+",IF(C117&lt;'PlayerGrades+'!$Y$35,"C-",IF(C117&lt;'PlayerGrades+'!$Y$34,"C",IF(C117&lt;'PlayerGrades+'!$Y$33,"C+",IF(C117&lt;'PlayerGrades+'!$Y$32,"B-",IF(C117&lt;'PlayerGrades+'!$Y$31,"B",IF(C117&lt;'PlayerGrades+'!$Y$30,"B+",IF(C117&lt;'PlayerGrades+'!$Y$29,"A-",IF(C117&lt;'PlayerGrades+'!$Y$28,"A",IF(C117&lt;'PlayerGrades+'!$Y$27,"A+",IF(C117&lt;'PlayerGrades+'!$Y$26,"S-",IF(C117&lt;'PlayerGrades+'!$Y$25,"S","S+"))))))))))))))))))))</f>
        <v>D</v>
      </c>
      <c r="C117" s="936">
        <f>('PlayerGrades+'!$Y$47*(VLOOKUP(E117, 'PlayerGrades+'!$X$3:$Y$23, 2, FALSE)))+('PlayerGrades+'!$Y$48*(VLOOKUP(G117, 'PlayerGrades+'!$X$3:$Y$23, 2, FALSE)))+('PlayerGrades+'!$Y$49*(VLOOKUP(I117, 'PlayerGrades+'!$X$3:$Y$23, 2, FALSE)))+('PlayerGrades+'!$Y$50*(VLOOKUP(K117, 'PlayerGrades+'!$X$3:$Y$23, 2, FALSE)))+('PlayerGrades+'!$Y$51*(VLOOKUP(M117, 'PlayerGrades+'!$X$3:$Y$23, 2, FALSE)))+('PlayerGrades+'!$Y$52*(VLOOKUP(O117, 'PlayerGrades+'!$X$3:$Y$23, 2, FALSE)))+('PlayerGrades+'!$Y$53*(VLOOKUP(Q117, 'PlayerGrades+'!$X$3:$Y$23, 2, FALSE)))+('PlayerGrades+'!$Y$54*(VLOOKUP(S117, 'PlayerGrades+'!$X$3:$Y$23, 2, FALSE)))+('PlayerGrades+'!$Y$55*(VLOOKUP(U117, 'PlayerGrades+'!$X$3:$Y$23, 2, FALSE)))</f>
        <v>16.55</v>
      </c>
      <c r="D117" s="937">
        <f t="shared" si="1"/>
        <v>0.4651162791</v>
      </c>
      <c r="E117" s="937" t="str">
        <f>IF(D117&lt;'PlayerGrades+'!$AA$21,"F-",IF(D117&lt;'PlayerGrades+'!$AA$20,"F",IF(D117&lt;'PlayerGrades+'!$AA$19,"F+",IF(D117&lt;'PlayerGrades+'!$AA$18,"E-",IF(D117&lt;'PlayerGrades+'!$AA$17,"E",IF(D117&lt;'PlayerGrades+'!$AA$16,"E+",IF(D117&lt;'PlayerGrades+'!$AA$15,"D-",IF(D117&lt;'PlayerGrades+'!$AA$14,"D",IF(D117&lt;'PlayerGrades+'!$AA$13,"D+",IF(D117&lt;'PlayerGrades+'!$AA$12,"C-",IF(D117&lt;'PlayerGrades+'!$AA$11,"C",IF(D117&lt;'PlayerGrades+'!$AA$10,"C+",IF(D117&lt;'PlayerGrades+'!$AA$9,"B-",IF(D117&lt;'PlayerGrades+'!$AA$8,"B",IF(D117&lt;'PlayerGrades+'!$AA$7,"B+",IF(D117&lt;'PlayerGrades+'!$AA$6,"A-",IF(D117&lt;'PlayerGrades+'!$AA$5,"A",IF(D117&lt;'PlayerGrades+'!$AA$4,"A+",IF(D117&lt;'PlayerGrades+'!$AA$3,"S-",IF(D117&lt;'PlayerGrades+'!$AA$2,"S","S+"))))))))))))))))))))</f>
        <v>A+</v>
      </c>
      <c r="F117" s="937">
        <f t="shared" si="2"/>
        <v>0.1788908766</v>
      </c>
      <c r="G117" s="937" t="str">
        <f>IF(F117&lt;'PlayerGrades+'!$AB$21,"F-",IF(F117&lt;'PlayerGrades+'!$AB$20,"F",IF(F117&lt;'PlayerGrades+'!$AB$19,"F+",IF(F117&lt;'PlayerGrades+'!$AB$18,"E-",IF(F117&lt;'PlayerGrades+'!$AB$17,"E",IF(F117&lt;'PlayerGrades+'!$AB$16,"E+",IF(F117&lt;'PlayerGrades+'!$AB$15,"D-",IF(F117&lt;'PlayerGrades+'!$AB$14,"D",IF(F117&lt;'PlayerGrades+'!$AB$13,"D+",IF(F117&lt;'PlayerGrades+'!$AB$12,"C-",IF(F117&lt;'PlayerGrades+'!$AB$11,"C",IF(F117&lt;'PlayerGrades+'!$AB$10,"C+",IF(F117&lt;'PlayerGrades+'!$AB$9,"B-",IF(F117&lt;'PlayerGrades+'!$AB$8,"B",IF(F117&lt;'PlayerGrades+'!$AB$7,"B+",IF(F117&lt;'PlayerGrades+'!$AB$6,"A-",IF(F117&lt;'PlayerGrades+'!$AB$5,"A",IF(F117&lt;'PlayerGrades+'!$AB$4,"A+",IF(F117&lt;'PlayerGrades+'!$AB$3,"S-",IF(F117&lt;'PlayerGrades+'!$AB$2,"S","S+"))))))))))))))))))))</f>
        <v>B+</v>
      </c>
      <c r="H117" s="937">
        <f t="shared" si="3"/>
        <v>0</v>
      </c>
      <c r="I117" s="937" t="str">
        <f>IF(H117&lt;'PlayerGrades+'!$AC$21,"F-",IF(H117&lt;'PlayerGrades+'!$AC$20,"F",IF(H117&lt;'PlayerGrades+'!$AC$19,"F+",IF(H117&lt;'PlayerGrades+'!$AC$18,"E-",IF(H117&lt;'PlayerGrades+'!$AC$17,"E",IF(H117&lt;'PlayerGrades+'!$AC$16,"E+",IF(H117&lt;'PlayerGrades+'!$AC$15,"D-",IF(H117&lt;'PlayerGrades+'!$AC$14,"D",IF(H117&lt;'PlayerGrades+'!$AC$13,"D+",IF(H117&lt;'PlayerGrades+'!$AC$12,"C-",IF(H117&lt;'PlayerGrades+'!$AC$11,"C",IF(H117&lt;'PlayerGrades+'!$AC$10,"C+",IF(H117&lt;'PlayerGrades+'!$AC$9,"B-",IF(H117&lt;'PlayerGrades+'!$AC$8,"B",IF(H117&lt;'PlayerGrades+'!$AC$7,"B+",IF(H117&lt;'PlayerGrades+'!$AC$6,"A-",IF(H117&lt;'PlayerGrades+'!$AC$5,"A",IF(H117&lt;'PlayerGrades+'!$AC$4,"A+",IF(H117&lt;'PlayerGrades+'!$AC$3,"S-",IF(H117&lt;'PlayerGrades+'!$AC$2,"S","S+"))))))))))))))))))))</f>
        <v>F-</v>
      </c>
      <c r="J117" s="937">
        <f t="shared" si="4"/>
        <v>0</v>
      </c>
      <c r="K117" s="937" t="str">
        <f>IF(J117&lt;'PlayerGrades+'!$AD$21,"F-",IF(J117&lt;'PlayerGrades+'!$AD$20,"F",IF(J117&lt;'PlayerGrades+'!$AD$19,"F+",IF(J117&lt;'PlayerGrades+'!$AD$18,"E-",IF(J117&lt;'PlayerGrades+'!$AD$17,"E",IF(J117&lt;'PlayerGrades+'!$AD$16,"E+",IF(J117&lt;'PlayerGrades+'!$AD$15,"D-",IF(J117&lt;'PlayerGrades+'!$AD$14,"D",IF(J117&lt;'PlayerGrades+'!$AD$13,"D+",IF(J117&lt;'PlayerGrades+'!$AD$12,"C-",IF(J117&lt;'PlayerGrades+'!$AD$11,"C",IF(J117&lt;'PlayerGrades+'!$AD$10,"C+",IF(J117&lt;'PlayerGrades+'!$AD$9,"B-",IF(J117&lt;'PlayerGrades+'!$AD$8,"B",IF(J117&lt;'PlayerGrades+'!$AD$7,"B+",IF(J117&lt;'PlayerGrades+'!$AD$6,"A-",IF(J117&lt;'PlayerGrades+'!$AD$5,"A",IF(J117&lt;'PlayerGrades+'!$AD$4,"A+",IF(J117&lt;'PlayerGrades+'!$AD$3,"S-",IF(J117&lt;'PlayerGrades+'!$AD$2,"S","S+"))))))))))))))))))))</f>
        <v>F-</v>
      </c>
      <c r="L117" s="677">
        <f t="shared" si="5"/>
        <v>0.2862254025</v>
      </c>
      <c r="M117" s="938" t="str">
        <f>IF(L117&lt;'PlayerGrades+'!$AE$21,"F-",IF(L117&lt;'PlayerGrades+'!$AE$20,"F",IF(L117&lt;'PlayerGrades+'!$AE$19,"F+",IF(L117&lt;'PlayerGrades+'!$AE$18,"E-",IF(L117&lt;'PlayerGrades+'!$AE$17,"E",IF(L117&lt;'PlayerGrades+'!$AE$16,"E+",IF(L117&lt;'PlayerGrades+'!$AE$15,"D-",IF(L117&lt;'PlayerGrades+'!$AE$14,"D",IF(L117&lt;'PlayerGrades+'!$AE$13,"D+",IF(L117&lt;'PlayerGrades+'!$AE$12,"C-",IF(L117&lt;'PlayerGrades+'!$AE$11,"C",IF(L117&lt;'PlayerGrades+'!$AE$10,"C+",IF(L117&lt;'PlayerGrades+'!$AE$9,"B-",IF(L117&lt;'PlayerGrades+'!$AE$8,"B",IF(L117&lt;'PlayerGrades+'!$AE$7,"B+",IF(L117&lt;'PlayerGrades+'!$AE$6,"A-",IF(L117&lt;'PlayerGrades+'!$AE$5,"A",IF(L117&lt;'PlayerGrades+'!$AE$4,"A+",IF(L117&lt;'PlayerGrades+'!$AE$3,"S-",IF(L117&lt;'PlayerGrades+'!$AE$2,"S","S+"))))))))))))))))))))</f>
        <v>F+</v>
      </c>
      <c r="N117" s="937">
        <f t="shared" si="6"/>
        <v>0</v>
      </c>
      <c r="O117" s="937" t="str">
        <f>IF(N117&lt;'PlayerGrades+'!$AF$21,"F-",IF(N117&lt;'PlayerGrades+'!$AF$20,"F",IF(N117&lt;'PlayerGrades+'!$AF$19,"F+",IF(N117&lt;'PlayerGrades+'!$AF$18,"E-",IF(N117&lt;'PlayerGrades+'!$AF$17,"E",IF(N117&lt;'PlayerGrades+'!$AF$16,"E+",IF(N117&lt;'PlayerGrades+'!$AF$15,"D-",IF(N117&lt;'PlayerGrades+'!$AF$14,"D",IF(N117&lt;'PlayerGrades+'!$AF$13,"D+",IF(N117&lt;'PlayerGrades+'!$AF$12,"C-",IF(N117&lt;'PlayerGrades+'!$AF$11,"C",IF(N117&lt;'PlayerGrades+'!$AF$10,"C+",IF(N117&lt;'PlayerGrades+'!$AF$9,"B-",IF(N117&lt;'PlayerGrades+'!$AF$8,"B",IF(N117&lt;'PlayerGrades+'!$AF$7,"B+",IF(N117&lt;'PlayerGrades+'!$AF$6,"A-",IF(N117&lt;'PlayerGrades+'!$AF$5,"A",IF(N117&lt;'PlayerGrades+'!$AF$4,"A+",IF(N117&lt;'PlayerGrades+'!$AF$3,"S-",IF(N117&lt;'PlayerGrades+'!$AF$2,"S","S+"))))))))))))))))))))</f>
        <v>F-</v>
      </c>
      <c r="P117" s="937">
        <f t="shared" si="7"/>
        <v>0</v>
      </c>
      <c r="Q117" s="937" t="str">
        <f>IF(P117&lt;'PlayerGrades+'!$AG$21,"F-",IF(P117&lt;'PlayerGrades+'!$AG$20,"F",IF(P117&lt;'PlayerGrades+'!$AG$19,"F+",IF(P117&lt;'PlayerGrades+'!$AG$18,"E-",IF(P117&lt;'PlayerGrades+'!$AG$17,"E",IF(P117&lt;'PlayerGrades+'!$AG$16,"E+",IF(P117&lt;'PlayerGrades+'!$AG$15,"D-",IF(P117&lt;'PlayerGrades+'!$AG$14,"D",IF(P117&lt;'PlayerGrades+'!$AG$13,"D+",IF(P117&lt;'PlayerGrades+'!$AG$12,"C-",IF(P117&lt;'PlayerGrades+'!$AG$11,"C",IF(P117&lt;'PlayerGrades+'!$AG$10,"C+",IF(P117&lt;'PlayerGrades+'!$AG$9,"B-",IF(P117&lt;'PlayerGrades+'!$AG$8,"B",IF(P117&lt;'PlayerGrades+'!$AG$7,"B+",IF(P117&lt;'PlayerGrades+'!$AG$6,"A-",IF(P117&lt;'PlayerGrades+'!$AG$5,"A",IF(P117&lt;'PlayerGrades+'!$AG$4,"A+",IF(P117&lt;'PlayerGrades+'!$AG$3,"S-",IF(P117&lt;'PlayerGrades+'!$AG$2,"S","S+"))))))))))))))))))))</f>
        <v>F</v>
      </c>
      <c r="R117" s="937">
        <f t="shared" si="8"/>
        <v>0.6082289803</v>
      </c>
      <c r="S117" s="937" t="str">
        <f>IF(R117&lt;'PlayerGrades+'!$AH$21,"F-",IF(R117&lt;'PlayerGrades+'!$AH$20,"F",IF(R117&lt;'PlayerGrades+'!$AH$19,"F+",IF(R117&lt;'PlayerGrades+'!$AH$18,"E-",IF(R117&lt;'PlayerGrades+'!$AH$17,"E",IF(R117&lt;'PlayerGrades+'!$AH$16,"E+",IF(R117&lt;'PlayerGrades+'!$AH$15,"D-",IF(R117&lt;'PlayerGrades+'!$AH$14,"D",IF(R117&lt;'PlayerGrades+'!$AH$13,"D+",IF(R117&lt;'PlayerGrades+'!$AH$12,"C-",IF(R117&lt;'PlayerGrades+'!$AH$11,"C",IF(R117&lt;'PlayerGrades+'!$AH$10,"C+",IF(R117&lt;'PlayerGrades+'!$AH$9,"B-",IF(R117&lt;'PlayerGrades+'!$AH$8,"B",IF(R117&lt;'PlayerGrades+'!$AH$7,"B+",IF(R117&lt;'PlayerGrades+'!$AH$6,"A-",IF(R117&lt;'PlayerGrades+'!$AH$5,"A",IF(R117&lt;'PlayerGrades+'!$AH$4,"A+",IF(R117&lt;'PlayerGrades+'!$AH$3,"S-",IF(R117&lt;'PlayerGrades+'!$AH$2,"S","S+"))))))))))))))))))))</f>
        <v>A-</v>
      </c>
      <c r="T117" s="937">
        <f t="shared" si="9"/>
        <v>2.286225403</v>
      </c>
      <c r="U117" s="937" t="str">
        <f>IF(T117&lt;'PlayerGrades+'!$AI$21,"F-",IF(T117&lt;'PlayerGrades+'!$AI$20,"F",IF(T117&lt;'PlayerGrades+'!$AI$19,"F+",IF(T117&lt;'PlayerGrades+'!$AI$18,"E-",IF(T117&lt;'PlayerGrades+'!$AI$17,"E",IF(T117&lt;'PlayerGrades+'!$AI$16,"E+",IF(T117&lt;'PlayerGrades+'!$AI$15,"D-",IF(T117&lt;'PlayerGrades+'!$AI$14,"D",IF(T117&lt;'PlayerGrades+'!$AI$13,"D+",IF(T117&lt;'PlayerGrades+'!$AI$12,"C-",IF(T117&lt;'PlayerGrades+'!$AI$11,"C",IF(T117&lt;'PlayerGrades+'!$AI$10,"C+",IF(T117&lt;'PlayerGrades+'!$AI$9,"B-",IF(T117&lt;'PlayerGrades+'!$AI$8,"B",IF(T117&lt;'PlayerGrades+'!$AI$7,"B+",IF(T117&lt;'PlayerGrades+'!$AI$6,"A-",IF(T117&lt;'PlayerGrades+'!$AI$5,"A",IF(T117&lt;'PlayerGrades+'!$AI$4,"A+",IF(T117&lt;'PlayerGrades+'!$AI$3,"S-",IF(T117&lt;'PlayerGrades+'!$AI$2,"S","S+"))))))))))))))))))))</f>
        <v>S+</v>
      </c>
      <c r="V117" s="941">
        <v>1.0</v>
      </c>
      <c r="W117" s="941">
        <v>0.0</v>
      </c>
      <c r="X117" s="941">
        <v>1.0</v>
      </c>
      <c r="Y117" s="941">
        <v>3.0</v>
      </c>
      <c r="Z117" s="941">
        <v>10.0</v>
      </c>
      <c r="AA117" s="941">
        <v>66.0</v>
      </c>
      <c r="AB117" s="941">
        <v>61.0</v>
      </c>
      <c r="AC117" s="941">
        <v>5.0</v>
      </c>
      <c r="AD117" s="941">
        <v>4.0</v>
      </c>
      <c r="AE117" s="941">
        <v>4.0</v>
      </c>
      <c r="AF117" s="941">
        <v>3.0</v>
      </c>
      <c r="AG117" s="941">
        <v>1391.0</v>
      </c>
      <c r="AH117" s="941">
        <v>1677.0</v>
      </c>
      <c r="AI117" s="941">
        <v>22.0</v>
      </c>
      <c r="AJ117" s="941">
        <v>600.0</v>
      </c>
      <c r="AK117" s="941">
        <v>0.0</v>
      </c>
      <c r="AL117" s="941">
        <v>0.0</v>
      </c>
      <c r="AM117" s="941">
        <v>0.0</v>
      </c>
      <c r="AN117" s="941">
        <v>0.0</v>
      </c>
      <c r="AO117" s="941">
        <v>0.0</v>
      </c>
      <c r="AP117" s="941">
        <v>0.0</v>
      </c>
      <c r="AQ117" s="941">
        <v>0.0</v>
      </c>
      <c r="AR117" s="941">
        <v>8.0</v>
      </c>
      <c r="AS117" s="941">
        <v>0.0</v>
      </c>
      <c r="AT117" s="941">
        <v>0.0</v>
      </c>
      <c r="AU117" s="941">
        <v>0.0</v>
      </c>
      <c r="AV117" s="941">
        <v>0.0</v>
      </c>
      <c r="AW117" s="941">
        <v>0.0</v>
      </c>
      <c r="AX117" s="941">
        <v>0.0</v>
      </c>
      <c r="AY117" s="941">
        <v>0.0</v>
      </c>
      <c r="AZ117" s="941">
        <v>0.0</v>
      </c>
      <c r="BA117" s="941">
        <v>0.0</v>
      </c>
      <c r="BB117" s="941">
        <v>0.0</v>
      </c>
      <c r="BC117" s="941">
        <v>0.0</v>
      </c>
      <c r="BD117" s="941">
        <v>13.0</v>
      </c>
      <c r="BE117" s="942">
        <v>8.0</v>
      </c>
      <c r="BF117" s="941">
        <v>2.0</v>
      </c>
      <c r="BG117" s="941">
        <v>1.0</v>
      </c>
    </row>
    <row r="118">
      <c r="A118" s="935" t="s">
        <v>151</v>
      </c>
      <c r="B118" s="16" t="str">
        <f>IF(C118&lt;'PlayerGrades+'!$Y$44,"F-",IF(C118&lt;'PlayerGrades+'!$Y$43,"F",IF(C118&lt;'PlayerGrades+'!$Y$42,"F+",IF(C118&lt;'PlayerGrades+'!$Y$41,"E-",IF(C118&lt;'PlayerGrades+'!$Y$40,"E",IF(C118&lt;'PlayerGrades+'!$Y$39,"E+",IF(C118&lt;'PlayerGrades+'!$Y$38,"D-",IF(C118&lt;'PlayerGrades+'!$Y$37,"D",IF(C118&lt;'PlayerGrades+'!$Y$36,"D+",IF(C118&lt;'PlayerGrades+'!$Y$35,"C-",IF(C118&lt;'PlayerGrades+'!$Y$34,"C",IF(C118&lt;'PlayerGrades+'!$Y$33,"C+",IF(C118&lt;'PlayerGrades+'!$Y$32,"B-",IF(C118&lt;'PlayerGrades+'!$Y$31,"B",IF(C118&lt;'PlayerGrades+'!$Y$30,"B+",IF(C118&lt;'PlayerGrades+'!$Y$29,"A-",IF(C118&lt;'PlayerGrades+'!$Y$28,"A",IF(C118&lt;'PlayerGrades+'!$Y$27,"A+",IF(C118&lt;'PlayerGrades+'!$Y$26,"S-",IF(C118&lt;'PlayerGrades+'!$Y$25,"S","S+"))))))))))))))))))))</f>
        <v>A+</v>
      </c>
      <c r="C118" s="936">
        <f>('PlayerGrades+'!$Y$47*(VLOOKUP(E118, 'PlayerGrades+'!$X$3:$Y$23, 2, FALSE)))+('PlayerGrades+'!$Y$48*(VLOOKUP(G118, 'PlayerGrades+'!$X$3:$Y$23, 2, FALSE)))+('PlayerGrades+'!$Y$49*(VLOOKUP(I118, 'PlayerGrades+'!$X$3:$Y$23, 2, FALSE)))+('PlayerGrades+'!$Y$50*(VLOOKUP(K118, 'PlayerGrades+'!$X$3:$Y$23, 2, FALSE)))+('PlayerGrades+'!$Y$51*(VLOOKUP(M118, 'PlayerGrades+'!$X$3:$Y$23, 2, FALSE)))+('PlayerGrades+'!$Y$52*(VLOOKUP(O118, 'PlayerGrades+'!$X$3:$Y$23, 2, FALSE)))+('PlayerGrades+'!$Y$53*(VLOOKUP(Q118, 'PlayerGrades+'!$X$3:$Y$23, 2, FALSE)))+('PlayerGrades+'!$Y$54*(VLOOKUP(S118, 'PlayerGrades+'!$X$3:$Y$23, 2, FALSE)))+('PlayerGrades+'!$Y$55*(VLOOKUP(U118, 'PlayerGrades+'!$X$3:$Y$23, 2, FALSE)))</f>
        <v>28.4</v>
      </c>
      <c r="D118" s="937">
        <f t="shared" si="1"/>
        <v>0.03577817531</v>
      </c>
      <c r="E118" s="937" t="str">
        <f>IF(D118&lt;'PlayerGrades+'!$AA$21,"F-",IF(D118&lt;'PlayerGrades+'!$AA$20,"F",IF(D118&lt;'PlayerGrades+'!$AA$19,"F+",IF(D118&lt;'PlayerGrades+'!$AA$18,"E-",IF(D118&lt;'PlayerGrades+'!$AA$17,"E",IF(D118&lt;'PlayerGrades+'!$AA$16,"E+",IF(D118&lt;'PlayerGrades+'!$AA$15,"D-",IF(D118&lt;'PlayerGrades+'!$AA$14,"D",IF(D118&lt;'PlayerGrades+'!$AA$13,"D+",IF(D118&lt;'PlayerGrades+'!$AA$12,"C-",IF(D118&lt;'PlayerGrades+'!$AA$11,"C",IF(D118&lt;'PlayerGrades+'!$AA$10,"C+",IF(D118&lt;'PlayerGrades+'!$AA$9,"B-",IF(D118&lt;'PlayerGrades+'!$AA$8,"B",IF(D118&lt;'PlayerGrades+'!$AA$7,"B+",IF(D118&lt;'PlayerGrades+'!$AA$6,"A-",IF(D118&lt;'PlayerGrades+'!$AA$5,"A",IF(D118&lt;'PlayerGrades+'!$AA$4,"A+",IF(D118&lt;'PlayerGrades+'!$AA$3,"S-",IF(D118&lt;'PlayerGrades+'!$AA$2,"S","S+"))))))))))))))))))))</f>
        <v>C</v>
      </c>
      <c r="F118" s="937">
        <f t="shared" si="2"/>
        <v>0.1431127013</v>
      </c>
      <c r="G118" s="937" t="str">
        <f>IF(F118&lt;'PlayerGrades+'!$AB$21,"F-",IF(F118&lt;'PlayerGrades+'!$AB$20,"F",IF(F118&lt;'PlayerGrades+'!$AB$19,"F+",IF(F118&lt;'PlayerGrades+'!$AB$18,"E-",IF(F118&lt;'PlayerGrades+'!$AB$17,"E",IF(F118&lt;'PlayerGrades+'!$AB$16,"E+",IF(F118&lt;'PlayerGrades+'!$AB$15,"D-",IF(F118&lt;'PlayerGrades+'!$AB$14,"D",IF(F118&lt;'PlayerGrades+'!$AB$13,"D+",IF(F118&lt;'PlayerGrades+'!$AB$12,"C-",IF(F118&lt;'PlayerGrades+'!$AB$11,"C",IF(F118&lt;'PlayerGrades+'!$AB$10,"C+",IF(F118&lt;'PlayerGrades+'!$AB$9,"B-",IF(F118&lt;'PlayerGrades+'!$AB$8,"B",IF(F118&lt;'PlayerGrades+'!$AB$7,"B+",IF(F118&lt;'PlayerGrades+'!$AB$6,"A-",IF(F118&lt;'PlayerGrades+'!$AB$5,"A",IF(F118&lt;'PlayerGrades+'!$AB$4,"A+",IF(F118&lt;'PlayerGrades+'!$AB$3,"S-",IF(F118&lt;'PlayerGrades+'!$AB$2,"S","S+"))))))))))))))))))))</f>
        <v>B+</v>
      </c>
      <c r="H118" s="937">
        <f t="shared" si="3"/>
        <v>0.1073345259</v>
      </c>
      <c r="I118" s="937" t="str">
        <f>IF(H118&lt;'PlayerGrades+'!$AC$21,"F-",IF(H118&lt;'PlayerGrades+'!$AC$20,"F",IF(H118&lt;'PlayerGrades+'!$AC$19,"F+",IF(H118&lt;'PlayerGrades+'!$AC$18,"E-",IF(H118&lt;'PlayerGrades+'!$AC$17,"E",IF(H118&lt;'PlayerGrades+'!$AC$16,"E+",IF(H118&lt;'PlayerGrades+'!$AC$15,"D-",IF(H118&lt;'PlayerGrades+'!$AC$14,"D",IF(H118&lt;'PlayerGrades+'!$AC$13,"D+",IF(H118&lt;'PlayerGrades+'!$AC$12,"C-",IF(H118&lt;'PlayerGrades+'!$AC$11,"C",IF(H118&lt;'PlayerGrades+'!$AC$10,"C+",IF(H118&lt;'PlayerGrades+'!$AC$9,"B-",IF(H118&lt;'PlayerGrades+'!$AC$8,"B",IF(H118&lt;'PlayerGrades+'!$AC$7,"B+",IF(H118&lt;'PlayerGrades+'!$AC$6,"A-",IF(H118&lt;'PlayerGrades+'!$AC$5,"A",IF(H118&lt;'PlayerGrades+'!$AC$4,"A+",IF(H118&lt;'PlayerGrades+'!$AC$3,"S-",IF(H118&lt;'PlayerGrades+'!$AC$2,"S","S+"))))))))))))))))))))</f>
        <v>C-</v>
      </c>
      <c r="J118" s="937">
        <f t="shared" si="4"/>
        <v>0.07155635063</v>
      </c>
      <c r="K118" s="937" t="str">
        <f>IF(J118&lt;'PlayerGrades+'!$AD$21,"F-",IF(J118&lt;'PlayerGrades+'!$AD$20,"F",IF(J118&lt;'PlayerGrades+'!$AD$19,"F+",IF(J118&lt;'PlayerGrades+'!$AD$18,"E-",IF(J118&lt;'PlayerGrades+'!$AD$17,"E",IF(J118&lt;'PlayerGrades+'!$AD$16,"E+",IF(J118&lt;'PlayerGrades+'!$AD$15,"D-",IF(J118&lt;'PlayerGrades+'!$AD$14,"D",IF(J118&lt;'PlayerGrades+'!$AD$13,"D+",IF(J118&lt;'PlayerGrades+'!$AD$12,"C-",IF(J118&lt;'PlayerGrades+'!$AD$11,"C",IF(J118&lt;'PlayerGrades+'!$AD$10,"C+",IF(J118&lt;'PlayerGrades+'!$AD$9,"B-",IF(J118&lt;'PlayerGrades+'!$AD$8,"B",IF(J118&lt;'PlayerGrades+'!$AD$7,"B+",IF(J118&lt;'PlayerGrades+'!$AD$6,"A-",IF(J118&lt;'PlayerGrades+'!$AD$5,"A",IF(J118&lt;'PlayerGrades+'!$AD$4,"A+",IF(J118&lt;'PlayerGrades+'!$AD$3,"S-",IF(J118&lt;'PlayerGrades+'!$AD$2,"S","S+"))))))))))))))))))))</f>
        <v>A</v>
      </c>
      <c r="L118" s="677">
        <f t="shared" si="5"/>
        <v>0.6440071556</v>
      </c>
      <c r="M118" s="938" t="str">
        <f>IF(L118&lt;'PlayerGrades+'!$AE$21,"F-",IF(L118&lt;'PlayerGrades+'!$AE$20,"F",IF(L118&lt;'PlayerGrades+'!$AE$19,"F+",IF(L118&lt;'PlayerGrades+'!$AE$18,"E-",IF(L118&lt;'PlayerGrades+'!$AE$17,"E",IF(L118&lt;'PlayerGrades+'!$AE$16,"E+",IF(L118&lt;'PlayerGrades+'!$AE$15,"D-",IF(L118&lt;'PlayerGrades+'!$AE$14,"D",IF(L118&lt;'PlayerGrades+'!$AE$13,"D+",IF(L118&lt;'PlayerGrades+'!$AE$12,"C-",IF(L118&lt;'PlayerGrades+'!$AE$11,"C",IF(L118&lt;'PlayerGrades+'!$AE$10,"C+",IF(L118&lt;'PlayerGrades+'!$AE$9,"B-",IF(L118&lt;'PlayerGrades+'!$AE$8,"B",IF(L118&lt;'PlayerGrades+'!$AE$7,"B+",IF(L118&lt;'PlayerGrades+'!$AE$6,"A-",IF(L118&lt;'PlayerGrades+'!$AE$5,"A",IF(L118&lt;'PlayerGrades+'!$AE$4,"A+",IF(L118&lt;'PlayerGrades+'!$AE$3,"S-",IF(L118&lt;'PlayerGrades+'!$AE$2,"S","S+"))))))))))))))))))))</f>
        <v>S</v>
      </c>
      <c r="N118" s="937">
        <f t="shared" si="6"/>
        <v>0.1788908766</v>
      </c>
      <c r="O118" s="937" t="str">
        <f>IF(N118&lt;'PlayerGrades+'!$AF$21,"F-",IF(N118&lt;'PlayerGrades+'!$AF$20,"F",IF(N118&lt;'PlayerGrades+'!$AF$19,"F+",IF(N118&lt;'PlayerGrades+'!$AF$18,"E-",IF(N118&lt;'PlayerGrades+'!$AF$17,"E",IF(N118&lt;'PlayerGrades+'!$AF$16,"E+",IF(N118&lt;'PlayerGrades+'!$AF$15,"D-",IF(N118&lt;'PlayerGrades+'!$AF$14,"D",IF(N118&lt;'PlayerGrades+'!$AF$13,"D+",IF(N118&lt;'PlayerGrades+'!$AF$12,"C-",IF(N118&lt;'PlayerGrades+'!$AF$11,"C",IF(N118&lt;'PlayerGrades+'!$AF$10,"C+",IF(N118&lt;'PlayerGrades+'!$AF$9,"B-",IF(N118&lt;'PlayerGrades+'!$AF$8,"B",IF(N118&lt;'PlayerGrades+'!$AF$7,"B+",IF(N118&lt;'PlayerGrades+'!$AF$6,"A-",IF(N118&lt;'PlayerGrades+'!$AF$5,"A",IF(N118&lt;'PlayerGrades+'!$AF$4,"A+",IF(N118&lt;'PlayerGrades+'!$AF$3,"S-",IF(N118&lt;'PlayerGrades+'!$AF$2,"S","S+"))))))))))))))))))))</f>
        <v>S+</v>
      </c>
      <c r="P118" s="937">
        <f t="shared" si="7"/>
        <v>0.07155635063</v>
      </c>
      <c r="Q118" s="937" t="str">
        <f>IF(P118&lt;'PlayerGrades+'!$AG$21,"F-",IF(P118&lt;'PlayerGrades+'!$AG$20,"F",IF(P118&lt;'PlayerGrades+'!$AG$19,"F+",IF(P118&lt;'PlayerGrades+'!$AG$18,"E-",IF(P118&lt;'PlayerGrades+'!$AG$17,"E",IF(P118&lt;'PlayerGrades+'!$AG$16,"E+",IF(P118&lt;'PlayerGrades+'!$AG$15,"D-",IF(P118&lt;'PlayerGrades+'!$AG$14,"D",IF(P118&lt;'PlayerGrades+'!$AG$13,"D+",IF(P118&lt;'PlayerGrades+'!$AG$12,"C-",IF(P118&lt;'PlayerGrades+'!$AG$11,"C",IF(P118&lt;'PlayerGrades+'!$AG$10,"C+",IF(P118&lt;'PlayerGrades+'!$AG$9,"B-",IF(P118&lt;'PlayerGrades+'!$AG$8,"B",IF(P118&lt;'PlayerGrades+'!$AG$7,"B+",IF(P118&lt;'PlayerGrades+'!$AG$6,"A-",IF(P118&lt;'PlayerGrades+'!$AG$5,"A",IF(P118&lt;'PlayerGrades+'!$AG$4,"A+",IF(P118&lt;'PlayerGrades+'!$AG$3,"S-",IF(P118&lt;'PlayerGrades+'!$AG$2,"S","S+"))))))))))))))))))))</f>
        <v>S-</v>
      </c>
      <c r="R118" s="937">
        <f t="shared" si="8"/>
        <v>0.6797853309</v>
      </c>
      <c r="S118" s="937" t="str">
        <f>IF(R118&lt;'PlayerGrades+'!$AH$21,"F-",IF(R118&lt;'PlayerGrades+'!$AH$20,"F",IF(R118&lt;'PlayerGrades+'!$AH$19,"F+",IF(R118&lt;'PlayerGrades+'!$AH$18,"E-",IF(R118&lt;'PlayerGrades+'!$AH$17,"E",IF(R118&lt;'PlayerGrades+'!$AH$16,"E+",IF(R118&lt;'PlayerGrades+'!$AH$15,"D-",IF(R118&lt;'PlayerGrades+'!$AH$14,"D",IF(R118&lt;'PlayerGrades+'!$AH$13,"D+",IF(R118&lt;'PlayerGrades+'!$AH$12,"C-",IF(R118&lt;'PlayerGrades+'!$AH$11,"C",IF(R118&lt;'PlayerGrades+'!$AH$10,"C+",IF(R118&lt;'PlayerGrades+'!$AH$9,"B-",IF(R118&lt;'PlayerGrades+'!$AH$8,"B",IF(R118&lt;'PlayerGrades+'!$AH$7,"B+",IF(R118&lt;'PlayerGrades+'!$AH$6,"A-",IF(R118&lt;'PlayerGrades+'!$AH$5,"A",IF(R118&lt;'PlayerGrades+'!$AH$4,"A+",IF(R118&lt;'PlayerGrades+'!$AH$3,"S-",IF(R118&lt;'PlayerGrades+'!$AH$2,"S","S+"))))))))))))))))))))</f>
        <v>S-</v>
      </c>
      <c r="T118" s="937">
        <f t="shared" si="9"/>
        <v>0.3220035778</v>
      </c>
      <c r="U118" s="937" t="str">
        <f>IF(T118&lt;'PlayerGrades+'!$AI$21,"F-",IF(T118&lt;'PlayerGrades+'!$AI$20,"F",IF(T118&lt;'PlayerGrades+'!$AI$19,"F+",IF(T118&lt;'PlayerGrades+'!$AI$18,"E-",IF(T118&lt;'PlayerGrades+'!$AI$17,"E",IF(T118&lt;'PlayerGrades+'!$AI$16,"E+",IF(T118&lt;'PlayerGrades+'!$AI$15,"D-",IF(T118&lt;'PlayerGrades+'!$AI$14,"D",IF(T118&lt;'PlayerGrades+'!$AI$13,"D+",IF(T118&lt;'PlayerGrades+'!$AI$12,"C-",IF(T118&lt;'PlayerGrades+'!$AI$11,"C",IF(T118&lt;'PlayerGrades+'!$AI$10,"C+",IF(T118&lt;'PlayerGrades+'!$AI$9,"B-",IF(T118&lt;'PlayerGrades+'!$AI$8,"B",IF(T118&lt;'PlayerGrades+'!$AI$7,"B+",IF(T118&lt;'PlayerGrades+'!$AI$6,"A-",IF(T118&lt;'PlayerGrades+'!$AI$5,"A",IF(T118&lt;'PlayerGrades+'!$AI$4,"A+",IF(T118&lt;'PlayerGrades+'!$AI$3,"S-",IF(T118&lt;'PlayerGrades+'!$AI$2,"S","S+"))))))))))))))))))))</f>
        <v>F-</v>
      </c>
      <c r="V118" s="941">
        <v>1.0</v>
      </c>
      <c r="W118" s="941">
        <v>1.0</v>
      </c>
      <c r="X118" s="941">
        <v>0.0</v>
      </c>
      <c r="Y118" s="941">
        <v>1.0</v>
      </c>
      <c r="Z118" s="941">
        <v>0.0</v>
      </c>
      <c r="AA118" s="941">
        <v>100.0</v>
      </c>
      <c r="AB118" s="941">
        <v>96.0</v>
      </c>
      <c r="AC118" s="941">
        <v>4.0</v>
      </c>
      <c r="AD118" s="941">
        <v>10.0</v>
      </c>
      <c r="AE118" s="941">
        <v>7.0</v>
      </c>
      <c r="AF118" s="941">
        <v>2.0</v>
      </c>
      <c r="AG118" s="941">
        <v>1282.0</v>
      </c>
      <c r="AH118" s="941">
        <v>1677.0</v>
      </c>
      <c r="AI118" s="941">
        <v>13.0</v>
      </c>
      <c r="AJ118" s="941">
        <v>4.0</v>
      </c>
      <c r="AK118" s="941">
        <v>0.0</v>
      </c>
      <c r="AL118" s="941">
        <v>2.0</v>
      </c>
      <c r="AM118" s="941">
        <v>0.0</v>
      </c>
      <c r="AN118" s="941">
        <v>0.0</v>
      </c>
      <c r="AO118" s="941">
        <v>0.0</v>
      </c>
      <c r="AP118" s="941">
        <v>2.0</v>
      </c>
      <c r="AQ118" s="941">
        <v>0.0</v>
      </c>
      <c r="AR118" s="941">
        <v>18.0</v>
      </c>
      <c r="AS118" s="941">
        <v>5.0</v>
      </c>
      <c r="AT118" s="941">
        <v>2.0</v>
      </c>
      <c r="AU118" s="941">
        <v>0.0</v>
      </c>
      <c r="AV118" s="941">
        <v>0.0</v>
      </c>
      <c r="AW118" s="941">
        <v>0.0</v>
      </c>
      <c r="AX118" s="941">
        <v>0.0</v>
      </c>
      <c r="AY118" s="941">
        <v>0.0</v>
      </c>
      <c r="AZ118" s="941">
        <v>0.0</v>
      </c>
      <c r="BA118" s="941">
        <v>0.0</v>
      </c>
      <c r="BB118" s="941">
        <v>3.0</v>
      </c>
      <c r="BC118" s="941">
        <v>0.0</v>
      </c>
      <c r="BD118" s="941">
        <v>9.0</v>
      </c>
      <c r="BE118" s="942">
        <v>9.0</v>
      </c>
      <c r="BF118" s="941">
        <v>0.0</v>
      </c>
      <c r="BG118" s="941">
        <v>0.0</v>
      </c>
    </row>
    <row r="119">
      <c r="A119" s="935" t="s">
        <v>129</v>
      </c>
      <c r="B119" s="16" t="str">
        <f>IF(C119&lt;'PlayerGrades+'!$Y$44,"F-",IF(C119&lt;'PlayerGrades+'!$Y$43,"F",IF(C119&lt;'PlayerGrades+'!$Y$42,"F+",IF(C119&lt;'PlayerGrades+'!$Y$41,"E-",IF(C119&lt;'PlayerGrades+'!$Y$40,"E",IF(C119&lt;'PlayerGrades+'!$Y$39,"E+",IF(C119&lt;'PlayerGrades+'!$Y$38,"D-",IF(C119&lt;'PlayerGrades+'!$Y$37,"D",IF(C119&lt;'PlayerGrades+'!$Y$36,"D+",IF(C119&lt;'PlayerGrades+'!$Y$35,"C-",IF(C119&lt;'PlayerGrades+'!$Y$34,"C",IF(C119&lt;'PlayerGrades+'!$Y$33,"C+",IF(C119&lt;'PlayerGrades+'!$Y$32,"B-",IF(C119&lt;'PlayerGrades+'!$Y$31,"B",IF(C119&lt;'PlayerGrades+'!$Y$30,"B+",IF(C119&lt;'PlayerGrades+'!$Y$29,"A-",IF(C119&lt;'PlayerGrades+'!$Y$28,"A",IF(C119&lt;'PlayerGrades+'!$Y$27,"A+",IF(C119&lt;'PlayerGrades+'!$Y$26,"S-",IF(C119&lt;'PlayerGrades+'!$Y$25,"S","S+"))))))))))))))))))))</f>
        <v>D</v>
      </c>
      <c r="C119" s="936">
        <f>('PlayerGrades+'!$Y$47*(VLOOKUP(E119, 'PlayerGrades+'!$X$3:$Y$23, 2, FALSE)))+('PlayerGrades+'!$Y$48*(VLOOKUP(G119, 'PlayerGrades+'!$X$3:$Y$23, 2, FALSE)))+('PlayerGrades+'!$Y$49*(VLOOKUP(I119, 'PlayerGrades+'!$X$3:$Y$23, 2, FALSE)))+('PlayerGrades+'!$Y$50*(VLOOKUP(K119, 'PlayerGrades+'!$X$3:$Y$23, 2, FALSE)))+('PlayerGrades+'!$Y$51*(VLOOKUP(M119, 'PlayerGrades+'!$X$3:$Y$23, 2, FALSE)))+('PlayerGrades+'!$Y$52*(VLOOKUP(O119, 'PlayerGrades+'!$X$3:$Y$23, 2, FALSE)))+('PlayerGrades+'!$Y$53*(VLOOKUP(Q119, 'PlayerGrades+'!$X$3:$Y$23, 2, FALSE)))+('PlayerGrades+'!$Y$54*(VLOOKUP(S119, 'PlayerGrades+'!$X$3:$Y$23, 2, FALSE)))+('PlayerGrades+'!$Y$55*(VLOOKUP(U119, 'PlayerGrades+'!$X$3:$Y$23, 2, FALSE)))</f>
        <v>15.7</v>
      </c>
      <c r="D119" s="937">
        <f t="shared" si="1"/>
        <v>0.1073345259</v>
      </c>
      <c r="E119" s="937" t="str">
        <f>IF(D119&lt;'PlayerGrades+'!$AA$21,"F-",IF(D119&lt;'PlayerGrades+'!$AA$20,"F",IF(D119&lt;'PlayerGrades+'!$AA$19,"F+",IF(D119&lt;'PlayerGrades+'!$AA$18,"E-",IF(D119&lt;'PlayerGrades+'!$AA$17,"E",IF(D119&lt;'PlayerGrades+'!$AA$16,"E+",IF(D119&lt;'PlayerGrades+'!$AA$15,"D-",IF(D119&lt;'PlayerGrades+'!$AA$14,"D",IF(D119&lt;'PlayerGrades+'!$AA$13,"D+",IF(D119&lt;'PlayerGrades+'!$AA$12,"C-",IF(D119&lt;'PlayerGrades+'!$AA$11,"C",IF(D119&lt;'PlayerGrades+'!$AA$10,"C+",IF(D119&lt;'PlayerGrades+'!$AA$9,"B-",IF(D119&lt;'PlayerGrades+'!$AA$8,"B",IF(D119&lt;'PlayerGrades+'!$AA$7,"B+",IF(D119&lt;'PlayerGrades+'!$AA$6,"A-",IF(D119&lt;'PlayerGrades+'!$AA$5,"A",IF(D119&lt;'PlayerGrades+'!$AA$4,"A+",IF(D119&lt;'PlayerGrades+'!$AA$3,"S-",IF(D119&lt;'PlayerGrades+'!$AA$2,"S","S+"))))))))))))))))))))</f>
        <v>B</v>
      </c>
      <c r="F119" s="937">
        <f t="shared" si="2"/>
        <v>0.4651162791</v>
      </c>
      <c r="G119" s="937" t="str">
        <f>IF(F119&lt;'PlayerGrades+'!$AB$21,"F-",IF(F119&lt;'PlayerGrades+'!$AB$20,"F",IF(F119&lt;'PlayerGrades+'!$AB$19,"F+",IF(F119&lt;'PlayerGrades+'!$AB$18,"E-",IF(F119&lt;'PlayerGrades+'!$AB$17,"E",IF(F119&lt;'PlayerGrades+'!$AB$16,"E+",IF(F119&lt;'PlayerGrades+'!$AB$15,"D-",IF(F119&lt;'PlayerGrades+'!$AB$14,"D",IF(F119&lt;'PlayerGrades+'!$AB$13,"D+",IF(F119&lt;'PlayerGrades+'!$AB$12,"C-",IF(F119&lt;'PlayerGrades+'!$AB$11,"C",IF(F119&lt;'PlayerGrades+'!$AB$10,"C+",IF(F119&lt;'PlayerGrades+'!$AB$9,"B-",IF(F119&lt;'PlayerGrades+'!$AB$8,"B",IF(F119&lt;'PlayerGrades+'!$AB$7,"B+",IF(F119&lt;'PlayerGrades+'!$AB$6,"A-",IF(F119&lt;'PlayerGrades+'!$AB$5,"A",IF(F119&lt;'PlayerGrades+'!$AB$4,"A+",IF(F119&lt;'PlayerGrades+'!$AB$3,"S-",IF(F119&lt;'PlayerGrades+'!$AB$2,"S","S+"))))))))))))))))))))</f>
        <v>A+</v>
      </c>
      <c r="H119" s="937">
        <f t="shared" si="3"/>
        <v>0</v>
      </c>
      <c r="I119" s="937" t="str">
        <f>IF(H119&lt;'PlayerGrades+'!$AC$21,"F-",IF(H119&lt;'PlayerGrades+'!$AC$20,"F",IF(H119&lt;'PlayerGrades+'!$AC$19,"F+",IF(H119&lt;'PlayerGrades+'!$AC$18,"E-",IF(H119&lt;'PlayerGrades+'!$AC$17,"E",IF(H119&lt;'PlayerGrades+'!$AC$16,"E+",IF(H119&lt;'PlayerGrades+'!$AC$15,"D-",IF(H119&lt;'PlayerGrades+'!$AC$14,"D",IF(H119&lt;'PlayerGrades+'!$AC$13,"D+",IF(H119&lt;'PlayerGrades+'!$AC$12,"C-",IF(H119&lt;'PlayerGrades+'!$AC$11,"C",IF(H119&lt;'PlayerGrades+'!$AC$10,"C+",IF(H119&lt;'PlayerGrades+'!$AC$9,"B-",IF(H119&lt;'PlayerGrades+'!$AC$8,"B",IF(H119&lt;'PlayerGrades+'!$AC$7,"B+",IF(H119&lt;'PlayerGrades+'!$AC$6,"A-",IF(H119&lt;'PlayerGrades+'!$AC$5,"A",IF(H119&lt;'PlayerGrades+'!$AC$4,"A+",IF(H119&lt;'PlayerGrades+'!$AC$3,"S-",IF(H119&lt;'PlayerGrades+'!$AC$2,"S","S+"))))))))))))))))))))</f>
        <v>F-</v>
      </c>
      <c r="J119" s="937">
        <f t="shared" si="4"/>
        <v>0</v>
      </c>
      <c r="K119" s="937" t="str">
        <f>IF(J119&lt;'PlayerGrades+'!$AD$21,"F-",IF(J119&lt;'PlayerGrades+'!$AD$20,"F",IF(J119&lt;'PlayerGrades+'!$AD$19,"F+",IF(J119&lt;'PlayerGrades+'!$AD$18,"E-",IF(J119&lt;'PlayerGrades+'!$AD$17,"E",IF(J119&lt;'PlayerGrades+'!$AD$16,"E+",IF(J119&lt;'PlayerGrades+'!$AD$15,"D-",IF(J119&lt;'PlayerGrades+'!$AD$14,"D",IF(J119&lt;'PlayerGrades+'!$AD$13,"D+",IF(J119&lt;'PlayerGrades+'!$AD$12,"C-",IF(J119&lt;'PlayerGrades+'!$AD$11,"C",IF(J119&lt;'PlayerGrades+'!$AD$10,"C+",IF(J119&lt;'PlayerGrades+'!$AD$9,"B-",IF(J119&lt;'PlayerGrades+'!$AD$8,"B",IF(J119&lt;'PlayerGrades+'!$AD$7,"B+",IF(J119&lt;'PlayerGrades+'!$AD$6,"A-",IF(J119&lt;'PlayerGrades+'!$AD$5,"A",IF(J119&lt;'PlayerGrades+'!$AD$4,"A+",IF(J119&lt;'PlayerGrades+'!$AD$3,"S-",IF(J119&lt;'PlayerGrades+'!$AD$2,"S","S+"))))))))))))))))))))</f>
        <v>F-</v>
      </c>
      <c r="L119" s="677">
        <f t="shared" si="5"/>
        <v>0.7513416816</v>
      </c>
      <c r="M119" s="938" t="str">
        <f>IF(L119&lt;'PlayerGrades+'!$AE$21,"F-",IF(L119&lt;'PlayerGrades+'!$AE$20,"F",IF(L119&lt;'PlayerGrades+'!$AE$19,"F+",IF(L119&lt;'PlayerGrades+'!$AE$18,"E-",IF(L119&lt;'PlayerGrades+'!$AE$17,"E",IF(L119&lt;'PlayerGrades+'!$AE$16,"E+",IF(L119&lt;'PlayerGrades+'!$AE$15,"D-",IF(L119&lt;'PlayerGrades+'!$AE$14,"D",IF(L119&lt;'PlayerGrades+'!$AE$13,"D+",IF(L119&lt;'PlayerGrades+'!$AE$12,"C-",IF(L119&lt;'PlayerGrades+'!$AE$11,"C",IF(L119&lt;'PlayerGrades+'!$AE$10,"C+",IF(L119&lt;'PlayerGrades+'!$AE$9,"B-",IF(L119&lt;'PlayerGrades+'!$AE$8,"B",IF(L119&lt;'PlayerGrades+'!$AE$7,"B+",IF(L119&lt;'PlayerGrades+'!$AE$6,"A-",IF(L119&lt;'PlayerGrades+'!$AE$5,"A",IF(L119&lt;'PlayerGrades+'!$AE$4,"A+",IF(L119&lt;'PlayerGrades+'!$AE$3,"S-",IF(L119&lt;'PlayerGrades+'!$AE$2,"S","S+"))))))))))))))))))))</f>
        <v>S+</v>
      </c>
      <c r="N119" s="937">
        <f t="shared" si="6"/>
        <v>0.03577817531</v>
      </c>
      <c r="O119" s="937" t="str">
        <f>IF(N119&lt;'PlayerGrades+'!$AF$21,"F-",IF(N119&lt;'PlayerGrades+'!$AF$20,"F",IF(N119&lt;'PlayerGrades+'!$AF$19,"F+",IF(N119&lt;'PlayerGrades+'!$AF$18,"E-",IF(N119&lt;'PlayerGrades+'!$AF$17,"E",IF(N119&lt;'PlayerGrades+'!$AF$16,"E+",IF(N119&lt;'PlayerGrades+'!$AF$15,"D-",IF(N119&lt;'PlayerGrades+'!$AF$14,"D",IF(N119&lt;'PlayerGrades+'!$AF$13,"D+",IF(N119&lt;'PlayerGrades+'!$AF$12,"C-",IF(N119&lt;'PlayerGrades+'!$AF$11,"C",IF(N119&lt;'PlayerGrades+'!$AF$10,"C+",IF(N119&lt;'PlayerGrades+'!$AF$9,"B-",IF(N119&lt;'PlayerGrades+'!$AF$8,"B",IF(N119&lt;'PlayerGrades+'!$AF$7,"B+",IF(N119&lt;'PlayerGrades+'!$AF$6,"A-",IF(N119&lt;'PlayerGrades+'!$AF$5,"A",IF(N119&lt;'PlayerGrades+'!$AF$4,"A+",IF(N119&lt;'PlayerGrades+'!$AF$3,"S-",IF(N119&lt;'PlayerGrades+'!$AF$2,"S","S+"))))))))))))))))))))</f>
        <v>F+</v>
      </c>
      <c r="P119" s="937">
        <f t="shared" si="7"/>
        <v>0</v>
      </c>
      <c r="Q119" s="937" t="str">
        <f>IF(P119&lt;'PlayerGrades+'!$AG$21,"F-",IF(P119&lt;'PlayerGrades+'!$AG$20,"F",IF(P119&lt;'PlayerGrades+'!$AG$19,"F+",IF(P119&lt;'PlayerGrades+'!$AG$18,"E-",IF(P119&lt;'PlayerGrades+'!$AG$17,"E",IF(P119&lt;'PlayerGrades+'!$AG$16,"E+",IF(P119&lt;'PlayerGrades+'!$AG$15,"D-",IF(P119&lt;'PlayerGrades+'!$AG$14,"D",IF(P119&lt;'PlayerGrades+'!$AG$13,"D+",IF(P119&lt;'PlayerGrades+'!$AG$12,"C-",IF(P119&lt;'PlayerGrades+'!$AG$11,"C",IF(P119&lt;'PlayerGrades+'!$AG$10,"C+",IF(P119&lt;'PlayerGrades+'!$AG$9,"B-",IF(P119&lt;'PlayerGrades+'!$AG$8,"B",IF(P119&lt;'PlayerGrades+'!$AG$7,"B+",IF(P119&lt;'PlayerGrades+'!$AG$6,"A-",IF(P119&lt;'PlayerGrades+'!$AG$5,"A",IF(P119&lt;'PlayerGrades+'!$AG$4,"A+",IF(P119&lt;'PlayerGrades+'!$AG$3,"S-",IF(P119&lt;'PlayerGrades+'!$AG$2,"S","S+"))))))))))))))))))))</f>
        <v>F</v>
      </c>
      <c r="R119" s="937">
        <f t="shared" si="8"/>
        <v>0.4651162791</v>
      </c>
      <c r="S119" s="937" t="str">
        <f>IF(R119&lt;'PlayerGrades+'!$AH$21,"F-",IF(R119&lt;'PlayerGrades+'!$AH$20,"F",IF(R119&lt;'PlayerGrades+'!$AH$19,"F+",IF(R119&lt;'PlayerGrades+'!$AH$18,"E-",IF(R119&lt;'PlayerGrades+'!$AH$17,"E",IF(R119&lt;'PlayerGrades+'!$AH$16,"E+",IF(R119&lt;'PlayerGrades+'!$AH$15,"D-",IF(R119&lt;'PlayerGrades+'!$AH$14,"D",IF(R119&lt;'PlayerGrades+'!$AH$13,"D+",IF(R119&lt;'PlayerGrades+'!$AH$12,"C-",IF(R119&lt;'PlayerGrades+'!$AH$11,"C",IF(R119&lt;'PlayerGrades+'!$AH$10,"C+",IF(R119&lt;'PlayerGrades+'!$AH$9,"B-",IF(R119&lt;'PlayerGrades+'!$AH$8,"B",IF(R119&lt;'PlayerGrades+'!$AH$7,"B+",IF(R119&lt;'PlayerGrades+'!$AH$6,"A-",IF(R119&lt;'PlayerGrades+'!$AH$5,"A",IF(R119&lt;'PlayerGrades+'!$AH$4,"A+",IF(R119&lt;'PlayerGrades+'!$AH$3,"S-",IF(R119&lt;'PlayerGrades+'!$AH$2,"S","S+"))))))))))))))))))))</f>
        <v>E-</v>
      </c>
      <c r="T119" s="937">
        <f t="shared" si="9"/>
        <v>0.5008944544</v>
      </c>
      <c r="U119" s="937" t="str">
        <f>IF(T119&lt;'PlayerGrades+'!$AI$21,"F-",IF(T119&lt;'PlayerGrades+'!$AI$20,"F",IF(T119&lt;'PlayerGrades+'!$AI$19,"F+",IF(T119&lt;'PlayerGrades+'!$AI$18,"E-",IF(T119&lt;'PlayerGrades+'!$AI$17,"E",IF(T119&lt;'PlayerGrades+'!$AI$16,"E+",IF(T119&lt;'PlayerGrades+'!$AI$15,"D-",IF(T119&lt;'PlayerGrades+'!$AI$14,"D",IF(T119&lt;'PlayerGrades+'!$AI$13,"D+",IF(T119&lt;'PlayerGrades+'!$AI$12,"C-",IF(T119&lt;'PlayerGrades+'!$AI$11,"C",IF(T119&lt;'PlayerGrades+'!$AI$10,"C+",IF(T119&lt;'PlayerGrades+'!$AI$9,"B-",IF(T119&lt;'PlayerGrades+'!$AI$8,"B",IF(T119&lt;'PlayerGrades+'!$AI$7,"B+",IF(T119&lt;'PlayerGrades+'!$AI$6,"A-",IF(T119&lt;'PlayerGrades+'!$AI$5,"A",IF(T119&lt;'PlayerGrades+'!$AI$4,"A+",IF(T119&lt;'PlayerGrades+'!$AI$3,"S-",IF(T119&lt;'PlayerGrades+'!$AI$2,"S","S+"))))))))))))))))))))</f>
        <v>F-</v>
      </c>
      <c r="V119" s="941">
        <v>1.0</v>
      </c>
      <c r="W119" s="941">
        <v>1.0</v>
      </c>
      <c r="X119" s="941">
        <v>0.0</v>
      </c>
      <c r="Y119" s="941">
        <v>1.0</v>
      </c>
      <c r="Z119" s="941">
        <v>2.0</v>
      </c>
      <c r="AA119" s="941">
        <v>93.0</v>
      </c>
      <c r="AB119" s="941">
        <v>80.0</v>
      </c>
      <c r="AC119" s="941">
        <v>13.0</v>
      </c>
      <c r="AD119" s="941">
        <v>4.0</v>
      </c>
      <c r="AE119" s="941">
        <v>4.0</v>
      </c>
      <c r="AF119" s="941">
        <v>1.0</v>
      </c>
      <c r="AG119" s="941">
        <v>1327.0</v>
      </c>
      <c r="AH119" s="941">
        <v>1677.0</v>
      </c>
      <c r="AI119" s="941">
        <v>16.0</v>
      </c>
      <c r="AJ119" s="941">
        <v>310.0</v>
      </c>
      <c r="AK119" s="941">
        <v>0.0</v>
      </c>
      <c r="AL119" s="941">
        <v>0.0</v>
      </c>
      <c r="AM119" s="941">
        <v>0.0</v>
      </c>
      <c r="AN119" s="941">
        <v>0.0</v>
      </c>
      <c r="AO119" s="941">
        <v>0.0</v>
      </c>
      <c r="AP119" s="941">
        <v>0.0</v>
      </c>
      <c r="AQ119" s="941">
        <v>0.0</v>
      </c>
      <c r="AR119" s="941">
        <v>21.0</v>
      </c>
      <c r="AS119" s="941">
        <v>1.0</v>
      </c>
      <c r="AT119" s="941">
        <v>0.0</v>
      </c>
      <c r="AU119" s="941">
        <v>0.0</v>
      </c>
      <c r="AV119" s="941">
        <v>0.0</v>
      </c>
      <c r="AW119" s="941">
        <v>0.0</v>
      </c>
      <c r="AX119" s="941">
        <v>0.0</v>
      </c>
      <c r="AY119" s="941">
        <v>0.0</v>
      </c>
      <c r="AZ119" s="941">
        <v>0.0</v>
      </c>
      <c r="BA119" s="941">
        <v>0.0</v>
      </c>
      <c r="BB119" s="941">
        <v>0.0</v>
      </c>
      <c r="BC119" s="941">
        <v>0.0</v>
      </c>
      <c r="BD119" s="941">
        <v>9.0</v>
      </c>
      <c r="BE119" s="942">
        <v>14.0</v>
      </c>
      <c r="BF119" s="941">
        <v>0.0</v>
      </c>
      <c r="BG119" s="941">
        <v>0.0</v>
      </c>
    </row>
    <row r="120">
      <c r="A120" s="935" t="s">
        <v>118</v>
      </c>
      <c r="B120" s="16" t="str">
        <f>IF(C120&lt;'PlayerGrades+'!$Y$44,"F-",IF(C120&lt;'PlayerGrades+'!$Y$43,"F",IF(C120&lt;'PlayerGrades+'!$Y$42,"F+",IF(C120&lt;'PlayerGrades+'!$Y$41,"E-",IF(C120&lt;'PlayerGrades+'!$Y$40,"E",IF(C120&lt;'PlayerGrades+'!$Y$39,"E+",IF(C120&lt;'PlayerGrades+'!$Y$38,"D-",IF(C120&lt;'PlayerGrades+'!$Y$37,"D",IF(C120&lt;'PlayerGrades+'!$Y$36,"D+",IF(C120&lt;'PlayerGrades+'!$Y$35,"C-",IF(C120&lt;'PlayerGrades+'!$Y$34,"C",IF(C120&lt;'PlayerGrades+'!$Y$33,"C+",IF(C120&lt;'PlayerGrades+'!$Y$32,"B-",IF(C120&lt;'PlayerGrades+'!$Y$31,"B",IF(C120&lt;'PlayerGrades+'!$Y$30,"B+",IF(C120&lt;'PlayerGrades+'!$Y$29,"A-",IF(C120&lt;'PlayerGrades+'!$Y$28,"A",IF(C120&lt;'PlayerGrades+'!$Y$27,"A+",IF(C120&lt;'PlayerGrades+'!$Y$26,"S-",IF(C120&lt;'PlayerGrades+'!$Y$25,"S","S+"))))))))))))))))))))</f>
        <v>A+</v>
      </c>
      <c r="C120" s="936">
        <f>('PlayerGrades+'!$Y$47*(VLOOKUP(E120, 'PlayerGrades+'!$X$3:$Y$23, 2, FALSE)))+('PlayerGrades+'!$Y$48*(VLOOKUP(G120, 'PlayerGrades+'!$X$3:$Y$23, 2, FALSE)))+('PlayerGrades+'!$Y$49*(VLOOKUP(I120, 'PlayerGrades+'!$X$3:$Y$23, 2, FALSE)))+('PlayerGrades+'!$Y$50*(VLOOKUP(K120, 'PlayerGrades+'!$X$3:$Y$23, 2, FALSE)))+('PlayerGrades+'!$Y$51*(VLOOKUP(M120, 'PlayerGrades+'!$X$3:$Y$23, 2, FALSE)))+('PlayerGrades+'!$Y$52*(VLOOKUP(O120, 'PlayerGrades+'!$X$3:$Y$23, 2, FALSE)))+('PlayerGrades+'!$Y$53*(VLOOKUP(Q120, 'PlayerGrades+'!$X$3:$Y$23, 2, FALSE)))+('PlayerGrades+'!$Y$54*(VLOOKUP(S120, 'PlayerGrades+'!$X$3:$Y$23, 2, FALSE)))+('PlayerGrades+'!$Y$55*(VLOOKUP(U120, 'PlayerGrades+'!$X$3:$Y$23, 2, FALSE)))</f>
        <v>28.8</v>
      </c>
      <c r="D120" s="937">
        <f t="shared" si="1"/>
        <v>0.6082289803</v>
      </c>
      <c r="E120" s="937" t="str">
        <f>IF(D120&lt;'PlayerGrades+'!$AA$21,"F-",IF(D120&lt;'PlayerGrades+'!$AA$20,"F",IF(D120&lt;'PlayerGrades+'!$AA$19,"F+",IF(D120&lt;'PlayerGrades+'!$AA$18,"E-",IF(D120&lt;'PlayerGrades+'!$AA$17,"E",IF(D120&lt;'PlayerGrades+'!$AA$16,"E+",IF(D120&lt;'PlayerGrades+'!$AA$15,"D-",IF(D120&lt;'PlayerGrades+'!$AA$14,"D",IF(D120&lt;'PlayerGrades+'!$AA$13,"D+",IF(D120&lt;'PlayerGrades+'!$AA$12,"C-",IF(D120&lt;'PlayerGrades+'!$AA$11,"C",IF(D120&lt;'PlayerGrades+'!$AA$10,"C+",IF(D120&lt;'PlayerGrades+'!$AA$9,"B-",IF(D120&lt;'PlayerGrades+'!$AA$8,"B",IF(D120&lt;'PlayerGrades+'!$AA$7,"B+",IF(D120&lt;'PlayerGrades+'!$AA$6,"A-",IF(D120&lt;'PlayerGrades+'!$AA$5,"A",IF(D120&lt;'PlayerGrades+'!$AA$4,"A+",IF(D120&lt;'PlayerGrades+'!$AA$3,"S-",IF(D120&lt;'PlayerGrades+'!$AA$2,"S","S+"))))))))))))))))))))</f>
        <v>S-</v>
      </c>
      <c r="F120" s="937">
        <f t="shared" si="2"/>
        <v>1.14490161</v>
      </c>
      <c r="G120" s="937" t="str">
        <f>IF(F120&lt;'PlayerGrades+'!$AB$21,"F-",IF(F120&lt;'PlayerGrades+'!$AB$20,"F",IF(F120&lt;'PlayerGrades+'!$AB$19,"F+",IF(F120&lt;'PlayerGrades+'!$AB$18,"E-",IF(F120&lt;'PlayerGrades+'!$AB$17,"E",IF(F120&lt;'PlayerGrades+'!$AB$16,"E+",IF(F120&lt;'PlayerGrades+'!$AB$15,"D-",IF(F120&lt;'PlayerGrades+'!$AB$14,"D",IF(F120&lt;'PlayerGrades+'!$AB$13,"D+",IF(F120&lt;'PlayerGrades+'!$AB$12,"C-",IF(F120&lt;'PlayerGrades+'!$AB$11,"C",IF(F120&lt;'PlayerGrades+'!$AB$10,"C+",IF(F120&lt;'PlayerGrades+'!$AB$9,"B-",IF(F120&lt;'PlayerGrades+'!$AB$8,"B",IF(F120&lt;'PlayerGrades+'!$AB$7,"B+",IF(F120&lt;'PlayerGrades+'!$AB$6,"A-",IF(F120&lt;'PlayerGrades+'!$AB$5,"A",IF(F120&lt;'PlayerGrades+'!$AB$4,"A+",IF(F120&lt;'PlayerGrades+'!$AB$3,"S-",IF(F120&lt;'PlayerGrades+'!$AB$2,"S","S+"))))))))))))))))))))</f>
        <v>S+</v>
      </c>
      <c r="H120" s="937">
        <f t="shared" si="3"/>
        <v>0.07155635063</v>
      </c>
      <c r="I120" s="937" t="str">
        <f>IF(H120&lt;'PlayerGrades+'!$AC$21,"F-",IF(H120&lt;'PlayerGrades+'!$AC$20,"F",IF(H120&lt;'PlayerGrades+'!$AC$19,"F+",IF(H120&lt;'PlayerGrades+'!$AC$18,"E-",IF(H120&lt;'PlayerGrades+'!$AC$17,"E",IF(H120&lt;'PlayerGrades+'!$AC$16,"E+",IF(H120&lt;'PlayerGrades+'!$AC$15,"D-",IF(H120&lt;'PlayerGrades+'!$AC$14,"D",IF(H120&lt;'PlayerGrades+'!$AC$13,"D+",IF(H120&lt;'PlayerGrades+'!$AC$12,"C-",IF(H120&lt;'PlayerGrades+'!$AC$11,"C",IF(H120&lt;'PlayerGrades+'!$AC$10,"C+",IF(H120&lt;'PlayerGrades+'!$AC$9,"B-",IF(H120&lt;'PlayerGrades+'!$AC$8,"B",IF(H120&lt;'PlayerGrades+'!$AC$7,"B+",IF(H120&lt;'PlayerGrades+'!$AC$6,"A-",IF(H120&lt;'PlayerGrades+'!$AC$5,"A",IF(H120&lt;'PlayerGrades+'!$AC$4,"A+",IF(H120&lt;'PlayerGrades+'!$AC$3,"S-",IF(H120&lt;'PlayerGrades+'!$AC$2,"S","S+"))))))))))))))))))))</f>
        <v>E</v>
      </c>
      <c r="J120" s="937">
        <f t="shared" si="4"/>
        <v>0.1431127013</v>
      </c>
      <c r="K120" s="937" t="str">
        <f>IF(J120&lt;'PlayerGrades+'!$AD$21,"F-",IF(J120&lt;'PlayerGrades+'!$AD$20,"F",IF(J120&lt;'PlayerGrades+'!$AD$19,"F+",IF(J120&lt;'PlayerGrades+'!$AD$18,"E-",IF(J120&lt;'PlayerGrades+'!$AD$17,"E",IF(J120&lt;'PlayerGrades+'!$AD$16,"E+",IF(J120&lt;'PlayerGrades+'!$AD$15,"D-",IF(J120&lt;'PlayerGrades+'!$AD$14,"D",IF(J120&lt;'PlayerGrades+'!$AD$13,"D+",IF(J120&lt;'PlayerGrades+'!$AD$12,"C-",IF(J120&lt;'PlayerGrades+'!$AD$11,"C",IF(J120&lt;'PlayerGrades+'!$AD$10,"C+",IF(J120&lt;'PlayerGrades+'!$AD$9,"B-",IF(J120&lt;'PlayerGrades+'!$AD$8,"B",IF(J120&lt;'PlayerGrades+'!$AD$7,"B+",IF(J120&lt;'PlayerGrades+'!$AD$6,"A-",IF(J120&lt;'PlayerGrades+'!$AD$5,"A",IF(J120&lt;'PlayerGrades+'!$AD$4,"A+",IF(J120&lt;'PlayerGrades+'!$AD$3,"S-",IF(J120&lt;'PlayerGrades+'!$AD$2,"S","S+"))))))))))))))))))))</f>
        <v>S+</v>
      </c>
      <c r="L120" s="677">
        <f t="shared" si="5"/>
        <v>0.7155635063</v>
      </c>
      <c r="M120" s="938" t="str">
        <f>IF(L120&lt;'PlayerGrades+'!$AE$21,"F-",IF(L120&lt;'PlayerGrades+'!$AE$20,"F",IF(L120&lt;'PlayerGrades+'!$AE$19,"F+",IF(L120&lt;'PlayerGrades+'!$AE$18,"E-",IF(L120&lt;'PlayerGrades+'!$AE$17,"E",IF(L120&lt;'PlayerGrades+'!$AE$16,"E+",IF(L120&lt;'PlayerGrades+'!$AE$15,"D-",IF(L120&lt;'PlayerGrades+'!$AE$14,"D",IF(L120&lt;'PlayerGrades+'!$AE$13,"D+",IF(L120&lt;'PlayerGrades+'!$AE$12,"C-",IF(L120&lt;'PlayerGrades+'!$AE$11,"C",IF(L120&lt;'PlayerGrades+'!$AE$10,"C+",IF(L120&lt;'PlayerGrades+'!$AE$9,"B-",IF(L120&lt;'PlayerGrades+'!$AE$8,"B",IF(L120&lt;'PlayerGrades+'!$AE$7,"B+",IF(L120&lt;'PlayerGrades+'!$AE$6,"A-",IF(L120&lt;'PlayerGrades+'!$AE$5,"A",IF(L120&lt;'PlayerGrades+'!$AE$4,"A+",IF(L120&lt;'PlayerGrades+'!$AE$3,"S-",IF(L120&lt;'PlayerGrades+'!$AE$2,"S","S+"))))))))))))))))))))</f>
        <v>S+</v>
      </c>
      <c r="N120" s="937">
        <f t="shared" si="6"/>
        <v>0.1788908766</v>
      </c>
      <c r="O120" s="937" t="str">
        <f>IF(N120&lt;'PlayerGrades+'!$AF$21,"F-",IF(N120&lt;'PlayerGrades+'!$AF$20,"F",IF(N120&lt;'PlayerGrades+'!$AF$19,"F+",IF(N120&lt;'PlayerGrades+'!$AF$18,"E-",IF(N120&lt;'PlayerGrades+'!$AF$17,"E",IF(N120&lt;'PlayerGrades+'!$AF$16,"E+",IF(N120&lt;'PlayerGrades+'!$AF$15,"D-",IF(N120&lt;'PlayerGrades+'!$AF$14,"D",IF(N120&lt;'PlayerGrades+'!$AF$13,"D+",IF(N120&lt;'PlayerGrades+'!$AF$12,"C-",IF(N120&lt;'PlayerGrades+'!$AF$11,"C",IF(N120&lt;'PlayerGrades+'!$AF$10,"C+",IF(N120&lt;'PlayerGrades+'!$AF$9,"B-",IF(N120&lt;'PlayerGrades+'!$AF$8,"B",IF(N120&lt;'PlayerGrades+'!$AF$7,"B+",IF(N120&lt;'PlayerGrades+'!$AF$6,"A-",IF(N120&lt;'PlayerGrades+'!$AF$5,"A",IF(N120&lt;'PlayerGrades+'!$AF$4,"A+",IF(N120&lt;'PlayerGrades+'!$AF$3,"S-",IF(N120&lt;'PlayerGrades+'!$AF$2,"S","S+"))))))))))))))))))))</f>
        <v>S+</v>
      </c>
      <c r="P120" s="937">
        <f t="shared" si="7"/>
        <v>0.03577817531</v>
      </c>
      <c r="Q120" s="937" t="str">
        <f>IF(P120&lt;'PlayerGrades+'!$AG$21,"F-",IF(P120&lt;'PlayerGrades+'!$AG$20,"F",IF(P120&lt;'PlayerGrades+'!$AG$19,"F+",IF(P120&lt;'PlayerGrades+'!$AG$18,"E-",IF(P120&lt;'PlayerGrades+'!$AG$17,"E",IF(P120&lt;'PlayerGrades+'!$AG$16,"E+",IF(P120&lt;'PlayerGrades+'!$AG$15,"D-",IF(P120&lt;'PlayerGrades+'!$AG$14,"D",IF(P120&lt;'PlayerGrades+'!$AG$13,"D+",IF(P120&lt;'PlayerGrades+'!$AG$12,"C-",IF(P120&lt;'PlayerGrades+'!$AG$11,"C",IF(P120&lt;'PlayerGrades+'!$AG$10,"C+",IF(P120&lt;'PlayerGrades+'!$AG$9,"B-",IF(P120&lt;'PlayerGrades+'!$AG$8,"B",IF(P120&lt;'PlayerGrades+'!$AG$7,"B+",IF(P120&lt;'PlayerGrades+'!$AG$6,"A-",IF(P120&lt;'PlayerGrades+'!$AG$5,"A",IF(P120&lt;'PlayerGrades+'!$AG$4,"A+",IF(P120&lt;'PlayerGrades+'!$AG$3,"S-",IF(P120&lt;'PlayerGrades+'!$AG$2,"S","S+"))))))))))))))))))))</f>
        <v>B+</v>
      </c>
      <c r="R120" s="937">
        <f t="shared" si="8"/>
        <v>0.5008944544</v>
      </c>
      <c r="S120" s="937" t="str">
        <f>IF(R120&lt;'PlayerGrades+'!$AH$21,"F-",IF(R120&lt;'PlayerGrades+'!$AH$20,"F",IF(R120&lt;'PlayerGrades+'!$AH$19,"F+",IF(R120&lt;'PlayerGrades+'!$AH$18,"E-",IF(R120&lt;'PlayerGrades+'!$AH$17,"E",IF(R120&lt;'PlayerGrades+'!$AH$16,"E+",IF(R120&lt;'PlayerGrades+'!$AH$15,"D-",IF(R120&lt;'PlayerGrades+'!$AH$14,"D",IF(R120&lt;'PlayerGrades+'!$AH$13,"D+",IF(R120&lt;'PlayerGrades+'!$AH$12,"C-",IF(R120&lt;'PlayerGrades+'!$AH$11,"C",IF(R120&lt;'PlayerGrades+'!$AH$10,"C+",IF(R120&lt;'PlayerGrades+'!$AH$9,"B-",IF(R120&lt;'PlayerGrades+'!$AH$8,"B",IF(R120&lt;'PlayerGrades+'!$AH$7,"B+",IF(R120&lt;'PlayerGrades+'!$AH$6,"A-",IF(R120&lt;'PlayerGrades+'!$AH$5,"A",IF(R120&lt;'PlayerGrades+'!$AH$4,"A+",IF(R120&lt;'PlayerGrades+'!$AH$3,"S-",IF(R120&lt;'PlayerGrades+'!$AH$2,"S","S+"))))))))))))))))))))</f>
        <v>D-</v>
      </c>
      <c r="T120" s="937">
        <f t="shared" si="9"/>
        <v>1.322003578</v>
      </c>
      <c r="U120" s="937" t="str">
        <f>IF(T120&lt;'PlayerGrades+'!$AI$21,"F-",IF(T120&lt;'PlayerGrades+'!$AI$20,"F",IF(T120&lt;'PlayerGrades+'!$AI$19,"F+",IF(T120&lt;'PlayerGrades+'!$AI$18,"E-",IF(T120&lt;'PlayerGrades+'!$AI$17,"E",IF(T120&lt;'PlayerGrades+'!$AI$16,"E+",IF(T120&lt;'PlayerGrades+'!$AI$15,"D-",IF(T120&lt;'PlayerGrades+'!$AI$14,"D",IF(T120&lt;'PlayerGrades+'!$AI$13,"D+",IF(T120&lt;'PlayerGrades+'!$AI$12,"C-",IF(T120&lt;'PlayerGrades+'!$AI$11,"C",IF(T120&lt;'PlayerGrades+'!$AI$10,"C+",IF(T120&lt;'PlayerGrades+'!$AI$9,"B-",IF(T120&lt;'PlayerGrades+'!$AI$8,"B",IF(T120&lt;'PlayerGrades+'!$AI$7,"B+",IF(T120&lt;'PlayerGrades+'!$AI$6,"A-",IF(T120&lt;'PlayerGrades+'!$AI$5,"A",IF(T120&lt;'PlayerGrades+'!$AI$4,"A+",IF(T120&lt;'PlayerGrades+'!$AI$3,"S-",IF(T120&lt;'PlayerGrades+'!$AI$2,"S","S+"))))))))))))))))))))</f>
        <v>C+</v>
      </c>
      <c r="V120" s="941">
        <v>1.0</v>
      </c>
      <c r="W120" s="941">
        <v>1.0</v>
      </c>
      <c r="X120" s="941">
        <v>0.0</v>
      </c>
      <c r="Y120" s="941">
        <v>1.0</v>
      </c>
      <c r="Z120" s="941">
        <v>16.0</v>
      </c>
      <c r="AA120" s="941">
        <v>101.0</v>
      </c>
      <c r="AB120" s="941">
        <v>69.0</v>
      </c>
      <c r="AC120" s="941">
        <v>32.0</v>
      </c>
      <c r="AD120" s="941">
        <v>2.0</v>
      </c>
      <c r="AE120" s="941">
        <v>12.0</v>
      </c>
      <c r="AF120" s="941">
        <v>0.0</v>
      </c>
      <c r="AG120" s="941">
        <v>1362.0</v>
      </c>
      <c r="AH120" s="941">
        <v>1677.0</v>
      </c>
      <c r="AI120" s="941">
        <v>19.0</v>
      </c>
      <c r="AJ120" s="941">
        <v>505.0</v>
      </c>
      <c r="AK120" s="941">
        <v>0.0</v>
      </c>
      <c r="AL120" s="941">
        <v>4.0</v>
      </c>
      <c r="AM120" s="941">
        <v>1.0</v>
      </c>
      <c r="AN120" s="941">
        <v>0.0</v>
      </c>
      <c r="AO120" s="941">
        <v>0.0</v>
      </c>
      <c r="AP120" s="941">
        <v>1.0</v>
      </c>
      <c r="AQ120" s="941">
        <v>0.0</v>
      </c>
      <c r="AR120" s="941">
        <v>20.0</v>
      </c>
      <c r="AS120" s="941">
        <v>5.0</v>
      </c>
      <c r="AT120" s="941">
        <v>1.0</v>
      </c>
      <c r="AU120" s="941">
        <v>0.0</v>
      </c>
      <c r="AV120" s="941">
        <v>0.0</v>
      </c>
      <c r="AW120" s="941">
        <v>0.0</v>
      </c>
      <c r="AX120" s="941">
        <v>0.0</v>
      </c>
      <c r="AY120" s="941">
        <v>0.0</v>
      </c>
      <c r="AZ120" s="941">
        <v>0.0</v>
      </c>
      <c r="BA120" s="941">
        <v>0.0</v>
      </c>
      <c r="BB120" s="941">
        <v>2.0</v>
      </c>
      <c r="BC120" s="941">
        <v>0.0</v>
      </c>
      <c r="BD120" s="941">
        <v>12.0</v>
      </c>
      <c r="BE120" s="942">
        <v>9.0</v>
      </c>
      <c r="BF120" s="941">
        <v>1.0</v>
      </c>
      <c r="BG120" s="941">
        <v>0.0</v>
      </c>
    </row>
    <row r="121" ht="15.0" customHeight="1">
      <c r="A121" s="943" t="s">
        <v>140</v>
      </c>
      <c r="B121" s="16" t="str">
        <f>IF(C121&lt;'PlayerGrades+'!$Y$44,"F-",IF(C121&lt;'PlayerGrades+'!$Y$43,"F",IF(C121&lt;'PlayerGrades+'!$Y$42,"F+",IF(C121&lt;'PlayerGrades+'!$Y$41,"E-",IF(C121&lt;'PlayerGrades+'!$Y$40,"E",IF(C121&lt;'PlayerGrades+'!$Y$39,"E+",IF(C121&lt;'PlayerGrades+'!$Y$38,"D-",IF(C121&lt;'PlayerGrades+'!$Y$37,"D",IF(C121&lt;'PlayerGrades+'!$Y$36,"D+",IF(C121&lt;'PlayerGrades+'!$Y$35,"C-",IF(C121&lt;'PlayerGrades+'!$Y$34,"C",IF(C121&lt;'PlayerGrades+'!$Y$33,"C+",IF(C121&lt;'PlayerGrades+'!$Y$32,"B-",IF(C121&lt;'PlayerGrades+'!$Y$31,"B",IF(C121&lt;'PlayerGrades+'!$Y$30,"B+",IF(C121&lt;'PlayerGrades+'!$Y$29,"A-",IF(C121&lt;'PlayerGrades+'!$Y$28,"A",IF(C121&lt;'PlayerGrades+'!$Y$27,"A+",IF(C121&lt;'PlayerGrades+'!$Y$26,"S-",IF(C121&lt;'PlayerGrades+'!$Y$25,"S","S+"))))))))))))))))))))</f>
        <v>C+</v>
      </c>
      <c r="C121" s="936">
        <f>('PlayerGrades+'!$Y$47*(VLOOKUP(E121, 'PlayerGrades+'!$X$3:$Y$23, 2, FALSE)))+('PlayerGrades+'!$Y$48*(VLOOKUP(G121, 'PlayerGrades+'!$X$3:$Y$23, 2, FALSE)))+('PlayerGrades+'!$Y$49*(VLOOKUP(I121, 'PlayerGrades+'!$X$3:$Y$23, 2, FALSE)))+('PlayerGrades+'!$Y$50*(VLOOKUP(K121, 'PlayerGrades+'!$X$3:$Y$23, 2, FALSE)))+('PlayerGrades+'!$Y$51*(VLOOKUP(M121, 'PlayerGrades+'!$X$3:$Y$23, 2, FALSE)))+('PlayerGrades+'!$Y$52*(VLOOKUP(O121, 'PlayerGrades+'!$X$3:$Y$23, 2, FALSE)))+('PlayerGrades+'!$Y$53*(VLOOKUP(Q121, 'PlayerGrades+'!$X$3:$Y$23, 2, FALSE)))+('PlayerGrades+'!$Y$54*(VLOOKUP(S121, 'PlayerGrades+'!$X$3:$Y$23, 2, FALSE)))+('PlayerGrades+'!$Y$55*(VLOOKUP(U121, 'PlayerGrades+'!$X$3:$Y$23, 2, FALSE)))</f>
        <v>21.35</v>
      </c>
      <c r="D121" s="937">
        <f t="shared" si="1"/>
        <v>0.07155635063</v>
      </c>
      <c r="E121" s="937" t="str">
        <f>IF(D121&lt;'PlayerGrades+'!$AA$21,"F-",IF(D121&lt;'PlayerGrades+'!$AA$20,"F",IF(D121&lt;'PlayerGrades+'!$AA$19,"F+",IF(D121&lt;'PlayerGrades+'!$AA$18,"E-",IF(D121&lt;'PlayerGrades+'!$AA$17,"E",IF(D121&lt;'PlayerGrades+'!$AA$16,"E+",IF(D121&lt;'PlayerGrades+'!$AA$15,"D-",IF(D121&lt;'PlayerGrades+'!$AA$14,"D",IF(D121&lt;'PlayerGrades+'!$AA$13,"D+",IF(D121&lt;'PlayerGrades+'!$AA$12,"C-",IF(D121&lt;'PlayerGrades+'!$AA$11,"C",IF(D121&lt;'PlayerGrades+'!$AA$10,"C+",IF(D121&lt;'PlayerGrades+'!$AA$9,"B-",IF(D121&lt;'PlayerGrades+'!$AA$8,"B",IF(D121&lt;'PlayerGrades+'!$AA$7,"B+",IF(D121&lt;'PlayerGrades+'!$AA$6,"A-",IF(D121&lt;'PlayerGrades+'!$AA$5,"A",IF(D121&lt;'PlayerGrades+'!$AA$4,"A+",IF(D121&lt;'PlayerGrades+'!$AA$3,"S-",IF(D121&lt;'PlayerGrades+'!$AA$2,"S","S+"))))))))))))))))))))</f>
        <v>B</v>
      </c>
      <c r="F121" s="937">
        <f t="shared" si="2"/>
        <v>-0.2862254025</v>
      </c>
      <c r="G121" s="937" t="str">
        <f>IF(F121&lt;'PlayerGrades+'!$AB$21,"F-",IF(F121&lt;'PlayerGrades+'!$AB$20,"F",IF(F121&lt;'PlayerGrades+'!$AB$19,"F+",IF(F121&lt;'PlayerGrades+'!$AB$18,"E-",IF(F121&lt;'PlayerGrades+'!$AB$17,"E",IF(F121&lt;'PlayerGrades+'!$AB$16,"E+",IF(F121&lt;'PlayerGrades+'!$AB$15,"D-",IF(F121&lt;'PlayerGrades+'!$AB$14,"D",IF(F121&lt;'PlayerGrades+'!$AB$13,"D+",IF(F121&lt;'PlayerGrades+'!$AB$12,"C-",IF(F121&lt;'PlayerGrades+'!$AB$11,"C",IF(F121&lt;'PlayerGrades+'!$AB$10,"C+",IF(F121&lt;'PlayerGrades+'!$AB$9,"B-",IF(F121&lt;'PlayerGrades+'!$AB$8,"B",IF(F121&lt;'PlayerGrades+'!$AB$7,"B+",IF(F121&lt;'PlayerGrades+'!$AB$6,"A-",IF(F121&lt;'PlayerGrades+'!$AB$5,"A",IF(F121&lt;'PlayerGrades+'!$AB$4,"A+",IF(F121&lt;'PlayerGrades+'!$AB$3,"S-",IF(F121&lt;'PlayerGrades+'!$AB$2,"S","S+"))))))))))))))))))))</f>
        <v>C</v>
      </c>
      <c r="H121" s="937">
        <f t="shared" si="3"/>
        <v>0.07155635063</v>
      </c>
      <c r="I121" s="937" t="str">
        <f>IF(H121&lt;'PlayerGrades+'!$AC$21,"F-",IF(H121&lt;'PlayerGrades+'!$AC$20,"F",IF(H121&lt;'PlayerGrades+'!$AC$19,"F+",IF(H121&lt;'PlayerGrades+'!$AC$18,"E-",IF(H121&lt;'PlayerGrades+'!$AC$17,"E",IF(H121&lt;'PlayerGrades+'!$AC$16,"E+",IF(H121&lt;'PlayerGrades+'!$AC$15,"D-",IF(H121&lt;'PlayerGrades+'!$AC$14,"D",IF(H121&lt;'PlayerGrades+'!$AC$13,"D+",IF(H121&lt;'PlayerGrades+'!$AC$12,"C-",IF(H121&lt;'PlayerGrades+'!$AC$11,"C",IF(H121&lt;'PlayerGrades+'!$AC$10,"C+",IF(H121&lt;'PlayerGrades+'!$AC$9,"B-",IF(H121&lt;'PlayerGrades+'!$AC$8,"B",IF(H121&lt;'PlayerGrades+'!$AC$7,"B+",IF(H121&lt;'PlayerGrades+'!$AC$6,"A-",IF(H121&lt;'PlayerGrades+'!$AC$5,"A",IF(H121&lt;'PlayerGrades+'!$AC$4,"A+",IF(H121&lt;'PlayerGrades+'!$AC$3,"S-",IF(H121&lt;'PlayerGrades+'!$AC$2,"S","S+"))))))))))))))))))))</f>
        <v>E</v>
      </c>
      <c r="J121" s="937">
        <f t="shared" si="4"/>
        <v>0.03577817531</v>
      </c>
      <c r="K121" s="937" t="str">
        <f>IF(J121&lt;'PlayerGrades+'!$AD$21,"F-",IF(J121&lt;'PlayerGrades+'!$AD$20,"F",IF(J121&lt;'PlayerGrades+'!$AD$19,"F+",IF(J121&lt;'PlayerGrades+'!$AD$18,"E-",IF(J121&lt;'PlayerGrades+'!$AD$17,"E",IF(J121&lt;'PlayerGrades+'!$AD$16,"E+",IF(J121&lt;'PlayerGrades+'!$AD$15,"D-",IF(J121&lt;'PlayerGrades+'!$AD$14,"D",IF(J121&lt;'PlayerGrades+'!$AD$13,"D+",IF(J121&lt;'PlayerGrades+'!$AD$12,"C-",IF(J121&lt;'PlayerGrades+'!$AD$11,"C",IF(J121&lt;'PlayerGrades+'!$AD$10,"C+",IF(J121&lt;'PlayerGrades+'!$AD$9,"B-",IF(J121&lt;'PlayerGrades+'!$AD$8,"B",IF(J121&lt;'PlayerGrades+'!$AD$7,"B+",IF(J121&lt;'PlayerGrades+'!$AD$6,"A-",IF(J121&lt;'PlayerGrades+'!$AD$5,"A",IF(J121&lt;'PlayerGrades+'!$AD$4,"A+",IF(J121&lt;'PlayerGrades+'!$AD$3,"S-",IF(J121&lt;'PlayerGrades+'!$AD$2,"S","S+"))))))))))))))))))))</f>
        <v>C</v>
      </c>
      <c r="L121" s="677">
        <f t="shared" si="5"/>
        <v>0.3935599284</v>
      </c>
      <c r="M121" s="938" t="str">
        <f>IF(L121&lt;'PlayerGrades+'!$AE$21,"F-",IF(L121&lt;'PlayerGrades+'!$AE$20,"F",IF(L121&lt;'PlayerGrades+'!$AE$19,"F+",IF(L121&lt;'PlayerGrades+'!$AE$18,"E-",IF(L121&lt;'PlayerGrades+'!$AE$17,"E",IF(L121&lt;'PlayerGrades+'!$AE$16,"E+",IF(L121&lt;'PlayerGrades+'!$AE$15,"D-",IF(L121&lt;'PlayerGrades+'!$AE$14,"D",IF(L121&lt;'PlayerGrades+'!$AE$13,"D+",IF(L121&lt;'PlayerGrades+'!$AE$12,"C-",IF(L121&lt;'PlayerGrades+'!$AE$11,"C",IF(L121&lt;'PlayerGrades+'!$AE$10,"C+",IF(L121&lt;'PlayerGrades+'!$AE$9,"B-",IF(L121&lt;'PlayerGrades+'!$AE$8,"B",IF(L121&lt;'PlayerGrades+'!$AE$7,"B+",IF(L121&lt;'PlayerGrades+'!$AE$6,"A-",IF(L121&lt;'PlayerGrades+'!$AE$5,"A",IF(L121&lt;'PlayerGrades+'!$AE$4,"A+",IF(L121&lt;'PlayerGrades+'!$AE$3,"S-",IF(L121&lt;'PlayerGrades+'!$AE$2,"S","S+"))))))))))))))))))))</f>
        <v>C</v>
      </c>
      <c r="N121" s="937">
        <f t="shared" si="6"/>
        <v>0.1073345259</v>
      </c>
      <c r="O121" s="937" t="str">
        <f>IF(N121&lt;'PlayerGrades+'!$AF$21,"F-",IF(N121&lt;'PlayerGrades+'!$AF$20,"F",IF(N121&lt;'PlayerGrades+'!$AF$19,"F+",IF(N121&lt;'PlayerGrades+'!$AF$18,"E-",IF(N121&lt;'PlayerGrades+'!$AF$17,"E",IF(N121&lt;'PlayerGrades+'!$AF$16,"E+",IF(N121&lt;'PlayerGrades+'!$AF$15,"D-",IF(N121&lt;'PlayerGrades+'!$AF$14,"D",IF(N121&lt;'PlayerGrades+'!$AF$13,"D+",IF(N121&lt;'PlayerGrades+'!$AF$12,"C-",IF(N121&lt;'PlayerGrades+'!$AF$11,"C",IF(N121&lt;'PlayerGrades+'!$AF$10,"C+",IF(N121&lt;'PlayerGrades+'!$AF$9,"B-",IF(N121&lt;'PlayerGrades+'!$AF$8,"B",IF(N121&lt;'PlayerGrades+'!$AF$7,"B+",IF(N121&lt;'PlayerGrades+'!$AF$6,"A-",IF(N121&lt;'PlayerGrades+'!$AF$5,"A",IF(N121&lt;'PlayerGrades+'!$AF$4,"A+",IF(N121&lt;'PlayerGrades+'!$AF$3,"S-",IF(N121&lt;'PlayerGrades+'!$AF$2,"S","S+"))))))))))))))))))))</f>
        <v>S-</v>
      </c>
      <c r="P121" s="937">
        <f t="shared" si="7"/>
        <v>0.03577817531</v>
      </c>
      <c r="Q121" s="937" t="str">
        <f>IF(P121&lt;'PlayerGrades+'!$AG$21,"F-",IF(P121&lt;'PlayerGrades+'!$AG$20,"F",IF(P121&lt;'PlayerGrades+'!$AG$19,"F+",IF(P121&lt;'PlayerGrades+'!$AG$18,"E-",IF(P121&lt;'PlayerGrades+'!$AG$17,"E",IF(P121&lt;'PlayerGrades+'!$AG$16,"E+",IF(P121&lt;'PlayerGrades+'!$AG$15,"D-",IF(P121&lt;'PlayerGrades+'!$AG$14,"D",IF(P121&lt;'PlayerGrades+'!$AG$13,"D+",IF(P121&lt;'PlayerGrades+'!$AG$12,"C-",IF(P121&lt;'PlayerGrades+'!$AG$11,"C",IF(P121&lt;'PlayerGrades+'!$AG$10,"C+",IF(P121&lt;'PlayerGrades+'!$AG$9,"B-",IF(P121&lt;'PlayerGrades+'!$AG$8,"B",IF(P121&lt;'PlayerGrades+'!$AG$7,"B+",IF(P121&lt;'PlayerGrades+'!$AG$6,"A-",IF(P121&lt;'PlayerGrades+'!$AG$5,"A",IF(P121&lt;'PlayerGrades+'!$AG$4,"A+",IF(P121&lt;'PlayerGrades+'!$AG$3,"S-",IF(P121&lt;'PlayerGrades+'!$AG$2,"S","S+"))))))))))))))))))))</f>
        <v>B+</v>
      </c>
      <c r="R121" s="937">
        <f t="shared" si="8"/>
        <v>0.3220035778</v>
      </c>
      <c r="S121" s="937" t="str">
        <f>IF(R121&lt;'PlayerGrades+'!$AH$21,"F-",IF(R121&lt;'PlayerGrades+'!$AH$20,"F",IF(R121&lt;'PlayerGrades+'!$AH$19,"F+",IF(R121&lt;'PlayerGrades+'!$AH$18,"E-",IF(R121&lt;'PlayerGrades+'!$AH$17,"E",IF(R121&lt;'PlayerGrades+'!$AH$16,"E+",IF(R121&lt;'PlayerGrades+'!$AH$15,"D-",IF(R121&lt;'PlayerGrades+'!$AH$14,"D",IF(R121&lt;'PlayerGrades+'!$AH$13,"D+",IF(R121&lt;'PlayerGrades+'!$AH$12,"C-",IF(R121&lt;'PlayerGrades+'!$AH$11,"C",IF(R121&lt;'PlayerGrades+'!$AH$10,"C+",IF(R121&lt;'PlayerGrades+'!$AH$9,"B-",IF(R121&lt;'PlayerGrades+'!$AH$8,"B",IF(R121&lt;'PlayerGrades+'!$AH$7,"B+",IF(R121&lt;'PlayerGrades+'!$AH$6,"A-",IF(R121&lt;'PlayerGrades+'!$AH$5,"A",IF(R121&lt;'PlayerGrades+'!$AH$4,"A+",IF(R121&lt;'PlayerGrades+'!$AH$3,"S-",IF(R121&lt;'PlayerGrades+'!$AH$2,"S","S+"))))))))))))))))))))</f>
        <v>F</v>
      </c>
      <c r="T121" s="937">
        <f t="shared" si="9"/>
        <v>3.429338104</v>
      </c>
      <c r="U121" s="937" t="str">
        <f>IF(T121&lt;'PlayerGrades+'!$AI$21,"F-",IF(T121&lt;'PlayerGrades+'!$AI$20,"F",IF(T121&lt;'PlayerGrades+'!$AI$19,"F+",IF(T121&lt;'PlayerGrades+'!$AI$18,"E-",IF(T121&lt;'PlayerGrades+'!$AI$17,"E",IF(T121&lt;'PlayerGrades+'!$AI$16,"E+",IF(T121&lt;'PlayerGrades+'!$AI$15,"D-",IF(T121&lt;'PlayerGrades+'!$AI$14,"D",IF(T121&lt;'PlayerGrades+'!$AI$13,"D+",IF(T121&lt;'PlayerGrades+'!$AI$12,"C-",IF(T121&lt;'PlayerGrades+'!$AI$11,"C",IF(T121&lt;'PlayerGrades+'!$AI$10,"C+",IF(T121&lt;'PlayerGrades+'!$AI$9,"B-",IF(T121&lt;'PlayerGrades+'!$AI$8,"B",IF(T121&lt;'PlayerGrades+'!$AI$7,"B+",IF(T121&lt;'PlayerGrades+'!$AI$6,"A-",IF(T121&lt;'PlayerGrades+'!$AI$5,"A",IF(T121&lt;'PlayerGrades+'!$AI$4,"A+",IF(T121&lt;'PlayerGrades+'!$AI$3,"S-",IF(T121&lt;'PlayerGrades+'!$AI$2,"S","S+"))))))))))))))))))))</f>
        <v>S+</v>
      </c>
      <c r="V121" s="944">
        <v>1.0</v>
      </c>
      <c r="W121" s="944">
        <v>1.0</v>
      </c>
      <c r="X121" s="944">
        <v>0.0</v>
      </c>
      <c r="Y121" s="944">
        <v>2.0</v>
      </c>
      <c r="Z121" s="944">
        <v>0.0</v>
      </c>
      <c r="AA121" s="944">
        <v>76.0</v>
      </c>
      <c r="AB121" s="944">
        <v>84.0</v>
      </c>
      <c r="AC121" s="944">
        <v>-8.0</v>
      </c>
      <c r="AD121" s="944">
        <v>3.0</v>
      </c>
      <c r="AE121" s="944">
        <v>6.0</v>
      </c>
      <c r="AF121" s="944">
        <v>2.0</v>
      </c>
      <c r="AG121" s="944">
        <v>1319.0</v>
      </c>
      <c r="AH121" s="944">
        <v>1677.0</v>
      </c>
      <c r="AI121" s="944">
        <v>15.0</v>
      </c>
      <c r="AJ121" s="944">
        <v>11.0</v>
      </c>
      <c r="AK121" s="944">
        <v>0.0</v>
      </c>
      <c r="AL121" s="944">
        <v>1.0</v>
      </c>
      <c r="AM121" s="944">
        <v>0.0</v>
      </c>
      <c r="AN121" s="944">
        <v>0.0</v>
      </c>
      <c r="AO121" s="944">
        <v>0.0</v>
      </c>
      <c r="AP121" s="944">
        <v>1.0</v>
      </c>
      <c r="AQ121" s="944">
        <v>0.0</v>
      </c>
      <c r="AR121" s="944">
        <v>11.0</v>
      </c>
      <c r="AS121" s="944">
        <v>3.0</v>
      </c>
      <c r="AT121" s="944">
        <v>0.0</v>
      </c>
      <c r="AU121" s="944">
        <v>0.0</v>
      </c>
      <c r="AV121" s="944">
        <v>0.0</v>
      </c>
      <c r="AW121" s="944">
        <v>0.0</v>
      </c>
      <c r="AX121" s="944">
        <v>0.0</v>
      </c>
      <c r="AY121" s="944">
        <v>0.0</v>
      </c>
      <c r="AZ121" s="944">
        <v>0.0</v>
      </c>
      <c r="BA121" s="944">
        <v>0.0</v>
      </c>
      <c r="BB121" s="944">
        <v>2.0</v>
      </c>
      <c r="BC121" s="882">
        <v>0.0</v>
      </c>
      <c r="BD121" s="882">
        <v>6.0</v>
      </c>
      <c r="BE121" s="948">
        <v>12.0</v>
      </c>
      <c r="BF121" s="941">
        <v>3.0</v>
      </c>
      <c r="BG121" s="941">
        <v>0.0</v>
      </c>
    </row>
    <row r="122">
      <c r="A122" s="946" t="s">
        <v>141</v>
      </c>
      <c r="B122" s="16" t="str">
        <f>IF(C122&lt;'PlayerGrades+'!$Y$44,"F-",IF(C122&lt;'PlayerGrades+'!$Y$43,"F",IF(C122&lt;'PlayerGrades+'!$Y$42,"F+",IF(C122&lt;'PlayerGrades+'!$Y$41,"E-",IF(C122&lt;'PlayerGrades+'!$Y$40,"E",IF(C122&lt;'PlayerGrades+'!$Y$39,"E+",IF(C122&lt;'PlayerGrades+'!$Y$38,"D-",IF(C122&lt;'PlayerGrades+'!$Y$37,"D",IF(C122&lt;'PlayerGrades+'!$Y$36,"D+",IF(C122&lt;'PlayerGrades+'!$Y$35,"C-",IF(C122&lt;'PlayerGrades+'!$Y$34,"C",IF(C122&lt;'PlayerGrades+'!$Y$33,"C+",IF(C122&lt;'PlayerGrades+'!$Y$32,"B-",IF(C122&lt;'PlayerGrades+'!$Y$31,"B",IF(C122&lt;'PlayerGrades+'!$Y$30,"B+",IF(C122&lt;'PlayerGrades+'!$Y$29,"A-",IF(C122&lt;'PlayerGrades+'!$Y$28,"A",IF(C122&lt;'PlayerGrades+'!$Y$27,"A+",IF(C122&lt;'PlayerGrades+'!$Y$26,"S-",IF(C122&lt;'PlayerGrades+'!$Y$25,"S","S+"))))))))))))))))))))</f>
        <v>F</v>
      </c>
      <c r="C122" s="936">
        <f>('PlayerGrades+'!$Y$47*(VLOOKUP(E122, 'PlayerGrades+'!$X$3:$Y$23, 2, FALSE)))+('PlayerGrades+'!$Y$48*(VLOOKUP(G122, 'PlayerGrades+'!$X$3:$Y$23, 2, FALSE)))+('PlayerGrades+'!$Y$49*(VLOOKUP(I122, 'PlayerGrades+'!$X$3:$Y$23, 2, FALSE)))+('PlayerGrades+'!$Y$50*(VLOOKUP(K122, 'PlayerGrades+'!$X$3:$Y$23, 2, FALSE)))+('PlayerGrades+'!$Y$51*(VLOOKUP(M122, 'PlayerGrades+'!$X$3:$Y$23, 2, FALSE)))+('PlayerGrades+'!$Y$52*(VLOOKUP(O122, 'PlayerGrades+'!$X$3:$Y$23, 2, FALSE)))+('PlayerGrades+'!$Y$53*(VLOOKUP(Q122, 'PlayerGrades+'!$X$3:$Y$23, 2, FALSE)))+('PlayerGrades+'!$Y$54*(VLOOKUP(S122, 'PlayerGrades+'!$X$3:$Y$23, 2, FALSE)))+('PlayerGrades+'!$Y$55*(VLOOKUP(U122, 'PlayerGrades+'!$X$3:$Y$23, 2, FALSE)))</f>
        <v>9.4</v>
      </c>
      <c r="D122" s="937">
        <f t="shared" si="1"/>
        <v>0.02326483133</v>
      </c>
      <c r="E122" s="937" t="str">
        <f>IF(D122&lt;'PlayerGrades+'!$AA$21,"F-",IF(D122&lt;'PlayerGrades+'!$AA$20,"F",IF(D122&lt;'PlayerGrades+'!$AA$19,"F+",IF(D122&lt;'PlayerGrades+'!$AA$18,"E-",IF(D122&lt;'PlayerGrades+'!$AA$17,"E",IF(D122&lt;'PlayerGrades+'!$AA$16,"E+",IF(D122&lt;'PlayerGrades+'!$AA$15,"D-",IF(D122&lt;'PlayerGrades+'!$AA$14,"D",IF(D122&lt;'PlayerGrades+'!$AA$13,"D+",IF(D122&lt;'PlayerGrades+'!$AA$12,"C-",IF(D122&lt;'PlayerGrades+'!$AA$11,"C",IF(D122&lt;'PlayerGrades+'!$AA$10,"C+",IF(D122&lt;'PlayerGrades+'!$AA$9,"B-",IF(D122&lt;'PlayerGrades+'!$AA$8,"B",IF(D122&lt;'PlayerGrades+'!$AA$7,"B+",IF(D122&lt;'PlayerGrades+'!$AA$6,"A-",IF(D122&lt;'PlayerGrades+'!$AA$5,"A",IF(D122&lt;'PlayerGrades+'!$AA$4,"A+",IF(D122&lt;'PlayerGrades+'!$AA$3,"S-",IF(D122&lt;'PlayerGrades+'!$AA$2,"S","S+"))))))))))))))))))))</f>
        <v>E</v>
      </c>
      <c r="F122" s="937">
        <f t="shared" si="2"/>
        <v>-1.39588988</v>
      </c>
      <c r="G122" s="937" t="str">
        <f>IF(F122&lt;'PlayerGrades+'!$AB$21,"F-",IF(F122&lt;'PlayerGrades+'!$AB$20,"F",IF(F122&lt;'PlayerGrades+'!$AB$19,"F+",IF(F122&lt;'PlayerGrades+'!$AB$18,"E-",IF(F122&lt;'PlayerGrades+'!$AB$17,"E",IF(F122&lt;'PlayerGrades+'!$AB$16,"E+",IF(F122&lt;'PlayerGrades+'!$AB$15,"D-",IF(F122&lt;'PlayerGrades+'!$AB$14,"D",IF(F122&lt;'PlayerGrades+'!$AB$13,"D+",IF(F122&lt;'PlayerGrades+'!$AB$12,"C-",IF(F122&lt;'PlayerGrades+'!$AB$11,"C",IF(F122&lt;'PlayerGrades+'!$AB$10,"C+",IF(F122&lt;'PlayerGrades+'!$AB$9,"B-",IF(F122&lt;'PlayerGrades+'!$AB$8,"B",IF(F122&lt;'PlayerGrades+'!$AB$7,"B+",IF(F122&lt;'PlayerGrades+'!$AB$6,"A-",IF(F122&lt;'PlayerGrades+'!$AB$5,"A",IF(F122&lt;'PlayerGrades+'!$AB$4,"A+",IF(F122&lt;'PlayerGrades+'!$AB$3,"S-",IF(F122&lt;'PlayerGrades+'!$AB$2,"S","S+"))))))))))))))))))))</f>
        <v>F-</v>
      </c>
      <c r="H122" s="937">
        <f t="shared" si="3"/>
        <v>0</v>
      </c>
      <c r="I122" s="937" t="str">
        <f>IF(H122&lt;'PlayerGrades+'!$AC$21,"F-",IF(H122&lt;'PlayerGrades+'!$AC$20,"F",IF(H122&lt;'PlayerGrades+'!$AC$19,"F+",IF(H122&lt;'PlayerGrades+'!$AC$18,"E-",IF(H122&lt;'PlayerGrades+'!$AC$17,"E",IF(H122&lt;'PlayerGrades+'!$AC$16,"E+",IF(H122&lt;'PlayerGrades+'!$AC$15,"D-",IF(H122&lt;'PlayerGrades+'!$AC$14,"D",IF(H122&lt;'PlayerGrades+'!$AC$13,"D+",IF(H122&lt;'PlayerGrades+'!$AC$12,"C-",IF(H122&lt;'PlayerGrades+'!$AC$11,"C",IF(H122&lt;'PlayerGrades+'!$AC$10,"C+",IF(H122&lt;'PlayerGrades+'!$AC$9,"B-",IF(H122&lt;'PlayerGrades+'!$AC$8,"B",IF(H122&lt;'PlayerGrades+'!$AC$7,"B+",IF(H122&lt;'PlayerGrades+'!$AC$6,"A-",IF(H122&lt;'PlayerGrades+'!$AC$5,"A",IF(H122&lt;'PlayerGrades+'!$AC$4,"A+",IF(H122&lt;'PlayerGrades+'!$AC$3,"S-",IF(H122&lt;'PlayerGrades+'!$AC$2,"S","S+"))))))))))))))))))))</f>
        <v>F-</v>
      </c>
      <c r="J122" s="937">
        <f t="shared" si="4"/>
        <v>0.02326483133</v>
      </c>
      <c r="K122" s="937" t="str">
        <f>IF(J122&lt;'PlayerGrades+'!$AD$21,"F-",IF(J122&lt;'PlayerGrades+'!$AD$20,"F",IF(J122&lt;'PlayerGrades+'!$AD$19,"F+",IF(J122&lt;'PlayerGrades+'!$AD$18,"E-",IF(J122&lt;'PlayerGrades+'!$AD$17,"E",IF(J122&lt;'PlayerGrades+'!$AD$16,"E+",IF(J122&lt;'PlayerGrades+'!$AD$15,"D-",IF(J122&lt;'PlayerGrades+'!$AD$14,"D",IF(J122&lt;'PlayerGrades+'!$AD$13,"D+",IF(J122&lt;'PlayerGrades+'!$AD$12,"C-",IF(J122&lt;'PlayerGrades+'!$AD$11,"C",IF(J122&lt;'PlayerGrades+'!$AD$10,"C+",IF(J122&lt;'PlayerGrades+'!$AD$9,"B-",IF(J122&lt;'PlayerGrades+'!$AD$8,"B",IF(J122&lt;'PlayerGrades+'!$AD$7,"B+",IF(J122&lt;'PlayerGrades+'!$AD$6,"A-",IF(J122&lt;'PlayerGrades+'!$AD$5,"A",IF(J122&lt;'PlayerGrades+'!$AD$4,"A+",IF(J122&lt;'PlayerGrades+'!$AD$3,"S-",IF(J122&lt;'PlayerGrades+'!$AD$2,"S","S+"))))))))))))))))))))</f>
        <v>D-</v>
      </c>
      <c r="L122" s="677">
        <f t="shared" si="5"/>
        <v>0.3024428073</v>
      </c>
      <c r="M122" s="938" t="str">
        <f>IF(L122&lt;'PlayerGrades+'!$AE$21,"F-",IF(L122&lt;'PlayerGrades+'!$AE$20,"F",IF(L122&lt;'PlayerGrades+'!$AE$19,"F+",IF(L122&lt;'PlayerGrades+'!$AE$18,"E-",IF(L122&lt;'PlayerGrades+'!$AE$17,"E",IF(L122&lt;'PlayerGrades+'!$AE$16,"E+",IF(L122&lt;'PlayerGrades+'!$AE$15,"D-",IF(L122&lt;'PlayerGrades+'!$AE$14,"D",IF(L122&lt;'PlayerGrades+'!$AE$13,"D+",IF(L122&lt;'PlayerGrades+'!$AE$12,"C-",IF(L122&lt;'PlayerGrades+'!$AE$11,"C",IF(L122&lt;'PlayerGrades+'!$AE$10,"C+",IF(L122&lt;'PlayerGrades+'!$AE$9,"B-",IF(L122&lt;'PlayerGrades+'!$AE$8,"B",IF(L122&lt;'PlayerGrades+'!$AE$7,"B+",IF(L122&lt;'PlayerGrades+'!$AE$6,"A-",IF(L122&lt;'PlayerGrades+'!$AE$5,"A",IF(L122&lt;'PlayerGrades+'!$AE$4,"A+",IF(L122&lt;'PlayerGrades+'!$AE$3,"S-",IF(L122&lt;'PlayerGrades+'!$AE$2,"S","S+"))))))))))))))))))))</f>
        <v>E-</v>
      </c>
      <c r="N122" s="937">
        <f t="shared" si="6"/>
        <v>0.02326483133</v>
      </c>
      <c r="O122" s="937" t="str">
        <f>IF(N122&lt;'PlayerGrades+'!$AF$21,"F-",IF(N122&lt;'PlayerGrades+'!$AF$20,"F",IF(N122&lt;'PlayerGrades+'!$AF$19,"F+",IF(N122&lt;'PlayerGrades+'!$AF$18,"E-",IF(N122&lt;'PlayerGrades+'!$AF$17,"E",IF(N122&lt;'PlayerGrades+'!$AF$16,"E+",IF(N122&lt;'PlayerGrades+'!$AF$15,"D-",IF(N122&lt;'PlayerGrades+'!$AF$14,"D",IF(N122&lt;'PlayerGrades+'!$AF$13,"D+",IF(N122&lt;'PlayerGrades+'!$AF$12,"C-",IF(N122&lt;'PlayerGrades+'!$AF$11,"C",IF(N122&lt;'PlayerGrades+'!$AF$10,"C+",IF(N122&lt;'PlayerGrades+'!$AF$9,"B-",IF(N122&lt;'PlayerGrades+'!$AF$8,"B",IF(N122&lt;'PlayerGrades+'!$AF$7,"B+",IF(N122&lt;'PlayerGrades+'!$AF$6,"A-",IF(N122&lt;'PlayerGrades+'!$AF$5,"A",IF(N122&lt;'PlayerGrades+'!$AF$4,"A+",IF(N122&lt;'PlayerGrades+'!$AF$3,"S-",IF(N122&lt;'PlayerGrades+'!$AF$2,"S","S+"))))))))))))))))))))</f>
        <v>F</v>
      </c>
      <c r="P122" s="937">
        <f t="shared" si="7"/>
        <v>0.02326483133</v>
      </c>
      <c r="Q122" s="937" t="str">
        <f>IF(P122&lt;'PlayerGrades+'!$AG$21,"F-",IF(P122&lt;'PlayerGrades+'!$AG$20,"F",IF(P122&lt;'PlayerGrades+'!$AG$19,"F+",IF(P122&lt;'PlayerGrades+'!$AG$18,"E-",IF(P122&lt;'PlayerGrades+'!$AG$17,"E",IF(P122&lt;'PlayerGrades+'!$AG$16,"E+",IF(P122&lt;'PlayerGrades+'!$AG$15,"D-",IF(P122&lt;'PlayerGrades+'!$AG$14,"D",IF(P122&lt;'PlayerGrades+'!$AG$13,"D+",IF(P122&lt;'PlayerGrades+'!$AG$12,"C-",IF(P122&lt;'PlayerGrades+'!$AG$11,"C",IF(P122&lt;'PlayerGrades+'!$AG$10,"C+",IF(P122&lt;'PlayerGrades+'!$AG$9,"B-",IF(P122&lt;'PlayerGrades+'!$AG$8,"B",IF(P122&lt;'PlayerGrades+'!$AG$7,"B+",IF(P122&lt;'PlayerGrades+'!$AG$6,"A-",IF(P122&lt;'PlayerGrades+'!$AG$5,"A",IF(P122&lt;'PlayerGrades+'!$AG$4,"A+",IF(P122&lt;'PlayerGrades+'!$AG$3,"S-",IF(P122&lt;'PlayerGrades+'!$AG$2,"S","S+"))))))))))))))))))))</f>
        <v>B-</v>
      </c>
      <c r="R122" s="937">
        <f t="shared" si="8"/>
        <v>0.3955021326</v>
      </c>
      <c r="S122" s="937" t="str">
        <f>IF(R122&lt;'PlayerGrades+'!$AH$21,"F-",IF(R122&lt;'PlayerGrades+'!$AH$20,"F",IF(R122&lt;'PlayerGrades+'!$AH$19,"F+",IF(R122&lt;'PlayerGrades+'!$AH$18,"E-",IF(R122&lt;'PlayerGrades+'!$AH$17,"E",IF(R122&lt;'PlayerGrades+'!$AH$16,"E+",IF(R122&lt;'PlayerGrades+'!$AH$15,"D-",IF(R122&lt;'PlayerGrades+'!$AH$14,"D",IF(R122&lt;'PlayerGrades+'!$AH$13,"D+",IF(R122&lt;'PlayerGrades+'!$AH$12,"C-",IF(R122&lt;'PlayerGrades+'!$AH$11,"C",IF(R122&lt;'PlayerGrades+'!$AH$10,"C+",IF(R122&lt;'PlayerGrades+'!$AH$9,"B-",IF(R122&lt;'PlayerGrades+'!$AH$8,"B",IF(R122&lt;'PlayerGrades+'!$AH$7,"B+",IF(R122&lt;'PlayerGrades+'!$AH$6,"A-",IF(R122&lt;'PlayerGrades+'!$AH$5,"A",IF(R122&lt;'PlayerGrades+'!$AH$4,"A+",IF(R122&lt;'PlayerGrades+'!$AH$3,"S-",IF(R122&lt;'PlayerGrades+'!$AH$2,"S","S+"))))))))))))))))))))</f>
        <v>F+</v>
      </c>
      <c r="T122" s="937">
        <f t="shared" si="9"/>
        <v>2.418766964</v>
      </c>
      <c r="U122" s="937" t="str">
        <f>IF(T122&lt;'PlayerGrades+'!$AI$21,"F-",IF(T122&lt;'PlayerGrades+'!$AI$20,"F",IF(T122&lt;'PlayerGrades+'!$AI$19,"F+",IF(T122&lt;'PlayerGrades+'!$AI$18,"E-",IF(T122&lt;'PlayerGrades+'!$AI$17,"E",IF(T122&lt;'PlayerGrades+'!$AI$16,"E+",IF(T122&lt;'PlayerGrades+'!$AI$15,"D-",IF(T122&lt;'PlayerGrades+'!$AI$14,"D",IF(T122&lt;'PlayerGrades+'!$AI$13,"D+",IF(T122&lt;'PlayerGrades+'!$AI$12,"C-",IF(T122&lt;'PlayerGrades+'!$AI$11,"C",IF(T122&lt;'PlayerGrades+'!$AI$10,"C+",IF(T122&lt;'PlayerGrades+'!$AI$9,"B-",IF(T122&lt;'PlayerGrades+'!$AI$8,"B",IF(T122&lt;'PlayerGrades+'!$AI$7,"B+",IF(T122&lt;'PlayerGrades+'!$AI$6,"A-",IF(T122&lt;'PlayerGrades+'!$AI$5,"A",IF(T122&lt;'PlayerGrades+'!$AI$4,"A+",IF(T122&lt;'PlayerGrades+'!$AI$3,"S-",IF(T122&lt;'PlayerGrades+'!$AI$2,"S","S+"))))))))))))))))))))</f>
        <v>S+</v>
      </c>
      <c r="V122" s="939">
        <v>1.0</v>
      </c>
      <c r="W122" s="939">
        <v>0.0</v>
      </c>
      <c r="X122" s="939">
        <v>1.0</v>
      </c>
      <c r="Y122" s="939">
        <v>0.0</v>
      </c>
      <c r="Z122" s="939">
        <v>1.0</v>
      </c>
      <c r="AA122" s="939">
        <v>129.0</v>
      </c>
      <c r="AB122" s="939">
        <v>189.0</v>
      </c>
      <c r="AC122" s="939">
        <v>-60.0</v>
      </c>
      <c r="AD122" s="939">
        <v>8.0</v>
      </c>
      <c r="AE122" s="939">
        <v>5.0</v>
      </c>
      <c r="AF122" s="939">
        <v>2.0</v>
      </c>
      <c r="AG122" s="939">
        <v>1902.0</v>
      </c>
      <c r="AH122" s="939">
        <v>2579.0</v>
      </c>
      <c r="AI122" s="939">
        <v>10.0</v>
      </c>
      <c r="AJ122" s="939">
        <v>29.0</v>
      </c>
      <c r="AK122" s="939">
        <v>0.0</v>
      </c>
      <c r="AL122" s="939">
        <v>1.0</v>
      </c>
      <c r="AM122" s="939">
        <v>0.0</v>
      </c>
      <c r="AN122" s="939">
        <v>0.0</v>
      </c>
      <c r="AO122" s="939">
        <v>0.0</v>
      </c>
      <c r="AP122" s="939">
        <v>1.0</v>
      </c>
      <c r="AQ122" s="939">
        <v>0.0</v>
      </c>
      <c r="AR122" s="939">
        <v>13.0</v>
      </c>
      <c r="AS122" s="939">
        <v>1.0</v>
      </c>
      <c r="AT122" s="939">
        <v>0.0</v>
      </c>
      <c r="AU122" s="939">
        <v>0.0</v>
      </c>
      <c r="AV122" s="939">
        <v>0.0</v>
      </c>
      <c r="AW122" s="939">
        <v>0.0</v>
      </c>
      <c r="AX122" s="939">
        <v>0.0</v>
      </c>
      <c r="AY122" s="939">
        <v>0.0</v>
      </c>
      <c r="AZ122" s="939">
        <v>0.0</v>
      </c>
      <c r="BA122" s="939">
        <v>0.0</v>
      </c>
      <c r="BB122" s="939">
        <v>0.0</v>
      </c>
      <c r="BC122" s="939">
        <v>0.0</v>
      </c>
      <c r="BD122" s="939">
        <v>9.0</v>
      </c>
      <c r="BE122" s="939">
        <v>18.0</v>
      </c>
      <c r="BF122" s="939">
        <v>2.0</v>
      </c>
      <c r="BG122" s="940">
        <v>1.0</v>
      </c>
    </row>
    <row r="123">
      <c r="A123" s="935" t="s">
        <v>152</v>
      </c>
      <c r="B123" s="16" t="str">
        <f>IF(C123&lt;'PlayerGrades+'!$Y$44,"F-",IF(C123&lt;'PlayerGrades+'!$Y$43,"F",IF(C123&lt;'PlayerGrades+'!$Y$42,"F+",IF(C123&lt;'PlayerGrades+'!$Y$41,"E-",IF(C123&lt;'PlayerGrades+'!$Y$40,"E",IF(C123&lt;'PlayerGrades+'!$Y$39,"E+",IF(C123&lt;'PlayerGrades+'!$Y$38,"D-",IF(C123&lt;'PlayerGrades+'!$Y$37,"D",IF(C123&lt;'PlayerGrades+'!$Y$36,"D+",IF(C123&lt;'PlayerGrades+'!$Y$35,"C-",IF(C123&lt;'PlayerGrades+'!$Y$34,"C",IF(C123&lt;'PlayerGrades+'!$Y$33,"C+",IF(C123&lt;'PlayerGrades+'!$Y$32,"B-",IF(C123&lt;'PlayerGrades+'!$Y$31,"B",IF(C123&lt;'PlayerGrades+'!$Y$30,"B+",IF(C123&lt;'PlayerGrades+'!$Y$29,"A-",IF(C123&lt;'PlayerGrades+'!$Y$28,"A",IF(C123&lt;'PlayerGrades+'!$Y$27,"A+",IF(C123&lt;'PlayerGrades+'!$Y$26,"S-",IF(C123&lt;'PlayerGrades+'!$Y$25,"S","S+"))))))))))))))))))))</f>
        <v>F</v>
      </c>
      <c r="C123" s="936">
        <f>('PlayerGrades+'!$Y$47*(VLOOKUP(E123, 'PlayerGrades+'!$X$3:$Y$23, 2, FALSE)))+('PlayerGrades+'!$Y$48*(VLOOKUP(G123, 'PlayerGrades+'!$X$3:$Y$23, 2, FALSE)))+('PlayerGrades+'!$Y$49*(VLOOKUP(I123, 'PlayerGrades+'!$X$3:$Y$23, 2, FALSE)))+('PlayerGrades+'!$Y$50*(VLOOKUP(K123, 'PlayerGrades+'!$X$3:$Y$23, 2, FALSE)))+('PlayerGrades+'!$Y$51*(VLOOKUP(M123, 'PlayerGrades+'!$X$3:$Y$23, 2, FALSE)))+('PlayerGrades+'!$Y$52*(VLOOKUP(O123, 'PlayerGrades+'!$X$3:$Y$23, 2, FALSE)))+('PlayerGrades+'!$Y$53*(VLOOKUP(Q123, 'PlayerGrades+'!$X$3:$Y$23, 2, FALSE)))+('PlayerGrades+'!$Y$54*(VLOOKUP(S123, 'PlayerGrades+'!$X$3:$Y$23, 2, FALSE)))+('PlayerGrades+'!$Y$55*(VLOOKUP(U123, 'PlayerGrades+'!$X$3:$Y$23, 2, FALSE)))</f>
        <v>9.9</v>
      </c>
      <c r="D123" s="937">
        <f t="shared" si="1"/>
        <v>0.02326483133</v>
      </c>
      <c r="E123" s="937" t="str">
        <f>IF(D123&lt;'PlayerGrades+'!$AA$21,"F-",IF(D123&lt;'PlayerGrades+'!$AA$20,"F",IF(D123&lt;'PlayerGrades+'!$AA$19,"F+",IF(D123&lt;'PlayerGrades+'!$AA$18,"E-",IF(D123&lt;'PlayerGrades+'!$AA$17,"E",IF(D123&lt;'PlayerGrades+'!$AA$16,"E+",IF(D123&lt;'PlayerGrades+'!$AA$15,"D-",IF(D123&lt;'PlayerGrades+'!$AA$14,"D",IF(D123&lt;'PlayerGrades+'!$AA$13,"D+",IF(D123&lt;'PlayerGrades+'!$AA$12,"C-",IF(D123&lt;'PlayerGrades+'!$AA$11,"C",IF(D123&lt;'PlayerGrades+'!$AA$10,"C+",IF(D123&lt;'PlayerGrades+'!$AA$9,"B-",IF(D123&lt;'PlayerGrades+'!$AA$8,"B",IF(D123&lt;'PlayerGrades+'!$AA$7,"B+",IF(D123&lt;'PlayerGrades+'!$AA$6,"A-",IF(D123&lt;'PlayerGrades+'!$AA$5,"A",IF(D123&lt;'PlayerGrades+'!$AA$4,"A+",IF(D123&lt;'PlayerGrades+'!$AA$3,"S-",IF(D123&lt;'PlayerGrades+'!$AA$2,"S","S+"))))))))))))))))))))</f>
        <v>E</v>
      </c>
      <c r="F123" s="937">
        <f t="shared" si="2"/>
        <v>-1.279565723</v>
      </c>
      <c r="G123" s="937" t="str">
        <f>IF(F123&lt;'PlayerGrades+'!$AB$21,"F-",IF(F123&lt;'PlayerGrades+'!$AB$20,"F",IF(F123&lt;'PlayerGrades+'!$AB$19,"F+",IF(F123&lt;'PlayerGrades+'!$AB$18,"E-",IF(F123&lt;'PlayerGrades+'!$AB$17,"E",IF(F123&lt;'PlayerGrades+'!$AB$16,"E+",IF(F123&lt;'PlayerGrades+'!$AB$15,"D-",IF(F123&lt;'PlayerGrades+'!$AB$14,"D",IF(F123&lt;'PlayerGrades+'!$AB$13,"D+",IF(F123&lt;'PlayerGrades+'!$AB$12,"C-",IF(F123&lt;'PlayerGrades+'!$AB$11,"C",IF(F123&lt;'PlayerGrades+'!$AB$10,"C+",IF(F123&lt;'PlayerGrades+'!$AB$9,"B-",IF(F123&lt;'PlayerGrades+'!$AB$8,"B",IF(F123&lt;'PlayerGrades+'!$AB$7,"B+",IF(F123&lt;'PlayerGrades+'!$AB$6,"A-",IF(F123&lt;'PlayerGrades+'!$AB$5,"A",IF(F123&lt;'PlayerGrades+'!$AB$4,"A+",IF(F123&lt;'PlayerGrades+'!$AB$3,"S-",IF(F123&lt;'PlayerGrades+'!$AB$2,"S","S+"))))))))))))))))))))</f>
        <v>F-</v>
      </c>
      <c r="H123" s="937">
        <f t="shared" si="3"/>
        <v>0.1861186506</v>
      </c>
      <c r="I123" s="937" t="str">
        <f>IF(H123&lt;'PlayerGrades+'!$AC$21,"F-",IF(H123&lt;'PlayerGrades+'!$AC$20,"F",IF(H123&lt;'PlayerGrades+'!$AC$19,"F+",IF(H123&lt;'PlayerGrades+'!$AC$18,"E-",IF(H123&lt;'PlayerGrades+'!$AC$17,"E",IF(H123&lt;'PlayerGrades+'!$AC$16,"E+",IF(H123&lt;'PlayerGrades+'!$AC$15,"D-",IF(H123&lt;'PlayerGrades+'!$AC$14,"D",IF(H123&lt;'PlayerGrades+'!$AC$13,"D+",IF(H123&lt;'PlayerGrades+'!$AC$12,"C-",IF(H123&lt;'PlayerGrades+'!$AC$11,"C",IF(H123&lt;'PlayerGrades+'!$AC$10,"C+",IF(H123&lt;'PlayerGrades+'!$AC$9,"B-",IF(H123&lt;'PlayerGrades+'!$AC$8,"B",IF(H123&lt;'PlayerGrades+'!$AC$7,"B+",IF(H123&lt;'PlayerGrades+'!$AC$6,"A-",IF(H123&lt;'PlayerGrades+'!$AC$5,"A",IF(H123&lt;'PlayerGrades+'!$AC$4,"A+",IF(H123&lt;'PlayerGrades+'!$AC$3,"S-",IF(H123&lt;'PlayerGrades+'!$AC$2,"S","S+"))))))))))))))))))))</f>
        <v>S</v>
      </c>
      <c r="J123" s="937">
        <f t="shared" si="4"/>
        <v>0</v>
      </c>
      <c r="K123" s="937" t="str">
        <f>IF(J123&lt;'PlayerGrades+'!$AD$21,"F-",IF(J123&lt;'PlayerGrades+'!$AD$20,"F",IF(J123&lt;'PlayerGrades+'!$AD$19,"F+",IF(J123&lt;'PlayerGrades+'!$AD$18,"E-",IF(J123&lt;'PlayerGrades+'!$AD$17,"E",IF(J123&lt;'PlayerGrades+'!$AD$16,"E+",IF(J123&lt;'PlayerGrades+'!$AD$15,"D-",IF(J123&lt;'PlayerGrades+'!$AD$14,"D",IF(J123&lt;'PlayerGrades+'!$AD$13,"D+",IF(J123&lt;'PlayerGrades+'!$AD$12,"C-",IF(J123&lt;'PlayerGrades+'!$AD$11,"C",IF(J123&lt;'PlayerGrades+'!$AD$10,"C+",IF(J123&lt;'PlayerGrades+'!$AD$9,"B-",IF(J123&lt;'PlayerGrades+'!$AD$8,"B",IF(J123&lt;'PlayerGrades+'!$AD$7,"B+",IF(J123&lt;'PlayerGrades+'!$AD$6,"A-",IF(J123&lt;'PlayerGrades+'!$AD$5,"A",IF(J123&lt;'PlayerGrades+'!$AD$4,"A+",IF(J123&lt;'PlayerGrades+'!$AD$3,"S-",IF(J123&lt;'PlayerGrades+'!$AD$2,"S","S+"))))))))))))))))))))</f>
        <v>F-</v>
      </c>
      <c r="L123" s="677">
        <f t="shared" si="5"/>
        <v>0.279177976</v>
      </c>
      <c r="M123" s="938" t="str">
        <f>IF(L123&lt;'PlayerGrades+'!$AE$21,"F-",IF(L123&lt;'PlayerGrades+'!$AE$20,"F",IF(L123&lt;'PlayerGrades+'!$AE$19,"F+",IF(L123&lt;'PlayerGrades+'!$AE$18,"E-",IF(L123&lt;'PlayerGrades+'!$AE$17,"E",IF(L123&lt;'PlayerGrades+'!$AE$16,"E+",IF(L123&lt;'PlayerGrades+'!$AE$15,"D-",IF(L123&lt;'PlayerGrades+'!$AE$14,"D",IF(L123&lt;'PlayerGrades+'!$AE$13,"D+",IF(L123&lt;'PlayerGrades+'!$AE$12,"C-",IF(L123&lt;'PlayerGrades+'!$AE$11,"C",IF(L123&lt;'PlayerGrades+'!$AE$10,"C+",IF(L123&lt;'PlayerGrades+'!$AE$9,"B-",IF(L123&lt;'PlayerGrades+'!$AE$8,"B",IF(L123&lt;'PlayerGrades+'!$AE$7,"B+",IF(L123&lt;'PlayerGrades+'!$AE$6,"A-",IF(L123&lt;'PlayerGrades+'!$AE$5,"A",IF(L123&lt;'PlayerGrades+'!$AE$4,"A+",IF(L123&lt;'PlayerGrades+'!$AE$3,"S-",IF(L123&lt;'PlayerGrades+'!$AE$2,"S","S+"))))))))))))))))))))</f>
        <v>F+</v>
      </c>
      <c r="N123" s="937">
        <f t="shared" si="6"/>
        <v>0.02326483133</v>
      </c>
      <c r="O123" s="937" t="str">
        <f>IF(N123&lt;'PlayerGrades+'!$AF$21,"F-",IF(N123&lt;'PlayerGrades+'!$AF$20,"F",IF(N123&lt;'PlayerGrades+'!$AF$19,"F+",IF(N123&lt;'PlayerGrades+'!$AF$18,"E-",IF(N123&lt;'PlayerGrades+'!$AF$17,"E",IF(N123&lt;'PlayerGrades+'!$AF$16,"E+",IF(N123&lt;'PlayerGrades+'!$AF$15,"D-",IF(N123&lt;'PlayerGrades+'!$AF$14,"D",IF(N123&lt;'PlayerGrades+'!$AF$13,"D+",IF(N123&lt;'PlayerGrades+'!$AF$12,"C-",IF(N123&lt;'PlayerGrades+'!$AF$11,"C",IF(N123&lt;'PlayerGrades+'!$AF$10,"C+",IF(N123&lt;'PlayerGrades+'!$AF$9,"B-",IF(N123&lt;'PlayerGrades+'!$AF$8,"B",IF(N123&lt;'PlayerGrades+'!$AF$7,"B+",IF(N123&lt;'PlayerGrades+'!$AF$6,"A-",IF(N123&lt;'PlayerGrades+'!$AF$5,"A",IF(N123&lt;'PlayerGrades+'!$AF$4,"A+",IF(N123&lt;'PlayerGrades+'!$AF$3,"S-",IF(N123&lt;'PlayerGrades+'!$AF$2,"S","S+"))))))))))))))))))))</f>
        <v>F</v>
      </c>
      <c r="P123" s="937">
        <f t="shared" si="7"/>
        <v>0</v>
      </c>
      <c r="Q123" s="937" t="str">
        <f>IF(P123&lt;'PlayerGrades+'!$AG$21,"F-",IF(P123&lt;'PlayerGrades+'!$AG$20,"F",IF(P123&lt;'PlayerGrades+'!$AG$19,"F+",IF(P123&lt;'PlayerGrades+'!$AG$18,"E-",IF(P123&lt;'PlayerGrades+'!$AG$17,"E",IF(P123&lt;'PlayerGrades+'!$AG$16,"E+",IF(P123&lt;'PlayerGrades+'!$AG$15,"D-",IF(P123&lt;'PlayerGrades+'!$AG$14,"D",IF(P123&lt;'PlayerGrades+'!$AG$13,"D+",IF(P123&lt;'PlayerGrades+'!$AG$12,"C-",IF(P123&lt;'PlayerGrades+'!$AG$11,"C",IF(P123&lt;'PlayerGrades+'!$AG$10,"C+",IF(P123&lt;'PlayerGrades+'!$AG$9,"B-",IF(P123&lt;'PlayerGrades+'!$AG$8,"B",IF(P123&lt;'PlayerGrades+'!$AG$7,"B+",IF(P123&lt;'PlayerGrades+'!$AG$6,"A-",IF(P123&lt;'PlayerGrades+'!$AG$5,"A",IF(P123&lt;'PlayerGrades+'!$AG$4,"A+",IF(P123&lt;'PlayerGrades+'!$AG$3,"S-",IF(P123&lt;'PlayerGrades+'!$AG$2,"S","S+"))))))))))))))))))))</f>
        <v>F</v>
      </c>
      <c r="R123" s="937">
        <f t="shared" si="8"/>
        <v>0.279177976</v>
      </c>
      <c r="S123" s="937" t="str">
        <f>IF(R123&lt;'PlayerGrades+'!$AH$21,"F-",IF(R123&lt;'PlayerGrades+'!$AH$20,"F",IF(R123&lt;'PlayerGrades+'!$AH$19,"F+",IF(R123&lt;'PlayerGrades+'!$AH$18,"E-",IF(R123&lt;'PlayerGrades+'!$AH$17,"E",IF(R123&lt;'PlayerGrades+'!$AH$16,"E+",IF(R123&lt;'PlayerGrades+'!$AH$15,"D-",IF(R123&lt;'PlayerGrades+'!$AH$14,"D",IF(R123&lt;'PlayerGrades+'!$AH$13,"D+",IF(R123&lt;'PlayerGrades+'!$AH$12,"C-",IF(R123&lt;'PlayerGrades+'!$AH$11,"C",IF(R123&lt;'PlayerGrades+'!$AH$10,"C+",IF(R123&lt;'PlayerGrades+'!$AH$9,"B-",IF(R123&lt;'PlayerGrades+'!$AH$8,"B",IF(R123&lt;'PlayerGrades+'!$AH$7,"B+",IF(R123&lt;'PlayerGrades+'!$AH$6,"A-",IF(R123&lt;'PlayerGrades+'!$AH$5,"A",IF(R123&lt;'PlayerGrades+'!$AH$4,"A+",IF(R123&lt;'PlayerGrades+'!$AH$3,"S-",IF(R123&lt;'PlayerGrades+'!$AH$2,"S","S+"))))))))))))))))))))</f>
        <v>F-</v>
      </c>
      <c r="T123" s="937">
        <f t="shared" si="9"/>
        <v>1.302442807</v>
      </c>
      <c r="U123" s="937" t="str">
        <f>IF(T123&lt;'PlayerGrades+'!$AI$21,"F-",IF(T123&lt;'PlayerGrades+'!$AI$20,"F",IF(T123&lt;'PlayerGrades+'!$AI$19,"F+",IF(T123&lt;'PlayerGrades+'!$AI$18,"E-",IF(T123&lt;'PlayerGrades+'!$AI$17,"E",IF(T123&lt;'PlayerGrades+'!$AI$16,"E+",IF(T123&lt;'PlayerGrades+'!$AI$15,"D-",IF(T123&lt;'PlayerGrades+'!$AI$14,"D",IF(T123&lt;'PlayerGrades+'!$AI$13,"D+",IF(T123&lt;'PlayerGrades+'!$AI$12,"C-",IF(T123&lt;'PlayerGrades+'!$AI$11,"C",IF(T123&lt;'PlayerGrades+'!$AI$10,"C+",IF(T123&lt;'PlayerGrades+'!$AI$9,"B-",IF(T123&lt;'PlayerGrades+'!$AI$8,"B",IF(T123&lt;'PlayerGrades+'!$AI$7,"B+",IF(T123&lt;'PlayerGrades+'!$AI$6,"A-",IF(T123&lt;'PlayerGrades+'!$AI$5,"A",IF(T123&lt;'PlayerGrades+'!$AI$4,"A+",IF(T123&lt;'PlayerGrades+'!$AI$3,"S-",IF(T123&lt;'PlayerGrades+'!$AI$2,"S","S+"))))))))))))))))))))</f>
        <v>C+</v>
      </c>
      <c r="V123" s="941">
        <v>1.0</v>
      </c>
      <c r="W123" s="941">
        <v>0.0</v>
      </c>
      <c r="X123" s="941">
        <v>1.0</v>
      </c>
      <c r="Y123" s="941">
        <v>0.0</v>
      </c>
      <c r="Z123" s="941">
        <v>1.0</v>
      </c>
      <c r="AA123" s="941">
        <v>124.0</v>
      </c>
      <c r="AB123" s="941">
        <v>179.0</v>
      </c>
      <c r="AC123" s="941">
        <v>-55.0</v>
      </c>
      <c r="AD123" s="941">
        <v>1.0</v>
      </c>
      <c r="AE123" s="941">
        <v>3.0</v>
      </c>
      <c r="AF123" s="941">
        <v>0.0</v>
      </c>
      <c r="AG123" s="941">
        <v>1937.0</v>
      </c>
      <c r="AH123" s="941">
        <v>2579.0</v>
      </c>
      <c r="AI123" s="941">
        <v>10.0</v>
      </c>
      <c r="AJ123" s="941">
        <v>13.0</v>
      </c>
      <c r="AK123" s="941">
        <v>0.0</v>
      </c>
      <c r="AL123" s="941">
        <v>0.0</v>
      </c>
      <c r="AM123" s="941">
        <v>0.0</v>
      </c>
      <c r="AN123" s="941">
        <v>0.0</v>
      </c>
      <c r="AO123" s="941">
        <v>0.0</v>
      </c>
      <c r="AP123" s="941">
        <v>0.0</v>
      </c>
      <c r="AQ123" s="941">
        <v>0.0</v>
      </c>
      <c r="AR123" s="941">
        <v>12.0</v>
      </c>
      <c r="AS123" s="941">
        <v>1.0</v>
      </c>
      <c r="AT123" s="941">
        <v>0.0</v>
      </c>
      <c r="AU123" s="941">
        <v>0.0</v>
      </c>
      <c r="AV123" s="941">
        <v>0.0</v>
      </c>
      <c r="AW123" s="941">
        <v>0.0</v>
      </c>
      <c r="AX123" s="941">
        <v>0.0</v>
      </c>
      <c r="AY123" s="941">
        <v>0.0</v>
      </c>
      <c r="AZ123" s="941">
        <v>0.0</v>
      </c>
      <c r="BA123" s="941">
        <v>0.0</v>
      </c>
      <c r="BB123" s="941">
        <v>8.0</v>
      </c>
      <c r="BC123" s="941">
        <v>0.0</v>
      </c>
      <c r="BD123" s="941">
        <v>11.0</v>
      </c>
      <c r="BE123" s="941">
        <v>13.0</v>
      </c>
      <c r="BF123" s="941">
        <v>1.0</v>
      </c>
      <c r="BG123" s="942">
        <v>1.0</v>
      </c>
    </row>
    <row r="124">
      <c r="A124" s="935" t="s">
        <v>130</v>
      </c>
      <c r="B124" s="16" t="str">
        <f>IF(C124&lt;'PlayerGrades+'!$Y$44,"F-",IF(C124&lt;'PlayerGrades+'!$Y$43,"F",IF(C124&lt;'PlayerGrades+'!$Y$42,"F+",IF(C124&lt;'PlayerGrades+'!$Y$41,"E-",IF(C124&lt;'PlayerGrades+'!$Y$40,"E",IF(C124&lt;'PlayerGrades+'!$Y$39,"E+",IF(C124&lt;'PlayerGrades+'!$Y$38,"D-",IF(C124&lt;'PlayerGrades+'!$Y$37,"D",IF(C124&lt;'PlayerGrades+'!$Y$36,"D+",IF(C124&lt;'PlayerGrades+'!$Y$35,"C-",IF(C124&lt;'PlayerGrades+'!$Y$34,"C",IF(C124&lt;'PlayerGrades+'!$Y$33,"C+",IF(C124&lt;'PlayerGrades+'!$Y$32,"B-",IF(C124&lt;'PlayerGrades+'!$Y$31,"B",IF(C124&lt;'PlayerGrades+'!$Y$30,"B+",IF(C124&lt;'PlayerGrades+'!$Y$29,"A-",IF(C124&lt;'PlayerGrades+'!$Y$28,"A",IF(C124&lt;'PlayerGrades+'!$Y$27,"A+",IF(C124&lt;'PlayerGrades+'!$Y$26,"S-",IF(C124&lt;'PlayerGrades+'!$Y$25,"S","S+"))))))))))))))))))))</f>
        <v>C</v>
      </c>
      <c r="C124" s="936">
        <f>('PlayerGrades+'!$Y$47*(VLOOKUP(E124, 'PlayerGrades+'!$X$3:$Y$23, 2, FALSE)))+('PlayerGrades+'!$Y$48*(VLOOKUP(G124, 'PlayerGrades+'!$X$3:$Y$23, 2, FALSE)))+('PlayerGrades+'!$Y$49*(VLOOKUP(I124, 'PlayerGrades+'!$X$3:$Y$23, 2, FALSE)))+('PlayerGrades+'!$Y$50*(VLOOKUP(K124, 'PlayerGrades+'!$X$3:$Y$23, 2, FALSE)))+('PlayerGrades+'!$Y$51*(VLOOKUP(M124, 'PlayerGrades+'!$X$3:$Y$23, 2, FALSE)))+('PlayerGrades+'!$Y$52*(VLOOKUP(O124, 'PlayerGrades+'!$X$3:$Y$23, 2, FALSE)))+('PlayerGrades+'!$Y$53*(VLOOKUP(Q124, 'PlayerGrades+'!$X$3:$Y$23, 2, FALSE)))+('PlayerGrades+'!$Y$54*(VLOOKUP(S124, 'PlayerGrades+'!$X$3:$Y$23, 2, FALSE)))+('PlayerGrades+'!$Y$55*(VLOOKUP(U124, 'PlayerGrades+'!$X$3:$Y$23, 2, FALSE)))</f>
        <v>20.15</v>
      </c>
      <c r="D124" s="937">
        <f t="shared" si="1"/>
        <v>0</v>
      </c>
      <c r="E124" s="937" t="str">
        <f>IF(D124&lt;'PlayerGrades+'!$AA$21,"F-",IF(D124&lt;'PlayerGrades+'!$AA$20,"F",IF(D124&lt;'PlayerGrades+'!$AA$19,"F+",IF(D124&lt;'PlayerGrades+'!$AA$18,"E-",IF(D124&lt;'PlayerGrades+'!$AA$17,"E",IF(D124&lt;'PlayerGrades+'!$AA$16,"E+",IF(D124&lt;'PlayerGrades+'!$AA$15,"D-",IF(D124&lt;'PlayerGrades+'!$AA$14,"D",IF(D124&lt;'PlayerGrades+'!$AA$13,"D+",IF(D124&lt;'PlayerGrades+'!$AA$12,"C-",IF(D124&lt;'PlayerGrades+'!$AA$11,"C",IF(D124&lt;'PlayerGrades+'!$AA$10,"C+",IF(D124&lt;'PlayerGrades+'!$AA$9,"B-",IF(D124&lt;'PlayerGrades+'!$AA$8,"B",IF(D124&lt;'PlayerGrades+'!$AA$7,"B+",IF(D124&lt;'PlayerGrades+'!$AA$6,"A-",IF(D124&lt;'PlayerGrades+'!$AA$5,"A",IF(D124&lt;'PlayerGrades+'!$AA$4,"A+",IF(D124&lt;'PlayerGrades+'!$AA$3,"S-",IF(D124&lt;'PlayerGrades+'!$AA$2,"S","S+"))))))))))))))))))))</f>
        <v>F-</v>
      </c>
      <c r="F124" s="937">
        <f t="shared" si="2"/>
        <v>0.3955021326</v>
      </c>
      <c r="G124" s="937" t="str">
        <f>IF(F124&lt;'PlayerGrades+'!$AB$21,"F-",IF(F124&lt;'PlayerGrades+'!$AB$20,"F",IF(F124&lt;'PlayerGrades+'!$AB$19,"F+",IF(F124&lt;'PlayerGrades+'!$AB$18,"E-",IF(F124&lt;'PlayerGrades+'!$AB$17,"E",IF(F124&lt;'PlayerGrades+'!$AB$16,"E+",IF(F124&lt;'PlayerGrades+'!$AB$15,"D-",IF(F124&lt;'PlayerGrades+'!$AB$14,"D",IF(F124&lt;'PlayerGrades+'!$AB$13,"D+",IF(F124&lt;'PlayerGrades+'!$AB$12,"C-",IF(F124&lt;'PlayerGrades+'!$AB$11,"C",IF(F124&lt;'PlayerGrades+'!$AB$10,"C+",IF(F124&lt;'PlayerGrades+'!$AB$9,"B-",IF(F124&lt;'PlayerGrades+'!$AB$8,"B",IF(F124&lt;'PlayerGrades+'!$AB$7,"B+",IF(F124&lt;'PlayerGrades+'!$AB$6,"A-",IF(F124&lt;'PlayerGrades+'!$AB$5,"A",IF(F124&lt;'PlayerGrades+'!$AB$4,"A+",IF(F124&lt;'PlayerGrades+'!$AB$3,"S-",IF(F124&lt;'PlayerGrades+'!$AB$2,"S","S+"))))))))))))))))))))</f>
        <v>A</v>
      </c>
      <c r="H124" s="937">
        <f t="shared" si="3"/>
        <v>0.09305932532</v>
      </c>
      <c r="I124" s="937" t="str">
        <f>IF(H124&lt;'PlayerGrades+'!$AC$21,"F-",IF(H124&lt;'PlayerGrades+'!$AC$20,"F",IF(H124&lt;'PlayerGrades+'!$AC$19,"F+",IF(H124&lt;'PlayerGrades+'!$AC$18,"E-",IF(H124&lt;'PlayerGrades+'!$AC$17,"E",IF(H124&lt;'PlayerGrades+'!$AC$16,"E+",IF(H124&lt;'PlayerGrades+'!$AC$15,"D-",IF(H124&lt;'PlayerGrades+'!$AC$14,"D",IF(H124&lt;'PlayerGrades+'!$AC$13,"D+",IF(H124&lt;'PlayerGrades+'!$AC$12,"C-",IF(H124&lt;'PlayerGrades+'!$AC$11,"C",IF(H124&lt;'PlayerGrades+'!$AC$10,"C+",IF(H124&lt;'PlayerGrades+'!$AC$9,"B-",IF(H124&lt;'PlayerGrades+'!$AC$8,"B",IF(H124&lt;'PlayerGrades+'!$AC$7,"B+",IF(H124&lt;'PlayerGrades+'!$AC$6,"A-",IF(H124&lt;'PlayerGrades+'!$AC$5,"A",IF(H124&lt;'PlayerGrades+'!$AC$4,"A+",IF(H124&lt;'PlayerGrades+'!$AC$3,"S-",IF(H124&lt;'PlayerGrades+'!$AC$2,"S","S+"))))))))))))))))))))</f>
        <v>D+</v>
      </c>
      <c r="J124" s="937">
        <f t="shared" si="4"/>
        <v>0.04652966266</v>
      </c>
      <c r="K124" s="937" t="str">
        <f>IF(J124&lt;'PlayerGrades+'!$AD$21,"F-",IF(J124&lt;'PlayerGrades+'!$AD$20,"F",IF(J124&lt;'PlayerGrades+'!$AD$19,"F+",IF(J124&lt;'PlayerGrades+'!$AD$18,"E-",IF(J124&lt;'PlayerGrades+'!$AD$17,"E",IF(J124&lt;'PlayerGrades+'!$AD$16,"E+",IF(J124&lt;'PlayerGrades+'!$AD$15,"D-",IF(J124&lt;'PlayerGrades+'!$AD$14,"D",IF(J124&lt;'PlayerGrades+'!$AD$13,"D+",IF(J124&lt;'PlayerGrades+'!$AD$12,"C-",IF(J124&lt;'PlayerGrades+'!$AD$11,"C",IF(J124&lt;'PlayerGrades+'!$AD$10,"C+",IF(J124&lt;'PlayerGrades+'!$AD$9,"B-",IF(J124&lt;'PlayerGrades+'!$AD$8,"B",IF(J124&lt;'PlayerGrades+'!$AD$7,"B+",IF(J124&lt;'PlayerGrades+'!$AD$6,"A-",IF(J124&lt;'PlayerGrades+'!$AD$5,"A",IF(J124&lt;'PlayerGrades+'!$AD$4,"A+",IF(J124&lt;'PlayerGrades+'!$AD$3,"S-",IF(J124&lt;'PlayerGrades+'!$AD$2,"S","S+"))))))))))))))))))))</f>
        <v>B-</v>
      </c>
      <c r="L124" s="677">
        <f t="shared" si="5"/>
        <v>0.3722373013</v>
      </c>
      <c r="M124" s="938" t="str">
        <f>IF(L124&lt;'PlayerGrades+'!$AE$21,"F-",IF(L124&lt;'PlayerGrades+'!$AE$20,"F",IF(L124&lt;'PlayerGrades+'!$AE$19,"F+",IF(L124&lt;'PlayerGrades+'!$AE$18,"E-",IF(L124&lt;'PlayerGrades+'!$AE$17,"E",IF(L124&lt;'PlayerGrades+'!$AE$16,"E+",IF(L124&lt;'PlayerGrades+'!$AE$15,"D-",IF(L124&lt;'PlayerGrades+'!$AE$14,"D",IF(L124&lt;'PlayerGrades+'!$AE$13,"D+",IF(L124&lt;'PlayerGrades+'!$AE$12,"C-",IF(L124&lt;'PlayerGrades+'!$AE$11,"C",IF(L124&lt;'PlayerGrades+'!$AE$10,"C+",IF(L124&lt;'PlayerGrades+'!$AE$9,"B-",IF(L124&lt;'PlayerGrades+'!$AE$8,"B",IF(L124&lt;'PlayerGrades+'!$AE$7,"B+",IF(L124&lt;'PlayerGrades+'!$AE$6,"A-",IF(L124&lt;'PlayerGrades+'!$AE$5,"A",IF(L124&lt;'PlayerGrades+'!$AE$4,"A+",IF(L124&lt;'PlayerGrades+'!$AE$3,"S-",IF(L124&lt;'PlayerGrades+'!$AE$2,"S","S+"))))))))))))))))))))</f>
        <v>C-</v>
      </c>
      <c r="N124" s="937">
        <f t="shared" si="6"/>
        <v>0.02326483133</v>
      </c>
      <c r="O124" s="937" t="str">
        <f>IF(N124&lt;'PlayerGrades+'!$AF$21,"F-",IF(N124&lt;'PlayerGrades+'!$AF$20,"F",IF(N124&lt;'PlayerGrades+'!$AF$19,"F+",IF(N124&lt;'PlayerGrades+'!$AF$18,"E-",IF(N124&lt;'PlayerGrades+'!$AF$17,"E",IF(N124&lt;'PlayerGrades+'!$AF$16,"E+",IF(N124&lt;'PlayerGrades+'!$AF$15,"D-",IF(N124&lt;'PlayerGrades+'!$AF$14,"D",IF(N124&lt;'PlayerGrades+'!$AF$13,"D+",IF(N124&lt;'PlayerGrades+'!$AF$12,"C-",IF(N124&lt;'PlayerGrades+'!$AF$11,"C",IF(N124&lt;'PlayerGrades+'!$AF$10,"C+",IF(N124&lt;'PlayerGrades+'!$AF$9,"B-",IF(N124&lt;'PlayerGrades+'!$AF$8,"B",IF(N124&lt;'PlayerGrades+'!$AF$7,"B+",IF(N124&lt;'PlayerGrades+'!$AF$6,"A-",IF(N124&lt;'PlayerGrades+'!$AF$5,"A",IF(N124&lt;'PlayerGrades+'!$AF$4,"A+",IF(N124&lt;'PlayerGrades+'!$AF$3,"S-",IF(N124&lt;'PlayerGrades+'!$AF$2,"S","S+"))))))))))))))))))))</f>
        <v>F</v>
      </c>
      <c r="P124" s="937">
        <f t="shared" si="7"/>
        <v>0.04652966266</v>
      </c>
      <c r="Q124" s="937" t="str">
        <f>IF(P124&lt;'PlayerGrades+'!$AG$21,"F-",IF(P124&lt;'PlayerGrades+'!$AG$20,"F",IF(P124&lt;'PlayerGrades+'!$AG$19,"F+",IF(P124&lt;'PlayerGrades+'!$AG$18,"E-",IF(P124&lt;'PlayerGrades+'!$AG$17,"E",IF(P124&lt;'PlayerGrades+'!$AG$16,"E+",IF(P124&lt;'PlayerGrades+'!$AG$15,"D-",IF(P124&lt;'PlayerGrades+'!$AG$14,"D",IF(P124&lt;'PlayerGrades+'!$AG$13,"D+",IF(P124&lt;'PlayerGrades+'!$AG$12,"C-",IF(P124&lt;'PlayerGrades+'!$AG$11,"C",IF(P124&lt;'PlayerGrades+'!$AG$10,"C+",IF(P124&lt;'PlayerGrades+'!$AG$9,"B-",IF(P124&lt;'PlayerGrades+'!$AG$8,"B",IF(P124&lt;'PlayerGrades+'!$AG$7,"B+",IF(P124&lt;'PlayerGrades+'!$AG$6,"A-",IF(P124&lt;'PlayerGrades+'!$AG$5,"A",IF(P124&lt;'PlayerGrades+'!$AG$4,"A+",IF(P124&lt;'PlayerGrades+'!$AG$3,"S-",IF(P124&lt;'PlayerGrades+'!$AG$2,"S","S+"))))))))))))))))))))</f>
        <v>A</v>
      </c>
      <c r="R124" s="937">
        <f t="shared" si="8"/>
        <v>0.6514152772</v>
      </c>
      <c r="S124" s="937" t="str">
        <f>IF(R124&lt;'PlayerGrades+'!$AH$21,"F-",IF(R124&lt;'PlayerGrades+'!$AH$20,"F",IF(R124&lt;'PlayerGrades+'!$AH$19,"F+",IF(R124&lt;'PlayerGrades+'!$AH$18,"E-",IF(R124&lt;'PlayerGrades+'!$AH$17,"E",IF(R124&lt;'PlayerGrades+'!$AH$16,"E+",IF(R124&lt;'PlayerGrades+'!$AH$15,"D-",IF(R124&lt;'PlayerGrades+'!$AH$14,"D",IF(R124&lt;'PlayerGrades+'!$AH$13,"D+",IF(R124&lt;'PlayerGrades+'!$AH$12,"C-",IF(R124&lt;'PlayerGrades+'!$AH$11,"C",IF(R124&lt;'PlayerGrades+'!$AH$10,"C+",IF(R124&lt;'PlayerGrades+'!$AH$9,"B-",IF(R124&lt;'PlayerGrades+'!$AH$8,"B",IF(R124&lt;'PlayerGrades+'!$AH$7,"B+",IF(R124&lt;'PlayerGrades+'!$AH$6,"A-",IF(R124&lt;'PlayerGrades+'!$AH$5,"A",IF(R124&lt;'PlayerGrades+'!$AH$4,"A+",IF(R124&lt;'PlayerGrades+'!$AH$3,"S-",IF(R124&lt;'PlayerGrades+'!$AH$2,"S","S+"))))))))))))))))))))</f>
        <v>A+</v>
      </c>
      <c r="T124" s="937">
        <f t="shared" si="9"/>
        <v>2.465296627</v>
      </c>
      <c r="U124" s="937" t="str">
        <f>IF(T124&lt;'PlayerGrades+'!$AI$21,"F-",IF(T124&lt;'PlayerGrades+'!$AI$20,"F",IF(T124&lt;'PlayerGrades+'!$AI$19,"F+",IF(T124&lt;'PlayerGrades+'!$AI$18,"E-",IF(T124&lt;'PlayerGrades+'!$AI$17,"E",IF(T124&lt;'PlayerGrades+'!$AI$16,"E+",IF(T124&lt;'PlayerGrades+'!$AI$15,"D-",IF(T124&lt;'PlayerGrades+'!$AI$14,"D",IF(T124&lt;'PlayerGrades+'!$AI$13,"D+",IF(T124&lt;'PlayerGrades+'!$AI$12,"C-",IF(T124&lt;'PlayerGrades+'!$AI$11,"C",IF(T124&lt;'PlayerGrades+'!$AI$10,"C+",IF(T124&lt;'PlayerGrades+'!$AI$9,"B-",IF(T124&lt;'PlayerGrades+'!$AI$8,"B",IF(T124&lt;'PlayerGrades+'!$AI$7,"B+",IF(T124&lt;'PlayerGrades+'!$AI$6,"A-",IF(T124&lt;'PlayerGrades+'!$AI$5,"A",IF(T124&lt;'PlayerGrades+'!$AI$4,"A+",IF(T124&lt;'PlayerGrades+'!$AI$3,"S-",IF(T124&lt;'PlayerGrades+'!$AI$2,"S","S+"))))))))))))))))))))</f>
        <v>S+</v>
      </c>
      <c r="V124" s="941">
        <v>1.0</v>
      </c>
      <c r="W124" s="941">
        <v>0.0</v>
      </c>
      <c r="X124" s="941">
        <v>1.0</v>
      </c>
      <c r="Y124" s="941">
        <v>0.0</v>
      </c>
      <c r="Z124" s="941">
        <v>0.0</v>
      </c>
      <c r="AA124" s="941">
        <v>134.0</v>
      </c>
      <c r="AB124" s="941">
        <v>117.0</v>
      </c>
      <c r="AC124" s="941">
        <v>17.0</v>
      </c>
      <c r="AD124" s="941">
        <v>10.0</v>
      </c>
      <c r="AE124" s="941">
        <v>5.0</v>
      </c>
      <c r="AF124" s="941">
        <v>5.0</v>
      </c>
      <c r="AG124" s="941">
        <v>2122.0</v>
      </c>
      <c r="AH124" s="941">
        <v>2579.0</v>
      </c>
      <c r="AI124" s="941">
        <v>18.0</v>
      </c>
      <c r="AJ124" s="941">
        <v>4.0</v>
      </c>
      <c r="AK124" s="941">
        <v>0.0</v>
      </c>
      <c r="AL124" s="941">
        <v>2.0</v>
      </c>
      <c r="AM124" s="941">
        <v>0.0</v>
      </c>
      <c r="AN124" s="941">
        <v>0.0</v>
      </c>
      <c r="AO124" s="941">
        <v>0.0</v>
      </c>
      <c r="AP124" s="941">
        <v>2.0</v>
      </c>
      <c r="AQ124" s="941">
        <v>0.0</v>
      </c>
      <c r="AR124" s="941">
        <v>16.0</v>
      </c>
      <c r="AS124" s="941">
        <v>1.0</v>
      </c>
      <c r="AT124" s="941">
        <v>0.0</v>
      </c>
      <c r="AU124" s="941">
        <v>0.0</v>
      </c>
      <c r="AV124" s="941">
        <v>0.0</v>
      </c>
      <c r="AW124" s="941">
        <v>0.0</v>
      </c>
      <c r="AX124" s="941">
        <v>0.0</v>
      </c>
      <c r="AY124" s="941">
        <v>0.0</v>
      </c>
      <c r="AZ124" s="941">
        <v>0.0</v>
      </c>
      <c r="BA124" s="941">
        <v>0.0</v>
      </c>
      <c r="BB124" s="941">
        <v>4.0</v>
      </c>
      <c r="BC124" s="941">
        <v>0.0</v>
      </c>
      <c r="BD124" s="941">
        <v>18.0</v>
      </c>
      <c r="BE124" s="941">
        <v>20.0</v>
      </c>
      <c r="BF124" s="941">
        <v>2.0</v>
      </c>
      <c r="BG124" s="942">
        <v>1.0</v>
      </c>
    </row>
    <row r="125">
      <c r="A125" s="935" t="s">
        <v>119</v>
      </c>
      <c r="B125" s="16" t="str">
        <f>IF(C125&lt;'PlayerGrades+'!$Y$44,"F-",IF(C125&lt;'PlayerGrades+'!$Y$43,"F",IF(C125&lt;'PlayerGrades+'!$Y$42,"F+",IF(C125&lt;'PlayerGrades+'!$Y$41,"E-",IF(C125&lt;'PlayerGrades+'!$Y$40,"E",IF(C125&lt;'PlayerGrades+'!$Y$39,"E+",IF(C125&lt;'PlayerGrades+'!$Y$38,"D-",IF(C125&lt;'PlayerGrades+'!$Y$37,"D",IF(C125&lt;'PlayerGrades+'!$Y$36,"D+",IF(C125&lt;'PlayerGrades+'!$Y$35,"C-",IF(C125&lt;'PlayerGrades+'!$Y$34,"C",IF(C125&lt;'PlayerGrades+'!$Y$33,"C+",IF(C125&lt;'PlayerGrades+'!$Y$32,"B-",IF(C125&lt;'PlayerGrades+'!$Y$31,"B",IF(C125&lt;'PlayerGrades+'!$Y$30,"B+",IF(C125&lt;'PlayerGrades+'!$Y$29,"A-",IF(C125&lt;'PlayerGrades+'!$Y$28,"A",IF(C125&lt;'PlayerGrades+'!$Y$27,"A+",IF(C125&lt;'PlayerGrades+'!$Y$26,"S-",IF(C125&lt;'PlayerGrades+'!$Y$25,"S","S+"))))))))))))))))))))</f>
        <v>D+</v>
      </c>
      <c r="C125" s="936">
        <f>('PlayerGrades+'!$Y$47*(VLOOKUP(E125, 'PlayerGrades+'!$X$3:$Y$23, 2, FALSE)))+('PlayerGrades+'!$Y$48*(VLOOKUP(G125, 'PlayerGrades+'!$X$3:$Y$23, 2, FALSE)))+('PlayerGrades+'!$Y$49*(VLOOKUP(I125, 'PlayerGrades+'!$X$3:$Y$23, 2, FALSE)))+('PlayerGrades+'!$Y$50*(VLOOKUP(K125, 'PlayerGrades+'!$X$3:$Y$23, 2, FALSE)))+('PlayerGrades+'!$Y$51*(VLOOKUP(M125, 'PlayerGrades+'!$X$3:$Y$23, 2, FALSE)))+('PlayerGrades+'!$Y$52*(VLOOKUP(O125, 'PlayerGrades+'!$X$3:$Y$23, 2, FALSE)))+('PlayerGrades+'!$Y$53*(VLOOKUP(Q125, 'PlayerGrades+'!$X$3:$Y$23, 2, FALSE)))+('PlayerGrades+'!$Y$54*(VLOOKUP(S125, 'PlayerGrades+'!$X$3:$Y$23, 2, FALSE)))+('PlayerGrades+'!$Y$55*(VLOOKUP(U125, 'PlayerGrades+'!$X$3:$Y$23, 2, FALSE)))</f>
        <v>17.9</v>
      </c>
      <c r="D125" s="937">
        <f t="shared" si="1"/>
        <v>0.5118262893</v>
      </c>
      <c r="E125" s="937" t="str">
        <f>IF(D125&lt;'PlayerGrades+'!$AA$21,"F-",IF(D125&lt;'PlayerGrades+'!$AA$20,"F",IF(D125&lt;'PlayerGrades+'!$AA$19,"F+",IF(D125&lt;'PlayerGrades+'!$AA$18,"E-",IF(D125&lt;'PlayerGrades+'!$AA$17,"E",IF(D125&lt;'PlayerGrades+'!$AA$16,"E+",IF(D125&lt;'PlayerGrades+'!$AA$15,"D-",IF(D125&lt;'PlayerGrades+'!$AA$14,"D",IF(D125&lt;'PlayerGrades+'!$AA$13,"D+",IF(D125&lt;'PlayerGrades+'!$AA$12,"C-",IF(D125&lt;'PlayerGrades+'!$AA$11,"C",IF(D125&lt;'PlayerGrades+'!$AA$10,"C+",IF(D125&lt;'PlayerGrades+'!$AA$9,"B-",IF(D125&lt;'PlayerGrades+'!$AA$8,"B",IF(D125&lt;'PlayerGrades+'!$AA$7,"B+",IF(D125&lt;'PlayerGrades+'!$AA$6,"A-",IF(D125&lt;'PlayerGrades+'!$AA$5,"A",IF(D125&lt;'PlayerGrades+'!$AA$4,"A+",IF(D125&lt;'PlayerGrades+'!$AA$3,"S-",IF(D125&lt;'PlayerGrades+'!$AA$2,"S","S+"))))))))))))))))))))</f>
        <v>A+</v>
      </c>
      <c r="F125" s="937">
        <f t="shared" si="2"/>
        <v>-0.1628538193</v>
      </c>
      <c r="G125" s="937" t="str">
        <f>IF(F125&lt;'PlayerGrades+'!$AB$21,"F-",IF(F125&lt;'PlayerGrades+'!$AB$20,"F",IF(F125&lt;'PlayerGrades+'!$AB$19,"F+",IF(F125&lt;'PlayerGrades+'!$AB$18,"E-",IF(F125&lt;'PlayerGrades+'!$AB$17,"E",IF(F125&lt;'PlayerGrades+'!$AB$16,"E+",IF(F125&lt;'PlayerGrades+'!$AB$15,"D-",IF(F125&lt;'PlayerGrades+'!$AB$14,"D",IF(F125&lt;'PlayerGrades+'!$AB$13,"D+",IF(F125&lt;'PlayerGrades+'!$AB$12,"C-",IF(F125&lt;'PlayerGrades+'!$AB$11,"C",IF(F125&lt;'PlayerGrades+'!$AB$10,"C+",IF(F125&lt;'PlayerGrades+'!$AB$9,"B-",IF(F125&lt;'PlayerGrades+'!$AB$8,"B",IF(F125&lt;'PlayerGrades+'!$AB$7,"B+",IF(F125&lt;'PlayerGrades+'!$AB$6,"A-",IF(F125&lt;'PlayerGrades+'!$AB$5,"A",IF(F125&lt;'PlayerGrades+'!$AB$4,"A+",IF(F125&lt;'PlayerGrades+'!$AB$3,"S-",IF(F125&lt;'PlayerGrades+'!$AB$2,"S","S+"))))))))))))))))))))</f>
        <v>C+</v>
      </c>
      <c r="H125" s="937">
        <f t="shared" si="3"/>
        <v>0.04652966266</v>
      </c>
      <c r="I125" s="937" t="str">
        <f>IF(H125&lt;'PlayerGrades+'!$AC$21,"F-",IF(H125&lt;'PlayerGrades+'!$AC$20,"F",IF(H125&lt;'PlayerGrades+'!$AC$19,"F+",IF(H125&lt;'PlayerGrades+'!$AC$18,"E-",IF(H125&lt;'PlayerGrades+'!$AC$17,"E",IF(H125&lt;'PlayerGrades+'!$AC$16,"E+",IF(H125&lt;'PlayerGrades+'!$AC$15,"D-",IF(H125&lt;'PlayerGrades+'!$AC$14,"D",IF(H125&lt;'PlayerGrades+'!$AC$13,"D+",IF(H125&lt;'PlayerGrades+'!$AC$12,"C-",IF(H125&lt;'PlayerGrades+'!$AC$11,"C",IF(H125&lt;'PlayerGrades+'!$AC$10,"C+",IF(H125&lt;'PlayerGrades+'!$AC$9,"B-",IF(H125&lt;'PlayerGrades+'!$AC$8,"B",IF(H125&lt;'PlayerGrades+'!$AC$7,"B+",IF(H125&lt;'PlayerGrades+'!$AC$6,"A-",IF(H125&lt;'PlayerGrades+'!$AC$5,"A",IF(H125&lt;'PlayerGrades+'!$AC$4,"A+",IF(H125&lt;'PlayerGrades+'!$AC$3,"S-",IF(H125&lt;'PlayerGrades+'!$AC$2,"S","S+"))))))))))))))))))))</f>
        <v>F</v>
      </c>
      <c r="J125" s="937">
        <f t="shared" si="4"/>
        <v>0.04652966266</v>
      </c>
      <c r="K125" s="937" t="str">
        <f>IF(J125&lt;'PlayerGrades+'!$AD$21,"F-",IF(J125&lt;'PlayerGrades+'!$AD$20,"F",IF(J125&lt;'PlayerGrades+'!$AD$19,"F+",IF(J125&lt;'PlayerGrades+'!$AD$18,"E-",IF(J125&lt;'PlayerGrades+'!$AD$17,"E",IF(J125&lt;'PlayerGrades+'!$AD$16,"E+",IF(J125&lt;'PlayerGrades+'!$AD$15,"D-",IF(J125&lt;'PlayerGrades+'!$AD$14,"D",IF(J125&lt;'PlayerGrades+'!$AD$13,"D+",IF(J125&lt;'PlayerGrades+'!$AD$12,"C-",IF(J125&lt;'PlayerGrades+'!$AD$11,"C",IF(J125&lt;'PlayerGrades+'!$AD$10,"C+",IF(J125&lt;'PlayerGrades+'!$AD$9,"B-",IF(J125&lt;'PlayerGrades+'!$AD$8,"B",IF(J125&lt;'PlayerGrades+'!$AD$7,"B+",IF(J125&lt;'PlayerGrades+'!$AD$6,"A-",IF(J125&lt;'PlayerGrades+'!$AD$5,"A",IF(J125&lt;'PlayerGrades+'!$AD$4,"A+",IF(J125&lt;'PlayerGrades+'!$AD$3,"S-",IF(J125&lt;'PlayerGrades+'!$AD$2,"S","S+"))))))))))))))))))))</f>
        <v>B-</v>
      </c>
      <c r="L125" s="677">
        <f t="shared" si="5"/>
        <v>0.4420317953</v>
      </c>
      <c r="M125" s="938" t="str">
        <f>IF(L125&lt;'PlayerGrades+'!$AE$21,"F-",IF(L125&lt;'PlayerGrades+'!$AE$20,"F",IF(L125&lt;'PlayerGrades+'!$AE$19,"F+",IF(L125&lt;'PlayerGrades+'!$AE$18,"E-",IF(L125&lt;'PlayerGrades+'!$AE$17,"E",IF(L125&lt;'PlayerGrades+'!$AE$16,"E+",IF(L125&lt;'PlayerGrades+'!$AE$15,"D-",IF(L125&lt;'PlayerGrades+'!$AE$14,"D",IF(L125&lt;'PlayerGrades+'!$AE$13,"D+",IF(L125&lt;'PlayerGrades+'!$AE$12,"C-",IF(L125&lt;'PlayerGrades+'!$AE$11,"C",IF(L125&lt;'PlayerGrades+'!$AE$10,"C+",IF(L125&lt;'PlayerGrades+'!$AE$9,"B-",IF(L125&lt;'PlayerGrades+'!$AE$8,"B",IF(L125&lt;'PlayerGrades+'!$AE$7,"B+",IF(L125&lt;'PlayerGrades+'!$AE$6,"A-",IF(L125&lt;'PlayerGrades+'!$AE$5,"A",IF(L125&lt;'PlayerGrades+'!$AE$4,"A+",IF(L125&lt;'PlayerGrades+'!$AE$3,"S-",IF(L125&lt;'PlayerGrades+'!$AE$2,"S","S+"))))))))))))))))))))</f>
        <v>B</v>
      </c>
      <c r="N125" s="937">
        <f t="shared" si="6"/>
        <v>0</v>
      </c>
      <c r="O125" s="937" t="str">
        <f>IF(N125&lt;'PlayerGrades+'!$AF$21,"F-",IF(N125&lt;'PlayerGrades+'!$AF$20,"F",IF(N125&lt;'PlayerGrades+'!$AF$19,"F+",IF(N125&lt;'PlayerGrades+'!$AF$18,"E-",IF(N125&lt;'PlayerGrades+'!$AF$17,"E",IF(N125&lt;'PlayerGrades+'!$AF$16,"E+",IF(N125&lt;'PlayerGrades+'!$AF$15,"D-",IF(N125&lt;'PlayerGrades+'!$AF$14,"D",IF(N125&lt;'PlayerGrades+'!$AF$13,"D+",IF(N125&lt;'PlayerGrades+'!$AF$12,"C-",IF(N125&lt;'PlayerGrades+'!$AF$11,"C",IF(N125&lt;'PlayerGrades+'!$AF$10,"C+",IF(N125&lt;'PlayerGrades+'!$AF$9,"B-",IF(N125&lt;'PlayerGrades+'!$AF$8,"B",IF(N125&lt;'PlayerGrades+'!$AF$7,"B+",IF(N125&lt;'PlayerGrades+'!$AF$6,"A-",IF(N125&lt;'PlayerGrades+'!$AF$5,"A",IF(N125&lt;'PlayerGrades+'!$AF$4,"A+",IF(N125&lt;'PlayerGrades+'!$AF$3,"S-",IF(N125&lt;'PlayerGrades+'!$AF$2,"S","S+"))))))))))))))))))))</f>
        <v>F-</v>
      </c>
      <c r="P125" s="937">
        <f t="shared" si="7"/>
        <v>0</v>
      </c>
      <c r="Q125" s="937" t="str">
        <f>IF(P125&lt;'PlayerGrades+'!$AG$21,"F-",IF(P125&lt;'PlayerGrades+'!$AG$20,"F",IF(P125&lt;'PlayerGrades+'!$AG$19,"F+",IF(P125&lt;'PlayerGrades+'!$AG$18,"E-",IF(P125&lt;'PlayerGrades+'!$AG$17,"E",IF(P125&lt;'PlayerGrades+'!$AG$16,"E+",IF(P125&lt;'PlayerGrades+'!$AG$15,"D-",IF(P125&lt;'PlayerGrades+'!$AG$14,"D",IF(P125&lt;'PlayerGrades+'!$AG$13,"D+",IF(P125&lt;'PlayerGrades+'!$AG$12,"C-",IF(P125&lt;'PlayerGrades+'!$AG$11,"C",IF(P125&lt;'PlayerGrades+'!$AG$10,"C+",IF(P125&lt;'PlayerGrades+'!$AG$9,"B-",IF(P125&lt;'PlayerGrades+'!$AG$8,"B",IF(P125&lt;'PlayerGrades+'!$AG$7,"B+",IF(P125&lt;'PlayerGrades+'!$AG$6,"A-",IF(P125&lt;'PlayerGrades+'!$AG$5,"A",IF(P125&lt;'PlayerGrades+'!$AG$4,"A+",IF(P125&lt;'PlayerGrades+'!$AG$3,"S-",IF(P125&lt;'PlayerGrades+'!$AG$2,"S","S+"))))))))))))))))))))</f>
        <v>F</v>
      </c>
      <c r="R125" s="937">
        <f t="shared" si="8"/>
        <v>0.6514152772</v>
      </c>
      <c r="S125" s="937" t="str">
        <f>IF(R125&lt;'PlayerGrades+'!$AH$21,"F-",IF(R125&lt;'PlayerGrades+'!$AH$20,"F",IF(R125&lt;'PlayerGrades+'!$AH$19,"F+",IF(R125&lt;'PlayerGrades+'!$AH$18,"E-",IF(R125&lt;'PlayerGrades+'!$AH$17,"E",IF(R125&lt;'PlayerGrades+'!$AH$16,"E+",IF(R125&lt;'PlayerGrades+'!$AH$15,"D-",IF(R125&lt;'PlayerGrades+'!$AH$14,"D",IF(R125&lt;'PlayerGrades+'!$AH$13,"D+",IF(R125&lt;'PlayerGrades+'!$AH$12,"C-",IF(R125&lt;'PlayerGrades+'!$AH$11,"C",IF(R125&lt;'PlayerGrades+'!$AH$10,"C+",IF(R125&lt;'PlayerGrades+'!$AH$9,"B-",IF(R125&lt;'PlayerGrades+'!$AH$8,"B",IF(R125&lt;'PlayerGrades+'!$AH$7,"B+",IF(R125&lt;'PlayerGrades+'!$AH$6,"A-",IF(R125&lt;'PlayerGrades+'!$AH$5,"A",IF(R125&lt;'PlayerGrades+'!$AH$4,"A+",IF(R125&lt;'PlayerGrades+'!$AH$3,"S-",IF(R125&lt;'PlayerGrades+'!$AH$2,"S","S+"))))))))))))))))))))</f>
        <v>A+</v>
      </c>
      <c r="T125" s="937">
        <f t="shared" si="9"/>
        <v>0.5118262893</v>
      </c>
      <c r="U125" s="937" t="str">
        <f>IF(T125&lt;'PlayerGrades+'!$AI$21,"F-",IF(T125&lt;'PlayerGrades+'!$AI$20,"F",IF(T125&lt;'PlayerGrades+'!$AI$19,"F+",IF(T125&lt;'PlayerGrades+'!$AI$18,"E-",IF(T125&lt;'PlayerGrades+'!$AI$17,"E",IF(T125&lt;'PlayerGrades+'!$AI$16,"E+",IF(T125&lt;'PlayerGrades+'!$AI$15,"D-",IF(T125&lt;'PlayerGrades+'!$AI$14,"D",IF(T125&lt;'PlayerGrades+'!$AI$13,"D+",IF(T125&lt;'PlayerGrades+'!$AI$12,"C-",IF(T125&lt;'PlayerGrades+'!$AI$11,"C",IF(T125&lt;'PlayerGrades+'!$AI$10,"C+",IF(T125&lt;'PlayerGrades+'!$AI$9,"B-",IF(T125&lt;'PlayerGrades+'!$AI$8,"B",IF(T125&lt;'PlayerGrades+'!$AI$7,"B+",IF(T125&lt;'PlayerGrades+'!$AI$6,"A-",IF(T125&lt;'PlayerGrades+'!$AI$5,"A",IF(T125&lt;'PlayerGrades+'!$AI$4,"A+",IF(T125&lt;'PlayerGrades+'!$AI$3,"S-",IF(T125&lt;'PlayerGrades+'!$AI$2,"S","S+"))))))))))))))))))))</f>
        <v>F-</v>
      </c>
      <c r="V125" s="941">
        <v>1.0</v>
      </c>
      <c r="W125" s="941">
        <v>0.0</v>
      </c>
      <c r="X125" s="941">
        <v>1.0</v>
      </c>
      <c r="Y125" s="941">
        <v>3.0</v>
      </c>
      <c r="Z125" s="941">
        <v>19.0</v>
      </c>
      <c r="AA125" s="941">
        <v>117.0</v>
      </c>
      <c r="AB125" s="941">
        <v>124.0</v>
      </c>
      <c r="AC125" s="941">
        <v>-7.0</v>
      </c>
      <c r="AD125" s="941">
        <v>6.0</v>
      </c>
      <c r="AE125" s="941">
        <v>5.0</v>
      </c>
      <c r="AF125" s="941">
        <v>7.0</v>
      </c>
      <c r="AG125" s="941">
        <v>2106.0</v>
      </c>
      <c r="AH125" s="941">
        <v>2579.0</v>
      </c>
      <c r="AI125" s="941">
        <v>16.0</v>
      </c>
      <c r="AJ125" s="941">
        <v>683.0</v>
      </c>
      <c r="AK125" s="941">
        <v>0.0</v>
      </c>
      <c r="AL125" s="941">
        <v>2.0</v>
      </c>
      <c r="AM125" s="941">
        <v>0.0</v>
      </c>
      <c r="AN125" s="941">
        <v>0.0</v>
      </c>
      <c r="AO125" s="941">
        <v>0.0</v>
      </c>
      <c r="AP125" s="941">
        <v>0.0</v>
      </c>
      <c r="AQ125" s="941">
        <v>0.0</v>
      </c>
      <c r="AR125" s="941">
        <v>19.0</v>
      </c>
      <c r="AS125" s="941">
        <v>0.0</v>
      </c>
      <c r="AT125" s="941">
        <v>0.0</v>
      </c>
      <c r="AU125" s="941">
        <v>0.0</v>
      </c>
      <c r="AV125" s="941">
        <v>0.0</v>
      </c>
      <c r="AW125" s="941">
        <v>0.0</v>
      </c>
      <c r="AX125" s="941">
        <v>0.0</v>
      </c>
      <c r="AY125" s="941">
        <v>0.0</v>
      </c>
      <c r="AZ125" s="941">
        <v>0.0</v>
      </c>
      <c r="BA125" s="941">
        <v>0.0</v>
      </c>
      <c r="BB125" s="941">
        <v>2.0</v>
      </c>
      <c r="BC125" s="941">
        <v>0.0</v>
      </c>
      <c r="BD125" s="941">
        <v>22.0</v>
      </c>
      <c r="BE125" s="941">
        <v>22.0</v>
      </c>
      <c r="BF125" s="941">
        <v>0.0</v>
      </c>
      <c r="BG125" s="942">
        <v>1.0</v>
      </c>
    </row>
    <row r="126">
      <c r="A126" s="935" t="s">
        <v>418</v>
      </c>
      <c r="B126" s="16" t="str">
        <f>IF(C126&lt;'PlayerGrades+'!$Y$44,"F-",IF(C126&lt;'PlayerGrades+'!$Y$43,"F",IF(C126&lt;'PlayerGrades+'!$Y$42,"F+",IF(C126&lt;'PlayerGrades+'!$Y$41,"E-",IF(C126&lt;'PlayerGrades+'!$Y$40,"E",IF(C126&lt;'PlayerGrades+'!$Y$39,"E+",IF(C126&lt;'PlayerGrades+'!$Y$38,"D-",IF(C126&lt;'PlayerGrades+'!$Y$37,"D",IF(C126&lt;'PlayerGrades+'!$Y$36,"D+",IF(C126&lt;'PlayerGrades+'!$Y$35,"C-",IF(C126&lt;'PlayerGrades+'!$Y$34,"C",IF(C126&lt;'PlayerGrades+'!$Y$33,"C+",IF(C126&lt;'PlayerGrades+'!$Y$32,"B-",IF(C126&lt;'PlayerGrades+'!$Y$31,"B",IF(C126&lt;'PlayerGrades+'!$Y$30,"B+",IF(C126&lt;'PlayerGrades+'!$Y$29,"A-",IF(C126&lt;'PlayerGrades+'!$Y$28,"A",IF(C126&lt;'PlayerGrades+'!$Y$27,"A+",IF(C126&lt;'PlayerGrades+'!$Y$26,"S-",IF(C126&lt;'PlayerGrades+'!$Y$25,"S","S+"))))))))))))))))))))</f>
        <v>S</v>
      </c>
      <c r="C126" s="936">
        <f>('PlayerGrades+'!$Y$47*(VLOOKUP(E126, 'PlayerGrades+'!$X$3:$Y$23, 2, FALSE)))+('PlayerGrades+'!$Y$48*(VLOOKUP(G126, 'PlayerGrades+'!$X$3:$Y$23, 2, FALSE)))+('PlayerGrades+'!$Y$49*(VLOOKUP(I126, 'PlayerGrades+'!$X$3:$Y$23, 2, FALSE)))+('PlayerGrades+'!$Y$50*(VLOOKUP(K126, 'PlayerGrades+'!$X$3:$Y$23, 2, FALSE)))+('PlayerGrades+'!$Y$51*(VLOOKUP(M126, 'PlayerGrades+'!$X$3:$Y$23, 2, FALSE)))+('PlayerGrades+'!$Y$52*(VLOOKUP(O126, 'PlayerGrades+'!$X$3:$Y$23, 2, FALSE)))+('PlayerGrades+'!$Y$53*(VLOOKUP(Q126, 'PlayerGrades+'!$X$3:$Y$23, 2, FALSE)))+('PlayerGrades+'!$Y$54*(VLOOKUP(S126, 'PlayerGrades+'!$X$3:$Y$23, 2, FALSE)))+('PlayerGrades+'!$Y$55*(VLOOKUP(U126, 'PlayerGrades+'!$X$3:$Y$23, 2, FALSE)))</f>
        <v>32.75</v>
      </c>
      <c r="D126" s="937">
        <f t="shared" si="1"/>
        <v>0</v>
      </c>
      <c r="E126" s="937" t="str">
        <f>IF(D126&lt;'PlayerGrades+'!$AA$21,"F-",IF(D126&lt;'PlayerGrades+'!$AA$20,"F",IF(D126&lt;'PlayerGrades+'!$AA$19,"F+",IF(D126&lt;'PlayerGrades+'!$AA$18,"E-",IF(D126&lt;'PlayerGrades+'!$AA$17,"E",IF(D126&lt;'PlayerGrades+'!$AA$16,"E+",IF(D126&lt;'PlayerGrades+'!$AA$15,"D-",IF(D126&lt;'PlayerGrades+'!$AA$14,"D",IF(D126&lt;'PlayerGrades+'!$AA$13,"D+",IF(D126&lt;'PlayerGrades+'!$AA$12,"C-",IF(D126&lt;'PlayerGrades+'!$AA$11,"C",IF(D126&lt;'PlayerGrades+'!$AA$10,"C+",IF(D126&lt;'PlayerGrades+'!$AA$9,"B-",IF(D126&lt;'PlayerGrades+'!$AA$8,"B",IF(D126&lt;'PlayerGrades+'!$AA$7,"B+",IF(D126&lt;'PlayerGrades+'!$AA$6,"A-",IF(D126&lt;'PlayerGrades+'!$AA$5,"A",IF(D126&lt;'PlayerGrades+'!$AA$4,"A+",IF(D126&lt;'PlayerGrades+'!$AA$3,"S-",IF(D126&lt;'PlayerGrades+'!$AA$2,"S","S+"))))))))))))))))))))</f>
        <v>F-</v>
      </c>
      <c r="F126" s="937">
        <f t="shared" si="2"/>
        <v>1.372625048</v>
      </c>
      <c r="G126" s="937" t="str">
        <f>IF(F126&lt;'PlayerGrades+'!$AB$21,"F-",IF(F126&lt;'PlayerGrades+'!$AB$20,"F",IF(F126&lt;'PlayerGrades+'!$AB$19,"F+",IF(F126&lt;'PlayerGrades+'!$AB$18,"E-",IF(F126&lt;'PlayerGrades+'!$AB$17,"E",IF(F126&lt;'PlayerGrades+'!$AB$16,"E+",IF(F126&lt;'PlayerGrades+'!$AB$15,"D-",IF(F126&lt;'PlayerGrades+'!$AB$14,"D",IF(F126&lt;'PlayerGrades+'!$AB$13,"D+",IF(F126&lt;'PlayerGrades+'!$AB$12,"C-",IF(F126&lt;'PlayerGrades+'!$AB$11,"C",IF(F126&lt;'PlayerGrades+'!$AB$10,"C+",IF(F126&lt;'PlayerGrades+'!$AB$9,"B-",IF(F126&lt;'PlayerGrades+'!$AB$8,"B",IF(F126&lt;'PlayerGrades+'!$AB$7,"B+",IF(F126&lt;'PlayerGrades+'!$AB$6,"A-",IF(F126&lt;'PlayerGrades+'!$AB$5,"A",IF(F126&lt;'PlayerGrades+'!$AB$4,"A+",IF(F126&lt;'PlayerGrades+'!$AB$3,"S-",IF(F126&lt;'PlayerGrades+'!$AB$2,"S","S+"))))))))))))))))))))</f>
        <v>S+</v>
      </c>
      <c r="H126" s="937">
        <f t="shared" si="3"/>
        <v>0.1861186506</v>
      </c>
      <c r="I126" s="937" t="str">
        <f>IF(H126&lt;'PlayerGrades+'!$AC$21,"F-",IF(H126&lt;'PlayerGrades+'!$AC$20,"F",IF(H126&lt;'PlayerGrades+'!$AC$19,"F+",IF(H126&lt;'PlayerGrades+'!$AC$18,"E-",IF(H126&lt;'PlayerGrades+'!$AC$17,"E",IF(H126&lt;'PlayerGrades+'!$AC$16,"E+",IF(H126&lt;'PlayerGrades+'!$AC$15,"D-",IF(H126&lt;'PlayerGrades+'!$AC$14,"D",IF(H126&lt;'PlayerGrades+'!$AC$13,"D+",IF(H126&lt;'PlayerGrades+'!$AC$12,"C-",IF(H126&lt;'PlayerGrades+'!$AC$11,"C",IF(H126&lt;'PlayerGrades+'!$AC$10,"C+",IF(H126&lt;'PlayerGrades+'!$AC$9,"B-",IF(H126&lt;'PlayerGrades+'!$AC$8,"B",IF(H126&lt;'PlayerGrades+'!$AC$7,"B+",IF(H126&lt;'PlayerGrades+'!$AC$6,"A-",IF(H126&lt;'PlayerGrades+'!$AC$5,"A",IF(H126&lt;'PlayerGrades+'!$AC$4,"A+",IF(H126&lt;'PlayerGrades+'!$AC$3,"S-",IF(H126&lt;'PlayerGrades+'!$AC$2,"S","S+"))))))))))))))))))))</f>
        <v>S</v>
      </c>
      <c r="J126" s="937">
        <f t="shared" si="4"/>
        <v>0.09305932532</v>
      </c>
      <c r="K126" s="937" t="str">
        <f>IF(J126&lt;'PlayerGrades+'!$AD$21,"F-",IF(J126&lt;'PlayerGrades+'!$AD$20,"F",IF(J126&lt;'PlayerGrades+'!$AD$19,"F+",IF(J126&lt;'PlayerGrades+'!$AD$18,"E-",IF(J126&lt;'PlayerGrades+'!$AD$17,"E",IF(J126&lt;'PlayerGrades+'!$AD$16,"E+",IF(J126&lt;'PlayerGrades+'!$AD$15,"D-",IF(J126&lt;'PlayerGrades+'!$AD$14,"D",IF(J126&lt;'PlayerGrades+'!$AD$13,"D+",IF(J126&lt;'PlayerGrades+'!$AD$12,"C-",IF(J126&lt;'PlayerGrades+'!$AD$11,"C",IF(J126&lt;'PlayerGrades+'!$AD$10,"C+",IF(J126&lt;'PlayerGrades+'!$AD$9,"B-",IF(J126&lt;'PlayerGrades+'!$AD$8,"B",IF(J126&lt;'PlayerGrades+'!$AD$7,"B+",IF(J126&lt;'PlayerGrades+'!$AD$6,"A-",IF(J126&lt;'PlayerGrades+'!$AD$5,"A",IF(J126&lt;'PlayerGrades+'!$AD$4,"A+",IF(J126&lt;'PlayerGrades+'!$AD$3,"S-",IF(J126&lt;'PlayerGrades+'!$AD$2,"S","S+"))))))))))))))))))))</f>
        <v>S-</v>
      </c>
      <c r="L126" s="677">
        <f t="shared" si="5"/>
        <v>0.8375339279</v>
      </c>
      <c r="M126" s="938" t="str">
        <f>IF(L126&lt;'PlayerGrades+'!$AE$21,"F-",IF(L126&lt;'PlayerGrades+'!$AE$20,"F",IF(L126&lt;'PlayerGrades+'!$AE$19,"F+",IF(L126&lt;'PlayerGrades+'!$AE$18,"E-",IF(L126&lt;'PlayerGrades+'!$AE$17,"E",IF(L126&lt;'PlayerGrades+'!$AE$16,"E+",IF(L126&lt;'PlayerGrades+'!$AE$15,"D-",IF(L126&lt;'PlayerGrades+'!$AE$14,"D",IF(L126&lt;'PlayerGrades+'!$AE$13,"D+",IF(L126&lt;'PlayerGrades+'!$AE$12,"C-",IF(L126&lt;'PlayerGrades+'!$AE$11,"C",IF(L126&lt;'PlayerGrades+'!$AE$10,"C+",IF(L126&lt;'PlayerGrades+'!$AE$9,"B-",IF(L126&lt;'PlayerGrades+'!$AE$8,"B",IF(L126&lt;'PlayerGrades+'!$AE$7,"B+",IF(L126&lt;'PlayerGrades+'!$AE$6,"A-",IF(L126&lt;'PlayerGrades+'!$AE$5,"A",IF(L126&lt;'PlayerGrades+'!$AE$4,"A+",IF(L126&lt;'PlayerGrades+'!$AE$3,"S-",IF(L126&lt;'PlayerGrades+'!$AE$2,"S","S+"))))))))))))))))))))</f>
        <v>S+</v>
      </c>
      <c r="N126" s="937">
        <f t="shared" si="6"/>
        <v>0.209383482</v>
      </c>
      <c r="O126" s="937" t="str">
        <f>IF(N126&lt;'PlayerGrades+'!$AF$21,"F-",IF(N126&lt;'PlayerGrades+'!$AF$20,"F",IF(N126&lt;'PlayerGrades+'!$AF$19,"F+",IF(N126&lt;'PlayerGrades+'!$AF$18,"E-",IF(N126&lt;'PlayerGrades+'!$AF$17,"E",IF(N126&lt;'PlayerGrades+'!$AF$16,"E+",IF(N126&lt;'PlayerGrades+'!$AF$15,"D-",IF(N126&lt;'PlayerGrades+'!$AF$14,"D",IF(N126&lt;'PlayerGrades+'!$AF$13,"D+",IF(N126&lt;'PlayerGrades+'!$AF$12,"C-",IF(N126&lt;'PlayerGrades+'!$AF$11,"C",IF(N126&lt;'PlayerGrades+'!$AF$10,"C+",IF(N126&lt;'PlayerGrades+'!$AF$9,"B-",IF(N126&lt;'PlayerGrades+'!$AF$8,"B",IF(N126&lt;'PlayerGrades+'!$AF$7,"B+",IF(N126&lt;'PlayerGrades+'!$AF$6,"A-",IF(N126&lt;'PlayerGrades+'!$AF$5,"A",IF(N126&lt;'PlayerGrades+'!$AF$4,"A+",IF(N126&lt;'PlayerGrades+'!$AF$3,"S-",IF(N126&lt;'PlayerGrades+'!$AF$2,"S","S+"))))))))))))))))))))</f>
        <v>S+</v>
      </c>
      <c r="P126" s="937">
        <f t="shared" si="7"/>
        <v>0.09305932532</v>
      </c>
      <c r="Q126" s="937" t="str">
        <f>IF(P126&lt;'PlayerGrades+'!$AG$21,"F-",IF(P126&lt;'PlayerGrades+'!$AG$20,"F",IF(P126&lt;'PlayerGrades+'!$AG$19,"F+",IF(P126&lt;'PlayerGrades+'!$AG$18,"E-",IF(P126&lt;'PlayerGrades+'!$AG$17,"E",IF(P126&lt;'PlayerGrades+'!$AG$16,"E+",IF(P126&lt;'PlayerGrades+'!$AG$15,"D-",IF(P126&lt;'PlayerGrades+'!$AG$14,"D",IF(P126&lt;'PlayerGrades+'!$AG$13,"D+",IF(P126&lt;'PlayerGrades+'!$AG$12,"C-",IF(P126&lt;'PlayerGrades+'!$AG$11,"C",IF(P126&lt;'PlayerGrades+'!$AG$10,"C+",IF(P126&lt;'PlayerGrades+'!$AG$9,"B-",IF(P126&lt;'PlayerGrades+'!$AG$8,"B",IF(P126&lt;'PlayerGrades+'!$AG$7,"B+",IF(P126&lt;'PlayerGrades+'!$AG$6,"A-",IF(P126&lt;'PlayerGrades+'!$AG$5,"A",IF(P126&lt;'PlayerGrades+'!$AG$4,"A+",IF(P126&lt;'PlayerGrades+'!$AG$3,"S-",IF(P126&lt;'PlayerGrades+'!$AG$2,"S","S+"))))))))))))))))))))</f>
        <v>S+</v>
      </c>
      <c r="R126" s="937">
        <f t="shared" si="8"/>
        <v>0.7212097712</v>
      </c>
      <c r="S126" s="937" t="str">
        <f>IF(R126&lt;'PlayerGrades+'!$AH$21,"F-",IF(R126&lt;'PlayerGrades+'!$AH$20,"F",IF(R126&lt;'PlayerGrades+'!$AH$19,"F+",IF(R126&lt;'PlayerGrades+'!$AH$18,"E-",IF(R126&lt;'PlayerGrades+'!$AH$17,"E",IF(R126&lt;'PlayerGrades+'!$AH$16,"E+",IF(R126&lt;'PlayerGrades+'!$AH$15,"D-",IF(R126&lt;'PlayerGrades+'!$AH$14,"D",IF(R126&lt;'PlayerGrades+'!$AH$13,"D+",IF(R126&lt;'PlayerGrades+'!$AH$12,"C-",IF(R126&lt;'PlayerGrades+'!$AH$11,"C",IF(R126&lt;'PlayerGrades+'!$AH$10,"C+",IF(R126&lt;'PlayerGrades+'!$AH$9,"B-",IF(R126&lt;'PlayerGrades+'!$AH$8,"B",IF(R126&lt;'PlayerGrades+'!$AH$7,"B+",IF(R126&lt;'PlayerGrades+'!$AH$6,"A-",IF(R126&lt;'PlayerGrades+'!$AH$5,"A",IF(R126&lt;'PlayerGrades+'!$AH$4,"A+",IF(R126&lt;'PlayerGrades+'!$AH$3,"S-",IF(R126&lt;'PlayerGrades+'!$AH$2,"S","S+"))))))))))))))))))))</f>
        <v>S</v>
      </c>
      <c r="T126" s="937">
        <f t="shared" si="9"/>
        <v>2.511826289</v>
      </c>
      <c r="U126" s="937" t="str">
        <f>IF(T126&lt;'PlayerGrades+'!$AI$21,"F-",IF(T126&lt;'PlayerGrades+'!$AI$20,"F",IF(T126&lt;'PlayerGrades+'!$AI$19,"F+",IF(T126&lt;'PlayerGrades+'!$AI$18,"E-",IF(T126&lt;'PlayerGrades+'!$AI$17,"E",IF(T126&lt;'PlayerGrades+'!$AI$16,"E+",IF(T126&lt;'PlayerGrades+'!$AI$15,"D-",IF(T126&lt;'PlayerGrades+'!$AI$14,"D",IF(T126&lt;'PlayerGrades+'!$AI$13,"D+",IF(T126&lt;'PlayerGrades+'!$AI$12,"C-",IF(T126&lt;'PlayerGrades+'!$AI$11,"C",IF(T126&lt;'PlayerGrades+'!$AI$10,"C+",IF(T126&lt;'PlayerGrades+'!$AI$9,"B-",IF(T126&lt;'PlayerGrades+'!$AI$8,"B",IF(T126&lt;'PlayerGrades+'!$AI$7,"B+",IF(T126&lt;'PlayerGrades+'!$AI$6,"A-",IF(T126&lt;'PlayerGrades+'!$AI$5,"A",IF(T126&lt;'PlayerGrades+'!$AI$4,"A+",IF(T126&lt;'PlayerGrades+'!$AI$3,"S-",IF(T126&lt;'PlayerGrades+'!$AI$2,"S","S+"))))))))))))))))))))</f>
        <v>S+</v>
      </c>
      <c r="V126" s="941">
        <v>1.0</v>
      </c>
      <c r="W126" s="941">
        <v>1.0</v>
      </c>
      <c r="X126" s="941">
        <v>0.0</v>
      </c>
      <c r="Y126" s="941">
        <v>0.0</v>
      </c>
      <c r="Z126" s="941">
        <v>0.0</v>
      </c>
      <c r="AA126" s="941">
        <v>205.0</v>
      </c>
      <c r="AB126" s="941">
        <v>146.0</v>
      </c>
      <c r="AC126" s="941">
        <v>59.0</v>
      </c>
      <c r="AD126" s="941">
        <v>5.0</v>
      </c>
      <c r="AE126" s="941">
        <v>8.0</v>
      </c>
      <c r="AF126" s="941">
        <v>7.0</v>
      </c>
      <c r="AG126" s="941">
        <v>2040.0</v>
      </c>
      <c r="AH126" s="941">
        <v>2579.0</v>
      </c>
      <c r="AI126" s="941">
        <v>13.0</v>
      </c>
      <c r="AJ126" s="941">
        <v>6.0</v>
      </c>
      <c r="AK126" s="941">
        <v>0.0</v>
      </c>
      <c r="AL126" s="941">
        <v>4.0</v>
      </c>
      <c r="AM126" s="941">
        <v>0.0</v>
      </c>
      <c r="AN126" s="941">
        <v>0.0</v>
      </c>
      <c r="AO126" s="941">
        <v>0.0</v>
      </c>
      <c r="AP126" s="941">
        <v>4.0</v>
      </c>
      <c r="AQ126" s="941">
        <v>0.0</v>
      </c>
      <c r="AR126" s="941">
        <v>36.0</v>
      </c>
      <c r="AS126" s="941">
        <v>9.0</v>
      </c>
      <c r="AT126" s="941">
        <v>1.0</v>
      </c>
      <c r="AU126" s="941">
        <v>0.0</v>
      </c>
      <c r="AV126" s="941">
        <v>0.0</v>
      </c>
      <c r="AW126" s="941">
        <v>0.0</v>
      </c>
      <c r="AX126" s="941">
        <v>0.0</v>
      </c>
      <c r="AY126" s="941">
        <v>0.0</v>
      </c>
      <c r="AZ126" s="941">
        <v>0.0</v>
      </c>
      <c r="BA126" s="941">
        <v>0.0</v>
      </c>
      <c r="BB126" s="941">
        <v>8.0</v>
      </c>
      <c r="BC126" s="941">
        <v>0.0</v>
      </c>
      <c r="BD126" s="941">
        <v>26.0</v>
      </c>
      <c r="BE126" s="941">
        <v>22.0</v>
      </c>
      <c r="BF126" s="941">
        <v>2.0</v>
      </c>
      <c r="BG126" s="942">
        <v>0.0</v>
      </c>
    </row>
    <row r="127">
      <c r="A127" s="935" t="s">
        <v>138</v>
      </c>
      <c r="B127" s="16" t="str">
        <f>IF(C127&lt;'PlayerGrades+'!$Y$44,"F-",IF(C127&lt;'PlayerGrades+'!$Y$43,"F",IF(C127&lt;'PlayerGrades+'!$Y$42,"F+",IF(C127&lt;'PlayerGrades+'!$Y$41,"E-",IF(C127&lt;'PlayerGrades+'!$Y$40,"E",IF(C127&lt;'PlayerGrades+'!$Y$39,"E+",IF(C127&lt;'PlayerGrades+'!$Y$38,"D-",IF(C127&lt;'PlayerGrades+'!$Y$37,"D",IF(C127&lt;'PlayerGrades+'!$Y$36,"D+",IF(C127&lt;'PlayerGrades+'!$Y$35,"C-",IF(C127&lt;'PlayerGrades+'!$Y$34,"C",IF(C127&lt;'PlayerGrades+'!$Y$33,"C+",IF(C127&lt;'PlayerGrades+'!$Y$32,"B-",IF(C127&lt;'PlayerGrades+'!$Y$31,"B",IF(C127&lt;'PlayerGrades+'!$Y$30,"B+",IF(C127&lt;'PlayerGrades+'!$Y$29,"A-",IF(C127&lt;'PlayerGrades+'!$Y$28,"A",IF(C127&lt;'PlayerGrades+'!$Y$27,"A+",IF(C127&lt;'PlayerGrades+'!$Y$26,"S-",IF(C127&lt;'PlayerGrades+'!$Y$25,"S","S+"))))))))))))))))))))</f>
        <v>A+</v>
      </c>
      <c r="C127" s="936">
        <f>('PlayerGrades+'!$Y$47*(VLOOKUP(E127, 'PlayerGrades+'!$X$3:$Y$23, 2, FALSE)))+('PlayerGrades+'!$Y$48*(VLOOKUP(G127, 'PlayerGrades+'!$X$3:$Y$23, 2, FALSE)))+('PlayerGrades+'!$Y$49*(VLOOKUP(I127, 'PlayerGrades+'!$X$3:$Y$23, 2, FALSE)))+('PlayerGrades+'!$Y$50*(VLOOKUP(K127, 'PlayerGrades+'!$X$3:$Y$23, 2, FALSE)))+('PlayerGrades+'!$Y$51*(VLOOKUP(M127, 'PlayerGrades+'!$X$3:$Y$23, 2, FALSE)))+('PlayerGrades+'!$Y$52*(VLOOKUP(O127, 'PlayerGrades+'!$X$3:$Y$23, 2, FALSE)))+('PlayerGrades+'!$Y$53*(VLOOKUP(Q127, 'PlayerGrades+'!$X$3:$Y$23, 2, FALSE)))+('PlayerGrades+'!$Y$54*(VLOOKUP(S127, 'PlayerGrades+'!$X$3:$Y$23, 2, FALSE)))+('PlayerGrades+'!$Y$55*(VLOOKUP(U127, 'PlayerGrades+'!$X$3:$Y$23, 2, FALSE)))</f>
        <v>28.7</v>
      </c>
      <c r="D127" s="937">
        <f t="shared" si="1"/>
        <v>0</v>
      </c>
      <c r="E127" s="937" t="str">
        <f>IF(D127&lt;'PlayerGrades+'!$AA$21,"F-",IF(D127&lt;'PlayerGrades+'!$AA$20,"F",IF(D127&lt;'PlayerGrades+'!$AA$19,"F+",IF(D127&lt;'PlayerGrades+'!$AA$18,"E-",IF(D127&lt;'PlayerGrades+'!$AA$17,"E",IF(D127&lt;'PlayerGrades+'!$AA$16,"E+",IF(D127&lt;'PlayerGrades+'!$AA$15,"D-",IF(D127&lt;'PlayerGrades+'!$AA$14,"D",IF(D127&lt;'PlayerGrades+'!$AA$13,"D+",IF(D127&lt;'PlayerGrades+'!$AA$12,"C-",IF(D127&lt;'PlayerGrades+'!$AA$11,"C",IF(D127&lt;'PlayerGrades+'!$AA$10,"C+",IF(D127&lt;'PlayerGrades+'!$AA$9,"B-",IF(D127&lt;'PlayerGrades+'!$AA$8,"B",IF(D127&lt;'PlayerGrades+'!$AA$7,"B+",IF(D127&lt;'PlayerGrades+'!$AA$6,"A-",IF(D127&lt;'PlayerGrades+'!$AA$5,"A",IF(D127&lt;'PlayerGrades+'!$AA$4,"A+",IF(D127&lt;'PlayerGrades+'!$AA$3,"S-",IF(D127&lt;'PlayerGrades+'!$AA$2,"S","S+"))))))))))))))))))))</f>
        <v>F-</v>
      </c>
      <c r="F127" s="937">
        <f t="shared" si="2"/>
        <v>1.023652579</v>
      </c>
      <c r="G127" s="937" t="str">
        <f>IF(F127&lt;'PlayerGrades+'!$AB$21,"F-",IF(F127&lt;'PlayerGrades+'!$AB$20,"F",IF(F127&lt;'PlayerGrades+'!$AB$19,"F+",IF(F127&lt;'PlayerGrades+'!$AB$18,"E-",IF(F127&lt;'PlayerGrades+'!$AB$17,"E",IF(F127&lt;'PlayerGrades+'!$AB$16,"E+",IF(F127&lt;'PlayerGrades+'!$AB$15,"D-",IF(F127&lt;'PlayerGrades+'!$AB$14,"D",IF(F127&lt;'PlayerGrades+'!$AB$13,"D+",IF(F127&lt;'PlayerGrades+'!$AB$12,"C-",IF(F127&lt;'PlayerGrades+'!$AB$11,"C",IF(F127&lt;'PlayerGrades+'!$AB$10,"C+",IF(F127&lt;'PlayerGrades+'!$AB$9,"B-",IF(F127&lt;'PlayerGrades+'!$AB$8,"B",IF(F127&lt;'PlayerGrades+'!$AB$7,"B+",IF(F127&lt;'PlayerGrades+'!$AB$6,"A-",IF(F127&lt;'PlayerGrades+'!$AB$5,"A",IF(F127&lt;'PlayerGrades+'!$AB$4,"A+",IF(F127&lt;'PlayerGrades+'!$AB$3,"S-",IF(F127&lt;'PlayerGrades+'!$AB$2,"S","S+"))))))))))))))))))))</f>
        <v>S+</v>
      </c>
      <c r="H127" s="937">
        <f t="shared" si="3"/>
        <v>0.139588988</v>
      </c>
      <c r="I127" s="937" t="str">
        <f>IF(H127&lt;'PlayerGrades+'!$AC$21,"F-",IF(H127&lt;'PlayerGrades+'!$AC$20,"F",IF(H127&lt;'PlayerGrades+'!$AC$19,"F+",IF(H127&lt;'PlayerGrades+'!$AC$18,"E-",IF(H127&lt;'PlayerGrades+'!$AC$17,"E",IF(H127&lt;'PlayerGrades+'!$AC$16,"E+",IF(H127&lt;'PlayerGrades+'!$AC$15,"D-",IF(H127&lt;'PlayerGrades+'!$AC$14,"D",IF(H127&lt;'PlayerGrades+'!$AC$13,"D+",IF(H127&lt;'PlayerGrades+'!$AC$12,"C-",IF(H127&lt;'PlayerGrades+'!$AC$11,"C",IF(H127&lt;'PlayerGrades+'!$AC$10,"C+",IF(H127&lt;'PlayerGrades+'!$AC$9,"B-",IF(H127&lt;'PlayerGrades+'!$AC$8,"B",IF(H127&lt;'PlayerGrades+'!$AC$7,"B+",IF(H127&lt;'PlayerGrades+'!$AC$6,"A-",IF(H127&lt;'PlayerGrades+'!$AC$5,"A",IF(H127&lt;'PlayerGrades+'!$AC$4,"A+",IF(H127&lt;'PlayerGrades+'!$AC$3,"S-",IF(H127&lt;'PlayerGrades+'!$AC$2,"S","S+"))))))))))))))))))))</f>
        <v>A-</v>
      </c>
      <c r="J127" s="937">
        <f t="shared" si="4"/>
        <v>0.06979449399</v>
      </c>
      <c r="K127" s="937" t="str">
        <f>IF(J127&lt;'PlayerGrades+'!$AD$21,"F-",IF(J127&lt;'PlayerGrades+'!$AD$20,"F",IF(J127&lt;'PlayerGrades+'!$AD$19,"F+",IF(J127&lt;'PlayerGrades+'!$AD$18,"E-",IF(J127&lt;'PlayerGrades+'!$AD$17,"E",IF(J127&lt;'PlayerGrades+'!$AD$16,"E+",IF(J127&lt;'PlayerGrades+'!$AD$15,"D-",IF(J127&lt;'PlayerGrades+'!$AD$14,"D",IF(J127&lt;'PlayerGrades+'!$AD$13,"D+",IF(J127&lt;'PlayerGrades+'!$AD$12,"C-",IF(J127&lt;'PlayerGrades+'!$AD$11,"C",IF(J127&lt;'PlayerGrades+'!$AD$10,"C+",IF(J127&lt;'PlayerGrades+'!$AD$9,"B-",IF(J127&lt;'PlayerGrades+'!$AD$8,"B",IF(J127&lt;'PlayerGrades+'!$AD$7,"B+",IF(J127&lt;'PlayerGrades+'!$AD$6,"A-",IF(J127&lt;'PlayerGrades+'!$AD$5,"A",IF(J127&lt;'PlayerGrades+'!$AD$4,"A+",IF(J127&lt;'PlayerGrades+'!$AD$3,"S-",IF(J127&lt;'PlayerGrades+'!$AD$2,"S","S+"))))))))))))))))))))</f>
        <v>A-</v>
      </c>
      <c r="L127" s="677">
        <f t="shared" si="5"/>
        <v>0.6281504459</v>
      </c>
      <c r="M127" s="938" t="str">
        <f>IF(L127&lt;'PlayerGrades+'!$AE$21,"F-",IF(L127&lt;'PlayerGrades+'!$AE$20,"F",IF(L127&lt;'PlayerGrades+'!$AE$19,"F+",IF(L127&lt;'PlayerGrades+'!$AE$18,"E-",IF(L127&lt;'PlayerGrades+'!$AE$17,"E",IF(L127&lt;'PlayerGrades+'!$AE$16,"E+",IF(L127&lt;'PlayerGrades+'!$AE$15,"D-",IF(L127&lt;'PlayerGrades+'!$AE$14,"D",IF(L127&lt;'PlayerGrades+'!$AE$13,"D+",IF(L127&lt;'PlayerGrades+'!$AE$12,"C-",IF(L127&lt;'PlayerGrades+'!$AE$11,"C",IF(L127&lt;'PlayerGrades+'!$AE$10,"C+",IF(L127&lt;'PlayerGrades+'!$AE$9,"B-",IF(L127&lt;'PlayerGrades+'!$AE$8,"B",IF(L127&lt;'PlayerGrades+'!$AE$7,"B+",IF(L127&lt;'PlayerGrades+'!$AE$6,"A-",IF(L127&lt;'PlayerGrades+'!$AE$5,"A",IF(L127&lt;'PlayerGrades+'!$AE$4,"A+",IF(L127&lt;'PlayerGrades+'!$AE$3,"S-",IF(L127&lt;'PlayerGrades+'!$AE$2,"S","S+"))))))))))))))))))))</f>
        <v>S-</v>
      </c>
      <c r="N127" s="937">
        <f t="shared" si="6"/>
        <v>0.1163241566</v>
      </c>
      <c r="O127" s="937" t="str">
        <f>IF(N127&lt;'PlayerGrades+'!$AF$21,"F-",IF(N127&lt;'PlayerGrades+'!$AF$20,"F",IF(N127&lt;'PlayerGrades+'!$AF$19,"F+",IF(N127&lt;'PlayerGrades+'!$AF$18,"E-",IF(N127&lt;'PlayerGrades+'!$AF$17,"E",IF(N127&lt;'PlayerGrades+'!$AF$16,"E+",IF(N127&lt;'PlayerGrades+'!$AF$15,"D-",IF(N127&lt;'PlayerGrades+'!$AF$14,"D",IF(N127&lt;'PlayerGrades+'!$AF$13,"D+",IF(N127&lt;'PlayerGrades+'!$AF$12,"C-",IF(N127&lt;'PlayerGrades+'!$AF$11,"C",IF(N127&lt;'PlayerGrades+'!$AF$10,"C+",IF(N127&lt;'PlayerGrades+'!$AF$9,"B-",IF(N127&lt;'PlayerGrades+'!$AF$8,"B",IF(N127&lt;'PlayerGrades+'!$AF$7,"B+",IF(N127&lt;'PlayerGrades+'!$AF$6,"A-",IF(N127&lt;'PlayerGrades+'!$AF$5,"A",IF(N127&lt;'PlayerGrades+'!$AF$4,"A+",IF(N127&lt;'PlayerGrades+'!$AF$3,"S-",IF(N127&lt;'PlayerGrades+'!$AF$2,"S","S+"))))))))))))))))))))</f>
        <v>S-</v>
      </c>
      <c r="P127" s="937">
        <f t="shared" si="7"/>
        <v>0.06979449399</v>
      </c>
      <c r="Q127" s="937" t="str">
        <f>IF(P127&lt;'PlayerGrades+'!$AG$21,"F-",IF(P127&lt;'PlayerGrades+'!$AG$20,"F",IF(P127&lt;'PlayerGrades+'!$AG$19,"F+",IF(P127&lt;'PlayerGrades+'!$AG$18,"E-",IF(P127&lt;'PlayerGrades+'!$AG$17,"E",IF(P127&lt;'PlayerGrades+'!$AG$16,"E+",IF(P127&lt;'PlayerGrades+'!$AG$15,"D-",IF(P127&lt;'PlayerGrades+'!$AG$14,"D",IF(P127&lt;'PlayerGrades+'!$AG$13,"D+",IF(P127&lt;'PlayerGrades+'!$AG$12,"C-",IF(P127&lt;'PlayerGrades+'!$AG$11,"C",IF(P127&lt;'PlayerGrades+'!$AG$10,"C+",IF(P127&lt;'PlayerGrades+'!$AG$9,"B-",IF(P127&lt;'PlayerGrades+'!$AG$8,"B",IF(P127&lt;'PlayerGrades+'!$AG$7,"B+",IF(P127&lt;'PlayerGrades+'!$AG$6,"A-",IF(P127&lt;'PlayerGrades+'!$AG$5,"A",IF(P127&lt;'PlayerGrades+'!$AG$4,"A+",IF(P127&lt;'PlayerGrades+'!$AG$3,"S-",IF(P127&lt;'PlayerGrades+'!$AG$2,"S","S+"))))))))))))))))))))</f>
        <v>S-</v>
      </c>
      <c r="R127" s="937">
        <f t="shared" si="8"/>
        <v>0.7910042652</v>
      </c>
      <c r="S127" s="937" t="str">
        <f>IF(R127&lt;'PlayerGrades+'!$AH$21,"F-",IF(R127&lt;'PlayerGrades+'!$AH$20,"F",IF(R127&lt;'PlayerGrades+'!$AH$19,"F+",IF(R127&lt;'PlayerGrades+'!$AH$18,"E-",IF(R127&lt;'PlayerGrades+'!$AH$17,"E",IF(R127&lt;'PlayerGrades+'!$AH$16,"E+",IF(R127&lt;'PlayerGrades+'!$AH$15,"D-",IF(R127&lt;'PlayerGrades+'!$AH$14,"D",IF(R127&lt;'PlayerGrades+'!$AH$13,"D+",IF(R127&lt;'PlayerGrades+'!$AH$12,"C-",IF(R127&lt;'PlayerGrades+'!$AH$11,"C",IF(R127&lt;'PlayerGrades+'!$AH$10,"C+",IF(R127&lt;'PlayerGrades+'!$AH$9,"B-",IF(R127&lt;'PlayerGrades+'!$AH$8,"B",IF(R127&lt;'PlayerGrades+'!$AH$7,"B+",IF(R127&lt;'PlayerGrades+'!$AH$6,"A-",IF(R127&lt;'PlayerGrades+'!$AH$5,"A",IF(R127&lt;'PlayerGrades+'!$AH$4,"A+",IF(R127&lt;'PlayerGrades+'!$AH$3,"S-",IF(R127&lt;'PlayerGrades+'!$AH$2,"S","S+"))))))))))))))))))))</f>
        <v>S+</v>
      </c>
      <c r="T127" s="937">
        <f t="shared" si="9"/>
        <v>0.5350911206</v>
      </c>
      <c r="U127" s="937" t="str">
        <f>IF(T127&lt;'PlayerGrades+'!$AI$21,"F-",IF(T127&lt;'PlayerGrades+'!$AI$20,"F",IF(T127&lt;'PlayerGrades+'!$AI$19,"F+",IF(T127&lt;'PlayerGrades+'!$AI$18,"E-",IF(T127&lt;'PlayerGrades+'!$AI$17,"E",IF(T127&lt;'PlayerGrades+'!$AI$16,"E+",IF(T127&lt;'PlayerGrades+'!$AI$15,"D-",IF(T127&lt;'PlayerGrades+'!$AI$14,"D",IF(T127&lt;'PlayerGrades+'!$AI$13,"D+",IF(T127&lt;'PlayerGrades+'!$AI$12,"C-",IF(T127&lt;'PlayerGrades+'!$AI$11,"C",IF(T127&lt;'PlayerGrades+'!$AI$10,"C+",IF(T127&lt;'PlayerGrades+'!$AI$9,"B-",IF(T127&lt;'PlayerGrades+'!$AI$8,"B",IF(T127&lt;'PlayerGrades+'!$AI$7,"B+",IF(T127&lt;'PlayerGrades+'!$AI$6,"A-",IF(T127&lt;'PlayerGrades+'!$AI$5,"A",IF(T127&lt;'PlayerGrades+'!$AI$4,"A+",IF(T127&lt;'PlayerGrades+'!$AI$3,"S-",IF(T127&lt;'PlayerGrades+'!$AI$2,"S","S+"))))))))))))))))))))</f>
        <v>F-</v>
      </c>
      <c r="V127" s="941">
        <v>1.0</v>
      </c>
      <c r="W127" s="941">
        <v>1.0</v>
      </c>
      <c r="X127" s="941">
        <v>0.0</v>
      </c>
      <c r="Y127" s="941">
        <v>0.0</v>
      </c>
      <c r="Z127" s="941">
        <v>0.0</v>
      </c>
      <c r="AA127" s="941">
        <v>181.0</v>
      </c>
      <c r="AB127" s="941">
        <v>137.0</v>
      </c>
      <c r="AC127" s="941">
        <v>44.0</v>
      </c>
      <c r="AD127" s="941">
        <v>15.0</v>
      </c>
      <c r="AE127" s="941">
        <v>7.0</v>
      </c>
      <c r="AF127" s="941">
        <v>2.0</v>
      </c>
      <c r="AG127" s="941">
        <v>2058.0</v>
      </c>
      <c r="AH127" s="941">
        <v>2579.0</v>
      </c>
      <c r="AI127" s="941">
        <v>15.0</v>
      </c>
      <c r="AJ127" s="941">
        <v>30.0</v>
      </c>
      <c r="AK127" s="941">
        <v>0.0</v>
      </c>
      <c r="AL127" s="941">
        <v>3.0</v>
      </c>
      <c r="AM127" s="941">
        <v>0.0</v>
      </c>
      <c r="AN127" s="941">
        <v>0.0</v>
      </c>
      <c r="AO127" s="941">
        <v>0.0</v>
      </c>
      <c r="AP127" s="941">
        <v>3.0</v>
      </c>
      <c r="AQ127" s="941">
        <v>0.0</v>
      </c>
      <c r="AR127" s="941">
        <v>27.0</v>
      </c>
      <c r="AS127" s="941">
        <v>5.0</v>
      </c>
      <c r="AT127" s="941">
        <v>3.0</v>
      </c>
      <c r="AU127" s="941">
        <v>0.0</v>
      </c>
      <c r="AV127" s="941">
        <v>0.0</v>
      </c>
      <c r="AW127" s="941">
        <v>0.0</v>
      </c>
      <c r="AX127" s="941">
        <v>0.0</v>
      </c>
      <c r="AY127" s="941">
        <v>0.0</v>
      </c>
      <c r="AZ127" s="941">
        <v>0.0</v>
      </c>
      <c r="BA127" s="941">
        <v>0.0</v>
      </c>
      <c r="BB127" s="941">
        <v>6.0</v>
      </c>
      <c r="BC127" s="941">
        <v>0.0</v>
      </c>
      <c r="BD127" s="941">
        <v>19.0</v>
      </c>
      <c r="BE127" s="941">
        <v>23.0</v>
      </c>
      <c r="BF127" s="941">
        <v>0.0</v>
      </c>
      <c r="BG127" s="942">
        <v>0.0</v>
      </c>
    </row>
    <row r="128">
      <c r="A128" s="935" t="s">
        <v>392</v>
      </c>
      <c r="B128" s="16" t="str">
        <f>IF(C128&lt;'PlayerGrades+'!$Y$44,"F-",IF(C128&lt;'PlayerGrades+'!$Y$43,"F",IF(C128&lt;'PlayerGrades+'!$Y$42,"F+",IF(C128&lt;'PlayerGrades+'!$Y$41,"E-",IF(C128&lt;'PlayerGrades+'!$Y$40,"E",IF(C128&lt;'PlayerGrades+'!$Y$39,"E+",IF(C128&lt;'PlayerGrades+'!$Y$38,"D-",IF(C128&lt;'PlayerGrades+'!$Y$37,"D",IF(C128&lt;'PlayerGrades+'!$Y$36,"D+",IF(C128&lt;'PlayerGrades+'!$Y$35,"C-",IF(C128&lt;'PlayerGrades+'!$Y$34,"C",IF(C128&lt;'PlayerGrades+'!$Y$33,"C+",IF(C128&lt;'PlayerGrades+'!$Y$32,"B-",IF(C128&lt;'PlayerGrades+'!$Y$31,"B",IF(C128&lt;'PlayerGrades+'!$Y$30,"B+",IF(C128&lt;'PlayerGrades+'!$Y$29,"A-",IF(C128&lt;'PlayerGrades+'!$Y$28,"A",IF(C128&lt;'PlayerGrades+'!$Y$27,"A+",IF(C128&lt;'PlayerGrades+'!$Y$26,"S-",IF(C128&lt;'PlayerGrades+'!$Y$25,"S","S+"))))))))))))))))))))</f>
        <v>D+</v>
      </c>
      <c r="C128" s="936">
        <f>('PlayerGrades+'!$Y$47*(VLOOKUP(E128, 'PlayerGrades+'!$X$3:$Y$23, 2, FALSE)))+('PlayerGrades+'!$Y$48*(VLOOKUP(G128, 'PlayerGrades+'!$X$3:$Y$23, 2, FALSE)))+('PlayerGrades+'!$Y$49*(VLOOKUP(I128, 'PlayerGrades+'!$X$3:$Y$23, 2, FALSE)))+('PlayerGrades+'!$Y$50*(VLOOKUP(K128, 'PlayerGrades+'!$X$3:$Y$23, 2, FALSE)))+('PlayerGrades+'!$Y$51*(VLOOKUP(M128, 'PlayerGrades+'!$X$3:$Y$23, 2, FALSE)))+('PlayerGrades+'!$Y$52*(VLOOKUP(O128, 'PlayerGrades+'!$X$3:$Y$23, 2, FALSE)))+('PlayerGrades+'!$Y$53*(VLOOKUP(Q128, 'PlayerGrades+'!$X$3:$Y$23, 2, FALSE)))+('PlayerGrades+'!$Y$54*(VLOOKUP(S128, 'PlayerGrades+'!$X$3:$Y$23, 2, FALSE)))+('PlayerGrades+'!$Y$55*(VLOOKUP(U128, 'PlayerGrades+'!$X$3:$Y$23, 2, FALSE)))</f>
        <v>17.35</v>
      </c>
      <c r="D128" s="937">
        <f t="shared" si="1"/>
        <v>0</v>
      </c>
      <c r="E128" s="937" t="str">
        <f>IF(D128&lt;'PlayerGrades+'!$AA$21,"F-",IF(D128&lt;'PlayerGrades+'!$AA$20,"F",IF(D128&lt;'PlayerGrades+'!$AA$19,"F+",IF(D128&lt;'PlayerGrades+'!$AA$18,"E-",IF(D128&lt;'PlayerGrades+'!$AA$17,"E",IF(D128&lt;'PlayerGrades+'!$AA$16,"E+",IF(D128&lt;'PlayerGrades+'!$AA$15,"D-",IF(D128&lt;'PlayerGrades+'!$AA$14,"D",IF(D128&lt;'PlayerGrades+'!$AA$13,"D+",IF(D128&lt;'PlayerGrades+'!$AA$12,"C-",IF(D128&lt;'PlayerGrades+'!$AA$11,"C",IF(D128&lt;'PlayerGrades+'!$AA$10,"C+",IF(D128&lt;'PlayerGrades+'!$AA$9,"B-",IF(D128&lt;'PlayerGrades+'!$AA$8,"B",IF(D128&lt;'PlayerGrades+'!$AA$7,"B+",IF(D128&lt;'PlayerGrades+'!$AA$6,"A-",IF(D128&lt;'PlayerGrades+'!$AA$5,"A",IF(D128&lt;'PlayerGrades+'!$AA$4,"A+",IF(D128&lt;'PlayerGrades+'!$AA$3,"S-",IF(D128&lt;'PlayerGrades+'!$AA$2,"S","S+"))))))))))))))))))))</f>
        <v>F-</v>
      </c>
      <c r="F128" s="937">
        <f t="shared" si="2"/>
        <v>-1.04691741</v>
      </c>
      <c r="G128" s="937" t="str">
        <f>IF(F128&lt;'PlayerGrades+'!$AB$21,"F-",IF(F128&lt;'PlayerGrades+'!$AB$20,"F",IF(F128&lt;'PlayerGrades+'!$AB$19,"F+",IF(F128&lt;'PlayerGrades+'!$AB$18,"E-",IF(F128&lt;'PlayerGrades+'!$AB$17,"E",IF(F128&lt;'PlayerGrades+'!$AB$16,"E+",IF(F128&lt;'PlayerGrades+'!$AB$15,"D-",IF(F128&lt;'PlayerGrades+'!$AB$14,"D",IF(F128&lt;'PlayerGrades+'!$AB$13,"D+",IF(F128&lt;'PlayerGrades+'!$AB$12,"C-",IF(F128&lt;'PlayerGrades+'!$AB$11,"C",IF(F128&lt;'PlayerGrades+'!$AB$10,"C+",IF(F128&lt;'PlayerGrades+'!$AB$9,"B-",IF(F128&lt;'PlayerGrades+'!$AB$8,"B",IF(F128&lt;'PlayerGrades+'!$AB$7,"B+",IF(F128&lt;'PlayerGrades+'!$AB$6,"A-",IF(F128&lt;'PlayerGrades+'!$AB$5,"A",IF(F128&lt;'PlayerGrades+'!$AB$4,"A+",IF(F128&lt;'PlayerGrades+'!$AB$3,"S-",IF(F128&lt;'PlayerGrades+'!$AB$2,"S","S+"))))))))))))))))))))</f>
        <v>F</v>
      </c>
      <c r="H128" s="937">
        <f t="shared" si="3"/>
        <v>0.06979449399</v>
      </c>
      <c r="I128" s="937" t="str">
        <f>IF(H128&lt;'PlayerGrades+'!$AC$21,"F-",IF(H128&lt;'PlayerGrades+'!$AC$20,"F",IF(H128&lt;'PlayerGrades+'!$AC$19,"F+",IF(H128&lt;'PlayerGrades+'!$AC$18,"E-",IF(H128&lt;'PlayerGrades+'!$AC$17,"E",IF(H128&lt;'PlayerGrades+'!$AC$16,"E+",IF(H128&lt;'PlayerGrades+'!$AC$15,"D-",IF(H128&lt;'PlayerGrades+'!$AC$14,"D",IF(H128&lt;'PlayerGrades+'!$AC$13,"D+",IF(H128&lt;'PlayerGrades+'!$AC$12,"C-",IF(H128&lt;'PlayerGrades+'!$AC$11,"C",IF(H128&lt;'PlayerGrades+'!$AC$10,"C+",IF(H128&lt;'PlayerGrades+'!$AC$9,"B-",IF(H128&lt;'PlayerGrades+'!$AC$8,"B",IF(H128&lt;'PlayerGrades+'!$AC$7,"B+",IF(H128&lt;'PlayerGrades+'!$AC$6,"A-",IF(H128&lt;'PlayerGrades+'!$AC$5,"A",IF(H128&lt;'PlayerGrades+'!$AC$4,"A+",IF(H128&lt;'PlayerGrades+'!$AC$3,"S-",IF(H128&lt;'PlayerGrades+'!$AC$2,"S","S+"))))))))))))))))))))</f>
        <v>E</v>
      </c>
      <c r="J128" s="937">
        <f t="shared" si="4"/>
        <v>0.04652966266</v>
      </c>
      <c r="K128" s="937" t="str">
        <f>IF(J128&lt;'PlayerGrades+'!$AD$21,"F-",IF(J128&lt;'PlayerGrades+'!$AD$20,"F",IF(J128&lt;'PlayerGrades+'!$AD$19,"F+",IF(J128&lt;'PlayerGrades+'!$AD$18,"E-",IF(J128&lt;'PlayerGrades+'!$AD$17,"E",IF(J128&lt;'PlayerGrades+'!$AD$16,"E+",IF(J128&lt;'PlayerGrades+'!$AD$15,"D-",IF(J128&lt;'PlayerGrades+'!$AD$14,"D",IF(J128&lt;'PlayerGrades+'!$AD$13,"D+",IF(J128&lt;'PlayerGrades+'!$AD$12,"C-",IF(J128&lt;'PlayerGrades+'!$AD$11,"C",IF(J128&lt;'PlayerGrades+'!$AD$10,"C+",IF(J128&lt;'PlayerGrades+'!$AD$9,"B-",IF(J128&lt;'PlayerGrades+'!$AD$8,"B",IF(J128&lt;'PlayerGrades+'!$AD$7,"B+",IF(J128&lt;'PlayerGrades+'!$AD$6,"A-",IF(J128&lt;'PlayerGrades+'!$AD$5,"A",IF(J128&lt;'PlayerGrades+'!$AD$4,"A+",IF(J128&lt;'PlayerGrades+'!$AD$3,"S-",IF(J128&lt;'PlayerGrades+'!$AD$2,"S","S+"))))))))))))))))))))</f>
        <v>B-</v>
      </c>
      <c r="L128" s="677">
        <f t="shared" si="5"/>
        <v>0.6048856146</v>
      </c>
      <c r="M128" s="938" t="str">
        <f>IF(L128&lt;'PlayerGrades+'!$AE$21,"F-",IF(L128&lt;'PlayerGrades+'!$AE$20,"F",IF(L128&lt;'PlayerGrades+'!$AE$19,"F+",IF(L128&lt;'PlayerGrades+'!$AE$18,"E-",IF(L128&lt;'PlayerGrades+'!$AE$17,"E",IF(L128&lt;'PlayerGrades+'!$AE$16,"E+",IF(L128&lt;'PlayerGrades+'!$AE$15,"D-",IF(L128&lt;'PlayerGrades+'!$AE$14,"D",IF(L128&lt;'PlayerGrades+'!$AE$13,"D+",IF(L128&lt;'PlayerGrades+'!$AE$12,"C-",IF(L128&lt;'PlayerGrades+'!$AE$11,"C",IF(L128&lt;'PlayerGrades+'!$AE$10,"C+",IF(L128&lt;'PlayerGrades+'!$AE$9,"B-",IF(L128&lt;'PlayerGrades+'!$AE$8,"B",IF(L128&lt;'PlayerGrades+'!$AE$7,"B+",IF(L128&lt;'PlayerGrades+'!$AE$6,"A-",IF(L128&lt;'PlayerGrades+'!$AE$5,"A",IF(L128&lt;'PlayerGrades+'!$AE$4,"A+",IF(L128&lt;'PlayerGrades+'!$AE$3,"S-",IF(L128&lt;'PlayerGrades+'!$AE$2,"S","S+"))))))))))))))))))))</f>
        <v>A+</v>
      </c>
      <c r="N128" s="937">
        <f t="shared" si="6"/>
        <v>0.06979449399</v>
      </c>
      <c r="O128" s="937" t="str">
        <f>IF(N128&lt;'PlayerGrades+'!$AF$21,"F-",IF(N128&lt;'PlayerGrades+'!$AF$20,"F",IF(N128&lt;'PlayerGrades+'!$AF$19,"F+",IF(N128&lt;'PlayerGrades+'!$AF$18,"E-",IF(N128&lt;'PlayerGrades+'!$AF$17,"E",IF(N128&lt;'PlayerGrades+'!$AF$16,"E+",IF(N128&lt;'PlayerGrades+'!$AF$15,"D-",IF(N128&lt;'PlayerGrades+'!$AF$14,"D",IF(N128&lt;'PlayerGrades+'!$AF$13,"D+",IF(N128&lt;'PlayerGrades+'!$AF$12,"C-",IF(N128&lt;'PlayerGrades+'!$AF$11,"C",IF(N128&lt;'PlayerGrades+'!$AF$10,"C+",IF(N128&lt;'PlayerGrades+'!$AF$9,"B-",IF(N128&lt;'PlayerGrades+'!$AF$8,"B",IF(N128&lt;'PlayerGrades+'!$AF$7,"B+",IF(N128&lt;'PlayerGrades+'!$AF$6,"A-",IF(N128&lt;'PlayerGrades+'!$AF$5,"A",IF(N128&lt;'PlayerGrades+'!$AF$4,"A+",IF(N128&lt;'PlayerGrades+'!$AF$3,"S-",IF(N128&lt;'PlayerGrades+'!$AF$2,"S","S+"))))))))))))))))))))</f>
        <v>C-</v>
      </c>
      <c r="P128" s="937">
        <f t="shared" si="7"/>
        <v>0.04652966266</v>
      </c>
      <c r="Q128" s="937" t="str">
        <f>IF(P128&lt;'PlayerGrades+'!$AG$21,"F-",IF(P128&lt;'PlayerGrades+'!$AG$20,"F",IF(P128&lt;'PlayerGrades+'!$AG$19,"F+",IF(P128&lt;'PlayerGrades+'!$AG$18,"E-",IF(P128&lt;'PlayerGrades+'!$AG$17,"E",IF(P128&lt;'PlayerGrades+'!$AG$16,"E+",IF(P128&lt;'PlayerGrades+'!$AG$15,"D-",IF(P128&lt;'PlayerGrades+'!$AG$14,"D",IF(P128&lt;'PlayerGrades+'!$AG$13,"D+",IF(P128&lt;'PlayerGrades+'!$AG$12,"C-",IF(P128&lt;'PlayerGrades+'!$AG$11,"C",IF(P128&lt;'PlayerGrades+'!$AG$10,"C+",IF(P128&lt;'PlayerGrades+'!$AG$9,"B-",IF(P128&lt;'PlayerGrades+'!$AG$8,"B",IF(P128&lt;'PlayerGrades+'!$AG$7,"B+",IF(P128&lt;'PlayerGrades+'!$AG$6,"A-",IF(P128&lt;'PlayerGrades+'!$AG$5,"A",IF(P128&lt;'PlayerGrades+'!$AG$4,"A+",IF(P128&lt;'PlayerGrades+'!$AG$3,"S-",IF(P128&lt;'PlayerGrades+'!$AG$2,"S","S+"))))))))))))))))))))</f>
        <v>A</v>
      </c>
      <c r="R128" s="937">
        <f t="shared" si="8"/>
        <v>0.6281504459</v>
      </c>
      <c r="S128" s="937" t="str">
        <f>IF(R128&lt;'PlayerGrades+'!$AH$21,"F-",IF(R128&lt;'PlayerGrades+'!$AH$20,"F",IF(R128&lt;'PlayerGrades+'!$AH$19,"F+",IF(R128&lt;'PlayerGrades+'!$AH$18,"E-",IF(R128&lt;'PlayerGrades+'!$AH$17,"E",IF(R128&lt;'PlayerGrades+'!$AH$16,"E+",IF(R128&lt;'PlayerGrades+'!$AH$15,"D-",IF(R128&lt;'PlayerGrades+'!$AH$14,"D",IF(R128&lt;'PlayerGrades+'!$AH$13,"D+",IF(R128&lt;'PlayerGrades+'!$AH$12,"C-",IF(R128&lt;'PlayerGrades+'!$AH$11,"C",IF(R128&lt;'PlayerGrades+'!$AH$10,"C+",IF(R128&lt;'PlayerGrades+'!$AH$9,"B-",IF(R128&lt;'PlayerGrades+'!$AH$8,"B",IF(R128&lt;'PlayerGrades+'!$AH$7,"B+",IF(R128&lt;'PlayerGrades+'!$AH$6,"A-",IF(R128&lt;'PlayerGrades+'!$AH$5,"A",IF(R128&lt;'PlayerGrades+'!$AH$4,"A+",IF(R128&lt;'PlayerGrades+'!$AH$3,"S-",IF(R128&lt;'PlayerGrades+'!$AH$2,"S","S+"))))))))))))))))))))</f>
        <v>A</v>
      </c>
      <c r="T128" s="937">
        <f t="shared" si="9"/>
        <v>0.4187669639</v>
      </c>
      <c r="U128" s="937" t="str">
        <f>IF(T128&lt;'PlayerGrades+'!$AI$21,"F-",IF(T128&lt;'PlayerGrades+'!$AI$20,"F",IF(T128&lt;'PlayerGrades+'!$AI$19,"F+",IF(T128&lt;'PlayerGrades+'!$AI$18,"E-",IF(T128&lt;'PlayerGrades+'!$AI$17,"E",IF(T128&lt;'PlayerGrades+'!$AI$16,"E+",IF(T128&lt;'PlayerGrades+'!$AI$15,"D-",IF(T128&lt;'PlayerGrades+'!$AI$14,"D",IF(T128&lt;'PlayerGrades+'!$AI$13,"D+",IF(T128&lt;'PlayerGrades+'!$AI$12,"C-",IF(T128&lt;'PlayerGrades+'!$AI$11,"C",IF(T128&lt;'PlayerGrades+'!$AI$10,"C+",IF(T128&lt;'PlayerGrades+'!$AI$9,"B-",IF(T128&lt;'PlayerGrades+'!$AI$8,"B",IF(T128&lt;'PlayerGrades+'!$AI$7,"B+",IF(T128&lt;'PlayerGrades+'!$AI$6,"A-",IF(T128&lt;'PlayerGrades+'!$AI$5,"A",IF(T128&lt;'PlayerGrades+'!$AI$4,"A+",IF(T128&lt;'PlayerGrades+'!$AI$3,"S-",IF(T128&lt;'PlayerGrades+'!$AI$2,"S","S+"))))))))))))))))))))</f>
        <v>F-</v>
      </c>
      <c r="V128" s="941">
        <v>1.0</v>
      </c>
      <c r="W128" s="941">
        <v>1.0</v>
      </c>
      <c r="X128" s="941">
        <v>0.0</v>
      </c>
      <c r="Y128" s="941">
        <v>0.0</v>
      </c>
      <c r="Z128" s="941">
        <v>0.0</v>
      </c>
      <c r="AA128" s="941">
        <v>141.0</v>
      </c>
      <c r="AB128" s="941">
        <v>186.0</v>
      </c>
      <c r="AC128" s="941">
        <v>-45.0</v>
      </c>
      <c r="AD128" s="941">
        <v>14.0</v>
      </c>
      <c r="AE128" s="941">
        <v>6.0</v>
      </c>
      <c r="AF128" s="941">
        <v>0.0</v>
      </c>
      <c r="AG128" s="941">
        <v>1916.0</v>
      </c>
      <c r="AH128" s="941">
        <v>2579.0</v>
      </c>
      <c r="AI128" s="941">
        <v>10.0</v>
      </c>
      <c r="AJ128" s="941">
        <v>0.0</v>
      </c>
      <c r="AK128" s="941">
        <v>0.0</v>
      </c>
      <c r="AL128" s="941">
        <v>2.0</v>
      </c>
      <c r="AM128" s="941">
        <v>0.0</v>
      </c>
      <c r="AN128" s="941">
        <v>0.0</v>
      </c>
      <c r="AO128" s="941">
        <v>0.0</v>
      </c>
      <c r="AP128" s="941">
        <v>2.0</v>
      </c>
      <c r="AQ128" s="941">
        <v>0.0</v>
      </c>
      <c r="AR128" s="941">
        <v>26.0</v>
      </c>
      <c r="AS128" s="941">
        <v>3.0</v>
      </c>
      <c r="AT128" s="941">
        <v>0.0</v>
      </c>
      <c r="AU128" s="941">
        <v>0.0</v>
      </c>
      <c r="AV128" s="941">
        <v>0.0</v>
      </c>
      <c r="AW128" s="941">
        <v>0.0</v>
      </c>
      <c r="AX128" s="941">
        <v>0.0</v>
      </c>
      <c r="AY128" s="941">
        <v>0.0</v>
      </c>
      <c r="AZ128" s="941">
        <v>0.0</v>
      </c>
      <c r="BA128" s="941">
        <v>0.0</v>
      </c>
      <c r="BB128" s="941">
        <v>3.0</v>
      </c>
      <c r="BC128" s="941">
        <v>0.0</v>
      </c>
      <c r="BD128" s="941">
        <v>13.0</v>
      </c>
      <c r="BE128" s="941">
        <v>18.0</v>
      </c>
      <c r="BF128" s="941">
        <v>0.0</v>
      </c>
      <c r="BG128" s="942">
        <v>0.0</v>
      </c>
    </row>
    <row r="129">
      <c r="A129" s="943" t="s">
        <v>149</v>
      </c>
      <c r="B129" s="16" t="str">
        <f>IF(C129&lt;'PlayerGrades+'!$Y$44,"F-",IF(C129&lt;'PlayerGrades+'!$Y$43,"F",IF(C129&lt;'PlayerGrades+'!$Y$42,"F+",IF(C129&lt;'PlayerGrades+'!$Y$41,"E-",IF(C129&lt;'PlayerGrades+'!$Y$40,"E",IF(C129&lt;'PlayerGrades+'!$Y$39,"E+",IF(C129&lt;'PlayerGrades+'!$Y$38,"D-",IF(C129&lt;'PlayerGrades+'!$Y$37,"D",IF(C129&lt;'PlayerGrades+'!$Y$36,"D+",IF(C129&lt;'PlayerGrades+'!$Y$35,"C-",IF(C129&lt;'PlayerGrades+'!$Y$34,"C",IF(C129&lt;'PlayerGrades+'!$Y$33,"C+",IF(C129&lt;'PlayerGrades+'!$Y$32,"B-",IF(C129&lt;'PlayerGrades+'!$Y$31,"B",IF(C129&lt;'PlayerGrades+'!$Y$30,"B+",IF(C129&lt;'PlayerGrades+'!$Y$29,"A-",IF(C129&lt;'PlayerGrades+'!$Y$28,"A",IF(C129&lt;'PlayerGrades+'!$Y$27,"A+",IF(C129&lt;'PlayerGrades+'!$Y$26,"S-",IF(C129&lt;'PlayerGrades+'!$Y$25,"S","S+"))))))))))))))))))))</f>
        <v>E-</v>
      </c>
      <c r="C129" s="936">
        <f>('PlayerGrades+'!$Y$47*(VLOOKUP(E129, 'PlayerGrades+'!$X$3:$Y$23, 2, FALSE)))+('PlayerGrades+'!$Y$48*(VLOOKUP(G129, 'PlayerGrades+'!$X$3:$Y$23, 2, FALSE)))+('PlayerGrades+'!$Y$49*(VLOOKUP(I129, 'PlayerGrades+'!$X$3:$Y$23, 2, FALSE)))+('PlayerGrades+'!$Y$50*(VLOOKUP(K129, 'PlayerGrades+'!$X$3:$Y$23, 2, FALSE)))+('PlayerGrades+'!$Y$51*(VLOOKUP(M129, 'PlayerGrades+'!$X$3:$Y$23, 2, FALSE)))+('PlayerGrades+'!$Y$52*(VLOOKUP(O129, 'PlayerGrades+'!$X$3:$Y$23, 2, FALSE)))+('PlayerGrades+'!$Y$53*(VLOOKUP(Q129, 'PlayerGrades+'!$X$3:$Y$23, 2, FALSE)))+('PlayerGrades+'!$Y$54*(VLOOKUP(S129, 'PlayerGrades+'!$X$3:$Y$23, 2, FALSE)))+('PlayerGrades+'!$Y$55*(VLOOKUP(U129, 'PlayerGrades+'!$X$3:$Y$23, 2, FALSE)))</f>
        <v>12.2</v>
      </c>
      <c r="D129" s="937">
        <f t="shared" si="1"/>
        <v>0.4187669639</v>
      </c>
      <c r="E129" s="937" t="str">
        <f>IF(D129&lt;'PlayerGrades+'!$AA$21,"F-",IF(D129&lt;'PlayerGrades+'!$AA$20,"F",IF(D129&lt;'PlayerGrades+'!$AA$19,"F+",IF(D129&lt;'PlayerGrades+'!$AA$18,"E-",IF(D129&lt;'PlayerGrades+'!$AA$17,"E",IF(D129&lt;'PlayerGrades+'!$AA$16,"E+",IF(D129&lt;'PlayerGrades+'!$AA$15,"D-",IF(D129&lt;'PlayerGrades+'!$AA$14,"D",IF(D129&lt;'PlayerGrades+'!$AA$13,"D+",IF(D129&lt;'PlayerGrades+'!$AA$12,"C-",IF(D129&lt;'PlayerGrades+'!$AA$11,"C",IF(D129&lt;'PlayerGrades+'!$AA$10,"C+",IF(D129&lt;'PlayerGrades+'!$AA$9,"B-",IF(D129&lt;'PlayerGrades+'!$AA$8,"B",IF(D129&lt;'PlayerGrades+'!$AA$7,"B+",IF(D129&lt;'PlayerGrades+'!$AA$6,"A-",IF(D129&lt;'PlayerGrades+'!$AA$5,"A",IF(D129&lt;'PlayerGrades+'!$AA$4,"A+",IF(D129&lt;'PlayerGrades+'!$AA$3,"S-",IF(D129&lt;'PlayerGrades+'!$AA$2,"S","S+"))))))))))))))))))))</f>
        <v>A+</v>
      </c>
      <c r="F129" s="937">
        <f t="shared" si="2"/>
        <v>0.1628538193</v>
      </c>
      <c r="G129" s="937" t="str">
        <f>IF(F129&lt;'PlayerGrades+'!$AB$21,"F-",IF(F129&lt;'PlayerGrades+'!$AB$20,"F",IF(F129&lt;'PlayerGrades+'!$AB$19,"F+",IF(F129&lt;'PlayerGrades+'!$AB$18,"E-",IF(F129&lt;'PlayerGrades+'!$AB$17,"E",IF(F129&lt;'PlayerGrades+'!$AB$16,"E+",IF(F129&lt;'PlayerGrades+'!$AB$15,"D-",IF(F129&lt;'PlayerGrades+'!$AB$14,"D",IF(F129&lt;'PlayerGrades+'!$AB$13,"D+",IF(F129&lt;'PlayerGrades+'!$AB$12,"C-",IF(F129&lt;'PlayerGrades+'!$AB$11,"C",IF(F129&lt;'PlayerGrades+'!$AB$10,"C+",IF(F129&lt;'PlayerGrades+'!$AB$9,"B-",IF(F129&lt;'PlayerGrades+'!$AB$8,"B",IF(F129&lt;'PlayerGrades+'!$AB$7,"B+",IF(F129&lt;'PlayerGrades+'!$AB$6,"A-",IF(F129&lt;'PlayerGrades+'!$AB$5,"A",IF(F129&lt;'PlayerGrades+'!$AB$4,"A+",IF(F129&lt;'PlayerGrades+'!$AB$3,"S-",IF(F129&lt;'PlayerGrades+'!$AB$2,"S","S+"))))))))))))))))))))</f>
        <v>B+</v>
      </c>
      <c r="H129" s="937">
        <f t="shared" si="3"/>
        <v>0.02326483133</v>
      </c>
      <c r="I129" s="937" t="str">
        <f>IF(H129&lt;'PlayerGrades+'!$AC$21,"F-",IF(H129&lt;'PlayerGrades+'!$AC$20,"F",IF(H129&lt;'PlayerGrades+'!$AC$19,"F+",IF(H129&lt;'PlayerGrades+'!$AC$18,"E-",IF(H129&lt;'PlayerGrades+'!$AC$17,"E",IF(H129&lt;'PlayerGrades+'!$AC$16,"E+",IF(H129&lt;'PlayerGrades+'!$AC$15,"D-",IF(H129&lt;'PlayerGrades+'!$AC$14,"D",IF(H129&lt;'PlayerGrades+'!$AC$13,"D+",IF(H129&lt;'PlayerGrades+'!$AC$12,"C-",IF(H129&lt;'PlayerGrades+'!$AC$11,"C",IF(H129&lt;'PlayerGrades+'!$AC$10,"C+",IF(H129&lt;'PlayerGrades+'!$AC$9,"B-",IF(H129&lt;'PlayerGrades+'!$AC$8,"B",IF(H129&lt;'PlayerGrades+'!$AC$7,"B+",IF(H129&lt;'PlayerGrades+'!$AC$6,"A-",IF(H129&lt;'PlayerGrades+'!$AC$5,"A",IF(H129&lt;'PlayerGrades+'!$AC$4,"A+",IF(H129&lt;'PlayerGrades+'!$AC$3,"S-",IF(H129&lt;'PlayerGrades+'!$AC$2,"S","S+"))))))))))))))))))))</f>
        <v>F-</v>
      </c>
      <c r="J129" s="937">
        <f t="shared" si="4"/>
        <v>0.02326483133</v>
      </c>
      <c r="K129" s="937" t="str">
        <f>IF(J129&lt;'PlayerGrades+'!$AD$21,"F-",IF(J129&lt;'PlayerGrades+'!$AD$20,"F",IF(J129&lt;'PlayerGrades+'!$AD$19,"F+",IF(J129&lt;'PlayerGrades+'!$AD$18,"E-",IF(J129&lt;'PlayerGrades+'!$AD$17,"E",IF(J129&lt;'PlayerGrades+'!$AD$16,"E+",IF(J129&lt;'PlayerGrades+'!$AD$15,"D-",IF(J129&lt;'PlayerGrades+'!$AD$14,"D",IF(J129&lt;'PlayerGrades+'!$AD$13,"D+",IF(J129&lt;'PlayerGrades+'!$AD$12,"C-",IF(J129&lt;'PlayerGrades+'!$AD$11,"C",IF(J129&lt;'PlayerGrades+'!$AD$10,"C+",IF(J129&lt;'PlayerGrades+'!$AD$9,"B-",IF(J129&lt;'PlayerGrades+'!$AD$8,"B",IF(J129&lt;'PlayerGrades+'!$AD$7,"B+",IF(J129&lt;'PlayerGrades+'!$AD$6,"A-",IF(J129&lt;'PlayerGrades+'!$AD$5,"A",IF(J129&lt;'PlayerGrades+'!$AD$4,"A+",IF(J129&lt;'PlayerGrades+'!$AD$3,"S-",IF(J129&lt;'PlayerGrades+'!$AD$2,"S","S+"))))))))))))))))))))</f>
        <v>D-</v>
      </c>
      <c r="L129" s="677">
        <f t="shared" si="5"/>
        <v>0.1163241566</v>
      </c>
      <c r="M129" s="938" t="str">
        <f>IF(L129&lt;'PlayerGrades+'!$AE$21,"F-",IF(L129&lt;'PlayerGrades+'!$AE$20,"F",IF(L129&lt;'PlayerGrades+'!$AE$19,"F+",IF(L129&lt;'PlayerGrades+'!$AE$18,"E-",IF(L129&lt;'PlayerGrades+'!$AE$17,"E",IF(L129&lt;'PlayerGrades+'!$AE$16,"E+",IF(L129&lt;'PlayerGrades+'!$AE$15,"D-",IF(L129&lt;'PlayerGrades+'!$AE$14,"D",IF(L129&lt;'PlayerGrades+'!$AE$13,"D+",IF(L129&lt;'PlayerGrades+'!$AE$12,"C-",IF(L129&lt;'PlayerGrades+'!$AE$11,"C",IF(L129&lt;'PlayerGrades+'!$AE$10,"C+",IF(L129&lt;'PlayerGrades+'!$AE$9,"B-",IF(L129&lt;'PlayerGrades+'!$AE$8,"B",IF(L129&lt;'PlayerGrades+'!$AE$7,"B+",IF(L129&lt;'PlayerGrades+'!$AE$6,"A-",IF(L129&lt;'PlayerGrades+'!$AE$5,"A",IF(L129&lt;'PlayerGrades+'!$AE$4,"A+",IF(L129&lt;'PlayerGrades+'!$AE$3,"S-",IF(L129&lt;'PlayerGrades+'!$AE$2,"S","S+"))))))))))))))))))))</f>
        <v>F-</v>
      </c>
      <c r="N129" s="937">
        <f t="shared" si="6"/>
        <v>0</v>
      </c>
      <c r="O129" s="937" t="str">
        <f>IF(N129&lt;'PlayerGrades+'!$AF$21,"F-",IF(N129&lt;'PlayerGrades+'!$AF$20,"F",IF(N129&lt;'PlayerGrades+'!$AF$19,"F+",IF(N129&lt;'PlayerGrades+'!$AF$18,"E-",IF(N129&lt;'PlayerGrades+'!$AF$17,"E",IF(N129&lt;'PlayerGrades+'!$AF$16,"E+",IF(N129&lt;'PlayerGrades+'!$AF$15,"D-",IF(N129&lt;'PlayerGrades+'!$AF$14,"D",IF(N129&lt;'PlayerGrades+'!$AF$13,"D+",IF(N129&lt;'PlayerGrades+'!$AF$12,"C-",IF(N129&lt;'PlayerGrades+'!$AF$11,"C",IF(N129&lt;'PlayerGrades+'!$AF$10,"C+",IF(N129&lt;'PlayerGrades+'!$AF$9,"B-",IF(N129&lt;'PlayerGrades+'!$AF$8,"B",IF(N129&lt;'PlayerGrades+'!$AF$7,"B+",IF(N129&lt;'PlayerGrades+'!$AF$6,"A-",IF(N129&lt;'PlayerGrades+'!$AF$5,"A",IF(N129&lt;'PlayerGrades+'!$AF$4,"A+",IF(N129&lt;'PlayerGrades+'!$AF$3,"S-",IF(N129&lt;'PlayerGrades+'!$AF$2,"S","S+"))))))))))))))))))))</f>
        <v>F-</v>
      </c>
      <c r="P129" s="937">
        <f t="shared" si="7"/>
        <v>0</v>
      </c>
      <c r="Q129" s="937" t="str">
        <f>IF(P129&lt;'PlayerGrades+'!$AG$21,"F-",IF(P129&lt;'PlayerGrades+'!$AG$20,"F",IF(P129&lt;'PlayerGrades+'!$AG$19,"F+",IF(P129&lt;'PlayerGrades+'!$AG$18,"E-",IF(P129&lt;'PlayerGrades+'!$AG$17,"E",IF(P129&lt;'PlayerGrades+'!$AG$16,"E+",IF(P129&lt;'PlayerGrades+'!$AG$15,"D-",IF(P129&lt;'PlayerGrades+'!$AG$14,"D",IF(P129&lt;'PlayerGrades+'!$AG$13,"D+",IF(P129&lt;'PlayerGrades+'!$AG$12,"C-",IF(P129&lt;'PlayerGrades+'!$AG$11,"C",IF(P129&lt;'PlayerGrades+'!$AG$10,"C+",IF(P129&lt;'PlayerGrades+'!$AG$9,"B-",IF(P129&lt;'PlayerGrades+'!$AG$8,"B",IF(P129&lt;'PlayerGrades+'!$AG$7,"B+",IF(P129&lt;'PlayerGrades+'!$AG$6,"A-",IF(P129&lt;'PlayerGrades+'!$AG$5,"A",IF(P129&lt;'PlayerGrades+'!$AG$4,"A+",IF(P129&lt;'PlayerGrades+'!$AG$3,"S-",IF(P129&lt;'PlayerGrades+'!$AG$2,"S","S+"))))))))))))))))))))</f>
        <v>F</v>
      </c>
      <c r="R129" s="937">
        <f t="shared" si="8"/>
        <v>0.3955021326</v>
      </c>
      <c r="S129" s="937" t="str">
        <f>IF(R129&lt;'PlayerGrades+'!$AH$21,"F-",IF(R129&lt;'PlayerGrades+'!$AH$20,"F",IF(R129&lt;'PlayerGrades+'!$AH$19,"F+",IF(R129&lt;'PlayerGrades+'!$AH$18,"E-",IF(R129&lt;'PlayerGrades+'!$AH$17,"E",IF(R129&lt;'PlayerGrades+'!$AH$16,"E+",IF(R129&lt;'PlayerGrades+'!$AH$15,"D-",IF(R129&lt;'PlayerGrades+'!$AH$14,"D",IF(R129&lt;'PlayerGrades+'!$AH$13,"D+",IF(R129&lt;'PlayerGrades+'!$AH$12,"C-",IF(R129&lt;'PlayerGrades+'!$AH$11,"C",IF(R129&lt;'PlayerGrades+'!$AH$10,"C+",IF(R129&lt;'PlayerGrades+'!$AH$9,"B-",IF(R129&lt;'PlayerGrades+'!$AH$8,"B",IF(R129&lt;'PlayerGrades+'!$AH$7,"B+",IF(R129&lt;'PlayerGrades+'!$AH$6,"A-",IF(R129&lt;'PlayerGrades+'!$AH$5,"A",IF(R129&lt;'PlayerGrades+'!$AH$4,"A+",IF(R129&lt;'PlayerGrades+'!$AH$3,"S-",IF(R129&lt;'PlayerGrades+'!$AH$2,"S","S+"))))))))))))))))))))</f>
        <v>F+</v>
      </c>
      <c r="T129" s="937">
        <f t="shared" si="9"/>
        <v>1.093059325</v>
      </c>
      <c r="U129" s="937" t="str">
        <f>IF(T129&lt;'PlayerGrades+'!$AI$21,"F-",IF(T129&lt;'PlayerGrades+'!$AI$20,"F",IF(T129&lt;'PlayerGrades+'!$AI$19,"F+",IF(T129&lt;'PlayerGrades+'!$AI$18,"E-",IF(T129&lt;'PlayerGrades+'!$AI$17,"E",IF(T129&lt;'PlayerGrades+'!$AI$16,"E+",IF(T129&lt;'PlayerGrades+'!$AI$15,"D-",IF(T129&lt;'PlayerGrades+'!$AI$14,"D",IF(T129&lt;'PlayerGrades+'!$AI$13,"D+",IF(T129&lt;'PlayerGrades+'!$AI$12,"C-",IF(T129&lt;'PlayerGrades+'!$AI$11,"C",IF(T129&lt;'PlayerGrades+'!$AI$10,"C+",IF(T129&lt;'PlayerGrades+'!$AI$9,"B-",IF(T129&lt;'PlayerGrades+'!$AI$8,"B",IF(T129&lt;'PlayerGrades+'!$AI$7,"B+",IF(T129&lt;'PlayerGrades+'!$AI$6,"A-",IF(T129&lt;'PlayerGrades+'!$AI$5,"A",IF(T129&lt;'PlayerGrades+'!$AI$4,"A+",IF(T129&lt;'PlayerGrades+'!$AI$3,"S-",IF(T129&lt;'PlayerGrades+'!$AI$2,"S","S+"))))))))))))))))))))</f>
        <v>D</v>
      </c>
      <c r="V129" s="944">
        <v>1.0</v>
      </c>
      <c r="W129" s="944">
        <v>1.0</v>
      </c>
      <c r="X129" s="944">
        <v>0.0</v>
      </c>
      <c r="Y129" s="944">
        <v>5.0</v>
      </c>
      <c r="Z129" s="944">
        <v>13.0</v>
      </c>
      <c r="AA129" s="944">
        <v>61.0</v>
      </c>
      <c r="AB129" s="944">
        <v>54.0</v>
      </c>
      <c r="AC129" s="944">
        <v>7.0</v>
      </c>
      <c r="AD129" s="944">
        <v>4.0</v>
      </c>
      <c r="AE129" s="944">
        <v>5.0</v>
      </c>
      <c r="AF129" s="944">
        <v>0.0</v>
      </c>
      <c r="AG129" s="944">
        <v>2302.0</v>
      </c>
      <c r="AH129" s="944">
        <v>2579.0</v>
      </c>
      <c r="AI129" s="944">
        <v>42.0</v>
      </c>
      <c r="AJ129" s="944">
        <v>1550.0</v>
      </c>
      <c r="AK129" s="944">
        <v>0.0</v>
      </c>
      <c r="AL129" s="944">
        <v>1.0</v>
      </c>
      <c r="AM129" s="944">
        <v>0.0</v>
      </c>
      <c r="AN129" s="944">
        <v>0.0</v>
      </c>
      <c r="AO129" s="944">
        <v>0.0</v>
      </c>
      <c r="AP129" s="944">
        <v>0.0</v>
      </c>
      <c r="AQ129" s="944">
        <v>0.0</v>
      </c>
      <c r="AR129" s="944">
        <v>5.0</v>
      </c>
      <c r="AS129" s="944">
        <v>0.0</v>
      </c>
      <c r="AT129" s="944">
        <v>0.0</v>
      </c>
      <c r="AU129" s="944">
        <v>0.0</v>
      </c>
      <c r="AV129" s="944">
        <v>0.0</v>
      </c>
      <c r="AW129" s="944">
        <v>0.0</v>
      </c>
      <c r="AX129" s="944">
        <v>0.0</v>
      </c>
      <c r="AY129" s="944">
        <v>0.0</v>
      </c>
      <c r="AZ129" s="944">
        <v>0.0</v>
      </c>
      <c r="BA129" s="944">
        <v>0.0</v>
      </c>
      <c r="BB129" s="944">
        <v>1.0</v>
      </c>
      <c r="BC129" s="944">
        <v>0.0</v>
      </c>
      <c r="BD129" s="944">
        <v>13.0</v>
      </c>
      <c r="BE129" s="944">
        <v>4.0</v>
      </c>
      <c r="BF129" s="944">
        <v>1.0</v>
      </c>
      <c r="BG129" s="945">
        <v>0.0</v>
      </c>
    </row>
    <row r="130">
      <c r="A130" s="946" t="s">
        <v>141</v>
      </c>
      <c r="B130" s="16" t="str">
        <f>IF(C130&lt;'PlayerGrades+'!$Y$44,"F-",IF(C130&lt;'PlayerGrades+'!$Y$43,"F",IF(C130&lt;'PlayerGrades+'!$Y$42,"F+",IF(C130&lt;'PlayerGrades+'!$Y$41,"E-",IF(C130&lt;'PlayerGrades+'!$Y$40,"E",IF(C130&lt;'PlayerGrades+'!$Y$39,"E+",IF(C130&lt;'PlayerGrades+'!$Y$38,"D-",IF(C130&lt;'PlayerGrades+'!$Y$37,"D",IF(C130&lt;'PlayerGrades+'!$Y$36,"D+",IF(C130&lt;'PlayerGrades+'!$Y$35,"C-",IF(C130&lt;'PlayerGrades+'!$Y$34,"C",IF(C130&lt;'PlayerGrades+'!$Y$33,"C+",IF(C130&lt;'PlayerGrades+'!$Y$32,"B-",IF(C130&lt;'PlayerGrades+'!$Y$31,"B",IF(C130&lt;'PlayerGrades+'!$Y$30,"B+",IF(C130&lt;'PlayerGrades+'!$Y$29,"A-",IF(C130&lt;'PlayerGrades+'!$Y$28,"A",IF(C130&lt;'PlayerGrades+'!$Y$27,"A+",IF(C130&lt;'PlayerGrades+'!$Y$26,"S-",IF(C130&lt;'PlayerGrades+'!$Y$25,"S","S+"))))))))))))))))))))</f>
        <v>B</v>
      </c>
      <c r="C130" s="936">
        <f>('PlayerGrades+'!$Y$47*(VLOOKUP(E130, 'PlayerGrades+'!$X$3:$Y$23, 2, FALSE)))+('PlayerGrades+'!$Y$48*(VLOOKUP(G130, 'PlayerGrades+'!$X$3:$Y$23, 2, FALSE)))+('PlayerGrades+'!$Y$49*(VLOOKUP(I130, 'PlayerGrades+'!$X$3:$Y$23, 2, FALSE)))+('PlayerGrades+'!$Y$50*(VLOOKUP(K130, 'PlayerGrades+'!$X$3:$Y$23, 2, FALSE)))+('PlayerGrades+'!$Y$51*(VLOOKUP(M130, 'PlayerGrades+'!$X$3:$Y$23, 2, FALSE)))+('PlayerGrades+'!$Y$52*(VLOOKUP(O130, 'PlayerGrades+'!$X$3:$Y$23, 2, FALSE)))+('PlayerGrades+'!$Y$53*(VLOOKUP(Q130, 'PlayerGrades+'!$X$3:$Y$23, 2, FALSE)))+('PlayerGrades+'!$Y$54*(VLOOKUP(S130, 'PlayerGrades+'!$X$3:$Y$23, 2, FALSE)))+('PlayerGrades+'!$Y$55*(VLOOKUP(U130, 'PlayerGrades+'!$X$3:$Y$23, 2, FALSE)))</f>
        <v>23.3</v>
      </c>
      <c r="D130" s="937">
        <f t="shared" si="1"/>
        <v>0.03506721216</v>
      </c>
      <c r="E130" s="937" t="str">
        <f>IF(D130&lt;'PlayerGrades+'!$AA$21,"F-",IF(D130&lt;'PlayerGrades+'!$AA$20,"F",IF(D130&lt;'PlayerGrades+'!$AA$19,"F+",IF(D130&lt;'PlayerGrades+'!$AA$18,"E-",IF(D130&lt;'PlayerGrades+'!$AA$17,"E",IF(D130&lt;'PlayerGrades+'!$AA$16,"E+",IF(D130&lt;'PlayerGrades+'!$AA$15,"D-",IF(D130&lt;'PlayerGrades+'!$AA$14,"D",IF(D130&lt;'PlayerGrades+'!$AA$13,"D+",IF(D130&lt;'PlayerGrades+'!$AA$12,"C-",IF(D130&lt;'PlayerGrades+'!$AA$11,"C",IF(D130&lt;'PlayerGrades+'!$AA$10,"C+",IF(D130&lt;'PlayerGrades+'!$AA$9,"B-",IF(D130&lt;'PlayerGrades+'!$AA$8,"B",IF(D130&lt;'PlayerGrades+'!$AA$7,"B+",IF(D130&lt;'PlayerGrades+'!$AA$6,"A-",IF(D130&lt;'PlayerGrades+'!$AA$5,"A",IF(D130&lt;'PlayerGrades+'!$AA$4,"A+",IF(D130&lt;'PlayerGrades+'!$AA$3,"S-",IF(D130&lt;'PlayerGrades+'!$AA$2,"S","S+"))))))))))))))))))))</f>
        <v>C-</v>
      </c>
      <c r="F130" s="937">
        <f t="shared" si="2"/>
        <v>-0.2805376973</v>
      </c>
      <c r="G130" s="937" t="str">
        <f>IF(F130&lt;'PlayerGrades+'!$AB$21,"F-",IF(F130&lt;'PlayerGrades+'!$AB$20,"F",IF(F130&lt;'PlayerGrades+'!$AB$19,"F+",IF(F130&lt;'PlayerGrades+'!$AB$18,"E-",IF(F130&lt;'PlayerGrades+'!$AB$17,"E",IF(F130&lt;'PlayerGrades+'!$AB$16,"E+",IF(F130&lt;'PlayerGrades+'!$AB$15,"D-",IF(F130&lt;'PlayerGrades+'!$AB$14,"D",IF(F130&lt;'PlayerGrades+'!$AB$13,"D+",IF(F130&lt;'PlayerGrades+'!$AB$12,"C-",IF(F130&lt;'PlayerGrades+'!$AB$11,"C",IF(F130&lt;'PlayerGrades+'!$AB$10,"C+",IF(F130&lt;'PlayerGrades+'!$AB$9,"B-",IF(F130&lt;'PlayerGrades+'!$AB$8,"B",IF(F130&lt;'PlayerGrades+'!$AB$7,"B+",IF(F130&lt;'PlayerGrades+'!$AB$6,"A-",IF(F130&lt;'PlayerGrades+'!$AB$5,"A",IF(F130&lt;'PlayerGrades+'!$AB$4,"A+",IF(F130&lt;'PlayerGrades+'!$AB$3,"S-",IF(F130&lt;'PlayerGrades+'!$AB$2,"S","S+"))))))))))))))))))))</f>
        <v>C</v>
      </c>
      <c r="H130" s="937">
        <f t="shared" si="3"/>
        <v>0.2104032729</v>
      </c>
      <c r="I130" s="937" t="str">
        <f>IF(H130&lt;'PlayerGrades+'!$AC$21,"F-",IF(H130&lt;'PlayerGrades+'!$AC$20,"F",IF(H130&lt;'PlayerGrades+'!$AC$19,"F+",IF(H130&lt;'PlayerGrades+'!$AC$18,"E-",IF(H130&lt;'PlayerGrades+'!$AC$17,"E",IF(H130&lt;'PlayerGrades+'!$AC$16,"E+",IF(H130&lt;'PlayerGrades+'!$AC$15,"D-",IF(H130&lt;'PlayerGrades+'!$AC$14,"D",IF(H130&lt;'PlayerGrades+'!$AC$13,"D+",IF(H130&lt;'PlayerGrades+'!$AC$12,"C-",IF(H130&lt;'PlayerGrades+'!$AC$11,"C",IF(H130&lt;'PlayerGrades+'!$AC$10,"C+",IF(H130&lt;'PlayerGrades+'!$AC$9,"B-",IF(H130&lt;'PlayerGrades+'!$AC$8,"B",IF(H130&lt;'PlayerGrades+'!$AC$7,"B+",IF(H130&lt;'PlayerGrades+'!$AC$6,"A-",IF(H130&lt;'PlayerGrades+'!$AC$5,"A",IF(H130&lt;'PlayerGrades+'!$AC$4,"A+",IF(H130&lt;'PlayerGrades+'!$AC$3,"S-",IF(H130&lt;'PlayerGrades+'!$AC$2,"S","S+"))))))))))))))))))))</f>
        <v>S</v>
      </c>
      <c r="J130" s="937">
        <f t="shared" si="4"/>
        <v>0</v>
      </c>
      <c r="K130" s="937" t="str">
        <f>IF(J130&lt;'PlayerGrades+'!$AD$21,"F-",IF(J130&lt;'PlayerGrades+'!$AD$20,"F",IF(J130&lt;'PlayerGrades+'!$AD$19,"F+",IF(J130&lt;'PlayerGrades+'!$AD$18,"E-",IF(J130&lt;'PlayerGrades+'!$AD$17,"E",IF(J130&lt;'PlayerGrades+'!$AD$16,"E+",IF(J130&lt;'PlayerGrades+'!$AD$15,"D-",IF(J130&lt;'PlayerGrades+'!$AD$14,"D",IF(J130&lt;'PlayerGrades+'!$AD$13,"D+",IF(J130&lt;'PlayerGrades+'!$AD$12,"C-",IF(J130&lt;'PlayerGrades+'!$AD$11,"C",IF(J130&lt;'PlayerGrades+'!$AD$10,"C+",IF(J130&lt;'PlayerGrades+'!$AD$9,"B-",IF(J130&lt;'PlayerGrades+'!$AD$8,"B",IF(J130&lt;'PlayerGrades+'!$AD$7,"B+",IF(J130&lt;'PlayerGrades+'!$AD$6,"A-",IF(J130&lt;'PlayerGrades+'!$AD$5,"A",IF(J130&lt;'PlayerGrades+'!$AD$4,"A+",IF(J130&lt;'PlayerGrades+'!$AD$3,"S-",IF(J130&lt;'PlayerGrades+'!$AD$2,"S","S+"))))))))))))))))))))</f>
        <v>F-</v>
      </c>
      <c r="L130" s="677">
        <f t="shared" si="5"/>
        <v>0.7714786674</v>
      </c>
      <c r="M130" s="938" t="str">
        <f>IF(L130&lt;'PlayerGrades+'!$AE$21,"F-",IF(L130&lt;'PlayerGrades+'!$AE$20,"F",IF(L130&lt;'PlayerGrades+'!$AE$19,"F+",IF(L130&lt;'PlayerGrades+'!$AE$18,"E-",IF(L130&lt;'PlayerGrades+'!$AE$17,"E",IF(L130&lt;'PlayerGrades+'!$AE$16,"E+",IF(L130&lt;'PlayerGrades+'!$AE$15,"D-",IF(L130&lt;'PlayerGrades+'!$AE$14,"D",IF(L130&lt;'PlayerGrades+'!$AE$13,"D+",IF(L130&lt;'PlayerGrades+'!$AE$12,"C-",IF(L130&lt;'PlayerGrades+'!$AE$11,"C",IF(L130&lt;'PlayerGrades+'!$AE$10,"C+",IF(L130&lt;'PlayerGrades+'!$AE$9,"B-",IF(L130&lt;'PlayerGrades+'!$AE$8,"B",IF(L130&lt;'PlayerGrades+'!$AE$7,"B+",IF(L130&lt;'PlayerGrades+'!$AE$6,"A-",IF(L130&lt;'PlayerGrades+'!$AE$5,"A",IF(L130&lt;'PlayerGrades+'!$AE$4,"A+",IF(L130&lt;'PlayerGrades+'!$AE$3,"S-",IF(L130&lt;'PlayerGrades+'!$AE$2,"S","S+"))))))))))))))))))))</f>
        <v>S+</v>
      </c>
      <c r="N130" s="937">
        <f t="shared" si="6"/>
        <v>0.07013442431</v>
      </c>
      <c r="O130" s="937" t="str">
        <f>IF(N130&lt;'PlayerGrades+'!$AF$21,"F-",IF(N130&lt;'PlayerGrades+'!$AF$20,"F",IF(N130&lt;'PlayerGrades+'!$AF$19,"F+",IF(N130&lt;'PlayerGrades+'!$AF$18,"E-",IF(N130&lt;'PlayerGrades+'!$AF$17,"E",IF(N130&lt;'PlayerGrades+'!$AF$16,"E+",IF(N130&lt;'PlayerGrades+'!$AF$15,"D-",IF(N130&lt;'PlayerGrades+'!$AF$14,"D",IF(N130&lt;'PlayerGrades+'!$AF$13,"D+",IF(N130&lt;'PlayerGrades+'!$AF$12,"C-",IF(N130&lt;'PlayerGrades+'!$AF$11,"C",IF(N130&lt;'PlayerGrades+'!$AF$10,"C+",IF(N130&lt;'PlayerGrades+'!$AF$9,"B-",IF(N130&lt;'PlayerGrades+'!$AF$8,"B",IF(N130&lt;'PlayerGrades+'!$AF$7,"B+",IF(N130&lt;'PlayerGrades+'!$AF$6,"A-",IF(N130&lt;'PlayerGrades+'!$AF$5,"A",IF(N130&lt;'PlayerGrades+'!$AF$4,"A+",IF(N130&lt;'PlayerGrades+'!$AF$3,"S-",IF(N130&lt;'PlayerGrades+'!$AF$2,"S","S+"))))))))))))))))))))</f>
        <v>C-</v>
      </c>
      <c r="P130" s="937">
        <f t="shared" si="7"/>
        <v>0</v>
      </c>
      <c r="Q130" s="937" t="str">
        <f>IF(P130&lt;'PlayerGrades+'!$AG$21,"F-",IF(P130&lt;'PlayerGrades+'!$AG$20,"F",IF(P130&lt;'PlayerGrades+'!$AG$19,"F+",IF(P130&lt;'PlayerGrades+'!$AG$18,"E-",IF(P130&lt;'PlayerGrades+'!$AG$17,"E",IF(P130&lt;'PlayerGrades+'!$AG$16,"E+",IF(P130&lt;'PlayerGrades+'!$AG$15,"D-",IF(P130&lt;'PlayerGrades+'!$AG$14,"D",IF(P130&lt;'PlayerGrades+'!$AG$13,"D+",IF(P130&lt;'PlayerGrades+'!$AG$12,"C-",IF(P130&lt;'PlayerGrades+'!$AG$11,"C",IF(P130&lt;'PlayerGrades+'!$AG$10,"C+",IF(P130&lt;'PlayerGrades+'!$AG$9,"B-",IF(P130&lt;'PlayerGrades+'!$AG$8,"B",IF(P130&lt;'PlayerGrades+'!$AG$7,"B+",IF(P130&lt;'PlayerGrades+'!$AG$6,"A-",IF(P130&lt;'PlayerGrades+'!$AG$5,"A",IF(P130&lt;'PlayerGrades+'!$AG$4,"A+",IF(P130&lt;'PlayerGrades+'!$AG$3,"S-",IF(P130&lt;'PlayerGrades+'!$AG$2,"S","S+"))))))))))))))))))))</f>
        <v>F</v>
      </c>
      <c r="R130" s="937">
        <f t="shared" si="8"/>
        <v>1.087083577</v>
      </c>
      <c r="S130" s="937" t="str">
        <f>IF(R130&lt;'PlayerGrades+'!$AH$21,"F-",IF(R130&lt;'PlayerGrades+'!$AH$20,"F",IF(R130&lt;'PlayerGrades+'!$AH$19,"F+",IF(R130&lt;'PlayerGrades+'!$AH$18,"E-",IF(R130&lt;'PlayerGrades+'!$AH$17,"E",IF(R130&lt;'PlayerGrades+'!$AH$16,"E+",IF(R130&lt;'PlayerGrades+'!$AH$15,"D-",IF(R130&lt;'PlayerGrades+'!$AH$14,"D",IF(R130&lt;'PlayerGrades+'!$AH$13,"D+",IF(R130&lt;'PlayerGrades+'!$AH$12,"C-",IF(R130&lt;'PlayerGrades+'!$AH$11,"C",IF(R130&lt;'PlayerGrades+'!$AH$10,"C+",IF(R130&lt;'PlayerGrades+'!$AH$9,"B-",IF(R130&lt;'PlayerGrades+'!$AH$8,"B",IF(R130&lt;'PlayerGrades+'!$AH$7,"B+",IF(R130&lt;'PlayerGrades+'!$AH$6,"A-",IF(R130&lt;'PlayerGrades+'!$AH$5,"A",IF(R130&lt;'PlayerGrades+'!$AH$4,"A+",IF(R130&lt;'PlayerGrades+'!$AH$3,"S-",IF(R130&lt;'PlayerGrades+'!$AH$2,"S","S+"))))))))))))))))))))</f>
        <v>S+</v>
      </c>
      <c r="T130" s="937">
        <f t="shared" si="9"/>
        <v>0.5961426067</v>
      </c>
      <c r="U130" s="937" t="str">
        <f>IF(T130&lt;'PlayerGrades+'!$AI$21,"F-",IF(T130&lt;'PlayerGrades+'!$AI$20,"F",IF(T130&lt;'PlayerGrades+'!$AI$19,"F+",IF(T130&lt;'PlayerGrades+'!$AI$18,"E-",IF(T130&lt;'PlayerGrades+'!$AI$17,"E",IF(T130&lt;'PlayerGrades+'!$AI$16,"E+",IF(T130&lt;'PlayerGrades+'!$AI$15,"D-",IF(T130&lt;'PlayerGrades+'!$AI$14,"D",IF(T130&lt;'PlayerGrades+'!$AI$13,"D+",IF(T130&lt;'PlayerGrades+'!$AI$12,"C-",IF(T130&lt;'PlayerGrades+'!$AI$11,"C",IF(T130&lt;'PlayerGrades+'!$AI$10,"C+",IF(T130&lt;'PlayerGrades+'!$AI$9,"B-",IF(T130&lt;'PlayerGrades+'!$AI$8,"B",IF(T130&lt;'PlayerGrades+'!$AI$7,"B+",IF(T130&lt;'PlayerGrades+'!$AI$6,"A-",IF(T130&lt;'PlayerGrades+'!$AI$5,"A",IF(T130&lt;'PlayerGrades+'!$AI$4,"A+",IF(T130&lt;'PlayerGrades+'!$AI$3,"S-",IF(T130&lt;'PlayerGrades+'!$AI$2,"S","S+"))))))))))))))))))))</f>
        <v>F-</v>
      </c>
      <c r="V130" s="939">
        <v>1.0</v>
      </c>
      <c r="W130" s="939">
        <v>0.0</v>
      </c>
      <c r="X130" s="939">
        <v>1.0</v>
      </c>
      <c r="Y130" s="939">
        <v>0.0</v>
      </c>
      <c r="Z130" s="939">
        <v>1.0</v>
      </c>
      <c r="AA130" s="939">
        <v>105.0</v>
      </c>
      <c r="AB130" s="939">
        <v>113.0</v>
      </c>
      <c r="AC130" s="939">
        <v>-8.0</v>
      </c>
      <c r="AD130" s="939">
        <v>7.0</v>
      </c>
      <c r="AE130" s="939">
        <v>4.0</v>
      </c>
      <c r="AF130" s="939">
        <v>1.0</v>
      </c>
      <c r="AG130" s="939">
        <v>1283.0</v>
      </c>
      <c r="AH130" s="939">
        <v>1711.0</v>
      </c>
      <c r="AI130" s="939">
        <v>11.0</v>
      </c>
      <c r="AJ130" s="939">
        <v>10.0</v>
      </c>
      <c r="AK130" s="939">
        <v>0.0</v>
      </c>
      <c r="AL130" s="939">
        <v>0.0</v>
      </c>
      <c r="AM130" s="939">
        <v>0.0</v>
      </c>
      <c r="AN130" s="939">
        <v>0.0</v>
      </c>
      <c r="AO130" s="939">
        <v>0.0</v>
      </c>
      <c r="AP130" s="939">
        <v>0.0</v>
      </c>
      <c r="AQ130" s="939">
        <v>0.0</v>
      </c>
      <c r="AR130" s="939">
        <v>22.0</v>
      </c>
      <c r="AS130" s="939">
        <v>2.0</v>
      </c>
      <c r="AT130" s="939">
        <v>0.0</v>
      </c>
      <c r="AU130" s="939">
        <v>0.0</v>
      </c>
      <c r="AV130" s="939">
        <v>0.0</v>
      </c>
      <c r="AW130" s="939">
        <v>0.0</v>
      </c>
      <c r="AX130" s="939">
        <v>0.0</v>
      </c>
      <c r="AY130" s="939">
        <v>0.0</v>
      </c>
      <c r="AZ130" s="939">
        <v>0.0</v>
      </c>
      <c r="BA130" s="939">
        <v>0.0</v>
      </c>
      <c r="BB130" s="939">
        <v>6.0</v>
      </c>
      <c r="BC130" s="939">
        <v>0.0</v>
      </c>
      <c r="BD130" s="939">
        <v>24.0</v>
      </c>
      <c r="BE130" s="939">
        <v>17.0</v>
      </c>
      <c r="BF130" s="939">
        <v>0.0</v>
      </c>
      <c r="BG130" s="940">
        <v>0.0</v>
      </c>
    </row>
    <row r="131">
      <c r="A131" s="935" t="s">
        <v>130</v>
      </c>
      <c r="B131" s="16" t="str">
        <f>IF(C131&lt;'PlayerGrades+'!$Y$44,"F-",IF(C131&lt;'PlayerGrades+'!$Y$43,"F",IF(C131&lt;'PlayerGrades+'!$Y$42,"F+",IF(C131&lt;'PlayerGrades+'!$Y$41,"E-",IF(C131&lt;'PlayerGrades+'!$Y$40,"E",IF(C131&lt;'PlayerGrades+'!$Y$39,"E+",IF(C131&lt;'PlayerGrades+'!$Y$38,"D-",IF(C131&lt;'PlayerGrades+'!$Y$37,"D",IF(C131&lt;'PlayerGrades+'!$Y$36,"D+",IF(C131&lt;'PlayerGrades+'!$Y$35,"C-",IF(C131&lt;'PlayerGrades+'!$Y$34,"C",IF(C131&lt;'PlayerGrades+'!$Y$33,"C+",IF(C131&lt;'PlayerGrades+'!$Y$32,"B-",IF(C131&lt;'PlayerGrades+'!$Y$31,"B",IF(C131&lt;'PlayerGrades+'!$Y$30,"B+",IF(C131&lt;'PlayerGrades+'!$Y$29,"A-",IF(C131&lt;'PlayerGrades+'!$Y$28,"A",IF(C131&lt;'PlayerGrades+'!$Y$27,"A+",IF(C131&lt;'PlayerGrades+'!$Y$26,"S-",IF(C131&lt;'PlayerGrades+'!$Y$25,"S","S+"))))))))))))))))))))</f>
        <v>C</v>
      </c>
      <c r="C131" s="936">
        <f>('PlayerGrades+'!$Y$47*(VLOOKUP(E131, 'PlayerGrades+'!$X$3:$Y$23, 2, FALSE)))+('PlayerGrades+'!$Y$48*(VLOOKUP(G131, 'PlayerGrades+'!$X$3:$Y$23, 2, FALSE)))+('PlayerGrades+'!$Y$49*(VLOOKUP(I131, 'PlayerGrades+'!$X$3:$Y$23, 2, FALSE)))+('PlayerGrades+'!$Y$50*(VLOOKUP(K131, 'PlayerGrades+'!$X$3:$Y$23, 2, FALSE)))+('PlayerGrades+'!$Y$51*(VLOOKUP(M131, 'PlayerGrades+'!$X$3:$Y$23, 2, FALSE)))+('PlayerGrades+'!$Y$52*(VLOOKUP(O131, 'PlayerGrades+'!$X$3:$Y$23, 2, FALSE)))+('PlayerGrades+'!$Y$53*(VLOOKUP(Q131, 'PlayerGrades+'!$X$3:$Y$23, 2, FALSE)))+('PlayerGrades+'!$Y$54*(VLOOKUP(S131, 'PlayerGrades+'!$X$3:$Y$23, 2, FALSE)))+('PlayerGrades+'!$Y$55*(VLOOKUP(U131, 'PlayerGrades+'!$X$3:$Y$23, 2, FALSE)))</f>
        <v>20.3</v>
      </c>
      <c r="D131" s="937">
        <f t="shared" si="1"/>
        <v>0</v>
      </c>
      <c r="E131" s="937" t="str">
        <f>IF(D131&lt;'PlayerGrades+'!$AA$21,"F-",IF(D131&lt;'PlayerGrades+'!$AA$20,"F",IF(D131&lt;'PlayerGrades+'!$AA$19,"F+",IF(D131&lt;'PlayerGrades+'!$AA$18,"E-",IF(D131&lt;'PlayerGrades+'!$AA$17,"E",IF(D131&lt;'PlayerGrades+'!$AA$16,"E+",IF(D131&lt;'PlayerGrades+'!$AA$15,"D-",IF(D131&lt;'PlayerGrades+'!$AA$14,"D",IF(D131&lt;'PlayerGrades+'!$AA$13,"D+",IF(D131&lt;'PlayerGrades+'!$AA$12,"C-",IF(D131&lt;'PlayerGrades+'!$AA$11,"C",IF(D131&lt;'PlayerGrades+'!$AA$10,"C+",IF(D131&lt;'PlayerGrades+'!$AA$9,"B-",IF(D131&lt;'PlayerGrades+'!$AA$8,"B",IF(D131&lt;'PlayerGrades+'!$AA$7,"B+",IF(D131&lt;'PlayerGrades+'!$AA$6,"A-",IF(D131&lt;'PlayerGrades+'!$AA$5,"A",IF(D131&lt;'PlayerGrades+'!$AA$4,"A+",IF(D131&lt;'PlayerGrades+'!$AA$3,"S-",IF(D131&lt;'PlayerGrades+'!$AA$2,"S","S+"))))))))))))))))))))</f>
        <v>F-</v>
      </c>
      <c r="F131" s="937">
        <f t="shared" si="2"/>
        <v>0.2454704851</v>
      </c>
      <c r="G131" s="937" t="str">
        <f>IF(F131&lt;'PlayerGrades+'!$AB$21,"F-",IF(F131&lt;'PlayerGrades+'!$AB$20,"F",IF(F131&lt;'PlayerGrades+'!$AB$19,"F+",IF(F131&lt;'PlayerGrades+'!$AB$18,"E-",IF(F131&lt;'PlayerGrades+'!$AB$17,"E",IF(F131&lt;'PlayerGrades+'!$AB$16,"E+",IF(F131&lt;'PlayerGrades+'!$AB$15,"D-",IF(F131&lt;'PlayerGrades+'!$AB$14,"D",IF(F131&lt;'PlayerGrades+'!$AB$13,"D+",IF(F131&lt;'PlayerGrades+'!$AB$12,"C-",IF(F131&lt;'PlayerGrades+'!$AB$11,"C",IF(F131&lt;'PlayerGrades+'!$AB$10,"C+",IF(F131&lt;'PlayerGrades+'!$AB$9,"B-",IF(F131&lt;'PlayerGrades+'!$AB$8,"B",IF(F131&lt;'PlayerGrades+'!$AB$7,"B+",IF(F131&lt;'PlayerGrades+'!$AB$6,"A-",IF(F131&lt;'PlayerGrades+'!$AB$5,"A",IF(F131&lt;'PlayerGrades+'!$AB$4,"A+",IF(F131&lt;'PlayerGrades+'!$AB$3,"S-",IF(F131&lt;'PlayerGrades+'!$AB$2,"S","S+"))))))))))))))))))))</f>
        <v>B+</v>
      </c>
      <c r="H131" s="937">
        <f t="shared" si="3"/>
        <v>0.2104032729</v>
      </c>
      <c r="I131" s="937" t="str">
        <f>IF(H131&lt;'PlayerGrades+'!$AC$21,"F-",IF(H131&lt;'PlayerGrades+'!$AC$20,"F",IF(H131&lt;'PlayerGrades+'!$AC$19,"F+",IF(H131&lt;'PlayerGrades+'!$AC$18,"E-",IF(H131&lt;'PlayerGrades+'!$AC$17,"E",IF(H131&lt;'PlayerGrades+'!$AC$16,"E+",IF(H131&lt;'PlayerGrades+'!$AC$15,"D-",IF(H131&lt;'PlayerGrades+'!$AC$14,"D",IF(H131&lt;'PlayerGrades+'!$AC$13,"D+",IF(H131&lt;'PlayerGrades+'!$AC$12,"C-",IF(H131&lt;'PlayerGrades+'!$AC$11,"C",IF(H131&lt;'PlayerGrades+'!$AC$10,"C+",IF(H131&lt;'PlayerGrades+'!$AC$9,"B-",IF(H131&lt;'PlayerGrades+'!$AC$8,"B",IF(H131&lt;'PlayerGrades+'!$AC$7,"B+",IF(H131&lt;'PlayerGrades+'!$AC$6,"A-",IF(H131&lt;'PlayerGrades+'!$AC$5,"A",IF(H131&lt;'PlayerGrades+'!$AC$4,"A+",IF(H131&lt;'PlayerGrades+'!$AC$3,"S-",IF(H131&lt;'PlayerGrades+'!$AC$2,"S","S+"))))))))))))))))))))</f>
        <v>S</v>
      </c>
      <c r="J131" s="937">
        <f t="shared" si="4"/>
        <v>0.07013442431</v>
      </c>
      <c r="K131" s="937" t="str">
        <f>IF(J131&lt;'PlayerGrades+'!$AD$21,"F-",IF(J131&lt;'PlayerGrades+'!$AD$20,"F",IF(J131&lt;'PlayerGrades+'!$AD$19,"F+",IF(J131&lt;'PlayerGrades+'!$AD$18,"E-",IF(J131&lt;'PlayerGrades+'!$AD$17,"E",IF(J131&lt;'PlayerGrades+'!$AD$16,"E+",IF(J131&lt;'PlayerGrades+'!$AD$15,"D-",IF(J131&lt;'PlayerGrades+'!$AD$14,"D",IF(J131&lt;'PlayerGrades+'!$AD$13,"D+",IF(J131&lt;'PlayerGrades+'!$AD$12,"C-",IF(J131&lt;'PlayerGrades+'!$AD$11,"C",IF(J131&lt;'PlayerGrades+'!$AD$10,"C+",IF(J131&lt;'PlayerGrades+'!$AD$9,"B-",IF(J131&lt;'PlayerGrades+'!$AD$8,"B",IF(J131&lt;'PlayerGrades+'!$AD$7,"B+",IF(J131&lt;'PlayerGrades+'!$AD$6,"A-",IF(J131&lt;'PlayerGrades+'!$AD$5,"A",IF(J131&lt;'PlayerGrades+'!$AD$4,"A+",IF(J131&lt;'PlayerGrades+'!$AD$3,"S-",IF(J131&lt;'PlayerGrades+'!$AD$2,"S","S+"))))))))))))))))))))</f>
        <v>A-</v>
      </c>
      <c r="L131" s="677">
        <f t="shared" si="5"/>
        <v>0.3506721216</v>
      </c>
      <c r="M131" s="938" t="str">
        <f>IF(L131&lt;'PlayerGrades+'!$AE$21,"F-",IF(L131&lt;'PlayerGrades+'!$AE$20,"F",IF(L131&lt;'PlayerGrades+'!$AE$19,"F+",IF(L131&lt;'PlayerGrades+'!$AE$18,"E-",IF(L131&lt;'PlayerGrades+'!$AE$17,"E",IF(L131&lt;'PlayerGrades+'!$AE$16,"E+",IF(L131&lt;'PlayerGrades+'!$AE$15,"D-",IF(L131&lt;'PlayerGrades+'!$AE$14,"D",IF(L131&lt;'PlayerGrades+'!$AE$13,"D+",IF(L131&lt;'PlayerGrades+'!$AE$12,"C-",IF(L131&lt;'PlayerGrades+'!$AE$11,"C",IF(L131&lt;'PlayerGrades+'!$AE$10,"C+",IF(L131&lt;'PlayerGrades+'!$AE$9,"B-",IF(L131&lt;'PlayerGrades+'!$AE$8,"B",IF(L131&lt;'PlayerGrades+'!$AE$7,"B+",IF(L131&lt;'PlayerGrades+'!$AE$6,"A-",IF(L131&lt;'PlayerGrades+'!$AE$5,"A",IF(L131&lt;'PlayerGrades+'!$AE$4,"A+",IF(L131&lt;'PlayerGrades+'!$AE$3,"S-",IF(L131&lt;'PlayerGrades+'!$AE$2,"S","S+"))))))))))))))))))))</f>
        <v>D</v>
      </c>
      <c r="N131" s="937">
        <f t="shared" si="6"/>
        <v>0</v>
      </c>
      <c r="O131" s="937" t="str">
        <f>IF(N131&lt;'PlayerGrades+'!$AF$21,"F-",IF(N131&lt;'PlayerGrades+'!$AF$20,"F",IF(N131&lt;'PlayerGrades+'!$AF$19,"F+",IF(N131&lt;'PlayerGrades+'!$AF$18,"E-",IF(N131&lt;'PlayerGrades+'!$AF$17,"E",IF(N131&lt;'PlayerGrades+'!$AF$16,"E+",IF(N131&lt;'PlayerGrades+'!$AF$15,"D-",IF(N131&lt;'PlayerGrades+'!$AF$14,"D",IF(N131&lt;'PlayerGrades+'!$AF$13,"D+",IF(N131&lt;'PlayerGrades+'!$AF$12,"C-",IF(N131&lt;'PlayerGrades+'!$AF$11,"C",IF(N131&lt;'PlayerGrades+'!$AF$10,"C+",IF(N131&lt;'PlayerGrades+'!$AF$9,"B-",IF(N131&lt;'PlayerGrades+'!$AF$8,"B",IF(N131&lt;'PlayerGrades+'!$AF$7,"B+",IF(N131&lt;'PlayerGrades+'!$AF$6,"A-",IF(N131&lt;'PlayerGrades+'!$AF$5,"A",IF(N131&lt;'PlayerGrades+'!$AF$4,"A+",IF(N131&lt;'PlayerGrades+'!$AF$3,"S-",IF(N131&lt;'PlayerGrades+'!$AF$2,"S","S+"))))))))))))))))))))</f>
        <v>F-</v>
      </c>
      <c r="P131" s="937">
        <f t="shared" si="7"/>
        <v>0.03506721216</v>
      </c>
      <c r="Q131" s="937" t="str">
        <f>IF(P131&lt;'PlayerGrades+'!$AG$21,"F-",IF(P131&lt;'PlayerGrades+'!$AG$20,"F",IF(P131&lt;'PlayerGrades+'!$AG$19,"F+",IF(P131&lt;'PlayerGrades+'!$AG$18,"E-",IF(P131&lt;'PlayerGrades+'!$AG$17,"E",IF(P131&lt;'PlayerGrades+'!$AG$16,"E+",IF(P131&lt;'PlayerGrades+'!$AG$15,"D-",IF(P131&lt;'PlayerGrades+'!$AG$14,"D",IF(P131&lt;'PlayerGrades+'!$AG$13,"D+",IF(P131&lt;'PlayerGrades+'!$AG$12,"C-",IF(P131&lt;'PlayerGrades+'!$AG$11,"C",IF(P131&lt;'PlayerGrades+'!$AG$10,"C+",IF(P131&lt;'PlayerGrades+'!$AG$9,"B-",IF(P131&lt;'PlayerGrades+'!$AG$8,"B",IF(P131&lt;'PlayerGrades+'!$AG$7,"B+",IF(P131&lt;'PlayerGrades+'!$AG$6,"A-",IF(P131&lt;'PlayerGrades+'!$AG$5,"A",IF(P131&lt;'PlayerGrades+'!$AG$4,"A+",IF(P131&lt;'PlayerGrades+'!$AG$3,"S-",IF(P131&lt;'PlayerGrades+'!$AG$2,"S","S+"))))))))))))))))))))</f>
        <v>B+</v>
      </c>
      <c r="R131" s="937">
        <f t="shared" si="8"/>
        <v>0.6312098188</v>
      </c>
      <c r="S131" s="937" t="str">
        <f>IF(R131&lt;'PlayerGrades+'!$AH$21,"F-",IF(R131&lt;'PlayerGrades+'!$AH$20,"F",IF(R131&lt;'PlayerGrades+'!$AH$19,"F+",IF(R131&lt;'PlayerGrades+'!$AH$18,"E-",IF(R131&lt;'PlayerGrades+'!$AH$17,"E",IF(R131&lt;'PlayerGrades+'!$AH$16,"E+",IF(R131&lt;'PlayerGrades+'!$AH$15,"D-",IF(R131&lt;'PlayerGrades+'!$AH$14,"D",IF(R131&lt;'PlayerGrades+'!$AH$13,"D+",IF(R131&lt;'PlayerGrades+'!$AH$12,"C-",IF(R131&lt;'PlayerGrades+'!$AH$11,"C",IF(R131&lt;'PlayerGrades+'!$AH$10,"C+",IF(R131&lt;'PlayerGrades+'!$AH$9,"B-",IF(R131&lt;'PlayerGrades+'!$AH$8,"B",IF(R131&lt;'PlayerGrades+'!$AH$7,"B+",IF(R131&lt;'PlayerGrades+'!$AH$6,"A-",IF(R131&lt;'PlayerGrades+'!$AH$5,"A",IF(R131&lt;'PlayerGrades+'!$AH$4,"A+",IF(R131&lt;'PlayerGrades+'!$AH$3,"S-",IF(R131&lt;'PlayerGrades+'!$AH$2,"S","S+"))))))))))))))))))))</f>
        <v>A</v>
      </c>
      <c r="T131" s="937">
        <f t="shared" si="9"/>
        <v>1.385739334</v>
      </c>
      <c r="U131" s="937" t="str">
        <f>IF(T131&lt;'PlayerGrades+'!$AI$21,"F-",IF(T131&lt;'PlayerGrades+'!$AI$20,"F",IF(T131&lt;'PlayerGrades+'!$AI$19,"F+",IF(T131&lt;'PlayerGrades+'!$AI$18,"E-",IF(T131&lt;'PlayerGrades+'!$AI$17,"E",IF(T131&lt;'PlayerGrades+'!$AI$16,"E+",IF(T131&lt;'PlayerGrades+'!$AI$15,"D-",IF(T131&lt;'PlayerGrades+'!$AI$14,"D",IF(T131&lt;'PlayerGrades+'!$AI$13,"D+",IF(T131&lt;'PlayerGrades+'!$AI$12,"C-",IF(T131&lt;'PlayerGrades+'!$AI$11,"C",IF(T131&lt;'PlayerGrades+'!$AI$10,"C+",IF(T131&lt;'PlayerGrades+'!$AI$9,"B-",IF(T131&lt;'PlayerGrades+'!$AI$8,"B",IF(T131&lt;'PlayerGrades+'!$AI$7,"B+",IF(T131&lt;'PlayerGrades+'!$AI$6,"A-",IF(T131&lt;'PlayerGrades+'!$AI$5,"A",IF(T131&lt;'PlayerGrades+'!$AI$4,"A+",IF(T131&lt;'PlayerGrades+'!$AI$3,"S-",IF(T131&lt;'PlayerGrades+'!$AI$2,"S","S+"))))))))))))))))))))</f>
        <v>B</v>
      </c>
      <c r="V131" s="941">
        <v>1.0</v>
      </c>
      <c r="W131" s="941">
        <v>0.0</v>
      </c>
      <c r="X131" s="941">
        <v>1.0</v>
      </c>
      <c r="Y131" s="941">
        <v>0.0</v>
      </c>
      <c r="Z131" s="941">
        <v>0.0</v>
      </c>
      <c r="AA131" s="941">
        <v>92.0</v>
      </c>
      <c r="AB131" s="941">
        <v>85.0</v>
      </c>
      <c r="AC131" s="941">
        <v>7.0</v>
      </c>
      <c r="AD131" s="941">
        <v>5.0</v>
      </c>
      <c r="AE131" s="941">
        <v>5.0</v>
      </c>
      <c r="AF131" s="941">
        <v>4.0</v>
      </c>
      <c r="AG131" s="941">
        <v>1365.0</v>
      </c>
      <c r="AH131" s="941">
        <v>1711.0</v>
      </c>
      <c r="AI131" s="941">
        <v>16.0</v>
      </c>
      <c r="AJ131" s="941">
        <v>10.0</v>
      </c>
      <c r="AK131" s="941">
        <v>0.0</v>
      </c>
      <c r="AL131" s="941">
        <v>2.0</v>
      </c>
      <c r="AM131" s="941">
        <v>0.0</v>
      </c>
      <c r="AN131" s="941">
        <v>0.0</v>
      </c>
      <c r="AO131" s="941">
        <v>0.0</v>
      </c>
      <c r="AP131" s="941">
        <v>1.0</v>
      </c>
      <c r="AQ131" s="941">
        <v>0.0</v>
      </c>
      <c r="AR131" s="941">
        <v>10.0</v>
      </c>
      <c r="AS131" s="941">
        <v>0.0</v>
      </c>
      <c r="AT131" s="941">
        <v>0.0</v>
      </c>
      <c r="AU131" s="941">
        <v>0.0</v>
      </c>
      <c r="AV131" s="941">
        <v>0.0</v>
      </c>
      <c r="AW131" s="941">
        <v>0.0</v>
      </c>
      <c r="AX131" s="941">
        <v>0.0</v>
      </c>
      <c r="AY131" s="941">
        <v>0.0</v>
      </c>
      <c r="AZ131" s="941">
        <v>0.0</v>
      </c>
      <c r="BA131" s="941">
        <v>0.0</v>
      </c>
      <c r="BB131" s="941">
        <v>6.0</v>
      </c>
      <c r="BC131" s="941">
        <v>0.0</v>
      </c>
      <c r="BD131" s="941">
        <v>13.0</v>
      </c>
      <c r="BE131" s="941">
        <v>11.0</v>
      </c>
      <c r="BF131" s="941">
        <v>1.0</v>
      </c>
      <c r="BG131" s="942">
        <v>0.0</v>
      </c>
    </row>
    <row r="132">
      <c r="A132" s="935" t="s">
        <v>152</v>
      </c>
      <c r="B132" s="16" t="str">
        <f>IF(C132&lt;'PlayerGrades+'!$Y$44,"F-",IF(C132&lt;'PlayerGrades+'!$Y$43,"F",IF(C132&lt;'PlayerGrades+'!$Y$42,"F+",IF(C132&lt;'PlayerGrades+'!$Y$41,"E-",IF(C132&lt;'PlayerGrades+'!$Y$40,"E",IF(C132&lt;'PlayerGrades+'!$Y$39,"E+",IF(C132&lt;'PlayerGrades+'!$Y$38,"D-",IF(C132&lt;'PlayerGrades+'!$Y$37,"D",IF(C132&lt;'PlayerGrades+'!$Y$36,"D+",IF(C132&lt;'PlayerGrades+'!$Y$35,"C-",IF(C132&lt;'PlayerGrades+'!$Y$34,"C",IF(C132&lt;'PlayerGrades+'!$Y$33,"C+",IF(C132&lt;'PlayerGrades+'!$Y$32,"B-",IF(C132&lt;'PlayerGrades+'!$Y$31,"B",IF(C132&lt;'PlayerGrades+'!$Y$30,"B+",IF(C132&lt;'PlayerGrades+'!$Y$29,"A-",IF(C132&lt;'PlayerGrades+'!$Y$28,"A",IF(C132&lt;'PlayerGrades+'!$Y$27,"A+",IF(C132&lt;'PlayerGrades+'!$Y$26,"S-",IF(C132&lt;'PlayerGrades+'!$Y$25,"S","S+"))))))))))))))))))))</f>
        <v>E-</v>
      </c>
      <c r="C132" s="936">
        <f>('PlayerGrades+'!$Y$47*(VLOOKUP(E132, 'PlayerGrades+'!$X$3:$Y$23, 2, FALSE)))+('PlayerGrades+'!$Y$48*(VLOOKUP(G132, 'PlayerGrades+'!$X$3:$Y$23, 2, FALSE)))+('PlayerGrades+'!$Y$49*(VLOOKUP(I132, 'PlayerGrades+'!$X$3:$Y$23, 2, FALSE)))+('PlayerGrades+'!$Y$50*(VLOOKUP(K132, 'PlayerGrades+'!$X$3:$Y$23, 2, FALSE)))+('PlayerGrades+'!$Y$51*(VLOOKUP(M132, 'PlayerGrades+'!$X$3:$Y$23, 2, FALSE)))+('PlayerGrades+'!$Y$52*(VLOOKUP(O132, 'PlayerGrades+'!$X$3:$Y$23, 2, FALSE)))+('PlayerGrades+'!$Y$53*(VLOOKUP(Q132, 'PlayerGrades+'!$X$3:$Y$23, 2, FALSE)))+('PlayerGrades+'!$Y$54*(VLOOKUP(S132, 'PlayerGrades+'!$X$3:$Y$23, 2, FALSE)))+('PlayerGrades+'!$Y$55*(VLOOKUP(U132, 'PlayerGrades+'!$X$3:$Y$23, 2, FALSE)))</f>
        <v>11.9</v>
      </c>
      <c r="D132" s="937">
        <f t="shared" si="1"/>
        <v>0</v>
      </c>
      <c r="E132" s="937" t="str">
        <f>IF(D132&lt;'PlayerGrades+'!$AA$21,"F-",IF(D132&lt;'PlayerGrades+'!$AA$20,"F",IF(D132&lt;'PlayerGrades+'!$AA$19,"F+",IF(D132&lt;'PlayerGrades+'!$AA$18,"E-",IF(D132&lt;'PlayerGrades+'!$AA$17,"E",IF(D132&lt;'PlayerGrades+'!$AA$16,"E+",IF(D132&lt;'PlayerGrades+'!$AA$15,"D-",IF(D132&lt;'PlayerGrades+'!$AA$14,"D",IF(D132&lt;'PlayerGrades+'!$AA$13,"D+",IF(D132&lt;'PlayerGrades+'!$AA$12,"C-",IF(D132&lt;'PlayerGrades+'!$AA$11,"C",IF(D132&lt;'PlayerGrades+'!$AA$10,"C+",IF(D132&lt;'PlayerGrades+'!$AA$9,"B-",IF(D132&lt;'PlayerGrades+'!$AA$8,"B",IF(D132&lt;'PlayerGrades+'!$AA$7,"B+",IF(D132&lt;'PlayerGrades+'!$AA$6,"A-",IF(D132&lt;'PlayerGrades+'!$AA$5,"A",IF(D132&lt;'PlayerGrades+'!$AA$4,"A+",IF(D132&lt;'PlayerGrades+'!$AA$3,"S-",IF(D132&lt;'PlayerGrades+'!$AA$2,"S","S+"))))))))))))))))))))</f>
        <v>F-</v>
      </c>
      <c r="F132" s="937">
        <f t="shared" si="2"/>
        <v>-1.578024547</v>
      </c>
      <c r="G132" s="937" t="str">
        <f>IF(F132&lt;'PlayerGrades+'!$AB$21,"F-",IF(F132&lt;'PlayerGrades+'!$AB$20,"F",IF(F132&lt;'PlayerGrades+'!$AB$19,"F+",IF(F132&lt;'PlayerGrades+'!$AB$18,"E-",IF(F132&lt;'PlayerGrades+'!$AB$17,"E",IF(F132&lt;'PlayerGrades+'!$AB$16,"E+",IF(F132&lt;'PlayerGrades+'!$AB$15,"D-",IF(F132&lt;'PlayerGrades+'!$AB$14,"D",IF(F132&lt;'PlayerGrades+'!$AB$13,"D+",IF(F132&lt;'PlayerGrades+'!$AB$12,"C-",IF(F132&lt;'PlayerGrades+'!$AB$11,"C",IF(F132&lt;'PlayerGrades+'!$AB$10,"C+",IF(F132&lt;'PlayerGrades+'!$AB$9,"B-",IF(F132&lt;'PlayerGrades+'!$AB$8,"B",IF(F132&lt;'PlayerGrades+'!$AB$7,"B+",IF(F132&lt;'PlayerGrades+'!$AB$6,"A-",IF(F132&lt;'PlayerGrades+'!$AB$5,"A",IF(F132&lt;'PlayerGrades+'!$AB$4,"A+",IF(F132&lt;'PlayerGrades+'!$AB$3,"S-",IF(F132&lt;'PlayerGrades+'!$AB$2,"S","S+"))))))))))))))))))))</f>
        <v>F-</v>
      </c>
      <c r="H132" s="937">
        <f t="shared" si="3"/>
        <v>0.1052016365</v>
      </c>
      <c r="I132" s="937" t="str">
        <f>IF(H132&lt;'PlayerGrades+'!$AC$21,"F-",IF(H132&lt;'PlayerGrades+'!$AC$20,"F",IF(H132&lt;'PlayerGrades+'!$AC$19,"F+",IF(H132&lt;'PlayerGrades+'!$AC$18,"E-",IF(H132&lt;'PlayerGrades+'!$AC$17,"E",IF(H132&lt;'PlayerGrades+'!$AC$16,"E+",IF(H132&lt;'PlayerGrades+'!$AC$15,"D-",IF(H132&lt;'PlayerGrades+'!$AC$14,"D",IF(H132&lt;'PlayerGrades+'!$AC$13,"D+",IF(H132&lt;'PlayerGrades+'!$AC$12,"C-",IF(H132&lt;'PlayerGrades+'!$AC$11,"C",IF(H132&lt;'PlayerGrades+'!$AC$10,"C+",IF(H132&lt;'PlayerGrades+'!$AC$9,"B-",IF(H132&lt;'PlayerGrades+'!$AC$8,"B",IF(H132&lt;'PlayerGrades+'!$AC$7,"B+",IF(H132&lt;'PlayerGrades+'!$AC$6,"A-",IF(H132&lt;'PlayerGrades+'!$AC$5,"A",IF(H132&lt;'PlayerGrades+'!$AC$4,"A+",IF(H132&lt;'PlayerGrades+'!$AC$3,"S-",IF(H132&lt;'PlayerGrades+'!$AC$2,"S","S+"))))))))))))))))))))</f>
        <v>C-</v>
      </c>
      <c r="J132" s="937">
        <f t="shared" si="4"/>
        <v>0</v>
      </c>
      <c r="K132" s="937" t="str">
        <f>IF(J132&lt;'PlayerGrades+'!$AD$21,"F-",IF(J132&lt;'PlayerGrades+'!$AD$20,"F",IF(J132&lt;'PlayerGrades+'!$AD$19,"F+",IF(J132&lt;'PlayerGrades+'!$AD$18,"E-",IF(J132&lt;'PlayerGrades+'!$AD$17,"E",IF(J132&lt;'PlayerGrades+'!$AD$16,"E+",IF(J132&lt;'PlayerGrades+'!$AD$15,"D-",IF(J132&lt;'PlayerGrades+'!$AD$14,"D",IF(J132&lt;'PlayerGrades+'!$AD$13,"D+",IF(J132&lt;'PlayerGrades+'!$AD$12,"C-",IF(J132&lt;'PlayerGrades+'!$AD$11,"C",IF(J132&lt;'PlayerGrades+'!$AD$10,"C+",IF(J132&lt;'PlayerGrades+'!$AD$9,"B-",IF(J132&lt;'PlayerGrades+'!$AD$8,"B",IF(J132&lt;'PlayerGrades+'!$AD$7,"B+",IF(J132&lt;'PlayerGrades+'!$AD$6,"A-",IF(J132&lt;'PlayerGrades+'!$AD$5,"A",IF(J132&lt;'PlayerGrades+'!$AD$4,"A+",IF(J132&lt;'PlayerGrades+'!$AD$3,"S-",IF(J132&lt;'PlayerGrades+'!$AD$2,"S","S+"))))))))))))))))))))</f>
        <v>F-</v>
      </c>
      <c r="L132" s="677">
        <f t="shared" si="5"/>
        <v>0.3857393337</v>
      </c>
      <c r="M132" s="938" t="str">
        <f>IF(L132&lt;'PlayerGrades+'!$AE$21,"F-",IF(L132&lt;'PlayerGrades+'!$AE$20,"F",IF(L132&lt;'PlayerGrades+'!$AE$19,"F+",IF(L132&lt;'PlayerGrades+'!$AE$18,"E-",IF(L132&lt;'PlayerGrades+'!$AE$17,"E",IF(L132&lt;'PlayerGrades+'!$AE$16,"E+",IF(L132&lt;'PlayerGrades+'!$AE$15,"D-",IF(L132&lt;'PlayerGrades+'!$AE$14,"D",IF(L132&lt;'PlayerGrades+'!$AE$13,"D+",IF(L132&lt;'PlayerGrades+'!$AE$12,"C-",IF(L132&lt;'PlayerGrades+'!$AE$11,"C",IF(L132&lt;'PlayerGrades+'!$AE$10,"C+",IF(L132&lt;'PlayerGrades+'!$AE$9,"B-",IF(L132&lt;'PlayerGrades+'!$AE$8,"B",IF(L132&lt;'PlayerGrades+'!$AE$7,"B+",IF(L132&lt;'PlayerGrades+'!$AE$6,"A-",IF(L132&lt;'PlayerGrades+'!$AE$5,"A",IF(L132&lt;'PlayerGrades+'!$AE$4,"A+",IF(L132&lt;'PlayerGrades+'!$AE$3,"S-",IF(L132&lt;'PlayerGrades+'!$AE$2,"S","S+"))))))))))))))))))))</f>
        <v>C</v>
      </c>
      <c r="N132" s="937">
        <f t="shared" si="6"/>
        <v>0.03506721216</v>
      </c>
      <c r="O132" s="937" t="str">
        <f>IF(N132&lt;'PlayerGrades+'!$AF$21,"F-",IF(N132&lt;'PlayerGrades+'!$AF$20,"F",IF(N132&lt;'PlayerGrades+'!$AF$19,"F+",IF(N132&lt;'PlayerGrades+'!$AF$18,"E-",IF(N132&lt;'PlayerGrades+'!$AF$17,"E",IF(N132&lt;'PlayerGrades+'!$AF$16,"E+",IF(N132&lt;'PlayerGrades+'!$AF$15,"D-",IF(N132&lt;'PlayerGrades+'!$AF$14,"D",IF(N132&lt;'PlayerGrades+'!$AF$13,"D+",IF(N132&lt;'PlayerGrades+'!$AF$12,"C-",IF(N132&lt;'PlayerGrades+'!$AF$11,"C",IF(N132&lt;'PlayerGrades+'!$AF$10,"C+",IF(N132&lt;'PlayerGrades+'!$AF$9,"B-",IF(N132&lt;'PlayerGrades+'!$AF$8,"B",IF(N132&lt;'PlayerGrades+'!$AF$7,"B+",IF(N132&lt;'PlayerGrades+'!$AF$6,"A-",IF(N132&lt;'PlayerGrades+'!$AF$5,"A",IF(N132&lt;'PlayerGrades+'!$AF$4,"A+",IF(N132&lt;'PlayerGrades+'!$AF$3,"S-",IF(N132&lt;'PlayerGrades+'!$AF$2,"S","S+"))))))))))))))))))))</f>
        <v>F+</v>
      </c>
      <c r="P132" s="937">
        <f t="shared" si="7"/>
        <v>0</v>
      </c>
      <c r="Q132" s="937" t="str">
        <f>IF(P132&lt;'PlayerGrades+'!$AG$21,"F-",IF(P132&lt;'PlayerGrades+'!$AG$20,"F",IF(P132&lt;'PlayerGrades+'!$AG$19,"F+",IF(P132&lt;'PlayerGrades+'!$AG$18,"E-",IF(P132&lt;'PlayerGrades+'!$AG$17,"E",IF(P132&lt;'PlayerGrades+'!$AG$16,"E+",IF(P132&lt;'PlayerGrades+'!$AG$15,"D-",IF(P132&lt;'PlayerGrades+'!$AG$14,"D",IF(P132&lt;'PlayerGrades+'!$AG$13,"D+",IF(P132&lt;'PlayerGrades+'!$AG$12,"C-",IF(P132&lt;'PlayerGrades+'!$AG$11,"C",IF(P132&lt;'PlayerGrades+'!$AG$10,"C+",IF(P132&lt;'PlayerGrades+'!$AG$9,"B-",IF(P132&lt;'PlayerGrades+'!$AG$8,"B",IF(P132&lt;'PlayerGrades+'!$AG$7,"B+",IF(P132&lt;'PlayerGrades+'!$AG$6,"A-",IF(P132&lt;'PlayerGrades+'!$AG$5,"A",IF(P132&lt;'PlayerGrades+'!$AG$4,"A+",IF(P132&lt;'PlayerGrades+'!$AG$3,"S-",IF(P132&lt;'PlayerGrades+'!$AG$2,"S","S+"))))))))))))))))))))</f>
        <v>F</v>
      </c>
      <c r="R132" s="937">
        <f t="shared" si="8"/>
        <v>0.6312098188</v>
      </c>
      <c r="S132" s="937" t="str">
        <f>IF(R132&lt;'PlayerGrades+'!$AH$21,"F-",IF(R132&lt;'PlayerGrades+'!$AH$20,"F",IF(R132&lt;'PlayerGrades+'!$AH$19,"F+",IF(R132&lt;'PlayerGrades+'!$AH$18,"E-",IF(R132&lt;'PlayerGrades+'!$AH$17,"E",IF(R132&lt;'PlayerGrades+'!$AH$16,"E+",IF(R132&lt;'PlayerGrades+'!$AH$15,"D-",IF(R132&lt;'PlayerGrades+'!$AH$14,"D",IF(R132&lt;'PlayerGrades+'!$AH$13,"D+",IF(R132&lt;'PlayerGrades+'!$AH$12,"C-",IF(R132&lt;'PlayerGrades+'!$AH$11,"C",IF(R132&lt;'PlayerGrades+'!$AH$10,"C+",IF(R132&lt;'PlayerGrades+'!$AH$9,"B-",IF(R132&lt;'PlayerGrades+'!$AH$8,"B",IF(R132&lt;'PlayerGrades+'!$AH$7,"B+",IF(R132&lt;'PlayerGrades+'!$AH$6,"A-",IF(R132&lt;'PlayerGrades+'!$AH$5,"A",IF(R132&lt;'PlayerGrades+'!$AH$4,"A+",IF(R132&lt;'PlayerGrades+'!$AH$3,"S-",IF(R132&lt;'PlayerGrades+'!$AH$2,"S","S+"))))))))))))))))))))</f>
        <v>A</v>
      </c>
      <c r="T132" s="937">
        <f t="shared" si="9"/>
        <v>0.3857393337</v>
      </c>
      <c r="U132" s="937" t="str">
        <f>IF(T132&lt;'PlayerGrades+'!$AI$21,"F-",IF(T132&lt;'PlayerGrades+'!$AI$20,"F",IF(T132&lt;'PlayerGrades+'!$AI$19,"F+",IF(T132&lt;'PlayerGrades+'!$AI$18,"E-",IF(T132&lt;'PlayerGrades+'!$AI$17,"E",IF(T132&lt;'PlayerGrades+'!$AI$16,"E+",IF(T132&lt;'PlayerGrades+'!$AI$15,"D-",IF(T132&lt;'PlayerGrades+'!$AI$14,"D",IF(T132&lt;'PlayerGrades+'!$AI$13,"D+",IF(T132&lt;'PlayerGrades+'!$AI$12,"C-",IF(T132&lt;'PlayerGrades+'!$AI$11,"C",IF(T132&lt;'PlayerGrades+'!$AI$10,"C+",IF(T132&lt;'PlayerGrades+'!$AI$9,"B-",IF(T132&lt;'PlayerGrades+'!$AI$8,"B",IF(T132&lt;'PlayerGrades+'!$AI$7,"B+",IF(T132&lt;'PlayerGrades+'!$AI$6,"A-",IF(T132&lt;'PlayerGrades+'!$AI$5,"A",IF(T132&lt;'PlayerGrades+'!$AI$4,"A+",IF(T132&lt;'PlayerGrades+'!$AI$3,"S-",IF(T132&lt;'PlayerGrades+'!$AI$2,"S","S+"))))))))))))))))))))</f>
        <v>F-</v>
      </c>
      <c r="V132" s="941">
        <v>1.0</v>
      </c>
      <c r="W132" s="941">
        <v>0.0</v>
      </c>
      <c r="X132" s="941">
        <v>1.0</v>
      </c>
      <c r="Y132" s="941">
        <v>0.0</v>
      </c>
      <c r="Z132" s="941">
        <v>0.0</v>
      </c>
      <c r="AA132" s="941">
        <v>76.0</v>
      </c>
      <c r="AB132" s="941">
        <v>121.0</v>
      </c>
      <c r="AC132" s="941">
        <v>-45.0</v>
      </c>
      <c r="AD132" s="941">
        <v>8.0</v>
      </c>
      <c r="AE132" s="941">
        <v>4.0</v>
      </c>
      <c r="AF132" s="941">
        <v>1.0</v>
      </c>
      <c r="AG132" s="941">
        <v>1252.0</v>
      </c>
      <c r="AH132" s="941">
        <v>1711.0</v>
      </c>
      <c r="AI132" s="941">
        <v>10.0</v>
      </c>
      <c r="AJ132" s="941">
        <v>0.0</v>
      </c>
      <c r="AK132" s="941">
        <v>0.0</v>
      </c>
      <c r="AL132" s="941">
        <v>0.0</v>
      </c>
      <c r="AM132" s="941">
        <v>0.0</v>
      </c>
      <c r="AN132" s="941">
        <v>0.0</v>
      </c>
      <c r="AO132" s="941">
        <v>0.0</v>
      </c>
      <c r="AP132" s="941">
        <v>0.0</v>
      </c>
      <c r="AQ132" s="941">
        <v>0.0</v>
      </c>
      <c r="AR132" s="941">
        <v>11.0</v>
      </c>
      <c r="AS132" s="941">
        <v>1.0</v>
      </c>
      <c r="AT132" s="941">
        <v>1.0</v>
      </c>
      <c r="AU132" s="941">
        <v>0.0</v>
      </c>
      <c r="AV132" s="941">
        <v>0.0</v>
      </c>
      <c r="AW132" s="941">
        <v>0.0</v>
      </c>
      <c r="AX132" s="941">
        <v>0.0</v>
      </c>
      <c r="AY132" s="941">
        <v>0.0</v>
      </c>
      <c r="AZ132" s="941">
        <v>0.0</v>
      </c>
      <c r="BA132" s="941">
        <v>0.0</v>
      </c>
      <c r="BB132" s="941">
        <v>3.0</v>
      </c>
      <c r="BC132" s="941">
        <v>0.0</v>
      </c>
      <c r="BD132" s="941">
        <v>10.0</v>
      </c>
      <c r="BE132" s="941">
        <v>11.0</v>
      </c>
      <c r="BF132" s="941">
        <v>0.0</v>
      </c>
      <c r="BG132" s="942">
        <v>0.0</v>
      </c>
    </row>
    <row r="133">
      <c r="A133" s="935" t="s">
        <v>119</v>
      </c>
      <c r="B133" s="16" t="str">
        <f>IF(C133&lt;'PlayerGrades+'!$Y$44,"F-",IF(C133&lt;'PlayerGrades+'!$Y$43,"F",IF(C133&lt;'PlayerGrades+'!$Y$42,"F+",IF(C133&lt;'PlayerGrades+'!$Y$41,"E-",IF(C133&lt;'PlayerGrades+'!$Y$40,"E",IF(C133&lt;'PlayerGrades+'!$Y$39,"E+",IF(C133&lt;'PlayerGrades+'!$Y$38,"D-",IF(C133&lt;'PlayerGrades+'!$Y$37,"D",IF(C133&lt;'PlayerGrades+'!$Y$36,"D+",IF(C133&lt;'PlayerGrades+'!$Y$35,"C-",IF(C133&lt;'PlayerGrades+'!$Y$34,"C",IF(C133&lt;'PlayerGrades+'!$Y$33,"C+",IF(C133&lt;'PlayerGrades+'!$Y$32,"B-",IF(C133&lt;'PlayerGrades+'!$Y$31,"B",IF(C133&lt;'PlayerGrades+'!$Y$30,"B+",IF(C133&lt;'PlayerGrades+'!$Y$29,"A-",IF(C133&lt;'PlayerGrades+'!$Y$28,"A",IF(C133&lt;'PlayerGrades+'!$Y$27,"A+",IF(C133&lt;'PlayerGrades+'!$Y$26,"S-",IF(C133&lt;'PlayerGrades+'!$Y$25,"S","S+"))))))))))))))))))))</f>
        <v>D-</v>
      </c>
      <c r="C133" s="936">
        <f>('PlayerGrades+'!$Y$47*(VLOOKUP(E133, 'PlayerGrades+'!$X$3:$Y$23, 2, FALSE)))+('PlayerGrades+'!$Y$48*(VLOOKUP(G133, 'PlayerGrades+'!$X$3:$Y$23, 2, FALSE)))+('PlayerGrades+'!$Y$49*(VLOOKUP(I133, 'PlayerGrades+'!$X$3:$Y$23, 2, FALSE)))+('PlayerGrades+'!$Y$50*(VLOOKUP(K133, 'PlayerGrades+'!$X$3:$Y$23, 2, FALSE)))+('PlayerGrades+'!$Y$51*(VLOOKUP(M133, 'PlayerGrades+'!$X$3:$Y$23, 2, FALSE)))+('PlayerGrades+'!$Y$52*(VLOOKUP(O133, 'PlayerGrades+'!$X$3:$Y$23, 2, FALSE)))+('PlayerGrades+'!$Y$53*(VLOOKUP(Q133, 'PlayerGrades+'!$X$3:$Y$23, 2, FALSE)))+('PlayerGrades+'!$Y$54*(VLOOKUP(S133, 'PlayerGrades+'!$X$3:$Y$23, 2, FALSE)))+('PlayerGrades+'!$Y$55*(VLOOKUP(U133, 'PlayerGrades+'!$X$3:$Y$23, 2, FALSE)))</f>
        <v>14.25</v>
      </c>
      <c r="D133" s="937">
        <f t="shared" si="1"/>
        <v>0.6312098188</v>
      </c>
      <c r="E133" s="937" t="str">
        <f>IF(D133&lt;'PlayerGrades+'!$AA$21,"F-",IF(D133&lt;'PlayerGrades+'!$AA$20,"F",IF(D133&lt;'PlayerGrades+'!$AA$19,"F+",IF(D133&lt;'PlayerGrades+'!$AA$18,"E-",IF(D133&lt;'PlayerGrades+'!$AA$17,"E",IF(D133&lt;'PlayerGrades+'!$AA$16,"E+",IF(D133&lt;'PlayerGrades+'!$AA$15,"D-",IF(D133&lt;'PlayerGrades+'!$AA$14,"D",IF(D133&lt;'PlayerGrades+'!$AA$13,"D+",IF(D133&lt;'PlayerGrades+'!$AA$12,"C-",IF(D133&lt;'PlayerGrades+'!$AA$11,"C",IF(D133&lt;'PlayerGrades+'!$AA$10,"C+",IF(D133&lt;'PlayerGrades+'!$AA$9,"B-",IF(D133&lt;'PlayerGrades+'!$AA$8,"B",IF(D133&lt;'PlayerGrades+'!$AA$7,"B+",IF(D133&lt;'PlayerGrades+'!$AA$6,"A-",IF(D133&lt;'PlayerGrades+'!$AA$5,"A",IF(D133&lt;'PlayerGrades+'!$AA$4,"A+",IF(D133&lt;'PlayerGrades+'!$AA$3,"S-",IF(D133&lt;'PlayerGrades+'!$AA$2,"S","S+"))))))))))))))))))))</f>
        <v>S-</v>
      </c>
      <c r="F133" s="937">
        <f t="shared" si="2"/>
        <v>-0.3156049094</v>
      </c>
      <c r="G133" s="937" t="str">
        <f>IF(F133&lt;'PlayerGrades+'!$AB$21,"F-",IF(F133&lt;'PlayerGrades+'!$AB$20,"F",IF(F133&lt;'PlayerGrades+'!$AB$19,"F+",IF(F133&lt;'PlayerGrades+'!$AB$18,"E-",IF(F133&lt;'PlayerGrades+'!$AB$17,"E",IF(F133&lt;'PlayerGrades+'!$AB$16,"E+",IF(F133&lt;'PlayerGrades+'!$AB$15,"D-",IF(F133&lt;'PlayerGrades+'!$AB$14,"D",IF(F133&lt;'PlayerGrades+'!$AB$13,"D+",IF(F133&lt;'PlayerGrades+'!$AB$12,"C-",IF(F133&lt;'PlayerGrades+'!$AB$11,"C",IF(F133&lt;'PlayerGrades+'!$AB$10,"C+",IF(F133&lt;'PlayerGrades+'!$AB$9,"B-",IF(F133&lt;'PlayerGrades+'!$AB$8,"B",IF(F133&lt;'PlayerGrades+'!$AB$7,"B+",IF(F133&lt;'PlayerGrades+'!$AB$6,"A-",IF(F133&lt;'PlayerGrades+'!$AB$5,"A",IF(F133&lt;'PlayerGrades+'!$AB$4,"A+",IF(F133&lt;'PlayerGrades+'!$AB$3,"S-",IF(F133&lt;'PlayerGrades+'!$AB$2,"S","S+"))))))))))))))))))))</f>
        <v>C</v>
      </c>
      <c r="H133" s="937">
        <f t="shared" si="3"/>
        <v>0.03506721216</v>
      </c>
      <c r="I133" s="937" t="str">
        <f>IF(H133&lt;'PlayerGrades+'!$AC$21,"F-",IF(H133&lt;'PlayerGrades+'!$AC$20,"F",IF(H133&lt;'PlayerGrades+'!$AC$19,"F+",IF(H133&lt;'PlayerGrades+'!$AC$18,"E-",IF(H133&lt;'PlayerGrades+'!$AC$17,"E",IF(H133&lt;'PlayerGrades+'!$AC$16,"E+",IF(H133&lt;'PlayerGrades+'!$AC$15,"D-",IF(H133&lt;'PlayerGrades+'!$AC$14,"D",IF(H133&lt;'PlayerGrades+'!$AC$13,"D+",IF(H133&lt;'PlayerGrades+'!$AC$12,"C-",IF(H133&lt;'PlayerGrades+'!$AC$11,"C",IF(H133&lt;'PlayerGrades+'!$AC$10,"C+",IF(H133&lt;'PlayerGrades+'!$AC$9,"B-",IF(H133&lt;'PlayerGrades+'!$AC$8,"B",IF(H133&lt;'PlayerGrades+'!$AC$7,"B+",IF(H133&lt;'PlayerGrades+'!$AC$6,"A-",IF(H133&lt;'PlayerGrades+'!$AC$5,"A",IF(H133&lt;'PlayerGrades+'!$AC$4,"A+",IF(H133&lt;'PlayerGrades+'!$AC$3,"S-",IF(H133&lt;'PlayerGrades+'!$AC$2,"S","S+"))))))))))))))))))))</f>
        <v>F</v>
      </c>
      <c r="J133" s="937">
        <f t="shared" si="4"/>
        <v>0.03506721216</v>
      </c>
      <c r="K133" s="937" t="str">
        <f>IF(J133&lt;'PlayerGrades+'!$AD$21,"F-",IF(J133&lt;'PlayerGrades+'!$AD$20,"F",IF(J133&lt;'PlayerGrades+'!$AD$19,"F+",IF(J133&lt;'PlayerGrades+'!$AD$18,"E-",IF(J133&lt;'PlayerGrades+'!$AD$17,"E",IF(J133&lt;'PlayerGrades+'!$AD$16,"E+",IF(J133&lt;'PlayerGrades+'!$AD$15,"D-",IF(J133&lt;'PlayerGrades+'!$AD$14,"D",IF(J133&lt;'PlayerGrades+'!$AD$13,"D+",IF(J133&lt;'PlayerGrades+'!$AD$12,"C-",IF(J133&lt;'PlayerGrades+'!$AD$11,"C",IF(J133&lt;'PlayerGrades+'!$AD$10,"C+",IF(J133&lt;'PlayerGrades+'!$AD$9,"B-",IF(J133&lt;'PlayerGrades+'!$AD$8,"B",IF(J133&lt;'PlayerGrades+'!$AD$7,"B+",IF(J133&lt;'PlayerGrades+'!$AD$6,"A-",IF(J133&lt;'PlayerGrades+'!$AD$5,"A",IF(J133&lt;'PlayerGrades+'!$AD$4,"A+",IF(J133&lt;'PlayerGrades+'!$AD$3,"S-",IF(J133&lt;'PlayerGrades+'!$AD$2,"S","S+"))))))))))))))))))))</f>
        <v>C</v>
      </c>
      <c r="L133" s="677">
        <f t="shared" si="5"/>
        <v>0.2104032729</v>
      </c>
      <c r="M133" s="938" t="str">
        <f>IF(L133&lt;'PlayerGrades+'!$AE$21,"F-",IF(L133&lt;'PlayerGrades+'!$AE$20,"F",IF(L133&lt;'PlayerGrades+'!$AE$19,"F+",IF(L133&lt;'PlayerGrades+'!$AE$18,"E-",IF(L133&lt;'PlayerGrades+'!$AE$17,"E",IF(L133&lt;'PlayerGrades+'!$AE$16,"E+",IF(L133&lt;'PlayerGrades+'!$AE$15,"D-",IF(L133&lt;'PlayerGrades+'!$AE$14,"D",IF(L133&lt;'PlayerGrades+'!$AE$13,"D+",IF(L133&lt;'PlayerGrades+'!$AE$12,"C-",IF(L133&lt;'PlayerGrades+'!$AE$11,"C",IF(L133&lt;'PlayerGrades+'!$AE$10,"C+",IF(L133&lt;'PlayerGrades+'!$AE$9,"B-",IF(L133&lt;'PlayerGrades+'!$AE$8,"B",IF(L133&lt;'PlayerGrades+'!$AE$7,"B+",IF(L133&lt;'PlayerGrades+'!$AE$6,"A-",IF(L133&lt;'PlayerGrades+'!$AE$5,"A",IF(L133&lt;'PlayerGrades+'!$AE$4,"A+",IF(L133&lt;'PlayerGrades+'!$AE$3,"S-",IF(L133&lt;'PlayerGrades+'!$AE$2,"S","S+"))))))))))))))))))))</f>
        <v>F</v>
      </c>
      <c r="N133" s="937">
        <f t="shared" si="6"/>
        <v>0</v>
      </c>
      <c r="O133" s="937" t="str">
        <f>IF(N133&lt;'PlayerGrades+'!$AF$21,"F-",IF(N133&lt;'PlayerGrades+'!$AF$20,"F",IF(N133&lt;'PlayerGrades+'!$AF$19,"F+",IF(N133&lt;'PlayerGrades+'!$AF$18,"E-",IF(N133&lt;'PlayerGrades+'!$AF$17,"E",IF(N133&lt;'PlayerGrades+'!$AF$16,"E+",IF(N133&lt;'PlayerGrades+'!$AF$15,"D-",IF(N133&lt;'PlayerGrades+'!$AF$14,"D",IF(N133&lt;'PlayerGrades+'!$AF$13,"D+",IF(N133&lt;'PlayerGrades+'!$AF$12,"C-",IF(N133&lt;'PlayerGrades+'!$AF$11,"C",IF(N133&lt;'PlayerGrades+'!$AF$10,"C+",IF(N133&lt;'PlayerGrades+'!$AF$9,"B-",IF(N133&lt;'PlayerGrades+'!$AF$8,"B",IF(N133&lt;'PlayerGrades+'!$AF$7,"B+",IF(N133&lt;'PlayerGrades+'!$AF$6,"A-",IF(N133&lt;'PlayerGrades+'!$AF$5,"A",IF(N133&lt;'PlayerGrades+'!$AF$4,"A+",IF(N133&lt;'PlayerGrades+'!$AF$3,"S-",IF(N133&lt;'PlayerGrades+'!$AF$2,"S","S+"))))))))))))))))))))</f>
        <v>F-</v>
      </c>
      <c r="P133" s="937">
        <f t="shared" si="7"/>
        <v>0</v>
      </c>
      <c r="Q133" s="937" t="str">
        <f>IF(P133&lt;'PlayerGrades+'!$AG$21,"F-",IF(P133&lt;'PlayerGrades+'!$AG$20,"F",IF(P133&lt;'PlayerGrades+'!$AG$19,"F+",IF(P133&lt;'PlayerGrades+'!$AG$18,"E-",IF(P133&lt;'PlayerGrades+'!$AG$17,"E",IF(P133&lt;'PlayerGrades+'!$AG$16,"E+",IF(P133&lt;'PlayerGrades+'!$AG$15,"D-",IF(P133&lt;'PlayerGrades+'!$AG$14,"D",IF(P133&lt;'PlayerGrades+'!$AG$13,"D+",IF(P133&lt;'PlayerGrades+'!$AG$12,"C-",IF(P133&lt;'PlayerGrades+'!$AG$11,"C",IF(P133&lt;'PlayerGrades+'!$AG$10,"C+",IF(P133&lt;'PlayerGrades+'!$AG$9,"B-",IF(P133&lt;'PlayerGrades+'!$AG$8,"B",IF(P133&lt;'PlayerGrades+'!$AG$7,"B+",IF(P133&lt;'PlayerGrades+'!$AG$6,"A-",IF(P133&lt;'PlayerGrades+'!$AG$5,"A",IF(P133&lt;'PlayerGrades+'!$AG$4,"A+",IF(P133&lt;'PlayerGrades+'!$AG$3,"S-",IF(P133&lt;'PlayerGrades+'!$AG$2,"S","S+"))))))))))))))))))))</f>
        <v>F</v>
      </c>
      <c r="R133" s="937">
        <f t="shared" si="8"/>
        <v>0.4909409702</v>
      </c>
      <c r="S133" s="937" t="str">
        <f>IF(R133&lt;'PlayerGrades+'!$AH$21,"F-",IF(R133&lt;'PlayerGrades+'!$AH$20,"F",IF(R133&lt;'PlayerGrades+'!$AH$19,"F+",IF(R133&lt;'PlayerGrades+'!$AH$18,"E-",IF(R133&lt;'PlayerGrades+'!$AH$17,"E",IF(R133&lt;'PlayerGrades+'!$AH$16,"E+",IF(R133&lt;'PlayerGrades+'!$AH$15,"D-",IF(R133&lt;'PlayerGrades+'!$AH$14,"D",IF(R133&lt;'PlayerGrades+'!$AH$13,"D+",IF(R133&lt;'PlayerGrades+'!$AH$12,"C-",IF(R133&lt;'PlayerGrades+'!$AH$11,"C",IF(R133&lt;'PlayerGrades+'!$AH$10,"C+",IF(R133&lt;'PlayerGrades+'!$AH$9,"B-",IF(R133&lt;'PlayerGrades+'!$AH$8,"B",IF(R133&lt;'PlayerGrades+'!$AH$7,"B+",IF(R133&lt;'PlayerGrades+'!$AH$6,"A-",IF(R133&lt;'PlayerGrades+'!$AH$5,"A",IF(R133&lt;'PlayerGrades+'!$AH$4,"A+",IF(R133&lt;'PlayerGrades+'!$AH$3,"S-",IF(R133&lt;'PlayerGrades+'!$AH$2,"S","S+"))))))))))))))))))))</f>
        <v>E+</v>
      </c>
      <c r="T133" s="937">
        <f t="shared" si="9"/>
        <v>4.280537697</v>
      </c>
      <c r="U133" s="937" t="str">
        <f>IF(T133&lt;'PlayerGrades+'!$AI$21,"F-",IF(T133&lt;'PlayerGrades+'!$AI$20,"F",IF(T133&lt;'PlayerGrades+'!$AI$19,"F+",IF(T133&lt;'PlayerGrades+'!$AI$18,"E-",IF(T133&lt;'PlayerGrades+'!$AI$17,"E",IF(T133&lt;'PlayerGrades+'!$AI$16,"E+",IF(T133&lt;'PlayerGrades+'!$AI$15,"D-",IF(T133&lt;'PlayerGrades+'!$AI$14,"D",IF(T133&lt;'PlayerGrades+'!$AI$13,"D+",IF(T133&lt;'PlayerGrades+'!$AI$12,"C-",IF(T133&lt;'PlayerGrades+'!$AI$11,"C",IF(T133&lt;'PlayerGrades+'!$AI$10,"C+",IF(T133&lt;'PlayerGrades+'!$AI$9,"B-",IF(T133&lt;'PlayerGrades+'!$AI$8,"B",IF(T133&lt;'PlayerGrades+'!$AI$7,"B+",IF(T133&lt;'PlayerGrades+'!$AI$6,"A-",IF(T133&lt;'PlayerGrades+'!$AI$5,"A",IF(T133&lt;'PlayerGrades+'!$AI$4,"A+",IF(T133&lt;'PlayerGrades+'!$AI$3,"S-",IF(T133&lt;'PlayerGrades+'!$AI$2,"S","S+"))))))))))))))))))))</f>
        <v>S+</v>
      </c>
      <c r="V133" s="941">
        <v>1.0</v>
      </c>
      <c r="W133" s="941">
        <v>0.0</v>
      </c>
      <c r="X133" s="941">
        <v>1.0</v>
      </c>
      <c r="Y133" s="941">
        <v>2.0</v>
      </c>
      <c r="Z133" s="941">
        <v>16.0</v>
      </c>
      <c r="AA133" s="941">
        <v>66.0</v>
      </c>
      <c r="AB133" s="941">
        <v>75.0</v>
      </c>
      <c r="AC133" s="941">
        <v>-9.0</v>
      </c>
      <c r="AD133" s="941">
        <v>4.0</v>
      </c>
      <c r="AE133" s="941">
        <v>8.0</v>
      </c>
      <c r="AF133" s="941">
        <v>2.0</v>
      </c>
      <c r="AG133" s="941">
        <v>1397.0</v>
      </c>
      <c r="AH133" s="941">
        <v>1711.0</v>
      </c>
      <c r="AI133" s="941">
        <v>18.0</v>
      </c>
      <c r="AJ133" s="941">
        <v>605.0</v>
      </c>
      <c r="AK133" s="941">
        <v>0.0</v>
      </c>
      <c r="AL133" s="941">
        <v>1.0</v>
      </c>
      <c r="AM133" s="941">
        <v>0.0</v>
      </c>
      <c r="AN133" s="941">
        <v>0.0</v>
      </c>
      <c r="AO133" s="941">
        <v>0.0</v>
      </c>
      <c r="AP133" s="941">
        <v>0.0</v>
      </c>
      <c r="AQ133" s="941">
        <v>0.0</v>
      </c>
      <c r="AR133" s="941">
        <v>6.0</v>
      </c>
      <c r="AS133" s="941">
        <v>0.0</v>
      </c>
      <c r="AT133" s="941">
        <v>0.0</v>
      </c>
      <c r="AU133" s="941">
        <v>0.0</v>
      </c>
      <c r="AV133" s="941">
        <v>0.0</v>
      </c>
      <c r="AW133" s="941">
        <v>0.0</v>
      </c>
      <c r="AX133" s="941">
        <v>0.0</v>
      </c>
      <c r="AY133" s="941">
        <v>0.0</v>
      </c>
      <c r="AZ133" s="941">
        <v>0.0</v>
      </c>
      <c r="BA133" s="941">
        <v>0.0</v>
      </c>
      <c r="BB133" s="941">
        <v>1.0</v>
      </c>
      <c r="BC133" s="941">
        <v>0.0</v>
      </c>
      <c r="BD133" s="941">
        <v>10.0</v>
      </c>
      <c r="BE133" s="941">
        <v>8.0</v>
      </c>
      <c r="BF133" s="941">
        <v>4.0</v>
      </c>
      <c r="BG133" s="942">
        <v>0.0</v>
      </c>
    </row>
    <row r="134">
      <c r="A134" s="935" t="s">
        <v>514</v>
      </c>
      <c r="B134" s="16" t="str">
        <f>IF(C134&lt;'PlayerGrades+'!$Y$44,"F-",IF(C134&lt;'PlayerGrades+'!$Y$43,"F",IF(C134&lt;'PlayerGrades+'!$Y$42,"F+",IF(C134&lt;'PlayerGrades+'!$Y$41,"E-",IF(C134&lt;'PlayerGrades+'!$Y$40,"E",IF(C134&lt;'PlayerGrades+'!$Y$39,"E+",IF(C134&lt;'PlayerGrades+'!$Y$38,"D-",IF(C134&lt;'PlayerGrades+'!$Y$37,"D",IF(C134&lt;'PlayerGrades+'!$Y$36,"D+",IF(C134&lt;'PlayerGrades+'!$Y$35,"C-",IF(C134&lt;'PlayerGrades+'!$Y$34,"C",IF(C134&lt;'PlayerGrades+'!$Y$33,"C+",IF(C134&lt;'PlayerGrades+'!$Y$32,"B-",IF(C134&lt;'PlayerGrades+'!$Y$31,"B",IF(C134&lt;'PlayerGrades+'!$Y$30,"B+",IF(C134&lt;'PlayerGrades+'!$Y$29,"A-",IF(C134&lt;'PlayerGrades+'!$Y$28,"A",IF(C134&lt;'PlayerGrades+'!$Y$27,"A+",IF(C134&lt;'PlayerGrades+'!$Y$26,"S-",IF(C134&lt;'PlayerGrades+'!$Y$25,"S","S+"))))))))))))))))))))</f>
        <v>C+</v>
      </c>
      <c r="C134" s="936">
        <f>('PlayerGrades+'!$Y$47*(VLOOKUP(E134, 'PlayerGrades+'!$X$3:$Y$23, 2, FALSE)))+('PlayerGrades+'!$Y$48*(VLOOKUP(G134, 'PlayerGrades+'!$X$3:$Y$23, 2, FALSE)))+('PlayerGrades+'!$Y$49*(VLOOKUP(I134, 'PlayerGrades+'!$X$3:$Y$23, 2, FALSE)))+('PlayerGrades+'!$Y$50*(VLOOKUP(K134, 'PlayerGrades+'!$X$3:$Y$23, 2, FALSE)))+('PlayerGrades+'!$Y$51*(VLOOKUP(M134, 'PlayerGrades+'!$X$3:$Y$23, 2, FALSE)))+('PlayerGrades+'!$Y$52*(VLOOKUP(O134, 'PlayerGrades+'!$X$3:$Y$23, 2, FALSE)))+('PlayerGrades+'!$Y$53*(VLOOKUP(Q134, 'PlayerGrades+'!$X$3:$Y$23, 2, FALSE)))+('PlayerGrades+'!$Y$54*(VLOOKUP(S134, 'PlayerGrades+'!$X$3:$Y$23, 2, FALSE)))+('PlayerGrades+'!$Y$55*(VLOOKUP(U134, 'PlayerGrades+'!$X$3:$Y$23, 2, FALSE)))</f>
        <v>20.8</v>
      </c>
      <c r="D134" s="937">
        <f t="shared" si="1"/>
        <v>0</v>
      </c>
      <c r="E134" s="937" t="str">
        <f>IF(D134&lt;'PlayerGrades+'!$AA$21,"F-",IF(D134&lt;'PlayerGrades+'!$AA$20,"F",IF(D134&lt;'PlayerGrades+'!$AA$19,"F+",IF(D134&lt;'PlayerGrades+'!$AA$18,"E-",IF(D134&lt;'PlayerGrades+'!$AA$17,"E",IF(D134&lt;'PlayerGrades+'!$AA$16,"E+",IF(D134&lt;'PlayerGrades+'!$AA$15,"D-",IF(D134&lt;'PlayerGrades+'!$AA$14,"D",IF(D134&lt;'PlayerGrades+'!$AA$13,"D+",IF(D134&lt;'PlayerGrades+'!$AA$12,"C-",IF(D134&lt;'PlayerGrades+'!$AA$11,"C",IF(D134&lt;'PlayerGrades+'!$AA$10,"C+",IF(D134&lt;'PlayerGrades+'!$AA$9,"B-",IF(D134&lt;'PlayerGrades+'!$AA$8,"B",IF(D134&lt;'PlayerGrades+'!$AA$7,"B+",IF(D134&lt;'PlayerGrades+'!$AA$6,"A-",IF(D134&lt;'PlayerGrades+'!$AA$5,"A",IF(D134&lt;'PlayerGrades+'!$AA$4,"A+",IF(D134&lt;'PlayerGrades+'!$AA$3,"S-",IF(D134&lt;'PlayerGrades+'!$AA$2,"S","S+"))))))))))))))))))))</f>
        <v>F-</v>
      </c>
      <c r="F134" s="937">
        <f t="shared" si="2"/>
        <v>-0.3506721216</v>
      </c>
      <c r="G134" s="937" t="str">
        <f>IF(F134&lt;'PlayerGrades+'!$AB$21,"F-",IF(F134&lt;'PlayerGrades+'!$AB$20,"F",IF(F134&lt;'PlayerGrades+'!$AB$19,"F+",IF(F134&lt;'PlayerGrades+'!$AB$18,"E-",IF(F134&lt;'PlayerGrades+'!$AB$17,"E",IF(F134&lt;'PlayerGrades+'!$AB$16,"E+",IF(F134&lt;'PlayerGrades+'!$AB$15,"D-",IF(F134&lt;'PlayerGrades+'!$AB$14,"D",IF(F134&lt;'PlayerGrades+'!$AB$13,"D+",IF(F134&lt;'PlayerGrades+'!$AB$12,"C-",IF(F134&lt;'PlayerGrades+'!$AB$11,"C",IF(F134&lt;'PlayerGrades+'!$AB$10,"C+",IF(F134&lt;'PlayerGrades+'!$AB$9,"B-",IF(F134&lt;'PlayerGrades+'!$AB$8,"B",IF(F134&lt;'PlayerGrades+'!$AB$7,"B+",IF(F134&lt;'PlayerGrades+'!$AB$6,"A-",IF(F134&lt;'PlayerGrades+'!$AB$5,"A",IF(F134&lt;'PlayerGrades+'!$AB$4,"A+",IF(F134&lt;'PlayerGrades+'!$AB$3,"S-",IF(F134&lt;'PlayerGrades+'!$AB$2,"S","S+"))))))))))))))))))))</f>
        <v>C-</v>
      </c>
      <c r="H134" s="937">
        <f t="shared" si="3"/>
        <v>0.1052016365</v>
      </c>
      <c r="I134" s="937" t="str">
        <f>IF(H134&lt;'PlayerGrades+'!$AC$21,"F-",IF(H134&lt;'PlayerGrades+'!$AC$20,"F",IF(H134&lt;'PlayerGrades+'!$AC$19,"F+",IF(H134&lt;'PlayerGrades+'!$AC$18,"E-",IF(H134&lt;'PlayerGrades+'!$AC$17,"E",IF(H134&lt;'PlayerGrades+'!$AC$16,"E+",IF(H134&lt;'PlayerGrades+'!$AC$15,"D-",IF(H134&lt;'PlayerGrades+'!$AC$14,"D",IF(H134&lt;'PlayerGrades+'!$AC$13,"D+",IF(H134&lt;'PlayerGrades+'!$AC$12,"C-",IF(H134&lt;'PlayerGrades+'!$AC$11,"C",IF(H134&lt;'PlayerGrades+'!$AC$10,"C+",IF(H134&lt;'PlayerGrades+'!$AC$9,"B-",IF(H134&lt;'PlayerGrades+'!$AC$8,"B",IF(H134&lt;'PlayerGrades+'!$AC$7,"B+",IF(H134&lt;'PlayerGrades+'!$AC$6,"A-",IF(H134&lt;'PlayerGrades+'!$AC$5,"A",IF(H134&lt;'PlayerGrades+'!$AC$4,"A+",IF(H134&lt;'PlayerGrades+'!$AC$3,"S-",IF(H134&lt;'PlayerGrades+'!$AC$2,"S","S+"))))))))))))))))))))</f>
        <v>C-</v>
      </c>
      <c r="J134" s="937">
        <f t="shared" si="4"/>
        <v>0</v>
      </c>
      <c r="K134" s="937" t="str">
        <f>IF(J134&lt;'PlayerGrades+'!$AD$21,"F-",IF(J134&lt;'PlayerGrades+'!$AD$20,"F",IF(J134&lt;'PlayerGrades+'!$AD$19,"F+",IF(J134&lt;'PlayerGrades+'!$AD$18,"E-",IF(J134&lt;'PlayerGrades+'!$AD$17,"E",IF(J134&lt;'PlayerGrades+'!$AD$16,"E+",IF(J134&lt;'PlayerGrades+'!$AD$15,"D-",IF(J134&lt;'PlayerGrades+'!$AD$14,"D",IF(J134&lt;'PlayerGrades+'!$AD$13,"D+",IF(J134&lt;'PlayerGrades+'!$AD$12,"C-",IF(J134&lt;'PlayerGrades+'!$AD$11,"C",IF(J134&lt;'PlayerGrades+'!$AD$10,"C+",IF(J134&lt;'PlayerGrades+'!$AD$9,"B-",IF(J134&lt;'PlayerGrades+'!$AD$8,"B",IF(J134&lt;'PlayerGrades+'!$AD$7,"B+",IF(J134&lt;'PlayerGrades+'!$AD$6,"A-",IF(J134&lt;'PlayerGrades+'!$AD$5,"A",IF(J134&lt;'PlayerGrades+'!$AD$4,"A+",IF(J134&lt;'PlayerGrades+'!$AD$3,"S-",IF(J134&lt;'PlayerGrades+'!$AD$2,"S","S+"))))))))))))))))))))</f>
        <v>F-</v>
      </c>
      <c r="L134" s="677">
        <f t="shared" si="5"/>
        <v>0.666277031</v>
      </c>
      <c r="M134" s="938" t="str">
        <f>IF(L134&lt;'PlayerGrades+'!$AE$21,"F-",IF(L134&lt;'PlayerGrades+'!$AE$20,"F",IF(L134&lt;'PlayerGrades+'!$AE$19,"F+",IF(L134&lt;'PlayerGrades+'!$AE$18,"E-",IF(L134&lt;'PlayerGrades+'!$AE$17,"E",IF(L134&lt;'PlayerGrades+'!$AE$16,"E+",IF(L134&lt;'PlayerGrades+'!$AE$15,"D-",IF(L134&lt;'PlayerGrades+'!$AE$14,"D",IF(L134&lt;'PlayerGrades+'!$AE$13,"D+",IF(L134&lt;'PlayerGrades+'!$AE$12,"C-",IF(L134&lt;'PlayerGrades+'!$AE$11,"C",IF(L134&lt;'PlayerGrades+'!$AE$10,"C+",IF(L134&lt;'PlayerGrades+'!$AE$9,"B-",IF(L134&lt;'PlayerGrades+'!$AE$8,"B",IF(L134&lt;'PlayerGrades+'!$AE$7,"B+",IF(L134&lt;'PlayerGrades+'!$AE$6,"A-",IF(L134&lt;'PlayerGrades+'!$AE$5,"A",IF(L134&lt;'PlayerGrades+'!$AE$4,"A+",IF(L134&lt;'PlayerGrades+'!$AE$3,"S-",IF(L134&lt;'PlayerGrades+'!$AE$2,"S","S+"))))))))))))))))))))</f>
        <v>S</v>
      </c>
      <c r="N134" s="937">
        <f t="shared" si="6"/>
        <v>0.1402688486</v>
      </c>
      <c r="O134" s="937" t="str">
        <f>IF(N134&lt;'PlayerGrades+'!$AF$21,"F-",IF(N134&lt;'PlayerGrades+'!$AF$20,"F",IF(N134&lt;'PlayerGrades+'!$AF$19,"F+",IF(N134&lt;'PlayerGrades+'!$AF$18,"E-",IF(N134&lt;'PlayerGrades+'!$AF$17,"E",IF(N134&lt;'PlayerGrades+'!$AF$16,"E+",IF(N134&lt;'PlayerGrades+'!$AF$15,"D-",IF(N134&lt;'PlayerGrades+'!$AF$14,"D",IF(N134&lt;'PlayerGrades+'!$AF$13,"D+",IF(N134&lt;'PlayerGrades+'!$AF$12,"C-",IF(N134&lt;'PlayerGrades+'!$AF$11,"C",IF(N134&lt;'PlayerGrades+'!$AF$10,"C+",IF(N134&lt;'PlayerGrades+'!$AF$9,"B-",IF(N134&lt;'PlayerGrades+'!$AF$8,"B",IF(N134&lt;'PlayerGrades+'!$AF$7,"B+",IF(N134&lt;'PlayerGrades+'!$AF$6,"A-",IF(N134&lt;'PlayerGrades+'!$AF$5,"A",IF(N134&lt;'PlayerGrades+'!$AF$4,"A+",IF(N134&lt;'PlayerGrades+'!$AF$3,"S-",IF(N134&lt;'PlayerGrades+'!$AF$2,"S","S+"))))))))))))))))))))</f>
        <v>S</v>
      </c>
      <c r="P134" s="937">
        <f t="shared" si="7"/>
        <v>0</v>
      </c>
      <c r="Q134" s="937" t="str">
        <f>IF(P134&lt;'PlayerGrades+'!$AG$21,"F-",IF(P134&lt;'PlayerGrades+'!$AG$20,"F",IF(P134&lt;'PlayerGrades+'!$AG$19,"F+",IF(P134&lt;'PlayerGrades+'!$AG$18,"E-",IF(P134&lt;'PlayerGrades+'!$AG$17,"E",IF(P134&lt;'PlayerGrades+'!$AG$16,"E+",IF(P134&lt;'PlayerGrades+'!$AG$15,"D-",IF(P134&lt;'PlayerGrades+'!$AG$14,"D",IF(P134&lt;'PlayerGrades+'!$AG$13,"D+",IF(P134&lt;'PlayerGrades+'!$AG$12,"C-",IF(P134&lt;'PlayerGrades+'!$AG$11,"C",IF(P134&lt;'PlayerGrades+'!$AG$10,"C+",IF(P134&lt;'PlayerGrades+'!$AG$9,"B-",IF(P134&lt;'PlayerGrades+'!$AG$8,"B",IF(P134&lt;'PlayerGrades+'!$AG$7,"B+",IF(P134&lt;'PlayerGrades+'!$AG$6,"A-",IF(P134&lt;'PlayerGrades+'!$AG$5,"A",IF(P134&lt;'PlayerGrades+'!$AG$4,"A+",IF(P134&lt;'PlayerGrades+'!$AG$3,"S-",IF(P134&lt;'PlayerGrades+'!$AG$2,"S","S+"))))))))))))))))))))</f>
        <v>F</v>
      </c>
      <c r="R134" s="937">
        <f t="shared" si="8"/>
        <v>0.5961426067</v>
      </c>
      <c r="S134" s="937" t="str">
        <f>IF(R134&lt;'PlayerGrades+'!$AH$21,"F-",IF(R134&lt;'PlayerGrades+'!$AH$20,"F",IF(R134&lt;'PlayerGrades+'!$AH$19,"F+",IF(R134&lt;'PlayerGrades+'!$AH$18,"E-",IF(R134&lt;'PlayerGrades+'!$AH$17,"E",IF(R134&lt;'PlayerGrades+'!$AH$16,"E+",IF(R134&lt;'PlayerGrades+'!$AH$15,"D-",IF(R134&lt;'PlayerGrades+'!$AH$14,"D",IF(R134&lt;'PlayerGrades+'!$AH$13,"D+",IF(R134&lt;'PlayerGrades+'!$AH$12,"C-",IF(R134&lt;'PlayerGrades+'!$AH$11,"C",IF(R134&lt;'PlayerGrades+'!$AH$10,"C+",IF(R134&lt;'PlayerGrades+'!$AH$9,"B-",IF(R134&lt;'PlayerGrades+'!$AH$8,"B",IF(R134&lt;'PlayerGrades+'!$AH$7,"B+",IF(R134&lt;'PlayerGrades+'!$AH$6,"A-",IF(R134&lt;'PlayerGrades+'!$AH$5,"A",IF(R134&lt;'PlayerGrades+'!$AH$4,"A+",IF(R134&lt;'PlayerGrades+'!$AH$3,"S-",IF(R134&lt;'PlayerGrades+'!$AH$2,"S","S+"))))))))))))))))))))</f>
        <v>A-</v>
      </c>
      <c r="T134" s="937">
        <f t="shared" si="9"/>
        <v>0.5961426067</v>
      </c>
      <c r="U134" s="937" t="str">
        <f>IF(T134&lt;'PlayerGrades+'!$AI$21,"F-",IF(T134&lt;'PlayerGrades+'!$AI$20,"F",IF(T134&lt;'PlayerGrades+'!$AI$19,"F+",IF(T134&lt;'PlayerGrades+'!$AI$18,"E-",IF(T134&lt;'PlayerGrades+'!$AI$17,"E",IF(T134&lt;'PlayerGrades+'!$AI$16,"E+",IF(T134&lt;'PlayerGrades+'!$AI$15,"D-",IF(T134&lt;'PlayerGrades+'!$AI$14,"D",IF(T134&lt;'PlayerGrades+'!$AI$13,"D+",IF(T134&lt;'PlayerGrades+'!$AI$12,"C-",IF(T134&lt;'PlayerGrades+'!$AI$11,"C",IF(T134&lt;'PlayerGrades+'!$AI$10,"C+",IF(T134&lt;'PlayerGrades+'!$AI$9,"B-",IF(T134&lt;'PlayerGrades+'!$AI$8,"B",IF(T134&lt;'PlayerGrades+'!$AI$7,"B+",IF(T134&lt;'PlayerGrades+'!$AI$6,"A-",IF(T134&lt;'PlayerGrades+'!$AI$5,"A",IF(T134&lt;'PlayerGrades+'!$AI$4,"A+",IF(T134&lt;'PlayerGrades+'!$AI$3,"S-",IF(T134&lt;'PlayerGrades+'!$AI$2,"S","S+"))))))))))))))))))))</f>
        <v>F-</v>
      </c>
      <c r="V134" s="941">
        <v>1.0</v>
      </c>
      <c r="W134" s="941">
        <v>1.0</v>
      </c>
      <c r="X134" s="941">
        <v>0.0</v>
      </c>
      <c r="Y134" s="941">
        <v>0.0</v>
      </c>
      <c r="Z134" s="941">
        <v>0.0</v>
      </c>
      <c r="AA134" s="941">
        <v>116.0</v>
      </c>
      <c r="AB134" s="941">
        <v>126.0</v>
      </c>
      <c r="AC134" s="941">
        <v>-10.0</v>
      </c>
      <c r="AD134" s="941">
        <v>6.0</v>
      </c>
      <c r="AE134" s="941">
        <v>4.0</v>
      </c>
      <c r="AF134" s="941">
        <v>3.0</v>
      </c>
      <c r="AG134" s="941">
        <v>1235.0</v>
      </c>
      <c r="AH134" s="941">
        <v>1711.0</v>
      </c>
      <c r="AI134" s="941">
        <v>9.0</v>
      </c>
      <c r="AJ134" s="941">
        <v>6.0</v>
      </c>
      <c r="AK134" s="941">
        <v>0.0</v>
      </c>
      <c r="AL134" s="941">
        <v>0.0</v>
      </c>
      <c r="AM134" s="941">
        <v>0.0</v>
      </c>
      <c r="AN134" s="941">
        <v>0.0</v>
      </c>
      <c r="AO134" s="941">
        <v>0.0</v>
      </c>
      <c r="AP134" s="941">
        <v>0.0</v>
      </c>
      <c r="AQ134" s="941">
        <v>0.0</v>
      </c>
      <c r="AR134" s="941">
        <v>19.0</v>
      </c>
      <c r="AS134" s="941">
        <v>4.0</v>
      </c>
      <c r="AT134" s="941">
        <v>0.0</v>
      </c>
      <c r="AU134" s="941">
        <v>0.0</v>
      </c>
      <c r="AV134" s="941">
        <v>0.0</v>
      </c>
      <c r="AW134" s="941">
        <v>0.0</v>
      </c>
      <c r="AX134" s="941">
        <v>0.0</v>
      </c>
      <c r="AY134" s="941">
        <v>0.0</v>
      </c>
      <c r="AZ134" s="941">
        <v>0.0</v>
      </c>
      <c r="BA134" s="941">
        <v>0.0</v>
      </c>
      <c r="BB134" s="941">
        <v>3.0</v>
      </c>
      <c r="BC134" s="941">
        <v>0.0</v>
      </c>
      <c r="BD134" s="941">
        <v>11.0</v>
      </c>
      <c r="BE134" s="941">
        <v>17.0</v>
      </c>
      <c r="BF134" s="941">
        <v>0.0</v>
      </c>
      <c r="BG134" s="942">
        <v>1.0</v>
      </c>
    </row>
    <row r="135">
      <c r="A135" s="935" t="s">
        <v>121</v>
      </c>
      <c r="B135" s="16" t="str">
        <f>IF(C135&lt;'PlayerGrades+'!$Y$44,"F-",IF(C135&lt;'PlayerGrades+'!$Y$43,"F",IF(C135&lt;'PlayerGrades+'!$Y$42,"F+",IF(C135&lt;'PlayerGrades+'!$Y$41,"E-",IF(C135&lt;'PlayerGrades+'!$Y$40,"E",IF(C135&lt;'PlayerGrades+'!$Y$39,"E+",IF(C135&lt;'PlayerGrades+'!$Y$38,"D-",IF(C135&lt;'PlayerGrades+'!$Y$37,"D",IF(C135&lt;'PlayerGrades+'!$Y$36,"D+",IF(C135&lt;'PlayerGrades+'!$Y$35,"C-",IF(C135&lt;'PlayerGrades+'!$Y$34,"C",IF(C135&lt;'PlayerGrades+'!$Y$33,"C+",IF(C135&lt;'PlayerGrades+'!$Y$32,"B-",IF(C135&lt;'PlayerGrades+'!$Y$31,"B",IF(C135&lt;'PlayerGrades+'!$Y$30,"B+",IF(C135&lt;'PlayerGrades+'!$Y$29,"A-",IF(C135&lt;'PlayerGrades+'!$Y$28,"A",IF(C135&lt;'PlayerGrades+'!$Y$27,"A+",IF(C135&lt;'PlayerGrades+'!$Y$26,"S-",IF(C135&lt;'PlayerGrades+'!$Y$25,"S","S+"))))))))))))))))))))</f>
        <v>A+</v>
      </c>
      <c r="C135" s="936">
        <f>('PlayerGrades+'!$Y$47*(VLOOKUP(E135, 'PlayerGrades+'!$X$3:$Y$23, 2, FALSE)))+('PlayerGrades+'!$Y$48*(VLOOKUP(G135, 'PlayerGrades+'!$X$3:$Y$23, 2, FALSE)))+('PlayerGrades+'!$Y$49*(VLOOKUP(I135, 'PlayerGrades+'!$X$3:$Y$23, 2, FALSE)))+('PlayerGrades+'!$Y$50*(VLOOKUP(K135, 'PlayerGrades+'!$X$3:$Y$23, 2, FALSE)))+('PlayerGrades+'!$Y$51*(VLOOKUP(M135, 'PlayerGrades+'!$X$3:$Y$23, 2, FALSE)))+('PlayerGrades+'!$Y$52*(VLOOKUP(O135, 'PlayerGrades+'!$X$3:$Y$23, 2, FALSE)))+('PlayerGrades+'!$Y$53*(VLOOKUP(Q135, 'PlayerGrades+'!$X$3:$Y$23, 2, FALSE)))+('PlayerGrades+'!$Y$54*(VLOOKUP(S135, 'PlayerGrades+'!$X$3:$Y$23, 2, FALSE)))+('PlayerGrades+'!$Y$55*(VLOOKUP(U135, 'PlayerGrades+'!$X$3:$Y$23, 2, FALSE)))</f>
        <v>29.65</v>
      </c>
      <c r="D135" s="937">
        <f t="shared" si="1"/>
        <v>0.03506721216</v>
      </c>
      <c r="E135" s="937" t="str">
        <f>IF(D135&lt;'PlayerGrades+'!$AA$21,"F-",IF(D135&lt;'PlayerGrades+'!$AA$20,"F",IF(D135&lt;'PlayerGrades+'!$AA$19,"F+",IF(D135&lt;'PlayerGrades+'!$AA$18,"E-",IF(D135&lt;'PlayerGrades+'!$AA$17,"E",IF(D135&lt;'PlayerGrades+'!$AA$16,"E+",IF(D135&lt;'PlayerGrades+'!$AA$15,"D-",IF(D135&lt;'PlayerGrades+'!$AA$14,"D",IF(D135&lt;'PlayerGrades+'!$AA$13,"D+",IF(D135&lt;'PlayerGrades+'!$AA$12,"C-",IF(D135&lt;'PlayerGrades+'!$AA$11,"C",IF(D135&lt;'PlayerGrades+'!$AA$10,"C+",IF(D135&lt;'PlayerGrades+'!$AA$9,"B-",IF(D135&lt;'PlayerGrades+'!$AA$8,"B",IF(D135&lt;'PlayerGrades+'!$AA$7,"B+",IF(D135&lt;'PlayerGrades+'!$AA$6,"A-",IF(D135&lt;'PlayerGrades+'!$AA$5,"A",IF(D135&lt;'PlayerGrades+'!$AA$4,"A+",IF(D135&lt;'PlayerGrades+'!$AA$3,"S-",IF(D135&lt;'PlayerGrades+'!$AA$2,"S","S+"))))))))))))))))))))</f>
        <v>C-</v>
      </c>
      <c r="F135" s="937">
        <f t="shared" si="2"/>
        <v>1.016949153</v>
      </c>
      <c r="G135" s="937" t="str">
        <f>IF(F135&lt;'PlayerGrades+'!$AB$21,"F-",IF(F135&lt;'PlayerGrades+'!$AB$20,"F",IF(F135&lt;'PlayerGrades+'!$AB$19,"F+",IF(F135&lt;'PlayerGrades+'!$AB$18,"E-",IF(F135&lt;'PlayerGrades+'!$AB$17,"E",IF(F135&lt;'PlayerGrades+'!$AB$16,"E+",IF(F135&lt;'PlayerGrades+'!$AB$15,"D-",IF(F135&lt;'PlayerGrades+'!$AB$14,"D",IF(F135&lt;'PlayerGrades+'!$AB$13,"D+",IF(F135&lt;'PlayerGrades+'!$AB$12,"C-",IF(F135&lt;'PlayerGrades+'!$AB$11,"C",IF(F135&lt;'PlayerGrades+'!$AB$10,"C+",IF(F135&lt;'PlayerGrades+'!$AB$9,"B-",IF(F135&lt;'PlayerGrades+'!$AB$8,"B",IF(F135&lt;'PlayerGrades+'!$AB$7,"B+",IF(F135&lt;'PlayerGrades+'!$AB$6,"A-",IF(F135&lt;'PlayerGrades+'!$AB$5,"A",IF(F135&lt;'PlayerGrades+'!$AB$4,"A+",IF(F135&lt;'PlayerGrades+'!$AB$3,"S-",IF(F135&lt;'PlayerGrades+'!$AB$2,"S","S+"))))))))))))))))))))</f>
        <v>S+</v>
      </c>
      <c r="H135" s="937">
        <f t="shared" si="3"/>
        <v>0.1052016365</v>
      </c>
      <c r="I135" s="937" t="str">
        <f>IF(H135&lt;'PlayerGrades+'!$AC$21,"F-",IF(H135&lt;'PlayerGrades+'!$AC$20,"F",IF(H135&lt;'PlayerGrades+'!$AC$19,"F+",IF(H135&lt;'PlayerGrades+'!$AC$18,"E-",IF(H135&lt;'PlayerGrades+'!$AC$17,"E",IF(H135&lt;'PlayerGrades+'!$AC$16,"E+",IF(H135&lt;'PlayerGrades+'!$AC$15,"D-",IF(H135&lt;'PlayerGrades+'!$AC$14,"D",IF(H135&lt;'PlayerGrades+'!$AC$13,"D+",IF(H135&lt;'PlayerGrades+'!$AC$12,"C-",IF(H135&lt;'PlayerGrades+'!$AC$11,"C",IF(H135&lt;'PlayerGrades+'!$AC$10,"C+",IF(H135&lt;'PlayerGrades+'!$AC$9,"B-",IF(H135&lt;'PlayerGrades+'!$AC$8,"B",IF(H135&lt;'PlayerGrades+'!$AC$7,"B+",IF(H135&lt;'PlayerGrades+'!$AC$6,"A-",IF(H135&lt;'PlayerGrades+'!$AC$5,"A",IF(H135&lt;'PlayerGrades+'!$AC$4,"A+",IF(H135&lt;'PlayerGrades+'!$AC$3,"S-",IF(H135&lt;'PlayerGrades+'!$AC$2,"S","S+"))))))))))))))))))))</f>
        <v>C-</v>
      </c>
      <c r="J135" s="937">
        <f t="shared" si="4"/>
        <v>0.1402688486</v>
      </c>
      <c r="K135" s="937" t="str">
        <f>IF(J135&lt;'PlayerGrades+'!$AD$21,"F-",IF(J135&lt;'PlayerGrades+'!$AD$20,"F",IF(J135&lt;'PlayerGrades+'!$AD$19,"F+",IF(J135&lt;'PlayerGrades+'!$AD$18,"E-",IF(J135&lt;'PlayerGrades+'!$AD$17,"E",IF(J135&lt;'PlayerGrades+'!$AD$16,"E+",IF(J135&lt;'PlayerGrades+'!$AD$15,"D-",IF(J135&lt;'PlayerGrades+'!$AD$14,"D",IF(J135&lt;'PlayerGrades+'!$AD$13,"D+",IF(J135&lt;'PlayerGrades+'!$AD$12,"C-",IF(J135&lt;'PlayerGrades+'!$AD$11,"C",IF(J135&lt;'PlayerGrades+'!$AD$10,"C+",IF(J135&lt;'PlayerGrades+'!$AD$9,"B-",IF(J135&lt;'PlayerGrades+'!$AD$8,"B",IF(J135&lt;'PlayerGrades+'!$AD$7,"B+",IF(J135&lt;'PlayerGrades+'!$AD$6,"A-",IF(J135&lt;'PlayerGrades+'!$AD$5,"A",IF(J135&lt;'PlayerGrades+'!$AD$4,"A+",IF(J135&lt;'PlayerGrades+'!$AD$3,"S-",IF(J135&lt;'PlayerGrades+'!$AD$2,"S","S+"))))))))))))))))))))</f>
        <v>S+</v>
      </c>
      <c r="L135" s="677">
        <f t="shared" si="5"/>
        <v>0.666277031</v>
      </c>
      <c r="M135" s="938" t="str">
        <f>IF(L135&lt;'PlayerGrades+'!$AE$21,"F-",IF(L135&lt;'PlayerGrades+'!$AE$20,"F",IF(L135&lt;'PlayerGrades+'!$AE$19,"F+",IF(L135&lt;'PlayerGrades+'!$AE$18,"E-",IF(L135&lt;'PlayerGrades+'!$AE$17,"E",IF(L135&lt;'PlayerGrades+'!$AE$16,"E+",IF(L135&lt;'PlayerGrades+'!$AE$15,"D-",IF(L135&lt;'PlayerGrades+'!$AE$14,"D",IF(L135&lt;'PlayerGrades+'!$AE$13,"D+",IF(L135&lt;'PlayerGrades+'!$AE$12,"C-",IF(L135&lt;'PlayerGrades+'!$AE$11,"C",IF(L135&lt;'PlayerGrades+'!$AE$10,"C+",IF(L135&lt;'PlayerGrades+'!$AE$9,"B-",IF(L135&lt;'PlayerGrades+'!$AE$8,"B",IF(L135&lt;'PlayerGrades+'!$AE$7,"B+",IF(L135&lt;'PlayerGrades+'!$AE$6,"A-",IF(L135&lt;'PlayerGrades+'!$AE$5,"A",IF(L135&lt;'PlayerGrades+'!$AE$4,"A+",IF(L135&lt;'PlayerGrades+'!$AE$3,"S-",IF(L135&lt;'PlayerGrades+'!$AE$2,"S","S+"))))))))))))))))))))</f>
        <v>S</v>
      </c>
      <c r="N135" s="937">
        <f t="shared" si="6"/>
        <v>0.1052016365</v>
      </c>
      <c r="O135" s="937" t="str">
        <f>IF(N135&lt;'PlayerGrades+'!$AF$21,"F-",IF(N135&lt;'PlayerGrades+'!$AF$20,"F",IF(N135&lt;'PlayerGrades+'!$AF$19,"F+",IF(N135&lt;'PlayerGrades+'!$AF$18,"E-",IF(N135&lt;'PlayerGrades+'!$AF$17,"E",IF(N135&lt;'PlayerGrades+'!$AF$16,"E+",IF(N135&lt;'PlayerGrades+'!$AF$15,"D-",IF(N135&lt;'PlayerGrades+'!$AF$14,"D",IF(N135&lt;'PlayerGrades+'!$AF$13,"D+",IF(N135&lt;'PlayerGrades+'!$AF$12,"C-",IF(N135&lt;'PlayerGrades+'!$AF$11,"C",IF(N135&lt;'PlayerGrades+'!$AF$10,"C+",IF(N135&lt;'PlayerGrades+'!$AF$9,"B-",IF(N135&lt;'PlayerGrades+'!$AF$8,"B",IF(N135&lt;'PlayerGrades+'!$AF$7,"B+",IF(N135&lt;'PlayerGrades+'!$AF$6,"A-",IF(N135&lt;'PlayerGrades+'!$AF$5,"A",IF(N135&lt;'PlayerGrades+'!$AF$4,"A+",IF(N135&lt;'PlayerGrades+'!$AF$3,"S-",IF(N135&lt;'PlayerGrades+'!$AF$2,"S","S+"))))))))))))))))))))</f>
        <v>A+</v>
      </c>
      <c r="P135" s="937">
        <f t="shared" si="7"/>
        <v>0.1052016365</v>
      </c>
      <c r="Q135" s="937" t="str">
        <f>IF(P135&lt;'PlayerGrades+'!$AG$21,"F-",IF(P135&lt;'PlayerGrades+'!$AG$20,"F",IF(P135&lt;'PlayerGrades+'!$AG$19,"F+",IF(P135&lt;'PlayerGrades+'!$AG$18,"E-",IF(P135&lt;'PlayerGrades+'!$AG$17,"E",IF(P135&lt;'PlayerGrades+'!$AG$16,"E+",IF(P135&lt;'PlayerGrades+'!$AG$15,"D-",IF(P135&lt;'PlayerGrades+'!$AG$14,"D",IF(P135&lt;'PlayerGrades+'!$AG$13,"D+",IF(P135&lt;'PlayerGrades+'!$AG$12,"C-",IF(P135&lt;'PlayerGrades+'!$AG$11,"C",IF(P135&lt;'PlayerGrades+'!$AG$10,"C+",IF(P135&lt;'PlayerGrades+'!$AG$9,"B-",IF(P135&lt;'PlayerGrades+'!$AG$8,"B",IF(P135&lt;'PlayerGrades+'!$AG$7,"B+",IF(P135&lt;'PlayerGrades+'!$AG$6,"A-",IF(P135&lt;'PlayerGrades+'!$AG$5,"A",IF(P135&lt;'PlayerGrades+'!$AG$4,"A+",IF(P135&lt;'PlayerGrades+'!$AG$3,"S-",IF(P135&lt;'PlayerGrades+'!$AG$2,"S","S+"))))))))))))))))))))</f>
        <v>S+</v>
      </c>
      <c r="R135" s="937">
        <f t="shared" si="8"/>
        <v>0.7364114553</v>
      </c>
      <c r="S135" s="937" t="str">
        <f>IF(R135&lt;'PlayerGrades+'!$AH$21,"F-",IF(R135&lt;'PlayerGrades+'!$AH$20,"F",IF(R135&lt;'PlayerGrades+'!$AH$19,"F+",IF(R135&lt;'PlayerGrades+'!$AH$18,"E-",IF(R135&lt;'PlayerGrades+'!$AH$17,"E",IF(R135&lt;'PlayerGrades+'!$AH$16,"E+",IF(R135&lt;'PlayerGrades+'!$AH$15,"D-",IF(R135&lt;'PlayerGrades+'!$AH$14,"D",IF(R135&lt;'PlayerGrades+'!$AH$13,"D+",IF(R135&lt;'PlayerGrades+'!$AH$12,"C-",IF(R135&lt;'PlayerGrades+'!$AH$11,"C",IF(R135&lt;'PlayerGrades+'!$AH$10,"C+",IF(R135&lt;'PlayerGrades+'!$AH$9,"B-",IF(R135&lt;'PlayerGrades+'!$AH$8,"B",IF(R135&lt;'PlayerGrades+'!$AH$7,"B+",IF(R135&lt;'PlayerGrades+'!$AH$6,"A-",IF(R135&lt;'PlayerGrades+'!$AH$5,"A",IF(R135&lt;'PlayerGrades+'!$AH$4,"A+",IF(R135&lt;'PlayerGrades+'!$AH$3,"S-",IF(R135&lt;'PlayerGrades+'!$AH$2,"S","S+"))))))))))))))))))))</f>
        <v>S</v>
      </c>
      <c r="T135" s="937">
        <f t="shared" si="9"/>
        <v>0.3857393337</v>
      </c>
      <c r="U135" s="937" t="str">
        <f>IF(T135&lt;'PlayerGrades+'!$AI$21,"F-",IF(T135&lt;'PlayerGrades+'!$AI$20,"F",IF(T135&lt;'PlayerGrades+'!$AI$19,"F+",IF(T135&lt;'PlayerGrades+'!$AI$18,"E-",IF(T135&lt;'PlayerGrades+'!$AI$17,"E",IF(T135&lt;'PlayerGrades+'!$AI$16,"E+",IF(T135&lt;'PlayerGrades+'!$AI$15,"D-",IF(T135&lt;'PlayerGrades+'!$AI$14,"D",IF(T135&lt;'PlayerGrades+'!$AI$13,"D+",IF(T135&lt;'PlayerGrades+'!$AI$12,"C-",IF(T135&lt;'PlayerGrades+'!$AI$11,"C",IF(T135&lt;'PlayerGrades+'!$AI$10,"C+",IF(T135&lt;'PlayerGrades+'!$AI$9,"B-",IF(T135&lt;'PlayerGrades+'!$AI$8,"B",IF(T135&lt;'PlayerGrades+'!$AI$7,"B+",IF(T135&lt;'PlayerGrades+'!$AI$6,"A-",IF(T135&lt;'PlayerGrades+'!$AI$5,"A",IF(T135&lt;'PlayerGrades+'!$AI$4,"A+",IF(T135&lt;'PlayerGrades+'!$AI$3,"S-",IF(T135&lt;'PlayerGrades+'!$AI$2,"S","S+"))))))))))))))))))))</f>
        <v>F-</v>
      </c>
      <c r="V135" s="941">
        <v>1.0</v>
      </c>
      <c r="W135" s="941">
        <v>1.0</v>
      </c>
      <c r="X135" s="941">
        <v>0.0</v>
      </c>
      <c r="Y135" s="941">
        <v>0.0</v>
      </c>
      <c r="Z135" s="941">
        <v>1.0</v>
      </c>
      <c r="AA135" s="941">
        <v>102.0</v>
      </c>
      <c r="AB135" s="941">
        <v>73.0</v>
      </c>
      <c r="AC135" s="941">
        <v>29.0</v>
      </c>
      <c r="AD135" s="941">
        <v>9.0</v>
      </c>
      <c r="AE135" s="941">
        <v>7.0</v>
      </c>
      <c r="AF135" s="941">
        <v>2.0</v>
      </c>
      <c r="AG135" s="941">
        <v>1402.0</v>
      </c>
      <c r="AH135" s="941">
        <v>1711.0</v>
      </c>
      <c r="AI135" s="941">
        <v>19.0</v>
      </c>
      <c r="AJ135" s="941">
        <v>37.0</v>
      </c>
      <c r="AK135" s="941">
        <v>0.0</v>
      </c>
      <c r="AL135" s="941">
        <v>4.0</v>
      </c>
      <c r="AM135" s="941">
        <v>0.0</v>
      </c>
      <c r="AN135" s="941">
        <v>0.0</v>
      </c>
      <c r="AO135" s="941">
        <v>0.0</v>
      </c>
      <c r="AP135" s="941">
        <v>3.0</v>
      </c>
      <c r="AQ135" s="941">
        <v>0.0</v>
      </c>
      <c r="AR135" s="941">
        <v>19.0</v>
      </c>
      <c r="AS135" s="941">
        <v>3.0</v>
      </c>
      <c r="AT135" s="941">
        <v>1.0</v>
      </c>
      <c r="AU135" s="941">
        <v>1.0</v>
      </c>
      <c r="AV135" s="941">
        <v>1.0</v>
      </c>
      <c r="AW135" s="941">
        <v>0.0</v>
      </c>
      <c r="AX135" s="941">
        <v>0.0</v>
      </c>
      <c r="AY135" s="941">
        <v>0.0</v>
      </c>
      <c r="AZ135" s="941">
        <v>0.0</v>
      </c>
      <c r="BA135" s="941">
        <v>0.0</v>
      </c>
      <c r="BB135" s="941">
        <v>3.0</v>
      </c>
      <c r="BC135" s="941">
        <v>0.0</v>
      </c>
      <c r="BD135" s="941">
        <v>12.0</v>
      </c>
      <c r="BE135" s="941">
        <v>11.0</v>
      </c>
      <c r="BF135" s="941">
        <v>0.0</v>
      </c>
      <c r="BG135" s="942">
        <v>1.0</v>
      </c>
    </row>
    <row r="136">
      <c r="A136" s="935" t="s">
        <v>132</v>
      </c>
      <c r="B136" s="16" t="str">
        <f>IF(C136&lt;'PlayerGrades+'!$Y$44,"F-",IF(C136&lt;'PlayerGrades+'!$Y$43,"F",IF(C136&lt;'PlayerGrades+'!$Y$42,"F+",IF(C136&lt;'PlayerGrades+'!$Y$41,"E-",IF(C136&lt;'PlayerGrades+'!$Y$40,"E",IF(C136&lt;'PlayerGrades+'!$Y$39,"E+",IF(C136&lt;'PlayerGrades+'!$Y$38,"D-",IF(C136&lt;'PlayerGrades+'!$Y$37,"D",IF(C136&lt;'PlayerGrades+'!$Y$36,"D+",IF(C136&lt;'PlayerGrades+'!$Y$35,"C-",IF(C136&lt;'PlayerGrades+'!$Y$34,"C",IF(C136&lt;'PlayerGrades+'!$Y$33,"C+",IF(C136&lt;'PlayerGrades+'!$Y$32,"B-",IF(C136&lt;'PlayerGrades+'!$Y$31,"B",IF(C136&lt;'PlayerGrades+'!$Y$30,"B+",IF(C136&lt;'PlayerGrades+'!$Y$29,"A-",IF(C136&lt;'PlayerGrades+'!$Y$28,"A",IF(C136&lt;'PlayerGrades+'!$Y$27,"A+",IF(C136&lt;'PlayerGrades+'!$Y$26,"S-",IF(C136&lt;'PlayerGrades+'!$Y$25,"S","S+"))))))))))))))))))))</f>
        <v>S</v>
      </c>
      <c r="C136" s="936">
        <f>('PlayerGrades+'!$Y$47*(VLOOKUP(E136, 'PlayerGrades+'!$X$3:$Y$23, 2, FALSE)))+('PlayerGrades+'!$Y$48*(VLOOKUP(G136, 'PlayerGrades+'!$X$3:$Y$23, 2, FALSE)))+('PlayerGrades+'!$Y$49*(VLOOKUP(I136, 'PlayerGrades+'!$X$3:$Y$23, 2, FALSE)))+('PlayerGrades+'!$Y$50*(VLOOKUP(K136, 'PlayerGrades+'!$X$3:$Y$23, 2, FALSE)))+('PlayerGrades+'!$Y$51*(VLOOKUP(M136, 'PlayerGrades+'!$X$3:$Y$23, 2, FALSE)))+('PlayerGrades+'!$Y$52*(VLOOKUP(O136, 'PlayerGrades+'!$X$3:$Y$23, 2, FALSE)))+('PlayerGrades+'!$Y$53*(VLOOKUP(Q136, 'PlayerGrades+'!$X$3:$Y$23, 2, FALSE)))+('PlayerGrades+'!$Y$54*(VLOOKUP(S136, 'PlayerGrades+'!$X$3:$Y$23, 2, FALSE)))+('PlayerGrades+'!$Y$55*(VLOOKUP(U136, 'PlayerGrades+'!$X$3:$Y$23, 2, FALSE)))</f>
        <v>31.6</v>
      </c>
      <c r="D136" s="937">
        <f t="shared" si="1"/>
        <v>0.03506721216</v>
      </c>
      <c r="E136" s="937" t="str">
        <f>IF(D136&lt;'PlayerGrades+'!$AA$21,"F-",IF(D136&lt;'PlayerGrades+'!$AA$20,"F",IF(D136&lt;'PlayerGrades+'!$AA$19,"F+",IF(D136&lt;'PlayerGrades+'!$AA$18,"E-",IF(D136&lt;'PlayerGrades+'!$AA$17,"E",IF(D136&lt;'PlayerGrades+'!$AA$16,"E+",IF(D136&lt;'PlayerGrades+'!$AA$15,"D-",IF(D136&lt;'PlayerGrades+'!$AA$14,"D",IF(D136&lt;'PlayerGrades+'!$AA$13,"D+",IF(D136&lt;'PlayerGrades+'!$AA$12,"C-",IF(D136&lt;'PlayerGrades+'!$AA$11,"C",IF(D136&lt;'PlayerGrades+'!$AA$10,"C+",IF(D136&lt;'PlayerGrades+'!$AA$9,"B-",IF(D136&lt;'PlayerGrades+'!$AA$8,"B",IF(D136&lt;'PlayerGrades+'!$AA$7,"B+",IF(D136&lt;'PlayerGrades+'!$AA$6,"A-",IF(D136&lt;'PlayerGrades+'!$AA$5,"A",IF(D136&lt;'PlayerGrades+'!$AA$4,"A+",IF(D136&lt;'PlayerGrades+'!$AA$3,"S-",IF(D136&lt;'PlayerGrades+'!$AA$2,"S","S+"))))))))))))))))))))</f>
        <v>C-</v>
      </c>
      <c r="F136" s="937">
        <f t="shared" si="2"/>
        <v>0.5610753945</v>
      </c>
      <c r="G136" s="937" t="str">
        <f>IF(F136&lt;'PlayerGrades+'!$AB$21,"F-",IF(F136&lt;'PlayerGrades+'!$AB$20,"F",IF(F136&lt;'PlayerGrades+'!$AB$19,"F+",IF(F136&lt;'PlayerGrades+'!$AB$18,"E-",IF(F136&lt;'PlayerGrades+'!$AB$17,"E",IF(F136&lt;'PlayerGrades+'!$AB$16,"E+",IF(F136&lt;'PlayerGrades+'!$AB$15,"D-",IF(F136&lt;'PlayerGrades+'!$AB$14,"D",IF(F136&lt;'PlayerGrades+'!$AB$13,"D+",IF(F136&lt;'PlayerGrades+'!$AB$12,"C-",IF(F136&lt;'PlayerGrades+'!$AB$11,"C",IF(F136&lt;'PlayerGrades+'!$AB$10,"C+",IF(F136&lt;'PlayerGrades+'!$AB$9,"B-",IF(F136&lt;'PlayerGrades+'!$AB$8,"B",IF(F136&lt;'PlayerGrades+'!$AB$7,"B+",IF(F136&lt;'PlayerGrades+'!$AB$6,"A-",IF(F136&lt;'PlayerGrades+'!$AB$5,"A",IF(F136&lt;'PlayerGrades+'!$AB$4,"A+",IF(F136&lt;'PlayerGrades+'!$AB$3,"S-",IF(F136&lt;'PlayerGrades+'!$AB$2,"S","S+"))))))))))))))))))))</f>
        <v>S-</v>
      </c>
      <c r="H136" s="937">
        <f t="shared" si="3"/>
        <v>0.1753360608</v>
      </c>
      <c r="I136" s="937" t="str">
        <f>IF(H136&lt;'PlayerGrades+'!$AC$21,"F-",IF(H136&lt;'PlayerGrades+'!$AC$20,"F",IF(H136&lt;'PlayerGrades+'!$AC$19,"F+",IF(H136&lt;'PlayerGrades+'!$AC$18,"E-",IF(H136&lt;'PlayerGrades+'!$AC$17,"E",IF(H136&lt;'PlayerGrades+'!$AC$16,"E+",IF(H136&lt;'PlayerGrades+'!$AC$15,"D-",IF(H136&lt;'PlayerGrades+'!$AC$14,"D",IF(H136&lt;'PlayerGrades+'!$AC$13,"D+",IF(H136&lt;'PlayerGrades+'!$AC$12,"C-",IF(H136&lt;'PlayerGrades+'!$AC$11,"C",IF(H136&lt;'PlayerGrades+'!$AC$10,"C+",IF(H136&lt;'PlayerGrades+'!$AC$9,"B-",IF(H136&lt;'PlayerGrades+'!$AC$8,"B",IF(H136&lt;'PlayerGrades+'!$AC$7,"B+",IF(H136&lt;'PlayerGrades+'!$AC$6,"A-",IF(H136&lt;'PlayerGrades+'!$AC$5,"A",IF(H136&lt;'PlayerGrades+'!$AC$4,"A+",IF(H136&lt;'PlayerGrades+'!$AC$3,"S-",IF(H136&lt;'PlayerGrades+'!$AC$2,"S","S+"))))))))))))))))))))</f>
        <v>S-</v>
      </c>
      <c r="J136" s="937">
        <f t="shared" si="4"/>
        <v>0.07013442431</v>
      </c>
      <c r="K136" s="937" t="str">
        <f>IF(J136&lt;'PlayerGrades+'!$AD$21,"F-",IF(J136&lt;'PlayerGrades+'!$AD$20,"F",IF(J136&lt;'PlayerGrades+'!$AD$19,"F+",IF(J136&lt;'PlayerGrades+'!$AD$18,"E-",IF(J136&lt;'PlayerGrades+'!$AD$17,"E",IF(J136&lt;'PlayerGrades+'!$AD$16,"E+",IF(J136&lt;'PlayerGrades+'!$AD$15,"D-",IF(J136&lt;'PlayerGrades+'!$AD$14,"D",IF(J136&lt;'PlayerGrades+'!$AD$13,"D+",IF(J136&lt;'PlayerGrades+'!$AD$12,"C-",IF(J136&lt;'PlayerGrades+'!$AD$11,"C",IF(J136&lt;'PlayerGrades+'!$AD$10,"C+",IF(J136&lt;'PlayerGrades+'!$AD$9,"B-",IF(J136&lt;'PlayerGrades+'!$AD$8,"B",IF(J136&lt;'PlayerGrades+'!$AD$7,"B+",IF(J136&lt;'PlayerGrades+'!$AD$6,"A-",IF(J136&lt;'PlayerGrades+'!$AD$5,"A",IF(J136&lt;'PlayerGrades+'!$AD$4,"A+",IF(J136&lt;'PlayerGrades+'!$AD$3,"S-",IF(J136&lt;'PlayerGrades+'!$AD$2,"S","S+"))))))))))))))))))))</f>
        <v>A-</v>
      </c>
      <c r="L136" s="677">
        <f t="shared" si="5"/>
        <v>0.8065458796</v>
      </c>
      <c r="M136" s="938" t="str">
        <f>IF(L136&lt;'PlayerGrades+'!$AE$21,"F-",IF(L136&lt;'PlayerGrades+'!$AE$20,"F",IF(L136&lt;'PlayerGrades+'!$AE$19,"F+",IF(L136&lt;'PlayerGrades+'!$AE$18,"E-",IF(L136&lt;'PlayerGrades+'!$AE$17,"E",IF(L136&lt;'PlayerGrades+'!$AE$16,"E+",IF(L136&lt;'PlayerGrades+'!$AE$15,"D-",IF(L136&lt;'PlayerGrades+'!$AE$14,"D",IF(L136&lt;'PlayerGrades+'!$AE$13,"D+",IF(L136&lt;'PlayerGrades+'!$AE$12,"C-",IF(L136&lt;'PlayerGrades+'!$AE$11,"C",IF(L136&lt;'PlayerGrades+'!$AE$10,"C+",IF(L136&lt;'PlayerGrades+'!$AE$9,"B-",IF(L136&lt;'PlayerGrades+'!$AE$8,"B",IF(L136&lt;'PlayerGrades+'!$AE$7,"B+",IF(L136&lt;'PlayerGrades+'!$AE$6,"A-",IF(L136&lt;'PlayerGrades+'!$AE$5,"A",IF(L136&lt;'PlayerGrades+'!$AE$4,"A+",IF(L136&lt;'PlayerGrades+'!$AE$3,"S-",IF(L136&lt;'PlayerGrades+'!$AE$2,"S","S+"))))))))))))))))))))</f>
        <v>S+</v>
      </c>
      <c r="N136" s="937">
        <f t="shared" si="6"/>
        <v>0.2454704851</v>
      </c>
      <c r="O136" s="937" t="str">
        <f>IF(N136&lt;'PlayerGrades+'!$AF$21,"F-",IF(N136&lt;'PlayerGrades+'!$AF$20,"F",IF(N136&lt;'PlayerGrades+'!$AF$19,"F+",IF(N136&lt;'PlayerGrades+'!$AF$18,"E-",IF(N136&lt;'PlayerGrades+'!$AF$17,"E",IF(N136&lt;'PlayerGrades+'!$AF$16,"E+",IF(N136&lt;'PlayerGrades+'!$AF$15,"D-",IF(N136&lt;'PlayerGrades+'!$AF$14,"D",IF(N136&lt;'PlayerGrades+'!$AF$13,"D+",IF(N136&lt;'PlayerGrades+'!$AF$12,"C-",IF(N136&lt;'PlayerGrades+'!$AF$11,"C",IF(N136&lt;'PlayerGrades+'!$AF$10,"C+",IF(N136&lt;'PlayerGrades+'!$AF$9,"B-",IF(N136&lt;'PlayerGrades+'!$AF$8,"B",IF(N136&lt;'PlayerGrades+'!$AF$7,"B+",IF(N136&lt;'PlayerGrades+'!$AF$6,"A-",IF(N136&lt;'PlayerGrades+'!$AF$5,"A",IF(N136&lt;'PlayerGrades+'!$AF$4,"A+",IF(N136&lt;'PlayerGrades+'!$AF$3,"S-",IF(N136&lt;'PlayerGrades+'!$AF$2,"S","S+"))))))))))))))))))))</f>
        <v>S+</v>
      </c>
      <c r="P136" s="937">
        <f t="shared" si="7"/>
        <v>0.07013442431</v>
      </c>
      <c r="Q136" s="937" t="str">
        <f>IF(P136&lt;'PlayerGrades+'!$AG$21,"F-",IF(P136&lt;'PlayerGrades+'!$AG$20,"F",IF(P136&lt;'PlayerGrades+'!$AG$19,"F+",IF(P136&lt;'PlayerGrades+'!$AG$18,"E-",IF(P136&lt;'PlayerGrades+'!$AG$17,"E",IF(P136&lt;'PlayerGrades+'!$AG$16,"E+",IF(P136&lt;'PlayerGrades+'!$AG$15,"D-",IF(P136&lt;'PlayerGrades+'!$AG$14,"D",IF(P136&lt;'PlayerGrades+'!$AG$13,"D+",IF(P136&lt;'PlayerGrades+'!$AG$12,"C-",IF(P136&lt;'PlayerGrades+'!$AG$11,"C",IF(P136&lt;'PlayerGrades+'!$AG$10,"C+",IF(P136&lt;'PlayerGrades+'!$AG$9,"B-",IF(P136&lt;'PlayerGrades+'!$AG$8,"B",IF(P136&lt;'PlayerGrades+'!$AG$7,"B+",IF(P136&lt;'PlayerGrades+'!$AG$6,"A-",IF(P136&lt;'PlayerGrades+'!$AG$5,"A",IF(P136&lt;'PlayerGrades+'!$AG$4,"A+",IF(P136&lt;'PlayerGrades+'!$AG$3,"S-",IF(P136&lt;'PlayerGrades+'!$AG$2,"S","S+"))))))))))))))))))))</f>
        <v>S-</v>
      </c>
      <c r="R136" s="937">
        <f t="shared" si="8"/>
        <v>0.5610753945</v>
      </c>
      <c r="S136" s="937" t="str">
        <f>IF(R136&lt;'PlayerGrades+'!$AH$21,"F-",IF(R136&lt;'PlayerGrades+'!$AH$20,"F",IF(R136&lt;'PlayerGrades+'!$AH$19,"F+",IF(R136&lt;'PlayerGrades+'!$AH$18,"E-",IF(R136&lt;'PlayerGrades+'!$AH$17,"E",IF(R136&lt;'PlayerGrades+'!$AH$16,"E+",IF(R136&lt;'PlayerGrades+'!$AH$15,"D-",IF(R136&lt;'PlayerGrades+'!$AH$14,"D",IF(R136&lt;'PlayerGrades+'!$AH$13,"D+",IF(R136&lt;'PlayerGrades+'!$AH$12,"C-",IF(R136&lt;'PlayerGrades+'!$AH$11,"C",IF(R136&lt;'PlayerGrades+'!$AH$10,"C+",IF(R136&lt;'PlayerGrades+'!$AH$9,"B-",IF(R136&lt;'PlayerGrades+'!$AH$8,"B",IF(R136&lt;'PlayerGrades+'!$AH$7,"B+",IF(R136&lt;'PlayerGrades+'!$AH$6,"A-",IF(R136&lt;'PlayerGrades+'!$AH$5,"A",IF(R136&lt;'PlayerGrades+'!$AH$4,"A+",IF(R136&lt;'PlayerGrades+'!$AH$3,"S-",IF(R136&lt;'PlayerGrades+'!$AH$2,"S","S+"))))))))))))))))))))</f>
        <v>B-</v>
      </c>
      <c r="T136" s="937">
        <f t="shared" si="9"/>
        <v>2.455873758</v>
      </c>
      <c r="U136" s="937" t="str">
        <f>IF(T136&lt;'PlayerGrades+'!$AI$21,"F-",IF(T136&lt;'PlayerGrades+'!$AI$20,"F",IF(T136&lt;'PlayerGrades+'!$AI$19,"F+",IF(T136&lt;'PlayerGrades+'!$AI$18,"E-",IF(T136&lt;'PlayerGrades+'!$AI$17,"E",IF(T136&lt;'PlayerGrades+'!$AI$16,"E+",IF(T136&lt;'PlayerGrades+'!$AI$15,"D-",IF(T136&lt;'PlayerGrades+'!$AI$14,"D",IF(T136&lt;'PlayerGrades+'!$AI$13,"D+",IF(T136&lt;'PlayerGrades+'!$AI$12,"C-",IF(T136&lt;'PlayerGrades+'!$AI$11,"C",IF(T136&lt;'PlayerGrades+'!$AI$10,"C+",IF(T136&lt;'PlayerGrades+'!$AI$9,"B-",IF(T136&lt;'PlayerGrades+'!$AI$8,"B",IF(T136&lt;'PlayerGrades+'!$AI$7,"B+",IF(T136&lt;'PlayerGrades+'!$AI$6,"A-",IF(T136&lt;'PlayerGrades+'!$AI$5,"A",IF(T136&lt;'PlayerGrades+'!$AI$4,"A+",IF(T136&lt;'PlayerGrades+'!$AI$3,"S-",IF(T136&lt;'PlayerGrades+'!$AI$2,"S","S+"))))))))))))))))))))</f>
        <v>S+</v>
      </c>
      <c r="V136" s="941">
        <v>1.0</v>
      </c>
      <c r="W136" s="941">
        <v>1.0</v>
      </c>
      <c r="X136" s="941">
        <v>0.0</v>
      </c>
      <c r="Y136" s="941">
        <v>1.0</v>
      </c>
      <c r="Z136" s="941">
        <v>0.0</v>
      </c>
      <c r="AA136" s="941">
        <v>119.0</v>
      </c>
      <c r="AB136" s="941">
        <v>103.0</v>
      </c>
      <c r="AC136" s="941">
        <v>16.0</v>
      </c>
      <c r="AD136" s="941">
        <v>9.0</v>
      </c>
      <c r="AE136" s="941">
        <v>7.0</v>
      </c>
      <c r="AF136" s="941">
        <v>3.0</v>
      </c>
      <c r="AG136" s="941">
        <v>1309.0</v>
      </c>
      <c r="AH136" s="941">
        <v>1711.0</v>
      </c>
      <c r="AI136" s="941">
        <v>12.0</v>
      </c>
      <c r="AJ136" s="941">
        <v>0.0</v>
      </c>
      <c r="AK136" s="941">
        <v>0.0</v>
      </c>
      <c r="AL136" s="941">
        <v>2.0</v>
      </c>
      <c r="AM136" s="941">
        <v>0.0</v>
      </c>
      <c r="AN136" s="941">
        <v>0.0</v>
      </c>
      <c r="AO136" s="941">
        <v>0.0</v>
      </c>
      <c r="AP136" s="941">
        <v>2.0</v>
      </c>
      <c r="AQ136" s="941">
        <v>0.0</v>
      </c>
      <c r="AR136" s="941">
        <v>23.0</v>
      </c>
      <c r="AS136" s="941">
        <v>7.0</v>
      </c>
      <c r="AT136" s="941">
        <v>2.0</v>
      </c>
      <c r="AU136" s="941">
        <v>0.0</v>
      </c>
      <c r="AV136" s="941">
        <v>0.0</v>
      </c>
      <c r="AW136" s="941">
        <v>0.0</v>
      </c>
      <c r="AX136" s="941">
        <v>0.0</v>
      </c>
      <c r="AY136" s="941">
        <v>0.0</v>
      </c>
      <c r="AZ136" s="941">
        <v>0.0</v>
      </c>
      <c r="BA136" s="941">
        <v>0.0</v>
      </c>
      <c r="BB136" s="941">
        <v>5.0</v>
      </c>
      <c r="BC136" s="941">
        <v>0.0</v>
      </c>
      <c r="BD136" s="941">
        <v>7.0</v>
      </c>
      <c r="BE136" s="941">
        <v>13.0</v>
      </c>
      <c r="BF136" s="941">
        <v>2.0</v>
      </c>
      <c r="BG136" s="942">
        <v>1.0</v>
      </c>
    </row>
    <row r="137">
      <c r="A137" s="943" t="s">
        <v>154</v>
      </c>
      <c r="B137" s="16" t="str">
        <f>IF(C137&lt;'PlayerGrades+'!$Y$44,"F-",IF(C137&lt;'PlayerGrades+'!$Y$43,"F",IF(C137&lt;'PlayerGrades+'!$Y$42,"F+",IF(C137&lt;'PlayerGrades+'!$Y$41,"E-",IF(C137&lt;'PlayerGrades+'!$Y$40,"E",IF(C137&lt;'PlayerGrades+'!$Y$39,"E+",IF(C137&lt;'PlayerGrades+'!$Y$38,"D-",IF(C137&lt;'PlayerGrades+'!$Y$37,"D",IF(C137&lt;'PlayerGrades+'!$Y$36,"D+",IF(C137&lt;'PlayerGrades+'!$Y$35,"C-",IF(C137&lt;'PlayerGrades+'!$Y$34,"C",IF(C137&lt;'PlayerGrades+'!$Y$33,"C+",IF(C137&lt;'PlayerGrades+'!$Y$32,"B-",IF(C137&lt;'PlayerGrades+'!$Y$31,"B",IF(C137&lt;'PlayerGrades+'!$Y$30,"B+",IF(C137&lt;'PlayerGrades+'!$Y$29,"A-",IF(C137&lt;'PlayerGrades+'!$Y$28,"A",IF(C137&lt;'PlayerGrades+'!$Y$27,"A+",IF(C137&lt;'PlayerGrades+'!$Y$26,"S-",IF(C137&lt;'PlayerGrades+'!$Y$25,"S","S+"))))))))))))))))))))</f>
        <v>F</v>
      </c>
      <c r="C137" s="936">
        <f>('PlayerGrades+'!$Y$47*(VLOOKUP(E137, 'PlayerGrades+'!$X$3:$Y$23, 2, FALSE)))+('PlayerGrades+'!$Y$48*(VLOOKUP(G137, 'PlayerGrades+'!$X$3:$Y$23, 2, FALSE)))+('PlayerGrades+'!$Y$49*(VLOOKUP(I137, 'PlayerGrades+'!$X$3:$Y$23, 2, FALSE)))+('PlayerGrades+'!$Y$50*(VLOOKUP(K137, 'PlayerGrades+'!$X$3:$Y$23, 2, FALSE)))+('PlayerGrades+'!$Y$51*(VLOOKUP(M137, 'PlayerGrades+'!$X$3:$Y$23, 2, FALSE)))+('PlayerGrades+'!$Y$52*(VLOOKUP(O137, 'PlayerGrades+'!$X$3:$Y$23, 2, FALSE)))+('PlayerGrades+'!$Y$53*(VLOOKUP(Q137, 'PlayerGrades+'!$X$3:$Y$23, 2, FALSE)))+('PlayerGrades+'!$Y$54*(VLOOKUP(S137, 'PlayerGrades+'!$X$3:$Y$23, 2, FALSE)))+('PlayerGrades+'!$Y$55*(VLOOKUP(U137, 'PlayerGrades+'!$X$3:$Y$23, 2, FALSE)))</f>
        <v>9.25</v>
      </c>
      <c r="D137" s="937">
        <f t="shared" si="1"/>
        <v>0.3506721216</v>
      </c>
      <c r="E137" s="937" t="str">
        <f>IF(D137&lt;'PlayerGrades+'!$AA$21,"F-",IF(D137&lt;'PlayerGrades+'!$AA$20,"F",IF(D137&lt;'PlayerGrades+'!$AA$19,"F+",IF(D137&lt;'PlayerGrades+'!$AA$18,"E-",IF(D137&lt;'PlayerGrades+'!$AA$17,"E",IF(D137&lt;'PlayerGrades+'!$AA$16,"E+",IF(D137&lt;'PlayerGrades+'!$AA$15,"D-",IF(D137&lt;'PlayerGrades+'!$AA$14,"D",IF(D137&lt;'PlayerGrades+'!$AA$13,"D+",IF(D137&lt;'PlayerGrades+'!$AA$12,"C-",IF(D137&lt;'PlayerGrades+'!$AA$11,"C",IF(D137&lt;'PlayerGrades+'!$AA$10,"C+",IF(D137&lt;'PlayerGrades+'!$AA$9,"B-",IF(D137&lt;'PlayerGrades+'!$AA$8,"B",IF(D137&lt;'PlayerGrades+'!$AA$7,"B+",IF(D137&lt;'PlayerGrades+'!$AA$6,"A-",IF(D137&lt;'PlayerGrades+'!$AA$5,"A",IF(D137&lt;'PlayerGrades+'!$AA$4,"A+",IF(D137&lt;'PlayerGrades+'!$AA$3,"S-",IF(D137&lt;'PlayerGrades+'!$AA$2,"S","S+"))))))))))))))))))))</f>
        <v>A</v>
      </c>
      <c r="F137" s="937">
        <f t="shared" si="2"/>
        <v>-0.455873758</v>
      </c>
      <c r="G137" s="937" t="str">
        <f>IF(F137&lt;'PlayerGrades+'!$AB$21,"F-",IF(F137&lt;'PlayerGrades+'!$AB$20,"F",IF(F137&lt;'PlayerGrades+'!$AB$19,"F+",IF(F137&lt;'PlayerGrades+'!$AB$18,"E-",IF(F137&lt;'PlayerGrades+'!$AB$17,"E",IF(F137&lt;'PlayerGrades+'!$AB$16,"E+",IF(F137&lt;'PlayerGrades+'!$AB$15,"D-",IF(F137&lt;'PlayerGrades+'!$AB$14,"D",IF(F137&lt;'PlayerGrades+'!$AB$13,"D+",IF(F137&lt;'PlayerGrades+'!$AB$12,"C-",IF(F137&lt;'PlayerGrades+'!$AB$11,"C",IF(F137&lt;'PlayerGrades+'!$AB$10,"C+",IF(F137&lt;'PlayerGrades+'!$AB$9,"B-",IF(F137&lt;'PlayerGrades+'!$AB$8,"B",IF(F137&lt;'PlayerGrades+'!$AB$7,"B+",IF(F137&lt;'PlayerGrades+'!$AB$6,"A-",IF(F137&lt;'PlayerGrades+'!$AB$5,"A",IF(F137&lt;'PlayerGrades+'!$AB$4,"A+",IF(F137&lt;'PlayerGrades+'!$AB$3,"S-",IF(F137&lt;'PlayerGrades+'!$AB$2,"S","S+"))))))))))))))))))))</f>
        <v>D</v>
      </c>
      <c r="H137" s="937">
        <f t="shared" si="3"/>
        <v>0.07013442431</v>
      </c>
      <c r="I137" s="937" t="str">
        <f>IF(H137&lt;'PlayerGrades+'!$AC$21,"F-",IF(H137&lt;'PlayerGrades+'!$AC$20,"F",IF(H137&lt;'PlayerGrades+'!$AC$19,"F+",IF(H137&lt;'PlayerGrades+'!$AC$18,"E-",IF(H137&lt;'PlayerGrades+'!$AC$17,"E",IF(H137&lt;'PlayerGrades+'!$AC$16,"E+",IF(H137&lt;'PlayerGrades+'!$AC$15,"D-",IF(H137&lt;'PlayerGrades+'!$AC$14,"D",IF(H137&lt;'PlayerGrades+'!$AC$13,"D+",IF(H137&lt;'PlayerGrades+'!$AC$12,"C-",IF(H137&lt;'PlayerGrades+'!$AC$11,"C",IF(H137&lt;'PlayerGrades+'!$AC$10,"C+",IF(H137&lt;'PlayerGrades+'!$AC$9,"B-",IF(H137&lt;'PlayerGrades+'!$AC$8,"B",IF(H137&lt;'PlayerGrades+'!$AC$7,"B+",IF(H137&lt;'PlayerGrades+'!$AC$6,"A-",IF(H137&lt;'PlayerGrades+'!$AC$5,"A",IF(H137&lt;'PlayerGrades+'!$AC$4,"A+",IF(H137&lt;'PlayerGrades+'!$AC$3,"S-",IF(H137&lt;'PlayerGrades+'!$AC$2,"S","S+"))))))))))))))))))))</f>
        <v>E</v>
      </c>
      <c r="J137" s="937">
        <f t="shared" si="4"/>
        <v>0</v>
      </c>
      <c r="K137" s="937" t="str">
        <f>IF(J137&lt;'PlayerGrades+'!$AD$21,"F-",IF(J137&lt;'PlayerGrades+'!$AD$20,"F",IF(J137&lt;'PlayerGrades+'!$AD$19,"F+",IF(J137&lt;'PlayerGrades+'!$AD$18,"E-",IF(J137&lt;'PlayerGrades+'!$AD$17,"E",IF(J137&lt;'PlayerGrades+'!$AD$16,"E+",IF(J137&lt;'PlayerGrades+'!$AD$15,"D-",IF(J137&lt;'PlayerGrades+'!$AD$14,"D",IF(J137&lt;'PlayerGrades+'!$AD$13,"D+",IF(J137&lt;'PlayerGrades+'!$AD$12,"C-",IF(J137&lt;'PlayerGrades+'!$AD$11,"C",IF(J137&lt;'PlayerGrades+'!$AD$10,"C+",IF(J137&lt;'PlayerGrades+'!$AD$9,"B-",IF(J137&lt;'PlayerGrades+'!$AD$8,"B",IF(J137&lt;'PlayerGrades+'!$AD$7,"B+",IF(J137&lt;'PlayerGrades+'!$AD$6,"A-",IF(J137&lt;'PlayerGrades+'!$AD$5,"A",IF(J137&lt;'PlayerGrades+'!$AD$4,"A+",IF(J137&lt;'PlayerGrades+'!$AD$3,"S-",IF(J137&lt;'PlayerGrades+'!$AD$2,"S","S+"))))))))))))))))))))</f>
        <v>F-</v>
      </c>
      <c r="L137" s="677">
        <f t="shared" si="5"/>
        <v>0.07013442431</v>
      </c>
      <c r="M137" s="938" t="str">
        <f>IF(L137&lt;'PlayerGrades+'!$AE$21,"F-",IF(L137&lt;'PlayerGrades+'!$AE$20,"F",IF(L137&lt;'PlayerGrades+'!$AE$19,"F+",IF(L137&lt;'PlayerGrades+'!$AE$18,"E-",IF(L137&lt;'PlayerGrades+'!$AE$17,"E",IF(L137&lt;'PlayerGrades+'!$AE$16,"E+",IF(L137&lt;'PlayerGrades+'!$AE$15,"D-",IF(L137&lt;'PlayerGrades+'!$AE$14,"D",IF(L137&lt;'PlayerGrades+'!$AE$13,"D+",IF(L137&lt;'PlayerGrades+'!$AE$12,"C-",IF(L137&lt;'PlayerGrades+'!$AE$11,"C",IF(L137&lt;'PlayerGrades+'!$AE$10,"C+",IF(L137&lt;'PlayerGrades+'!$AE$9,"B-",IF(L137&lt;'PlayerGrades+'!$AE$8,"B",IF(L137&lt;'PlayerGrades+'!$AE$7,"B+",IF(L137&lt;'PlayerGrades+'!$AE$6,"A-",IF(L137&lt;'PlayerGrades+'!$AE$5,"A",IF(L137&lt;'PlayerGrades+'!$AE$4,"A+",IF(L137&lt;'PlayerGrades+'!$AE$3,"S-",IF(L137&lt;'PlayerGrades+'!$AE$2,"S","S+"))))))))))))))))))))</f>
        <v>F-</v>
      </c>
      <c r="N137" s="937">
        <f t="shared" si="6"/>
        <v>0</v>
      </c>
      <c r="O137" s="937" t="str">
        <f>IF(N137&lt;'PlayerGrades+'!$AF$21,"F-",IF(N137&lt;'PlayerGrades+'!$AF$20,"F",IF(N137&lt;'PlayerGrades+'!$AF$19,"F+",IF(N137&lt;'PlayerGrades+'!$AF$18,"E-",IF(N137&lt;'PlayerGrades+'!$AF$17,"E",IF(N137&lt;'PlayerGrades+'!$AF$16,"E+",IF(N137&lt;'PlayerGrades+'!$AF$15,"D-",IF(N137&lt;'PlayerGrades+'!$AF$14,"D",IF(N137&lt;'PlayerGrades+'!$AF$13,"D+",IF(N137&lt;'PlayerGrades+'!$AF$12,"C-",IF(N137&lt;'PlayerGrades+'!$AF$11,"C",IF(N137&lt;'PlayerGrades+'!$AF$10,"C+",IF(N137&lt;'PlayerGrades+'!$AF$9,"B-",IF(N137&lt;'PlayerGrades+'!$AF$8,"B",IF(N137&lt;'PlayerGrades+'!$AF$7,"B+",IF(N137&lt;'PlayerGrades+'!$AF$6,"A-",IF(N137&lt;'PlayerGrades+'!$AF$5,"A",IF(N137&lt;'PlayerGrades+'!$AF$4,"A+",IF(N137&lt;'PlayerGrades+'!$AF$3,"S-",IF(N137&lt;'PlayerGrades+'!$AF$2,"S","S+"))))))))))))))))))))</f>
        <v>F-</v>
      </c>
      <c r="P137" s="937">
        <f t="shared" si="7"/>
        <v>0</v>
      </c>
      <c r="Q137" s="937" t="str">
        <f>IF(P137&lt;'PlayerGrades+'!$AG$21,"F-",IF(P137&lt;'PlayerGrades+'!$AG$20,"F",IF(P137&lt;'PlayerGrades+'!$AG$19,"F+",IF(P137&lt;'PlayerGrades+'!$AG$18,"E-",IF(P137&lt;'PlayerGrades+'!$AG$17,"E",IF(P137&lt;'PlayerGrades+'!$AG$16,"E+",IF(P137&lt;'PlayerGrades+'!$AG$15,"D-",IF(P137&lt;'PlayerGrades+'!$AG$14,"D",IF(P137&lt;'PlayerGrades+'!$AG$13,"D+",IF(P137&lt;'PlayerGrades+'!$AG$12,"C-",IF(P137&lt;'PlayerGrades+'!$AG$11,"C",IF(P137&lt;'PlayerGrades+'!$AG$10,"C+",IF(P137&lt;'PlayerGrades+'!$AG$9,"B-",IF(P137&lt;'PlayerGrades+'!$AG$8,"B",IF(P137&lt;'PlayerGrades+'!$AG$7,"B+",IF(P137&lt;'PlayerGrades+'!$AG$6,"A-",IF(P137&lt;'PlayerGrades+'!$AG$5,"A",IF(P137&lt;'PlayerGrades+'!$AG$4,"A+",IF(P137&lt;'PlayerGrades+'!$AG$3,"S-",IF(P137&lt;'PlayerGrades+'!$AG$2,"S","S+"))))))))))))))))))))</f>
        <v>F</v>
      </c>
      <c r="R137" s="937">
        <f t="shared" si="8"/>
        <v>0.1402688486</v>
      </c>
      <c r="S137" s="937" t="str">
        <f>IF(R137&lt;'PlayerGrades+'!$AH$21,"F-",IF(R137&lt;'PlayerGrades+'!$AH$20,"F",IF(R137&lt;'PlayerGrades+'!$AH$19,"F+",IF(R137&lt;'PlayerGrades+'!$AH$18,"E-",IF(R137&lt;'PlayerGrades+'!$AH$17,"E",IF(R137&lt;'PlayerGrades+'!$AH$16,"E+",IF(R137&lt;'PlayerGrades+'!$AH$15,"D-",IF(R137&lt;'PlayerGrades+'!$AH$14,"D",IF(R137&lt;'PlayerGrades+'!$AH$13,"D+",IF(R137&lt;'PlayerGrades+'!$AH$12,"C-",IF(R137&lt;'PlayerGrades+'!$AH$11,"C",IF(R137&lt;'PlayerGrades+'!$AH$10,"C+",IF(R137&lt;'PlayerGrades+'!$AH$9,"B-",IF(R137&lt;'PlayerGrades+'!$AH$8,"B",IF(R137&lt;'PlayerGrades+'!$AH$7,"B+",IF(R137&lt;'PlayerGrades+'!$AH$6,"A-",IF(R137&lt;'PlayerGrades+'!$AH$5,"A",IF(R137&lt;'PlayerGrades+'!$AH$4,"A+",IF(R137&lt;'PlayerGrades+'!$AH$3,"S-",IF(R137&lt;'PlayerGrades+'!$AH$2,"S","S+"))))))))))))))))))))</f>
        <v>F-</v>
      </c>
      <c r="T137" s="937">
        <f t="shared" si="9"/>
        <v>0.1753360608</v>
      </c>
      <c r="U137" s="937" t="str">
        <f>IF(T137&lt;'PlayerGrades+'!$AI$21,"F-",IF(T137&lt;'PlayerGrades+'!$AI$20,"F",IF(T137&lt;'PlayerGrades+'!$AI$19,"F+",IF(T137&lt;'PlayerGrades+'!$AI$18,"E-",IF(T137&lt;'PlayerGrades+'!$AI$17,"E",IF(T137&lt;'PlayerGrades+'!$AI$16,"E+",IF(T137&lt;'PlayerGrades+'!$AI$15,"D-",IF(T137&lt;'PlayerGrades+'!$AI$14,"D",IF(T137&lt;'PlayerGrades+'!$AI$13,"D+",IF(T137&lt;'PlayerGrades+'!$AI$12,"C-",IF(T137&lt;'PlayerGrades+'!$AI$11,"C",IF(T137&lt;'PlayerGrades+'!$AI$10,"C+",IF(T137&lt;'PlayerGrades+'!$AI$9,"B-",IF(T137&lt;'PlayerGrades+'!$AI$8,"B",IF(T137&lt;'PlayerGrades+'!$AI$7,"B+",IF(T137&lt;'PlayerGrades+'!$AI$6,"A-",IF(T137&lt;'PlayerGrades+'!$AI$5,"A",IF(T137&lt;'PlayerGrades+'!$AI$4,"A+",IF(T137&lt;'PlayerGrades+'!$AI$3,"S-",IF(T137&lt;'PlayerGrades+'!$AI$2,"S","S+"))))))))))))))))))))</f>
        <v>F-</v>
      </c>
      <c r="V137" s="944">
        <v>1.0</v>
      </c>
      <c r="W137" s="944">
        <v>1.0</v>
      </c>
      <c r="X137" s="944">
        <v>0.0</v>
      </c>
      <c r="Y137" s="944">
        <v>4.0</v>
      </c>
      <c r="Z137" s="944">
        <v>6.0</v>
      </c>
      <c r="AA137" s="944">
        <v>37.0</v>
      </c>
      <c r="AB137" s="944">
        <v>50.0</v>
      </c>
      <c r="AC137" s="944">
        <v>-13.0</v>
      </c>
      <c r="AD137" s="944">
        <v>1.0</v>
      </c>
      <c r="AE137" s="944">
        <v>3.0</v>
      </c>
      <c r="AF137" s="944">
        <v>0.0</v>
      </c>
      <c r="AG137" s="944">
        <v>1465.0</v>
      </c>
      <c r="AH137" s="944">
        <v>1711.0</v>
      </c>
      <c r="AI137" s="944">
        <v>29.0</v>
      </c>
      <c r="AJ137" s="944">
        <v>848.0</v>
      </c>
      <c r="AK137" s="944">
        <v>0.0</v>
      </c>
      <c r="AL137" s="944">
        <v>0.0</v>
      </c>
      <c r="AM137" s="944">
        <v>0.0</v>
      </c>
      <c r="AN137" s="944">
        <v>0.0</v>
      </c>
      <c r="AO137" s="944">
        <v>0.0</v>
      </c>
      <c r="AP137" s="944">
        <v>0.0</v>
      </c>
      <c r="AQ137" s="944">
        <v>0.0</v>
      </c>
      <c r="AR137" s="944">
        <v>2.0</v>
      </c>
      <c r="AS137" s="944">
        <v>0.0</v>
      </c>
      <c r="AT137" s="944">
        <v>0.0</v>
      </c>
      <c r="AU137" s="944">
        <v>0.0</v>
      </c>
      <c r="AV137" s="944">
        <v>0.0</v>
      </c>
      <c r="AW137" s="944">
        <v>0.0</v>
      </c>
      <c r="AX137" s="944">
        <v>0.0</v>
      </c>
      <c r="AY137" s="944">
        <v>0.0</v>
      </c>
      <c r="AZ137" s="944">
        <v>0.0</v>
      </c>
      <c r="BA137" s="944">
        <v>0.0</v>
      </c>
      <c r="BB137" s="944">
        <v>2.0</v>
      </c>
      <c r="BC137" s="944">
        <v>0.0</v>
      </c>
      <c r="BD137" s="944">
        <v>3.0</v>
      </c>
      <c r="BE137" s="944">
        <v>5.0</v>
      </c>
      <c r="BF137" s="944">
        <v>0.0</v>
      </c>
      <c r="BG137" s="945">
        <v>1.0</v>
      </c>
    </row>
    <row r="138">
      <c r="A138" s="964" t="s">
        <v>420</v>
      </c>
      <c r="B138" s="16" t="str">
        <f>IF(C138&lt;'PlayerGrades+'!$Y$44,"F-",IF(C138&lt;'PlayerGrades+'!$Y$43,"F",IF(C138&lt;'PlayerGrades+'!$Y$42,"F+",IF(C138&lt;'PlayerGrades+'!$Y$41,"E-",IF(C138&lt;'PlayerGrades+'!$Y$40,"E",IF(C138&lt;'PlayerGrades+'!$Y$39,"E+",IF(C138&lt;'PlayerGrades+'!$Y$38,"D-",IF(C138&lt;'PlayerGrades+'!$Y$37,"D",IF(C138&lt;'PlayerGrades+'!$Y$36,"D+",IF(C138&lt;'PlayerGrades+'!$Y$35,"C-",IF(C138&lt;'PlayerGrades+'!$Y$34,"C",IF(C138&lt;'PlayerGrades+'!$Y$33,"C+",IF(C138&lt;'PlayerGrades+'!$Y$32,"B-",IF(C138&lt;'PlayerGrades+'!$Y$31,"B",IF(C138&lt;'PlayerGrades+'!$Y$30,"B+",IF(C138&lt;'PlayerGrades+'!$Y$29,"A-",IF(C138&lt;'PlayerGrades+'!$Y$28,"A",IF(C138&lt;'PlayerGrades+'!$Y$27,"A+",IF(C138&lt;'PlayerGrades+'!$Y$26,"S-",IF(C138&lt;'PlayerGrades+'!$Y$25,"S","S+"))))))))))))))))))))</f>
        <v>C+</v>
      </c>
      <c r="C138" s="936">
        <f>('PlayerGrades+'!$Y$47*(VLOOKUP(E138, 'PlayerGrades+'!$X$3:$Y$23, 2, FALSE)))+('PlayerGrades+'!$Y$48*(VLOOKUP(G138, 'PlayerGrades+'!$X$3:$Y$23, 2, FALSE)))+('PlayerGrades+'!$Y$49*(VLOOKUP(I138, 'PlayerGrades+'!$X$3:$Y$23, 2, FALSE)))+('PlayerGrades+'!$Y$50*(VLOOKUP(K138, 'PlayerGrades+'!$X$3:$Y$23, 2, FALSE)))+('PlayerGrades+'!$Y$51*(VLOOKUP(M138, 'PlayerGrades+'!$X$3:$Y$23, 2, FALSE)))+('PlayerGrades+'!$Y$52*(VLOOKUP(O138, 'PlayerGrades+'!$X$3:$Y$23, 2, FALSE)))+('PlayerGrades+'!$Y$53*(VLOOKUP(Q138, 'PlayerGrades+'!$X$3:$Y$23, 2, FALSE)))+('PlayerGrades+'!$Y$54*(VLOOKUP(S138, 'PlayerGrades+'!$X$3:$Y$23, 2, FALSE)))+('PlayerGrades+'!$Y$55*(VLOOKUP(U138, 'PlayerGrades+'!$X$3:$Y$23, 2, FALSE)))</f>
        <v>20.75</v>
      </c>
      <c r="D138" s="937">
        <f t="shared" si="1"/>
        <v>1.28959276</v>
      </c>
      <c r="E138" s="937" t="str">
        <f>IF(D138&lt;'PlayerGrades+'!$AA$21,"F-",IF(D138&lt;'PlayerGrades+'!$AA$20,"F",IF(D138&lt;'PlayerGrades+'!$AA$19,"F+",IF(D138&lt;'PlayerGrades+'!$AA$18,"E-",IF(D138&lt;'PlayerGrades+'!$AA$17,"E",IF(D138&lt;'PlayerGrades+'!$AA$16,"E+",IF(D138&lt;'PlayerGrades+'!$AA$15,"D-",IF(D138&lt;'PlayerGrades+'!$AA$14,"D",IF(D138&lt;'PlayerGrades+'!$AA$13,"D+",IF(D138&lt;'PlayerGrades+'!$AA$12,"C-",IF(D138&lt;'PlayerGrades+'!$AA$11,"C",IF(D138&lt;'PlayerGrades+'!$AA$10,"C+",IF(D138&lt;'PlayerGrades+'!$AA$9,"B-",IF(D138&lt;'PlayerGrades+'!$AA$8,"B",IF(D138&lt;'PlayerGrades+'!$AA$7,"B+",IF(D138&lt;'PlayerGrades+'!$AA$6,"A-",IF(D138&lt;'PlayerGrades+'!$AA$5,"A",IF(D138&lt;'PlayerGrades+'!$AA$4,"A+",IF(D138&lt;'PlayerGrades+'!$AA$3,"S-",IF(D138&lt;'PlayerGrades+'!$AA$2,"S","S+"))))))))))))))))))))</f>
        <v>S+</v>
      </c>
      <c r="F138" s="937">
        <f t="shared" si="2"/>
        <v>1.018099548</v>
      </c>
      <c r="G138" s="937" t="str">
        <f>IF(F138&lt;'PlayerGrades+'!$AB$21,"F-",IF(F138&lt;'PlayerGrades+'!$AB$20,"F",IF(F138&lt;'PlayerGrades+'!$AB$19,"F+",IF(F138&lt;'PlayerGrades+'!$AB$18,"E-",IF(F138&lt;'PlayerGrades+'!$AB$17,"E",IF(F138&lt;'PlayerGrades+'!$AB$16,"E+",IF(F138&lt;'PlayerGrades+'!$AB$15,"D-",IF(F138&lt;'PlayerGrades+'!$AB$14,"D",IF(F138&lt;'PlayerGrades+'!$AB$13,"D+",IF(F138&lt;'PlayerGrades+'!$AB$12,"C-",IF(F138&lt;'PlayerGrades+'!$AB$11,"C",IF(F138&lt;'PlayerGrades+'!$AB$10,"C+",IF(F138&lt;'PlayerGrades+'!$AB$9,"B-",IF(F138&lt;'PlayerGrades+'!$AB$8,"B",IF(F138&lt;'PlayerGrades+'!$AB$7,"B+",IF(F138&lt;'PlayerGrades+'!$AB$6,"A-",IF(F138&lt;'PlayerGrades+'!$AB$5,"A",IF(F138&lt;'PlayerGrades+'!$AB$4,"A+",IF(F138&lt;'PlayerGrades+'!$AB$3,"S-",IF(F138&lt;'PlayerGrades+'!$AB$2,"S","S+"))))))))))))))))))))</f>
        <v>S+</v>
      </c>
      <c r="H138" s="937">
        <f t="shared" si="3"/>
        <v>0.06787330317</v>
      </c>
      <c r="I138" s="937" t="str">
        <f>IF(H138&lt;'PlayerGrades+'!$AC$21,"F-",IF(H138&lt;'PlayerGrades+'!$AC$20,"F",IF(H138&lt;'PlayerGrades+'!$AC$19,"F+",IF(H138&lt;'PlayerGrades+'!$AC$18,"E-",IF(H138&lt;'PlayerGrades+'!$AC$17,"E",IF(H138&lt;'PlayerGrades+'!$AC$16,"E+",IF(H138&lt;'PlayerGrades+'!$AC$15,"D-",IF(H138&lt;'PlayerGrades+'!$AC$14,"D",IF(H138&lt;'PlayerGrades+'!$AC$13,"D+",IF(H138&lt;'PlayerGrades+'!$AC$12,"C-",IF(H138&lt;'PlayerGrades+'!$AC$11,"C",IF(H138&lt;'PlayerGrades+'!$AC$10,"C+",IF(H138&lt;'PlayerGrades+'!$AC$9,"B-",IF(H138&lt;'PlayerGrades+'!$AC$8,"B",IF(H138&lt;'PlayerGrades+'!$AC$7,"B+",IF(H138&lt;'PlayerGrades+'!$AC$6,"A-",IF(H138&lt;'PlayerGrades+'!$AC$5,"A",IF(H138&lt;'PlayerGrades+'!$AC$4,"A+",IF(H138&lt;'PlayerGrades+'!$AC$3,"S-",IF(H138&lt;'PlayerGrades+'!$AC$2,"S","S+"))))))))))))))))))))</f>
        <v>E</v>
      </c>
      <c r="J138" s="937">
        <f t="shared" si="4"/>
        <v>0.06787330317</v>
      </c>
      <c r="K138" s="937" t="str">
        <f>IF(J138&lt;'PlayerGrades+'!$AD$21,"F-",IF(J138&lt;'PlayerGrades+'!$AD$20,"F",IF(J138&lt;'PlayerGrades+'!$AD$19,"F+",IF(J138&lt;'PlayerGrades+'!$AD$18,"E-",IF(J138&lt;'PlayerGrades+'!$AD$17,"E",IF(J138&lt;'PlayerGrades+'!$AD$16,"E+",IF(J138&lt;'PlayerGrades+'!$AD$15,"D-",IF(J138&lt;'PlayerGrades+'!$AD$14,"D",IF(J138&lt;'PlayerGrades+'!$AD$13,"D+",IF(J138&lt;'PlayerGrades+'!$AD$12,"C-",IF(J138&lt;'PlayerGrades+'!$AD$11,"C",IF(J138&lt;'PlayerGrades+'!$AD$10,"C+",IF(J138&lt;'PlayerGrades+'!$AD$9,"B-",IF(J138&lt;'PlayerGrades+'!$AD$8,"B",IF(J138&lt;'PlayerGrades+'!$AD$7,"B+",IF(J138&lt;'PlayerGrades+'!$AD$6,"A-",IF(J138&lt;'PlayerGrades+'!$AD$5,"A",IF(J138&lt;'PlayerGrades+'!$AD$4,"A+",IF(J138&lt;'PlayerGrades+'!$AD$3,"S-",IF(J138&lt;'PlayerGrades+'!$AD$2,"S","S+"))))))))))))))))))))</f>
        <v>A-</v>
      </c>
      <c r="L138" s="677">
        <f t="shared" si="5"/>
        <v>0.2036199095</v>
      </c>
      <c r="M138" s="938" t="str">
        <f>IF(L138&lt;'PlayerGrades+'!$AE$21,"F-",IF(L138&lt;'PlayerGrades+'!$AE$20,"F",IF(L138&lt;'PlayerGrades+'!$AE$19,"F+",IF(L138&lt;'PlayerGrades+'!$AE$18,"E-",IF(L138&lt;'PlayerGrades+'!$AE$17,"E",IF(L138&lt;'PlayerGrades+'!$AE$16,"E+",IF(L138&lt;'PlayerGrades+'!$AE$15,"D-",IF(L138&lt;'PlayerGrades+'!$AE$14,"D",IF(L138&lt;'PlayerGrades+'!$AE$13,"D+",IF(L138&lt;'PlayerGrades+'!$AE$12,"C-",IF(L138&lt;'PlayerGrades+'!$AE$11,"C",IF(L138&lt;'PlayerGrades+'!$AE$10,"C+",IF(L138&lt;'PlayerGrades+'!$AE$9,"B-",IF(L138&lt;'PlayerGrades+'!$AE$8,"B",IF(L138&lt;'PlayerGrades+'!$AE$7,"B+",IF(L138&lt;'PlayerGrades+'!$AE$6,"A-",IF(L138&lt;'PlayerGrades+'!$AE$5,"A",IF(L138&lt;'PlayerGrades+'!$AE$4,"A+",IF(L138&lt;'PlayerGrades+'!$AE$3,"S-",IF(L138&lt;'PlayerGrades+'!$AE$2,"S","S+"))))))))))))))))))))</f>
        <v>F</v>
      </c>
      <c r="N138" s="937">
        <f t="shared" si="6"/>
        <v>0</v>
      </c>
      <c r="O138" s="937" t="str">
        <f>IF(N138&lt;'PlayerGrades+'!$AF$21,"F-",IF(N138&lt;'PlayerGrades+'!$AF$20,"F",IF(N138&lt;'PlayerGrades+'!$AF$19,"F+",IF(N138&lt;'PlayerGrades+'!$AF$18,"E-",IF(N138&lt;'PlayerGrades+'!$AF$17,"E",IF(N138&lt;'PlayerGrades+'!$AF$16,"E+",IF(N138&lt;'PlayerGrades+'!$AF$15,"D-",IF(N138&lt;'PlayerGrades+'!$AF$14,"D",IF(N138&lt;'PlayerGrades+'!$AF$13,"D+",IF(N138&lt;'PlayerGrades+'!$AF$12,"C-",IF(N138&lt;'PlayerGrades+'!$AF$11,"C",IF(N138&lt;'PlayerGrades+'!$AF$10,"C+",IF(N138&lt;'PlayerGrades+'!$AF$9,"B-",IF(N138&lt;'PlayerGrades+'!$AF$8,"B",IF(N138&lt;'PlayerGrades+'!$AF$7,"B+",IF(N138&lt;'PlayerGrades+'!$AF$6,"A-",IF(N138&lt;'PlayerGrades+'!$AF$5,"A",IF(N138&lt;'PlayerGrades+'!$AF$4,"A+",IF(N138&lt;'PlayerGrades+'!$AF$3,"S-",IF(N138&lt;'PlayerGrades+'!$AF$2,"S","S+"))))))))))))))))))))</f>
        <v>F-</v>
      </c>
      <c r="P138" s="937">
        <f t="shared" si="7"/>
        <v>0</v>
      </c>
      <c r="Q138" s="937" t="str">
        <f>IF(P138&lt;'PlayerGrades+'!$AG$21,"F-",IF(P138&lt;'PlayerGrades+'!$AG$20,"F",IF(P138&lt;'PlayerGrades+'!$AG$19,"F+",IF(P138&lt;'PlayerGrades+'!$AG$18,"E-",IF(P138&lt;'PlayerGrades+'!$AG$17,"E",IF(P138&lt;'PlayerGrades+'!$AG$16,"E+",IF(P138&lt;'PlayerGrades+'!$AG$15,"D-",IF(P138&lt;'PlayerGrades+'!$AG$14,"D",IF(P138&lt;'PlayerGrades+'!$AG$13,"D+",IF(P138&lt;'PlayerGrades+'!$AG$12,"C-",IF(P138&lt;'PlayerGrades+'!$AG$11,"C",IF(P138&lt;'PlayerGrades+'!$AG$10,"C+",IF(P138&lt;'PlayerGrades+'!$AG$9,"B-",IF(P138&lt;'PlayerGrades+'!$AG$8,"B",IF(P138&lt;'PlayerGrades+'!$AG$7,"B+",IF(P138&lt;'PlayerGrades+'!$AG$6,"A-",IF(P138&lt;'PlayerGrades+'!$AG$5,"A",IF(P138&lt;'PlayerGrades+'!$AG$4,"A+",IF(P138&lt;'PlayerGrades+'!$AG$3,"S-",IF(P138&lt;'PlayerGrades+'!$AG$2,"S","S+"))))))))))))))))))))</f>
        <v>F</v>
      </c>
      <c r="R138" s="937">
        <f t="shared" si="8"/>
        <v>0.6108597285</v>
      </c>
      <c r="S138" s="937" t="str">
        <f>IF(R138&lt;'PlayerGrades+'!$AH$21,"F-",IF(R138&lt;'PlayerGrades+'!$AH$20,"F",IF(R138&lt;'PlayerGrades+'!$AH$19,"F+",IF(R138&lt;'PlayerGrades+'!$AH$18,"E-",IF(R138&lt;'PlayerGrades+'!$AH$17,"E",IF(R138&lt;'PlayerGrades+'!$AH$16,"E+",IF(R138&lt;'PlayerGrades+'!$AH$15,"D-",IF(R138&lt;'PlayerGrades+'!$AH$14,"D",IF(R138&lt;'PlayerGrades+'!$AH$13,"D+",IF(R138&lt;'PlayerGrades+'!$AH$12,"C-",IF(R138&lt;'PlayerGrades+'!$AH$11,"C",IF(R138&lt;'PlayerGrades+'!$AH$10,"C+",IF(R138&lt;'PlayerGrades+'!$AH$9,"B-",IF(R138&lt;'PlayerGrades+'!$AH$8,"B",IF(R138&lt;'PlayerGrades+'!$AH$7,"B+",IF(R138&lt;'PlayerGrades+'!$AH$6,"A-",IF(R138&lt;'PlayerGrades+'!$AH$5,"A",IF(R138&lt;'PlayerGrades+'!$AH$4,"A+",IF(R138&lt;'PlayerGrades+'!$AH$3,"S-",IF(R138&lt;'PlayerGrades+'!$AH$2,"S","S+"))))))))))))))))))))</f>
        <v>A-</v>
      </c>
      <c r="T138" s="937">
        <f t="shared" si="9"/>
        <v>2.135746606</v>
      </c>
      <c r="U138" s="937" t="str">
        <f>IF(T138&lt;'PlayerGrades+'!$AI$21,"F-",IF(T138&lt;'PlayerGrades+'!$AI$20,"F",IF(T138&lt;'PlayerGrades+'!$AI$19,"F+",IF(T138&lt;'PlayerGrades+'!$AI$18,"E-",IF(T138&lt;'PlayerGrades+'!$AI$17,"E",IF(T138&lt;'PlayerGrades+'!$AI$16,"E+",IF(T138&lt;'PlayerGrades+'!$AI$15,"D-",IF(T138&lt;'PlayerGrades+'!$AI$14,"D",IF(T138&lt;'PlayerGrades+'!$AI$13,"D+",IF(T138&lt;'PlayerGrades+'!$AI$12,"C-",IF(T138&lt;'PlayerGrades+'!$AI$11,"C",IF(T138&lt;'PlayerGrades+'!$AI$10,"C+",IF(T138&lt;'PlayerGrades+'!$AI$9,"B-",IF(T138&lt;'PlayerGrades+'!$AI$8,"B",IF(T138&lt;'PlayerGrades+'!$AI$7,"B+",IF(T138&lt;'PlayerGrades+'!$AI$6,"A-",IF(T138&lt;'PlayerGrades+'!$AI$5,"A",IF(T138&lt;'PlayerGrades+'!$AI$4,"A+",IF(T138&lt;'PlayerGrades+'!$AI$3,"S-",IF(T138&lt;'PlayerGrades+'!$AI$2,"S","S+"))))))))))))))))))))</f>
        <v>S+</v>
      </c>
      <c r="V138" s="941">
        <v>1.0</v>
      </c>
      <c r="W138" s="941">
        <v>1.0</v>
      </c>
      <c r="X138" s="941">
        <v>0.0</v>
      </c>
      <c r="Y138" s="941">
        <v>5.0</v>
      </c>
      <c r="Z138" s="941">
        <v>14.0</v>
      </c>
      <c r="AA138" s="952">
        <v>30.0</v>
      </c>
      <c r="AB138" s="952">
        <v>15.0</v>
      </c>
      <c r="AC138" s="952">
        <v>15.0</v>
      </c>
      <c r="AD138" s="952">
        <v>2.0</v>
      </c>
      <c r="AE138" s="952">
        <v>5.0</v>
      </c>
      <c r="AF138" s="952">
        <v>1.0</v>
      </c>
      <c r="AG138" s="952">
        <v>770.0</v>
      </c>
      <c r="AH138" s="952">
        <v>884.0</v>
      </c>
      <c r="AI138" s="952">
        <v>51.0</v>
      </c>
      <c r="AJ138" s="952">
        <v>524.0</v>
      </c>
      <c r="AK138" s="952">
        <v>0.0</v>
      </c>
      <c r="AL138" s="952">
        <v>1.0</v>
      </c>
      <c r="AM138" s="952">
        <v>0.0</v>
      </c>
      <c r="AN138" s="952">
        <v>0.0</v>
      </c>
      <c r="AO138" s="952">
        <v>0.0</v>
      </c>
      <c r="AP138" s="952">
        <v>0.0</v>
      </c>
      <c r="AQ138" s="952">
        <v>0.0</v>
      </c>
      <c r="AR138" s="952">
        <v>3.0</v>
      </c>
      <c r="AS138" s="952">
        <v>0.0</v>
      </c>
      <c r="AT138" s="952">
        <v>0.0</v>
      </c>
      <c r="AU138" s="952">
        <v>0.0</v>
      </c>
      <c r="AV138" s="952">
        <v>0.0</v>
      </c>
      <c r="AW138" s="952">
        <v>0.0</v>
      </c>
      <c r="AX138" s="952">
        <v>0.0</v>
      </c>
      <c r="AY138" s="952">
        <v>0.0</v>
      </c>
      <c r="AZ138" s="952">
        <v>0.0</v>
      </c>
      <c r="BA138" s="952">
        <v>0.0</v>
      </c>
      <c r="BB138" s="952">
        <v>1.0</v>
      </c>
      <c r="BC138" s="952">
        <v>0.0</v>
      </c>
      <c r="BD138" s="952">
        <v>7.0</v>
      </c>
      <c r="BE138" s="952">
        <v>2.0</v>
      </c>
      <c r="BF138" s="952">
        <v>2.0</v>
      </c>
      <c r="BG138" s="952">
        <v>0.0</v>
      </c>
    </row>
    <row r="139">
      <c r="A139" s="965" t="s">
        <v>137</v>
      </c>
      <c r="B139" s="16" t="str">
        <f>IF(C139&lt;'PlayerGrades+'!$Y$44,"F-",IF(C139&lt;'PlayerGrades+'!$Y$43,"F",IF(C139&lt;'PlayerGrades+'!$Y$42,"F+",IF(C139&lt;'PlayerGrades+'!$Y$41,"E-",IF(C139&lt;'PlayerGrades+'!$Y$40,"E",IF(C139&lt;'PlayerGrades+'!$Y$39,"E+",IF(C139&lt;'PlayerGrades+'!$Y$38,"D-",IF(C139&lt;'PlayerGrades+'!$Y$37,"D",IF(C139&lt;'PlayerGrades+'!$Y$36,"D+",IF(C139&lt;'PlayerGrades+'!$Y$35,"C-",IF(C139&lt;'PlayerGrades+'!$Y$34,"C",IF(C139&lt;'PlayerGrades+'!$Y$33,"C+",IF(C139&lt;'PlayerGrades+'!$Y$32,"B-",IF(C139&lt;'PlayerGrades+'!$Y$31,"B",IF(C139&lt;'PlayerGrades+'!$Y$30,"B+",IF(C139&lt;'PlayerGrades+'!$Y$29,"A-",IF(C139&lt;'PlayerGrades+'!$Y$28,"A",IF(C139&lt;'PlayerGrades+'!$Y$27,"A+",IF(C139&lt;'PlayerGrades+'!$Y$26,"S-",IF(C139&lt;'PlayerGrades+'!$Y$25,"S","S+"))))))))))))))))))))</f>
        <v>B-</v>
      </c>
      <c r="C139" s="936">
        <f>('PlayerGrades+'!$Y$47*(VLOOKUP(E139, 'PlayerGrades+'!$X$3:$Y$23, 2, FALSE)))+('PlayerGrades+'!$Y$48*(VLOOKUP(G139, 'PlayerGrades+'!$X$3:$Y$23, 2, FALSE)))+('PlayerGrades+'!$Y$49*(VLOOKUP(I139, 'PlayerGrades+'!$X$3:$Y$23, 2, FALSE)))+('PlayerGrades+'!$Y$50*(VLOOKUP(K139, 'PlayerGrades+'!$X$3:$Y$23, 2, FALSE)))+('PlayerGrades+'!$Y$51*(VLOOKUP(M139, 'PlayerGrades+'!$X$3:$Y$23, 2, FALSE)))+('PlayerGrades+'!$Y$52*(VLOOKUP(O139, 'PlayerGrades+'!$X$3:$Y$23, 2, FALSE)))+('PlayerGrades+'!$Y$53*(VLOOKUP(Q139, 'PlayerGrades+'!$X$3:$Y$23, 2, FALSE)))+('PlayerGrades+'!$Y$54*(VLOOKUP(S139, 'PlayerGrades+'!$X$3:$Y$23, 2, FALSE)))+('PlayerGrades+'!$Y$55*(VLOOKUP(U139, 'PlayerGrades+'!$X$3:$Y$23, 2, FALSE)))</f>
        <v>22.35</v>
      </c>
      <c r="D139" s="937">
        <f t="shared" si="1"/>
        <v>0</v>
      </c>
      <c r="E139" s="937" t="str">
        <f>IF(D139&lt;'PlayerGrades+'!$AA$21,"F-",IF(D139&lt;'PlayerGrades+'!$AA$20,"F",IF(D139&lt;'PlayerGrades+'!$AA$19,"F+",IF(D139&lt;'PlayerGrades+'!$AA$18,"E-",IF(D139&lt;'PlayerGrades+'!$AA$17,"E",IF(D139&lt;'PlayerGrades+'!$AA$16,"E+",IF(D139&lt;'PlayerGrades+'!$AA$15,"D-",IF(D139&lt;'PlayerGrades+'!$AA$14,"D",IF(D139&lt;'PlayerGrades+'!$AA$13,"D+",IF(D139&lt;'PlayerGrades+'!$AA$12,"C-",IF(D139&lt;'PlayerGrades+'!$AA$11,"C",IF(D139&lt;'PlayerGrades+'!$AA$10,"C+",IF(D139&lt;'PlayerGrades+'!$AA$9,"B-",IF(D139&lt;'PlayerGrades+'!$AA$8,"B",IF(D139&lt;'PlayerGrades+'!$AA$7,"B+",IF(D139&lt;'PlayerGrades+'!$AA$6,"A-",IF(D139&lt;'PlayerGrades+'!$AA$5,"A",IF(D139&lt;'PlayerGrades+'!$AA$4,"A+",IF(D139&lt;'PlayerGrades+'!$AA$3,"S-",IF(D139&lt;'PlayerGrades+'!$AA$2,"S","S+"))))))))))))))))))))</f>
        <v>F-</v>
      </c>
      <c r="F139" s="937">
        <f t="shared" si="2"/>
        <v>0</v>
      </c>
      <c r="G139" s="937" t="str">
        <f>IF(F139&lt;'PlayerGrades+'!$AB$21,"F-",IF(F139&lt;'PlayerGrades+'!$AB$20,"F",IF(F139&lt;'PlayerGrades+'!$AB$19,"F+",IF(F139&lt;'PlayerGrades+'!$AB$18,"E-",IF(F139&lt;'PlayerGrades+'!$AB$17,"E",IF(F139&lt;'PlayerGrades+'!$AB$16,"E+",IF(F139&lt;'PlayerGrades+'!$AB$15,"D-",IF(F139&lt;'PlayerGrades+'!$AB$14,"D",IF(F139&lt;'PlayerGrades+'!$AB$13,"D+",IF(F139&lt;'PlayerGrades+'!$AB$12,"C-",IF(F139&lt;'PlayerGrades+'!$AB$11,"C",IF(F139&lt;'PlayerGrades+'!$AB$10,"C+",IF(F139&lt;'PlayerGrades+'!$AB$9,"B-",IF(F139&lt;'PlayerGrades+'!$AB$8,"B",IF(F139&lt;'PlayerGrades+'!$AB$7,"B+",IF(F139&lt;'PlayerGrades+'!$AB$6,"A-",IF(F139&lt;'PlayerGrades+'!$AB$5,"A",IF(F139&lt;'PlayerGrades+'!$AB$4,"A+",IF(F139&lt;'PlayerGrades+'!$AB$3,"S-",IF(F139&lt;'PlayerGrades+'!$AB$2,"S","S+"))))))))))))))))))))</f>
        <v>B</v>
      </c>
      <c r="H139" s="937">
        <f t="shared" si="3"/>
        <v>0.2714932127</v>
      </c>
      <c r="I139" s="937" t="str">
        <f>IF(H139&lt;'PlayerGrades+'!$AC$21,"F-",IF(H139&lt;'PlayerGrades+'!$AC$20,"F",IF(H139&lt;'PlayerGrades+'!$AC$19,"F+",IF(H139&lt;'PlayerGrades+'!$AC$18,"E-",IF(H139&lt;'PlayerGrades+'!$AC$17,"E",IF(H139&lt;'PlayerGrades+'!$AC$16,"E+",IF(H139&lt;'PlayerGrades+'!$AC$15,"D-",IF(H139&lt;'PlayerGrades+'!$AC$14,"D",IF(H139&lt;'PlayerGrades+'!$AC$13,"D+",IF(H139&lt;'PlayerGrades+'!$AC$12,"C-",IF(H139&lt;'PlayerGrades+'!$AC$11,"C",IF(H139&lt;'PlayerGrades+'!$AC$10,"C+",IF(H139&lt;'PlayerGrades+'!$AC$9,"B-",IF(H139&lt;'PlayerGrades+'!$AC$8,"B",IF(H139&lt;'PlayerGrades+'!$AC$7,"B+",IF(H139&lt;'PlayerGrades+'!$AC$6,"A-",IF(H139&lt;'PlayerGrades+'!$AC$5,"A",IF(H139&lt;'PlayerGrades+'!$AC$4,"A+",IF(H139&lt;'PlayerGrades+'!$AC$3,"S-",IF(H139&lt;'PlayerGrades+'!$AC$2,"S","S+"))))))))))))))))))))</f>
        <v>S</v>
      </c>
      <c r="J139" s="937">
        <f t="shared" si="4"/>
        <v>0</v>
      </c>
      <c r="K139" s="937" t="str">
        <f>IF(J139&lt;'PlayerGrades+'!$AD$21,"F-",IF(J139&lt;'PlayerGrades+'!$AD$20,"F",IF(J139&lt;'PlayerGrades+'!$AD$19,"F+",IF(J139&lt;'PlayerGrades+'!$AD$18,"E-",IF(J139&lt;'PlayerGrades+'!$AD$17,"E",IF(J139&lt;'PlayerGrades+'!$AD$16,"E+",IF(J139&lt;'PlayerGrades+'!$AD$15,"D-",IF(J139&lt;'PlayerGrades+'!$AD$14,"D",IF(J139&lt;'PlayerGrades+'!$AD$13,"D+",IF(J139&lt;'PlayerGrades+'!$AD$12,"C-",IF(J139&lt;'PlayerGrades+'!$AD$11,"C",IF(J139&lt;'PlayerGrades+'!$AD$10,"C+",IF(J139&lt;'PlayerGrades+'!$AD$9,"B-",IF(J139&lt;'PlayerGrades+'!$AD$8,"B",IF(J139&lt;'PlayerGrades+'!$AD$7,"B+",IF(J139&lt;'PlayerGrades+'!$AD$6,"A-",IF(J139&lt;'PlayerGrades+'!$AD$5,"A",IF(J139&lt;'PlayerGrades+'!$AD$4,"A+",IF(J139&lt;'PlayerGrades+'!$AD$3,"S-",IF(J139&lt;'PlayerGrades+'!$AD$2,"S","S+"))))))))))))))))))))</f>
        <v>F-</v>
      </c>
      <c r="L139" s="677">
        <f t="shared" si="5"/>
        <v>0.6787330317</v>
      </c>
      <c r="M139" s="938" t="str">
        <f>IF(L139&lt;'PlayerGrades+'!$AE$21,"F-",IF(L139&lt;'PlayerGrades+'!$AE$20,"F",IF(L139&lt;'PlayerGrades+'!$AE$19,"F+",IF(L139&lt;'PlayerGrades+'!$AE$18,"E-",IF(L139&lt;'PlayerGrades+'!$AE$17,"E",IF(L139&lt;'PlayerGrades+'!$AE$16,"E+",IF(L139&lt;'PlayerGrades+'!$AE$15,"D-",IF(L139&lt;'PlayerGrades+'!$AE$14,"D",IF(L139&lt;'PlayerGrades+'!$AE$13,"D+",IF(L139&lt;'PlayerGrades+'!$AE$12,"C-",IF(L139&lt;'PlayerGrades+'!$AE$11,"C",IF(L139&lt;'PlayerGrades+'!$AE$10,"C+",IF(L139&lt;'PlayerGrades+'!$AE$9,"B-",IF(L139&lt;'PlayerGrades+'!$AE$8,"B",IF(L139&lt;'PlayerGrades+'!$AE$7,"B+",IF(L139&lt;'PlayerGrades+'!$AE$6,"A-",IF(L139&lt;'PlayerGrades+'!$AE$5,"A",IF(L139&lt;'PlayerGrades+'!$AE$4,"A+",IF(L139&lt;'PlayerGrades+'!$AE$3,"S-",IF(L139&lt;'PlayerGrades+'!$AE$2,"S","S+"))))))))))))))))))))</f>
        <v>S</v>
      </c>
      <c r="N139" s="937">
        <f t="shared" si="6"/>
        <v>0.2036199095</v>
      </c>
      <c r="O139" s="937" t="str">
        <f>IF(N139&lt;'PlayerGrades+'!$AF$21,"F-",IF(N139&lt;'PlayerGrades+'!$AF$20,"F",IF(N139&lt;'PlayerGrades+'!$AF$19,"F+",IF(N139&lt;'PlayerGrades+'!$AF$18,"E-",IF(N139&lt;'PlayerGrades+'!$AF$17,"E",IF(N139&lt;'PlayerGrades+'!$AF$16,"E+",IF(N139&lt;'PlayerGrades+'!$AF$15,"D-",IF(N139&lt;'PlayerGrades+'!$AF$14,"D",IF(N139&lt;'PlayerGrades+'!$AF$13,"D+",IF(N139&lt;'PlayerGrades+'!$AF$12,"C-",IF(N139&lt;'PlayerGrades+'!$AF$11,"C",IF(N139&lt;'PlayerGrades+'!$AF$10,"C+",IF(N139&lt;'PlayerGrades+'!$AF$9,"B-",IF(N139&lt;'PlayerGrades+'!$AF$8,"B",IF(N139&lt;'PlayerGrades+'!$AF$7,"B+",IF(N139&lt;'PlayerGrades+'!$AF$6,"A-",IF(N139&lt;'PlayerGrades+'!$AF$5,"A",IF(N139&lt;'PlayerGrades+'!$AF$4,"A+",IF(N139&lt;'PlayerGrades+'!$AF$3,"S-",IF(N139&lt;'PlayerGrades+'!$AF$2,"S","S+"))))))))))))))))))))</f>
        <v>S+</v>
      </c>
      <c r="P139" s="937">
        <f t="shared" si="7"/>
        <v>0</v>
      </c>
      <c r="Q139" s="937" t="str">
        <f>IF(P139&lt;'PlayerGrades+'!$AG$21,"F-",IF(P139&lt;'PlayerGrades+'!$AG$20,"F",IF(P139&lt;'PlayerGrades+'!$AG$19,"F+",IF(P139&lt;'PlayerGrades+'!$AG$18,"E-",IF(P139&lt;'PlayerGrades+'!$AG$17,"E",IF(P139&lt;'PlayerGrades+'!$AG$16,"E+",IF(P139&lt;'PlayerGrades+'!$AG$15,"D-",IF(P139&lt;'PlayerGrades+'!$AG$14,"D",IF(P139&lt;'PlayerGrades+'!$AG$13,"D+",IF(P139&lt;'PlayerGrades+'!$AG$12,"C-",IF(P139&lt;'PlayerGrades+'!$AG$11,"C",IF(P139&lt;'PlayerGrades+'!$AG$10,"C+",IF(P139&lt;'PlayerGrades+'!$AG$9,"B-",IF(P139&lt;'PlayerGrades+'!$AG$8,"B",IF(P139&lt;'PlayerGrades+'!$AG$7,"B+",IF(P139&lt;'PlayerGrades+'!$AG$6,"A-",IF(P139&lt;'PlayerGrades+'!$AG$5,"A",IF(P139&lt;'PlayerGrades+'!$AG$4,"A+",IF(P139&lt;'PlayerGrades+'!$AG$3,"S-",IF(P139&lt;'PlayerGrades+'!$AG$2,"S","S+"))))))))))))))))))))</f>
        <v>F</v>
      </c>
      <c r="R139" s="937">
        <f t="shared" si="8"/>
        <v>0.2036199095</v>
      </c>
      <c r="S139" s="937" t="str">
        <f>IF(R139&lt;'PlayerGrades+'!$AH$21,"F-",IF(R139&lt;'PlayerGrades+'!$AH$20,"F",IF(R139&lt;'PlayerGrades+'!$AH$19,"F+",IF(R139&lt;'PlayerGrades+'!$AH$18,"E-",IF(R139&lt;'PlayerGrades+'!$AH$17,"E",IF(R139&lt;'PlayerGrades+'!$AH$16,"E+",IF(R139&lt;'PlayerGrades+'!$AH$15,"D-",IF(R139&lt;'PlayerGrades+'!$AH$14,"D",IF(R139&lt;'PlayerGrades+'!$AH$13,"D+",IF(R139&lt;'PlayerGrades+'!$AH$12,"C-",IF(R139&lt;'PlayerGrades+'!$AH$11,"C",IF(R139&lt;'PlayerGrades+'!$AH$10,"C+",IF(R139&lt;'PlayerGrades+'!$AH$9,"B-",IF(R139&lt;'PlayerGrades+'!$AH$8,"B",IF(R139&lt;'PlayerGrades+'!$AH$7,"B+",IF(R139&lt;'PlayerGrades+'!$AH$6,"A-",IF(R139&lt;'PlayerGrades+'!$AH$5,"A",IF(R139&lt;'PlayerGrades+'!$AH$4,"A+",IF(R139&lt;'PlayerGrades+'!$AH$3,"S-",IF(R139&lt;'PlayerGrades+'!$AH$2,"S","S+"))))))))))))))))))))</f>
        <v>F-</v>
      </c>
      <c r="T139" s="937">
        <f t="shared" si="9"/>
        <v>2.475113122</v>
      </c>
      <c r="U139" s="937" t="str">
        <f>IF(T139&lt;'PlayerGrades+'!$AI$21,"F-",IF(T139&lt;'PlayerGrades+'!$AI$20,"F",IF(T139&lt;'PlayerGrades+'!$AI$19,"F+",IF(T139&lt;'PlayerGrades+'!$AI$18,"E-",IF(T139&lt;'PlayerGrades+'!$AI$17,"E",IF(T139&lt;'PlayerGrades+'!$AI$16,"E+",IF(T139&lt;'PlayerGrades+'!$AI$15,"D-",IF(T139&lt;'PlayerGrades+'!$AI$14,"D",IF(T139&lt;'PlayerGrades+'!$AI$13,"D+",IF(T139&lt;'PlayerGrades+'!$AI$12,"C-",IF(T139&lt;'PlayerGrades+'!$AI$11,"C",IF(T139&lt;'PlayerGrades+'!$AI$10,"C+",IF(T139&lt;'PlayerGrades+'!$AI$9,"B-",IF(T139&lt;'PlayerGrades+'!$AI$8,"B",IF(T139&lt;'PlayerGrades+'!$AI$7,"B+",IF(T139&lt;'PlayerGrades+'!$AI$6,"A-",IF(T139&lt;'PlayerGrades+'!$AI$5,"A",IF(T139&lt;'PlayerGrades+'!$AI$4,"A+",IF(T139&lt;'PlayerGrades+'!$AI$3,"S-",IF(T139&lt;'PlayerGrades+'!$AI$2,"S","S+"))))))))))))))))))))</f>
        <v>S+</v>
      </c>
      <c r="V139" s="941">
        <v>1.0</v>
      </c>
      <c r="W139" s="941">
        <v>1.0</v>
      </c>
      <c r="X139" s="941">
        <v>0.0</v>
      </c>
      <c r="Y139" s="941">
        <v>0.0</v>
      </c>
      <c r="Z139" s="941">
        <v>0.0</v>
      </c>
      <c r="AA139" s="952">
        <v>55.0</v>
      </c>
      <c r="AB139" s="952">
        <v>55.0</v>
      </c>
      <c r="AC139" s="952">
        <v>0.0</v>
      </c>
      <c r="AD139" s="952">
        <v>1.0</v>
      </c>
      <c r="AE139" s="952">
        <v>3.0</v>
      </c>
      <c r="AF139" s="952">
        <v>0.0</v>
      </c>
      <c r="AG139" s="952">
        <v>650.0</v>
      </c>
      <c r="AH139" s="952">
        <v>884.0</v>
      </c>
      <c r="AI139" s="952">
        <v>11.0</v>
      </c>
      <c r="AJ139" s="952">
        <v>12.0</v>
      </c>
      <c r="AK139" s="952">
        <v>0.0</v>
      </c>
      <c r="AL139" s="952">
        <v>0.0</v>
      </c>
      <c r="AM139" s="952">
        <v>0.0</v>
      </c>
      <c r="AN139" s="952">
        <v>0.0</v>
      </c>
      <c r="AO139" s="952">
        <v>0.0</v>
      </c>
      <c r="AP139" s="952">
        <v>0.0</v>
      </c>
      <c r="AQ139" s="952">
        <v>0.0</v>
      </c>
      <c r="AR139" s="952">
        <v>10.0</v>
      </c>
      <c r="AS139" s="952">
        <v>3.0</v>
      </c>
      <c r="AT139" s="952">
        <v>0.0</v>
      </c>
      <c r="AU139" s="952">
        <v>0.0</v>
      </c>
      <c r="AV139" s="952">
        <v>0.0</v>
      </c>
      <c r="AW139" s="952">
        <v>0.0</v>
      </c>
      <c r="AX139" s="952">
        <v>0.0</v>
      </c>
      <c r="AY139" s="952">
        <v>0.0</v>
      </c>
      <c r="AZ139" s="952">
        <v>0.0</v>
      </c>
      <c r="BA139" s="952">
        <v>0.0</v>
      </c>
      <c r="BB139" s="952">
        <v>4.0</v>
      </c>
      <c r="BC139" s="952">
        <v>0.0</v>
      </c>
      <c r="BD139" s="952">
        <v>2.0</v>
      </c>
      <c r="BE139" s="952">
        <v>7.0</v>
      </c>
      <c r="BF139" s="952">
        <v>2.0</v>
      </c>
      <c r="BG139" s="952">
        <v>0.0</v>
      </c>
    </row>
    <row r="140">
      <c r="A140" s="965" t="s">
        <v>126</v>
      </c>
      <c r="B140" s="16" t="str">
        <f>IF(C140&lt;'PlayerGrades+'!$Y$44,"F-",IF(C140&lt;'PlayerGrades+'!$Y$43,"F",IF(C140&lt;'PlayerGrades+'!$Y$42,"F+",IF(C140&lt;'PlayerGrades+'!$Y$41,"E-",IF(C140&lt;'PlayerGrades+'!$Y$40,"E",IF(C140&lt;'PlayerGrades+'!$Y$39,"E+",IF(C140&lt;'PlayerGrades+'!$Y$38,"D-",IF(C140&lt;'PlayerGrades+'!$Y$37,"D",IF(C140&lt;'PlayerGrades+'!$Y$36,"D+",IF(C140&lt;'PlayerGrades+'!$Y$35,"C-",IF(C140&lt;'PlayerGrades+'!$Y$34,"C",IF(C140&lt;'PlayerGrades+'!$Y$33,"C+",IF(C140&lt;'PlayerGrades+'!$Y$32,"B-",IF(C140&lt;'PlayerGrades+'!$Y$31,"B",IF(C140&lt;'PlayerGrades+'!$Y$30,"B+",IF(C140&lt;'PlayerGrades+'!$Y$29,"A-",IF(C140&lt;'PlayerGrades+'!$Y$28,"A",IF(C140&lt;'PlayerGrades+'!$Y$27,"A+",IF(C140&lt;'PlayerGrades+'!$Y$26,"S-",IF(C140&lt;'PlayerGrades+'!$Y$25,"S","S+"))))))))))))))))))))</f>
        <v>C+</v>
      </c>
      <c r="C140" s="936">
        <f>('PlayerGrades+'!$Y$47*(VLOOKUP(E140, 'PlayerGrades+'!$X$3:$Y$23, 2, FALSE)))+('PlayerGrades+'!$Y$48*(VLOOKUP(G140, 'PlayerGrades+'!$X$3:$Y$23, 2, FALSE)))+('PlayerGrades+'!$Y$49*(VLOOKUP(I140, 'PlayerGrades+'!$X$3:$Y$23, 2, FALSE)))+('PlayerGrades+'!$Y$50*(VLOOKUP(K140, 'PlayerGrades+'!$X$3:$Y$23, 2, FALSE)))+('PlayerGrades+'!$Y$51*(VLOOKUP(M140, 'PlayerGrades+'!$X$3:$Y$23, 2, FALSE)))+('PlayerGrades+'!$Y$52*(VLOOKUP(O140, 'PlayerGrades+'!$X$3:$Y$23, 2, FALSE)))+('PlayerGrades+'!$Y$53*(VLOOKUP(Q140, 'PlayerGrades+'!$X$3:$Y$23, 2, FALSE)))+('PlayerGrades+'!$Y$54*(VLOOKUP(S140, 'PlayerGrades+'!$X$3:$Y$23, 2, FALSE)))+('PlayerGrades+'!$Y$55*(VLOOKUP(U140, 'PlayerGrades+'!$X$3:$Y$23, 2, FALSE)))</f>
        <v>20.7</v>
      </c>
      <c r="D140" s="937">
        <f t="shared" si="1"/>
        <v>0</v>
      </c>
      <c r="E140" s="937" t="str">
        <f>IF(D140&lt;'PlayerGrades+'!$AA$21,"F-",IF(D140&lt;'PlayerGrades+'!$AA$20,"F",IF(D140&lt;'PlayerGrades+'!$AA$19,"F+",IF(D140&lt;'PlayerGrades+'!$AA$18,"E-",IF(D140&lt;'PlayerGrades+'!$AA$17,"E",IF(D140&lt;'PlayerGrades+'!$AA$16,"E+",IF(D140&lt;'PlayerGrades+'!$AA$15,"D-",IF(D140&lt;'PlayerGrades+'!$AA$14,"D",IF(D140&lt;'PlayerGrades+'!$AA$13,"D+",IF(D140&lt;'PlayerGrades+'!$AA$12,"C-",IF(D140&lt;'PlayerGrades+'!$AA$11,"C",IF(D140&lt;'PlayerGrades+'!$AA$10,"C+",IF(D140&lt;'PlayerGrades+'!$AA$9,"B-",IF(D140&lt;'PlayerGrades+'!$AA$8,"B",IF(D140&lt;'PlayerGrades+'!$AA$7,"B+",IF(D140&lt;'PlayerGrades+'!$AA$6,"A-",IF(D140&lt;'PlayerGrades+'!$AA$5,"A",IF(D140&lt;'PlayerGrades+'!$AA$4,"A+",IF(D140&lt;'PlayerGrades+'!$AA$3,"S-",IF(D140&lt;'PlayerGrades+'!$AA$2,"S","S+"))))))))))))))))))))</f>
        <v>F-</v>
      </c>
      <c r="F140" s="937">
        <f t="shared" si="2"/>
        <v>0.7466063348</v>
      </c>
      <c r="G140" s="937" t="str">
        <f>IF(F140&lt;'PlayerGrades+'!$AB$21,"F-",IF(F140&lt;'PlayerGrades+'!$AB$20,"F",IF(F140&lt;'PlayerGrades+'!$AB$19,"F+",IF(F140&lt;'PlayerGrades+'!$AB$18,"E-",IF(F140&lt;'PlayerGrades+'!$AB$17,"E",IF(F140&lt;'PlayerGrades+'!$AB$16,"E+",IF(F140&lt;'PlayerGrades+'!$AB$15,"D-",IF(F140&lt;'PlayerGrades+'!$AB$14,"D",IF(F140&lt;'PlayerGrades+'!$AB$13,"D+",IF(F140&lt;'PlayerGrades+'!$AB$12,"C-",IF(F140&lt;'PlayerGrades+'!$AB$11,"C",IF(F140&lt;'PlayerGrades+'!$AB$10,"C+",IF(F140&lt;'PlayerGrades+'!$AB$9,"B-",IF(F140&lt;'PlayerGrades+'!$AB$8,"B",IF(F140&lt;'PlayerGrades+'!$AB$7,"B+",IF(F140&lt;'PlayerGrades+'!$AB$6,"A-",IF(F140&lt;'PlayerGrades+'!$AB$5,"A",IF(F140&lt;'PlayerGrades+'!$AB$4,"A+",IF(F140&lt;'PlayerGrades+'!$AB$3,"S-",IF(F140&lt;'PlayerGrades+'!$AB$2,"S","S+"))))))))))))))))))))</f>
        <v>S</v>
      </c>
      <c r="H140" s="937">
        <f t="shared" si="3"/>
        <v>0.06787330317</v>
      </c>
      <c r="I140" s="937" t="str">
        <f>IF(H140&lt;'PlayerGrades+'!$AC$21,"F-",IF(H140&lt;'PlayerGrades+'!$AC$20,"F",IF(H140&lt;'PlayerGrades+'!$AC$19,"F+",IF(H140&lt;'PlayerGrades+'!$AC$18,"E-",IF(H140&lt;'PlayerGrades+'!$AC$17,"E",IF(H140&lt;'PlayerGrades+'!$AC$16,"E+",IF(H140&lt;'PlayerGrades+'!$AC$15,"D-",IF(H140&lt;'PlayerGrades+'!$AC$14,"D",IF(H140&lt;'PlayerGrades+'!$AC$13,"D+",IF(H140&lt;'PlayerGrades+'!$AC$12,"C-",IF(H140&lt;'PlayerGrades+'!$AC$11,"C",IF(H140&lt;'PlayerGrades+'!$AC$10,"C+",IF(H140&lt;'PlayerGrades+'!$AC$9,"B-",IF(H140&lt;'PlayerGrades+'!$AC$8,"B",IF(H140&lt;'PlayerGrades+'!$AC$7,"B+",IF(H140&lt;'PlayerGrades+'!$AC$6,"A-",IF(H140&lt;'PlayerGrades+'!$AC$5,"A",IF(H140&lt;'PlayerGrades+'!$AC$4,"A+",IF(H140&lt;'PlayerGrades+'!$AC$3,"S-",IF(H140&lt;'PlayerGrades+'!$AC$2,"S","S+"))))))))))))))))))))</f>
        <v>E</v>
      </c>
      <c r="J140" s="937">
        <f t="shared" si="4"/>
        <v>0</v>
      </c>
      <c r="K140" s="937" t="str">
        <f>IF(J140&lt;'PlayerGrades+'!$AD$21,"F-",IF(J140&lt;'PlayerGrades+'!$AD$20,"F",IF(J140&lt;'PlayerGrades+'!$AD$19,"F+",IF(J140&lt;'PlayerGrades+'!$AD$18,"E-",IF(J140&lt;'PlayerGrades+'!$AD$17,"E",IF(J140&lt;'PlayerGrades+'!$AD$16,"E+",IF(J140&lt;'PlayerGrades+'!$AD$15,"D-",IF(J140&lt;'PlayerGrades+'!$AD$14,"D",IF(J140&lt;'PlayerGrades+'!$AD$13,"D+",IF(J140&lt;'PlayerGrades+'!$AD$12,"C-",IF(J140&lt;'PlayerGrades+'!$AD$11,"C",IF(J140&lt;'PlayerGrades+'!$AD$10,"C+",IF(J140&lt;'PlayerGrades+'!$AD$9,"B-",IF(J140&lt;'PlayerGrades+'!$AD$8,"B",IF(J140&lt;'PlayerGrades+'!$AD$7,"B+",IF(J140&lt;'PlayerGrades+'!$AD$6,"A-",IF(J140&lt;'PlayerGrades+'!$AD$5,"A",IF(J140&lt;'PlayerGrades+'!$AD$4,"A+",IF(J140&lt;'PlayerGrades+'!$AD$3,"S-",IF(J140&lt;'PlayerGrades+'!$AD$2,"S","S+"))))))))))))))))))))</f>
        <v>F-</v>
      </c>
      <c r="L140" s="677">
        <f t="shared" si="5"/>
        <v>0.5429864253</v>
      </c>
      <c r="M140" s="938" t="str">
        <f>IF(L140&lt;'PlayerGrades+'!$AE$21,"F-",IF(L140&lt;'PlayerGrades+'!$AE$20,"F",IF(L140&lt;'PlayerGrades+'!$AE$19,"F+",IF(L140&lt;'PlayerGrades+'!$AE$18,"E-",IF(L140&lt;'PlayerGrades+'!$AE$17,"E",IF(L140&lt;'PlayerGrades+'!$AE$16,"E+",IF(L140&lt;'PlayerGrades+'!$AE$15,"D-",IF(L140&lt;'PlayerGrades+'!$AE$14,"D",IF(L140&lt;'PlayerGrades+'!$AE$13,"D+",IF(L140&lt;'PlayerGrades+'!$AE$12,"C-",IF(L140&lt;'PlayerGrades+'!$AE$11,"C",IF(L140&lt;'PlayerGrades+'!$AE$10,"C+",IF(L140&lt;'PlayerGrades+'!$AE$9,"B-",IF(L140&lt;'PlayerGrades+'!$AE$8,"B",IF(L140&lt;'PlayerGrades+'!$AE$7,"B+",IF(L140&lt;'PlayerGrades+'!$AE$6,"A-",IF(L140&lt;'PlayerGrades+'!$AE$5,"A",IF(L140&lt;'PlayerGrades+'!$AE$4,"A+",IF(L140&lt;'PlayerGrades+'!$AE$3,"S-",IF(L140&lt;'PlayerGrades+'!$AE$2,"S","S+"))))))))))))))))))))</f>
        <v>A</v>
      </c>
      <c r="N140" s="937">
        <f t="shared" si="6"/>
        <v>0.1357466063</v>
      </c>
      <c r="O140" s="937" t="str">
        <f>IF(N140&lt;'PlayerGrades+'!$AF$21,"F-",IF(N140&lt;'PlayerGrades+'!$AF$20,"F",IF(N140&lt;'PlayerGrades+'!$AF$19,"F+",IF(N140&lt;'PlayerGrades+'!$AF$18,"E-",IF(N140&lt;'PlayerGrades+'!$AF$17,"E",IF(N140&lt;'PlayerGrades+'!$AF$16,"E+",IF(N140&lt;'PlayerGrades+'!$AF$15,"D-",IF(N140&lt;'PlayerGrades+'!$AF$14,"D",IF(N140&lt;'PlayerGrades+'!$AF$13,"D+",IF(N140&lt;'PlayerGrades+'!$AF$12,"C-",IF(N140&lt;'PlayerGrades+'!$AF$11,"C",IF(N140&lt;'PlayerGrades+'!$AF$10,"C+",IF(N140&lt;'PlayerGrades+'!$AF$9,"B-",IF(N140&lt;'PlayerGrades+'!$AF$8,"B",IF(N140&lt;'PlayerGrades+'!$AF$7,"B+",IF(N140&lt;'PlayerGrades+'!$AF$6,"A-",IF(N140&lt;'PlayerGrades+'!$AF$5,"A",IF(N140&lt;'PlayerGrades+'!$AF$4,"A+",IF(N140&lt;'PlayerGrades+'!$AF$3,"S-",IF(N140&lt;'PlayerGrades+'!$AF$2,"S","S+"))))))))))))))))))))</f>
        <v>S</v>
      </c>
      <c r="P140" s="937">
        <f t="shared" si="7"/>
        <v>0</v>
      </c>
      <c r="Q140" s="937" t="str">
        <f>IF(P140&lt;'PlayerGrades+'!$AG$21,"F-",IF(P140&lt;'PlayerGrades+'!$AG$20,"F",IF(P140&lt;'PlayerGrades+'!$AG$19,"F+",IF(P140&lt;'PlayerGrades+'!$AG$18,"E-",IF(P140&lt;'PlayerGrades+'!$AG$17,"E",IF(P140&lt;'PlayerGrades+'!$AG$16,"E+",IF(P140&lt;'PlayerGrades+'!$AG$15,"D-",IF(P140&lt;'PlayerGrades+'!$AG$14,"D",IF(P140&lt;'PlayerGrades+'!$AG$13,"D+",IF(P140&lt;'PlayerGrades+'!$AG$12,"C-",IF(P140&lt;'PlayerGrades+'!$AG$11,"C",IF(P140&lt;'PlayerGrades+'!$AG$10,"C+",IF(P140&lt;'PlayerGrades+'!$AG$9,"B-",IF(P140&lt;'PlayerGrades+'!$AG$8,"B",IF(P140&lt;'PlayerGrades+'!$AG$7,"B+",IF(P140&lt;'PlayerGrades+'!$AG$6,"A-",IF(P140&lt;'PlayerGrades+'!$AG$5,"A",IF(P140&lt;'PlayerGrades+'!$AG$4,"A+",IF(P140&lt;'PlayerGrades+'!$AG$3,"S-",IF(P140&lt;'PlayerGrades+'!$AG$2,"S","S+"))))))))))))))))))))</f>
        <v>F</v>
      </c>
      <c r="R140" s="937">
        <f t="shared" si="8"/>
        <v>0.5429864253</v>
      </c>
      <c r="S140" s="937" t="str">
        <f>IF(R140&lt;'PlayerGrades+'!$AH$21,"F-",IF(R140&lt;'PlayerGrades+'!$AH$20,"F",IF(R140&lt;'PlayerGrades+'!$AH$19,"F+",IF(R140&lt;'PlayerGrades+'!$AH$18,"E-",IF(R140&lt;'PlayerGrades+'!$AH$17,"E",IF(R140&lt;'PlayerGrades+'!$AH$16,"E+",IF(R140&lt;'PlayerGrades+'!$AH$15,"D-",IF(R140&lt;'PlayerGrades+'!$AH$14,"D",IF(R140&lt;'PlayerGrades+'!$AH$13,"D+",IF(R140&lt;'PlayerGrades+'!$AH$12,"C-",IF(R140&lt;'PlayerGrades+'!$AH$11,"C",IF(R140&lt;'PlayerGrades+'!$AH$10,"C+",IF(R140&lt;'PlayerGrades+'!$AH$9,"B-",IF(R140&lt;'PlayerGrades+'!$AH$8,"B",IF(R140&lt;'PlayerGrades+'!$AH$7,"B+",IF(R140&lt;'PlayerGrades+'!$AH$6,"A-",IF(R140&lt;'PlayerGrades+'!$AH$5,"A",IF(R140&lt;'PlayerGrades+'!$AH$4,"A+",IF(R140&lt;'PlayerGrades+'!$AH$3,"S-",IF(R140&lt;'PlayerGrades+'!$AH$2,"S","S+"))))))))))))))))))))</f>
        <v>C+</v>
      </c>
      <c r="T140" s="937">
        <f t="shared" si="9"/>
        <v>0.407239819</v>
      </c>
      <c r="U140" s="937" t="str">
        <f>IF(T140&lt;'PlayerGrades+'!$AI$21,"F-",IF(T140&lt;'PlayerGrades+'!$AI$20,"F",IF(T140&lt;'PlayerGrades+'!$AI$19,"F+",IF(T140&lt;'PlayerGrades+'!$AI$18,"E-",IF(T140&lt;'PlayerGrades+'!$AI$17,"E",IF(T140&lt;'PlayerGrades+'!$AI$16,"E+",IF(T140&lt;'PlayerGrades+'!$AI$15,"D-",IF(T140&lt;'PlayerGrades+'!$AI$14,"D",IF(T140&lt;'PlayerGrades+'!$AI$13,"D+",IF(T140&lt;'PlayerGrades+'!$AI$12,"C-",IF(T140&lt;'PlayerGrades+'!$AI$11,"C",IF(T140&lt;'PlayerGrades+'!$AI$10,"C+",IF(T140&lt;'PlayerGrades+'!$AI$9,"B-",IF(T140&lt;'PlayerGrades+'!$AI$8,"B",IF(T140&lt;'PlayerGrades+'!$AI$7,"B+",IF(T140&lt;'PlayerGrades+'!$AI$6,"A-",IF(T140&lt;'PlayerGrades+'!$AI$5,"A",IF(T140&lt;'PlayerGrades+'!$AI$4,"A+",IF(T140&lt;'PlayerGrades+'!$AI$3,"S-",IF(T140&lt;'PlayerGrades+'!$AI$2,"S","S+"))))))))))))))))))))</f>
        <v>F-</v>
      </c>
      <c r="V140" s="941">
        <v>1.0</v>
      </c>
      <c r="W140" s="941">
        <v>1.0</v>
      </c>
      <c r="X140" s="941">
        <v>0.0</v>
      </c>
      <c r="Y140" s="941">
        <v>0.0</v>
      </c>
      <c r="Z140" s="941">
        <v>0.0</v>
      </c>
      <c r="AA140" s="952">
        <v>61.0</v>
      </c>
      <c r="AB140" s="952">
        <v>50.0</v>
      </c>
      <c r="AC140" s="952">
        <v>11.0</v>
      </c>
      <c r="AD140" s="952">
        <v>3.0</v>
      </c>
      <c r="AE140" s="952">
        <v>4.0</v>
      </c>
      <c r="AF140" s="952">
        <v>0.0</v>
      </c>
      <c r="AG140" s="952">
        <v>672.0</v>
      </c>
      <c r="AH140" s="952">
        <v>884.0</v>
      </c>
      <c r="AI140" s="952">
        <v>13.0</v>
      </c>
      <c r="AJ140" s="952">
        <v>0.0</v>
      </c>
      <c r="AK140" s="952">
        <v>0.0</v>
      </c>
      <c r="AL140" s="952">
        <v>0.0</v>
      </c>
      <c r="AM140" s="952">
        <v>0.0</v>
      </c>
      <c r="AN140" s="952">
        <v>0.0</v>
      </c>
      <c r="AO140" s="952">
        <v>0.0</v>
      </c>
      <c r="AP140" s="952">
        <v>0.0</v>
      </c>
      <c r="AQ140" s="952">
        <v>0.0</v>
      </c>
      <c r="AR140" s="952">
        <v>8.0</v>
      </c>
      <c r="AS140" s="952">
        <v>2.0</v>
      </c>
      <c r="AT140" s="952">
        <v>0.0</v>
      </c>
      <c r="AU140" s="952">
        <v>0.0</v>
      </c>
      <c r="AV140" s="952">
        <v>0.0</v>
      </c>
      <c r="AW140" s="952">
        <v>0.0</v>
      </c>
      <c r="AX140" s="952">
        <v>0.0</v>
      </c>
      <c r="AY140" s="952">
        <v>0.0</v>
      </c>
      <c r="AZ140" s="952">
        <v>0.0</v>
      </c>
      <c r="BA140" s="952">
        <v>0.0</v>
      </c>
      <c r="BB140" s="952">
        <v>1.0</v>
      </c>
      <c r="BC140" s="952">
        <v>0.0</v>
      </c>
      <c r="BD140" s="952">
        <v>5.0</v>
      </c>
      <c r="BE140" s="952">
        <v>6.0</v>
      </c>
      <c r="BF140" s="952">
        <v>0.0</v>
      </c>
      <c r="BG140" s="952">
        <v>0.0</v>
      </c>
    </row>
    <row r="141">
      <c r="A141" s="965" t="s">
        <v>115</v>
      </c>
      <c r="B141" s="16" t="str">
        <f>IF(C141&lt;'PlayerGrades+'!$Y$44,"F-",IF(C141&lt;'PlayerGrades+'!$Y$43,"F",IF(C141&lt;'PlayerGrades+'!$Y$42,"F+",IF(C141&lt;'PlayerGrades+'!$Y$41,"E-",IF(C141&lt;'PlayerGrades+'!$Y$40,"E",IF(C141&lt;'PlayerGrades+'!$Y$39,"E+",IF(C141&lt;'PlayerGrades+'!$Y$38,"D-",IF(C141&lt;'PlayerGrades+'!$Y$37,"D",IF(C141&lt;'PlayerGrades+'!$Y$36,"D+",IF(C141&lt;'PlayerGrades+'!$Y$35,"C-",IF(C141&lt;'PlayerGrades+'!$Y$34,"C",IF(C141&lt;'PlayerGrades+'!$Y$33,"C+",IF(C141&lt;'PlayerGrades+'!$Y$32,"B-",IF(C141&lt;'PlayerGrades+'!$Y$31,"B",IF(C141&lt;'PlayerGrades+'!$Y$30,"B+",IF(C141&lt;'PlayerGrades+'!$Y$29,"A-",IF(C141&lt;'PlayerGrades+'!$Y$28,"A",IF(C141&lt;'PlayerGrades+'!$Y$27,"A+",IF(C141&lt;'PlayerGrades+'!$Y$26,"S-",IF(C141&lt;'PlayerGrades+'!$Y$25,"S","S+"))))))))))))))))))))</f>
        <v>A+</v>
      </c>
      <c r="C141" s="936">
        <f>('PlayerGrades+'!$Y$47*(VLOOKUP(E141, 'PlayerGrades+'!$X$3:$Y$23, 2, FALSE)))+('PlayerGrades+'!$Y$48*(VLOOKUP(G141, 'PlayerGrades+'!$X$3:$Y$23, 2, FALSE)))+('PlayerGrades+'!$Y$49*(VLOOKUP(I141, 'PlayerGrades+'!$X$3:$Y$23, 2, FALSE)))+('PlayerGrades+'!$Y$50*(VLOOKUP(K141, 'PlayerGrades+'!$X$3:$Y$23, 2, FALSE)))+('PlayerGrades+'!$Y$51*(VLOOKUP(M141, 'PlayerGrades+'!$X$3:$Y$23, 2, FALSE)))+('PlayerGrades+'!$Y$52*(VLOOKUP(O141, 'PlayerGrades+'!$X$3:$Y$23, 2, FALSE)))+('PlayerGrades+'!$Y$53*(VLOOKUP(Q141, 'PlayerGrades+'!$X$3:$Y$23, 2, FALSE)))+('PlayerGrades+'!$Y$54*(VLOOKUP(S141, 'PlayerGrades+'!$X$3:$Y$23, 2, FALSE)))+('PlayerGrades+'!$Y$55*(VLOOKUP(U141, 'PlayerGrades+'!$X$3:$Y$23, 2, FALSE)))</f>
        <v>28.2</v>
      </c>
      <c r="D141" s="937">
        <f t="shared" si="1"/>
        <v>0</v>
      </c>
      <c r="E141" s="937" t="str">
        <f>IF(D141&lt;'PlayerGrades+'!$AA$21,"F-",IF(D141&lt;'PlayerGrades+'!$AA$20,"F",IF(D141&lt;'PlayerGrades+'!$AA$19,"F+",IF(D141&lt;'PlayerGrades+'!$AA$18,"E-",IF(D141&lt;'PlayerGrades+'!$AA$17,"E",IF(D141&lt;'PlayerGrades+'!$AA$16,"E+",IF(D141&lt;'PlayerGrades+'!$AA$15,"D-",IF(D141&lt;'PlayerGrades+'!$AA$14,"D",IF(D141&lt;'PlayerGrades+'!$AA$13,"D+",IF(D141&lt;'PlayerGrades+'!$AA$12,"C-",IF(D141&lt;'PlayerGrades+'!$AA$11,"C",IF(D141&lt;'PlayerGrades+'!$AA$10,"C+",IF(D141&lt;'PlayerGrades+'!$AA$9,"B-",IF(D141&lt;'PlayerGrades+'!$AA$8,"B",IF(D141&lt;'PlayerGrades+'!$AA$7,"B+",IF(D141&lt;'PlayerGrades+'!$AA$6,"A-",IF(D141&lt;'PlayerGrades+'!$AA$5,"A",IF(D141&lt;'PlayerGrades+'!$AA$4,"A+",IF(D141&lt;'PlayerGrades+'!$AA$3,"S-",IF(D141&lt;'PlayerGrades+'!$AA$2,"S","S+"))))))))))))))))))))</f>
        <v>F-</v>
      </c>
      <c r="F141" s="937">
        <f t="shared" si="2"/>
        <v>0</v>
      </c>
      <c r="G141" s="937" t="str">
        <f>IF(F141&lt;'PlayerGrades+'!$AB$21,"F-",IF(F141&lt;'PlayerGrades+'!$AB$20,"F",IF(F141&lt;'PlayerGrades+'!$AB$19,"F+",IF(F141&lt;'PlayerGrades+'!$AB$18,"E-",IF(F141&lt;'PlayerGrades+'!$AB$17,"E",IF(F141&lt;'PlayerGrades+'!$AB$16,"E+",IF(F141&lt;'PlayerGrades+'!$AB$15,"D-",IF(F141&lt;'PlayerGrades+'!$AB$14,"D",IF(F141&lt;'PlayerGrades+'!$AB$13,"D+",IF(F141&lt;'PlayerGrades+'!$AB$12,"C-",IF(F141&lt;'PlayerGrades+'!$AB$11,"C",IF(F141&lt;'PlayerGrades+'!$AB$10,"C+",IF(F141&lt;'PlayerGrades+'!$AB$9,"B-",IF(F141&lt;'PlayerGrades+'!$AB$8,"B",IF(F141&lt;'PlayerGrades+'!$AB$7,"B+",IF(F141&lt;'PlayerGrades+'!$AB$6,"A-",IF(F141&lt;'PlayerGrades+'!$AB$5,"A",IF(F141&lt;'PlayerGrades+'!$AB$4,"A+",IF(F141&lt;'PlayerGrades+'!$AB$3,"S-",IF(F141&lt;'PlayerGrades+'!$AB$2,"S","S+"))))))))))))))))))))</f>
        <v>B</v>
      </c>
      <c r="H141" s="937">
        <f t="shared" si="3"/>
        <v>0.3393665158</v>
      </c>
      <c r="I141" s="937" t="str">
        <f>IF(H141&lt;'PlayerGrades+'!$AC$21,"F-",IF(H141&lt;'PlayerGrades+'!$AC$20,"F",IF(H141&lt;'PlayerGrades+'!$AC$19,"F+",IF(H141&lt;'PlayerGrades+'!$AC$18,"E-",IF(H141&lt;'PlayerGrades+'!$AC$17,"E",IF(H141&lt;'PlayerGrades+'!$AC$16,"E+",IF(H141&lt;'PlayerGrades+'!$AC$15,"D-",IF(H141&lt;'PlayerGrades+'!$AC$14,"D",IF(H141&lt;'PlayerGrades+'!$AC$13,"D+",IF(H141&lt;'PlayerGrades+'!$AC$12,"C-",IF(H141&lt;'PlayerGrades+'!$AC$11,"C",IF(H141&lt;'PlayerGrades+'!$AC$10,"C+",IF(H141&lt;'PlayerGrades+'!$AC$9,"B-",IF(H141&lt;'PlayerGrades+'!$AC$8,"B",IF(H141&lt;'PlayerGrades+'!$AC$7,"B+",IF(H141&lt;'PlayerGrades+'!$AC$6,"A-",IF(H141&lt;'PlayerGrades+'!$AC$5,"A",IF(H141&lt;'PlayerGrades+'!$AC$4,"A+",IF(H141&lt;'PlayerGrades+'!$AC$3,"S-",IF(H141&lt;'PlayerGrades+'!$AC$2,"S","S+"))))))))))))))))))))</f>
        <v>S+</v>
      </c>
      <c r="J141" s="937">
        <f t="shared" si="4"/>
        <v>0.06787330317</v>
      </c>
      <c r="K141" s="937" t="str">
        <f>IF(J141&lt;'PlayerGrades+'!$AD$21,"F-",IF(J141&lt;'PlayerGrades+'!$AD$20,"F",IF(J141&lt;'PlayerGrades+'!$AD$19,"F+",IF(J141&lt;'PlayerGrades+'!$AD$18,"E-",IF(J141&lt;'PlayerGrades+'!$AD$17,"E",IF(J141&lt;'PlayerGrades+'!$AD$16,"E+",IF(J141&lt;'PlayerGrades+'!$AD$15,"D-",IF(J141&lt;'PlayerGrades+'!$AD$14,"D",IF(J141&lt;'PlayerGrades+'!$AD$13,"D+",IF(J141&lt;'PlayerGrades+'!$AD$12,"C-",IF(J141&lt;'PlayerGrades+'!$AD$11,"C",IF(J141&lt;'PlayerGrades+'!$AD$10,"C+",IF(J141&lt;'PlayerGrades+'!$AD$9,"B-",IF(J141&lt;'PlayerGrades+'!$AD$8,"B",IF(J141&lt;'PlayerGrades+'!$AD$7,"B+",IF(J141&lt;'PlayerGrades+'!$AD$6,"A-",IF(J141&lt;'PlayerGrades+'!$AD$5,"A",IF(J141&lt;'PlayerGrades+'!$AD$4,"A+",IF(J141&lt;'PlayerGrades+'!$AD$3,"S-",IF(J141&lt;'PlayerGrades+'!$AD$2,"S","S+"))))))))))))))))))))</f>
        <v>A-</v>
      </c>
      <c r="L141" s="677">
        <f t="shared" si="5"/>
        <v>0.6787330317</v>
      </c>
      <c r="M141" s="938" t="str">
        <f>IF(L141&lt;'PlayerGrades+'!$AE$21,"F-",IF(L141&lt;'PlayerGrades+'!$AE$20,"F",IF(L141&lt;'PlayerGrades+'!$AE$19,"F+",IF(L141&lt;'PlayerGrades+'!$AE$18,"E-",IF(L141&lt;'PlayerGrades+'!$AE$17,"E",IF(L141&lt;'PlayerGrades+'!$AE$16,"E+",IF(L141&lt;'PlayerGrades+'!$AE$15,"D-",IF(L141&lt;'PlayerGrades+'!$AE$14,"D",IF(L141&lt;'PlayerGrades+'!$AE$13,"D+",IF(L141&lt;'PlayerGrades+'!$AE$12,"C-",IF(L141&lt;'PlayerGrades+'!$AE$11,"C",IF(L141&lt;'PlayerGrades+'!$AE$10,"C+",IF(L141&lt;'PlayerGrades+'!$AE$9,"B-",IF(L141&lt;'PlayerGrades+'!$AE$8,"B",IF(L141&lt;'PlayerGrades+'!$AE$7,"B+",IF(L141&lt;'PlayerGrades+'!$AE$6,"A-",IF(L141&lt;'PlayerGrades+'!$AE$5,"A",IF(L141&lt;'PlayerGrades+'!$AE$4,"A+",IF(L141&lt;'PlayerGrades+'!$AE$3,"S-",IF(L141&lt;'PlayerGrades+'!$AE$2,"S","S+"))))))))))))))))))))</f>
        <v>S</v>
      </c>
      <c r="N141" s="937">
        <f t="shared" si="6"/>
        <v>0.2714932127</v>
      </c>
      <c r="O141" s="937" t="str">
        <f>IF(N141&lt;'PlayerGrades+'!$AF$21,"F-",IF(N141&lt;'PlayerGrades+'!$AF$20,"F",IF(N141&lt;'PlayerGrades+'!$AF$19,"F+",IF(N141&lt;'PlayerGrades+'!$AF$18,"E-",IF(N141&lt;'PlayerGrades+'!$AF$17,"E",IF(N141&lt;'PlayerGrades+'!$AF$16,"E+",IF(N141&lt;'PlayerGrades+'!$AF$15,"D-",IF(N141&lt;'PlayerGrades+'!$AF$14,"D",IF(N141&lt;'PlayerGrades+'!$AF$13,"D+",IF(N141&lt;'PlayerGrades+'!$AF$12,"C-",IF(N141&lt;'PlayerGrades+'!$AF$11,"C",IF(N141&lt;'PlayerGrades+'!$AF$10,"C+",IF(N141&lt;'PlayerGrades+'!$AF$9,"B-",IF(N141&lt;'PlayerGrades+'!$AF$8,"B",IF(N141&lt;'PlayerGrades+'!$AF$7,"B+",IF(N141&lt;'PlayerGrades+'!$AF$6,"A-",IF(N141&lt;'PlayerGrades+'!$AF$5,"A",IF(N141&lt;'PlayerGrades+'!$AF$4,"A+",IF(N141&lt;'PlayerGrades+'!$AF$3,"S-",IF(N141&lt;'PlayerGrades+'!$AF$2,"S","S+"))))))))))))))))))))</f>
        <v>S+</v>
      </c>
      <c r="P141" s="937">
        <f t="shared" si="7"/>
        <v>0.06787330317</v>
      </c>
      <c r="Q141" s="937" t="str">
        <f>IF(P141&lt;'PlayerGrades+'!$AG$21,"F-",IF(P141&lt;'PlayerGrades+'!$AG$20,"F",IF(P141&lt;'PlayerGrades+'!$AG$19,"F+",IF(P141&lt;'PlayerGrades+'!$AG$18,"E-",IF(P141&lt;'PlayerGrades+'!$AG$17,"E",IF(P141&lt;'PlayerGrades+'!$AG$16,"E+",IF(P141&lt;'PlayerGrades+'!$AG$15,"D-",IF(P141&lt;'PlayerGrades+'!$AG$14,"D",IF(P141&lt;'PlayerGrades+'!$AG$13,"D+",IF(P141&lt;'PlayerGrades+'!$AG$12,"C-",IF(P141&lt;'PlayerGrades+'!$AG$11,"C",IF(P141&lt;'PlayerGrades+'!$AG$10,"C+",IF(P141&lt;'PlayerGrades+'!$AG$9,"B-",IF(P141&lt;'PlayerGrades+'!$AG$8,"B",IF(P141&lt;'PlayerGrades+'!$AG$7,"B+",IF(P141&lt;'PlayerGrades+'!$AG$6,"A-",IF(P141&lt;'PlayerGrades+'!$AG$5,"A",IF(P141&lt;'PlayerGrades+'!$AG$4,"A+",IF(P141&lt;'PlayerGrades+'!$AG$3,"S-",IF(P141&lt;'PlayerGrades+'!$AG$2,"S","S+"))))))))))))))))))))</f>
        <v>S-</v>
      </c>
      <c r="R141" s="937">
        <f t="shared" si="8"/>
        <v>0.5429864253</v>
      </c>
      <c r="S141" s="937" t="str">
        <f>IF(R141&lt;'PlayerGrades+'!$AH$21,"F-",IF(R141&lt;'PlayerGrades+'!$AH$20,"F",IF(R141&lt;'PlayerGrades+'!$AH$19,"F+",IF(R141&lt;'PlayerGrades+'!$AH$18,"E-",IF(R141&lt;'PlayerGrades+'!$AH$17,"E",IF(R141&lt;'PlayerGrades+'!$AH$16,"E+",IF(R141&lt;'PlayerGrades+'!$AH$15,"D-",IF(R141&lt;'PlayerGrades+'!$AH$14,"D",IF(R141&lt;'PlayerGrades+'!$AH$13,"D+",IF(R141&lt;'PlayerGrades+'!$AH$12,"C-",IF(R141&lt;'PlayerGrades+'!$AH$11,"C",IF(R141&lt;'PlayerGrades+'!$AH$10,"C+",IF(R141&lt;'PlayerGrades+'!$AH$9,"B-",IF(R141&lt;'PlayerGrades+'!$AH$8,"B",IF(R141&lt;'PlayerGrades+'!$AH$7,"B+",IF(R141&lt;'PlayerGrades+'!$AH$6,"A-",IF(R141&lt;'PlayerGrades+'!$AH$5,"A",IF(R141&lt;'PlayerGrades+'!$AH$4,"A+",IF(R141&lt;'PlayerGrades+'!$AH$3,"S-",IF(R141&lt;'PlayerGrades+'!$AH$2,"S","S+"))))))))))))))))))))</f>
        <v>C+</v>
      </c>
      <c r="T141" s="937">
        <f t="shared" si="9"/>
        <v>1.542986425</v>
      </c>
      <c r="U141" s="937" t="str">
        <f>IF(T141&lt;'PlayerGrades+'!$AI$21,"F-",IF(T141&lt;'PlayerGrades+'!$AI$20,"F",IF(T141&lt;'PlayerGrades+'!$AI$19,"F+",IF(T141&lt;'PlayerGrades+'!$AI$18,"E-",IF(T141&lt;'PlayerGrades+'!$AI$17,"E",IF(T141&lt;'PlayerGrades+'!$AI$16,"E+",IF(T141&lt;'PlayerGrades+'!$AI$15,"D-",IF(T141&lt;'PlayerGrades+'!$AI$14,"D",IF(T141&lt;'PlayerGrades+'!$AI$13,"D+",IF(T141&lt;'PlayerGrades+'!$AI$12,"C-",IF(T141&lt;'PlayerGrades+'!$AI$11,"C",IF(T141&lt;'PlayerGrades+'!$AI$10,"C+",IF(T141&lt;'PlayerGrades+'!$AI$9,"B-",IF(T141&lt;'PlayerGrades+'!$AI$8,"B",IF(T141&lt;'PlayerGrades+'!$AI$7,"B+",IF(T141&lt;'PlayerGrades+'!$AI$6,"A-",IF(T141&lt;'PlayerGrades+'!$AI$5,"A",IF(T141&lt;'PlayerGrades+'!$AI$4,"A+",IF(T141&lt;'PlayerGrades+'!$AI$3,"S-",IF(T141&lt;'PlayerGrades+'!$AI$2,"S","S+"))))))))))))))))))))</f>
        <v>A+</v>
      </c>
      <c r="V141" s="941">
        <v>1.0</v>
      </c>
      <c r="W141" s="941">
        <v>1.0</v>
      </c>
      <c r="X141" s="941">
        <v>0.0</v>
      </c>
      <c r="Y141" s="941">
        <v>0.0</v>
      </c>
      <c r="Z141" s="941">
        <v>0.0</v>
      </c>
      <c r="AA141" s="952">
        <v>57.0</v>
      </c>
      <c r="AB141" s="952">
        <v>57.0</v>
      </c>
      <c r="AC141" s="952">
        <v>0.0</v>
      </c>
      <c r="AD141" s="952">
        <v>4.0</v>
      </c>
      <c r="AE141" s="952">
        <v>5.0</v>
      </c>
      <c r="AF141" s="952">
        <v>1.0</v>
      </c>
      <c r="AG141" s="952">
        <v>639.0</v>
      </c>
      <c r="AH141" s="952">
        <v>884.0</v>
      </c>
      <c r="AI141" s="952">
        <v>11.0</v>
      </c>
      <c r="AJ141" s="952">
        <v>9.0</v>
      </c>
      <c r="AK141" s="952">
        <v>0.0</v>
      </c>
      <c r="AL141" s="952">
        <v>1.0</v>
      </c>
      <c r="AM141" s="952">
        <v>0.0</v>
      </c>
      <c r="AN141" s="952">
        <v>0.0</v>
      </c>
      <c r="AO141" s="952">
        <v>0.0</v>
      </c>
      <c r="AP141" s="952">
        <v>1.0</v>
      </c>
      <c r="AQ141" s="952">
        <v>0.0</v>
      </c>
      <c r="AR141" s="952">
        <v>10.0</v>
      </c>
      <c r="AS141" s="952">
        <v>4.0</v>
      </c>
      <c r="AT141" s="952">
        <v>1.0</v>
      </c>
      <c r="AU141" s="952">
        <v>0.0</v>
      </c>
      <c r="AV141" s="952">
        <v>0.0</v>
      </c>
      <c r="AW141" s="952">
        <v>0.0</v>
      </c>
      <c r="AX141" s="952">
        <v>0.0</v>
      </c>
      <c r="AY141" s="952">
        <v>0.0</v>
      </c>
      <c r="AZ141" s="952">
        <v>0.0</v>
      </c>
      <c r="BA141" s="952">
        <v>0.0</v>
      </c>
      <c r="BB141" s="952">
        <v>5.0</v>
      </c>
      <c r="BC141" s="952">
        <v>0.0</v>
      </c>
      <c r="BD141" s="952">
        <v>4.0</v>
      </c>
      <c r="BE141" s="952">
        <v>8.0</v>
      </c>
      <c r="BF141" s="952">
        <v>1.0</v>
      </c>
      <c r="BG141" s="952">
        <v>0.0</v>
      </c>
    </row>
    <row r="142">
      <c r="A142" s="965" t="s">
        <v>131</v>
      </c>
      <c r="B142" s="16" t="str">
        <f>IF(C142&lt;'PlayerGrades+'!$Y$44,"F-",IF(C142&lt;'PlayerGrades+'!$Y$43,"F",IF(C142&lt;'PlayerGrades+'!$Y$42,"F+",IF(C142&lt;'PlayerGrades+'!$Y$41,"E-",IF(C142&lt;'PlayerGrades+'!$Y$40,"E",IF(C142&lt;'PlayerGrades+'!$Y$39,"E+",IF(C142&lt;'PlayerGrades+'!$Y$38,"D-",IF(C142&lt;'PlayerGrades+'!$Y$37,"D",IF(C142&lt;'PlayerGrades+'!$Y$36,"D+",IF(C142&lt;'PlayerGrades+'!$Y$35,"C-",IF(C142&lt;'PlayerGrades+'!$Y$34,"C",IF(C142&lt;'PlayerGrades+'!$Y$33,"C+",IF(C142&lt;'PlayerGrades+'!$Y$32,"B-",IF(C142&lt;'PlayerGrades+'!$Y$31,"B",IF(C142&lt;'PlayerGrades+'!$Y$30,"B+",IF(C142&lt;'PlayerGrades+'!$Y$29,"A-",IF(C142&lt;'PlayerGrades+'!$Y$28,"A",IF(C142&lt;'PlayerGrades+'!$Y$27,"A+",IF(C142&lt;'PlayerGrades+'!$Y$26,"S-",IF(C142&lt;'PlayerGrades+'!$Y$25,"S","S+"))))))))))))))))))))</f>
        <v>E-</v>
      </c>
      <c r="C142" s="936">
        <f>('PlayerGrades+'!$Y$47*(VLOOKUP(E142, 'PlayerGrades+'!$X$3:$Y$23, 2, FALSE)))+('PlayerGrades+'!$Y$48*(VLOOKUP(G142, 'PlayerGrades+'!$X$3:$Y$23, 2, FALSE)))+('PlayerGrades+'!$Y$49*(VLOOKUP(I142, 'PlayerGrades+'!$X$3:$Y$23, 2, FALSE)))+('PlayerGrades+'!$Y$50*(VLOOKUP(K142, 'PlayerGrades+'!$X$3:$Y$23, 2, FALSE)))+('PlayerGrades+'!$Y$51*(VLOOKUP(M142, 'PlayerGrades+'!$X$3:$Y$23, 2, FALSE)))+('PlayerGrades+'!$Y$52*(VLOOKUP(O142, 'PlayerGrades+'!$X$3:$Y$23, 2, FALSE)))+('PlayerGrades+'!$Y$53*(VLOOKUP(Q142, 'PlayerGrades+'!$X$3:$Y$23, 2, FALSE)))+('PlayerGrades+'!$Y$54*(VLOOKUP(S142, 'PlayerGrades+'!$X$3:$Y$23, 2, FALSE)))+('PlayerGrades+'!$Y$55*(VLOOKUP(U142, 'PlayerGrades+'!$X$3:$Y$23, 2, FALSE)))</f>
        <v>11.75</v>
      </c>
      <c r="D142" s="937">
        <f t="shared" si="1"/>
        <v>0.06787330317</v>
      </c>
      <c r="E142" s="937" t="str">
        <f>IF(D142&lt;'PlayerGrades+'!$AA$21,"F-",IF(D142&lt;'PlayerGrades+'!$AA$20,"F",IF(D142&lt;'PlayerGrades+'!$AA$19,"F+",IF(D142&lt;'PlayerGrades+'!$AA$18,"E-",IF(D142&lt;'PlayerGrades+'!$AA$17,"E",IF(D142&lt;'PlayerGrades+'!$AA$16,"E+",IF(D142&lt;'PlayerGrades+'!$AA$15,"D-",IF(D142&lt;'PlayerGrades+'!$AA$14,"D",IF(D142&lt;'PlayerGrades+'!$AA$13,"D+",IF(D142&lt;'PlayerGrades+'!$AA$12,"C-",IF(D142&lt;'PlayerGrades+'!$AA$11,"C",IF(D142&lt;'PlayerGrades+'!$AA$10,"C+",IF(D142&lt;'PlayerGrades+'!$AA$9,"B-",IF(D142&lt;'PlayerGrades+'!$AA$8,"B",IF(D142&lt;'PlayerGrades+'!$AA$7,"B+",IF(D142&lt;'PlayerGrades+'!$AA$6,"A-",IF(D142&lt;'PlayerGrades+'!$AA$5,"A",IF(D142&lt;'PlayerGrades+'!$AA$4,"A+",IF(D142&lt;'PlayerGrades+'!$AA$3,"S-",IF(D142&lt;'PlayerGrades+'!$AA$2,"S","S+"))))))))))))))))))))</f>
        <v>B</v>
      </c>
      <c r="F142" s="937">
        <f t="shared" si="2"/>
        <v>-0.814479638</v>
      </c>
      <c r="G142" s="937" t="str">
        <f>IF(F142&lt;'PlayerGrades+'!$AB$21,"F-",IF(F142&lt;'PlayerGrades+'!$AB$20,"F",IF(F142&lt;'PlayerGrades+'!$AB$19,"F+",IF(F142&lt;'PlayerGrades+'!$AB$18,"E-",IF(F142&lt;'PlayerGrades+'!$AB$17,"E",IF(F142&lt;'PlayerGrades+'!$AB$16,"E+",IF(F142&lt;'PlayerGrades+'!$AB$15,"D-",IF(F142&lt;'PlayerGrades+'!$AB$14,"D",IF(F142&lt;'PlayerGrades+'!$AB$13,"D+",IF(F142&lt;'PlayerGrades+'!$AB$12,"C-",IF(F142&lt;'PlayerGrades+'!$AB$11,"C",IF(F142&lt;'PlayerGrades+'!$AB$10,"C+",IF(F142&lt;'PlayerGrades+'!$AB$9,"B-",IF(F142&lt;'PlayerGrades+'!$AB$8,"B",IF(F142&lt;'PlayerGrades+'!$AB$7,"B+",IF(F142&lt;'PlayerGrades+'!$AB$6,"A-",IF(F142&lt;'PlayerGrades+'!$AB$5,"A",IF(F142&lt;'PlayerGrades+'!$AB$4,"A+",IF(F142&lt;'PlayerGrades+'!$AB$3,"S-",IF(F142&lt;'PlayerGrades+'!$AB$2,"S","S+"))))))))))))))))))))</f>
        <v>E</v>
      </c>
      <c r="H142" s="937">
        <f t="shared" si="3"/>
        <v>0</v>
      </c>
      <c r="I142" s="937" t="str">
        <f>IF(H142&lt;'PlayerGrades+'!$AC$21,"F-",IF(H142&lt;'PlayerGrades+'!$AC$20,"F",IF(H142&lt;'PlayerGrades+'!$AC$19,"F+",IF(H142&lt;'PlayerGrades+'!$AC$18,"E-",IF(H142&lt;'PlayerGrades+'!$AC$17,"E",IF(H142&lt;'PlayerGrades+'!$AC$16,"E+",IF(H142&lt;'PlayerGrades+'!$AC$15,"D-",IF(H142&lt;'PlayerGrades+'!$AC$14,"D",IF(H142&lt;'PlayerGrades+'!$AC$13,"D+",IF(H142&lt;'PlayerGrades+'!$AC$12,"C-",IF(H142&lt;'PlayerGrades+'!$AC$11,"C",IF(H142&lt;'PlayerGrades+'!$AC$10,"C+",IF(H142&lt;'PlayerGrades+'!$AC$9,"B-",IF(H142&lt;'PlayerGrades+'!$AC$8,"B",IF(H142&lt;'PlayerGrades+'!$AC$7,"B+",IF(H142&lt;'PlayerGrades+'!$AC$6,"A-",IF(H142&lt;'PlayerGrades+'!$AC$5,"A",IF(H142&lt;'PlayerGrades+'!$AC$4,"A+",IF(H142&lt;'PlayerGrades+'!$AC$3,"S-",IF(H142&lt;'PlayerGrades+'!$AC$2,"S","S+"))))))))))))))))))))</f>
        <v>F-</v>
      </c>
      <c r="J142" s="937">
        <f t="shared" si="4"/>
        <v>0.06787330317</v>
      </c>
      <c r="K142" s="937" t="str">
        <f>IF(J142&lt;'PlayerGrades+'!$AD$21,"F-",IF(J142&lt;'PlayerGrades+'!$AD$20,"F",IF(J142&lt;'PlayerGrades+'!$AD$19,"F+",IF(J142&lt;'PlayerGrades+'!$AD$18,"E-",IF(J142&lt;'PlayerGrades+'!$AD$17,"E",IF(J142&lt;'PlayerGrades+'!$AD$16,"E+",IF(J142&lt;'PlayerGrades+'!$AD$15,"D-",IF(J142&lt;'PlayerGrades+'!$AD$14,"D",IF(J142&lt;'PlayerGrades+'!$AD$13,"D+",IF(J142&lt;'PlayerGrades+'!$AD$12,"C-",IF(J142&lt;'PlayerGrades+'!$AD$11,"C",IF(J142&lt;'PlayerGrades+'!$AD$10,"C+",IF(J142&lt;'PlayerGrades+'!$AD$9,"B-",IF(J142&lt;'PlayerGrades+'!$AD$8,"B",IF(J142&lt;'PlayerGrades+'!$AD$7,"B+",IF(J142&lt;'PlayerGrades+'!$AD$6,"A-",IF(J142&lt;'PlayerGrades+'!$AD$5,"A",IF(J142&lt;'PlayerGrades+'!$AD$4,"A+",IF(J142&lt;'PlayerGrades+'!$AD$3,"S-",IF(J142&lt;'PlayerGrades+'!$AD$2,"S","S+"))))))))))))))))))))</f>
        <v>A-</v>
      </c>
      <c r="L142" s="677">
        <f t="shared" si="5"/>
        <v>0.2036199095</v>
      </c>
      <c r="M142" s="938" t="str">
        <f>IF(L142&lt;'PlayerGrades+'!$AE$21,"F-",IF(L142&lt;'PlayerGrades+'!$AE$20,"F",IF(L142&lt;'PlayerGrades+'!$AE$19,"F+",IF(L142&lt;'PlayerGrades+'!$AE$18,"E-",IF(L142&lt;'PlayerGrades+'!$AE$17,"E",IF(L142&lt;'PlayerGrades+'!$AE$16,"E+",IF(L142&lt;'PlayerGrades+'!$AE$15,"D-",IF(L142&lt;'PlayerGrades+'!$AE$14,"D",IF(L142&lt;'PlayerGrades+'!$AE$13,"D+",IF(L142&lt;'PlayerGrades+'!$AE$12,"C-",IF(L142&lt;'PlayerGrades+'!$AE$11,"C",IF(L142&lt;'PlayerGrades+'!$AE$10,"C+",IF(L142&lt;'PlayerGrades+'!$AE$9,"B-",IF(L142&lt;'PlayerGrades+'!$AE$8,"B",IF(L142&lt;'PlayerGrades+'!$AE$7,"B+",IF(L142&lt;'PlayerGrades+'!$AE$6,"A-",IF(L142&lt;'PlayerGrades+'!$AE$5,"A",IF(L142&lt;'PlayerGrades+'!$AE$4,"A+",IF(L142&lt;'PlayerGrades+'!$AE$3,"S-",IF(L142&lt;'PlayerGrades+'!$AE$2,"S","S+"))))))))))))))))))))</f>
        <v>F</v>
      </c>
      <c r="N142" s="937">
        <f t="shared" si="6"/>
        <v>0</v>
      </c>
      <c r="O142" s="937" t="str">
        <f>IF(N142&lt;'PlayerGrades+'!$AF$21,"F-",IF(N142&lt;'PlayerGrades+'!$AF$20,"F",IF(N142&lt;'PlayerGrades+'!$AF$19,"F+",IF(N142&lt;'PlayerGrades+'!$AF$18,"E-",IF(N142&lt;'PlayerGrades+'!$AF$17,"E",IF(N142&lt;'PlayerGrades+'!$AF$16,"E+",IF(N142&lt;'PlayerGrades+'!$AF$15,"D-",IF(N142&lt;'PlayerGrades+'!$AF$14,"D",IF(N142&lt;'PlayerGrades+'!$AF$13,"D+",IF(N142&lt;'PlayerGrades+'!$AF$12,"C-",IF(N142&lt;'PlayerGrades+'!$AF$11,"C",IF(N142&lt;'PlayerGrades+'!$AF$10,"C+",IF(N142&lt;'PlayerGrades+'!$AF$9,"B-",IF(N142&lt;'PlayerGrades+'!$AF$8,"B",IF(N142&lt;'PlayerGrades+'!$AF$7,"B+",IF(N142&lt;'PlayerGrades+'!$AF$6,"A-",IF(N142&lt;'PlayerGrades+'!$AF$5,"A",IF(N142&lt;'PlayerGrades+'!$AF$4,"A+",IF(N142&lt;'PlayerGrades+'!$AF$3,"S-",IF(N142&lt;'PlayerGrades+'!$AF$2,"S","S+"))))))))))))))))))))</f>
        <v>F-</v>
      </c>
      <c r="P142" s="937">
        <f t="shared" si="7"/>
        <v>0.06787330317</v>
      </c>
      <c r="Q142" s="937" t="str">
        <f>IF(P142&lt;'PlayerGrades+'!$AG$21,"F-",IF(P142&lt;'PlayerGrades+'!$AG$20,"F",IF(P142&lt;'PlayerGrades+'!$AG$19,"F+",IF(P142&lt;'PlayerGrades+'!$AG$18,"E-",IF(P142&lt;'PlayerGrades+'!$AG$17,"E",IF(P142&lt;'PlayerGrades+'!$AG$16,"E+",IF(P142&lt;'PlayerGrades+'!$AG$15,"D-",IF(P142&lt;'PlayerGrades+'!$AG$14,"D",IF(P142&lt;'PlayerGrades+'!$AG$13,"D+",IF(P142&lt;'PlayerGrades+'!$AG$12,"C-",IF(P142&lt;'PlayerGrades+'!$AG$11,"C",IF(P142&lt;'PlayerGrades+'!$AG$10,"C+",IF(P142&lt;'PlayerGrades+'!$AG$9,"B-",IF(P142&lt;'PlayerGrades+'!$AG$8,"B",IF(P142&lt;'PlayerGrades+'!$AG$7,"B+",IF(P142&lt;'PlayerGrades+'!$AG$6,"A-",IF(P142&lt;'PlayerGrades+'!$AG$5,"A",IF(P142&lt;'PlayerGrades+'!$AG$4,"A+",IF(P142&lt;'PlayerGrades+'!$AG$3,"S-",IF(P142&lt;'PlayerGrades+'!$AG$2,"S","S+"))))))))))))))))))))</f>
        <v>S-</v>
      </c>
      <c r="R142" s="937">
        <f t="shared" si="8"/>
        <v>0.4751131222</v>
      </c>
      <c r="S142" s="937" t="str">
        <f>IF(R142&lt;'PlayerGrades+'!$AH$21,"F-",IF(R142&lt;'PlayerGrades+'!$AH$20,"F",IF(R142&lt;'PlayerGrades+'!$AH$19,"F+",IF(R142&lt;'PlayerGrades+'!$AH$18,"E-",IF(R142&lt;'PlayerGrades+'!$AH$17,"E",IF(R142&lt;'PlayerGrades+'!$AH$16,"E+",IF(R142&lt;'PlayerGrades+'!$AH$15,"D-",IF(R142&lt;'PlayerGrades+'!$AH$14,"D",IF(R142&lt;'PlayerGrades+'!$AH$13,"D+",IF(R142&lt;'PlayerGrades+'!$AH$12,"C-",IF(R142&lt;'PlayerGrades+'!$AH$11,"C",IF(R142&lt;'PlayerGrades+'!$AH$10,"C+",IF(R142&lt;'PlayerGrades+'!$AH$9,"B-",IF(R142&lt;'PlayerGrades+'!$AH$8,"B",IF(R142&lt;'PlayerGrades+'!$AH$7,"B+",IF(R142&lt;'PlayerGrades+'!$AH$6,"A-",IF(R142&lt;'PlayerGrades+'!$AH$5,"A",IF(R142&lt;'PlayerGrades+'!$AH$4,"A+",IF(R142&lt;'PlayerGrades+'!$AH$3,"S-",IF(R142&lt;'PlayerGrades+'!$AH$2,"S","S+"))))))))))))))))))))</f>
        <v>E+</v>
      </c>
      <c r="T142" s="937">
        <f t="shared" si="9"/>
        <v>0.2714932127</v>
      </c>
      <c r="U142" s="937" t="str">
        <f>IF(T142&lt;'PlayerGrades+'!$AI$21,"F-",IF(T142&lt;'PlayerGrades+'!$AI$20,"F",IF(T142&lt;'PlayerGrades+'!$AI$19,"F+",IF(T142&lt;'PlayerGrades+'!$AI$18,"E-",IF(T142&lt;'PlayerGrades+'!$AI$17,"E",IF(T142&lt;'PlayerGrades+'!$AI$16,"E+",IF(T142&lt;'PlayerGrades+'!$AI$15,"D-",IF(T142&lt;'PlayerGrades+'!$AI$14,"D",IF(T142&lt;'PlayerGrades+'!$AI$13,"D+",IF(T142&lt;'PlayerGrades+'!$AI$12,"C-",IF(T142&lt;'PlayerGrades+'!$AI$11,"C",IF(T142&lt;'PlayerGrades+'!$AI$10,"C+",IF(T142&lt;'PlayerGrades+'!$AI$9,"B-",IF(T142&lt;'PlayerGrades+'!$AI$8,"B",IF(T142&lt;'PlayerGrades+'!$AI$7,"B+",IF(T142&lt;'PlayerGrades+'!$AI$6,"A-",IF(T142&lt;'PlayerGrades+'!$AI$5,"A",IF(T142&lt;'PlayerGrades+'!$AI$4,"A+",IF(T142&lt;'PlayerGrades+'!$AI$3,"S-",IF(T142&lt;'PlayerGrades+'!$AI$2,"S","S+"))))))))))))))))))))</f>
        <v>F-</v>
      </c>
      <c r="V142" s="941">
        <v>1.0</v>
      </c>
      <c r="W142" s="941">
        <v>0.0</v>
      </c>
      <c r="X142" s="941">
        <v>1.0</v>
      </c>
      <c r="Y142" s="941">
        <v>0.0</v>
      </c>
      <c r="Z142" s="941">
        <v>1.0</v>
      </c>
      <c r="AA142" s="952">
        <v>42.0</v>
      </c>
      <c r="AB142" s="952">
        <v>54.0</v>
      </c>
      <c r="AC142" s="952">
        <v>-12.0</v>
      </c>
      <c r="AD142" s="952">
        <v>6.0</v>
      </c>
      <c r="AE142" s="952">
        <v>6.0</v>
      </c>
      <c r="AF142" s="952">
        <v>2.0</v>
      </c>
      <c r="AG142" s="952">
        <v>659.0</v>
      </c>
      <c r="AH142" s="952">
        <v>884.0</v>
      </c>
      <c r="AI142" s="952">
        <v>12.0</v>
      </c>
      <c r="AJ142" s="952">
        <v>7.0</v>
      </c>
      <c r="AK142" s="952">
        <v>0.0</v>
      </c>
      <c r="AL142" s="952">
        <v>1.0</v>
      </c>
      <c r="AM142" s="952">
        <v>0.0</v>
      </c>
      <c r="AN142" s="952">
        <v>0.0</v>
      </c>
      <c r="AO142" s="952">
        <v>0.0</v>
      </c>
      <c r="AP142" s="952">
        <v>1.0</v>
      </c>
      <c r="AQ142" s="952">
        <v>0.0</v>
      </c>
      <c r="AR142" s="952">
        <v>3.0</v>
      </c>
      <c r="AS142" s="952">
        <v>0.0</v>
      </c>
      <c r="AT142" s="952">
        <v>0.0</v>
      </c>
      <c r="AU142" s="952">
        <v>0.0</v>
      </c>
      <c r="AV142" s="952">
        <v>0.0</v>
      </c>
      <c r="AW142" s="952">
        <v>0.0</v>
      </c>
      <c r="AX142" s="952">
        <v>0.0</v>
      </c>
      <c r="AY142" s="952">
        <v>0.0</v>
      </c>
      <c r="AZ142" s="952">
        <v>0.0</v>
      </c>
      <c r="BA142" s="952">
        <v>0.0</v>
      </c>
      <c r="BB142" s="952">
        <v>0.0</v>
      </c>
      <c r="BC142" s="952">
        <v>0.0</v>
      </c>
      <c r="BD142" s="952">
        <v>1.0</v>
      </c>
      <c r="BE142" s="952">
        <v>4.0</v>
      </c>
      <c r="BF142" s="952">
        <v>0.0</v>
      </c>
      <c r="BG142" s="952">
        <v>1.0</v>
      </c>
    </row>
    <row r="143">
      <c r="A143" s="965" t="s">
        <v>142</v>
      </c>
      <c r="B143" s="16" t="str">
        <f>IF(C143&lt;'PlayerGrades+'!$Y$44,"F-",IF(C143&lt;'PlayerGrades+'!$Y$43,"F",IF(C143&lt;'PlayerGrades+'!$Y$42,"F+",IF(C143&lt;'PlayerGrades+'!$Y$41,"E-",IF(C143&lt;'PlayerGrades+'!$Y$40,"E",IF(C143&lt;'PlayerGrades+'!$Y$39,"E+",IF(C143&lt;'PlayerGrades+'!$Y$38,"D-",IF(C143&lt;'PlayerGrades+'!$Y$37,"D",IF(C143&lt;'PlayerGrades+'!$Y$36,"D+",IF(C143&lt;'PlayerGrades+'!$Y$35,"C-",IF(C143&lt;'PlayerGrades+'!$Y$34,"C",IF(C143&lt;'PlayerGrades+'!$Y$33,"C+",IF(C143&lt;'PlayerGrades+'!$Y$32,"B-",IF(C143&lt;'PlayerGrades+'!$Y$31,"B",IF(C143&lt;'PlayerGrades+'!$Y$30,"B+",IF(C143&lt;'PlayerGrades+'!$Y$29,"A-",IF(C143&lt;'PlayerGrades+'!$Y$28,"A",IF(C143&lt;'PlayerGrades+'!$Y$27,"A+",IF(C143&lt;'PlayerGrades+'!$Y$26,"S-",IF(C143&lt;'PlayerGrades+'!$Y$25,"S","S+"))))))))))))))))))))</f>
        <v>F-</v>
      </c>
      <c r="C143" s="936">
        <f>('PlayerGrades+'!$Y$47*(VLOOKUP(E143, 'PlayerGrades+'!$X$3:$Y$23, 2, FALSE)))+('PlayerGrades+'!$Y$48*(VLOOKUP(G143, 'PlayerGrades+'!$X$3:$Y$23, 2, FALSE)))+('PlayerGrades+'!$Y$49*(VLOOKUP(I143, 'PlayerGrades+'!$X$3:$Y$23, 2, FALSE)))+('PlayerGrades+'!$Y$50*(VLOOKUP(K143, 'PlayerGrades+'!$X$3:$Y$23, 2, FALSE)))+('PlayerGrades+'!$Y$51*(VLOOKUP(M143, 'PlayerGrades+'!$X$3:$Y$23, 2, FALSE)))+('PlayerGrades+'!$Y$52*(VLOOKUP(O143, 'PlayerGrades+'!$X$3:$Y$23, 2, FALSE)))+('PlayerGrades+'!$Y$53*(VLOOKUP(Q143, 'PlayerGrades+'!$X$3:$Y$23, 2, FALSE)))+('PlayerGrades+'!$Y$54*(VLOOKUP(S143, 'PlayerGrades+'!$X$3:$Y$23, 2, FALSE)))+('PlayerGrades+'!$Y$55*(VLOOKUP(U143, 'PlayerGrades+'!$X$3:$Y$23, 2, FALSE)))</f>
        <v>7.8</v>
      </c>
      <c r="D143" s="937">
        <f t="shared" si="1"/>
        <v>0</v>
      </c>
      <c r="E143" s="937" t="str">
        <f>IF(D143&lt;'PlayerGrades+'!$AA$21,"F-",IF(D143&lt;'PlayerGrades+'!$AA$20,"F",IF(D143&lt;'PlayerGrades+'!$AA$19,"F+",IF(D143&lt;'PlayerGrades+'!$AA$18,"E-",IF(D143&lt;'PlayerGrades+'!$AA$17,"E",IF(D143&lt;'PlayerGrades+'!$AA$16,"E+",IF(D143&lt;'PlayerGrades+'!$AA$15,"D-",IF(D143&lt;'PlayerGrades+'!$AA$14,"D",IF(D143&lt;'PlayerGrades+'!$AA$13,"D+",IF(D143&lt;'PlayerGrades+'!$AA$12,"C-",IF(D143&lt;'PlayerGrades+'!$AA$11,"C",IF(D143&lt;'PlayerGrades+'!$AA$10,"C+",IF(D143&lt;'PlayerGrades+'!$AA$9,"B-",IF(D143&lt;'PlayerGrades+'!$AA$8,"B",IF(D143&lt;'PlayerGrades+'!$AA$7,"B+",IF(D143&lt;'PlayerGrades+'!$AA$6,"A-",IF(D143&lt;'PlayerGrades+'!$AA$5,"A",IF(D143&lt;'PlayerGrades+'!$AA$4,"A+",IF(D143&lt;'PlayerGrades+'!$AA$3,"S-",IF(D143&lt;'PlayerGrades+'!$AA$2,"S","S+"))))))))))))))))))))</f>
        <v>F-</v>
      </c>
      <c r="F143" s="937">
        <f t="shared" si="2"/>
        <v>-0.3393665158</v>
      </c>
      <c r="G143" s="937" t="str">
        <f>IF(F143&lt;'PlayerGrades+'!$AB$21,"F-",IF(F143&lt;'PlayerGrades+'!$AB$20,"F",IF(F143&lt;'PlayerGrades+'!$AB$19,"F+",IF(F143&lt;'PlayerGrades+'!$AB$18,"E-",IF(F143&lt;'PlayerGrades+'!$AB$17,"E",IF(F143&lt;'PlayerGrades+'!$AB$16,"E+",IF(F143&lt;'PlayerGrades+'!$AB$15,"D-",IF(F143&lt;'PlayerGrades+'!$AB$14,"D",IF(F143&lt;'PlayerGrades+'!$AB$13,"D+",IF(F143&lt;'PlayerGrades+'!$AB$12,"C-",IF(F143&lt;'PlayerGrades+'!$AB$11,"C",IF(F143&lt;'PlayerGrades+'!$AB$10,"C+",IF(F143&lt;'PlayerGrades+'!$AB$9,"B-",IF(F143&lt;'PlayerGrades+'!$AB$8,"B",IF(F143&lt;'PlayerGrades+'!$AB$7,"B+",IF(F143&lt;'PlayerGrades+'!$AB$6,"A-",IF(F143&lt;'PlayerGrades+'!$AB$5,"A",IF(F143&lt;'PlayerGrades+'!$AB$4,"A+",IF(F143&lt;'PlayerGrades+'!$AB$3,"S-",IF(F143&lt;'PlayerGrades+'!$AB$2,"S","S+"))))))))))))))))))))</f>
        <v>C-</v>
      </c>
      <c r="H143" s="937">
        <f t="shared" si="3"/>
        <v>0.06787330317</v>
      </c>
      <c r="I143" s="937" t="str">
        <f>IF(H143&lt;'PlayerGrades+'!$AC$21,"F-",IF(H143&lt;'PlayerGrades+'!$AC$20,"F",IF(H143&lt;'PlayerGrades+'!$AC$19,"F+",IF(H143&lt;'PlayerGrades+'!$AC$18,"E-",IF(H143&lt;'PlayerGrades+'!$AC$17,"E",IF(H143&lt;'PlayerGrades+'!$AC$16,"E+",IF(H143&lt;'PlayerGrades+'!$AC$15,"D-",IF(H143&lt;'PlayerGrades+'!$AC$14,"D",IF(H143&lt;'PlayerGrades+'!$AC$13,"D+",IF(H143&lt;'PlayerGrades+'!$AC$12,"C-",IF(H143&lt;'PlayerGrades+'!$AC$11,"C",IF(H143&lt;'PlayerGrades+'!$AC$10,"C+",IF(H143&lt;'PlayerGrades+'!$AC$9,"B-",IF(H143&lt;'PlayerGrades+'!$AC$8,"B",IF(H143&lt;'PlayerGrades+'!$AC$7,"B+",IF(H143&lt;'PlayerGrades+'!$AC$6,"A-",IF(H143&lt;'PlayerGrades+'!$AC$5,"A",IF(H143&lt;'PlayerGrades+'!$AC$4,"A+",IF(H143&lt;'PlayerGrades+'!$AC$3,"S-",IF(H143&lt;'PlayerGrades+'!$AC$2,"S","S+"))))))))))))))))))))</f>
        <v>E</v>
      </c>
      <c r="J143" s="937">
        <f t="shared" si="4"/>
        <v>0</v>
      </c>
      <c r="K143" s="937" t="str">
        <f>IF(J143&lt;'PlayerGrades+'!$AD$21,"F-",IF(J143&lt;'PlayerGrades+'!$AD$20,"F",IF(J143&lt;'PlayerGrades+'!$AD$19,"F+",IF(J143&lt;'PlayerGrades+'!$AD$18,"E-",IF(J143&lt;'PlayerGrades+'!$AD$17,"E",IF(J143&lt;'PlayerGrades+'!$AD$16,"E+",IF(J143&lt;'PlayerGrades+'!$AD$15,"D-",IF(J143&lt;'PlayerGrades+'!$AD$14,"D",IF(J143&lt;'PlayerGrades+'!$AD$13,"D+",IF(J143&lt;'PlayerGrades+'!$AD$12,"C-",IF(J143&lt;'PlayerGrades+'!$AD$11,"C",IF(J143&lt;'PlayerGrades+'!$AD$10,"C+",IF(J143&lt;'PlayerGrades+'!$AD$9,"B-",IF(J143&lt;'PlayerGrades+'!$AD$8,"B",IF(J143&lt;'PlayerGrades+'!$AD$7,"B+",IF(J143&lt;'PlayerGrades+'!$AD$6,"A-",IF(J143&lt;'PlayerGrades+'!$AD$5,"A",IF(J143&lt;'PlayerGrades+'!$AD$4,"A+",IF(J143&lt;'PlayerGrades+'!$AD$3,"S-",IF(J143&lt;'PlayerGrades+'!$AD$2,"S","S+"))))))))))))))))))))</f>
        <v>F-</v>
      </c>
      <c r="L143" s="677">
        <f t="shared" si="5"/>
        <v>0.1357466063</v>
      </c>
      <c r="M143" s="938" t="str">
        <f>IF(L143&lt;'PlayerGrades+'!$AE$21,"F-",IF(L143&lt;'PlayerGrades+'!$AE$20,"F",IF(L143&lt;'PlayerGrades+'!$AE$19,"F+",IF(L143&lt;'PlayerGrades+'!$AE$18,"E-",IF(L143&lt;'PlayerGrades+'!$AE$17,"E",IF(L143&lt;'PlayerGrades+'!$AE$16,"E+",IF(L143&lt;'PlayerGrades+'!$AE$15,"D-",IF(L143&lt;'PlayerGrades+'!$AE$14,"D",IF(L143&lt;'PlayerGrades+'!$AE$13,"D+",IF(L143&lt;'PlayerGrades+'!$AE$12,"C-",IF(L143&lt;'PlayerGrades+'!$AE$11,"C",IF(L143&lt;'PlayerGrades+'!$AE$10,"C+",IF(L143&lt;'PlayerGrades+'!$AE$9,"B-",IF(L143&lt;'PlayerGrades+'!$AE$8,"B",IF(L143&lt;'PlayerGrades+'!$AE$7,"B+",IF(L143&lt;'PlayerGrades+'!$AE$6,"A-",IF(L143&lt;'PlayerGrades+'!$AE$5,"A",IF(L143&lt;'PlayerGrades+'!$AE$4,"A+",IF(L143&lt;'PlayerGrades+'!$AE$3,"S-",IF(L143&lt;'PlayerGrades+'!$AE$2,"S","S+"))))))))))))))))))))</f>
        <v>F-</v>
      </c>
      <c r="N143" s="937">
        <f t="shared" si="6"/>
        <v>0</v>
      </c>
      <c r="O143" s="937" t="str">
        <f>IF(N143&lt;'PlayerGrades+'!$AF$21,"F-",IF(N143&lt;'PlayerGrades+'!$AF$20,"F",IF(N143&lt;'PlayerGrades+'!$AF$19,"F+",IF(N143&lt;'PlayerGrades+'!$AF$18,"E-",IF(N143&lt;'PlayerGrades+'!$AF$17,"E",IF(N143&lt;'PlayerGrades+'!$AF$16,"E+",IF(N143&lt;'PlayerGrades+'!$AF$15,"D-",IF(N143&lt;'PlayerGrades+'!$AF$14,"D",IF(N143&lt;'PlayerGrades+'!$AF$13,"D+",IF(N143&lt;'PlayerGrades+'!$AF$12,"C-",IF(N143&lt;'PlayerGrades+'!$AF$11,"C",IF(N143&lt;'PlayerGrades+'!$AF$10,"C+",IF(N143&lt;'PlayerGrades+'!$AF$9,"B-",IF(N143&lt;'PlayerGrades+'!$AF$8,"B",IF(N143&lt;'PlayerGrades+'!$AF$7,"B+",IF(N143&lt;'PlayerGrades+'!$AF$6,"A-",IF(N143&lt;'PlayerGrades+'!$AF$5,"A",IF(N143&lt;'PlayerGrades+'!$AF$4,"A+",IF(N143&lt;'PlayerGrades+'!$AF$3,"S-",IF(N143&lt;'PlayerGrades+'!$AF$2,"S","S+"))))))))))))))))))))</f>
        <v>F-</v>
      </c>
      <c r="P143" s="937">
        <f t="shared" si="7"/>
        <v>0</v>
      </c>
      <c r="Q143" s="937" t="str">
        <f>IF(P143&lt;'PlayerGrades+'!$AG$21,"F-",IF(P143&lt;'PlayerGrades+'!$AG$20,"F",IF(P143&lt;'PlayerGrades+'!$AG$19,"F+",IF(P143&lt;'PlayerGrades+'!$AG$18,"E-",IF(P143&lt;'PlayerGrades+'!$AG$17,"E",IF(P143&lt;'PlayerGrades+'!$AG$16,"E+",IF(P143&lt;'PlayerGrades+'!$AG$15,"D-",IF(P143&lt;'PlayerGrades+'!$AG$14,"D",IF(P143&lt;'PlayerGrades+'!$AG$13,"D+",IF(P143&lt;'PlayerGrades+'!$AG$12,"C-",IF(P143&lt;'PlayerGrades+'!$AG$11,"C",IF(P143&lt;'PlayerGrades+'!$AG$10,"C+",IF(P143&lt;'PlayerGrades+'!$AG$9,"B-",IF(P143&lt;'PlayerGrades+'!$AG$8,"B",IF(P143&lt;'PlayerGrades+'!$AG$7,"B+",IF(P143&lt;'PlayerGrades+'!$AG$6,"A-",IF(P143&lt;'PlayerGrades+'!$AG$5,"A",IF(P143&lt;'PlayerGrades+'!$AG$4,"A+",IF(P143&lt;'PlayerGrades+'!$AG$3,"S-",IF(P143&lt;'PlayerGrades+'!$AG$2,"S","S+"))))))))))))))))))))</f>
        <v>F</v>
      </c>
      <c r="R143" s="937">
        <f t="shared" si="8"/>
        <v>0.4751131222</v>
      </c>
      <c r="S143" s="937" t="str">
        <f>IF(R143&lt;'PlayerGrades+'!$AH$21,"F-",IF(R143&lt;'PlayerGrades+'!$AH$20,"F",IF(R143&lt;'PlayerGrades+'!$AH$19,"F+",IF(R143&lt;'PlayerGrades+'!$AH$18,"E-",IF(R143&lt;'PlayerGrades+'!$AH$17,"E",IF(R143&lt;'PlayerGrades+'!$AH$16,"E+",IF(R143&lt;'PlayerGrades+'!$AH$15,"D-",IF(R143&lt;'PlayerGrades+'!$AH$14,"D",IF(R143&lt;'PlayerGrades+'!$AH$13,"D+",IF(R143&lt;'PlayerGrades+'!$AH$12,"C-",IF(R143&lt;'PlayerGrades+'!$AH$11,"C",IF(R143&lt;'PlayerGrades+'!$AH$10,"C+",IF(R143&lt;'PlayerGrades+'!$AH$9,"B-",IF(R143&lt;'PlayerGrades+'!$AH$8,"B",IF(R143&lt;'PlayerGrades+'!$AH$7,"B+",IF(R143&lt;'PlayerGrades+'!$AH$6,"A-",IF(R143&lt;'PlayerGrades+'!$AH$5,"A",IF(R143&lt;'PlayerGrades+'!$AH$4,"A+",IF(R143&lt;'PlayerGrades+'!$AH$3,"S-",IF(R143&lt;'PlayerGrades+'!$AH$2,"S","S+"))))))))))))))))))))</f>
        <v>E+</v>
      </c>
      <c r="T143" s="937">
        <f t="shared" si="9"/>
        <v>0.3393665158</v>
      </c>
      <c r="U143" s="937" t="str">
        <f>IF(T143&lt;'PlayerGrades+'!$AI$21,"F-",IF(T143&lt;'PlayerGrades+'!$AI$20,"F",IF(T143&lt;'PlayerGrades+'!$AI$19,"F+",IF(T143&lt;'PlayerGrades+'!$AI$18,"E-",IF(T143&lt;'PlayerGrades+'!$AI$17,"E",IF(T143&lt;'PlayerGrades+'!$AI$16,"E+",IF(T143&lt;'PlayerGrades+'!$AI$15,"D-",IF(T143&lt;'PlayerGrades+'!$AI$14,"D",IF(T143&lt;'PlayerGrades+'!$AI$13,"D+",IF(T143&lt;'PlayerGrades+'!$AI$12,"C-",IF(T143&lt;'PlayerGrades+'!$AI$11,"C",IF(T143&lt;'PlayerGrades+'!$AI$10,"C+",IF(T143&lt;'PlayerGrades+'!$AI$9,"B-",IF(T143&lt;'PlayerGrades+'!$AI$8,"B",IF(T143&lt;'PlayerGrades+'!$AI$7,"B+",IF(T143&lt;'PlayerGrades+'!$AI$6,"A-",IF(T143&lt;'PlayerGrades+'!$AI$5,"A",IF(T143&lt;'PlayerGrades+'!$AI$4,"A+",IF(T143&lt;'PlayerGrades+'!$AI$3,"S-",IF(T143&lt;'PlayerGrades+'!$AI$2,"S","S+"))))))))))))))))))))</f>
        <v>F-</v>
      </c>
      <c r="V143" s="941">
        <v>1.0</v>
      </c>
      <c r="W143" s="941">
        <v>0.0</v>
      </c>
      <c r="X143" s="941">
        <v>1.0</v>
      </c>
      <c r="Y143" s="941">
        <v>0.0</v>
      </c>
      <c r="Z143" s="941">
        <v>0.0</v>
      </c>
      <c r="AA143" s="952">
        <v>34.0</v>
      </c>
      <c r="AB143" s="952">
        <v>39.0</v>
      </c>
      <c r="AC143" s="952">
        <v>-5.0</v>
      </c>
      <c r="AD143" s="952">
        <v>3.0</v>
      </c>
      <c r="AE143" s="952">
        <v>3.0</v>
      </c>
      <c r="AF143" s="952">
        <v>0.0</v>
      </c>
      <c r="AG143" s="952">
        <v>703.0</v>
      </c>
      <c r="AH143" s="952">
        <v>884.0</v>
      </c>
      <c r="AI143" s="952">
        <v>18.0</v>
      </c>
      <c r="AJ143" s="952">
        <v>3.0</v>
      </c>
      <c r="AK143" s="952">
        <v>0.0</v>
      </c>
      <c r="AL143" s="952">
        <v>0.0</v>
      </c>
      <c r="AM143" s="952">
        <v>0.0</v>
      </c>
      <c r="AN143" s="952">
        <v>0.0</v>
      </c>
      <c r="AO143" s="952">
        <v>0.0</v>
      </c>
      <c r="AP143" s="952">
        <v>0.0</v>
      </c>
      <c r="AQ143" s="952">
        <v>0.0</v>
      </c>
      <c r="AR143" s="952">
        <v>2.0</v>
      </c>
      <c r="AS143" s="952">
        <v>0.0</v>
      </c>
      <c r="AT143" s="952">
        <v>0.0</v>
      </c>
      <c r="AU143" s="952">
        <v>0.0</v>
      </c>
      <c r="AV143" s="952">
        <v>0.0</v>
      </c>
      <c r="AW143" s="952">
        <v>0.0</v>
      </c>
      <c r="AX143" s="952">
        <v>0.0</v>
      </c>
      <c r="AY143" s="952">
        <v>0.0</v>
      </c>
      <c r="AZ143" s="952">
        <v>0.0</v>
      </c>
      <c r="BA143" s="952">
        <v>0.0</v>
      </c>
      <c r="BB143" s="952">
        <v>1.0</v>
      </c>
      <c r="BC143" s="952">
        <v>0.0</v>
      </c>
      <c r="BD143" s="952">
        <v>4.0</v>
      </c>
      <c r="BE143" s="952">
        <v>5.0</v>
      </c>
      <c r="BF143" s="952">
        <v>0.0</v>
      </c>
      <c r="BG143" s="952">
        <v>1.0</v>
      </c>
    </row>
    <row r="144">
      <c r="A144" s="965" t="s">
        <v>153</v>
      </c>
      <c r="B144" s="16" t="str">
        <f>IF(C144&lt;'PlayerGrades+'!$Y$44,"F-",IF(C144&lt;'PlayerGrades+'!$Y$43,"F",IF(C144&lt;'PlayerGrades+'!$Y$42,"F+",IF(C144&lt;'PlayerGrades+'!$Y$41,"E-",IF(C144&lt;'PlayerGrades+'!$Y$40,"E",IF(C144&lt;'PlayerGrades+'!$Y$39,"E+",IF(C144&lt;'PlayerGrades+'!$Y$38,"D-",IF(C144&lt;'PlayerGrades+'!$Y$37,"D",IF(C144&lt;'PlayerGrades+'!$Y$36,"D+",IF(C144&lt;'PlayerGrades+'!$Y$35,"C-",IF(C144&lt;'PlayerGrades+'!$Y$34,"C",IF(C144&lt;'PlayerGrades+'!$Y$33,"C+",IF(C144&lt;'PlayerGrades+'!$Y$32,"B-",IF(C144&lt;'PlayerGrades+'!$Y$31,"B",IF(C144&lt;'PlayerGrades+'!$Y$30,"B+",IF(C144&lt;'PlayerGrades+'!$Y$29,"A-",IF(C144&lt;'PlayerGrades+'!$Y$28,"A",IF(C144&lt;'PlayerGrades+'!$Y$27,"A+",IF(C144&lt;'PlayerGrades+'!$Y$26,"S-",IF(C144&lt;'PlayerGrades+'!$Y$25,"S","S+"))))))))))))))))))))</f>
        <v>E-</v>
      </c>
      <c r="C144" s="936">
        <f>('PlayerGrades+'!$Y$47*(VLOOKUP(E144, 'PlayerGrades+'!$X$3:$Y$23, 2, FALSE)))+('PlayerGrades+'!$Y$48*(VLOOKUP(G144, 'PlayerGrades+'!$X$3:$Y$23, 2, FALSE)))+('PlayerGrades+'!$Y$49*(VLOOKUP(I144, 'PlayerGrades+'!$X$3:$Y$23, 2, FALSE)))+('PlayerGrades+'!$Y$50*(VLOOKUP(K144, 'PlayerGrades+'!$X$3:$Y$23, 2, FALSE)))+('PlayerGrades+'!$Y$51*(VLOOKUP(M144, 'PlayerGrades+'!$X$3:$Y$23, 2, FALSE)))+('PlayerGrades+'!$Y$52*(VLOOKUP(O144, 'PlayerGrades+'!$X$3:$Y$23, 2, FALSE)))+('PlayerGrades+'!$Y$53*(VLOOKUP(Q144, 'PlayerGrades+'!$X$3:$Y$23, 2, FALSE)))+('PlayerGrades+'!$Y$54*(VLOOKUP(S144, 'PlayerGrades+'!$X$3:$Y$23, 2, FALSE)))+('PlayerGrades+'!$Y$55*(VLOOKUP(U144, 'PlayerGrades+'!$X$3:$Y$23, 2, FALSE)))</f>
        <v>11.6</v>
      </c>
      <c r="D144" s="937">
        <f t="shared" si="1"/>
        <v>0.1357466063</v>
      </c>
      <c r="E144" s="937" t="str">
        <f>IF(D144&lt;'PlayerGrades+'!$AA$21,"F-",IF(D144&lt;'PlayerGrades+'!$AA$20,"F",IF(D144&lt;'PlayerGrades+'!$AA$19,"F+",IF(D144&lt;'PlayerGrades+'!$AA$18,"E-",IF(D144&lt;'PlayerGrades+'!$AA$17,"E",IF(D144&lt;'PlayerGrades+'!$AA$16,"E+",IF(D144&lt;'PlayerGrades+'!$AA$15,"D-",IF(D144&lt;'PlayerGrades+'!$AA$14,"D",IF(D144&lt;'PlayerGrades+'!$AA$13,"D+",IF(D144&lt;'PlayerGrades+'!$AA$12,"C-",IF(D144&lt;'PlayerGrades+'!$AA$11,"C",IF(D144&lt;'PlayerGrades+'!$AA$10,"C+",IF(D144&lt;'PlayerGrades+'!$AA$9,"B-",IF(D144&lt;'PlayerGrades+'!$AA$8,"B",IF(D144&lt;'PlayerGrades+'!$AA$7,"B+",IF(D144&lt;'PlayerGrades+'!$AA$6,"A-",IF(D144&lt;'PlayerGrades+'!$AA$5,"A",IF(D144&lt;'PlayerGrades+'!$AA$4,"A+",IF(D144&lt;'PlayerGrades+'!$AA$3,"S-",IF(D144&lt;'PlayerGrades+'!$AA$2,"S","S+"))))))))))))))))))))</f>
        <v>B+</v>
      </c>
      <c r="F144" s="937">
        <f t="shared" si="2"/>
        <v>-1.832579186</v>
      </c>
      <c r="G144" s="937" t="str">
        <f>IF(F144&lt;'PlayerGrades+'!$AB$21,"F-",IF(F144&lt;'PlayerGrades+'!$AB$20,"F",IF(F144&lt;'PlayerGrades+'!$AB$19,"F+",IF(F144&lt;'PlayerGrades+'!$AB$18,"E-",IF(F144&lt;'PlayerGrades+'!$AB$17,"E",IF(F144&lt;'PlayerGrades+'!$AB$16,"E+",IF(F144&lt;'PlayerGrades+'!$AB$15,"D-",IF(F144&lt;'PlayerGrades+'!$AB$14,"D",IF(F144&lt;'PlayerGrades+'!$AB$13,"D+",IF(F144&lt;'PlayerGrades+'!$AB$12,"C-",IF(F144&lt;'PlayerGrades+'!$AB$11,"C",IF(F144&lt;'PlayerGrades+'!$AB$10,"C+",IF(F144&lt;'PlayerGrades+'!$AB$9,"B-",IF(F144&lt;'PlayerGrades+'!$AB$8,"B",IF(F144&lt;'PlayerGrades+'!$AB$7,"B+",IF(F144&lt;'PlayerGrades+'!$AB$6,"A-",IF(F144&lt;'PlayerGrades+'!$AB$5,"A",IF(F144&lt;'PlayerGrades+'!$AB$4,"A+",IF(F144&lt;'PlayerGrades+'!$AB$3,"S-",IF(F144&lt;'PlayerGrades+'!$AB$2,"S","S+"))))))))))))))))))))</f>
        <v>F-</v>
      </c>
      <c r="H144" s="937">
        <f t="shared" si="3"/>
        <v>0.06787330317</v>
      </c>
      <c r="I144" s="937" t="str">
        <f>IF(H144&lt;'PlayerGrades+'!$AC$21,"F-",IF(H144&lt;'PlayerGrades+'!$AC$20,"F",IF(H144&lt;'PlayerGrades+'!$AC$19,"F+",IF(H144&lt;'PlayerGrades+'!$AC$18,"E-",IF(H144&lt;'PlayerGrades+'!$AC$17,"E",IF(H144&lt;'PlayerGrades+'!$AC$16,"E+",IF(H144&lt;'PlayerGrades+'!$AC$15,"D-",IF(H144&lt;'PlayerGrades+'!$AC$14,"D",IF(H144&lt;'PlayerGrades+'!$AC$13,"D+",IF(H144&lt;'PlayerGrades+'!$AC$12,"C-",IF(H144&lt;'PlayerGrades+'!$AC$11,"C",IF(H144&lt;'PlayerGrades+'!$AC$10,"C+",IF(H144&lt;'PlayerGrades+'!$AC$9,"B-",IF(H144&lt;'PlayerGrades+'!$AC$8,"B",IF(H144&lt;'PlayerGrades+'!$AC$7,"B+",IF(H144&lt;'PlayerGrades+'!$AC$6,"A-",IF(H144&lt;'PlayerGrades+'!$AC$5,"A",IF(H144&lt;'PlayerGrades+'!$AC$4,"A+",IF(H144&lt;'PlayerGrades+'!$AC$3,"S-",IF(H144&lt;'PlayerGrades+'!$AC$2,"S","S+"))))))))))))))))))))</f>
        <v>E</v>
      </c>
      <c r="J144" s="937">
        <f t="shared" si="4"/>
        <v>0</v>
      </c>
      <c r="K144" s="937" t="str">
        <f>IF(J144&lt;'PlayerGrades+'!$AD$21,"F-",IF(J144&lt;'PlayerGrades+'!$AD$20,"F",IF(J144&lt;'PlayerGrades+'!$AD$19,"F+",IF(J144&lt;'PlayerGrades+'!$AD$18,"E-",IF(J144&lt;'PlayerGrades+'!$AD$17,"E",IF(J144&lt;'PlayerGrades+'!$AD$16,"E+",IF(J144&lt;'PlayerGrades+'!$AD$15,"D-",IF(J144&lt;'PlayerGrades+'!$AD$14,"D",IF(J144&lt;'PlayerGrades+'!$AD$13,"D+",IF(J144&lt;'PlayerGrades+'!$AD$12,"C-",IF(J144&lt;'PlayerGrades+'!$AD$11,"C",IF(J144&lt;'PlayerGrades+'!$AD$10,"C+",IF(J144&lt;'PlayerGrades+'!$AD$9,"B-",IF(J144&lt;'PlayerGrades+'!$AD$8,"B",IF(J144&lt;'PlayerGrades+'!$AD$7,"B+",IF(J144&lt;'PlayerGrades+'!$AD$6,"A-",IF(J144&lt;'PlayerGrades+'!$AD$5,"A",IF(J144&lt;'PlayerGrades+'!$AD$4,"A+",IF(J144&lt;'PlayerGrades+'!$AD$3,"S-",IF(J144&lt;'PlayerGrades+'!$AD$2,"S","S+"))))))))))))))))))))</f>
        <v>F-</v>
      </c>
      <c r="L144" s="677">
        <f t="shared" si="5"/>
        <v>0.1357466063</v>
      </c>
      <c r="M144" s="938" t="str">
        <f>IF(L144&lt;'PlayerGrades+'!$AE$21,"F-",IF(L144&lt;'PlayerGrades+'!$AE$20,"F",IF(L144&lt;'PlayerGrades+'!$AE$19,"F+",IF(L144&lt;'PlayerGrades+'!$AE$18,"E-",IF(L144&lt;'PlayerGrades+'!$AE$17,"E",IF(L144&lt;'PlayerGrades+'!$AE$16,"E+",IF(L144&lt;'PlayerGrades+'!$AE$15,"D-",IF(L144&lt;'PlayerGrades+'!$AE$14,"D",IF(L144&lt;'PlayerGrades+'!$AE$13,"D+",IF(L144&lt;'PlayerGrades+'!$AE$12,"C-",IF(L144&lt;'PlayerGrades+'!$AE$11,"C",IF(L144&lt;'PlayerGrades+'!$AE$10,"C+",IF(L144&lt;'PlayerGrades+'!$AE$9,"B-",IF(L144&lt;'PlayerGrades+'!$AE$8,"B",IF(L144&lt;'PlayerGrades+'!$AE$7,"B+",IF(L144&lt;'PlayerGrades+'!$AE$6,"A-",IF(L144&lt;'PlayerGrades+'!$AE$5,"A",IF(L144&lt;'PlayerGrades+'!$AE$4,"A+",IF(L144&lt;'PlayerGrades+'!$AE$3,"S-",IF(L144&lt;'PlayerGrades+'!$AE$2,"S","S+"))))))))))))))))))))</f>
        <v>F-</v>
      </c>
      <c r="N144" s="937">
        <f t="shared" si="6"/>
        <v>0</v>
      </c>
      <c r="O144" s="937" t="str">
        <f>IF(N144&lt;'PlayerGrades+'!$AF$21,"F-",IF(N144&lt;'PlayerGrades+'!$AF$20,"F",IF(N144&lt;'PlayerGrades+'!$AF$19,"F+",IF(N144&lt;'PlayerGrades+'!$AF$18,"E-",IF(N144&lt;'PlayerGrades+'!$AF$17,"E",IF(N144&lt;'PlayerGrades+'!$AF$16,"E+",IF(N144&lt;'PlayerGrades+'!$AF$15,"D-",IF(N144&lt;'PlayerGrades+'!$AF$14,"D",IF(N144&lt;'PlayerGrades+'!$AF$13,"D+",IF(N144&lt;'PlayerGrades+'!$AF$12,"C-",IF(N144&lt;'PlayerGrades+'!$AF$11,"C",IF(N144&lt;'PlayerGrades+'!$AF$10,"C+",IF(N144&lt;'PlayerGrades+'!$AF$9,"B-",IF(N144&lt;'PlayerGrades+'!$AF$8,"B",IF(N144&lt;'PlayerGrades+'!$AF$7,"B+",IF(N144&lt;'PlayerGrades+'!$AF$6,"A-",IF(N144&lt;'PlayerGrades+'!$AF$5,"A",IF(N144&lt;'PlayerGrades+'!$AF$4,"A+",IF(N144&lt;'PlayerGrades+'!$AF$3,"S-",IF(N144&lt;'PlayerGrades+'!$AF$2,"S","S+"))))))))))))))))))))</f>
        <v>F-</v>
      </c>
      <c r="P144" s="937">
        <f t="shared" si="7"/>
        <v>0</v>
      </c>
      <c r="Q144" s="937" t="str">
        <f>IF(P144&lt;'PlayerGrades+'!$AG$21,"F-",IF(P144&lt;'PlayerGrades+'!$AG$20,"F",IF(P144&lt;'PlayerGrades+'!$AG$19,"F+",IF(P144&lt;'PlayerGrades+'!$AG$18,"E-",IF(P144&lt;'PlayerGrades+'!$AG$17,"E",IF(P144&lt;'PlayerGrades+'!$AG$16,"E+",IF(P144&lt;'PlayerGrades+'!$AG$15,"D-",IF(P144&lt;'PlayerGrades+'!$AG$14,"D",IF(P144&lt;'PlayerGrades+'!$AG$13,"D+",IF(P144&lt;'PlayerGrades+'!$AG$12,"C-",IF(P144&lt;'PlayerGrades+'!$AG$11,"C",IF(P144&lt;'PlayerGrades+'!$AG$10,"C+",IF(P144&lt;'PlayerGrades+'!$AG$9,"B-",IF(P144&lt;'PlayerGrades+'!$AG$8,"B",IF(P144&lt;'PlayerGrades+'!$AG$7,"B+",IF(P144&lt;'PlayerGrades+'!$AG$6,"A-",IF(P144&lt;'PlayerGrades+'!$AG$5,"A",IF(P144&lt;'PlayerGrades+'!$AG$4,"A+",IF(P144&lt;'PlayerGrades+'!$AG$3,"S-",IF(P144&lt;'PlayerGrades+'!$AG$2,"S","S+"))))))))))))))))))))</f>
        <v>F</v>
      </c>
      <c r="R144" s="937">
        <f t="shared" si="8"/>
        <v>0.6787330317</v>
      </c>
      <c r="S144" s="937" t="str">
        <f>IF(R144&lt;'PlayerGrades+'!$AH$21,"F-",IF(R144&lt;'PlayerGrades+'!$AH$20,"F",IF(R144&lt;'PlayerGrades+'!$AH$19,"F+",IF(R144&lt;'PlayerGrades+'!$AH$18,"E-",IF(R144&lt;'PlayerGrades+'!$AH$17,"E",IF(R144&lt;'PlayerGrades+'!$AH$16,"E+",IF(R144&lt;'PlayerGrades+'!$AH$15,"D-",IF(R144&lt;'PlayerGrades+'!$AH$14,"D",IF(R144&lt;'PlayerGrades+'!$AH$13,"D+",IF(R144&lt;'PlayerGrades+'!$AH$12,"C-",IF(R144&lt;'PlayerGrades+'!$AH$11,"C",IF(R144&lt;'PlayerGrades+'!$AH$10,"C+",IF(R144&lt;'PlayerGrades+'!$AH$9,"B-",IF(R144&lt;'PlayerGrades+'!$AH$8,"B",IF(R144&lt;'PlayerGrades+'!$AH$7,"B+",IF(R144&lt;'PlayerGrades+'!$AH$6,"A-",IF(R144&lt;'PlayerGrades+'!$AH$5,"A",IF(R144&lt;'PlayerGrades+'!$AH$4,"A+",IF(R144&lt;'PlayerGrades+'!$AH$3,"S-",IF(R144&lt;'PlayerGrades+'!$AH$2,"S","S+"))))))))))))))))))))</f>
        <v>S-</v>
      </c>
      <c r="T144" s="937">
        <f t="shared" si="9"/>
        <v>0.06787330317</v>
      </c>
      <c r="U144" s="937" t="str">
        <f>IF(T144&lt;'PlayerGrades+'!$AI$21,"F-",IF(T144&lt;'PlayerGrades+'!$AI$20,"F",IF(T144&lt;'PlayerGrades+'!$AI$19,"F+",IF(T144&lt;'PlayerGrades+'!$AI$18,"E-",IF(T144&lt;'PlayerGrades+'!$AI$17,"E",IF(T144&lt;'PlayerGrades+'!$AI$16,"E+",IF(T144&lt;'PlayerGrades+'!$AI$15,"D-",IF(T144&lt;'PlayerGrades+'!$AI$14,"D",IF(T144&lt;'PlayerGrades+'!$AI$13,"D+",IF(T144&lt;'PlayerGrades+'!$AI$12,"C-",IF(T144&lt;'PlayerGrades+'!$AI$11,"C",IF(T144&lt;'PlayerGrades+'!$AI$10,"C+",IF(T144&lt;'PlayerGrades+'!$AI$9,"B-",IF(T144&lt;'PlayerGrades+'!$AI$8,"B",IF(T144&lt;'PlayerGrades+'!$AI$7,"B+",IF(T144&lt;'PlayerGrades+'!$AI$6,"A-",IF(T144&lt;'PlayerGrades+'!$AI$5,"A",IF(T144&lt;'PlayerGrades+'!$AI$4,"A+",IF(T144&lt;'PlayerGrades+'!$AI$3,"S-",IF(T144&lt;'PlayerGrades+'!$AI$2,"S","S+"))))))))))))))))))))</f>
        <v>F-</v>
      </c>
      <c r="V144" s="941">
        <v>1.0</v>
      </c>
      <c r="W144" s="941">
        <v>0.0</v>
      </c>
      <c r="X144" s="941">
        <v>1.0</v>
      </c>
      <c r="Y144" s="941">
        <v>0.0</v>
      </c>
      <c r="Z144" s="941">
        <v>2.0</v>
      </c>
      <c r="AA144" s="952">
        <v>39.0</v>
      </c>
      <c r="AB144" s="952">
        <v>66.0</v>
      </c>
      <c r="AC144" s="952">
        <v>-27.0</v>
      </c>
      <c r="AD144" s="952">
        <v>1.0</v>
      </c>
      <c r="AE144" s="952">
        <v>3.0</v>
      </c>
      <c r="AF144" s="952">
        <v>0.0</v>
      </c>
      <c r="AG144" s="952">
        <v>623.0</v>
      </c>
      <c r="AH144" s="952">
        <v>884.0</v>
      </c>
      <c r="AI144" s="952">
        <v>9.0</v>
      </c>
      <c r="AJ144" s="952">
        <v>194.0</v>
      </c>
      <c r="AK144" s="952">
        <v>0.0</v>
      </c>
      <c r="AL144" s="952">
        <v>0.0</v>
      </c>
      <c r="AM144" s="952">
        <v>0.0</v>
      </c>
      <c r="AN144" s="952">
        <v>0.0</v>
      </c>
      <c r="AO144" s="952">
        <v>0.0</v>
      </c>
      <c r="AP144" s="952">
        <v>0.0</v>
      </c>
      <c r="AQ144" s="952">
        <v>0.0</v>
      </c>
      <c r="AR144" s="952">
        <v>2.0</v>
      </c>
      <c r="AS144" s="952">
        <v>0.0</v>
      </c>
      <c r="AT144" s="952">
        <v>0.0</v>
      </c>
      <c r="AU144" s="952">
        <v>0.0</v>
      </c>
      <c r="AV144" s="952">
        <v>0.0</v>
      </c>
      <c r="AW144" s="952">
        <v>0.0</v>
      </c>
      <c r="AX144" s="952">
        <v>0.0</v>
      </c>
      <c r="AY144" s="952">
        <v>0.0</v>
      </c>
      <c r="AZ144" s="952">
        <v>0.0</v>
      </c>
      <c r="BA144" s="952">
        <v>0.0</v>
      </c>
      <c r="BB144" s="952">
        <v>1.0</v>
      </c>
      <c r="BC144" s="952">
        <v>0.0</v>
      </c>
      <c r="BD144" s="952">
        <v>9.0</v>
      </c>
      <c r="BE144" s="952">
        <v>1.0</v>
      </c>
      <c r="BF144" s="952">
        <v>0.0</v>
      </c>
      <c r="BG144" s="952">
        <v>1.0</v>
      </c>
    </row>
    <row r="145">
      <c r="A145" s="966" t="s">
        <v>120</v>
      </c>
      <c r="B145" s="16" t="str">
        <f>IF(C145&lt;'PlayerGrades+'!$Y$44,"F-",IF(C145&lt;'PlayerGrades+'!$Y$43,"F",IF(C145&lt;'PlayerGrades+'!$Y$42,"F+",IF(C145&lt;'PlayerGrades+'!$Y$41,"E-",IF(C145&lt;'PlayerGrades+'!$Y$40,"E",IF(C145&lt;'PlayerGrades+'!$Y$39,"E+",IF(C145&lt;'PlayerGrades+'!$Y$38,"D-",IF(C145&lt;'PlayerGrades+'!$Y$37,"D",IF(C145&lt;'PlayerGrades+'!$Y$36,"D+",IF(C145&lt;'PlayerGrades+'!$Y$35,"C-",IF(C145&lt;'PlayerGrades+'!$Y$34,"C",IF(C145&lt;'PlayerGrades+'!$Y$33,"C+",IF(C145&lt;'PlayerGrades+'!$Y$32,"B-",IF(C145&lt;'PlayerGrades+'!$Y$31,"B",IF(C145&lt;'PlayerGrades+'!$Y$30,"B+",IF(C145&lt;'PlayerGrades+'!$Y$29,"A-",IF(C145&lt;'PlayerGrades+'!$Y$28,"A",IF(C145&lt;'PlayerGrades+'!$Y$27,"A+",IF(C145&lt;'PlayerGrades+'!$Y$26,"S-",IF(C145&lt;'PlayerGrades+'!$Y$25,"S","S+"))))))))))))))))))))</f>
        <v>C-</v>
      </c>
      <c r="C145" s="936">
        <f>('PlayerGrades+'!$Y$47*(VLOOKUP(E145, 'PlayerGrades+'!$X$3:$Y$23, 2, FALSE)))+('PlayerGrades+'!$Y$48*(VLOOKUP(G145, 'PlayerGrades+'!$X$3:$Y$23, 2, FALSE)))+('PlayerGrades+'!$Y$49*(VLOOKUP(I145, 'PlayerGrades+'!$X$3:$Y$23, 2, FALSE)))+('PlayerGrades+'!$Y$50*(VLOOKUP(K145, 'PlayerGrades+'!$X$3:$Y$23, 2, FALSE)))+('PlayerGrades+'!$Y$51*(VLOOKUP(M145, 'PlayerGrades+'!$X$3:$Y$23, 2, FALSE)))+('PlayerGrades+'!$Y$52*(VLOOKUP(O145, 'PlayerGrades+'!$X$3:$Y$23, 2, FALSE)))+('PlayerGrades+'!$Y$53*(VLOOKUP(Q145, 'PlayerGrades+'!$X$3:$Y$23, 2, FALSE)))+('PlayerGrades+'!$Y$54*(VLOOKUP(S145, 'PlayerGrades+'!$X$3:$Y$23, 2, FALSE)))+('PlayerGrades+'!$Y$55*(VLOOKUP(U145, 'PlayerGrades+'!$X$3:$Y$23, 2, FALSE)))</f>
        <v>18.15</v>
      </c>
      <c r="D145" s="937">
        <f t="shared" si="1"/>
        <v>0</v>
      </c>
      <c r="E145" s="937" t="str">
        <f>IF(D145&lt;'PlayerGrades+'!$AA$21,"F-",IF(D145&lt;'PlayerGrades+'!$AA$20,"F",IF(D145&lt;'PlayerGrades+'!$AA$19,"F+",IF(D145&lt;'PlayerGrades+'!$AA$18,"E-",IF(D145&lt;'PlayerGrades+'!$AA$17,"E",IF(D145&lt;'PlayerGrades+'!$AA$16,"E+",IF(D145&lt;'PlayerGrades+'!$AA$15,"D-",IF(D145&lt;'PlayerGrades+'!$AA$14,"D",IF(D145&lt;'PlayerGrades+'!$AA$13,"D+",IF(D145&lt;'PlayerGrades+'!$AA$12,"C-",IF(D145&lt;'PlayerGrades+'!$AA$11,"C",IF(D145&lt;'PlayerGrades+'!$AA$10,"C+",IF(D145&lt;'PlayerGrades+'!$AA$9,"B-",IF(D145&lt;'PlayerGrades+'!$AA$8,"B",IF(D145&lt;'PlayerGrades+'!$AA$7,"B+",IF(D145&lt;'PlayerGrades+'!$AA$6,"A-",IF(D145&lt;'PlayerGrades+'!$AA$5,"A",IF(D145&lt;'PlayerGrades+'!$AA$4,"A+",IF(D145&lt;'PlayerGrades+'!$AA$3,"S-",IF(D145&lt;'PlayerGrades+'!$AA$2,"S","S+"))))))))))))))))))))</f>
        <v>F-</v>
      </c>
      <c r="F145" s="937">
        <f t="shared" si="2"/>
        <v>0.1357466063</v>
      </c>
      <c r="G145" s="937" t="str">
        <f>IF(F145&lt;'PlayerGrades+'!$AB$21,"F-",IF(F145&lt;'PlayerGrades+'!$AB$20,"F",IF(F145&lt;'PlayerGrades+'!$AB$19,"F+",IF(F145&lt;'PlayerGrades+'!$AB$18,"E-",IF(F145&lt;'PlayerGrades+'!$AB$17,"E",IF(F145&lt;'PlayerGrades+'!$AB$16,"E+",IF(F145&lt;'PlayerGrades+'!$AB$15,"D-",IF(F145&lt;'PlayerGrades+'!$AB$14,"D",IF(F145&lt;'PlayerGrades+'!$AB$13,"D+",IF(F145&lt;'PlayerGrades+'!$AB$12,"C-",IF(F145&lt;'PlayerGrades+'!$AB$11,"C",IF(F145&lt;'PlayerGrades+'!$AB$10,"C+",IF(F145&lt;'PlayerGrades+'!$AB$9,"B-",IF(F145&lt;'PlayerGrades+'!$AB$8,"B",IF(F145&lt;'PlayerGrades+'!$AB$7,"B+",IF(F145&lt;'PlayerGrades+'!$AB$6,"A-",IF(F145&lt;'PlayerGrades+'!$AB$5,"A",IF(F145&lt;'PlayerGrades+'!$AB$4,"A+",IF(F145&lt;'PlayerGrades+'!$AB$3,"S-",IF(F145&lt;'PlayerGrades+'!$AB$2,"S","S+"))))))))))))))))))))</f>
        <v>B+</v>
      </c>
      <c r="H145" s="937">
        <f t="shared" si="3"/>
        <v>0</v>
      </c>
      <c r="I145" s="937" t="str">
        <f>IF(H145&lt;'PlayerGrades+'!$AC$21,"F-",IF(H145&lt;'PlayerGrades+'!$AC$20,"F",IF(H145&lt;'PlayerGrades+'!$AC$19,"F+",IF(H145&lt;'PlayerGrades+'!$AC$18,"E-",IF(H145&lt;'PlayerGrades+'!$AC$17,"E",IF(H145&lt;'PlayerGrades+'!$AC$16,"E+",IF(H145&lt;'PlayerGrades+'!$AC$15,"D-",IF(H145&lt;'PlayerGrades+'!$AC$14,"D",IF(H145&lt;'PlayerGrades+'!$AC$13,"D+",IF(H145&lt;'PlayerGrades+'!$AC$12,"C-",IF(H145&lt;'PlayerGrades+'!$AC$11,"C",IF(H145&lt;'PlayerGrades+'!$AC$10,"C+",IF(H145&lt;'PlayerGrades+'!$AC$9,"B-",IF(H145&lt;'PlayerGrades+'!$AC$8,"B",IF(H145&lt;'PlayerGrades+'!$AC$7,"B+",IF(H145&lt;'PlayerGrades+'!$AC$6,"A-",IF(H145&lt;'PlayerGrades+'!$AC$5,"A",IF(H145&lt;'PlayerGrades+'!$AC$4,"A+",IF(H145&lt;'PlayerGrades+'!$AC$3,"S-",IF(H145&lt;'PlayerGrades+'!$AC$2,"S","S+"))))))))))))))))))))</f>
        <v>F-</v>
      </c>
      <c r="J145" s="937">
        <f t="shared" si="4"/>
        <v>0</v>
      </c>
      <c r="K145" s="937" t="str">
        <f>IF(J145&lt;'PlayerGrades+'!$AD$21,"F-",IF(J145&lt;'PlayerGrades+'!$AD$20,"F",IF(J145&lt;'PlayerGrades+'!$AD$19,"F+",IF(J145&lt;'PlayerGrades+'!$AD$18,"E-",IF(J145&lt;'PlayerGrades+'!$AD$17,"E",IF(J145&lt;'PlayerGrades+'!$AD$16,"E+",IF(J145&lt;'PlayerGrades+'!$AD$15,"D-",IF(J145&lt;'PlayerGrades+'!$AD$14,"D",IF(J145&lt;'PlayerGrades+'!$AD$13,"D+",IF(J145&lt;'PlayerGrades+'!$AD$12,"C-",IF(J145&lt;'PlayerGrades+'!$AD$11,"C",IF(J145&lt;'PlayerGrades+'!$AD$10,"C+",IF(J145&lt;'PlayerGrades+'!$AD$9,"B-",IF(J145&lt;'PlayerGrades+'!$AD$8,"B",IF(J145&lt;'PlayerGrades+'!$AD$7,"B+",IF(J145&lt;'PlayerGrades+'!$AD$6,"A-",IF(J145&lt;'PlayerGrades+'!$AD$5,"A",IF(J145&lt;'PlayerGrades+'!$AD$4,"A+",IF(J145&lt;'PlayerGrades+'!$AD$3,"S-",IF(J145&lt;'PlayerGrades+'!$AD$2,"S","S+"))))))))))))))))))))</f>
        <v>F-</v>
      </c>
      <c r="L145" s="677">
        <f t="shared" si="5"/>
        <v>0.6108597285</v>
      </c>
      <c r="M145" s="938" t="str">
        <f>IF(L145&lt;'PlayerGrades+'!$AE$21,"F-",IF(L145&lt;'PlayerGrades+'!$AE$20,"F",IF(L145&lt;'PlayerGrades+'!$AE$19,"F+",IF(L145&lt;'PlayerGrades+'!$AE$18,"E-",IF(L145&lt;'PlayerGrades+'!$AE$17,"E",IF(L145&lt;'PlayerGrades+'!$AE$16,"E+",IF(L145&lt;'PlayerGrades+'!$AE$15,"D-",IF(L145&lt;'PlayerGrades+'!$AE$14,"D",IF(L145&lt;'PlayerGrades+'!$AE$13,"D+",IF(L145&lt;'PlayerGrades+'!$AE$12,"C-",IF(L145&lt;'PlayerGrades+'!$AE$11,"C",IF(L145&lt;'PlayerGrades+'!$AE$10,"C+",IF(L145&lt;'PlayerGrades+'!$AE$9,"B-",IF(L145&lt;'PlayerGrades+'!$AE$8,"B",IF(L145&lt;'PlayerGrades+'!$AE$7,"B+",IF(L145&lt;'PlayerGrades+'!$AE$6,"A-",IF(L145&lt;'PlayerGrades+'!$AE$5,"A",IF(L145&lt;'PlayerGrades+'!$AE$4,"A+",IF(L145&lt;'PlayerGrades+'!$AE$3,"S-",IF(L145&lt;'PlayerGrades+'!$AE$2,"S","S+"))))))))))))))))))))</f>
        <v>S-</v>
      </c>
      <c r="N145" s="937">
        <f t="shared" si="6"/>
        <v>0.06787330317</v>
      </c>
      <c r="O145" s="937" t="str">
        <f>IF(N145&lt;'PlayerGrades+'!$AF$21,"F-",IF(N145&lt;'PlayerGrades+'!$AF$20,"F",IF(N145&lt;'PlayerGrades+'!$AF$19,"F+",IF(N145&lt;'PlayerGrades+'!$AF$18,"E-",IF(N145&lt;'PlayerGrades+'!$AF$17,"E",IF(N145&lt;'PlayerGrades+'!$AF$16,"E+",IF(N145&lt;'PlayerGrades+'!$AF$15,"D-",IF(N145&lt;'PlayerGrades+'!$AF$14,"D",IF(N145&lt;'PlayerGrades+'!$AF$13,"D+",IF(N145&lt;'PlayerGrades+'!$AF$12,"C-",IF(N145&lt;'PlayerGrades+'!$AF$11,"C",IF(N145&lt;'PlayerGrades+'!$AF$10,"C+",IF(N145&lt;'PlayerGrades+'!$AF$9,"B-",IF(N145&lt;'PlayerGrades+'!$AF$8,"B",IF(N145&lt;'PlayerGrades+'!$AF$7,"B+",IF(N145&lt;'PlayerGrades+'!$AF$6,"A-",IF(N145&lt;'PlayerGrades+'!$AF$5,"A",IF(N145&lt;'PlayerGrades+'!$AF$4,"A+",IF(N145&lt;'PlayerGrades+'!$AF$3,"S-",IF(N145&lt;'PlayerGrades+'!$AF$2,"S","S+"))))))))))))))))))))</f>
        <v>C-</v>
      </c>
      <c r="P145" s="937">
        <f t="shared" si="7"/>
        <v>0</v>
      </c>
      <c r="Q145" s="937" t="str">
        <f>IF(P145&lt;'PlayerGrades+'!$AG$21,"F-",IF(P145&lt;'PlayerGrades+'!$AG$20,"F",IF(P145&lt;'PlayerGrades+'!$AG$19,"F+",IF(P145&lt;'PlayerGrades+'!$AG$18,"E-",IF(P145&lt;'PlayerGrades+'!$AG$17,"E",IF(P145&lt;'PlayerGrades+'!$AG$16,"E+",IF(P145&lt;'PlayerGrades+'!$AG$15,"D-",IF(P145&lt;'PlayerGrades+'!$AG$14,"D",IF(P145&lt;'PlayerGrades+'!$AG$13,"D+",IF(P145&lt;'PlayerGrades+'!$AG$12,"C-",IF(P145&lt;'PlayerGrades+'!$AG$11,"C",IF(P145&lt;'PlayerGrades+'!$AG$10,"C+",IF(P145&lt;'PlayerGrades+'!$AG$9,"B-",IF(P145&lt;'PlayerGrades+'!$AG$8,"B",IF(P145&lt;'PlayerGrades+'!$AG$7,"B+",IF(P145&lt;'PlayerGrades+'!$AG$6,"A-",IF(P145&lt;'PlayerGrades+'!$AG$5,"A",IF(P145&lt;'PlayerGrades+'!$AG$4,"A+",IF(P145&lt;'PlayerGrades+'!$AG$3,"S-",IF(P145&lt;'PlayerGrades+'!$AG$2,"S","S+"))))))))))))))))))))</f>
        <v>F</v>
      </c>
      <c r="R145" s="937">
        <f t="shared" si="8"/>
        <v>0.7466063348</v>
      </c>
      <c r="S145" s="937" t="str">
        <f>IF(R145&lt;'PlayerGrades+'!$AH$21,"F-",IF(R145&lt;'PlayerGrades+'!$AH$20,"F",IF(R145&lt;'PlayerGrades+'!$AH$19,"F+",IF(R145&lt;'PlayerGrades+'!$AH$18,"E-",IF(R145&lt;'PlayerGrades+'!$AH$17,"E",IF(R145&lt;'PlayerGrades+'!$AH$16,"E+",IF(R145&lt;'PlayerGrades+'!$AH$15,"D-",IF(R145&lt;'PlayerGrades+'!$AH$14,"D",IF(R145&lt;'PlayerGrades+'!$AH$13,"D+",IF(R145&lt;'PlayerGrades+'!$AH$12,"C-",IF(R145&lt;'PlayerGrades+'!$AH$11,"C",IF(R145&lt;'PlayerGrades+'!$AH$10,"C+",IF(R145&lt;'PlayerGrades+'!$AH$9,"B-",IF(R145&lt;'PlayerGrades+'!$AH$8,"B",IF(R145&lt;'PlayerGrades+'!$AH$7,"B+",IF(R145&lt;'PlayerGrades+'!$AH$6,"A-",IF(R145&lt;'PlayerGrades+'!$AH$5,"A",IF(R145&lt;'PlayerGrades+'!$AH$4,"A+",IF(R145&lt;'PlayerGrades+'!$AH$3,"S-",IF(R145&lt;'PlayerGrades+'!$AH$2,"S","S+"))))))))))))))))))))</f>
        <v>S</v>
      </c>
      <c r="T145" s="937">
        <f t="shared" si="9"/>
        <v>0.7466063348</v>
      </c>
      <c r="U145" s="937" t="str">
        <f>IF(T145&lt;'PlayerGrades+'!$AI$21,"F-",IF(T145&lt;'PlayerGrades+'!$AI$20,"F",IF(T145&lt;'PlayerGrades+'!$AI$19,"F+",IF(T145&lt;'PlayerGrades+'!$AI$18,"E-",IF(T145&lt;'PlayerGrades+'!$AI$17,"E",IF(T145&lt;'PlayerGrades+'!$AI$16,"E+",IF(T145&lt;'PlayerGrades+'!$AI$15,"D-",IF(T145&lt;'PlayerGrades+'!$AI$14,"D",IF(T145&lt;'PlayerGrades+'!$AI$13,"D+",IF(T145&lt;'PlayerGrades+'!$AI$12,"C-",IF(T145&lt;'PlayerGrades+'!$AI$11,"C",IF(T145&lt;'PlayerGrades+'!$AI$10,"C+",IF(T145&lt;'PlayerGrades+'!$AI$9,"B-",IF(T145&lt;'PlayerGrades+'!$AI$8,"B",IF(T145&lt;'PlayerGrades+'!$AI$7,"B+",IF(T145&lt;'PlayerGrades+'!$AI$6,"A-",IF(T145&lt;'PlayerGrades+'!$AI$5,"A",IF(T145&lt;'PlayerGrades+'!$AI$4,"A+",IF(T145&lt;'PlayerGrades+'!$AI$3,"S-",IF(T145&lt;'PlayerGrades+'!$AI$2,"S","S+"))))))))))))))))))))</f>
        <v>F</v>
      </c>
      <c r="V145" s="941">
        <v>1.0</v>
      </c>
      <c r="W145" s="941">
        <v>0.0</v>
      </c>
      <c r="X145" s="941">
        <v>1.0</v>
      </c>
      <c r="Y145" s="941">
        <v>0.0</v>
      </c>
      <c r="Z145" s="941">
        <v>0.0</v>
      </c>
      <c r="AA145" s="952">
        <v>56.0</v>
      </c>
      <c r="AB145" s="952">
        <v>54.0</v>
      </c>
      <c r="AC145" s="952">
        <v>2.0</v>
      </c>
      <c r="AD145" s="952">
        <v>1.0</v>
      </c>
      <c r="AE145" s="952">
        <v>4.0</v>
      </c>
      <c r="AF145" s="952">
        <v>1.0</v>
      </c>
      <c r="AG145" s="952">
        <v>655.0</v>
      </c>
      <c r="AH145" s="952">
        <v>884.0</v>
      </c>
      <c r="AI145" s="952">
        <v>12.0</v>
      </c>
      <c r="AJ145" s="952">
        <v>0.0</v>
      </c>
      <c r="AK145" s="952">
        <v>0.0</v>
      </c>
      <c r="AL145" s="952">
        <v>0.0</v>
      </c>
      <c r="AM145" s="952">
        <v>0.0</v>
      </c>
      <c r="AN145" s="952">
        <v>0.0</v>
      </c>
      <c r="AO145" s="952">
        <v>0.0</v>
      </c>
      <c r="AP145" s="952">
        <v>0.0</v>
      </c>
      <c r="AQ145" s="952">
        <v>0.0</v>
      </c>
      <c r="AR145" s="952">
        <v>9.0</v>
      </c>
      <c r="AS145" s="952">
        <v>1.0</v>
      </c>
      <c r="AT145" s="952">
        <v>0.0</v>
      </c>
      <c r="AU145" s="952">
        <v>0.0</v>
      </c>
      <c r="AV145" s="952">
        <v>0.0</v>
      </c>
      <c r="AW145" s="952">
        <v>0.0</v>
      </c>
      <c r="AX145" s="952">
        <v>0.0</v>
      </c>
      <c r="AY145" s="952">
        <v>0.0</v>
      </c>
      <c r="AZ145" s="952">
        <v>0.0</v>
      </c>
      <c r="BA145" s="952">
        <v>0.0</v>
      </c>
      <c r="BB145" s="952">
        <v>0.0</v>
      </c>
      <c r="BC145" s="952">
        <v>0.0</v>
      </c>
      <c r="BD145" s="952">
        <v>10.0</v>
      </c>
      <c r="BE145" s="952">
        <v>11.0</v>
      </c>
      <c r="BF145" s="952">
        <v>0.0</v>
      </c>
      <c r="BG145" s="952">
        <v>1.0</v>
      </c>
    </row>
    <row r="146">
      <c r="A146" s="964" t="s">
        <v>153</v>
      </c>
      <c r="B146" s="16" t="str">
        <f>IF(C146&lt;'PlayerGrades+'!$Y$44,"F-",IF(C146&lt;'PlayerGrades+'!$Y$43,"F",IF(C146&lt;'PlayerGrades+'!$Y$42,"F+",IF(C146&lt;'PlayerGrades+'!$Y$41,"E-",IF(C146&lt;'PlayerGrades+'!$Y$40,"E",IF(C146&lt;'PlayerGrades+'!$Y$39,"E+",IF(C146&lt;'PlayerGrades+'!$Y$38,"D-",IF(C146&lt;'PlayerGrades+'!$Y$37,"D",IF(C146&lt;'PlayerGrades+'!$Y$36,"D+",IF(C146&lt;'PlayerGrades+'!$Y$35,"C-",IF(C146&lt;'PlayerGrades+'!$Y$34,"C",IF(C146&lt;'PlayerGrades+'!$Y$33,"C+",IF(C146&lt;'PlayerGrades+'!$Y$32,"B-",IF(C146&lt;'PlayerGrades+'!$Y$31,"B",IF(C146&lt;'PlayerGrades+'!$Y$30,"B+",IF(C146&lt;'PlayerGrades+'!$Y$29,"A-",IF(C146&lt;'PlayerGrades+'!$Y$28,"A",IF(C146&lt;'PlayerGrades+'!$Y$27,"A+",IF(C146&lt;'PlayerGrades+'!$Y$26,"S-",IF(C146&lt;'PlayerGrades+'!$Y$25,"S","S+"))))))))))))))))))))</f>
        <v>E-</v>
      </c>
      <c r="C146" s="936">
        <f>('PlayerGrades+'!$Y$47*(VLOOKUP(E146, 'PlayerGrades+'!$X$3:$Y$23, 2, FALSE)))+('PlayerGrades+'!$Y$48*(VLOOKUP(G146, 'PlayerGrades+'!$X$3:$Y$23, 2, FALSE)))+('PlayerGrades+'!$Y$49*(VLOOKUP(I146, 'PlayerGrades+'!$X$3:$Y$23, 2, FALSE)))+('PlayerGrades+'!$Y$50*(VLOOKUP(K146, 'PlayerGrades+'!$X$3:$Y$23, 2, FALSE)))+('PlayerGrades+'!$Y$51*(VLOOKUP(M146, 'PlayerGrades+'!$X$3:$Y$23, 2, FALSE)))+('PlayerGrades+'!$Y$52*(VLOOKUP(O146, 'PlayerGrades+'!$X$3:$Y$23, 2, FALSE)))+('PlayerGrades+'!$Y$53*(VLOOKUP(Q146, 'PlayerGrades+'!$X$3:$Y$23, 2, FALSE)))+('PlayerGrades+'!$Y$54*(VLOOKUP(S146, 'PlayerGrades+'!$X$3:$Y$23, 2, FALSE)))+('PlayerGrades+'!$Y$55*(VLOOKUP(U146, 'PlayerGrades+'!$X$3:$Y$23, 2, FALSE)))</f>
        <v>11.9</v>
      </c>
      <c r="D146" s="937">
        <f t="shared" si="1"/>
        <v>0.6075949367</v>
      </c>
      <c r="E146" s="937" t="str">
        <f>IF(D146&lt;'PlayerGrades+'!$AA$21,"F-",IF(D146&lt;'PlayerGrades+'!$AA$20,"F",IF(D146&lt;'PlayerGrades+'!$AA$19,"F+",IF(D146&lt;'PlayerGrades+'!$AA$18,"E-",IF(D146&lt;'PlayerGrades+'!$AA$17,"E",IF(D146&lt;'PlayerGrades+'!$AA$16,"E+",IF(D146&lt;'PlayerGrades+'!$AA$15,"D-",IF(D146&lt;'PlayerGrades+'!$AA$14,"D",IF(D146&lt;'PlayerGrades+'!$AA$13,"D+",IF(D146&lt;'PlayerGrades+'!$AA$12,"C-",IF(D146&lt;'PlayerGrades+'!$AA$11,"C",IF(D146&lt;'PlayerGrades+'!$AA$10,"C+",IF(D146&lt;'PlayerGrades+'!$AA$9,"B-",IF(D146&lt;'PlayerGrades+'!$AA$8,"B",IF(D146&lt;'PlayerGrades+'!$AA$7,"B+",IF(D146&lt;'PlayerGrades+'!$AA$6,"A-",IF(D146&lt;'PlayerGrades+'!$AA$5,"A",IF(D146&lt;'PlayerGrades+'!$AA$4,"A+",IF(D146&lt;'PlayerGrades+'!$AA$3,"S-",IF(D146&lt;'PlayerGrades+'!$AA$2,"S","S+"))))))))))))))))))))</f>
        <v>S-</v>
      </c>
      <c r="F146" s="937">
        <f t="shared" si="2"/>
        <v>-0.2025316456</v>
      </c>
      <c r="G146" s="937" t="str">
        <f>IF(F146&lt;'PlayerGrades+'!$AB$21,"F-",IF(F146&lt;'PlayerGrades+'!$AB$20,"F",IF(F146&lt;'PlayerGrades+'!$AB$19,"F+",IF(F146&lt;'PlayerGrades+'!$AB$18,"E-",IF(F146&lt;'PlayerGrades+'!$AB$17,"E",IF(F146&lt;'PlayerGrades+'!$AB$16,"E+",IF(F146&lt;'PlayerGrades+'!$AB$15,"D-",IF(F146&lt;'PlayerGrades+'!$AB$14,"D",IF(F146&lt;'PlayerGrades+'!$AB$13,"D+",IF(F146&lt;'PlayerGrades+'!$AB$12,"C-",IF(F146&lt;'PlayerGrades+'!$AB$11,"C",IF(F146&lt;'PlayerGrades+'!$AB$10,"C+",IF(F146&lt;'PlayerGrades+'!$AB$9,"B-",IF(F146&lt;'PlayerGrades+'!$AB$8,"B",IF(F146&lt;'PlayerGrades+'!$AB$7,"B+",IF(F146&lt;'PlayerGrades+'!$AB$6,"A-",IF(F146&lt;'PlayerGrades+'!$AB$5,"A",IF(F146&lt;'PlayerGrades+'!$AB$4,"A+",IF(F146&lt;'PlayerGrades+'!$AB$3,"S-",IF(F146&lt;'PlayerGrades+'!$AB$2,"S","S+"))))))))))))))))))))</f>
        <v>C+</v>
      </c>
      <c r="H146" s="937">
        <f t="shared" si="3"/>
        <v>0.1012658228</v>
      </c>
      <c r="I146" s="937" t="str">
        <f>IF(H146&lt;'PlayerGrades+'!$AC$21,"F-",IF(H146&lt;'PlayerGrades+'!$AC$20,"F",IF(H146&lt;'PlayerGrades+'!$AC$19,"F+",IF(H146&lt;'PlayerGrades+'!$AC$18,"E-",IF(H146&lt;'PlayerGrades+'!$AC$17,"E",IF(H146&lt;'PlayerGrades+'!$AC$16,"E+",IF(H146&lt;'PlayerGrades+'!$AC$15,"D-",IF(H146&lt;'PlayerGrades+'!$AC$14,"D",IF(H146&lt;'PlayerGrades+'!$AC$13,"D+",IF(H146&lt;'PlayerGrades+'!$AC$12,"C-",IF(H146&lt;'PlayerGrades+'!$AC$11,"C",IF(H146&lt;'PlayerGrades+'!$AC$10,"C+",IF(H146&lt;'PlayerGrades+'!$AC$9,"B-",IF(H146&lt;'PlayerGrades+'!$AC$8,"B",IF(H146&lt;'PlayerGrades+'!$AC$7,"B+",IF(H146&lt;'PlayerGrades+'!$AC$6,"A-",IF(H146&lt;'PlayerGrades+'!$AC$5,"A",IF(H146&lt;'PlayerGrades+'!$AC$4,"A+",IF(H146&lt;'PlayerGrades+'!$AC$3,"S-",IF(H146&lt;'PlayerGrades+'!$AC$2,"S","S+"))))))))))))))))))))</f>
        <v>C-</v>
      </c>
      <c r="J146" s="937">
        <f t="shared" si="4"/>
        <v>0</v>
      </c>
      <c r="K146" s="937" t="str">
        <f>IF(J146&lt;'PlayerGrades+'!$AD$21,"F-",IF(J146&lt;'PlayerGrades+'!$AD$20,"F",IF(J146&lt;'PlayerGrades+'!$AD$19,"F+",IF(J146&lt;'PlayerGrades+'!$AD$18,"E-",IF(J146&lt;'PlayerGrades+'!$AD$17,"E",IF(J146&lt;'PlayerGrades+'!$AD$16,"E+",IF(J146&lt;'PlayerGrades+'!$AD$15,"D-",IF(J146&lt;'PlayerGrades+'!$AD$14,"D",IF(J146&lt;'PlayerGrades+'!$AD$13,"D+",IF(J146&lt;'PlayerGrades+'!$AD$12,"C-",IF(J146&lt;'PlayerGrades+'!$AD$11,"C",IF(J146&lt;'PlayerGrades+'!$AD$10,"C+",IF(J146&lt;'PlayerGrades+'!$AD$9,"B-",IF(J146&lt;'PlayerGrades+'!$AD$8,"B",IF(J146&lt;'PlayerGrades+'!$AD$7,"B+",IF(J146&lt;'PlayerGrades+'!$AD$6,"A-",IF(J146&lt;'PlayerGrades+'!$AD$5,"A",IF(J146&lt;'PlayerGrades+'!$AD$4,"A+",IF(J146&lt;'PlayerGrades+'!$AD$3,"S-",IF(J146&lt;'PlayerGrades+'!$AD$2,"S","S+"))))))))))))))))))))</f>
        <v>F-</v>
      </c>
      <c r="L146" s="677">
        <f t="shared" si="5"/>
        <v>0.1012658228</v>
      </c>
      <c r="M146" s="938" t="str">
        <f>IF(L146&lt;'PlayerGrades+'!$AE$21,"F-",IF(L146&lt;'PlayerGrades+'!$AE$20,"F",IF(L146&lt;'PlayerGrades+'!$AE$19,"F+",IF(L146&lt;'PlayerGrades+'!$AE$18,"E-",IF(L146&lt;'PlayerGrades+'!$AE$17,"E",IF(L146&lt;'PlayerGrades+'!$AE$16,"E+",IF(L146&lt;'PlayerGrades+'!$AE$15,"D-",IF(L146&lt;'PlayerGrades+'!$AE$14,"D",IF(L146&lt;'PlayerGrades+'!$AE$13,"D+",IF(L146&lt;'PlayerGrades+'!$AE$12,"C-",IF(L146&lt;'PlayerGrades+'!$AE$11,"C",IF(L146&lt;'PlayerGrades+'!$AE$10,"C+",IF(L146&lt;'PlayerGrades+'!$AE$9,"B-",IF(L146&lt;'PlayerGrades+'!$AE$8,"B",IF(L146&lt;'PlayerGrades+'!$AE$7,"B+",IF(L146&lt;'PlayerGrades+'!$AE$6,"A-",IF(L146&lt;'PlayerGrades+'!$AE$5,"A",IF(L146&lt;'PlayerGrades+'!$AE$4,"A+",IF(L146&lt;'PlayerGrades+'!$AE$3,"S-",IF(L146&lt;'PlayerGrades+'!$AE$2,"S","S+"))))))))))))))))))))</f>
        <v>F-</v>
      </c>
      <c r="N146" s="937">
        <f t="shared" si="6"/>
        <v>0</v>
      </c>
      <c r="O146" s="937" t="str">
        <f>IF(N146&lt;'PlayerGrades+'!$AF$21,"F-",IF(N146&lt;'PlayerGrades+'!$AF$20,"F",IF(N146&lt;'PlayerGrades+'!$AF$19,"F+",IF(N146&lt;'PlayerGrades+'!$AF$18,"E-",IF(N146&lt;'PlayerGrades+'!$AF$17,"E",IF(N146&lt;'PlayerGrades+'!$AF$16,"E+",IF(N146&lt;'PlayerGrades+'!$AF$15,"D-",IF(N146&lt;'PlayerGrades+'!$AF$14,"D",IF(N146&lt;'PlayerGrades+'!$AF$13,"D+",IF(N146&lt;'PlayerGrades+'!$AF$12,"C-",IF(N146&lt;'PlayerGrades+'!$AF$11,"C",IF(N146&lt;'PlayerGrades+'!$AF$10,"C+",IF(N146&lt;'PlayerGrades+'!$AF$9,"B-",IF(N146&lt;'PlayerGrades+'!$AF$8,"B",IF(N146&lt;'PlayerGrades+'!$AF$7,"B+",IF(N146&lt;'PlayerGrades+'!$AF$6,"A-",IF(N146&lt;'PlayerGrades+'!$AF$5,"A",IF(N146&lt;'PlayerGrades+'!$AF$4,"A+",IF(N146&lt;'PlayerGrades+'!$AF$3,"S-",IF(N146&lt;'PlayerGrades+'!$AF$2,"S","S+"))))))))))))))))))))</f>
        <v>F-</v>
      </c>
      <c r="P146" s="937">
        <f t="shared" si="7"/>
        <v>0</v>
      </c>
      <c r="Q146" s="937" t="str">
        <f>IF(P146&lt;'PlayerGrades+'!$AG$21,"F-",IF(P146&lt;'PlayerGrades+'!$AG$20,"F",IF(P146&lt;'PlayerGrades+'!$AG$19,"F+",IF(P146&lt;'PlayerGrades+'!$AG$18,"E-",IF(P146&lt;'PlayerGrades+'!$AG$17,"E",IF(P146&lt;'PlayerGrades+'!$AG$16,"E+",IF(P146&lt;'PlayerGrades+'!$AG$15,"D-",IF(P146&lt;'PlayerGrades+'!$AG$14,"D",IF(P146&lt;'PlayerGrades+'!$AG$13,"D+",IF(P146&lt;'PlayerGrades+'!$AG$12,"C-",IF(P146&lt;'PlayerGrades+'!$AG$11,"C",IF(P146&lt;'PlayerGrades+'!$AG$10,"C+",IF(P146&lt;'PlayerGrades+'!$AG$9,"B-",IF(P146&lt;'PlayerGrades+'!$AG$8,"B",IF(P146&lt;'PlayerGrades+'!$AG$7,"B+",IF(P146&lt;'PlayerGrades+'!$AG$6,"A-",IF(P146&lt;'PlayerGrades+'!$AG$5,"A",IF(P146&lt;'PlayerGrades+'!$AG$4,"A+",IF(P146&lt;'PlayerGrades+'!$AG$3,"S-",IF(P146&lt;'PlayerGrades+'!$AG$2,"S","S+"))))))))))))))))))))</f>
        <v>F</v>
      </c>
      <c r="R146" s="937">
        <f t="shared" si="8"/>
        <v>0.3544303797</v>
      </c>
      <c r="S146" s="937" t="str">
        <f>IF(R146&lt;'PlayerGrades+'!$AH$21,"F-",IF(R146&lt;'PlayerGrades+'!$AH$20,"F",IF(R146&lt;'PlayerGrades+'!$AH$19,"F+",IF(R146&lt;'PlayerGrades+'!$AH$18,"E-",IF(R146&lt;'PlayerGrades+'!$AH$17,"E",IF(R146&lt;'PlayerGrades+'!$AH$16,"E+",IF(R146&lt;'PlayerGrades+'!$AH$15,"D-",IF(R146&lt;'PlayerGrades+'!$AH$14,"D",IF(R146&lt;'PlayerGrades+'!$AH$13,"D+",IF(R146&lt;'PlayerGrades+'!$AH$12,"C-",IF(R146&lt;'PlayerGrades+'!$AH$11,"C",IF(R146&lt;'PlayerGrades+'!$AH$10,"C+",IF(R146&lt;'PlayerGrades+'!$AH$9,"B-",IF(R146&lt;'PlayerGrades+'!$AH$8,"B",IF(R146&lt;'PlayerGrades+'!$AH$7,"B+",IF(R146&lt;'PlayerGrades+'!$AH$6,"A-",IF(R146&lt;'PlayerGrades+'!$AH$5,"A",IF(R146&lt;'PlayerGrades+'!$AH$4,"A+",IF(R146&lt;'PlayerGrades+'!$AH$3,"S-",IF(R146&lt;'PlayerGrades+'!$AH$2,"S","S+"))))))))))))))))))))</f>
        <v>F</v>
      </c>
      <c r="T146" s="937">
        <f t="shared" si="9"/>
        <v>0.2025316456</v>
      </c>
      <c r="U146" s="937" t="str">
        <f>IF(T146&lt;'PlayerGrades+'!$AI$21,"F-",IF(T146&lt;'PlayerGrades+'!$AI$20,"F",IF(T146&lt;'PlayerGrades+'!$AI$19,"F+",IF(T146&lt;'PlayerGrades+'!$AI$18,"E-",IF(T146&lt;'PlayerGrades+'!$AI$17,"E",IF(T146&lt;'PlayerGrades+'!$AI$16,"E+",IF(T146&lt;'PlayerGrades+'!$AI$15,"D-",IF(T146&lt;'PlayerGrades+'!$AI$14,"D",IF(T146&lt;'PlayerGrades+'!$AI$13,"D+",IF(T146&lt;'PlayerGrades+'!$AI$12,"C-",IF(T146&lt;'PlayerGrades+'!$AI$11,"C",IF(T146&lt;'PlayerGrades+'!$AI$10,"C+",IF(T146&lt;'PlayerGrades+'!$AI$9,"B-",IF(T146&lt;'PlayerGrades+'!$AI$8,"B",IF(T146&lt;'PlayerGrades+'!$AI$7,"B+",IF(T146&lt;'PlayerGrades+'!$AI$6,"A-",IF(T146&lt;'PlayerGrades+'!$AI$5,"A",IF(T146&lt;'PlayerGrades+'!$AI$4,"A+",IF(T146&lt;'PlayerGrades+'!$AI$3,"S-",IF(T146&lt;'PlayerGrades+'!$AI$2,"S","S+"))))))))))))))))))))</f>
        <v>F-</v>
      </c>
      <c r="V146" s="939">
        <v>1.0</v>
      </c>
      <c r="W146" s="939">
        <v>1.0</v>
      </c>
      <c r="X146" s="939">
        <v>0.0</v>
      </c>
      <c r="Y146" s="895">
        <v>4.0</v>
      </c>
      <c r="Z146" s="939">
        <v>8.0</v>
      </c>
      <c r="AA146" s="950">
        <v>31.0</v>
      </c>
      <c r="AB146" s="950">
        <v>35.0</v>
      </c>
      <c r="AC146" s="950">
        <v>-4.0</v>
      </c>
      <c r="AD146" s="950">
        <v>2.0</v>
      </c>
      <c r="AE146" s="950">
        <v>3.0</v>
      </c>
      <c r="AF146" s="950">
        <v>0.0</v>
      </c>
      <c r="AG146" s="950">
        <v>1000.0</v>
      </c>
      <c r="AH146" s="950">
        <v>1185.0</v>
      </c>
      <c r="AI146" s="950">
        <v>28.0</v>
      </c>
      <c r="AJ146" s="950">
        <v>708.0</v>
      </c>
      <c r="AK146" s="950">
        <v>0.0</v>
      </c>
      <c r="AL146" s="950">
        <v>0.0</v>
      </c>
      <c r="AM146" s="950">
        <v>0.0</v>
      </c>
      <c r="AN146" s="950">
        <v>0.0</v>
      </c>
      <c r="AO146" s="950">
        <v>0.0</v>
      </c>
      <c r="AP146" s="950">
        <v>0.0</v>
      </c>
      <c r="AQ146" s="950">
        <v>0.0</v>
      </c>
      <c r="AR146" s="950">
        <v>2.0</v>
      </c>
      <c r="AS146" s="950">
        <v>0.0</v>
      </c>
      <c r="AT146" s="950">
        <v>0.0</v>
      </c>
      <c r="AU146" s="950">
        <v>0.0</v>
      </c>
      <c r="AV146" s="950">
        <v>0.0</v>
      </c>
      <c r="AW146" s="950">
        <v>0.0</v>
      </c>
      <c r="AX146" s="950">
        <v>0.0</v>
      </c>
      <c r="AY146" s="950">
        <v>0.0</v>
      </c>
      <c r="AZ146" s="950">
        <v>0.0</v>
      </c>
      <c r="BA146" s="950">
        <v>0.0</v>
      </c>
      <c r="BB146" s="950">
        <v>2.0</v>
      </c>
      <c r="BC146" s="950">
        <v>0.0</v>
      </c>
      <c r="BD146" s="950">
        <v>5.0</v>
      </c>
      <c r="BE146" s="950">
        <v>4.0</v>
      </c>
      <c r="BF146" s="950">
        <v>0.0</v>
      </c>
      <c r="BG146" s="951">
        <v>1.0</v>
      </c>
    </row>
    <row r="147">
      <c r="A147" s="965" t="s">
        <v>131</v>
      </c>
      <c r="B147" s="16" t="str">
        <f>IF(C147&lt;'PlayerGrades+'!$Y$44,"F-",IF(C147&lt;'PlayerGrades+'!$Y$43,"F",IF(C147&lt;'PlayerGrades+'!$Y$42,"F+",IF(C147&lt;'PlayerGrades+'!$Y$41,"E-",IF(C147&lt;'PlayerGrades+'!$Y$40,"E",IF(C147&lt;'PlayerGrades+'!$Y$39,"E+",IF(C147&lt;'PlayerGrades+'!$Y$38,"D-",IF(C147&lt;'PlayerGrades+'!$Y$37,"D",IF(C147&lt;'PlayerGrades+'!$Y$36,"D+",IF(C147&lt;'PlayerGrades+'!$Y$35,"C-",IF(C147&lt;'PlayerGrades+'!$Y$34,"C",IF(C147&lt;'PlayerGrades+'!$Y$33,"C+",IF(C147&lt;'PlayerGrades+'!$Y$32,"B-",IF(C147&lt;'PlayerGrades+'!$Y$31,"B",IF(C147&lt;'PlayerGrades+'!$Y$30,"B+",IF(C147&lt;'PlayerGrades+'!$Y$29,"A-",IF(C147&lt;'PlayerGrades+'!$Y$28,"A",IF(C147&lt;'PlayerGrades+'!$Y$27,"A+",IF(C147&lt;'PlayerGrades+'!$Y$26,"S-",IF(C147&lt;'PlayerGrades+'!$Y$25,"S","S+"))))))))))))))))))))</f>
        <v>D</v>
      </c>
      <c r="C147" s="936">
        <f>('PlayerGrades+'!$Y$47*(VLOOKUP(E147, 'PlayerGrades+'!$X$3:$Y$23, 2, FALSE)))+('PlayerGrades+'!$Y$48*(VLOOKUP(G147, 'PlayerGrades+'!$X$3:$Y$23, 2, FALSE)))+('PlayerGrades+'!$Y$49*(VLOOKUP(I147, 'PlayerGrades+'!$X$3:$Y$23, 2, FALSE)))+('PlayerGrades+'!$Y$50*(VLOOKUP(K147, 'PlayerGrades+'!$X$3:$Y$23, 2, FALSE)))+('PlayerGrades+'!$Y$51*(VLOOKUP(M147, 'PlayerGrades+'!$X$3:$Y$23, 2, FALSE)))+('PlayerGrades+'!$Y$52*(VLOOKUP(O147, 'PlayerGrades+'!$X$3:$Y$23, 2, FALSE)))+('PlayerGrades+'!$Y$53*(VLOOKUP(Q147, 'PlayerGrades+'!$X$3:$Y$23, 2, FALSE)))+('PlayerGrades+'!$Y$54*(VLOOKUP(S147, 'PlayerGrades+'!$X$3:$Y$23, 2, FALSE)))+('PlayerGrades+'!$Y$55*(VLOOKUP(U147, 'PlayerGrades+'!$X$3:$Y$23, 2, FALSE)))</f>
        <v>16.6</v>
      </c>
      <c r="D147" s="937">
        <f t="shared" si="1"/>
        <v>0</v>
      </c>
      <c r="E147" s="937" t="str">
        <f>IF(D147&lt;'PlayerGrades+'!$AA$21,"F-",IF(D147&lt;'PlayerGrades+'!$AA$20,"F",IF(D147&lt;'PlayerGrades+'!$AA$19,"F+",IF(D147&lt;'PlayerGrades+'!$AA$18,"E-",IF(D147&lt;'PlayerGrades+'!$AA$17,"E",IF(D147&lt;'PlayerGrades+'!$AA$16,"E+",IF(D147&lt;'PlayerGrades+'!$AA$15,"D-",IF(D147&lt;'PlayerGrades+'!$AA$14,"D",IF(D147&lt;'PlayerGrades+'!$AA$13,"D+",IF(D147&lt;'PlayerGrades+'!$AA$12,"C-",IF(D147&lt;'PlayerGrades+'!$AA$11,"C",IF(D147&lt;'PlayerGrades+'!$AA$10,"C+",IF(D147&lt;'PlayerGrades+'!$AA$9,"B-",IF(D147&lt;'PlayerGrades+'!$AA$8,"B",IF(D147&lt;'PlayerGrades+'!$AA$7,"B+",IF(D147&lt;'PlayerGrades+'!$AA$6,"A-",IF(D147&lt;'PlayerGrades+'!$AA$5,"A",IF(D147&lt;'PlayerGrades+'!$AA$4,"A+",IF(D147&lt;'PlayerGrades+'!$AA$3,"S-",IF(D147&lt;'PlayerGrades+'!$AA$2,"S","S+"))))))))))))))))))))</f>
        <v>F-</v>
      </c>
      <c r="F147" s="937">
        <f t="shared" si="2"/>
        <v>0.4556962025</v>
      </c>
      <c r="G147" s="937" t="str">
        <f>IF(F147&lt;'PlayerGrades+'!$AB$21,"F-",IF(F147&lt;'PlayerGrades+'!$AB$20,"F",IF(F147&lt;'PlayerGrades+'!$AB$19,"F+",IF(F147&lt;'PlayerGrades+'!$AB$18,"E-",IF(F147&lt;'PlayerGrades+'!$AB$17,"E",IF(F147&lt;'PlayerGrades+'!$AB$16,"E+",IF(F147&lt;'PlayerGrades+'!$AB$15,"D-",IF(F147&lt;'PlayerGrades+'!$AB$14,"D",IF(F147&lt;'PlayerGrades+'!$AB$13,"D+",IF(F147&lt;'PlayerGrades+'!$AB$12,"C-",IF(F147&lt;'PlayerGrades+'!$AB$11,"C",IF(F147&lt;'PlayerGrades+'!$AB$10,"C+",IF(F147&lt;'PlayerGrades+'!$AB$9,"B-",IF(F147&lt;'PlayerGrades+'!$AB$8,"B",IF(F147&lt;'PlayerGrades+'!$AB$7,"B+",IF(F147&lt;'PlayerGrades+'!$AB$6,"A-",IF(F147&lt;'PlayerGrades+'!$AB$5,"A",IF(F147&lt;'PlayerGrades+'!$AB$4,"A+",IF(F147&lt;'PlayerGrades+'!$AB$3,"S-",IF(F147&lt;'PlayerGrades+'!$AB$2,"S","S+"))))))))))))))))))))</f>
        <v>A+</v>
      </c>
      <c r="H147" s="937">
        <f t="shared" si="3"/>
        <v>0.05063291139</v>
      </c>
      <c r="I147" s="937" t="str">
        <f>IF(H147&lt;'PlayerGrades+'!$AC$21,"F-",IF(H147&lt;'PlayerGrades+'!$AC$20,"F",IF(H147&lt;'PlayerGrades+'!$AC$19,"F+",IF(H147&lt;'PlayerGrades+'!$AC$18,"E-",IF(H147&lt;'PlayerGrades+'!$AC$17,"E",IF(H147&lt;'PlayerGrades+'!$AC$16,"E+",IF(H147&lt;'PlayerGrades+'!$AC$15,"D-",IF(H147&lt;'PlayerGrades+'!$AC$14,"D",IF(H147&lt;'PlayerGrades+'!$AC$13,"D+",IF(H147&lt;'PlayerGrades+'!$AC$12,"C-",IF(H147&lt;'PlayerGrades+'!$AC$11,"C",IF(H147&lt;'PlayerGrades+'!$AC$10,"C+",IF(H147&lt;'PlayerGrades+'!$AC$9,"B-",IF(H147&lt;'PlayerGrades+'!$AC$8,"B",IF(H147&lt;'PlayerGrades+'!$AC$7,"B+",IF(H147&lt;'PlayerGrades+'!$AC$6,"A-",IF(H147&lt;'PlayerGrades+'!$AC$5,"A",IF(H147&lt;'PlayerGrades+'!$AC$4,"A+",IF(H147&lt;'PlayerGrades+'!$AC$3,"S-",IF(H147&lt;'PlayerGrades+'!$AC$2,"S","S+"))))))))))))))))))))</f>
        <v>F</v>
      </c>
      <c r="J147" s="937">
        <f t="shared" si="4"/>
        <v>0</v>
      </c>
      <c r="K147" s="937" t="str">
        <f>IF(J147&lt;'PlayerGrades+'!$AD$21,"F-",IF(J147&lt;'PlayerGrades+'!$AD$20,"F",IF(J147&lt;'PlayerGrades+'!$AD$19,"F+",IF(J147&lt;'PlayerGrades+'!$AD$18,"E-",IF(J147&lt;'PlayerGrades+'!$AD$17,"E",IF(J147&lt;'PlayerGrades+'!$AD$16,"E+",IF(J147&lt;'PlayerGrades+'!$AD$15,"D-",IF(J147&lt;'PlayerGrades+'!$AD$14,"D",IF(J147&lt;'PlayerGrades+'!$AD$13,"D+",IF(J147&lt;'PlayerGrades+'!$AD$12,"C-",IF(J147&lt;'PlayerGrades+'!$AD$11,"C",IF(J147&lt;'PlayerGrades+'!$AD$10,"C+",IF(J147&lt;'PlayerGrades+'!$AD$9,"B-",IF(J147&lt;'PlayerGrades+'!$AD$8,"B",IF(J147&lt;'PlayerGrades+'!$AD$7,"B+",IF(J147&lt;'PlayerGrades+'!$AD$6,"A-",IF(J147&lt;'PlayerGrades+'!$AD$5,"A",IF(J147&lt;'PlayerGrades+'!$AD$4,"A+",IF(J147&lt;'PlayerGrades+'!$AD$3,"S-",IF(J147&lt;'PlayerGrades+'!$AD$2,"S","S+"))))))))))))))))))))</f>
        <v>F-</v>
      </c>
      <c r="L147" s="677">
        <f t="shared" si="5"/>
        <v>0.6582278481</v>
      </c>
      <c r="M147" s="938" t="str">
        <f>IF(L147&lt;'PlayerGrades+'!$AE$21,"F-",IF(L147&lt;'PlayerGrades+'!$AE$20,"F",IF(L147&lt;'PlayerGrades+'!$AE$19,"F+",IF(L147&lt;'PlayerGrades+'!$AE$18,"E-",IF(L147&lt;'PlayerGrades+'!$AE$17,"E",IF(L147&lt;'PlayerGrades+'!$AE$16,"E+",IF(L147&lt;'PlayerGrades+'!$AE$15,"D-",IF(L147&lt;'PlayerGrades+'!$AE$14,"D",IF(L147&lt;'PlayerGrades+'!$AE$13,"D+",IF(L147&lt;'PlayerGrades+'!$AE$12,"C-",IF(L147&lt;'PlayerGrades+'!$AE$11,"C",IF(L147&lt;'PlayerGrades+'!$AE$10,"C+",IF(L147&lt;'PlayerGrades+'!$AE$9,"B-",IF(L147&lt;'PlayerGrades+'!$AE$8,"B",IF(L147&lt;'PlayerGrades+'!$AE$7,"B+",IF(L147&lt;'PlayerGrades+'!$AE$6,"A-",IF(L147&lt;'PlayerGrades+'!$AE$5,"A",IF(L147&lt;'PlayerGrades+'!$AE$4,"A+",IF(L147&lt;'PlayerGrades+'!$AE$3,"S-",IF(L147&lt;'PlayerGrades+'!$AE$2,"S","S+"))))))))))))))))))))</f>
        <v>S</v>
      </c>
      <c r="N147" s="937">
        <f t="shared" si="6"/>
        <v>0.05063291139</v>
      </c>
      <c r="O147" s="937" t="str">
        <f>IF(N147&lt;'PlayerGrades+'!$AF$21,"F-",IF(N147&lt;'PlayerGrades+'!$AF$20,"F",IF(N147&lt;'PlayerGrades+'!$AF$19,"F+",IF(N147&lt;'PlayerGrades+'!$AF$18,"E-",IF(N147&lt;'PlayerGrades+'!$AF$17,"E",IF(N147&lt;'PlayerGrades+'!$AF$16,"E+",IF(N147&lt;'PlayerGrades+'!$AF$15,"D-",IF(N147&lt;'PlayerGrades+'!$AF$14,"D",IF(N147&lt;'PlayerGrades+'!$AF$13,"D+",IF(N147&lt;'PlayerGrades+'!$AF$12,"C-",IF(N147&lt;'PlayerGrades+'!$AF$11,"C",IF(N147&lt;'PlayerGrades+'!$AF$10,"C+",IF(N147&lt;'PlayerGrades+'!$AF$9,"B-",IF(N147&lt;'PlayerGrades+'!$AF$8,"B",IF(N147&lt;'PlayerGrades+'!$AF$7,"B+",IF(N147&lt;'PlayerGrades+'!$AF$6,"A-",IF(N147&lt;'PlayerGrades+'!$AF$5,"A",IF(N147&lt;'PlayerGrades+'!$AF$4,"A+",IF(N147&lt;'PlayerGrades+'!$AF$3,"S-",IF(N147&lt;'PlayerGrades+'!$AF$2,"S","S+"))))))))))))))))))))</f>
        <v>D</v>
      </c>
      <c r="P147" s="937">
        <f t="shared" si="7"/>
        <v>0</v>
      </c>
      <c r="Q147" s="937" t="str">
        <f>IF(P147&lt;'PlayerGrades+'!$AG$21,"F-",IF(P147&lt;'PlayerGrades+'!$AG$20,"F",IF(P147&lt;'PlayerGrades+'!$AG$19,"F+",IF(P147&lt;'PlayerGrades+'!$AG$18,"E-",IF(P147&lt;'PlayerGrades+'!$AG$17,"E",IF(P147&lt;'PlayerGrades+'!$AG$16,"E+",IF(P147&lt;'PlayerGrades+'!$AG$15,"D-",IF(P147&lt;'PlayerGrades+'!$AG$14,"D",IF(P147&lt;'PlayerGrades+'!$AG$13,"D+",IF(P147&lt;'PlayerGrades+'!$AG$12,"C-",IF(P147&lt;'PlayerGrades+'!$AG$11,"C",IF(P147&lt;'PlayerGrades+'!$AG$10,"C+",IF(P147&lt;'PlayerGrades+'!$AG$9,"B-",IF(P147&lt;'PlayerGrades+'!$AG$8,"B",IF(P147&lt;'PlayerGrades+'!$AG$7,"B+",IF(P147&lt;'PlayerGrades+'!$AG$6,"A-",IF(P147&lt;'PlayerGrades+'!$AG$5,"A",IF(P147&lt;'PlayerGrades+'!$AG$4,"A+",IF(P147&lt;'PlayerGrades+'!$AG$3,"S-",IF(P147&lt;'PlayerGrades+'!$AG$2,"S","S+"))))))))))))))))))))</f>
        <v>F</v>
      </c>
      <c r="R147" s="937">
        <f t="shared" si="8"/>
        <v>0.4556962025</v>
      </c>
      <c r="S147" s="937" t="str">
        <f>IF(R147&lt;'PlayerGrades+'!$AH$21,"F-",IF(R147&lt;'PlayerGrades+'!$AH$20,"F",IF(R147&lt;'PlayerGrades+'!$AH$19,"F+",IF(R147&lt;'PlayerGrades+'!$AH$18,"E-",IF(R147&lt;'PlayerGrades+'!$AH$17,"E",IF(R147&lt;'PlayerGrades+'!$AH$16,"E+",IF(R147&lt;'PlayerGrades+'!$AH$15,"D-",IF(R147&lt;'PlayerGrades+'!$AH$14,"D",IF(R147&lt;'PlayerGrades+'!$AH$13,"D+",IF(R147&lt;'PlayerGrades+'!$AH$12,"C-",IF(R147&lt;'PlayerGrades+'!$AH$11,"C",IF(R147&lt;'PlayerGrades+'!$AH$10,"C+",IF(R147&lt;'PlayerGrades+'!$AH$9,"B-",IF(R147&lt;'PlayerGrades+'!$AH$8,"B",IF(R147&lt;'PlayerGrades+'!$AH$7,"B+",IF(R147&lt;'PlayerGrades+'!$AH$6,"A-",IF(R147&lt;'PlayerGrades+'!$AH$5,"A",IF(R147&lt;'PlayerGrades+'!$AH$4,"A+",IF(R147&lt;'PlayerGrades+'!$AH$3,"S-",IF(R147&lt;'PlayerGrades+'!$AH$2,"S","S+"))))))))))))))))))))</f>
        <v>E-</v>
      </c>
      <c r="T147" s="937">
        <f t="shared" si="9"/>
        <v>2.607594937</v>
      </c>
      <c r="U147" s="937" t="str">
        <f>IF(T147&lt;'PlayerGrades+'!$AI$21,"F-",IF(T147&lt;'PlayerGrades+'!$AI$20,"F",IF(T147&lt;'PlayerGrades+'!$AI$19,"F+",IF(T147&lt;'PlayerGrades+'!$AI$18,"E-",IF(T147&lt;'PlayerGrades+'!$AI$17,"E",IF(T147&lt;'PlayerGrades+'!$AI$16,"E+",IF(T147&lt;'PlayerGrades+'!$AI$15,"D-",IF(T147&lt;'PlayerGrades+'!$AI$14,"D",IF(T147&lt;'PlayerGrades+'!$AI$13,"D+",IF(T147&lt;'PlayerGrades+'!$AI$12,"C-",IF(T147&lt;'PlayerGrades+'!$AI$11,"C",IF(T147&lt;'PlayerGrades+'!$AI$10,"C+",IF(T147&lt;'PlayerGrades+'!$AI$9,"B-",IF(T147&lt;'PlayerGrades+'!$AI$8,"B",IF(T147&lt;'PlayerGrades+'!$AI$7,"B+",IF(T147&lt;'PlayerGrades+'!$AI$6,"A-",IF(T147&lt;'PlayerGrades+'!$AI$5,"A",IF(T147&lt;'PlayerGrades+'!$AI$4,"A+",IF(T147&lt;'PlayerGrades+'!$AI$3,"S-",IF(T147&lt;'PlayerGrades+'!$AI$2,"S","S+"))))))))))))))))))))</f>
        <v>S+</v>
      </c>
      <c r="V147" s="941">
        <v>1.0</v>
      </c>
      <c r="W147" s="941">
        <v>1.0</v>
      </c>
      <c r="X147" s="941">
        <v>0.0</v>
      </c>
      <c r="Y147" s="941">
        <v>0.0</v>
      </c>
      <c r="Z147" s="941">
        <v>0.0</v>
      </c>
      <c r="AA147" s="952">
        <v>75.0</v>
      </c>
      <c r="AB147" s="952">
        <v>66.0</v>
      </c>
      <c r="AC147" s="952">
        <v>9.0</v>
      </c>
      <c r="AD147" s="952">
        <v>4.0</v>
      </c>
      <c r="AE147" s="952">
        <v>4.0</v>
      </c>
      <c r="AF147" s="952">
        <v>2.0</v>
      </c>
      <c r="AG147" s="952">
        <v>910.0</v>
      </c>
      <c r="AH147" s="952">
        <v>1185.0</v>
      </c>
      <c r="AI147" s="952">
        <v>13.0</v>
      </c>
      <c r="AJ147" s="952">
        <v>8.0</v>
      </c>
      <c r="AK147" s="952">
        <v>0.0</v>
      </c>
      <c r="AL147" s="952">
        <v>0.0</v>
      </c>
      <c r="AM147" s="952">
        <v>0.0</v>
      </c>
      <c r="AN147" s="952">
        <v>0.0</v>
      </c>
      <c r="AO147" s="952">
        <v>0.0</v>
      </c>
      <c r="AP147" s="952">
        <v>0.0</v>
      </c>
      <c r="AQ147" s="952">
        <v>0.0</v>
      </c>
      <c r="AR147" s="952">
        <v>13.0</v>
      </c>
      <c r="AS147" s="952">
        <v>1.0</v>
      </c>
      <c r="AT147" s="952">
        <v>0.0</v>
      </c>
      <c r="AU147" s="952">
        <v>0.0</v>
      </c>
      <c r="AV147" s="952">
        <v>0.0</v>
      </c>
      <c r="AW147" s="952">
        <v>0.0</v>
      </c>
      <c r="AX147" s="952">
        <v>0.0</v>
      </c>
      <c r="AY147" s="952">
        <v>0.0</v>
      </c>
      <c r="AZ147" s="952">
        <v>0.0</v>
      </c>
      <c r="BA147" s="952">
        <v>0.0</v>
      </c>
      <c r="BB147" s="952">
        <v>1.0</v>
      </c>
      <c r="BC147" s="952">
        <v>0.0</v>
      </c>
      <c r="BD147" s="952">
        <v>5.0</v>
      </c>
      <c r="BE147" s="952">
        <v>12.0</v>
      </c>
      <c r="BF147" s="952">
        <v>2.0</v>
      </c>
      <c r="BG147" s="954">
        <v>1.0</v>
      </c>
    </row>
    <row r="148">
      <c r="A148" s="965" t="s">
        <v>120</v>
      </c>
      <c r="B148" s="16" t="str">
        <f>IF(C148&lt;'PlayerGrades+'!$Y$44,"F-",IF(C148&lt;'PlayerGrades+'!$Y$43,"F",IF(C148&lt;'PlayerGrades+'!$Y$42,"F+",IF(C148&lt;'PlayerGrades+'!$Y$41,"E-",IF(C148&lt;'PlayerGrades+'!$Y$40,"E",IF(C148&lt;'PlayerGrades+'!$Y$39,"E+",IF(C148&lt;'PlayerGrades+'!$Y$38,"D-",IF(C148&lt;'PlayerGrades+'!$Y$37,"D",IF(C148&lt;'PlayerGrades+'!$Y$36,"D+",IF(C148&lt;'PlayerGrades+'!$Y$35,"C-",IF(C148&lt;'PlayerGrades+'!$Y$34,"C",IF(C148&lt;'PlayerGrades+'!$Y$33,"C+",IF(C148&lt;'PlayerGrades+'!$Y$32,"B-",IF(C148&lt;'PlayerGrades+'!$Y$31,"B",IF(C148&lt;'PlayerGrades+'!$Y$30,"B+",IF(C148&lt;'PlayerGrades+'!$Y$29,"A-",IF(C148&lt;'PlayerGrades+'!$Y$28,"A",IF(C148&lt;'PlayerGrades+'!$Y$27,"A+",IF(C148&lt;'PlayerGrades+'!$Y$26,"S-",IF(C148&lt;'PlayerGrades+'!$Y$25,"S","S+"))))))))))))))))))))</f>
        <v>S</v>
      </c>
      <c r="C148" s="936">
        <f>('PlayerGrades+'!$Y$47*(VLOOKUP(E148, 'PlayerGrades+'!$X$3:$Y$23, 2, FALSE)))+('PlayerGrades+'!$Y$48*(VLOOKUP(G148, 'PlayerGrades+'!$X$3:$Y$23, 2, FALSE)))+('PlayerGrades+'!$Y$49*(VLOOKUP(I148, 'PlayerGrades+'!$X$3:$Y$23, 2, FALSE)))+('PlayerGrades+'!$Y$50*(VLOOKUP(K148, 'PlayerGrades+'!$X$3:$Y$23, 2, FALSE)))+('PlayerGrades+'!$Y$51*(VLOOKUP(M148, 'PlayerGrades+'!$X$3:$Y$23, 2, FALSE)))+('PlayerGrades+'!$Y$52*(VLOOKUP(O148, 'PlayerGrades+'!$X$3:$Y$23, 2, FALSE)))+('PlayerGrades+'!$Y$53*(VLOOKUP(Q148, 'PlayerGrades+'!$X$3:$Y$23, 2, FALSE)))+('PlayerGrades+'!$Y$54*(VLOOKUP(S148, 'PlayerGrades+'!$X$3:$Y$23, 2, FALSE)))+('PlayerGrades+'!$Y$55*(VLOOKUP(U148, 'PlayerGrades+'!$X$3:$Y$23, 2, FALSE)))</f>
        <v>32.1</v>
      </c>
      <c r="D148" s="937">
        <f t="shared" si="1"/>
        <v>0</v>
      </c>
      <c r="E148" s="937" t="str">
        <f>IF(D148&lt;'PlayerGrades+'!$AA$21,"F-",IF(D148&lt;'PlayerGrades+'!$AA$20,"F",IF(D148&lt;'PlayerGrades+'!$AA$19,"F+",IF(D148&lt;'PlayerGrades+'!$AA$18,"E-",IF(D148&lt;'PlayerGrades+'!$AA$17,"E",IF(D148&lt;'PlayerGrades+'!$AA$16,"E+",IF(D148&lt;'PlayerGrades+'!$AA$15,"D-",IF(D148&lt;'PlayerGrades+'!$AA$14,"D",IF(D148&lt;'PlayerGrades+'!$AA$13,"D+",IF(D148&lt;'PlayerGrades+'!$AA$12,"C-",IF(D148&lt;'PlayerGrades+'!$AA$11,"C",IF(D148&lt;'PlayerGrades+'!$AA$10,"C+",IF(D148&lt;'PlayerGrades+'!$AA$9,"B-",IF(D148&lt;'PlayerGrades+'!$AA$8,"B",IF(D148&lt;'PlayerGrades+'!$AA$7,"B+",IF(D148&lt;'PlayerGrades+'!$AA$6,"A-",IF(D148&lt;'PlayerGrades+'!$AA$5,"A",IF(D148&lt;'PlayerGrades+'!$AA$4,"A+",IF(D148&lt;'PlayerGrades+'!$AA$3,"S-",IF(D148&lt;'PlayerGrades+'!$AA$2,"S","S+"))))))))))))))))))))</f>
        <v>F-</v>
      </c>
      <c r="F148" s="937">
        <f t="shared" si="2"/>
        <v>1.164556962</v>
      </c>
      <c r="G148" s="937" t="str">
        <f>IF(F148&lt;'PlayerGrades+'!$AB$21,"F-",IF(F148&lt;'PlayerGrades+'!$AB$20,"F",IF(F148&lt;'PlayerGrades+'!$AB$19,"F+",IF(F148&lt;'PlayerGrades+'!$AB$18,"E-",IF(F148&lt;'PlayerGrades+'!$AB$17,"E",IF(F148&lt;'PlayerGrades+'!$AB$16,"E+",IF(F148&lt;'PlayerGrades+'!$AB$15,"D-",IF(F148&lt;'PlayerGrades+'!$AB$14,"D",IF(F148&lt;'PlayerGrades+'!$AB$13,"D+",IF(F148&lt;'PlayerGrades+'!$AB$12,"C-",IF(F148&lt;'PlayerGrades+'!$AB$11,"C",IF(F148&lt;'PlayerGrades+'!$AB$10,"C+",IF(F148&lt;'PlayerGrades+'!$AB$9,"B-",IF(F148&lt;'PlayerGrades+'!$AB$8,"B",IF(F148&lt;'PlayerGrades+'!$AB$7,"B+",IF(F148&lt;'PlayerGrades+'!$AB$6,"A-",IF(F148&lt;'PlayerGrades+'!$AB$5,"A",IF(F148&lt;'PlayerGrades+'!$AB$4,"A+",IF(F148&lt;'PlayerGrades+'!$AB$3,"S-",IF(F148&lt;'PlayerGrades+'!$AB$2,"S","S+"))))))))))))))))))))</f>
        <v>S+</v>
      </c>
      <c r="H148" s="937">
        <f t="shared" si="3"/>
        <v>0.1518987342</v>
      </c>
      <c r="I148" s="937" t="str">
        <f>IF(H148&lt;'PlayerGrades+'!$AC$21,"F-",IF(H148&lt;'PlayerGrades+'!$AC$20,"F",IF(H148&lt;'PlayerGrades+'!$AC$19,"F+",IF(H148&lt;'PlayerGrades+'!$AC$18,"E-",IF(H148&lt;'PlayerGrades+'!$AC$17,"E",IF(H148&lt;'PlayerGrades+'!$AC$16,"E+",IF(H148&lt;'PlayerGrades+'!$AC$15,"D-",IF(H148&lt;'PlayerGrades+'!$AC$14,"D",IF(H148&lt;'PlayerGrades+'!$AC$13,"D+",IF(H148&lt;'PlayerGrades+'!$AC$12,"C-",IF(H148&lt;'PlayerGrades+'!$AC$11,"C",IF(H148&lt;'PlayerGrades+'!$AC$10,"C+",IF(H148&lt;'PlayerGrades+'!$AC$9,"B-",IF(H148&lt;'PlayerGrades+'!$AC$8,"B",IF(H148&lt;'PlayerGrades+'!$AC$7,"B+",IF(H148&lt;'PlayerGrades+'!$AC$6,"A-",IF(H148&lt;'PlayerGrades+'!$AC$5,"A",IF(H148&lt;'PlayerGrades+'!$AC$4,"A+",IF(H148&lt;'PlayerGrades+'!$AC$3,"S-",IF(H148&lt;'PlayerGrades+'!$AC$2,"S","S+"))))))))))))))))))))</f>
        <v>A</v>
      </c>
      <c r="J148" s="937">
        <f t="shared" si="4"/>
        <v>0.1012658228</v>
      </c>
      <c r="K148" s="937" t="str">
        <f>IF(J148&lt;'PlayerGrades+'!$AD$21,"F-",IF(J148&lt;'PlayerGrades+'!$AD$20,"F",IF(J148&lt;'PlayerGrades+'!$AD$19,"F+",IF(J148&lt;'PlayerGrades+'!$AD$18,"E-",IF(J148&lt;'PlayerGrades+'!$AD$17,"E",IF(J148&lt;'PlayerGrades+'!$AD$16,"E+",IF(J148&lt;'PlayerGrades+'!$AD$15,"D-",IF(J148&lt;'PlayerGrades+'!$AD$14,"D",IF(J148&lt;'PlayerGrades+'!$AD$13,"D+",IF(J148&lt;'PlayerGrades+'!$AD$12,"C-",IF(J148&lt;'PlayerGrades+'!$AD$11,"C",IF(J148&lt;'PlayerGrades+'!$AD$10,"C+",IF(J148&lt;'PlayerGrades+'!$AD$9,"B-",IF(J148&lt;'PlayerGrades+'!$AD$8,"B",IF(J148&lt;'PlayerGrades+'!$AD$7,"B+",IF(J148&lt;'PlayerGrades+'!$AD$6,"A-",IF(J148&lt;'PlayerGrades+'!$AD$5,"A",IF(J148&lt;'PlayerGrades+'!$AD$4,"A+",IF(J148&lt;'PlayerGrades+'!$AD$3,"S-",IF(J148&lt;'PlayerGrades+'!$AD$2,"S","S+"))))))))))))))))))))</f>
        <v>S</v>
      </c>
      <c r="L148" s="677">
        <f t="shared" si="5"/>
        <v>0.7088607595</v>
      </c>
      <c r="M148" s="938" t="str">
        <f>IF(L148&lt;'PlayerGrades+'!$AE$21,"F-",IF(L148&lt;'PlayerGrades+'!$AE$20,"F",IF(L148&lt;'PlayerGrades+'!$AE$19,"F+",IF(L148&lt;'PlayerGrades+'!$AE$18,"E-",IF(L148&lt;'PlayerGrades+'!$AE$17,"E",IF(L148&lt;'PlayerGrades+'!$AE$16,"E+",IF(L148&lt;'PlayerGrades+'!$AE$15,"D-",IF(L148&lt;'PlayerGrades+'!$AE$14,"D",IF(L148&lt;'PlayerGrades+'!$AE$13,"D+",IF(L148&lt;'PlayerGrades+'!$AE$12,"C-",IF(L148&lt;'PlayerGrades+'!$AE$11,"C",IF(L148&lt;'PlayerGrades+'!$AE$10,"C+",IF(L148&lt;'PlayerGrades+'!$AE$9,"B-",IF(L148&lt;'PlayerGrades+'!$AE$8,"B",IF(L148&lt;'PlayerGrades+'!$AE$7,"B+",IF(L148&lt;'PlayerGrades+'!$AE$6,"A-",IF(L148&lt;'PlayerGrades+'!$AE$5,"A",IF(L148&lt;'PlayerGrades+'!$AE$4,"A+",IF(L148&lt;'PlayerGrades+'!$AE$3,"S-",IF(L148&lt;'PlayerGrades+'!$AE$2,"S","S+"))))))))))))))))))))</f>
        <v>S+</v>
      </c>
      <c r="N148" s="937">
        <f t="shared" si="6"/>
        <v>0.1518987342</v>
      </c>
      <c r="O148" s="937" t="str">
        <f>IF(N148&lt;'PlayerGrades+'!$AF$21,"F-",IF(N148&lt;'PlayerGrades+'!$AF$20,"F",IF(N148&lt;'PlayerGrades+'!$AF$19,"F+",IF(N148&lt;'PlayerGrades+'!$AF$18,"E-",IF(N148&lt;'PlayerGrades+'!$AF$17,"E",IF(N148&lt;'PlayerGrades+'!$AF$16,"E+",IF(N148&lt;'PlayerGrades+'!$AF$15,"D-",IF(N148&lt;'PlayerGrades+'!$AF$14,"D",IF(N148&lt;'PlayerGrades+'!$AF$13,"D+",IF(N148&lt;'PlayerGrades+'!$AF$12,"C-",IF(N148&lt;'PlayerGrades+'!$AF$11,"C",IF(N148&lt;'PlayerGrades+'!$AF$10,"C+",IF(N148&lt;'PlayerGrades+'!$AF$9,"B-",IF(N148&lt;'PlayerGrades+'!$AF$8,"B",IF(N148&lt;'PlayerGrades+'!$AF$7,"B+",IF(N148&lt;'PlayerGrades+'!$AF$6,"A-",IF(N148&lt;'PlayerGrades+'!$AF$5,"A",IF(N148&lt;'PlayerGrades+'!$AF$4,"A+",IF(N148&lt;'PlayerGrades+'!$AF$3,"S-",IF(N148&lt;'PlayerGrades+'!$AF$2,"S","S+"))))))))))))))))))))</f>
        <v>S+</v>
      </c>
      <c r="P148" s="937">
        <f t="shared" si="7"/>
        <v>0.1012658228</v>
      </c>
      <c r="Q148" s="937" t="str">
        <f>IF(P148&lt;'PlayerGrades+'!$AG$21,"F-",IF(P148&lt;'PlayerGrades+'!$AG$20,"F",IF(P148&lt;'PlayerGrades+'!$AG$19,"F+",IF(P148&lt;'PlayerGrades+'!$AG$18,"E-",IF(P148&lt;'PlayerGrades+'!$AG$17,"E",IF(P148&lt;'PlayerGrades+'!$AG$16,"E+",IF(P148&lt;'PlayerGrades+'!$AG$15,"D-",IF(P148&lt;'PlayerGrades+'!$AG$14,"D",IF(P148&lt;'PlayerGrades+'!$AG$13,"D+",IF(P148&lt;'PlayerGrades+'!$AG$12,"C-",IF(P148&lt;'PlayerGrades+'!$AG$11,"C",IF(P148&lt;'PlayerGrades+'!$AG$10,"C+",IF(P148&lt;'PlayerGrades+'!$AG$9,"B-",IF(P148&lt;'PlayerGrades+'!$AG$8,"B",IF(P148&lt;'PlayerGrades+'!$AG$7,"B+",IF(P148&lt;'PlayerGrades+'!$AG$6,"A-",IF(P148&lt;'PlayerGrades+'!$AG$5,"A",IF(P148&lt;'PlayerGrades+'!$AG$4,"A+",IF(P148&lt;'PlayerGrades+'!$AG$3,"S-",IF(P148&lt;'PlayerGrades+'!$AG$2,"S","S+"))))))))))))))))))))</f>
        <v>S+</v>
      </c>
      <c r="R148" s="937">
        <f t="shared" si="8"/>
        <v>1.012658228</v>
      </c>
      <c r="S148" s="937" t="str">
        <f>IF(R148&lt;'PlayerGrades+'!$AH$21,"F-",IF(R148&lt;'PlayerGrades+'!$AH$20,"F",IF(R148&lt;'PlayerGrades+'!$AH$19,"F+",IF(R148&lt;'PlayerGrades+'!$AH$18,"E-",IF(R148&lt;'PlayerGrades+'!$AH$17,"E",IF(R148&lt;'PlayerGrades+'!$AH$16,"E+",IF(R148&lt;'PlayerGrades+'!$AH$15,"D-",IF(R148&lt;'PlayerGrades+'!$AH$14,"D",IF(R148&lt;'PlayerGrades+'!$AH$13,"D+",IF(R148&lt;'PlayerGrades+'!$AH$12,"C-",IF(R148&lt;'PlayerGrades+'!$AH$11,"C",IF(R148&lt;'PlayerGrades+'!$AH$10,"C+",IF(R148&lt;'PlayerGrades+'!$AH$9,"B-",IF(R148&lt;'PlayerGrades+'!$AH$8,"B",IF(R148&lt;'PlayerGrades+'!$AH$7,"B+",IF(R148&lt;'PlayerGrades+'!$AH$6,"A-",IF(R148&lt;'PlayerGrades+'!$AH$5,"A",IF(R148&lt;'PlayerGrades+'!$AH$4,"A+",IF(R148&lt;'PlayerGrades+'!$AH$3,"S-",IF(R148&lt;'PlayerGrades+'!$AH$2,"S","S+"))))))))))))))))))))</f>
        <v>S+</v>
      </c>
      <c r="T148" s="937">
        <f t="shared" si="9"/>
        <v>1.506329114</v>
      </c>
      <c r="U148" s="937" t="str">
        <f>IF(T148&lt;'PlayerGrades+'!$AI$21,"F-",IF(T148&lt;'PlayerGrades+'!$AI$20,"F",IF(T148&lt;'PlayerGrades+'!$AI$19,"F+",IF(T148&lt;'PlayerGrades+'!$AI$18,"E-",IF(T148&lt;'PlayerGrades+'!$AI$17,"E",IF(T148&lt;'PlayerGrades+'!$AI$16,"E+",IF(T148&lt;'PlayerGrades+'!$AI$15,"D-",IF(T148&lt;'PlayerGrades+'!$AI$14,"D",IF(T148&lt;'PlayerGrades+'!$AI$13,"D+",IF(T148&lt;'PlayerGrades+'!$AI$12,"C-",IF(T148&lt;'PlayerGrades+'!$AI$11,"C",IF(T148&lt;'PlayerGrades+'!$AI$10,"C+",IF(T148&lt;'PlayerGrades+'!$AI$9,"B-",IF(T148&lt;'PlayerGrades+'!$AI$8,"B",IF(T148&lt;'PlayerGrades+'!$AI$7,"B+",IF(T148&lt;'PlayerGrades+'!$AI$6,"A-",IF(T148&lt;'PlayerGrades+'!$AI$5,"A",IF(T148&lt;'PlayerGrades+'!$AI$4,"A+",IF(T148&lt;'PlayerGrades+'!$AI$3,"S-",IF(T148&lt;'PlayerGrades+'!$AI$2,"S","S+"))))))))))))))))))))</f>
        <v>A</v>
      </c>
      <c r="V148" s="941">
        <v>1.0</v>
      </c>
      <c r="W148" s="941">
        <v>1.0</v>
      </c>
      <c r="X148" s="941">
        <v>0.0</v>
      </c>
      <c r="Y148" s="941">
        <v>0.0</v>
      </c>
      <c r="Z148" s="941">
        <v>0.0</v>
      </c>
      <c r="AA148" s="952">
        <v>88.0</v>
      </c>
      <c r="AB148" s="952">
        <v>65.0</v>
      </c>
      <c r="AC148" s="952">
        <v>23.0</v>
      </c>
      <c r="AD148" s="952">
        <v>6.0</v>
      </c>
      <c r="AE148" s="952">
        <v>8.0</v>
      </c>
      <c r="AF148" s="952">
        <v>1.0</v>
      </c>
      <c r="AG148" s="952">
        <v>917.0</v>
      </c>
      <c r="AH148" s="952">
        <v>1185.0</v>
      </c>
      <c r="AI148" s="952">
        <v>14.0</v>
      </c>
      <c r="AJ148" s="952">
        <v>1.0</v>
      </c>
      <c r="AK148" s="952">
        <v>0.0</v>
      </c>
      <c r="AL148" s="952">
        <v>2.0</v>
      </c>
      <c r="AM148" s="952">
        <v>0.0</v>
      </c>
      <c r="AN148" s="952">
        <v>0.0</v>
      </c>
      <c r="AO148" s="952">
        <v>0.0</v>
      </c>
      <c r="AP148" s="952">
        <v>2.0</v>
      </c>
      <c r="AQ148" s="952">
        <v>0.0</v>
      </c>
      <c r="AR148" s="952">
        <v>14.0</v>
      </c>
      <c r="AS148" s="952">
        <v>3.0</v>
      </c>
      <c r="AT148" s="952">
        <v>2.0</v>
      </c>
      <c r="AU148" s="952">
        <v>1.0</v>
      </c>
      <c r="AV148" s="952">
        <v>0.0</v>
      </c>
      <c r="AW148" s="952">
        <v>0.0</v>
      </c>
      <c r="AX148" s="952">
        <v>0.0</v>
      </c>
      <c r="AY148" s="952">
        <v>0.0</v>
      </c>
      <c r="AZ148" s="952">
        <v>0.0</v>
      </c>
      <c r="BA148" s="952">
        <v>0.0</v>
      </c>
      <c r="BB148" s="952">
        <v>3.0</v>
      </c>
      <c r="BC148" s="952">
        <v>0.0</v>
      </c>
      <c r="BD148" s="952">
        <v>14.0</v>
      </c>
      <c r="BE148" s="952">
        <v>10.0</v>
      </c>
      <c r="BF148" s="952">
        <v>1.0</v>
      </c>
      <c r="BG148" s="954">
        <v>1.0</v>
      </c>
    </row>
    <row r="149">
      <c r="A149" s="965" t="s">
        <v>142</v>
      </c>
      <c r="B149" s="16" t="str">
        <f>IF(C149&lt;'PlayerGrades+'!$Y$44,"F-",IF(C149&lt;'PlayerGrades+'!$Y$43,"F",IF(C149&lt;'PlayerGrades+'!$Y$42,"F+",IF(C149&lt;'PlayerGrades+'!$Y$41,"E-",IF(C149&lt;'PlayerGrades+'!$Y$40,"E",IF(C149&lt;'PlayerGrades+'!$Y$39,"E+",IF(C149&lt;'PlayerGrades+'!$Y$38,"D-",IF(C149&lt;'PlayerGrades+'!$Y$37,"D",IF(C149&lt;'PlayerGrades+'!$Y$36,"D+",IF(C149&lt;'PlayerGrades+'!$Y$35,"C-",IF(C149&lt;'PlayerGrades+'!$Y$34,"C",IF(C149&lt;'PlayerGrades+'!$Y$33,"C+",IF(C149&lt;'PlayerGrades+'!$Y$32,"B-",IF(C149&lt;'PlayerGrades+'!$Y$31,"B",IF(C149&lt;'PlayerGrades+'!$Y$30,"B+",IF(C149&lt;'PlayerGrades+'!$Y$29,"A-",IF(C149&lt;'PlayerGrades+'!$Y$28,"A",IF(C149&lt;'PlayerGrades+'!$Y$27,"A+",IF(C149&lt;'PlayerGrades+'!$Y$26,"S-",IF(C149&lt;'PlayerGrades+'!$Y$25,"S","S+"))))))))))))))))))))</f>
        <v>C</v>
      </c>
      <c r="C149" s="936">
        <f>('PlayerGrades+'!$Y$47*(VLOOKUP(E149, 'PlayerGrades+'!$X$3:$Y$23, 2, FALSE)))+('PlayerGrades+'!$Y$48*(VLOOKUP(G149, 'PlayerGrades+'!$X$3:$Y$23, 2, FALSE)))+('PlayerGrades+'!$Y$49*(VLOOKUP(I149, 'PlayerGrades+'!$X$3:$Y$23, 2, FALSE)))+('PlayerGrades+'!$Y$50*(VLOOKUP(K149, 'PlayerGrades+'!$X$3:$Y$23, 2, FALSE)))+('PlayerGrades+'!$Y$51*(VLOOKUP(M149, 'PlayerGrades+'!$X$3:$Y$23, 2, FALSE)))+('PlayerGrades+'!$Y$52*(VLOOKUP(O149, 'PlayerGrades+'!$X$3:$Y$23, 2, FALSE)))+('PlayerGrades+'!$Y$53*(VLOOKUP(Q149, 'PlayerGrades+'!$X$3:$Y$23, 2, FALSE)))+('PlayerGrades+'!$Y$54*(VLOOKUP(S149, 'PlayerGrades+'!$X$3:$Y$23, 2, FALSE)))+('PlayerGrades+'!$Y$55*(VLOOKUP(U149, 'PlayerGrades+'!$X$3:$Y$23, 2, FALSE)))</f>
        <v>19.85</v>
      </c>
      <c r="D149" s="937">
        <f t="shared" si="1"/>
        <v>0</v>
      </c>
      <c r="E149" s="937" t="str">
        <f>IF(D149&lt;'PlayerGrades+'!$AA$21,"F-",IF(D149&lt;'PlayerGrades+'!$AA$20,"F",IF(D149&lt;'PlayerGrades+'!$AA$19,"F+",IF(D149&lt;'PlayerGrades+'!$AA$18,"E-",IF(D149&lt;'PlayerGrades+'!$AA$17,"E",IF(D149&lt;'PlayerGrades+'!$AA$16,"E+",IF(D149&lt;'PlayerGrades+'!$AA$15,"D-",IF(D149&lt;'PlayerGrades+'!$AA$14,"D",IF(D149&lt;'PlayerGrades+'!$AA$13,"D+",IF(D149&lt;'PlayerGrades+'!$AA$12,"C-",IF(D149&lt;'PlayerGrades+'!$AA$11,"C",IF(D149&lt;'PlayerGrades+'!$AA$10,"C+",IF(D149&lt;'PlayerGrades+'!$AA$9,"B-",IF(D149&lt;'PlayerGrades+'!$AA$8,"B",IF(D149&lt;'PlayerGrades+'!$AA$7,"B+",IF(D149&lt;'PlayerGrades+'!$AA$6,"A-",IF(D149&lt;'PlayerGrades+'!$AA$5,"A",IF(D149&lt;'PlayerGrades+'!$AA$4,"A+",IF(D149&lt;'PlayerGrades+'!$AA$3,"S-",IF(D149&lt;'PlayerGrades+'!$AA$2,"S","S+"))))))))))))))))))))</f>
        <v>F-</v>
      </c>
      <c r="F149" s="937">
        <f t="shared" si="2"/>
        <v>0.253164557</v>
      </c>
      <c r="G149" s="937" t="str">
        <f>IF(F149&lt;'PlayerGrades+'!$AB$21,"F-",IF(F149&lt;'PlayerGrades+'!$AB$20,"F",IF(F149&lt;'PlayerGrades+'!$AB$19,"F+",IF(F149&lt;'PlayerGrades+'!$AB$18,"E-",IF(F149&lt;'PlayerGrades+'!$AB$17,"E",IF(F149&lt;'PlayerGrades+'!$AB$16,"E+",IF(F149&lt;'PlayerGrades+'!$AB$15,"D-",IF(F149&lt;'PlayerGrades+'!$AB$14,"D",IF(F149&lt;'PlayerGrades+'!$AB$13,"D+",IF(F149&lt;'PlayerGrades+'!$AB$12,"C-",IF(F149&lt;'PlayerGrades+'!$AB$11,"C",IF(F149&lt;'PlayerGrades+'!$AB$10,"C+",IF(F149&lt;'PlayerGrades+'!$AB$9,"B-",IF(F149&lt;'PlayerGrades+'!$AB$8,"B",IF(F149&lt;'PlayerGrades+'!$AB$7,"B+",IF(F149&lt;'PlayerGrades+'!$AB$6,"A-",IF(F149&lt;'PlayerGrades+'!$AB$5,"A",IF(F149&lt;'PlayerGrades+'!$AB$4,"A+",IF(F149&lt;'PlayerGrades+'!$AB$3,"S-",IF(F149&lt;'PlayerGrades+'!$AB$2,"S","S+"))))))))))))))))))))</f>
        <v>B+</v>
      </c>
      <c r="H149" s="937">
        <f t="shared" si="3"/>
        <v>0.1518987342</v>
      </c>
      <c r="I149" s="937" t="str">
        <f>IF(H149&lt;'PlayerGrades+'!$AC$21,"F-",IF(H149&lt;'PlayerGrades+'!$AC$20,"F",IF(H149&lt;'PlayerGrades+'!$AC$19,"F+",IF(H149&lt;'PlayerGrades+'!$AC$18,"E-",IF(H149&lt;'PlayerGrades+'!$AC$17,"E",IF(H149&lt;'PlayerGrades+'!$AC$16,"E+",IF(H149&lt;'PlayerGrades+'!$AC$15,"D-",IF(H149&lt;'PlayerGrades+'!$AC$14,"D",IF(H149&lt;'PlayerGrades+'!$AC$13,"D+",IF(H149&lt;'PlayerGrades+'!$AC$12,"C-",IF(H149&lt;'PlayerGrades+'!$AC$11,"C",IF(H149&lt;'PlayerGrades+'!$AC$10,"C+",IF(H149&lt;'PlayerGrades+'!$AC$9,"B-",IF(H149&lt;'PlayerGrades+'!$AC$8,"B",IF(H149&lt;'PlayerGrades+'!$AC$7,"B+",IF(H149&lt;'PlayerGrades+'!$AC$6,"A-",IF(H149&lt;'PlayerGrades+'!$AC$5,"A",IF(H149&lt;'PlayerGrades+'!$AC$4,"A+",IF(H149&lt;'PlayerGrades+'!$AC$3,"S-",IF(H149&lt;'PlayerGrades+'!$AC$2,"S","S+"))))))))))))))))))))</f>
        <v>A</v>
      </c>
      <c r="J149" s="937">
        <f t="shared" si="4"/>
        <v>0.1518987342</v>
      </c>
      <c r="K149" s="937" t="str">
        <f>IF(J149&lt;'PlayerGrades+'!$AD$21,"F-",IF(J149&lt;'PlayerGrades+'!$AD$20,"F",IF(J149&lt;'PlayerGrades+'!$AD$19,"F+",IF(J149&lt;'PlayerGrades+'!$AD$18,"E-",IF(J149&lt;'PlayerGrades+'!$AD$17,"E",IF(J149&lt;'PlayerGrades+'!$AD$16,"E+",IF(J149&lt;'PlayerGrades+'!$AD$15,"D-",IF(J149&lt;'PlayerGrades+'!$AD$14,"D",IF(J149&lt;'PlayerGrades+'!$AD$13,"D+",IF(J149&lt;'PlayerGrades+'!$AD$12,"C-",IF(J149&lt;'PlayerGrades+'!$AD$11,"C",IF(J149&lt;'PlayerGrades+'!$AD$10,"C+",IF(J149&lt;'PlayerGrades+'!$AD$9,"B-",IF(J149&lt;'PlayerGrades+'!$AD$8,"B",IF(J149&lt;'PlayerGrades+'!$AD$7,"B+",IF(J149&lt;'PlayerGrades+'!$AD$6,"A-",IF(J149&lt;'PlayerGrades+'!$AD$5,"A",IF(J149&lt;'PlayerGrades+'!$AD$4,"A+",IF(J149&lt;'PlayerGrades+'!$AD$3,"S-",IF(J149&lt;'PlayerGrades+'!$AD$2,"S","S+"))))))))))))))))))))</f>
        <v>S+</v>
      </c>
      <c r="L149" s="677">
        <f t="shared" si="5"/>
        <v>0.6075949367</v>
      </c>
      <c r="M149" s="938" t="str">
        <f>IF(L149&lt;'PlayerGrades+'!$AE$21,"F-",IF(L149&lt;'PlayerGrades+'!$AE$20,"F",IF(L149&lt;'PlayerGrades+'!$AE$19,"F+",IF(L149&lt;'PlayerGrades+'!$AE$18,"E-",IF(L149&lt;'PlayerGrades+'!$AE$17,"E",IF(L149&lt;'PlayerGrades+'!$AE$16,"E+",IF(L149&lt;'PlayerGrades+'!$AE$15,"D-",IF(L149&lt;'PlayerGrades+'!$AE$14,"D",IF(L149&lt;'PlayerGrades+'!$AE$13,"D+",IF(L149&lt;'PlayerGrades+'!$AE$12,"C-",IF(L149&lt;'PlayerGrades+'!$AE$11,"C",IF(L149&lt;'PlayerGrades+'!$AE$10,"C+",IF(L149&lt;'PlayerGrades+'!$AE$9,"B-",IF(L149&lt;'PlayerGrades+'!$AE$8,"B",IF(L149&lt;'PlayerGrades+'!$AE$7,"B+",IF(L149&lt;'PlayerGrades+'!$AE$6,"A-",IF(L149&lt;'PlayerGrades+'!$AE$5,"A",IF(L149&lt;'PlayerGrades+'!$AE$4,"A+",IF(L149&lt;'PlayerGrades+'!$AE$3,"S-",IF(L149&lt;'PlayerGrades+'!$AE$2,"S","S+"))))))))))))))))))))</f>
        <v>A+</v>
      </c>
      <c r="N149" s="937">
        <f t="shared" si="6"/>
        <v>0.05063291139</v>
      </c>
      <c r="O149" s="937" t="str">
        <f>IF(N149&lt;'PlayerGrades+'!$AF$21,"F-",IF(N149&lt;'PlayerGrades+'!$AF$20,"F",IF(N149&lt;'PlayerGrades+'!$AF$19,"F+",IF(N149&lt;'PlayerGrades+'!$AF$18,"E-",IF(N149&lt;'PlayerGrades+'!$AF$17,"E",IF(N149&lt;'PlayerGrades+'!$AF$16,"E+",IF(N149&lt;'PlayerGrades+'!$AF$15,"D-",IF(N149&lt;'PlayerGrades+'!$AF$14,"D",IF(N149&lt;'PlayerGrades+'!$AF$13,"D+",IF(N149&lt;'PlayerGrades+'!$AF$12,"C-",IF(N149&lt;'PlayerGrades+'!$AF$11,"C",IF(N149&lt;'PlayerGrades+'!$AF$10,"C+",IF(N149&lt;'PlayerGrades+'!$AF$9,"B-",IF(N149&lt;'PlayerGrades+'!$AF$8,"B",IF(N149&lt;'PlayerGrades+'!$AF$7,"B+",IF(N149&lt;'PlayerGrades+'!$AF$6,"A-",IF(N149&lt;'PlayerGrades+'!$AF$5,"A",IF(N149&lt;'PlayerGrades+'!$AF$4,"A+",IF(N149&lt;'PlayerGrades+'!$AF$3,"S-",IF(N149&lt;'PlayerGrades+'!$AF$2,"S","S+"))))))))))))))))))))</f>
        <v>D</v>
      </c>
      <c r="P149" s="937">
        <f t="shared" si="7"/>
        <v>0.1012658228</v>
      </c>
      <c r="Q149" s="937" t="str">
        <f>IF(P149&lt;'PlayerGrades+'!$AG$21,"F-",IF(P149&lt;'PlayerGrades+'!$AG$20,"F",IF(P149&lt;'PlayerGrades+'!$AG$19,"F+",IF(P149&lt;'PlayerGrades+'!$AG$18,"E-",IF(P149&lt;'PlayerGrades+'!$AG$17,"E",IF(P149&lt;'PlayerGrades+'!$AG$16,"E+",IF(P149&lt;'PlayerGrades+'!$AG$15,"D-",IF(P149&lt;'PlayerGrades+'!$AG$14,"D",IF(P149&lt;'PlayerGrades+'!$AG$13,"D+",IF(P149&lt;'PlayerGrades+'!$AG$12,"C-",IF(P149&lt;'PlayerGrades+'!$AG$11,"C",IF(P149&lt;'PlayerGrades+'!$AG$10,"C+",IF(P149&lt;'PlayerGrades+'!$AG$9,"B-",IF(P149&lt;'PlayerGrades+'!$AG$8,"B",IF(P149&lt;'PlayerGrades+'!$AG$7,"B+",IF(P149&lt;'PlayerGrades+'!$AG$6,"A-",IF(P149&lt;'PlayerGrades+'!$AG$5,"A",IF(P149&lt;'PlayerGrades+'!$AG$4,"A+",IF(P149&lt;'PlayerGrades+'!$AG$3,"S-",IF(P149&lt;'PlayerGrades+'!$AG$2,"S","S+"))))))))))))))))))))</f>
        <v>S+</v>
      </c>
      <c r="R149" s="937">
        <f t="shared" si="8"/>
        <v>0.3544303797</v>
      </c>
      <c r="S149" s="937" t="str">
        <f>IF(R149&lt;'PlayerGrades+'!$AH$21,"F-",IF(R149&lt;'PlayerGrades+'!$AH$20,"F",IF(R149&lt;'PlayerGrades+'!$AH$19,"F+",IF(R149&lt;'PlayerGrades+'!$AH$18,"E-",IF(R149&lt;'PlayerGrades+'!$AH$17,"E",IF(R149&lt;'PlayerGrades+'!$AH$16,"E+",IF(R149&lt;'PlayerGrades+'!$AH$15,"D-",IF(R149&lt;'PlayerGrades+'!$AH$14,"D",IF(R149&lt;'PlayerGrades+'!$AH$13,"D+",IF(R149&lt;'PlayerGrades+'!$AH$12,"C-",IF(R149&lt;'PlayerGrades+'!$AH$11,"C",IF(R149&lt;'PlayerGrades+'!$AH$10,"C+",IF(R149&lt;'PlayerGrades+'!$AH$9,"B-",IF(R149&lt;'PlayerGrades+'!$AH$8,"B",IF(R149&lt;'PlayerGrades+'!$AH$7,"B+",IF(R149&lt;'PlayerGrades+'!$AH$6,"A-",IF(R149&lt;'PlayerGrades+'!$AH$5,"A",IF(R149&lt;'PlayerGrades+'!$AH$4,"A+",IF(R149&lt;'PlayerGrades+'!$AH$3,"S-",IF(R149&lt;'PlayerGrades+'!$AH$2,"S","S+"))))))))))))))))))))</f>
        <v>F</v>
      </c>
      <c r="T149" s="937">
        <f t="shared" si="9"/>
        <v>0.4050632911</v>
      </c>
      <c r="U149" s="937" t="str">
        <f>IF(T149&lt;'PlayerGrades+'!$AI$21,"F-",IF(T149&lt;'PlayerGrades+'!$AI$20,"F",IF(T149&lt;'PlayerGrades+'!$AI$19,"F+",IF(T149&lt;'PlayerGrades+'!$AI$18,"E-",IF(T149&lt;'PlayerGrades+'!$AI$17,"E",IF(T149&lt;'PlayerGrades+'!$AI$16,"E+",IF(T149&lt;'PlayerGrades+'!$AI$15,"D-",IF(T149&lt;'PlayerGrades+'!$AI$14,"D",IF(T149&lt;'PlayerGrades+'!$AI$13,"D+",IF(T149&lt;'PlayerGrades+'!$AI$12,"C-",IF(T149&lt;'PlayerGrades+'!$AI$11,"C",IF(T149&lt;'PlayerGrades+'!$AI$10,"C+",IF(T149&lt;'PlayerGrades+'!$AI$9,"B-",IF(T149&lt;'PlayerGrades+'!$AI$8,"B",IF(T149&lt;'PlayerGrades+'!$AI$7,"B+",IF(T149&lt;'PlayerGrades+'!$AI$6,"A-",IF(T149&lt;'PlayerGrades+'!$AI$5,"A",IF(T149&lt;'PlayerGrades+'!$AI$4,"A+",IF(T149&lt;'PlayerGrades+'!$AI$3,"S-",IF(T149&lt;'PlayerGrades+'!$AI$2,"S","S+"))))))))))))))))))))</f>
        <v>F-</v>
      </c>
      <c r="V149" s="941">
        <v>1.0</v>
      </c>
      <c r="W149" s="941">
        <v>1.0</v>
      </c>
      <c r="X149" s="941">
        <v>0.0</v>
      </c>
      <c r="Y149" s="941">
        <v>0.0</v>
      </c>
      <c r="Z149" s="941">
        <v>0.0</v>
      </c>
      <c r="AA149" s="952">
        <v>65.0</v>
      </c>
      <c r="AB149" s="952">
        <v>60.0</v>
      </c>
      <c r="AC149" s="952">
        <v>5.0</v>
      </c>
      <c r="AD149" s="952">
        <v>1.0</v>
      </c>
      <c r="AE149" s="952">
        <v>5.0</v>
      </c>
      <c r="AF149" s="952">
        <v>0.0</v>
      </c>
      <c r="AG149" s="952">
        <v>927.0</v>
      </c>
      <c r="AH149" s="952">
        <v>1185.0</v>
      </c>
      <c r="AI149" s="952">
        <v>15.0</v>
      </c>
      <c r="AJ149" s="952">
        <v>27.0</v>
      </c>
      <c r="AK149" s="952">
        <v>0.0</v>
      </c>
      <c r="AL149" s="952">
        <v>3.0</v>
      </c>
      <c r="AM149" s="952">
        <v>0.0</v>
      </c>
      <c r="AN149" s="952">
        <v>0.0</v>
      </c>
      <c r="AO149" s="952">
        <v>0.0</v>
      </c>
      <c r="AP149" s="952">
        <v>2.0</v>
      </c>
      <c r="AQ149" s="952">
        <v>0.0</v>
      </c>
      <c r="AR149" s="952">
        <v>12.0</v>
      </c>
      <c r="AS149" s="952">
        <v>1.0</v>
      </c>
      <c r="AT149" s="952">
        <v>0.0</v>
      </c>
      <c r="AU149" s="952">
        <v>0.0</v>
      </c>
      <c r="AV149" s="952">
        <v>0.0</v>
      </c>
      <c r="AW149" s="952">
        <v>0.0</v>
      </c>
      <c r="AX149" s="952">
        <v>0.0</v>
      </c>
      <c r="AY149" s="952">
        <v>0.0</v>
      </c>
      <c r="AZ149" s="952">
        <v>0.0</v>
      </c>
      <c r="BA149" s="952">
        <v>0.0</v>
      </c>
      <c r="BB149" s="952">
        <v>3.0</v>
      </c>
      <c r="BC149" s="952">
        <v>0.0</v>
      </c>
      <c r="BD149" s="952">
        <v>6.0</v>
      </c>
      <c r="BE149" s="952">
        <v>8.0</v>
      </c>
      <c r="BF149" s="952">
        <v>0.0</v>
      </c>
      <c r="BG149" s="954">
        <v>1.0</v>
      </c>
    </row>
    <row r="150">
      <c r="A150" s="965" t="s">
        <v>420</v>
      </c>
      <c r="B150" s="16" t="str">
        <f>IF(C150&lt;'PlayerGrades+'!$Y$44,"F-",IF(C150&lt;'PlayerGrades+'!$Y$43,"F",IF(C150&lt;'PlayerGrades+'!$Y$42,"F+",IF(C150&lt;'PlayerGrades+'!$Y$41,"E-",IF(C150&lt;'PlayerGrades+'!$Y$40,"E",IF(C150&lt;'PlayerGrades+'!$Y$39,"E+",IF(C150&lt;'PlayerGrades+'!$Y$38,"D-",IF(C150&lt;'PlayerGrades+'!$Y$37,"D",IF(C150&lt;'PlayerGrades+'!$Y$36,"D+",IF(C150&lt;'PlayerGrades+'!$Y$35,"C-",IF(C150&lt;'PlayerGrades+'!$Y$34,"C",IF(C150&lt;'PlayerGrades+'!$Y$33,"C+",IF(C150&lt;'PlayerGrades+'!$Y$32,"B-",IF(C150&lt;'PlayerGrades+'!$Y$31,"B",IF(C150&lt;'PlayerGrades+'!$Y$30,"B+",IF(C150&lt;'PlayerGrades+'!$Y$29,"A-",IF(C150&lt;'PlayerGrades+'!$Y$28,"A",IF(C150&lt;'PlayerGrades+'!$Y$27,"A+",IF(C150&lt;'PlayerGrades+'!$Y$26,"S-",IF(C150&lt;'PlayerGrades+'!$Y$25,"S","S+"))))))))))))))))))))</f>
        <v>B-</v>
      </c>
      <c r="C150" s="936">
        <f>('PlayerGrades+'!$Y$47*(VLOOKUP(E150, 'PlayerGrades+'!$X$3:$Y$23, 2, FALSE)))+('PlayerGrades+'!$Y$48*(VLOOKUP(G150, 'PlayerGrades+'!$X$3:$Y$23, 2, FALSE)))+('PlayerGrades+'!$Y$49*(VLOOKUP(I150, 'PlayerGrades+'!$X$3:$Y$23, 2, FALSE)))+('PlayerGrades+'!$Y$50*(VLOOKUP(K150, 'PlayerGrades+'!$X$3:$Y$23, 2, FALSE)))+('PlayerGrades+'!$Y$51*(VLOOKUP(M150, 'PlayerGrades+'!$X$3:$Y$23, 2, FALSE)))+('PlayerGrades+'!$Y$52*(VLOOKUP(O150, 'PlayerGrades+'!$X$3:$Y$23, 2, FALSE)))+('PlayerGrades+'!$Y$53*(VLOOKUP(Q150, 'PlayerGrades+'!$X$3:$Y$23, 2, FALSE)))+('PlayerGrades+'!$Y$54*(VLOOKUP(S150, 'PlayerGrades+'!$X$3:$Y$23, 2, FALSE)))+('PlayerGrades+'!$Y$55*(VLOOKUP(U150, 'PlayerGrades+'!$X$3:$Y$23, 2, FALSE)))</f>
        <v>22.35</v>
      </c>
      <c r="D150" s="937">
        <f t="shared" si="1"/>
        <v>0.3544303797</v>
      </c>
      <c r="E150" s="937" t="str">
        <f>IF(D150&lt;'PlayerGrades+'!$AA$21,"F-",IF(D150&lt;'PlayerGrades+'!$AA$20,"F",IF(D150&lt;'PlayerGrades+'!$AA$19,"F+",IF(D150&lt;'PlayerGrades+'!$AA$18,"E-",IF(D150&lt;'PlayerGrades+'!$AA$17,"E",IF(D150&lt;'PlayerGrades+'!$AA$16,"E+",IF(D150&lt;'PlayerGrades+'!$AA$15,"D-",IF(D150&lt;'PlayerGrades+'!$AA$14,"D",IF(D150&lt;'PlayerGrades+'!$AA$13,"D+",IF(D150&lt;'PlayerGrades+'!$AA$12,"C-",IF(D150&lt;'PlayerGrades+'!$AA$11,"C",IF(D150&lt;'PlayerGrades+'!$AA$10,"C+",IF(D150&lt;'PlayerGrades+'!$AA$9,"B-",IF(D150&lt;'PlayerGrades+'!$AA$8,"B",IF(D150&lt;'PlayerGrades+'!$AA$7,"B+",IF(D150&lt;'PlayerGrades+'!$AA$6,"A-",IF(D150&lt;'PlayerGrades+'!$AA$5,"A",IF(D150&lt;'PlayerGrades+'!$AA$4,"A+",IF(D150&lt;'PlayerGrades+'!$AA$3,"S-",IF(D150&lt;'PlayerGrades+'!$AA$2,"S","S+"))))))))))))))))))))</f>
        <v>A</v>
      </c>
      <c r="F150" s="937">
        <f t="shared" si="2"/>
        <v>0.05063291139</v>
      </c>
      <c r="G150" s="937" t="str">
        <f>IF(F150&lt;'PlayerGrades+'!$AB$21,"F-",IF(F150&lt;'PlayerGrades+'!$AB$20,"F",IF(F150&lt;'PlayerGrades+'!$AB$19,"F+",IF(F150&lt;'PlayerGrades+'!$AB$18,"E-",IF(F150&lt;'PlayerGrades+'!$AB$17,"E",IF(F150&lt;'PlayerGrades+'!$AB$16,"E+",IF(F150&lt;'PlayerGrades+'!$AB$15,"D-",IF(F150&lt;'PlayerGrades+'!$AB$14,"D",IF(F150&lt;'PlayerGrades+'!$AB$13,"D+",IF(F150&lt;'PlayerGrades+'!$AB$12,"C-",IF(F150&lt;'PlayerGrades+'!$AB$11,"C",IF(F150&lt;'PlayerGrades+'!$AB$10,"C+",IF(F150&lt;'PlayerGrades+'!$AB$9,"B-",IF(F150&lt;'PlayerGrades+'!$AB$8,"B",IF(F150&lt;'PlayerGrades+'!$AB$7,"B+",IF(F150&lt;'PlayerGrades+'!$AB$6,"A-",IF(F150&lt;'PlayerGrades+'!$AB$5,"A",IF(F150&lt;'PlayerGrades+'!$AB$4,"A+",IF(F150&lt;'PlayerGrades+'!$AB$3,"S-",IF(F150&lt;'PlayerGrades+'!$AB$2,"S","S+"))))))))))))))))))))</f>
        <v>B</v>
      </c>
      <c r="H150" s="937">
        <f t="shared" si="3"/>
        <v>0</v>
      </c>
      <c r="I150" s="937" t="str">
        <f>IF(H150&lt;'PlayerGrades+'!$AC$21,"F-",IF(H150&lt;'PlayerGrades+'!$AC$20,"F",IF(H150&lt;'PlayerGrades+'!$AC$19,"F+",IF(H150&lt;'PlayerGrades+'!$AC$18,"E-",IF(H150&lt;'PlayerGrades+'!$AC$17,"E",IF(H150&lt;'PlayerGrades+'!$AC$16,"E+",IF(H150&lt;'PlayerGrades+'!$AC$15,"D-",IF(H150&lt;'PlayerGrades+'!$AC$14,"D",IF(H150&lt;'PlayerGrades+'!$AC$13,"D+",IF(H150&lt;'PlayerGrades+'!$AC$12,"C-",IF(H150&lt;'PlayerGrades+'!$AC$11,"C",IF(H150&lt;'PlayerGrades+'!$AC$10,"C+",IF(H150&lt;'PlayerGrades+'!$AC$9,"B-",IF(H150&lt;'PlayerGrades+'!$AC$8,"B",IF(H150&lt;'PlayerGrades+'!$AC$7,"B+",IF(H150&lt;'PlayerGrades+'!$AC$6,"A-",IF(H150&lt;'PlayerGrades+'!$AC$5,"A",IF(H150&lt;'PlayerGrades+'!$AC$4,"A+",IF(H150&lt;'PlayerGrades+'!$AC$3,"S-",IF(H150&lt;'PlayerGrades+'!$AC$2,"S","S+"))))))))))))))))))))</f>
        <v>F-</v>
      </c>
      <c r="J150" s="937">
        <f t="shared" si="4"/>
        <v>0.1012658228</v>
      </c>
      <c r="K150" s="937" t="str">
        <f>IF(J150&lt;'PlayerGrades+'!$AD$21,"F-",IF(J150&lt;'PlayerGrades+'!$AD$20,"F",IF(J150&lt;'PlayerGrades+'!$AD$19,"F+",IF(J150&lt;'PlayerGrades+'!$AD$18,"E-",IF(J150&lt;'PlayerGrades+'!$AD$17,"E",IF(J150&lt;'PlayerGrades+'!$AD$16,"E+",IF(J150&lt;'PlayerGrades+'!$AD$15,"D-",IF(J150&lt;'PlayerGrades+'!$AD$14,"D",IF(J150&lt;'PlayerGrades+'!$AD$13,"D+",IF(J150&lt;'PlayerGrades+'!$AD$12,"C-",IF(J150&lt;'PlayerGrades+'!$AD$11,"C",IF(J150&lt;'PlayerGrades+'!$AD$10,"C+",IF(J150&lt;'PlayerGrades+'!$AD$9,"B-",IF(J150&lt;'PlayerGrades+'!$AD$8,"B",IF(J150&lt;'PlayerGrades+'!$AD$7,"B+",IF(J150&lt;'PlayerGrades+'!$AD$6,"A-",IF(J150&lt;'PlayerGrades+'!$AD$5,"A",IF(J150&lt;'PlayerGrades+'!$AD$4,"A+",IF(J150&lt;'PlayerGrades+'!$AD$3,"S-",IF(J150&lt;'PlayerGrades+'!$AD$2,"S","S+"))))))))))))))))))))</f>
        <v>S</v>
      </c>
      <c r="L150" s="677">
        <f t="shared" si="5"/>
        <v>0.4050632911</v>
      </c>
      <c r="M150" s="938" t="str">
        <f>IF(L150&lt;'PlayerGrades+'!$AE$21,"F-",IF(L150&lt;'PlayerGrades+'!$AE$20,"F",IF(L150&lt;'PlayerGrades+'!$AE$19,"F+",IF(L150&lt;'PlayerGrades+'!$AE$18,"E-",IF(L150&lt;'PlayerGrades+'!$AE$17,"E",IF(L150&lt;'PlayerGrades+'!$AE$16,"E+",IF(L150&lt;'PlayerGrades+'!$AE$15,"D-",IF(L150&lt;'PlayerGrades+'!$AE$14,"D",IF(L150&lt;'PlayerGrades+'!$AE$13,"D+",IF(L150&lt;'PlayerGrades+'!$AE$12,"C-",IF(L150&lt;'PlayerGrades+'!$AE$11,"C",IF(L150&lt;'PlayerGrades+'!$AE$10,"C+",IF(L150&lt;'PlayerGrades+'!$AE$9,"B-",IF(L150&lt;'PlayerGrades+'!$AE$8,"B",IF(L150&lt;'PlayerGrades+'!$AE$7,"B+",IF(L150&lt;'PlayerGrades+'!$AE$6,"A-",IF(L150&lt;'PlayerGrades+'!$AE$5,"A",IF(L150&lt;'PlayerGrades+'!$AE$4,"A+",IF(L150&lt;'PlayerGrades+'!$AE$3,"S-",IF(L150&lt;'PlayerGrades+'!$AE$2,"S","S+"))))))))))))))))))))</f>
        <v>C</v>
      </c>
      <c r="N150" s="937">
        <f t="shared" si="6"/>
        <v>0</v>
      </c>
      <c r="O150" s="937" t="str">
        <f>IF(N150&lt;'PlayerGrades+'!$AF$21,"F-",IF(N150&lt;'PlayerGrades+'!$AF$20,"F",IF(N150&lt;'PlayerGrades+'!$AF$19,"F+",IF(N150&lt;'PlayerGrades+'!$AF$18,"E-",IF(N150&lt;'PlayerGrades+'!$AF$17,"E",IF(N150&lt;'PlayerGrades+'!$AF$16,"E+",IF(N150&lt;'PlayerGrades+'!$AF$15,"D-",IF(N150&lt;'PlayerGrades+'!$AF$14,"D",IF(N150&lt;'PlayerGrades+'!$AF$13,"D+",IF(N150&lt;'PlayerGrades+'!$AF$12,"C-",IF(N150&lt;'PlayerGrades+'!$AF$11,"C",IF(N150&lt;'PlayerGrades+'!$AF$10,"C+",IF(N150&lt;'PlayerGrades+'!$AF$9,"B-",IF(N150&lt;'PlayerGrades+'!$AF$8,"B",IF(N150&lt;'PlayerGrades+'!$AF$7,"B+",IF(N150&lt;'PlayerGrades+'!$AF$6,"A-",IF(N150&lt;'PlayerGrades+'!$AF$5,"A",IF(N150&lt;'PlayerGrades+'!$AF$4,"A+",IF(N150&lt;'PlayerGrades+'!$AF$3,"S-",IF(N150&lt;'PlayerGrades+'!$AF$2,"S","S+"))))))))))))))))))))</f>
        <v>F-</v>
      </c>
      <c r="P150" s="937">
        <f t="shared" si="7"/>
        <v>0.05063291139</v>
      </c>
      <c r="Q150" s="937" t="str">
        <f>IF(P150&lt;'PlayerGrades+'!$AG$21,"F-",IF(P150&lt;'PlayerGrades+'!$AG$20,"F",IF(P150&lt;'PlayerGrades+'!$AG$19,"F+",IF(P150&lt;'PlayerGrades+'!$AG$18,"E-",IF(P150&lt;'PlayerGrades+'!$AG$17,"E",IF(P150&lt;'PlayerGrades+'!$AG$16,"E+",IF(P150&lt;'PlayerGrades+'!$AG$15,"D-",IF(P150&lt;'PlayerGrades+'!$AG$14,"D",IF(P150&lt;'PlayerGrades+'!$AG$13,"D+",IF(P150&lt;'PlayerGrades+'!$AG$12,"C-",IF(P150&lt;'PlayerGrades+'!$AG$11,"C",IF(P150&lt;'PlayerGrades+'!$AG$10,"C+",IF(P150&lt;'PlayerGrades+'!$AG$9,"B-",IF(P150&lt;'PlayerGrades+'!$AG$8,"B",IF(P150&lt;'PlayerGrades+'!$AG$7,"B+",IF(P150&lt;'PlayerGrades+'!$AG$6,"A-",IF(P150&lt;'PlayerGrades+'!$AG$5,"A",IF(P150&lt;'PlayerGrades+'!$AG$4,"A+",IF(P150&lt;'PlayerGrades+'!$AG$3,"S-",IF(P150&lt;'PlayerGrades+'!$AG$2,"S","S+"))))))))))))))))))))</f>
        <v>A</v>
      </c>
      <c r="R150" s="937">
        <f t="shared" si="8"/>
        <v>0.7594936709</v>
      </c>
      <c r="S150" s="937" t="str">
        <f>IF(R150&lt;'PlayerGrades+'!$AH$21,"F-",IF(R150&lt;'PlayerGrades+'!$AH$20,"F",IF(R150&lt;'PlayerGrades+'!$AH$19,"F+",IF(R150&lt;'PlayerGrades+'!$AH$18,"E-",IF(R150&lt;'PlayerGrades+'!$AH$17,"E",IF(R150&lt;'PlayerGrades+'!$AH$16,"E+",IF(R150&lt;'PlayerGrades+'!$AH$15,"D-",IF(R150&lt;'PlayerGrades+'!$AH$14,"D",IF(R150&lt;'PlayerGrades+'!$AH$13,"D+",IF(R150&lt;'PlayerGrades+'!$AH$12,"C-",IF(R150&lt;'PlayerGrades+'!$AH$11,"C",IF(R150&lt;'PlayerGrades+'!$AH$10,"C+",IF(R150&lt;'PlayerGrades+'!$AH$9,"B-",IF(R150&lt;'PlayerGrades+'!$AH$8,"B",IF(R150&lt;'PlayerGrades+'!$AH$7,"B+",IF(R150&lt;'PlayerGrades+'!$AH$6,"A-",IF(R150&lt;'PlayerGrades+'!$AH$5,"A",IF(R150&lt;'PlayerGrades+'!$AH$4,"A+",IF(R150&lt;'PlayerGrades+'!$AH$3,"S-",IF(R150&lt;'PlayerGrades+'!$AH$2,"S","S+"))))))))))))))))))))</f>
        <v>S+</v>
      </c>
      <c r="T150" s="937">
        <f t="shared" si="9"/>
        <v>3.303797468</v>
      </c>
      <c r="U150" s="937" t="str">
        <f>IF(T150&lt;'PlayerGrades+'!$AI$21,"F-",IF(T150&lt;'PlayerGrades+'!$AI$20,"F",IF(T150&lt;'PlayerGrades+'!$AI$19,"F+",IF(T150&lt;'PlayerGrades+'!$AI$18,"E-",IF(T150&lt;'PlayerGrades+'!$AI$17,"E",IF(T150&lt;'PlayerGrades+'!$AI$16,"E+",IF(T150&lt;'PlayerGrades+'!$AI$15,"D-",IF(T150&lt;'PlayerGrades+'!$AI$14,"D",IF(T150&lt;'PlayerGrades+'!$AI$13,"D+",IF(T150&lt;'PlayerGrades+'!$AI$12,"C-",IF(T150&lt;'PlayerGrades+'!$AI$11,"C",IF(T150&lt;'PlayerGrades+'!$AI$10,"C+",IF(T150&lt;'PlayerGrades+'!$AI$9,"B-",IF(T150&lt;'PlayerGrades+'!$AI$8,"B",IF(T150&lt;'PlayerGrades+'!$AI$7,"B+",IF(T150&lt;'PlayerGrades+'!$AI$6,"A-",IF(T150&lt;'PlayerGrades+'!$AI$5,"A",IF(T150&lt;'PlayerGrades+'!$AI$4,"A+",IF(T150&lt;'PlayerGrades+'!$AI$3,"S-",IF(T150&lt;'PlayerGrades+'!$AI$2,"S","S+"))))))))))))))))))))</f>
        <v>S+</v>
      </c>
      <c r="V150" s="941">
        <v>1.0</v>
      </c>
      <c r="W150" s="941">
        <v>0.0</v>
      </c>
      <c r="X150" s="941">
        <v>1.0</v>
      </c>
      <c r="Y150" s="941">
        <v>1.0</v>
      </c>
      <c r="Z150" s="941">
        <v>6.0</v>
      </c>
      <c r="AA150" s="952">
        <v>53.0</v>
      </c>
      <c r="AB150" s="952">
        <v>52.0</v>
      </c>
      <c r="AC150" s="952">
        <v>1.0</v>
      </c>
      <c r="AD150" s="952">
        <v>7.0</v>
      </c>
      <c r="AE150" s="952">
        <v>7.0</v>
      </c>
      <c r="AF150" s="952">
        <v>4.0</v>
      </c>
      <c r="AG150" s="952">
        <v>955.0</v>
      </c>
      <c r="AH150" s="952">
        <v>1185.0</v>
      </c>
      <c r="AI150" s="952">
        <v>18.0</v>
      </c>
      <c r="AJ150" s="952">
        <v>268.0</v>
      </c>
      <c r="AK150" s="952">
        <v>0.0</v>
      </c>
      <c r="AL150" s="952">
        <v>2.0</v>
      </c>
      <c r="AM150" s="952">
        <v>0.0</v>
      </c>
      <c r="AN150" s="952">
        <v>0.0</v>
      </c>
      <c r="AO150" s="952">
        <v>0.0</v>
      </c>
      <c r="AP150" s="952">
        <v>1.0</v>
      </c>
      <c r="AQ150" s="952">
        <v>0.0</v>
      </c>
      <c r="AR150" s="952">
        <v>8.0</v>
      </c>
      <c r="AS150" s="952">
        <v>0.0</v>
      </c>
      <c r="AT150" s="952">
        <v>0.0</v>
      </c>
      <c r="AU150" s="952">
        <v>0.0</v>
      </c>
      <c r="AV150" s="952">
        <v>0.0</v>
      </c>
      <c r="AW150" s="952">
        <v>0.0</v>
      </c>
      <c r="AX150" s="952">
        <v>0.0</v>
      </c>
      <c r="AY150" s="952">
        <v>0.0</v>
      </c>
      <c r="AZ150" s="952">
        <v>0.0</v>
      </c>
      <c r="BA150" s="952">
        <v>0.0</v>
      </c>
      <c r="BB150" s="952">
        <v>0.0</v>
      </c>
      <c r="BC150" s="952">
        <v>0.0</v>
      </c>
      <c r="BD150" s="952">
        <v>8.0</v>
      </c>
      <c r="BE150" s="952">
        <v>6.0</v>
      </c>
      <c r="BF150" s="952">
        <v>3.0</v>
      </c>
      <c r="BG150" s="954">
        <v>0.0</v>
      </c>
    </row>
    <row r="151">
      <c r="A151" s="965" t="s">
        <v>137</v>
      </c>
      <c r="B151" s="16" t="str">
        <f>IF(C151&lt;'PlayerGrades+'!$Y$44,"F-",IF(C151&lt;'PlayerGrades+'!$Y$43,"F",IF(C151&lt;'PlayerGrades+'!$Y$42,"F+",IF(C151&lt;'PlayerGrades+'!$Y$41,"E-",IF(C151&lt;'PlayerGrades+'!$Y$40,"E",IF(C151&lt;'PlayerGrades+'!$Y$39,"E+",IF(C151&lt;'PlayerGrades+'!$Y$38,"D-",IF(C151&lt;'PlayerGrades+'!$Y$37,"D",IF(C151&lt;'PlayerGrades+'!$Y$36,"D+",IF(C151&lt;'PlayerGrades+'!$Y$35,"C-",IF(C151&lt;'PlayerGrades+'!$Y$34,"C",IF(C151&lt;'PlayerGrades+'!$Y$33,"C+",IF(C151&lt;'PlayerGrades+'!$Y$32,"B-",IF(C151&lt;'PlayerGrades+'!$Y$31,"B",IF(C151&lt;'PlayerGrades+'!$Y$30,"B+",IF(C151&lt;'PlayerGrades+'!$Y$29,"A-",IF(C151&lt;'PlayerGrades+'!$Y$28,"A",IF(C151&lt;'PlayerGrades+'!$Y$27,"A+",IF(C151&lt;'PlayerGrades+'!$Y$26,"S-",IF(C151&lt;'PlayerGrades+'!$Y$25,"S","S+"))))))))))))))))))))</f>
        <v>E-</v>
      </c>
      <c r="C151" s="936">
        <f>('PlayerGrades+'!$Y$47*(VLOOKUP(E151, 'PlayerGrades+'!$X$3:$Y$23, 2, FALSE)))+('PlayerGrades+'!$Y$48*(VLOOKUP(G151, 'PlayerGrades+'!$X$3:$Y$23, 2, FALSE)))+('PlayerGrades+'!$Y$49*(VLOOKUP(I151, 'PlayerGrades+'!$X$3:$Y$23, 2, FALSE)))+('PlayerGrades+'!$Y$50*(VLOOKUP(K151, 'PlayerGrades+'!$X$3:$Y$23, 2, FALSE)))+('PlayerGrades+'!$Y$51*(VLOOKUP(M151, 'PlayerGrades+'!$X$3:$Y$23, 2, FALSE)))+('PlayerGrades+'!$Y$52*(VLOOKUP(O151, 'PlayerGrades+'!$X$3:$Y$23, 2, FALSE)))+('PlayerGrades+'!$Y$53*(VLOOKUP(Q151, 'PlayerGrades+'!$X$3:$Y$23, 2, FALSE)))+('PlayerGrades+'!$Y$54*(VLOOKUP(S151, 'PlayerGrades+'!$X$3:$Y$23, 2, FALSE)))+('PlayerGrades+'!$Y$55*(VLOOKUP(U151, 'PlayerGrades+'!$X$3:$Y$23, 2, FALSE)))</f>
        <v>11.55</v>
      </c>
      <c r="D151" s="937">
        <f t="shared" si="1"/>
        <v>0</v>
      </c>
      <c r="E151" s="937" t="str">
        <f>IF(D151&lt;'PlayerGrades+'!$AA$21,"F-",IF(D151&lt;'PlayerGrades+'!$AA$20,"F",IF(D151&lt;'PlayerGrades+'!$AA$19,"F+",IF(D151&lt;'PlayerGrades+'!$AA$18,"E-",IF(D151&lt;'PlayerGrades+'!$AA$17,"E",IF(D151&lt;'PlayerGrades+'!$AA$16,"E+",IF(D151&lt;'PlayerGrades+'!$AA$15,"D-",IF(D151&lt;'PlayerGrades+'!$AA$14,"D",IF(D151&lt;'PlayerGrades+'!$AA$13,"D+",IF(D151&lt;'PlayerGrades+'!$AA$12,"C-",IF(D151&lt;'PlayerGrades+'!$AA$11,"C",IF(D151&lt;'PlayerGrades+'!$AA$10,"C+",IF(D151&lt;'PlayerGrades+'!$AA$9,"B-",IF(D151&lt;'PlayerGrades+'!$AA$8,"B",IF(D151&lt;'PlayerGrades+'!$AA$7,"B+",IF(D151&lt;'PlayerGrades+'!$AA$6,"A-",IF(D151&lt;'PlayerGrades+'!$AA$5,"A",IF(D151&lt;'PlayerGrades+'!$AA$4,"A+",IF(D151&lt;'PlayerGrades+'!$AA$3,"S-",IF(D151&lt;'PlayerGrades+'!$AA$2,"S","S+"))))))))))))))))))))</f>
        <v>F-</v>
      </c>
      <c r="F151" s="937">
        <f t="shared" si="2"/>
        <v>-0.9620253165</v>
      </c>
      <c r="G151" s="937" t="str">
        <f>IF(F151&lt;'PlayerGrades+'!$AB$21,"F-",IF(F151&lt;'PlayerGrades+'!$AB$20,"F",IF(F151&lt;'PlayerGrades+'!$AB$19,"F+",IF(F151&lt;'PlayerGrades+'!$AB$18,"E-",IF(F151&lt;'PlayerGrades+'!$AB$17,"E",IF(F151&lt;'PlayerGrades+'!$AB$16,"E+",IF(F151&lt;'PlayerGrades+'!$AB$15,"D-",IF(F151&lt;'PlayerGrades+'!$AB$14,"D",IF(F151&lt;'PlayerGrades+'!$AB$13,"D+",IF(F151&lt;'PlayerGrades+'!$AB$12,"C-",IF(F151&lt;'PlayerGrades+'!$AB$11,"C",IF(F151&lt;'PlayerGrades+'!$AB$10,"C+",IF(F151&lt;'PlayerGrades+'!$AB$9,"B-",IF(F151&lt;'PlayerGrades+'!$AB$8,"B",IF(F151&lt;'PlayerGrades+'!$AB$7,"B+",IF(F151&lt;'PlayerGrades+'!$AB$6,"A-",IF(F151&lt;'PlayerGrades+'!$AB$5,"A",IF(F151&lt;'PlayerGrades+'!$AB$4,"A+",IF(F151&lt;'PlayerGrades+'!$AB$3,"S-",IF(F151&lt;'PlayerGrades+'!$AB$2,"S","S+"))))))))))))))))))))</f>
        <v>F+</v>
      </c>
      <c r="H151" s="937">
        <f t="shared" si="3"/>
        <v>0.1518987342</v>
      </c>
      <c r="I151" s="937" t="str">
        <f>IF(H151&lt;'PlayerGrades+'!$AC$21,"F-",IF(H151&lt;'PlayerGrades+'!$AC$20,"F",IF(H151&lt;'PlayerGrades+'!$AC$19,"F+",IF(H151&lt;'PlayerGrades+'!$AC$18,"E-",IF(H151&lt;'PlayerGrades+'!$AC$17,"E",IF(H151&lt;'PlayerGrades+'!$AC$16,"E+",IF(H151&lt;'PlayerGrades+'!$AC$15,"D-",IF(H151&lt;'PlayerGrades+'!$AC$14,"D",IF(H151&lt;'PlayerGrades+'!$AC$13,"D+",IF(H151&lt;'PlayerGrades+'!$AC$12,"C-",IF(H151&lt;'PlayerGrades+'!$AC$11,"C",IF(H151&lt;'PlayerGrades+'!$AC$10,"C+",IF(H151&lt;'PlayerGrades+'!$AC$9,"B-",IF(H151&lt;'PlayerGrades+'!$AC$8,"B",IF(H151&lt;'PlayerGrades+'!$AC$7,"B+",IF(H151&lt;'PlayerGrades+'!$AC$6,"A-",IF(H151&lt;'PlayerGrades+'!$AC$5,"A",IF(H151&lt;'PlayerGrades+'!$AC$4,"A+",IF(H151&lt;'PlayerGrades+'!$AC$3,"S-",IF(H151&lt;'PlayerGrades+'!$AC$2,"S","S+"))))))))))))))))))))</f>
        <v>A</v>
      </c>
      <c r="J151" s="937">
        <f t="shared" si="4"/>
        <v>0</v>
      </c>
      <c r="K151" s="937" t="str">
        <f>IF(J151&lt;'PlayerGrades+'!$AD$21,"F-",IF(J151&lt;'PlayerGrades+'!$AD$20,"F",IF(J151&lt;'PlayerGrades+'!$AD$19,"F+",IF(J151&lt;'PlayerGrades+'!$AD$18,"E-",IF(J151&lt;'PlayerGrades+'!$AD$17,"E",IF(J151&lt;'PlayerGrades+'!$AD$16,"E+",IF(J151&lt;'PlayerGrades+'!$AD$15,"D-",IF(J151&lt;'PlayerGrades+'!$AD$14,"D",IF(J151&lt;'PlayerGrades+'!$AD$13,"D+",IF(J151&lt;'PlayerGrades+'!$AD$12,"C-",IF(J151&lt;'PlayerGrades+'!$AD$11,"C",IF(J151&lt;'PlayerGrades+'!$AD$10,"C+",IF(J151&lt;'PlayerGrades+'!$AD$9,"B-",IF(J151&lt;'PlayerGrades+'!$AD$8,"B",IF(J151&lt;'PlayerGrades+'!$AD$7,"B+",IF(J151&lt;'PlayerGrades+'!$AD$6,"A-",IF(J151&lt;'PlayerGrades+'!$AD$5,"A",IF(J151&lt;'PlayerGrades+'!$AD$4,"A+",IF(J151&lt;'PlayerGrades+'!$AD$3,"S-",IF(J151&lt;'PlayerGrades+'!$AD$2,"S","S+"))))))))))))))))))))</f>
        <v>F-</v>
      </c>
      <c r="L151" s="677">
        <f t="shared" si="5"/>
        <v>0.3037974684</v>
      </c>
      <c r="M151" s="938" t="str">
        <f>IF(L151&lt;'PlayerGrades+'!$AE$21,"F-",IF(L151&lt;'PlayerGrades+'!$AE$20,"F",IF(L151&lt;'PlayerGrades+'!$AE$19,"F+",IF(L151&lt;'PlayerGrades+'!$AE$18,"E-",IF(L151&lt;'PlayerGrades+'!$AE$17,"E",IF(L151&lt;'PlayerGrades+'!$AE$16,"E+",IF(L151&lt;'PlayerGrades+'!$AE$15,"D-",IF(L151&lt;'PlayerGrades+'!$AE$14,"D",IF(L151&lt;'PlayerGrades+'!$AE$13,"D+",IF(L151&lt;'PlayerGrades+'!$AE$12,"C-",IF(L151&lt;'PlayerGrades+'!$AE$11,"C",IF(L151&lt;'PlayerGrades+'!$AE$10,"C+",IF(L151&lt;'PlayerGrades+'!$AE$9,"B-",IF(L151&lt;'PlayerGrades+'!$AE$8,"B",IF(L151&lt;'PlayerGrades+'!$AE$7,"B+",IF(L151&lt;'PlayerGrades+'!$AE$6,"A-",IF(L151&lt;'PlayerGrades+'!$AE$5,"A",IF(L151&lt;'PlayerGrades+'!$AE$4,"A+",IF(L151&lt;'PlayerGrades+'!$AE$3,"S-",IF(L151&lt;'PlayerGrades+'!$AE$2,"S","S+"))))))))))))))))))))</f>
        <v>E-</v>
      </c>
      <c r="N151" s="937">
        <f t="shared" si="6"/>
        <v>0</v>
      </c>
      <c r="O151" s="937" t="str">
        <f>IF(N151&lt;'PlayerGrades+'!$AF$21,"F-",IF(N151&lt;'PlayerGrades+'!$AF$20,"F",IF(N151&lt;'PlayerGrades+'!$AF$19,"F+",IF(N151&lt;'PlayerGrades+'!$AF$18,"E-",IF(N151&lt;'PlayerGrades+'!$AF$17,"E",IF(N151&lt;'PlayerGrades+'!$AF$16,"E+",IF(N151&lt;'PlayerGrades+'!$AF$15,"D-",IF(N151&lt;'PlayerGrades+'!$AF$14,"D",IF(N151&lt;'PlayerGrades+'!$AF$13,"D+",IF(N151&lt;'PlayerGrades+'!$AF$12,"C-",IF(N151&lt;'PlayerGrades+'!$AF$11,"C",IF(N151&lt;'PlayerGrades+'!$AF$10,"C+",IF(N151&lt;'PlayerGrades+'!$AF$9,"B-",IF(N151&lt;'PlayerGrades+'!$AF$8,"B",IF(N151&lt;'PlayerGrades+'!$AF$7,"B+",IF(N151&lt;'PlayerGrades+'!$AF$6,"A-",IF(N151&lt;'PlayerGrades+'!$AF$5,"A",IF(N151&lt;'PlayerGrades+'!$AF$4,"A+",IF(N151&lt;'PlayerGrades+'!$AF$3,"S-",IF(N151&lt;'PlayerGrades+'!$AF$2,"S","S+"))))))))))))))))))))</f>
        <v>F-</v>
      </c>
      <c r="P151" s="937">
        <f t="shared" si="7"/>
        <v>0</v>
      </c>
      <c r="Q151" s="937" t="str">
        <f>IF(P151&lt;'PlayerGrades+'!$AG$21,"F-",IF(P151&lt;'PlayerGrades+'!$AG$20,"F",IF(P151&lt;'PlayerGrades+'!$AG$19,"F+",IF(P151&lt;'PlayerGrades+'!$AG$18,"E-",IF(P151&lt;'PlayerGrades+'!$AG$17,"E",IF(P151&lt;'PlayerGrades+'!$AG$16,"E+",IF(P151&lt;'PlayerGrades+'!$AG$15,"D-",IF(P151&lt;'PlayerGrades+'!$AG$14,"D",IF(P151&lt;'PlayerGrades+'!$AG$13,"D+",IF(P151&lt;'PlayerGrades+'!$AG$12,"C-",IF(P151&lt;'PlayerGrades+'!$AG$11,"C",IF(P151&lt;'PlayerGrades+'!$AG$10,"C+",IF(P151&lt;'PlayerGrades+'!$AG$9,"B-",IF(P151&lt;'PlayerGrades+'!$AG$8,"B",IF(P151&lt;'PlayerGrades+'!$AG$7,"B+",IF(P151&lt;'PlayerGrades+'!$AG$6,"A-",IF(P151&lt;'PlayerGrades+'!$AG$5,"A",IF(P151&lt;'PlayerGrades+'!$AG$4,"A+",IF(P151&lt;'PlayerGrades+'!$AG$3,"S-",IF(P151&lt;'PlayerGrades+'!$AG$2,"S","S+"))))))))))))))))))))</f>
        <v>F</v>
      </c>
      <c r="R151" s="937">
        <f t="shared" si="8"/>
        <v>0.6075949367</v>
      </c>
      <c r="S151" s="937" t="str">
        <f>IF(R151&lt;'PlayerGrades+'!$AH$21,"F-",IF(R151&lt;'PlayerGrades+'!$AH$20,"F",IF(R151&lt;'PlayerGrades+'!$AH$19,"F+",IF(R151&lt;'PlayerGrades+'!$AH$18,"E-",IF(R151&lt;'PlayerGrades+'!$AH$17,"E",IF(R151&lt;'PlayerGrades+'!$AH$16,"E+",IF(R151&lt;'PlayerGrades+'!$AH$15,"D-",IF(R151&lt;'PlayerGrades+'!$AH$14,"D",IF(R151&lt;'PlayerGrades+'!$AH$13,"D+",IF(R151&lt;'PlayerGrades+'!$AH$12,"C-",IF(R151&lt;'PlayerGrades+'!$AH$11,"C",IF(R151&lt;'PlayerGrades+'!$AH$10,"C+",IF(R151&lt;'PlayerGrades+'!$AH$9,"B-",IF(R151&lt;'PlayerGrades+'!$AH$8,"B",IF(R151&lt;'PlayerGrades+'!$AH$7,"B+",IF(R151&lt;'PlayerGrades+'!$AH$6,"A-",IF(R151&lt;'PlayerGrades+'!$AH$5,"A",IF(R151&lt;'PlayerGrades+'!$AH$4,"A+",IF(R151&lt;'PlayerGrades+'!$AH$3,"S-",IF(R151&lt;'PlayerGrades+'!$AH$2,"S","S+"))))))))))))))))))))</f>
        <v>A-</v>
      </c>
      <c r="T151" s="937">
        <f t="shared" si="9"/>
        <v>0.4050632911</v>
      </c>
      <c r="U151" s="937" t="str">
        <f>IF(T151&lt;'PlayerGrades+'!$AI$21,"F-",IF(T151&lt;'PlayerGrades+'!$AI$20,"F",IF(T151&lt;'PlayerGrades+'!$AI$19,"F+",IF(T151&lt;'PlayerGrades+'!$AI$18,"E-",IF(T151&lt;'PlayerGrades+'!$AI$17,"E",IF(T151&lt;'PlayerGrades+'!$AI$16,"E+",IF(T151&lt;'PlayerGrades+'!$AI$15,"D-",IF(T151&lt;'PlayerGrades+'!$AI$14,"D",IF(T151&lt;'PlayerGrades+'!$AI$13,"D+",IF(T151&lt;'PlayerGrades+'!$AI$12,"C-",IF(T151&lt;'PlayerGrades+'!$AI$11,"C",IF(T151&lt;'PlayerGrades+'!$AI$10,"C+",IF(T151&lt;'PlayerGrades+'!$AI$9,"B-",IF(T151&lt;'PlayerGrades+'!$AI$8,"B",IF(T151&lt;'PlayerGrades+'!$AI$7,"B+",IF(T151&lt;'PlayerGrades+'!$AI$6,"A-",IF(T151&lt;'PlayerGrades+'!$AI$5,"A",IF(T151&lt;'PlayerGrades+'!$AI$4,"A+",IF(T151&lt;'PlayerGrades+'!$AI$3,"S-",IF(T151&lt;'PlayerGrades+'!$AI$2,"S","S+"))))))))))))))))))))</f>
        <v>F-</v>
      </c>
      <c r="V151" s="941">
        <v>1.0</v>
      </c>
      <c r="W151" s="941">
        <v>0.0</v>
      </c>
      <c r="X151" s="941">
        <v>1.0</v>
      </c>
      <c r="Y151" s="941">
        <v>0.0</v>
      </c>
      <c r="Z151" s="941">
        <v>0.0</v>
      </c>
      <c r="AA151" s="952">
        <v>52.0</v>
      </c>
      <c r="AB151" s="952">
        <v>71.0</v>
      </c>
      <c r="AC151" s="952">
        <v>-19.0</v>
      </c>
      <c r="AD151" s="952">
        <v>6.0</v>
      </c>
      <c r="AE151" s="952">
        <v>3.0</v>
      </c>
      <c r="AF151" s="952">
        <v>0.0</v>
      </c>
      <c r="AG151" s="952">
        <v>890.0</v>
      </c>
      <c r="AH151" s="952">
        <v>1185.0</v>
      </c>
      <c r="AI151" s="952">
        <v>12.0</v>
      </c>
      <c r="AJ151" s="952">
        <v>5.0</v>
      </c>
      <c r="AK151" s="952">
        <v>0.0</v>
      </c>
      <c r="AL151" s="952">
        <v>0.0</v>
      </c>
      <c r="AM151" s="952">
        <v>0.0</v>
      </c>
      <c r="AN151" s="952">
        <v>0.0</v>
      </c>
      <c r="AO151" s="952">
        <v>0.0</v>
      </c>
      <c r="AP151" s="952">
        <v>0.0</v>
      </c>
      <c r="AQ151" s="952">
        <v>0.0</v>
      </c>
      <c r="AR151" s="952">
        <v>6.0</v>
      </c>
      <c r="AS151" s="952">
        <v>0.0</v>
      </c>
      <c r="AT151" s="952">
        <v>0.0</v>
      </c>
      <c r="AU151" s="952">
        <v>0.0</v>
      </c>
      <c r="AV151" s="952">
        <v>0.0</v>
      </c>
      <c r="AW151" s="952">
        <v>0.0</v>
      </c>
      <c r="AX151" s="952">
        <v>0.0</v>
      </c>
      <c r="AY151" s="952">
        <v>0.0</v>
      </c>
      <c r="AZ151" s="952">
        <v>0.0</v>
      </c>
      <c r="BA151" s="952">
        <v>0.0</v>
      </c>
      <c r="BB151" s="952">
        <v>3.0</v>
      </c>
      <c r="BC151" s="952">
        <v>0.0</v>
      </c>
      <c r="BD151" s="952">
        <v>6.0</v>
      </c>
      <c r="BE151" s="952">
        <v>8.0</v>
      </c>
      <c r="BF151" s="952">
        <v>0.0</v>
      </c>
      <c r="BG151" s="954">
        <v>0.0</v>
      </c>
    </row>
    <row r="152">
      <c r="A152" s="965" t="s">
        <v>115</v>
      </c>
      <c r="B152" s="16" t="str">
        <f>IF(C152&lt;'PlayerGrades+'!$Y$44,"F-",IF(C152&lt;'PlayerGrades+'!$Y$43,"F",IF(C152&lt;'PlayerGrades+'!$Y$42,"F+",IF(C152&lt;'PlayerGrades+'!$Y$41,"E-",IF(C152&lt;'PlayerGrades+'!$Y$40,"E",IF(C152&lt;'PlayerGrades+'!$Y$39,"E+",IF(C152&lt;'PlayerGrades+'!$Y$38,"D-",IF(C152&lt;'PlayerGrades+'!$Y$37,"D",IF(C152&lt;'PlayerGrades+'!$Y$36,"D+",IF(C152&lt;'PlayerGrades+'!$Y$35,"C-",IF(C152&lt;'PlayerGrades+'!$Y$34,"C",IF(C152&lt;'PlayerGrades+'!$Y$33,"C+",IF(C152&lt;'PlayerGrades+'!$Y$32,"B-",IF(C152&lt;'PlayerGrades+'!$Y$31,"B",IF(C152&lt;'PlayerGrades+'!$Y$30,"B+",IF(C152&lt;'PlayerGrades+'!$Y$29,"A-",IF(C152&lt;'PlayerGrades+'!$Y$28,"A",IF(C152&lt;'PlayerGrades+'!$Y$27,"A+",IF(C152&lt;'PlayerGrades+'!$Y$26,"S-",IF(C152&lt;'PlayerGrades+'!$Y$25,"S","S+"))))))))))))))))))))</f>
        <v>F-</v>
      </c>
      <c r="C152" s="936">
        <f>('PlayerGrades+'!$Y$47*(VLOOKUP(E152, 'PlayerGrades+'!$X$3:$Y$23, 2, FALSE)))+('PlayerGrades+'!$Y$48*(VLOOKUP(G152, 'PlayerGrades+'!$X$3:$Y$23, 2, FALSE)))+('PlayerGrades+'!$Y$49*(VLOOKUP(I152, 'PlayerGrades+'!$X$3:$Y$23, 2, FALSE)))+('PlayerGrades+'!$Y$50*(VLOOKUP(K152, 'PlayerGrades+'!$X$3:$Y$23, 2, FALSE)))+('PlayerGrades+'!$Y$51*(VLOOKUP(M152, 'PlayerGrades+'!$X$3:$Y$23, 2, FALSE)))+('PlayerGrades+'!$Y$52*(VLOOKUP(O152, 'PlayerGrades+'!$X$3:$Y$23, 2, FALSE)))+('PlayerGrades+'!$Y$53*(VLOOKUP(Q152, 'PlayerGrades+'!$X$3:$Y$23, 2, FALSE)))+('PlayerGrades+'!$Y$54*(VLOOKUP(S152, 'PlayerGrades+'!$X$3:$Y$23, 2, FALSE)))+('PlayerGrades+'!$Y$55*(VLOOKUP(U152, 'PlayerGrades+'!$X$3:$Y$23, 2, FALSE)))</f>
        <v>7.05</v>
      </c>
      <c r="D152" s="937">
        <f t="shared" si="1"/>
        <v>0</v>
      </c>
      <c r="E152" s="937" t="str">
        <f>IF(D152&lt;'PlayerGrades+'!$AA$21,"F-",IF(D152&lt;'PlayerGrades+'!$AA$20,"F",IF(D152&lt;'PlayerGrades+'!$AA$19,"F+",IF(D152&lt;'PlayerGrades+'!$AA$18,"E-",IF(D152&lt;'PlayerGrades+'!$AA$17,"E",IF(D152&lt;'PlayerGrades+'!$AA$16,"E+",IF(D152&lt;'PlayerGrades+'!$AA$15,"D-",IF(D152&lt;'PlayerGrades+'!$AA$14,"D",IF(D152&lt;'PlayerGrades+'!$AA$13,"D+",IF(D152&lt;'PlayerGrades+'!$AA$12,"C-",IF(D152&lt;'PlayerGrades+'!$AA$11,"C",IF(D152&lt;'PlayerGrades+'!$AA$10,"C+",IF(D152&lt;'PlayerGrades+'!$AA$9,"B-",IF(D152&lt;'PlayerGrades+'!$AA$8,"B",IF(D152&lt;'PlayerGrades+'!$AA$7,"B+",IF(D152&lt;'PlayerGrades+'!$AA$6,"A-",IF(D152&lt;'PlayerGrades+'!$AA$5,"A",IF(D152&lt;'PlayerGrades+'!$AA$4,"A+",IF(D152&lt;'PlayerGrades+'!$AA$3,"S-",IF(D152&lt;'PlayerGrades+'!$AA$2,"S","S+"))))))))))))))))))))</f>
        <v>F-</v>
      </c>
      <c r="F152" s="937">
        <f t="shared" si="2"/>
        <v>-1.82278481</v>
      </c>
      <c r="G152" s="937" t="str">
        <f>IF(F152&lt;'PlayerGrades+'!$AB$21,"F-",IF(F152&lt;'PlayerGrades+'!$AB$20,"F",IF(F152&lt;'PlayerGrades+'!$AB$19,"F+",IF(F152&lt;'PlayerGrades+'!$AB$18,"E-",IF(F152&lt;'PlayerGrades+'!$AB$17,"E",IF(F152&lt;'PlayerGrades+'!$AB$16,"E+",IF(F152&lt;'PlayerGrades+'!$AB$15,"D-",IF(F152&lt;'PlayerGrades+'!$AB$14,"D",IF(F152&lt;'PlayerGrades+'!$AB$13,"D+",IF(F152&lt;'PlayerGrades+'!$AB$12,"C-",IF(F152&lt;'PlayerGrades+'!$AB$11,"C",IF(F152&lt;'PlayerGrades+'!$AB$10,"C+",IF(F152&lt;'PlayerGrades+'!$AB$9,"B-",IF(F152&lt;'PlayerGrades+'!$AB$8,"B",IF(F152&lt;'PlayerGrades+'!$AB$7,"B+",IF(F152&lt;'PlayerGrades+'!$AB$6,"A-",IF(F152&lt;'PlayerGrades+'!$AB$5,"A",IF(F152&lt;'PlayerGrades+'!$AB$4,"A+",IF(F152&lt;'PlayerGrades+'!$AB$3,"S-",IF(F152&lt;'PlayerGrades+'!$AB$2,"S","S+"))))))))))))))))))))</f>
        <v>F-</v>
      </c>
      <c r="H152" s="937">
        <f t="shared" si="3"/>
        <v>0.1012658228</v>
      </c>
      <c r="I152" s="937" t="str">
        <f>IF(H152&lt;'PlayerGrades+'!$AC$21,"F-",IF(H152&lt;'PlayerGrades+'!$AC$20,"F",IF(H152&lt;'PlayerGrades+'!$AC$19,"F+",IF(H152&lt;'PlayerGrades+'!$AC$18,"E-",IF(H152&lt;'PlayerGrades+'!$AC$17,"E",IF(H152&lt;'PlayerGrades+'!$AC$16,"E+",IF(H152&lt;'PlayerGrades+'!$AC$15,"D-",IF(H152&lt;'PlayerGrades+'!$AC$14,"D",IF(H152&lt;'PlayerGrades+'!$AC$13,"D+",IF(H152&lt;'PlayerGrades+'!$AC$12,"C-",IF(H152&lt;'PlayerGrades+'!$AC$11,"C",IF(H152&lt;'PlayerGrades+'!$AC$10,"C+",IF(H152&lt;'PlayerGrades+'!$AC$9,"B-",IF(H152&lt;'PlayerGrades+'!$AC$8,"B",IF(H152&lt;'PlayerGrades+'!$AC$7,"B+",IF(H152&lt;'PlayerGrades+'!$AC$6,"A-",IF(H152&lt;'PlayerGrades+'!$AC$5,"A",IF(H152&lt;'PlayerGrades+'!$AC$4,"A+",IF(H152&lt;'PlayerGrades+'!$AC$3,"S-",IF(H152&lt;'PlayerGrades+'!$AC$2,"S","S+"))))))))))))))))))))</f>
        <v>C-</v>
      </c>
      <c r="J152" s="937">
        <f t="shared" si="4"/>
        <v>0</v>
      </c>
      <c r="K152" s="937" t="str">
        <f>IF(J152&lt;'PlayerGrades+'!$AD$21,"F-",IF(J152&lt;'PlayerGrades+'!$AD$20,"F",IF(J152&lt;'PlayerGrades+'!$AD$19,"F+",IF(J152&lt;'PlayerGrades+'!$AD$18,"E-",IF(J152&lt;'PlayerGrades+'!$AD$17,"E",IF(J152&lt;'PlayerGrades+'!$AD$16,"E+",IF(J152&lt;'PlayerGrades+'!$AD$15,"D-",IF(J152&lt;'PlayerGrades+'!$AD$14,"D",IF(J152&lt;'PlayerGrades+'!$AD$13,"D+",IF(J152&lt;'PlayerGrades+'!$AD$12,"C-",IF(J152&lt;'PlayerGrades+'!$AD$11,"C",IF(J152&lt;'PlayerGrades+'!$AD$10,"C+",IF(J152&lt;'PlayerGrades+'!$AD$9,"B-",IF(J152&lt;'PlayerGrades+'!$AD$8,"B",IF(J152&lt;'PlayerGrades+'!$AD$7,"B+",IF(J152&lt;'PlayerGrades+'!$AD$6,"A-",IF(J152&lt;'PlayerGrades+'!$AD$5,"A",IF(J152&lt;'PlayerGrades+'!$AD$4,"A+",IF(J152&lt;'PlayerGrades+'!$AD$3,"S-",IF(J152&lt;'PlayerGrades+'!$AD$2,"S","S+"))))))))))))))))))))</f>
        <v>F-</v>
      </c>
      <c r="L152" s="677">
        <f t="shared" si="5"/>
        <v>0.1518987342</v>
      </c>
      <c r="M152" s="938" t="str">
        <f>IF(L152&lt;'PlayerGrades+'!$AE$21,"F-",IF(L152&lt;'PlayerGrades+'!$AE$20,"F",IF(L152&lt;'PlayerGrades+'!$AE$19,"F+",IF(L152&lt;'PlayerGrades+'!$AE$18,"E-",IF(L152&lt;'PlayerGrades+'!$AE$17,"E",IF(L152&lt;'PlayerGrades+'!$AE$16,"E+",IF(L152&lt;'PlayerGrades+'!$AE$15,"D-",IF(L152&lt;'PlayerGrades+'!$AE$14,"D",IF(L152&lt;'PlayerGrades+'!$AE$13,"D+",IF(L152&lt;'PlayerGrades+'!$AE$12,"C-",IF(L152&lt;'PlayerGrades+'!$AE$11,"C",IF(L152&lt;'PlayerGrades+'!$AE$10,"C+",IF(L152&lt;'PlayerGrades+'!$AE$9,"B-",IF(L152&lt;'PlayerGrades+'!$AE$8,"B",IF(L152&lt;'PlayerGrades+'!$AE$7,"B+",IF(L152&lt;'PlayerGrades+'!$AE$6,"A-",IF(L152&lt;'PlayerGrades+'!$AE$5,"A",IF(L152&lt;'PlayerGrades+'!$AE$4,"A+",IF(L152&lt;'PlayerGrades+'!$AE$3,"S-",IF(L152&lt;'PlayerGrades+'!$AE$2,"S","S+"))))))))))))))))))))</f>
        <v>F-</v>
      </c>
      <c r="N152" s="937">
        <f t="shared" si="6"/>
        <v>0</v>
      </c>
      <c r="O152" s="937" t="str">
        <f>IF(N152&lt;'PlayerGrades+'!$AF$21,"F-",IF(N152&lt;'PlayerGrades+'!$AF$20,"F",IF(N152&lt;'PlayerGrades+'!$AF$19,"F+",IF(N152&lt;'PlayerGrades+'!$AF$18,"E-",IF(N152&lt;'PlayerGrades+'!$AF$17,"E",IF(N152&lt;'PlayerGrades+'!$AF$16,"E+",IF(N152&lt;'PlayerGrades+'!$AF$15,"D-",IF(N152&lt;'PlayerGrades+'!$AF$14,"D",IF(N152&lt;'PlayerGrades+'!$AF$13,"D+",IF(N152&lt;'PlayerGrades+'!$AF$12,"C-",IF(N152&lt;'PlayerGrades+'!$AF$11,"C",IF(N152&lt;'PlayerGrades+'!$AF$10,"C+",IF(N152&lt;'PlayerGrades+'!$AF$9,"B-",IF(N152&lt;'PlayerGrades+'!$AF$8,"B",IF(N152&lt;'PlayerGrades+'!$AF$7,"B+",IF(N152&lt;'PlayerGrades+'!$AF$6,"A-",IF(N152&lt;'PlayerGrades+'!$AF$5,"A",IF(N152&lt;'PlayerGrades+'!$AF$4,"A+",IF(N152&lt;'PlayerGrades+'!$AF$3,"S-",IF(N152&lt;'PlayerGrades+'!$AF$2,"S","S+"))))))))))))))))))))</f>
        <v>F-</v>
      </c>
      <c r="P152" s="937">
        <f t="shared" si="7"/>
        <v>0</v>
      </c>
      <c r="Q152" s="937" t="str">
        <f>IF(P152&lt;'PlayerGrades+'!$AG$21,"F-",IF(P152&lt;'PlayerGrades+'!$AG$20,"F",IF(P152&lt;'PlayerGrades+'!$AG$19,"F+",IF(P152&lt;'PlayerGrades+'!$AG$18,"E-",IF(P152&lt;'PlayerGrades+'!$AG$17,"E",IF(P152&lt;'PlayerGrades+'!$AG$16,"E+",IF(P152&lt;'PlayerGrades+'!$AG$15,"D-",IF(P152&lt;'PlayerGrades+'!$AG$14,"D",IF(P152&lt;'PlayerGrades+'!$AG$13,"D+",IF(P152&lt;'PlayerGrades+'!$AG$12,"C-",IF(P152&lt;'PlayerGrades+'!$AG$11,"C",IF(P152&lt;'PlayerGrades+'!$AG$10,"C+",IF(P152&lt;'PlayerGrades+'!$AG$9,"B-",IF(P152&lt;'PlayerGrades+'!$AG$8,"B",IF(P152&lt;'PlayerGrades+'!$AG$7,"B+",IF(P152&lt;'PlayerGrades+'!$AG$6,"A-",IF(P152&lt;'PlayerGrades+'!$AG$5,"A",IF(P152&lt;'PlayerGrades+'!$AG$4,"A+",IF(P152&lt;'PlayerGrades+'!$AG$3,"S-",IF(P152&lt;'PlayerGrades+'!$AG$2,"S","S+"))))))))))))))))))))</f>
        <v>F</v>
      </c>
      <c r="R152" s="937">
        <f t="shared" si="8"/>
        <v>0.5063291139</v>
      </c>
      <c r="S152" s="937" t="str">
        <f>IF(R152&lt;'PlayerGrades+'!$AH$21,"F-",IF(R152&lt;'PlayerGrades+'!$AH$20,"F",IF(R152&lt;'PlayerGrades+'!$AH$19,"F+",IF(R152&lt;'PlayerGrades+'!$AH$18,"E-",IF(R152&lt;'PlayerGrades+'!$AH$17,"E",IF(R152&lt;'PlayerGrades+'!$AH$16,"E+",IF(R152&lt;'PlayerGrades+'!$AH$15,"D-",IF(R152&lt;'PlayerGrades+'!$AH$14,"D",IF(R152&lt;'PlayerGrades+'!$AH$13,"D+",IF(R152&lt;'PlayerGrades+'!$AH$12,"C-",IF(R152&lt;'PlayerGrades+'!$AH$11,"C",IF(R152&lt;'PlayerGrades+'!$AH$10,"C+",IF(R152&lt;'PlayerGrades+'!$AH$9,"B-",IF(R152&lt;'PlayerGrades+'!$AH$8,"B",IF(R152&lt;'PlayerGrades+'!$AH$7,"B+",IF(R152&lt;'PlayerGrades+'!$AH$6,"A-",IF(R152&lt;'PlayerGrades+'!$AH$5,"A",IF(R152&lt;'PlayerGrades+'!$AH$4,"A+",IF(R152&lt;'PlayerGrades+'!$AH$3,"S-",IF(R152&lt;'PlayerGrades+'!$AH$2,"S","S+"))))))))))))))))))))</f>
        <v>D</v>
      </c>
      <c r="T152" s="937">
        <f t="shared" si="9"/>
        <v>0.5063291139</v>
      </c>
      <c r="U152" s="937" t="str">
        <f>IF(T152&lt;'PlayerGrades+'!$AI$21,"F-",IF(T152&lt;'PlayerGrades+'!$AI$20,"F",IF(T152&lt;'PlayerGrades+'!$AI$19,"F+",IF(T152&lt;'PlayerGrades+'!$AI$18,"E-",IF(T152&lt;'PlayerGrades+'!$AI$17,"E",IF(T152&lt;'PlayerGrades+'!$AI$16,"E+",IF(T152&lt;'PlayerGrades+'!$AI$15,"D-",IF(T152&lt;'PlayerGrades+'!$AI$14,"D",IF(T152&lt;'PlayerGrades+'!$AI$13,"D+",IF(T152&lt;'PlayerGrades+'!$AI$12,"C-",IF(T152&lt;'PlayerGrades+'!$AI$11,"C",IF(T152&lt;'PlayerGrades+'!$AI$10,"C+",IF(T152&lt;'PlayerGrades+'!$AI$9,"B-",IF(T152&lt;'PlayerGrades+'!$AI$8,"B",IF(T152&lt;'PlayerGrades+'!$AI$7,"B+",IF(T152&lt;'PlayerGrades+'!$AI$6,"A-",IF(T152&lt;'PlayerGrades+'!$AI$5,"A",IF(T152&lt;'PlayerGrades+'!$AI$4,"A+",IF(T152&lt;'PlayerGrades+'!$AI$3,"S-",IF(T152&lt;'PlayerGrades+'!$AI$2,"S","S+"))))))))))))))))))))</f>
        <v>F-</v>
      </c>
      <c r="V152" s="941">
        <v>1.0</v>
      </c>
      <c r="W152" s="941">
        <v>0.0</v>
      </c>
      <c r="X152" s="941">
        <v>1.0</v>
      </c>
      <c r="Y152" s="941">
        <v>0.0</v>
      </c>
      <c r="Z152" s="941">
        <v>0.0</v>
      </c>
      <c r="AA152" s="952">
        <v>43.0</v>
      </c>
      <c r="AB152" s="952">
        <v>79.0</v>
      </c>
      <c r="AC152" s="952">
        <v>-36.0</v>
      </c>
      <c r="AD152" s="952">
        <v>8.0</v>
      </c>
      <c r="AE152" s="952">
        <v>3.0</v>
      </c>
      <c r="AF152" s="952">
        <v>1.0</v>
      </c>
      <c r="AG152" s="952">
        <v>868.0</v>
      </c>
      <c r="AH152" s="952">
        <v>1185.0</v>
      </c>
      <c r="AI152" s="952">
        <v>10.0</v>
      </c>
      <c r="AJ152" s="952">
        <v>0.0</v>
      </c>
      <c r="AK152" s="952">
        <v>0.0</v>
      </c>
      <c r="AL152" s="952">
        <v>0.0</v>
      </c>
      <c r="AM152" s="952">
        <v>0.0</v>
      </c>
      <c r="AN152" s="952">
        <v>0.0</v>
      </c>
      <c r="AO152" s="952">
        <v>0.0</v>
      </c>
      <c r="AP152" s="952">
        <v>0.0</v>
      </c>
      <c r="AQ152" s="952">
        <v>0.0</v>
      </c>
      <c r="AR152" s="952">
        <v>3.0</v>
      </c>
      <c r="AS152" s="952">
        <v>0.0</v>
      </c>
      <c r="AT152" s="952">
        <v>0.0</v>
      </c>
      <c r="AU152" s="952">
        <v>0.0</v>
      </c>
      <c r="AV152" s="952">
        <v>0.0</v>
      </c>
      <c r="AW152" s="952">
        <v>0.0</v>
      </c>
      <c r="AX152" s="952">
        <v>0.0</v>
      </c>
      <c r="AY152" s="952">
        <v>0.0</v>
      </c>
      <c r="AZ152" s="952">
        <v>0.0</v>
      </c>
      <c r="BA152" s="952">
        <v>0.0</v>
      </c>
      <c r="BB152" s="952">
        <v>2.0</v>
      </c>
      <c r="BC152" s="952">
        <v>0.0</v>
      </c>
      <c r="BD152" s="952">
        <v>2.0</v>
      </c>
      <c r="BE152" s="952">
        <v>10.0</v>
      </c>
      <c r="BF152" s="952">
        <v>0.0</v>
      </c>
      <c r="BG152" s="954">
        <v>0.0</v>
      </c>
    </row>
    <row r="153">
      <c r="A153" s="966" t="s">
        <v>126</v>
      </c>
      <c r="B153" s="16" t="str">
        <f>IF(C153&lt;'PlayerGrades+'!$Y$44,"F-",IF(C153&lt;'PlayerGrades+'!$Y$43,"F",IF(C153&lt;'PlayerGrades+'!$Y$42,"F+",IF(C153&lt;'PlayerGrades+'!$Y$41,"E-",IF(C153&lt;'PlayerGrades+'!$Y$40,"E",IF(C153&lt;'PlayerGrades+'!$Y$39,"E+",IF(C153&lt;'PlayerGrades+'!$Y$38,"D-",IF(C153&lt;'PlayerGrades+'!$Y$37,"D",IF(C153&lt;'PlayerGrades+'!$Y$36,"D+",IF(C153&lt;'PlayerGrades+'!$Y$35,"C-",IF(C153&lt;'PlayerGrades+'!$Y$34,"C",IF(C153&lt;'PlayerGrades+'!$Y$33,"C+",IF(C153&lt;'PlayerGrades+'!$Y$32,"B-",IF(C153&lt;'PlayerGrades+'!$Y$31,"B",IF(C153&lt;'PlayerGrades+'!$Y$30,"B+",IF(C153&lt;'PlayerGrades+'!$Y$29,"A-",IF(C153&lt;'PlayerGrades+'!$Y$28,"A",IF(C153&lt;'PlayerGrades+'!$Y$27,"A+",IF(C153&lt;'PlayerGrades+'!$Y$26,"S-",IF(C153&lt;'PlayerGrades+'!$Y$25,"S","S+"))))))))))))))))))))</f>
        <v>F+</v>
      </c>
      <c r="C153" s="936">
        <f>('PlayerGrades+'!$Y$47*(VLOOKUP(E153, 'PlayerGrades+'!$X$3:$Y$23, 2, FALSE)))+('PlayerGrades+'!$Y$48*(VLOOKUP(G153, 'PlayerGrades+'!$X$3:$Y$23, 2, FALSE)))+('PlayerGrades+'!$Y$49*(VLOOKUP(I153, 'PlayerGrades+'!$X$3:$Y$23, 2, FALSE)))+('PlayerGrades+'!$Y$50*(VLOOKUP(K153, 'PlayerGrades+'!$X$3:$Y$23, 2, FALSE)))+('PlayerGrades+'!$Y$51*(VLOOKUP(M153, 'PlayerGrades+'!$X$3:$Y$23, 2, FALSE)))+('PlayerGrades+'!$Y$52*(VLOOKUP(O153, 'PlayerGrades+'!$X$3:$Y$23, 2, FALSE)))+('PlayerGrades+'!$Y$53*(VLOOKUP(Q153, 'PlayerGrades+'!$X$3:$Y$23, 2, FALSE)))+('PlayerGrades+'!$Y$54*(VLOOKUP(S153, 'PlayerGrades+'!$X$3:$Y$23, 2, FALSE)))+('PlayerGrades+'!$Y$55*(VLOOKUP(U153, 'PlayerGrades+'!$X$3:$Y$23, 2, FALSE)))</f>
        <v>10.35</v>
      </c>
      <c r="D153" s="937">
        <f t="shared" si="1"/>
        <v>0</v>
      </c>
      <c r="E153" s="937" t="str">
        <f>IF(D153&lt;'PlayerGrades+'!$AA$21,"F-",IF(D153&lt;'PlayerGrades+'!$AA$20,"F",IF(D153&lt;'PlayerGrades+'!$AA$19,"F+",IF(D153&lt;'PlayerGrades+'!$AA$18,"E-",IF(D153&lt;'PlayerGrades+'!$AA$17,"E",IF(D153&lt;'PlayerGrades+'!$AA$16,"E+",IF(D153&lt;'PlayerGrades+'!$AA$15,"D-",IF(D153&lt;'PlayerGrades+'!$AA$14,"D",IF(D153&lt;'PlayerGrades+'!$AA$13,"D+",IF(D153&lt;'PlayerGrades+'!$AA$12,"C-",IF(D153&lt;'PlayerGrades+'!$AA$11,"C",IF(D153&lt;'PlayerGrades+'!$AA$10,"C+",IF(D153&lt;'PlayerGrades+'!$AA$9,"B-",IF(D153&lt;'PlayerGrades+'!$AA$8,"B",IF(D153&lt;'PlayerGrades+'!$AA$7,"B+",IF(D153&lt;'PlayerGrades+'!$AA$6,"A-",IF(D153&lt;'PlayerGrades+'!$AA$5,"A",IF(D153&lt;'PlayerGrades+'!$AA$4,"A+",IF(D153&lt;'PlayerGrades+'!$AA$3,"S-",IF(D153&lt;'PlayerGrades+'!$AA$2,"S","S+"))))))))))))))))))))</f>
        <v>F-</v>
      </c>
      <c r="F153" s="937">
        <f t="shared" si="2"/>
        <v>-0.5063291139</v>
      </c>
      <c r="G153" s="937" t="str">
        <f>IF(F153&lt;'PlayerGrades+'!$AB$21,"F-",IF(F153&lt;'PlayerGrades+'!$AB$20,"F",IF(F153&lt;'PlayerGrades+'!$AB$19,"F+",IF(F153&lt;'PlayerGrades+'!$AB$18,"E-",IF(F153&lt;'PlayerGrades+'!$AB$17,"E",IF(F153&lt;'PlayerGrades+'!$AB$16,"E+",IF(F153&lt;'PlayerGrades+'!$AB$15,"D-",IF(F153&lt;'PlayerGrades+'!$AB$14,"D",IF(F153&lt;'PlayerGrades+'!$AB$13,"D+",IF(F153&lt;'PlayerGrades+'!$AB$12,"C-",IF(F153&lt;'PlayerGrades+'!$AB$11,"C",IF(F153&lt;'PlayerGrades+'!$AB$10,"C+",IF(F153&lt;'PlayerGrades+'!$AB$9,"B-",IF(F153&lt;'PlayerGrades+'!$AB$8,"B",IF(F153&lt;'PlayerGrades+'!$AB$7,"B+",IF(F153&lt;'PlayerGrades+'!$AB$6,"A-",IF(F153&lt;'PlayerGrades+'!$AB$5,"A",IF(F153&lt;'PlayerGrades+'!$AB$4,"A+",IF(F153&lt;'PlayerGrades+'!$AB$3,"S-",IF(F153&lt;'PlayerGrades+'!$AB$2,"S","S+"))))))))))))))))))))</f>
        <v>D</v>
      </c>
      <c r="H153" s="937">
        <f t="shared" si="3"/>
        <v>0.1518987342</v>
      </c>
      <c r="I153" s="937" t="str">
        <f>IF(H153&lt;'PlayerGrades+'!$AC$21,"F-",IF(H153&lt;'PlayerGrades+'!$AC$20,"F",IF(H153&lt;'PlayerGrades+'!$AC$19,"F+",IF(H153&lt;'PlayerGrades+'!$AC$18,"E-",IF(H153&lt;'PlayerGrades+'!$AC$17,"E",IF(H153&lt;'PlayerGrades+'!$AC$16,"E+",IF(H153&lt;'PlayerGrades+'!$AC$15,"D-",IF(H153&lt;'PlayerGrades+'!$AC$14,"D",IF(H153&lt;'PlayerGrades+'!$AC$13,"D+",IF(H153&lt;'PlayerGrades+'!$AC$12,"C-",IF(H153&lt;'PlayerGrades+'!$AC$11,"C",IF(H153&lt;'PlayerGrades+'!$AC$10,"C+",IF(H153&lt;'PlayerGrades+'!$AC$9,"B-",IF(H153&lt;'PlayerGrades+'!$AC$8,"B",IF(H153&lt;'PlayerGrades+'!$AC$7,"B+",IF(H153&lt;'PlayerGrades+'!$AC$6,"A-",IF(H153&lt;'PlayerGrades+'!$AC$5,"A",IF(H153&lt;'PlayerGrades+'!$AC$4,"A+",IF(H153&lt;'PlayerGrades+'!$AC$3,"S-",IF(H153&lt;'PlayerGrades+'!$AC$2,"S","S+"))))))))))))))))))))</f>
        <v>A</v>
      </c>
      <c r="J153" s="937">
        <f t="shared" si="4"/>
        <v>0</v>
      </c>
      <c r="K153" s="937" t="str">
        <f>IF(J153&lt;'PlayerGrades+'!$AD$21,"F-",IF(J153&lt;'PlayerGrades+'!$AD$20,"F",IF(J153&lt;'PlayerGrades+'!$AD$19,"F+",IF(J153&lt;'PlayerGrades+'!$AD$18,"E-",IF(J153&lt;'PlayerGrades+'!$AD$17,"E",IF(J153&lt;'PlayerGrades+'!$AD$16,"E+",IF(J153&lt;'PlayerGrades+'!$AD$15,"D-",IF(J153&lt;'PlayerGrades+'!$AD$14,"D",IF(J153&lt;'PlayerGrades+'!$AD$13,"D+",IF(J153&lt;'PlayerGrades+'!$AD$12,"C-",IF(J153&lt;'PlayerGrades+'!$AD$11,"C",IF(J153&lt;'PlayerGrades+'!$AD$10,"C+",IF(J153&lt;'PlayerGrades+'!$AD$9,"B-",IF(J153&lt;'PlayerGrades+'!$AD$8,"B",IF(J153&lt;'PlayerGrades+'!$AD$7,"B+",IF(J153&lt;'PlayerGrades+'!$AD$6,"A-",IF(J153&lt;'PlayerGrades+'!$AD$5,"A",IF(J153&lt;'PlayerGrades+'!$AD$4,"A+",IF(J153&lt;'PlayerGrades+'!$AD$3,"S-",IF(J153&lt;'PlayerGrades+'!$AD$2,"S","S+"))))))))))))))))))))</f>
        <v>F-</v>
      </c>
      <c r="L153" s="677">
        <f t="shared" si="5"/>
        <v>0.3544303797</v>
      </c>
      <c r="M153" s="938" t="str">
        <f>IF(L153&lt;'PlayerGrades+'!$AE$21,"F-",IF(L153&lt;'PlayerGrades+'!$AE$20,"F",IF(L153&lt;'PlayerGrades+'!$AE$19,"F+",IF(L153&lt;'PlayerGrades+'!$AE$18,"E-",IF(L153&lt;'PlayerGrades+'!$AE$17,"E",IF(L153&lt;'PlayerGrades+'!$AE$16,"E+",IF(L153&lt;'PlayerGrades+'!$AE$15,"D-",IF(L153&lt;'PlayerGrades+'!$AE$14,"D",IF(L153&lt;'PlayerGrades+'!$AE$13,"D+",IF(L153&lt;'PlayerGrades+'!$AE$12,"C-",IF(L153&lt;'PlayerGrades+'!$AE$11,"C",IF(L153&lt;'PlayerGrades+'!$AE$10,"C+",IF(L153&lt;'PlayerGrades+'!$AE$9,"B-",IF(L153&lt;'PlayerGrades+'!$AE$8,"B",IF(L153&lt;'PlayerGrades+'!$AE$7,"B+",IF(L153&lt;'PlayerGrades+'!$AE$6,"A-",IF(L153&lt;'PlayerGrades+'!$AE$5,"A",IF(L153&lt;'PlayerGrades+'!$AE$4,"A+",IF(L153&lt;'PlayerGrades+'!$AE$3,"S-",IF(L153&lt;'PlayerGrades+'!$AE$2,"S","S+"))))))))))))))))))))</f>
        <v>D</v>
      </c>
      <c r="N153" s="937">
        <f t="shared" si="6"/>
        <v>0</v>
      </c>
      <c r="O153" s="937" t="str">
        <f>IF(N153&lt;'PlayerGrades+'!$AF$21,"F-",IF(N153&lt;'PlayerGrades+'!$AF$20,"F",IF(N153&lt;'PlayerGrades+'!$AF$19,"F+",IF(N153&lt;'PlayerGrades+'!$AF$18,"E-",IF(N153&lt;'PlayerGrades+'!$AF$17,"E",IF(N153&lt;'PlayerGrades+'!$AF$16,"E+",IF(N153&lt;'PlayerGrades+'!$AF$15,"D-",IF(N153&lt;'PlayerGrades+'!$AF$14,"D",IF(N153&lt;'PlayerGrades+'!$AF$13,"D+",IF(N153&lt;'PlayerGrades+'!$AF$12,"C-",IF(N153&lt;'PlayerGrades+'!$AF$11,"C",IF(N153&lt;'PlayerGrades+'!$AF$10,"C+",IF(N153&lt;'PlayerGrades+'!$AF$9,"B-",IF(N153&lt;'PlayerGrades+'!$AF$8,"B",IF(N153&lt;'PlayerGrades+'!$AF$7,"B+",IF(N153&lt;'PlayerGrades+'!$AF$6,"A-",IF(N153&lt;'PlayerGrades+'!$AF$5,"A",IF(N153&lt;'PlayerGrades+'!$AF$4,"A+",IF(N153&lt;'PlayerGrades+'!$AF$3,"S-",IF(N153&lt;'PlayerGrades+'!$AF$2,"S","S+"))))))))))))))))))))</f>
        <v>F-</v>
      </c>
      <c r="P153" s="937">
        <f t="shared" si="7"/>
        <v>0</v>
      </c>
      <c r="Q153" s="937" t="str">
        <f>IF(P153&lt;'PlayerGrades+'!$AG$21,"F-",IF(P153&lt;'PlayerGrades+'!$AG$20,"F",IF(P153&lt;'PlayerGrades+'!$AG$19,"F+",IF(P153&lt;'PlayerGrades+'!$AG$18,"E-",IF(P153&lt;'PlayerGrades+'!$AG$17,"E",IF(P153&lt;'PlayerGrades+'!$AG$16,"E+",IF(P153&lt;'PlayerGrades+'!$AG$15,"D-",IF(P153&lt;'PlayerGrades+'!$AG$14,"D",IF(P153&lt;'PlayerGrades+'!$AG$13,"D+",IF(P153&lt;'PlayerGrades+'!$AG$12,"C-",IF(P153&lt;'PlayerGrades+'!$AG$11,"C",IF(P153&lt;'PlayerGrades+'!$AG$10,"C+",IF(P153&lt;'PlayerGrades+'!$AG$9,"B-",IF(P153&lt;'PlayerGrades+'!$AG$8,"B",IF(P153&lt;'PlayerGrades+'!$AG$7,"B+",IF(P153&lt;'PlayerGrades+'!$AG$6,"A-",IF(P153&lt;'PlayerGrades+'!$AG$5,"A",IF(P153&lt;'PlayerGrades+'!$AG$4,"A+",IF(P153&lt;'PlayerGrades+'!$AG$3,"S-",IF(P153&lt;'PlayerGrades+'!$AG$2,"S","S+"))))))))))))))))))))</f>
        <v>F</v>
      </c>
      <c r="R153" s="937">
        <f t="shared" si="8"/>
        <v>0.4050632911</v>
      </c>
      <c r="S153" s="937" t="str">
        <f>IF(R153&lt;'PlayerGrades+'!$AH$21,"F-",IF(R153&lt;'PlayerGrades+'!$AH$20,"F",IF(R153&lt;'PlayerGrades+'!$AH$19,"F+",IF(R153&lt;'PlayerGrades+'!$AH$18,"E-",IF(R153&lt;'PlayerGrades+'!$AH$17,"E",IF(R153&lt;'PlayerGrades+'!$AH$16,"E+",IF(R153&lt;'PlayerGrades+'!$AH$15,"D-",IF(R153&lt;'PlayerGrades+'!$AH$14,"D",IF(R153&lt;'PlayerGrades+'!$AH$13,"D+",IF(R153&lt;'PlayerGrades+'!$AH$12,"C-",IF(R153&lt;'PlayerGrades+'!$AH$11,"C",IF(R153&lt;'PlayerGrades+'!$AH$10,"C+",IF(R153&lt;'PlayerGrades+'!$AH$9,"B-",IF(R153&lt;'PlayerGrades+'!$AH$8,"B",IF(R153&lt;'PlayerGrades+'!$AH$7,"B+",IF(R153&lt;'PlayerGrades+'!$AH$6,"A-",IF(R153&lt;'PlayerGrades+'!$AH$5,"A",IF(R153&lt;'PlayerGrades+'!$AH$4,"A+",IF(R153&lt;'PlayerGrades+'!$AH$3,"S-",IF(R153&lt;'PlayerGrades+'!$AH$2,"S","S+"))))))))))))))))))))</f>
        <v>F+</v>
      </c>
      <c r="T153" s="937">
        <f t="shared" si="9"/>
        <v>0.4050632911</v>
      </c>
      <c r="U153" s="937" t="str">
        <f>IF(T153&lt;'PlayerGrades+'!$AI$21,"F-",IF(T153&lt;'PlayerGrades+'!$AI$20,"F",IF(T153&lt;'PlayerGrades+'!$AI$19,"F+",IF(T153&lt;'PlayerGrades+'!$AI$18,"E-",IF(T153&lt;'PlayerGrades+'!$AI$17,"E",IF(T153&lt;'PlayerGrades+'!$AI$16,"E+",IF(T153&lt;'PlayerGrades+'!$AI$15,"D-",IF(T153&lt;'PlayerGrades+'!$AI$14,"D",IF(T153&lt;'PlayerGrades+'!$AI$13,"D+",IF(T153&lt;'PlayerGrades+'!$AI$12,"C-",IF(T153&lt;'PlayerGrades+'!$AI$11,"C",IF(T153&lt;'PlayerGrades+'!$AI$10,"C+",IF(T153&lt;'PlayerGrades+'!$AI$9,"B-",IF(T153&lt;'PlayerGrades+'!$AI$8,"B",IF(T153&lt;'PlayerGrades+'!$AI$7,"B+",IF(T153&lt;'PlayerGrades+'!$AI$6,"A-",IF(T153&lt;'PlayerGrades+'!$AI$5,"A",IF(T153&lt;'PlayerGrades+'!$AI$4,"A+",IF(T153&lt;'PlayerGrades+'!$AI$3,"S-",IF(T153&lt;'PlayerGrades+'!$AI$2,"S","S+"))))))))))))))))))))</f>
        <v>F-</v>
      </c>
      <c r="V153" s="944">
        <v>1.0</v>
      </c>
      <c r="W153" s="944">
        <v>0.0</v>
      </c>
      <c r="X153" s="944">
        <v>1.0</v>
      </c>
      <c r="Y153" s="944">
        <v>0.0</v>
      </c>
      <c r="Z153" s="944">
        <v>0.0</v>
      </c>
      <c r="AA153" s="956">
        <v>63.0</v>
      </c>
      <c r="AB153" s="956">
        <v>73.0</v>
      </c>
      <c r="AC153" s="956">
        <v>-10.0</v>
      </c>
      <c r="AD153" s="956">
        <v>3.0</v>
      </c>
      <c r="AE153" s="956">
        <v>4.0</v>
      </c>
      <c r="AF153" s="956">
        <v>0.0</v>
      </c>
      <c r="AG153" s="956">
        <v>892.0</v>
      </c>
      <c r="AH153" s="956">
        <v>1185.0</v>
      </c>
      <c r="AI153" s="956">
        <v>12.0</v>
      </c>
      <c r="AJ153" s="956">
        <v>2.0</v>
      </c>
      <c r="AK153" s="956">
        <v>0.0</v>
      </c>
      <c r="AL153" s="956">
        <v>0.0</v>
      </c>
      <c r="AM153" s="956">
        <v>0.0</v>
      </c>
      <c r="AN153" s="956">
        <v>0.0</v>
      </c>
      <c r="AO153" s="956">
        <v>0.0</v>
      </c>
      <c r="AP153" s="956">
        <v>0.0</v>
      </c>
      <c r="AQ153" s="956">
        <v>0.0</v>
      </c>
      <c r="AR153" s="956">
        <v>7.0</v>
      </c>
      <c r="AS153" s="956">
        <v>0.0</v>
      </c>
      <c r="AT153" s="956">
        <v>0.0</v>
      </c>
      <c r="AU153" s="956">
        <v>0.0</v>
      </c>
      <c r="AV153" s="956">
        <v>0.0</v>
      </c>
      <c r="AW153" s="956">
        <v>0.0</v>
      </c>
      <c r="AX153" s="956">
        <v>0.0</v>
      </c>
      <c r="AY153" s="956">
        <v>0.0</v>
      </c>
      <c r="AZ153" s="956">
        <v>0.0</v>
      </c>
      <c r="BA153" s="956">
        <v>0.0</v>
      </c>
      <c r="BB153" s="956">
        <v>3.0</v>
      </c>
      <c r="BC153" s="956">
        <v>0.0</v>
      </c>
      <c r="BD153" s="956">
        <v>5.0</v>
      </c>
      <c r="BE153" s="956">
        <v>8.0</v>
      </c>
      <c r="BF153" s="956">
        <v>0.0</v>
      </c>
      <c r="BG153" s="957">
        <v>0.0</v>
      </c>
    </row>
    <row r="154">
      <c r="A154" s="964" t="s">
        <v>420</v>
      </c>
      <c r="B154" s="16" t="str">
        <f>IF(C154&lt;'PlayerGrades+'!$Y$44,"F-",IF(C154&lt;'PlayerGrades+'!$Y$43,"F",IF(C154&lt;'PlayerGrades+'!$Y$42,"F+",IF(C154&lt;'PlayerGrades+'!$Y$41,"E-",IF(C154&lt;'PlayerGrades+'!$Y$40,"E",IF(C154&lt;'PlayerGrades+'!$Y$39,"E+",IF(C154&lt;'PlayerGrades+'!$Y$38,"D-",IF(C154&lt;'PlayerGrades+'!$Y$37,"D",IF(C154&lt;'PlayerGrades+'!$Y$36,"D+",IF(C154&lt;'PlayerGrades+'!$Y$35,"C-",IF(C154&lt;'PlayerGrades+'!$Y$34,"C",IF(C154&lt;'PlayerGrades+'!$Y$33,"C+",IF(C154&lt;'PlayerGrades+'!$Y$32,"B-",IF(C154&lt;'PlayerGrades+'!$Y$31,"B",IF(C154&lt;'PlayerGrades+'!$Y$30,"B+",IF(C154&lt;'PlayerGrades+'!$Y$29,"A-",IF(C154&lt;'PlayerGrades+'!$Y$28,"A",IF(C154&lt;'PlayerGrades+'!$Y$27,"A+",IF(C154&lt;'PlayerGrades+'!$Y$26,"S-",IF(C154&lt;'PlayerGrades+'!$Y$25,"S","S+"))))))))))))))))))))</f>
        <v>C</v>
      </c>
      <c r="C154" s="936">
        <f>('PlayerGrades+'!$Y$47*(VLOOKUP(E154, 'PlayerGrades+'!$X$3:$Y$23, 2, FALSE)))+('PlayerGrades+'!$Y$48*(VLOOKUP(G154, 'PlayerGrades+'!$X$3:$Y$23, 2, FALSE)))+('PlayerGrades+'!$Y$49*(VLOOKUP(I154, 'PlayerGrades+'!$X$3:$Y$23, 2, FALSE)))+('PlayerGrades+'!$Y$50*(VLOOKUP(K154, 'PlayerGrades+'!$X$3:$Y$23, 2, FALSE)))+('PlayerGrades+'!$Y$51*(VLOOKUP(M154, 'PlayerGrades+'!$X$3:$Y$23, 2, FALSE)))+('PlayerGrades+'!$Y$52*(VLOOKUP(O154, 'PlayerGrades+'!$X$3:$Y$23, 2, FALSE)))+('PlayerGrades+'!$Y$53*(VLOOKUP(Q154, 'PlayerGrades+'!$X$3:$Y$23, 2, FALSE)))+('PlayerGrades+'!$Y$54*(VLOOKUP(S154, 'PlayerGrades+'!$X$3:$Y$23, 2, FALSE)))+('PlayerGrades+'!$Y$55*(VLOOKUP(U154, 'PlayerGrades+'!$X$3:$Y$23, 2, FALSE)))</f>
        <v>20.5</v>
      </c>
      <c r="D154" s="937">
        <f t="shared" si="1"/>
        <v>0.5333333333</v>
      </c>
      <c r="E154" s="937" t="str">
        <f>IF(D154&lt;'PlayerGrades+'!$AA$21,"F-",IF(D154&lt;'PlayerGrades+'!$AA$20,"F",IF(D154&lt;'PlayerGrades+'!$AA$19,"F+",IF(D154&lt;'PlayerGrades+'!$AA$18,"E-",IF(D154&lt;'PlayerGrades+'!$AA$17,"E",IF(D154&lt;'PlayerGrades+'!$AA$16,"E+",IF(D154&lt;'PlayerGrades+'!$AA$15,"D-",IF(D154&lt;'PlayerGrades+'!$AA$14,"D",IF(D154&lt;'PlayerGrades+'!$AA$13,"D+",IF(D154&lt;'PlayerGrades+'!$AA$12,"C-",IF(D154&lt;'PlayerGrades+'!$AA$11,"C",IF(D154&lt;'PlayerGrades+'!$AA$10,"C+",IF(D154&lt;'PlayerGrades+'!$AA$9,"B-",IF(D154&lt;'PlayerGrades+'!$AA$8,"B",IF(D154&lt;'PlayerGrades+'!$AA$7,"B+",IF(D154&lt;'PlayerGrades+'!$AA$6,"A-",IF(D154&lt;'PlayerGrades+'!$AA$5,"A",IF(D154&lt;'PlayerGrades+'!$AA$4,"A+",IF(D154&lt;'PlayerGrades+'!$AA$3,"S-",IF(D154&lt;'PlayerGrades+'!$AA$2,"S","S+"))))))))))))))))))))</f>
        <v>S-</v>
      </c>
      <c r="F154" s="937">
        <f t="shared" si="2"/>
        <v>0.6222222222</v>
      </c>
      <c r="G154" s="937" t="str">
        <f>IF(F154&lt;'PlayerGrades+'!$AB$21,"F-",IF(F154&lt;'PlayerGrades+'!$AB$20,"F",IF(F154&lt;'PlayerGrades+'!$AB$19,"F+",IF(F154&lt;'PlayerGrades+'!$AB$18,"E-",IF(F154&lt;'PlayerGrades+'!$AB$17,"E",IF(F154&lt;'PlayerGrades+'!$AB$16,"E+",IF(F154&lt;'PlayerGrades+'!$AB$15,"D-",IF(F154&lt;'PlayerGrades+'!$AB$14,"D",IF(F154&lt;'PlayerGrades+'!$AB$13,"D+",IF(F154&lt;'PlayerGrades+'!$AB$12,"C-",IF(F154&lt;'PlayerGrades+'!$AB$11,"C",IF(F154&lt;'PlayerGrades+'!$AB$10,"C+",IF(F154&lt;'PlayerGrades+'!$AB$9,"B-",IF(F154&lt;'PlayerGrades+'!$AB$8,"B",IF(F154&lt;'PlayerGrades+'!$AB$7,"B+",IF(F154&lt;'PlayerGrades+'!$AB$6,"A-",IF(F154&lt;'PlayerGrades+'!$AB$5,"A",IF(F154&lt;'PlayerGrades+'!$AB$4,"A+",IF(F154&lt;'PlayerGrades+'!$AB$3,"S-",IF(F154&lt;'PlayerGrades+'!$AB$2,"S","S+"))))))))))))))))))))</f>
        <v>S-</v>
      </c>
      <c r="H154" s="937">
        <f t="shared" si="3"/>
        <v>0</v>
      </c>
      <c r="I154" s="937" t="str">
        <f>IF(H154&lt;'PlayerGrades+'!$AC$21,"F-",IF(H154&lt;'PlayerGrades+'!$AC$20,"F",IF(H154&lt;'PlayerGrades+'!$AC$19,"F+",IF(H154&lt;'PlayerGrades+'!$AC$18,"E-",IF(H154&lt;'PlayerGrades+'!$AC$17,"E",IF(H154&lt;'PlayerGrades+'!$AC$16,"E+",IF(H154&lt;'PlayerGrades+'!$AC$15,"D-",IF(H154&lt;'PlayerGrades+'!$AC$14,"D",IF(H154&lt;'PlayerGrades+'!$AC$13,"D+",IF(H154&lt;'PlayerGrades+'!$AC$12,"C-",IF(H154&lt;'PlayerGrades+'!$AC$11,"C",IF(H154&lt;'PlayerGrades+'!$AC$10,"C+",IF(H154&lt;'PlayerGrades+'!$AC$9,"B-",IF(H154&lt;'PlayerGrades+'!$AC$8,"B",IF(H154&lt;'PlayerGrades+'!$AC$7,"B+",IF(H154&lt;'PlayerGrades+'!$AC$6,"A-",IF(H154&lt;'PlayerGrades+'!$AC$5,"A",IF(H154&lt;'PlayerGrades+'!$AC$4,"A+",IF(H154&lt;'PlayerGrades+'!$AC$3,"S-",IF(H154&lt;'PlayerGrades+'!$AC$2,"S","S+"))))))))))))))))))))</f>
        <v>F-</v>
      </c>
      <c r="J154" s="937">
        <f t="shared" si="4"/>
        <v>0.08888888889</v>
      </c>
      <c r="K154" s="937" t="str">
        <f>IF(J154&lt;'PlayerGrades+'!$AD$21,"F-",IF(J154&lt;'PlayerGrades+'!$AD$20,"F",IF(J154&lt;'PlayerGrades+'!$AD$19,"F+",IF(J154&lt;'PlayerGrades+'!$AD$18,"E-",IF(J154&lt;'PlayerGrades+'!$AD$17,"E",IF(J154&lt;'PlayerGrades+'!$AD$16,"E+",IF(J154&lt;'PlayerGrades+'!$AD$15,"D-",IF(J154&lt;'PlayerGrades+'!$AD$14,"D",IF(J154&lt;'PlayerGrades+'!$AD$13,"D+",IF(J154&lt;'PlayerGrades+'!$AD$12,"C-",IF(J154&lt;'PlayerGrades+'!$AD$11,"C",IF(J154&lt;'PlayerGrades+'!$AD$10,"C+",IF(J154&lt;'PlayerGrades+'!$AD$9,"B-",IF(J154&lt;'PlayerGrades+'!$AD$8,"B",IF(J154&lt;'PlayerGrades+'!$AD$7,"B+",IF(J154&lt;'PlayerGrades+'!$AD$6,"A-",IF(J154&lt;'PlayerGrades+'!$AD$5,"A",IF(J154&lt;'PlayerGrades+'!$AD$4,"A+",IF(J154&lt;'PlayerGrades+'!$AD$3,"S-",IF(J154&lt;'PlayerGrades+'!$AD$2,"S","S+"))))))))))))))))))))</f>
        <v>S-</v>
      </c>
      <c r="L154" s="677">
        <f t="shared" si="5"/>
        <v>0.4444444444</v>
      </c>
      <c r="M154" s="938" t="str">
        <f>IF(L154&lt;'PlayerGrades+'!$AE$21,"F-",IF(L154&lt;'PlayerGrades+'!$AE$20,"F",IF(L154&lt;'PlayerGrades+'!$AE$19,"F+",IF(L154&lt;'PlayerGrades+'!$AE$18,"E-",IF(L154&lt;'PlayerGrades+'!$AE$17,"E",IF(L154&lt;'PlayerGrades+'!$AE$16,"E+",IF(L154&lt;'PlayerGrades+'!$AE$15,"D-",IF(L154&lt;'PlayerGrades+'!$AE$14,"D",IF(L154&lt;'PlayerGrades+'!$AE$13,"D+",IF(L154&lt;'PlayerGrades+'!$AE$12,"C-",IF(L154&lt;'PlayerGrades+'!$AE$11,"C",IF(L154&lt;'PlayerGrades+'!$AE$10,"C+",IF(L154&lt;'PlayerGrades+'!$AE$9,"B-",IF(L154&lt;'PlayerGrades+'!$AE$8,"B",IF(L154&lt;'PlayerGrades+'!$AE$7,"B+",IF(L154&lt;'PlayerGrades+'!$AE$6,"A-",IF(L154&lt;'PlayerGrades+'!$AE$5,"A",IF(L154&lt;'PlayerGrades+'!$AE$4,"A+",IF(L154&lt;'PlayerGrades+'!$AE$3,"S-",IF(L154&lt;'PlayerGrades+'!$AE$2,"S","S+"))))))))))))))))))))</f>
        <v>B</v>
      </c>
      <c r="N154" s="937">
        <f t="shared" si="6"/>
        <v>0</v>
      </c>
      <c r="O154" s="937" t="str">
        <f>IF(N154&lt;'PlayerGrades+'!$AF$21,"F-",IF(N154&lt;'PlayerGrades+'!$AF$20,"F",IF(N154&lt;'PlayerGrades+'!$AF$19,"F+",IF(N154&lt;'PlayerGrades+'!$AF$18,"E-",IF(N154&lt;'PlayerGrades+'!$AF$17,"E",IF(N154&lt;'PlayerGrades+'!$AF$16,"E+",IF(N154&lt;'PlayerGrades+'!$AF$15,"D-",IF(N154&lt;'PlayerGrades+'!$AF$14,"D",IF(N154&lt;'PlayerGrades+'!$AF$13,"D+",IF(N154&lt;'PlayerGrades+'!$AF$12,"C-",IF(N154&lt;'PlayerGrades+'!$AF$11,"C",IF(N154&lt;'PlayerGrades+'!$AF$10,"C+",IF(N154&lt;'PlayerGrades+'!$AF$9,"B-",IF(N154&lt;'PlayerGrades+'!$AF$8,"B",IF(N154&lt;'PlayerGrades+'!$AF$7,"B+",IF(N154&lt;'PlayerGrades+'!$AF$6,"A-",IF(N154&lt;'PlayerGrades+'!$AF$5,"A",IF(N154&lt;'PlayerGrades+'!$AF$4,"A+",IF(N154&lt;'PlayerGrades+'!$AF$3,"S-",IF(N154&lt;'PlayerGrades+'!$AF$2,"S","S+"))))))))))))))))))))</f>
        <v>F-</v>
      </c>
      <c r="P154" s="937">
        <f t="shared" si="7"/>
        <v>0</v>
      </c>
      <c r="Q154" s="937" t="str">
        <f>IF(P154&lt;'PlayerGrades+'!$AG$21,"F-",IF(P154&lt;'PlayerGrades+'!$AG$20,"F",IF(P154&lt;'PlayerGrades+'!$AG$19,"F+",IF(P154&lt;'PlayerGrades+'!$AG$18,"E-",IF(P154&lt;'PlayerGrades+'!$AG$17,"E",IF(P154&lt;'PlayerGrades+'!$AG$16,"E+",IF(P154&lt;'PlayerGrades+'!$AG$15,"D-",IF(P154&lt;'PlayerGrades+'!$AG$14,"D",IF(P154&lt;'PlayerGrades+'!$AG$13,"D+",IF(P154&lt;'PlayerGrades+'!$AG$12,"C-",IF(P154&lt;'PlayerGrades+'!$AG$11,"C",IF(P154&lt;'PlayerGrades+'!$AG$10,"C+",IF(P154&lt;'PlayerGrades+'!$AG$9,"B-",IF(P154&lt;'PlayerGrades+'!$AG$8,"B",IF(P154&lt;'PlayerGrades+'!$AG$7,"B+",IF(P154&lt;'PlayerGrades+'!$AG$6,"A-",IF(P154&lt;'PlayerGrades+'!$AG$5,"A",IF(P154&lt;'PlayerGrades+'!$AG$4,"A+",IF(P154&lt;'PlayerGrades+'!$AG$3,"S-",IF(P154&lt;'PlayerGrades+'!$AG$2,"S","S+"))))))))))))))))))))</f>
        <v>F</v>
      </c>
      <c r="R154" s="937">
        <f t="shared" si="8"/>
        <v>0.7111111111</v>
      </c>
      <c r="S154" s="937" t="str">
        <f>IF(R154&lt;'PlayerGrades+'!$AH$21,"F-",IF(R154&lt;'PlayerGrades+'!$AH$20,"F",IF(R154&lt;'PlayerGrades+'!$AH$19,"F+",IF(R154&lt;'PlayerGrades+'!$AH$18,"E-",IF(R154&lt;'PlayerGrades+'!$AH$17,"E",IF(R154&lt;'PlayerGrades+'!$AH$16,"E+",IF(R154&lt;'PlayerGrades+'!$AH$15,"D-",IF(R154&lt;'PlayerGrades+'!$AH$14,"D",IF(R154&lt;'PlayerGrades+'!$AH$13,"D+",IF(R154&lt;'PlayerGrades+'!$AH$12,"C-",IF(R154&lt;'PlayerGrades+'!$AH$11,"C",IF(R154&lt;'PlayerGrades+'!$AH$10,"C+",IF(R154&lt;'PlayerGrades+'!$AH$9,"B-",IF(R154&lt;'PlayerGrades+'!$AH$8,"B",IF(R154&lt;'PlayerGrades+'!$AH$7,"B+",IF(R154&lt;'PlayerGrades+'!$AH$6,"A-",IF(R154&lt;'PlayerGrades+'!$AH$5,"A",IF(R154&lt;'PlayerGrades+'!$AH$4,"A+",IF(R154&lt;'PlayerGrades+'!$AH$3,"S-",IF(R154&lt;'PlayerGrades+'!$AH$2,"S","S+"))))))))))))))))))))</f>
        <v>S-</v>
      </c>
      <c r="T154" s="937">
        <f t="shared" si="9"/>
        <v>0.3555555556</v>
      </c>
      <c r="U154" s="937" t="str">
        <f>IF(T154&lt;'PlayerGrades+'!$AI$21,"F-",IF(T154&lt;'PlayerGrades+'!$AI$20,"F",IF(T154&lt;'PlayerGrades+'!$AI$19,"F+",IF(T154&lt;'PlayerGrades+'!$AI$18,"E-",IF(T154&lt;'PlayerGrades+'!$AI$17,"E",IF(T154&lt;'PlayerGrades+'!$AI$16,"E+",IF(T154&lt;'PlayerGrades+'!$AI$15,"D-",IF(T154&lt;'PlayerGrades+'!$AI$14,"D",IF(T154&lt;'PlayerGrades+'!$AI$13,"D+",IF(T154&lt;'PlayerGrades+'!$AI$12,"C-",IF(T154&lt;'PlayerGrades+'!$AI$11,"C",IF(T154&lt;'PlayerGrades+'!$AI$10,"C+",IF(T154&lt;'PlayerGrades+'!$AI$9,"B-",IF(T154&lt;'PlayerGrades+'!$AI$8,"B",IF(T154&lt;'PlayerGrades+'!$AI$7,"B+",IF(T154&lt;'PlayerGrades+'!$AI$6,"A-",IF(T154&lt;'PlayerGrades+'!$AI$5,"A",IF(T154&lt;'PlayerGrades+'!$AI$4,"A+",IF(T154&lt;'PlayerGrades+'!$AI$3,"S-",IF(T154&lt;'PlayerGrades+'!$AI$2,"S","S+"))))))))))))))))))))</f>
        <v>F-</v>
      </c>
      <c r="V154" s="895">
        <v>0.0</v>
      </c>
      <c r="W154" s="895">
        <v>0.0</v>
      </c>
      <c r="X154" s="939">
        <v>0.0</v>
      </c>
      <c r="Y154" s="939">
        <v>1.0</v>
      </c>
      <c r="Z154" s="939">
        <v>5.0</v>
      </c>
      <c r="AA154" s="950">
        <v>33.0</v>
      </c>
      <c r="AB154" s="950">
        <v>26.0</v>
      </c>
      <c r="AC154" s="950">
        <v>7.0</v>
      </c>
      <c r="AD154" s="950">
        <v>2.0</v>
      </c>
      <c r="AE154" s="950">
        <v>5.0</v>
      </c>
      <c r="AF154" s="950">
        <v>2.0</v>
      </c>
      <c r="AG154" s="950">
        <v>568.0</v>
      </c>
      <c r="AH154" s="950">
        <v>675.0</v>
      </c>
      <c r="AI154" s="950">
        <v>21.0</v>
      </c>
      <c r="AJ154" s="950">
        <v>124.0</v>
      </c>
      <c r="AK154" s="950">
        <v>0.0</v>
      </c>
      <c r="AL154" s="950">
        <v>1.0</v>
      </c>
      <c r="AM154" s="950">
        <v>0.0</v>
      </c>
      <c r="AN154" s="950">
        <v>0.0</v>
      </c>
      <c r="AO154" s="950">
        <v>0.0</v>
      </c>
      <c r="AP154" s="950">
        <v>0.0</v>
      </c>
      <c r="AQ154" s="950">
        <v>0.0</v>
      </c>
      <c r="AR154" s="950">
        <v>5.0</v>
      </c>
      <c r="AS154" s="950">
        <v>0.0</v>
      </c>
      <c r="AT154" s="950">
        <v>0.0</v>
      </c>
      <c r="AU154" s="950">
        <v>0.0</v>
      </c>
      <c r="AV154" s="950">
        <v>0.0</v>
      </c>
      <c r="AW154" s="950">
        <v>0.0</v>
      </c>
      <c r="AX154" s="950">
        <v>0.0</v>
      </c>
      <c r="AY154" s="950">
        <v>0.0</v>
      </c>
      <c r="AZ154" s="950">
        <v>0.0</v>
      </c>
      <c r="BA154" s="950">
        <v>0.0</v>
      </c>
      <c r="BB154" s="950">
        <v>0.0</v>
      </c>
      <c r="BC154" s="950">
        <v>0.0</v>
      </c>
      <c r="BD154" s="950">
        <v>6.0</v>
      </c>
      <c r="BE154" s="950">
        <v>4.0</v>
      </c>
      <c r="BF154" s="950">
        <v>0.0</v>
      </c>
      <c r="BG154" s="951">
        <v>0.0</v>
      </c>
    </row>
    <row r="155">
      <c r="A155" s="965" t="s">
        <v>115</v>
      </c>
      <c r="B155" s="16" t="str">
        <f>IF(C155&lt;'PlayerGrades+'!$Y$44,"F-",IF(C155&lt;'PlayerGrades+'!$Y$43,"F",IF(C155&lt;'PlayerGrades+'!$Y$42,"F+",IF(C155&lt;'PlayerGrades+'!$Y$41,"E-",IF(C155&lt;'PlayerGrades+'!$Y$40,"E",IF(C155&lt;'PlayerGrades+'!$Y$39,"E+",IF(C155&lt;'PlayerGrades+'!$Y$38,"D-",IF(C155&lt;'PlayerGrades+'!$Y$37,"D",IF(C155&lt;'PlayerGrades+'!$Y$36,"D+",IF(C155&lt;'PlayerGrades+'!$Y$35,"C-",IF(C155&lt;'PlayerGrades+'!$Y$34,"C",IF(C155&lt;'PlayerGrades+'!$Y$33,"C+",IF(C155&lt;'PlayerGrades+'!$Y$32,"B-",IF(C155&lt;'PlayerGrades+'!$Y$31,"B",IF(C155&lt;'PlayerGrades+'!$Y$30,"B+",IF(C155&lt;'PlayerGrades+'!$Y$29,"A-",IF(C155&lt;'PlayerGrades+'!$Y$28,"A",IF(C155&lt;'PlayerGrades+'!$Y$27,"A+",IF(C155&lt;'PlayerGrades+'!$Y$26,"S-",IF(C155&lt;'PlayerGrades+'!$Y$25,"S","S+"))))))))))))))))))))</f>
        <v>F</v>
      </c>
      <c r="C155" s="936">
        <f>('PlayerGrades+'!$Y$47*(VLOOKUP(E155, 'PlayerGrades+'!$X$3:$Y$23, 2, FALSE)))+('PlayerGrades+'!$Y$48*(VLOOKUP(G155, 'PlayerGrades+'!$X$3:$Y$23, 2, FALSE)))+('PlayerGrades+'!$Y$49*(VLOOKUP(I155, 'PlayerGrades+'!$X$3:$Y$23, 2, FALSE)))+('PlayerGrades+'!$Y$50*(VLOOKUP(K155, 'PlayerGrades+'!$X$3:$Y$23, 2, FALSE)))+('PlayerGrades+'!$Y$51*(VLOOKUP(M155, 'PlayerGrades+'!$X$3:$Y$23, 2, FALSE)))+('PlayerGrades+'!$Y$52*(VLOOKUP(O155, 'PlayerGrades+'!$X$3:$Y$23, 2, FALSE)))+('PlayerGrades+'!$Y$53*(VLOOKUP(Q155, 'PlayerGrades+'!$X$3:$Y$23, 2, FALSE)))+('PlayerGrades+'!$Y$54*(VLOOKUP(S155, 'PlayerGrades+'!$X$3:$Y$23, 2, FALSE)))+('PlayerGrades+'!$Y$55*(VLOOKUP(U155, 'PlayerGrades+'!$X$3:$Y$23, 2, FALSE)))</f>
        <v>10</v>
      </c>
      <c r="D155" s="937">
        <f t="shared" si="1"/>
        <v>0</v>
      </c>
      <c r="E155" s="937" t="str">
        <f>IF(D155&lt;'PlayerGrades+'!$AA$21,"F-",IF(D155&lt;'PlayerGrades+'!$AA$20,"F",IF(D155&lt;'PlayerGrades+'!$AA$19,"F+",IF(D155&lt;'PlayerGrades+'!$AA$18,"E-",IF(D155&lt;'PlayerGrades+'!$AA$17,"E",IF(D155&lt;'PlayerGrades+'!$AA$16,"E+",IF(D155&lt;'PlayerGrades+'!$AA$15,"D-",IF(D155&lt;'PlayerGrades+'!$AA$14,"D",IF(D155&lt;'PlayerGrades+'!$AA$13,"D+",IF(D155&lt;'PlayerGrades+'!$AA$12,"C-",IF(D155&lt;'PlayerGrades+'!$AA$11,"C",IF(D155&lt;'PlayerGrades+'!$AA$10,"C+",IF(D155&lt;'PlayerGrades+'!$AA$9,"B-",IF(D155&lt;'PlayerGrades+'!$AA$8,"B",IF(D155&lt;'PlayerGrades+'!$AA$7,"B+",IF(D155&lt;'PlayerGrades+'!$AA$6,"A-",IF(D155&lt;'PlayerGrades+'!$AA$5,"A",IF(D155&lt;'PlayerGrades+'!$AA$4,"A+",IF(D155&lt;'PlayerGrades+'!$AA$3,"S-",IF(D155&lt;'PlayerGrades+'!$AA$2,"S","S+"))))))))))))))))))))</f>
        <v>F-</v>
      </c>
      <c r="F155" s="937">
        <f t="shared" si="2"/>
        <v>-0.6222222222</v>
      </c>
      <c r="G155" s="937" t="str">
        <f>IF(F155&lt;'PlayerGrades+'!$AB$21,"F-",IF(F155&lt;'PlayerGrades+'!$AB$20,"F",IF(F155&lt;'PlayerGrades+'!$AB$19,"F+",IF(F155&lt;'PlayerGrades+'!$AB$18,"E-",IF(F155&lt;'PlayerGrades+'!$AB$17,"E",IF(F155&lt;'PlayerGrades+'!$AB$16,"E+",IF(F155&lt;'PlayerGrades+'!$AB$15,"D-",IF(F155&lt;'PlayerGrades+'!$AB$14,"D",IF(F155&lt;'PlayerGrades+'!$AB$13,"D+",IF(F155&lt;'PlayerGrades+'!$AB$12,"C-",IF(F155&lt;'PlayerGrades+'!$AB$11,"C",IF(F155&lt;'PlayerGrades+'!$AB$10,"C+",IF(F155&lt;'PlayerGrades+'!$AB$9,"B-",IF(F155&lt;'PlayerGrades+'!$AB$8,"B",IF(F155&lt;'PlayerGrades+'!$AB$7,"B+",IF(F155&lt;'PlayerGrades+'!$AB$6,"A-",IF(F155&lt;'PlayerGrades+'!$AB$5,"A",IF(F155&lt;'PlayerGrades+'!$AB$4,"A+",IF(F155&lt;'PlayerGrades+'!$AB$3,"S-",IF(F155&lt;'PlayerGrades+'!$AB$2,"S","S+"))))))))))))))))))))</f>
        <v>D-</v>
      </c>
      <c r="H155" s="937">
        <f t="shared" si="3"/>
        <v>0.1777777778</v>
      </c>
      <c r="I155" s="937" t="str">
        <f>IF(H155&lt;'PlayerGrades+'!$AC$21,"F-",IF(H155&lt;'PlayerGrades+'!$AC$20,"F",IF(H155&lt;'PlayerGrades+'!$AC$19,"F+",IF(H155&lt;'PlayerGrades+'!$AC$18,"E-",IF(H155&lt;'PlayerGrades+'!$AC$17,"E",IF(H155&lt;'PlayerGrades+'!$AC$16,"E+",IF(H155&lt;'PlayerGrades+'!$AC$15,"D-",IF(H155&lt;'PlayerGrades+'!$AC$14,"D",IF(H155&lt;'PlayerGrades+'!$AC$13,"D+",IF(H155&lt;'PlayerGrades+'!$AC$12,"C-",IF(H155&lt;'PlayerGrades+'!$AC$11,"C",IF(H155&lt;'PlayerGrades+'!$AC$10,"C+",IF(H155&lt;'PlayerGrades+'!$AC$9,"B-",IF(H155&lt;'PlayerGrades+'!$AC$8,"B",IF(H155&lt;'PlayerGrades+'!$AC$7,"B+",IF(H155&lt;'PlayerGrades+'!$AC$6,"A-",IF(H155&lt;'PlayerGrades+'!$AC$5,"A",IF(H155&lt;'PlayerGrades+'!$AC$4,"A+",IF(H155&lt;'PlayerGrades+'!$AC$3,"S-",IF(H155&lt;'PlayerGrades+'!$AC$2,"S","S+"))))))))))))))))))))</f>
        <v>S-</v>
      </c>
      <c r="J155" s="937">
        <f t="shared" si="4"/>
        <v>0</v>
      </c>
      <c r="K155" s="937" t="str">
        <f>IF(J155&lt;'PlayerGrades+'!$AD$21,"F-",IF(J155&lt;'PlayerGrades+'!$AD$20,"F",IF(J155&lt;'PlayerGrades+'!$AD$19,"F+",IF(J155&lt;'PlayerGrades+'!$AD$18,"E-",IF(J155&lt;'PlayerGrades+'!$AD$17,"E",IF(J155&lt;'PlayerGrades+'!$AD$16,"E+",IF(J155&lt;'PlayerGrades+'!$AD$15,"D-",IF(J155&lt;'PlayerGrades+'!$AD$14,"D",IF(J155&lt;'PlayerGrades+'!$AD$13,"D+",IF(J155&lt;'PlayerGrades+'!$AD$12,"C-",IF(J155&lt;'PlayerGrades+'!$AD$11,"C",IF(J155&lt;'PlayerGrades+'!$AD$10,"C+",IF(J155&lt;'PlayerGrades+'!$AD$9,"B-",IF(J155&lt;'PlayerGrades+'!$AD$8,"B",IF(J155&lt;'PlayerGrades+'!$AD$7,"B+",IF(J155&lt;'PlayerGrades+'!$AD$6,"A-",IF(J155&lt;'PlayerGrades+'!$AD$5,"A",IF(J155&lt;'PlayerGrades+'!$AD$4,"A+",IF(J155&lt;'PlayerGrades+'!$AD$3,"S-",IF(J155&lt;'PlayerGrades+'!$AD$2,"S","S+"))))))))))))))))))))</f>
        <v>F-</v>
      </c>
      <c r="L155" s="677">
        <f t="shared" si="5"/>
        <v>0.2666666667</v>
      </c>
      <c r="M155" s="938" t="str">
        <f>IF(L155&lt;'PlayerGrades+'!$AE$21,"F-",IF(L155&lt;'PlayerGrades+'!$AE$20,"F",IF(L155&lt;'PlayerGrades+'!$AE$19,"F+",IF(L155&lt;'PlayerGrades+'!$AE$18,"E-",IF(L155&lt;'PlayerGrades+'!$AE$17,"E",IF(L155&lt;'PlayerGrades+'!$AE$16,"E+",IF(L155&lt;'PlayerGrades+'!$AE$15,"D-",IF(L155&lt;'PlayerGrades+'!$AE$14,"D",IF(L155&lt;'PlayerGrades+'!$AE$13,"D+",IF(L155&lt;'PlayerGrades+'!$AE$12,"C-",IF(L155&lt;'PlayerGrades+'!$AE$11,"C",IF(L155&lt;'PlayerGrades+'!$AE$10,"C+",IF(L155&lt;'PlayerGrades+'!$AE$9,"B-",IF(L155&lt;'PlayerGrades+'!$AE$8,"B",IF(L155&lt;'PlayerGrades+'!$AE$7,"B+",IF(L155&lt;'PlayerGrades+'!$AE$6,"A-",IF(L155&lt;'PlayerGrades+'!$AE$5,"A",IF(L155&lt;'PlayerGrades+'!$AE$4,"A+",IF(L155&lt;'PlayerGrades+'!$AE$3,"S-",IF(L155&lt;'PlayerGrades+'!$AE$2,"S","S+"))))))))))))))))))))</f>
        <v>F</v>
      </c>
      <c r="N155" s="937">
        <f t="shared" si="6"/>
        <v>0</v>
      </c>
      <c r="O155" s="937" t="str">
        <f>IF(N155&lt;'PlayerGrades+'!$AF$21,"F-",IF(N155&lt;'PlayerGrades+'!$AF$20,"F",IF(N155&lt;'PlayerGrades+'!$AF$19,"F+",IF(N155&lt;'PlayerGrades+'!$AF$18,"E-",IF(N155&lt;'PlayerGrades+'!$AF$17,"E",IF(N155&lt;'PlayerGrades+'!$AF$16,"E+",IF(N155&lt;'PlayerGrades+'!$AF$15,"D-",IF(N155&lt;'PlayerGrades+'!$AF$14,"D",IF(N155&lt;'PlayerGrades+'!$AF$13,"D+",IF(N155&lt;'PlayerGrades+'!$AF$12,"C-",IF(N155&lt;'PlayerGrades+'!$AF$11,"C",IF(N155&lt;'PlayerGrades+'!$AF$10,"C+",IF(N155&lt;'PlayerGrades+'!$AF$9,"B-",IF(N155&lt;'PlayerGrades+'!$AF$8,"B",IF(N155&lt;'PlayerGrades+'!$AF$7,"B+",IF(N155&lt;'PlayerGrades+'!$AF$6,"A-",IF(N155&lt;'PlayerGrades+'!$AF$5,"A",IF(N155&lt;'PlayerGrades+'!$AF$4,"A+",IF(N155&lt;'PlayerGrades+'!$AF$3,"S-",IF(N155&lt;'PlayerGrades+'!$AF$2,"S","S+"))))))))))))))))))))</f>
        <v>F-</v>
      </c>
      <c r="P155" s="937">
        <f t="shared" si="7"/>
        <v>0</v>
      </c>
      <c r="Q155" s="937" t="str">
        <f>IF(P155&lt;'PlayerGrades+'!$AG$21,"F-",IF(P155&lt;'PlayerGrades+'!$AG$20,"F",IF(P155&lt;'PlayerGrades+'!$AG$19,"F+",IF(P155&lt;'PlayerGrades+'!$AG$18,"E-",IF(P155&lt;'PlayerGrades+'!$AG$17,"E",IF(P155&lt;'PlayerGrades+'!$AG$16,"E+",IF(P155&lt;'PlayerGrades+'!$AG$15,"D-",IF(P155&lt;'PlayerGrades+'!$AG$14,"D",IF(P155&lt;'PlayerGrades+'!$AG$13,"D+",IF(P155&lt;'PlayerGrades+'!$AG$12,"C-",IF(P155&lt;'PlayerGrades+'!$AG$11,"C",IF(P155&lt;'PlayerGrades+'!$AG$10,"C+",IF(P155&lt;'PlayerGrades+'!$AG$9,"B-",IF(P155&lt;'PlayerGrades+'!$AG$8,"B",IF(P155&lt;'PlayerGrades+'!$AG$7,"B+",IF(P155&lt;'PlayerGrades+'!$AG$6,"A-",IF(P155&lt;'PlayerGrades+'!$AG$5,"A",IF(P155&lt;'PlayerGrades+'!$AG$4,"A+",IF(P155&lt;'PlayerGrades+'!$AG$3,"S-",IF(P155&lt;'PlayerGrades+'!$AG$2,"S","S+"))))))))))))))))))))</f>
        <v>F</v>
      </c>
      <c r="R155" s="937">
        <f t="shared" si="8"/>
        <v>0.2666666667</v>
      </c>
      <c r="S155" s="937" t="str">
        <f>IF(R155&lt;'PlayerGrades+'!$AH$21,"F-",IF(R155&lt;'PlayerGrades+'!$AH$20,"F",IF(R155&lt;'PlayerGrades+'!$AH$19,"F+",IF(R155&lt;'PlayerGrades+'!$AH$18,"E-",IF(R155&lt;'PlayerGrades+'!$AH$17,"E",IF(R155&lt;'PlayerGrades+'!$AH$16,"E+",IF(R155&lt;'PlayerGrades+'!$AH$15,"D-",IF(R155&lt;'PlayerGrades+'!$AH$14,"D",IF(R155&lt;'PlayerGrades+'!$AH$13,"D+",IF(R155&lt;'PlayerGrades+'!$AH$12,"C-",IF(R155&lt;'PlayerGrades+'!$AH$11,"C",IF(R155&lt;'PlayerGrades+'!$AH$10,"C+",IF(R155&lt;'PlayerGrades+'!$AH$9,"B-",IF(R155&lt;'PlayerGrades+'!$AH$8,"B",IF(R155&lt;'PlayerGrades+'!$AH$7,"B+",IF(R155&lt;'PlayerGrades+'!$AH$6,"A-",IF(R155&lt;'PlayerGrades+'!$AH$5,"A",IF(R155&lt;'PlayerGrades+'!$AH$4,"A+",IF(R155&lt;'PlayerGrades+'!$AH$3,"S-",IF(R155&lt;'PlayerGrades+'!$AH$2,"S","S+"))))))))))))))))))))</f>
        <v>F-</v>
      </c>
      <c r="T155" s="937">
        <f t="shared" si="9"/>
        <v>1.355555556</v>
      </c>
      <c r="U155" s="937" t="str">
        <f>IF(T155&lt;'PlayerGrades+'!$AI$21,"F-",IF(T155&lt;'PlayerGrades+'!$AI$20,"F",IF(T155&lt;'PlayerGrades+'!$AI$19,"F+",IF(T155&lt;'PlayerGrades+'!$AI$18,"E-",IF(T155&lt;'PlayerGrades+'!$AI$17,"E",IF(T155&lt;'PlayerGrades+'!$AI$16,"E+",IF(T155&lt;'PlayerGrades+'!$AI$15,"D-",IF(T155&lt;'PlayerGrades+'!$AI$14,"D",IF(T155&lt;'PlayerGrades+'!$AI$13,"D+",IF(T155&lt;'PlayerGrades+'!$AI$12,"C-",IF(T155&lt;'PlayerGrades+'!$AI$11,"C",IF(T155&lt;'PlayerGrades+'!$AI$10,"C+",IF(T155&lt;'PlayerGrades+'!$AI$9,"B-",IF(T155&lt;'PlayerGrades+'!$AI$8,"B",IF(T155&lt;'PlayerGrades+'!$AI$7,"B+",IF(T155&lt;'PlayerGrades+'!$AI$6,"A-",IF(T155&lt;'PlayerGrades+'!$AI$5,"A",IF(T155&lt;'PlayerGrades+'!$AI$4,"A+",IF(T155&lt;'PlayerGrades+'!$AI$3,"S-",IF(T155&lt;'PlayerGrades+'!$AI$2,"S","S+"))))))))))))))))))))</f>
        <v>B-</v>
      </c>
      <c r="V155" s="1">
        <v>0.0</v>
      </c>
      <c r="W155" s="1">
        <v>0.0</v>
      </c>
      <c r="X155" s="941">
        <v>0.0</v>
      </c>
      <c r="Y155" s="941">
        <v>0.0</v>
      </c>
      <c r="Z155" s="941">
        <v>0.0</v>
      </c>
      <c r="AA155" s="952">
        <v>34.0</v>
      </c>
      <c r="AB155" s="952">
        <v>41.0</v>
      </c>
      <c r="AC155" s="952">
        <v>-7.0</v>
      </c>
      <c r="AD155" s="952">
        <v>2.0</v>
      </c>
      <c r="AE155" s="952">
        <v>3.0</v>
      </c>
      <c r="AF155" s="952">
        <v>0.0</v>
      </c>
      <c r="AG155" s="952">
        <v>524.0</v>
      </c>
      <c r="AH155" s="952">
        <v>675.0</v>
      </c>
      <c r="AI155" s="952">
        <v>12.0</v>
      </c>
      <c r="AJ155" s="952">
        <v>0.0</v>
      </c>
      <c r="AK155" s="952">
        <v>0.0</v>
      </c>
      <c r="AL155" s="952">
        <v>0.0</v>
      </c>
      <c r="AM155" s="952">
        <v>0.0</v>
      </c>
      <c r="AN155" s="952">
        <v>0.0</v>
      </c>
      <c r="AO155" s="952">
        <v>0.0</v>
      </c>
      <c r="AP155" s="952">
        <v>0.0</v>
      </c>
      <c r="AQ155" s="952">
        <v>0.0</v>
      </c>
      <c r="AR155" s="952">
        <v>3.0</v>
      </c>
      <c r="AS155" s="952">
        <v>0.0</v>
      </c>
      <c r="AT155" s="952">
        <v>0.0</v>
      </c>
      <c r="AU155" s="952">
        <v>0.0</v>
      </c>
      <c r="AV155" s="952">
        <v>0.0</v>
      </c>
      <c r="AW155" s="952">
        <v>0.0</v>
      </c>
      <c r="AX155" s="952">
        <v>0.0</v>
      </c>
      <c r="AY155" s="952">
        <v>0.0</v>
      </c>
      <c r="AZ155" s="952">
        <v>0.0</v>
      </c>
      <c r="BA155" s="952">
        <v>0.0</v>
      </c>
      <c r="BB155" s="952">
        <v>2.0</v>
      </c>
      <c r="BC155" s="952">
        <v>0.0</v>
      </c>
      <c r="BD155" s="952">
        <v>1.0</v>
      </c>
      <c r="BE155" s="952">
        <v>4.0</v>
      </c>
      <c r="BF155" s="952">
        <v>1.0</v>
      </c>
      <c r="BG155" s="954">
        <v>0.0</v>
      </c>
    </row>
    <row r="156">
      <c r="A156" s="965" t="s">
        <v>137</v>
      </c>
      <c r="B156" s="16" t="str">
        <f>IF(C156&lt;'PlayerGrades+'!$Y$44,"F-",IF(C156&lt;'PlayerGrades+'!$Y$43,"F",IF(C156&lt;'PlayerGrades+'!$Y$42,"F+",IF(C156&lt;'PlayerGrades+'!$Y$41,"E-",IF(C156&lt;'PlayerGrades+'!$Y$40,"E",IF(C156&lt;'PlayerGrades+'!$Y$39,"E+",IF(C156&lt;'PlayerGrades+'!$Y$38,"D-",IF(C156&lt;'PlayerGrades+'!$Y$37,"D",IF(C156&lt;'PlayerGrades+'!$Y$36,"D+",IF(C156&lt;'PlayerGrades+'!$Y$35,"C-",IF(C156&lt;'PlayerGrades+'!$Y$34,"C",IF(C156&lt;'PlayerGrades+'!$Y$33,"C+",IF(C156&lt;'PlayerGrades+'!$Y$32,"B-",IF(C156&lt;'PlayerGrades+'!$Y$31,"B",IF(C156&lt;'PlayerGrades+'!$Y$30,"B+",IF(C156&lt;'PlayerGrades+'!$Y$29,"A-",IF(C156&lt;'PlayerGrades+'!$Y$28,"A",IF(C156&lt;'PlayerGrades+'!$Y$27,"A+",IF(C156&lt;'PlayerGrades+'!$Y$26,"S-",IF(C156&lt;'PlayerGrades+'!$Y$25,"S","S+"))))))))))))))))))))</f>
        <v>C+</v>
      </c>
      <c r="C156" s="936">
        <f>('PlayerGrades+'!$Y$47*(VLOOKUP(E156, 'PlayerGrades+'!$X$3:$Y$23, 2, FALSE)))+('PlayerGrades+'!$Y$48*(VLOOKUP(G156, 'PlayerGrades+'!$X$3:$Y$23, 2, FALSE)))+('PlayerGrades+'!$Y$49*(VLOOKUP(I156, 'PlayerGrades+'!$X$3:$Y$23, 2, FALSE)))+('PlayerGrades+'!$Y$50*(VLOOKUP(K156, 'PlayerGrades+'!$X$3:$Y$23, 2, FALSE)))+('PlayerGrades+'!$Y$51*(VLOOKUP(M156, 'PlayerGrades+'!$X$3:$Y$23, 2, FALSE)))+('PlayerGrades+'!$Y$52*(VLOOKUP(O156, 'PlayerGrades+'!$X$3:$Y$23, 2, FALSE)))+('PlayerGrades+'!$Y$53*(VLOOKUP(Q156, 'PlayerGrades+'!$X$3:$Y$23, 2, FALSE)))+('PlayerGrades+'!$Y$54*(VLOOKUP(S156, 'PlayerGrades+'!$X$3:$Y$23, 2, FALSE)))+('PlayerGrades+'!$Y$55*(VLOOKUP(U156, 'PlayerGrades+'!$X$3:$Y$23, 2, FALSE)))</f>
        <v>21.65</v>
      </c>
      <c r="D156" s="937">
        <f t="shared" si="1"/>
        <v>0</v>
      </c>
      <c r="E156" s="937" t="str">
        <f>IF(D156&lt;'PlayerGrades+'!$AA$21,"F-",IF(D156&lt;'PlayerGrades+'!$AA$20,"F",IF(D156&lt;'PlayerGrades+'!$AA$19,"F+",IF(D156&lt;'PlayerGrades+'!$AA$18,"E-",IF(D156&lt;'PlayerGrades+'!$AA$17,"E",IF(D156&lt;'PlayerGrades+'!$AA$16,"E+",IF(D156&lt;'PlayerGrades+'!$AA$15,"D-",IF(D156&lt;'PlayerGrades+'!$AA$14,"D",IF(D156&lt;'PlayerGrades+'!$AA$13,"D+",IF(D156&lt;'PlayerGrades+'!$AA$12,"C-",IF(D156&lt;'PlayerGrades+'!$AA$11,"C",IF(D156&lt;'PlayerGrades+'!$AA$10,"C+",IF(D156&lt;'PlayerGrades+'!$AA$9,"B-",IF(D156&lt;'PlayerGrades+'!$AA$8,"B",IF(D156&lt;'PlayerGrades+'!$AA$7,"B+",IF(D156&lt;'PlayerGrades+'!$AA$6,"A-",IF(D156&lt;'PlayerGrades+'!$AA$5,"A",IF(D156&lt;'PlayerGrades+'!$AA$4,"A+",IF(D156&lt;'PlayerGrades+'!$AA$3,"S-",IF(D156&lt;'PlayerGrades+'!$AA$2,"S","S+"))))))))))))))))))))</f>
        <v>F-</v>
      </c>
      <c r="F156" s="937">
        <f t="shared" si="2"/>
        <v>0.1777777778</v>
      </c>
      <c r="G156" s="937" t="str">
        <f>IF(F156&lt;'PlayerGrades+'!$AB$21,"F-",IF(F156&lt;'PlayerGrades+'!$AB$20,"F",IF(F156&lt;'PlayerGrades+'!$AB$19,"F+",IF(F156&lt;'PlayerGrades+'!$AB$18,"E-",IF(F156&lt;'PlayerGrades+'!$AB$17,"E",IF(F156&lt;'PlayerGrades+'!$AB$16,"E+",IF(F156&lt;'PlayerGrades+'!$AB$15,"D-",IF(F156&lt;'PlayerGrades+'!$AB$14,"D",IF(F156&lt;'PlayerGrades+'!$AB$13,"D+",IF(F156&lt;'PlayerGrades+'!$AB$12,"C-",IF(F156&lt;'PlayerGrades+'!$AB$11,"C",IF(F156&lt;'PlayerGrades+'!$AB$10,"C+",IF(F156&lt;'PlayerGrades+'!$AB$9,"B-",IF(F156&lt;'PlayerGrades+'!$AB$8,"B",IF(F156&lt;'PlayerGrades+'!$AB$7,"B+",IF(F156&lt;'PlayerGrades+'!$AB$6,"A-",IF(F156&lt;'PlayerGrades+'!$AB$5,"A",IF(F156&lt;'PlayerGrades+'!$AB$4,"A+",IF(F156&lt;'PlayerGrades+'!$AB$3,"S-",IF(F156&lt;'PlayerGrades+'!$AB$2,"S","S+"))))))))))))))))))))</f>
        <v>B+</v>
      </c>
      <c r="H156" s="937">
        <f t="shared" si="3"/>
        <v>0.6222222222</v>
      </c>
      <c r="I156" s="937" t="str">
        <f>IF(H156&lt;'PlayerGrades+'!$AC$21,"F-",IF(H156&lt;'PlayerGrades+'!$AC$20,"F",IF(H156&lt;'PlayerGrades+'!$AC$19,"F+",IF(H156&lt;'PlayerGrades+'!$AC$18,"E-",IF(H156&lt;'PlayerGrades+'!$AC$17,"E",IF(H156&lt;'PlayerGrades+'!$AC$16,"E+",IF(H156&lt;'PlayerGrades+'!$AC$15,"D-",IF(H156&lt;'PlayerGrades+'!$AC$14,"D",IF(H156&lt;'PlayerGrades+'!$AC$13,"D+",IF(H156&lt;'PlayerGrades+'!$AC$12,"C-",IF(H156&lt;'PlayerGrades+'!$AC$11,"C",IF(H156&lt;'PlayerGrades+'!$AC$10,"C+",IF(H156&lt;'PlayerGrades+'!$AC$9,"B-",IF(H156&lt;'PlayerGrades+'!$AC$8,"B",IF(H156&lt;'PlayerGrades+'!$AC$7,"B+",IF(H156&lt;'PlayerGrades+'!$AC$6,"A-",IF(H156&lt;'PlayerGrades+'!$AC$5,"A",IF(H156&lt;'PlayerGrades+'!$AC$4,"A+",IF(H156&lt;'PlayerGrades+'!$AC$3,"S-",IF(H156&lt;'PlayerGrades+'!$AC$2,"S","S+"))))))))))))))))))))</f>
        <v>S+</v>
      </c>
      <c r="J156" s="937">
        <f t="shared" si="4"/>
        <v>0</v>
      </c>
      <c r="K156" s="937" t="str">
        <f>IF(J156&lt;'PlayerGrades+'!$AD$21,"F-",IF(J156&lt;'PlayerGrades+'!$AD$20,"F",IF(J156&lt;'PlayerGrades+'!$AD$19,"F+",IF(J156&lt;'PlayerGrades+'!$AD$18,"E-",IF(J156&lt;'PlayerGrades+'!$AD$17,"E",IF(J156&lt;'PlayerGrades+'!$AD$16,"E+",IF(J156&lt;'PlayerGrades+'!$AD$15,"D-",IF(J156&lt;'PlayerGrades+'!$AD$14,"D",IF(J156&lt;'PlayerGrades+'!$AD$13,"D+",IF(J156&lt;'PlayerGrades+'!$AD$12,"C-",IF(J156&lt;'PlayerGrades+'!$AD$11,"C",IF(J156&lt;'PlayerGrades+'!$AD$10,"C+",IF(J156&lt;'PlayerGrades+'!$AD$9,"B-",IF(J156&lt;'PlayerGrades+'!$AD$8,"B",IF(J156&lt;'PlayerGrades+'!$AD$7,"B+",IF(J156&lt;'PlayerGrades+'!$AD$6,"A-",IF(J156&lt;'PlayerGrades+'!$AD$5,"A",IF(J156&lt;'PlayerGrades+'!$AD$4,"A+",IF(J156&lt;'PlayerGrades+'!$AD$3,"S-",IF(J156&lt;'PlayerGrades+'!$AD$2,"S","S+"))))))))))))))))))))</f>
        <v>F-</v>
      </c>
      <c r="L156" s="677">
        <f t="shared" si="5"/>
        <v>0.6222222222</v>
      </c>
      <c r="M156" s="938" t="str">
        <f>IF(L156&lt;'PlayerGrades+'!$AE$21,"F-",IF(L156&lt;'PlayerGrades+'!$AE$20,"F",IF(L156&lt;'PlayerGrades+'!$AE$19,"F+",IF(L156&lt;'PlayerGrades+'!$AE$18,"E-",IF(L156&lt;'PlayerGrades+'!$AE$17,"E",IF(L156&lt;'PlayerGrades+'!$AE$16,"E+",IF(L156&lt;'PlayerGrades+'!$AE$15,"D-",IF(L156&lt;'PlayerGrades+'!$AE$14,"D",IF(L156&lt;'PlayerGrades+'!$AE$13,"D+",IF(L156&lt;'PlayerGrades+'!$AE$12,"C-",IF(L156&lt;'PlayerGrades+'!$AE$11,"C",IF(L156&lt;'PlayerGrades+'!$AE$10,"C+",IF(L156&lt;'PlayerGrades+'!$AE$9,"B-",IF(L156&lt;'PlayerGrades+'!$AE$8,"B",IF(L156&lt;'PlayerGrades+'!$AE$7,"B+",IF(L156&lt;'PlayerGrades+'!$AE$6,"A-",IF(L156&lt;'PlayerGrades+'!$AE$5,"A",IF(L156&lt;'PlayerGrades+'!$AE$4,"A+",IF(L156&lt;'PlayerGrades+'!$AE$3,"S-",IF(L156&lt;'PlayerGrades+'!$AE$2,"S","S+"))))))))))))))))))))</f>
        <v>S-</v>
      </c>
      <c r="N156" s="937">
        <f t="shared" si="6"/>
        <v>0.08888888889</v>
      </c>
      <c r="O156" s="937" t="str">
        <f>IF(N156&lt;'PlayerGrades+'!$AF$21,"F-",IF(N156&lt;'PlayerGrades+'!$AF$20,"F",IF(N156&lt;'PlayerGrades+'!$AF$19,"F+",IF(N156&lt;'PlayerGrades+'!$AF$18,"E-",IF(N156&lt;'PlayerGrades+'!$AF$17,"E",IF(N156&lt;'PlayerGrades+'!$AF$16,"E+",IF(N156&lt;'PlayerGrades+'!$AF$15,"D-",IF(N156&lt;'PlayerGrades+'!$AF$14,"D",IF(N156&lt;'PlayerGrades+'!$AF$13,"D+",IF(N156&lt;'PlayerGrades+'!$AF$12,"C-",IF(N156&lt;'PlayerGrades+'!$AF$11,"C",IF(N156&lt;'PlayerGrades+'!$AF$10,"C+",IF(N156&lt;'PlayerGrades+'!$AF$9,"B-",IF(N156&lt;'PlayerGrades+'!$AF$8,"B",IF(N156&lt;'PlayerGrades+'!$AF$7,"B+",IF(N156&lt;'PlayerGrades+'!$AF$6,"A-",IF(N156&lt;'PlayerGrades+'!$AF$5,"A",IF(N156&lt;'PlayerGrades+'!$AF$4,"A+",IF(N156&lt;'PlayerGrades+'!$AF$3,"S-",IF(N156&lt;'PlayerGrades+'!$AF$2,"S","S+"))))))))))))))))))))</f>
        <v>B+</v>
      </c>
      <c r="P156" s="937">
        <f t="shared" si="7"/>
        <v>0</v>
      </c>
      <c r="Q156" s="937" t="str">
        <f>IF(P156&lt;'PlayerGrades+'!$AG$21,"F-",IF(P156&lt;'PlayerGrades+'!$AG$20,"F",IF(P156&lt;'PlayerGrades+'!$AG$19,"F+",IF(P156&lt;'PlayerGrades+'!$AG$18,"E-",IF(P156&lt;'PlayerGrades+'!$AG$17,"E",IF(P156&lt;'PlayerGrades+'!$AG$16,"E+",IF(P156&lt;'PlayerGrades+'!$AG$15,"D-",IF(P156&lt;'PlayerGrades+'!$AG$14,"D",IF(P156&lt;'PlayerGrades+'!$AG$13,"D+",IF(P156&lt;'PlayerGrades+'!$AG$12,"C-",IF(P156&lt;'PlayerGrades+'!$AG$11,"C",IF(P156&lt;'PlayerGrades+'!$AG$10,"C+",IF(P156&lt;'PlayerGrades+'!$AG$9,"B-",IF(P156&lt;'PlayerGrades+'!$AG$8,"B",IF(P156&lt;'PlayerGrades+'!$AG$7,"B+",IF(P156&lt;'PlayerGrades+'!$AG$6,"A-",IF(P156&lt;'PlayerGrades+'!$AG$5,"A",IF(P156&lt;'PlayerGrades+'!$AG$4,"A+",IF(P156&lt;'PlayerGrades+'!$AG$3,"S-",IF(P156&lt;'PlayerGrades+'!$AG$2,"S","S+"))))))))))))))))))))</f>
        <v>F</v>
      </c>
      <c r="R156" s="937">
        <f t="shared" si="8"/>
        <v>0.5333333333</v>
      </c>
      <c r="S156" s="937" t="str">
        <f>IF(R156&lt;'PlayerGrades+'!$AH$21,"F-",IF(R156&lt;'PlayerGrades+'!$AH$20,"F",IF(R156&lt;'PlayerGrades+'!$AH$19,"F+",IF(R156&lt;'PlayerGrades+'!$AH$18,"E-",IF(R156&lt;'PlayerGrades+'!$AH$17,"E",IF(R156&lt;'PlayerGrades+'!$AH$16,"E+",IF(R156&lt;'PlayerGrades+'!$AH$15,"D-",IF(R156&lt;'PlayerGrades+'!$AH$14,"D",IF(R156&lt;'PlayerGrades+'!$AH$13,"D+",IF(R156&lt;'PlayerGrades+'!$AH$12,"C-",IF(R156&lt;'PlayerGrades+'!$AH$11,"C",IF(R156&lt;'PlayerGrades+'!$AH$10,"C+",IF(R156&lt;'PlayerGrades+'!$AH$9,"B-",IF(R156&lt;'PlayerGrades+'!$AH$8,"B",IF(R156&lt;'PlayerGrades+'!$AH$7,"B+",IF(R156&lt;'PlayerGrades+'!$AH$6,"A-",IF(R156&lt;'PlayerGrades+'!$AH$5,"A",IF(R156&lt;'PlayerGrades+'!$AH$4,"A+",IF(R156&lt;'PlayerGrades+'!$AH$3,"S-",IF(R156&lt;'PlayerGrades+'!$AH$2,"S","S+"))))))))))))))))))))</f>
        <v>C+</v>
      </c>
      <c r="T156" s="937">
        <f t="shared" si="9"/>
        <v>0.8</v>
      </c>
      <c r="U156" s="937" t="str">
        <f>IF(T156&lt;'PlayerGrades+'!$AI$21,"F-",IF(T156&lt;'PlayerGrades+'!$AI$20,"F",IF(T156&lt;'PlayerGrades+'!$AI$19,"F+",IF(T156&lt;'PlayerGrades+'!$AI$18,"E-",IF(T156&lt;'PlayerGrades+'!$AI$17,"E",IF(T156&lt;'PlayerGrades+'!$AI$16,"E+",IF(T156&lt;'PlayerGrades+'!$AI$15,"D-",IF(T156&lt;'PlayerGrades+'!$AI$14,"D",IF(T156&lt;'PlayerGrades+'!$AI$13,"D+",IF(T156&lt;'PlayerGrades+'!$AI$12,"C-",IF(T156&lt;'PlayerGrades+'!$AI$11,"C",IF(T156&lt;'PlayerGrades+'!$AI$10,"C+",IF(T156&lt;'PlayerGrades+'!$AI$9,"B-",IF(T156&lt;'PlayerGrades+'!$AI$8,"B",IF(T156&lt;'PlayerGrades+'!$AI$7,"B+",IF(T156&lt;'PlayerGrades+'!$AI$6,"A-",IF(T156&lt;'PlayerGrades+'!$AI$5,"A",IF(T156&lt;'PlayerGrades+'!$AI$4,"A+",IF(T156&lt;'PlayerGrades+'!$AI$3,"S-",IF(T156&lt;'PlayerGrades+'!$AI$2,"S","S+"))))))))))))))))))))</f>
        <v>F</v>
      </c>
      <c r="V156" s="1">
        <v>0.0</v>
      </c>
      <c r="W156" s="1">
        <v>0.0</v>
      </c>
      <c r="X156" s="941">
        <v>0.0</v>
      </c>
      <c r="Y156" s="941">
        <v>0.0</v>
      </c>
      <c r="Z156" s="941">
        <v>0.0</v>
      </c>
      <c r="AA156" s="952">
        <v>41.0</v>
      </c>
      <c r="AB156" s="952">
        <v>39.0</v>
      </c>
      <c r="AC156" s="952">
        <v>2.0</v>
      </c>
      <c r="AD156" s="952">
        <v>2.0</v>
      </c>
      <c r="AE156" s="952">
        <v>4.0</v>
      </c>
      <c r="AF156" s="952">
        <v>1.0</v>
      </c>
      <c r="AG156" s="952">
        <v>535.0</v>
      </c>
      <c r="AH156" s="952">
        <v>675.0</v>
      </c>
      <c r="AI156" s="952">
        <v>13.0</v>
      </c>
      <c r="AJ156" s="952">
        <v>0.0</v>
      </c>
      <c r="AK156" s="952">
        <v>0.0</v>
      </c>
      <c r="AL156" s="952">
        <v>0.0</v>
      </c>
      <c r="AM156" s="952">
        <v>0.0</v>
      </c>
      <c r="AN156" s="952">
        <v>0.0</v>
      </c>
      <c r="AO156" s="952">
        <v>0.0</v>
      </c>
      <c r="AP156" s="952">
        <v>0.0</v>
      </c>
      <c r="AQ156" s="952">
        <v>0.0</v>
      </c>
      <c r="AR156" s="952">
        <v>7.0</v>
      </c>
      <c r="AS156" s="952">
        <v>1.0</v>
      </c>
      <c r="AT156" s="952">
        <v>0.0</v>
      </c>
      <c r="AU156" s="952">
        <v>0.0</v>
      </c>
      <c r="AV156" s="952">
        <v>0.0</v>
      </c>
      <c r="AW156" s="952">
        <v>0.0</v>
      </c>
      <c r="AX156" s="952">
        <v>0.0</v>
      </c>
      <c r="AY156" s="952">
        <v>0.0</v>
      </c>
      <c r="AZ156" s="952">
        <v>0.0</v>
      </c>
      <c r="BA156" s="952">
        <v>0.0</v>
      </c>
      <c r="BB156" s="952">
        <v>7.0</v>
      </c>
      <c r="BC156" s="952">
        <v>0.0</v>
      </c>
      <c r="BD156" s="952">
        <v>4.0</v>
      </c>
      <c r="BE156" s="952">
        <v>9.0</v>
      </c>
      <c r="BF156" s="952">
        <v>0.0</v>
      </c>
      <c r="BG156" s="954">
        <v>0.0</v>
      </c>
    </row>
    <row r="157">
      <c r="A157" s="965" t="s">
        <v>126</v>
      </c>
      <c r="B157" s="16" t="str">
        <f>IF(C157&lt;'PlayerGrades+'!$Y$44,"F-",IF(C157&lt;'PlayerGrades+'!$Y$43,"F",IF(C157&lt;'PlayerGrades+'!$Y$42,"F+",IF(C157&lt;'PlayerGrades+'!$Y$41,"E-",IF(C157&lt;'PlayerGrades+'!$Y$40,"E",IF(C157&lt;'PlayerGrades+'!$Y$39,"E+",IF(C157&lt;'PlayerGrades+'!$Y$38,"D-",IF(C157&lt;'PlayerGrades+'!$Y$37,"D",IF(C157&lt;'PlayerGrades+'!$Y$36,"D+",IF(C157&lt;'PlayerGrades+'!$Y$35,"C-",IF(C157&lt;'PlayerGrades+'!$Y$34,"C",IF(C157&lt;'PlayerGrades+'!$Y$33,"C+",IF(C157&lt;'PlayerGrades+'!$Y$32,"B-",IF(C157&lt;'PlayerGrades+'!$Y$31,"B",IF(C157&lt;'PlayerGrades+'!$Y$30,"B+",IF(C157&lt;'PlayerGrades+'!$Y$29,"A-",IF(C157&lt;'PlayerGrades+'!$Y$28,"A",IF(C157&lt;'PlayerGrades+'!$Y$27,"A+",IF(C157&lt;'PlayerGrades+'!$Y$26,"S-",IF(C157&lt;'PlayerGrades+'!$Y$25,"S","S+"))))))))))))))))))))</f>
        <v>D+</v>
      </c>
      <c r="C157" s="936">
        <f>('PlayerGrades+'!$Y$47*(VLOOKUP(E157, 'PlayerGrades+'!$X$3:$Y$23, 2, FALSE)))+('PlayerGrades+'!$Y$48*(VLOOKUP(G157, 'PlayerGrades+'!$X$3:$Y$23, 2, FALSE)))+('PlayerGrades+'!$Y$49*(VLOOKUP(I157, 'PlayerGrades+'!$X$3:$Y$23, 2, FALSE)))+('PlayerGrades+'!$Y$50*(VLOOKUP(K157, 'PlayerGrades+'!$X$3:$Y$23, 2, FALSE)))+('PlayerGrades+'!$Y$51*(VLOOKUP(M157, 'PlayerGrades+'!$X$3:$Y$23, 2, FALSE)))+('PlayerGrades+'!$Y$52*(VLOOKUP(O157, 'PlayerGrades+'!$X$3:$Y$23, 2, FALSE)))+('PlayerGrades+'!$Y$53*(VLOOKUP(Q157, 'PlayerGrades+'!$X$3:$Y$23, 2, FALSE)))+('PlayerGrades+'!$Y$54*(VLOOKUP(S157, 'PlayerGrades+'!$X$3:$Y$23, 2, FALSE)))+('PlayerGrades+'!$Y$55*(VLOOKUP(U157, 'PlayerGrades+'!$X$3:$Y$23, 2, FALSE)))</f>
        <v>17.55</v>
      </c>
      <c r="D157" s="937">
        <f t="shared" si="1"/>
        <v>0</v>
      </c>
      <c r="E157" s="937" t="str">
        <f>IF(D157&lt;'PlayerGrades+'!$AA$21,"F-",IF(D157&lt;'PlayerGrades+'!$AA$20,"F",IF(D157&lt;'PlayerGrades+'!$AA$19,"F+",IF(D157&lt;'PlayerGrades+'!$AA$18,"E-",IF(D157&lt;'PlayerGrades+'!$AA$17,"E",IF(D157&lt;'PlayerGrades+'!$AA$16,"E+",IF(D157&lt;'PlayerGrades+'!$AA$15,"D-",IF(D157&lt;'PlayerGrades+'!$AA$14,"D",IF(D157&lt;'PlayerGrades+'!$AA$13,"D+",IF(D157&lt;'PlayerGrades+'!$AA$12,"C-",IF(D157&lt;'PlayerGrades+'!$AA$11,"C",IF(D157&lt;'PlayerGrades+'!$AA$10,"C+",IF(D157&lt;'PlayerGrades+'!$AA$9,"B-",IF(D157&lt;'PlayerGrades+'!$AA$8,"B",IF(D157&lt;'PlayerGrades+'!$AA$7,"B+",IF(D157&lt;'PlayerGrades+'!$AA$6,"A-",IF(D157&lt;'PlayerGrades+'!$AA$5,"A",IF(D157&lt;'PlayerGrades+'!$AA$4,"A+",IF(D157&lt;'PlayerGrades+'!$AA$3,"S-",IF(D157&lt;'PlayerGrades+'!$AA$2,"S","S+"))))))))))))))))))))</f>
        <v>F-</v>
      </c>
      <c r="F157" s="937">
        <f t="shared" si="2"/>
        <v>-0.08888888889</v>
      </c>
      <c r="G157" s="937" t="str">
        <f>IF(F157&lt;'PlayerGrades+'!$AB$21,"F-",IF(F157&lt;'PlayerGrades+'!$AB$20,"F",IF(F157&lt;'PlayerGrades+'!$AB$19,"F+",IF(F157&lt;'PlayerGrades+'!$AB$18,"E-",IF(F157&lt;'PlayerGrades+'!$AB$17,"E",IF(F157&lt;'PlayerGrades+'!$AB$16,"E+",IF(F157&lt;'PlayerGrades+'!$AB$15,"D-",IF(F157&lt;'PlayerGrades+'!$AB$14,"D",IF(F157&lt;'PlayerGrades+'!$AB$13,"D+",IF(F157&lt;'PlayerGrades+'!$AB$12,"C-",IF(F157&lt;'PlayerGrades+'!$AB$11,"C",IF(F157&lt;'PlayerGrades+'!$AB$10,"C+",IF(F157&lt;'PlayerGrades+'!$AB$9,"B-",IF(F157&lt;'PlayerGrades+'!$AB$8,"B",IF(F157&lt;'PlayerGrades+'!$AB$7,"B+",IF(F157&lt;'PlayerGrades+'!$AB$6,"A-",IF(F157&lt;'PlayerGrades+'!$AB$5,"A",IF(F157&lt;'PlayerGrades+'!$AB$4,"A+",IF(F157&lt;'PlayerGrades+'!$AB$3,"S-",IF(F157&lt;'PlayerGrades+'!$AB$2,"S","S+"))))))))))))))))))))</f>
        <v>B-</v>
      </c>
      <c r="H157" s="937">
        <f t="shared" si="3"/>
        <v>0.4444444444</v>
      </c>
      <c r="I157" s="937" t="str">
        <f>IF(H157&lt;'PlayerGrades+'!$AC$21,"F-",IF(H157&lt;'PlayerGrades+'!$AC$20,"F",IF(H157&lt;'PlayerGrades+'!$AC$19,"F+",IF(H157&lt;'PlayerGrades+'!$AC$18,"E-",IF(H157&lt;'PlayerGrades+'!$AC$17,"E",IF(H157&lt;'PlayerGrades+'!$AC$16,"E+",IF(H157&lt;'PlayerGrades+'!$AC$15,"D-",IF(H157&lt;'PlayerGrades+'!$AC$14,"D",IF(H157&lt;'PlayerGrades+'!$AC$13,"D+",IF(H157&lt;'PlayerGrades+'!$AC$12,"C-",IF(H157&lt;'PlayerGrades+'!$AC$11,"C",IF(H157&lt;'PlayerGrades+'!$AC$10,"C+",IF(H157&lt;'PlayerGrades+'!$AC$9,"B-",IF(H157&lt;'PlayerGrades+'!$AC$8,"B",IF(H157&lt;'PlayerGrades+'!$AC$7,"B+",IF(H157&lt;'PlayerGrades+'!$AC$6,"A-",IF(H157&lt;'PlayerGrades+'!$AC$5,"A",IF(H157&lt;'PlayerGrades+'!$AC$4,"A+",IF(H157&lt;'PlayerGrades+'!$AC$3,"S-",IF(H157&lt;'PlayerGrades+'!$AC$2,"S","S+"))))))))))))))))))))</f>
        <v>S+</v>
      </c>
      <c r="J157" s="937">
        <f t="shared" si="4"/>
        <v>0</v>
      </c>
      <c r="K157" s="937" t="str">
        <f>IF(J157&lt;'PlayerGrades+'!$AD$21,"F-",IF(J157&lt;'PlayerGrades+'!$AD$20,"F",IF(J157&lt;'PlayerGrades+'!$AD$19,"F+",IF(J157&lt;'PlayerGrades+'!$AD$18,"E-",IF(J157&lt;'PlayerGrades+'!$AD$17,"E",IF(J157&lt;'PlayerGrades+'!$AD$16,"E+",IF(J157&lt;'PlayerGrades+'!$AD$15,"D-",IF(J157&lt;'PlayerGrades+'!$AD$14,"D",IF(J157&lt;'PlayerGrades+'!$AD$13,"D+",IF(J157&lt;'PlayerGrades+'!$AD$12,"C-",IF(J157&lt;'PlayerGrades+'!$AD$11,"C",IF(J157&lt;'PlayerGrades+'!$AD$10,"C+",IF(J157&lt;'PlayerGrades+'!$AD$9,"B-",IF(J157&lt;'PlayerGrades+'!$AD$8,"B",IF(J157&lt;'PlayerGrades+'!$AD$7,"B+",IF(J157&lt;'PlayerGrades+'!$AD$6,"A-",IF(J157&lt;'PlayerGrades+'!$AD$5,"A",IF(J157&lt;'PlayerGrades+'!$AD$4,"A+",IF(J157&lt;'PlayerGrades+'!$AD$3,"S-",IF(J157&lt;'PlayerGrades+'!$AD$2,"S","S+"))))))))))))))))))))</f>
        <v>F-</v>
      </c>
      <c r="L157" s="677">
        <f t="shared" si="5"/>
        <v>0.4444444444</v>
      </c>
      <c r="M157" s="938" t="str">
        <f>IF(L157&lt;'PlayerGrades+'!$AE$21,"F-",IF(L157&lt;'PlayerGrades+'!$AE$20,"F",IF(L157&lt;'PlayerGrades+'!$AE$19,"F+",IF(L157&lt;'PlayerGrades+'!$AE$18,"E-",IF(L157&lt;'PlayerGrades+'!$AE$17,"E",IF(L157&lt;'PlayerGrades+'!$AE$16,"E+",IF(L157&lt;'PlayerGrades+'!$AE$15,"D-",IF(L157&lt;'PlayerGrades+'!$AE$14,"D",IF(L157&lt;'PlayerGrades+'!$AE$13,"D+",IF(L157&lt;'PlayerGrades+'!$AE$12,"C-",IF(L157&lt;'PlayerGrades+'!$AE$11,"C",IF(L157&lt;'PlayerGrades+'!$AE$10,"C+",IF(L157&lt;'PlayerGrades+'!$AE$9,"B-",IF(L157&lt;'PlayerGrades+'!$AE$8,"B",IF(L157&lt;'PlayerGrades+'!$AE$7,"B+",IF(L157&lt;'PlayerGrades+'!$AE$6,"A-",IF(L157&lt;'PlayerGrades+'!$AE$5,"A",IF(L157&lt;'PlayerGrades+'!$AE$4,"A+",IF(L157&lt;'PlayerGrades+'!$AE$3,"S-",IF(L157&lt;'PlayerGrades+'!$AE$2,"S","S+"))))))))))))))))))))</f>
        <v>B</v>
      </c>
      <c r="N157" s="937">
        <f t="shared" si="6"/>
        <v>0.08888888889</v>
      </c>
      <c r="O157" s="937" t="str">
        <f>IF(N157&lt;'PlayerGrades+'!$AF$21,"F-",IF(N157&lt;'PlayerGrades+'!$AF$20,"F",IF(N157&lt;'PlayerGrades+'!$AF$19,"F+",IF(N157&lt;'PlayerGrades+'!$AF$18,"E-",IF(N157&lt;'PlayerGrades+'!$AF$17,"E",IF(N157&lt;'PlayerGrades+'!$AF$16,"E+",IF(N157&lt;'PlayerGrades+'!$AF$15,"D-",IF(N157&lt;'PlayerGrades+'!$AF$14,"D",IF(N157&lt;'PlayerGrades+'!$AF$13,"D+",IF(N157&lt;'PlayerGrades+'!$AF$12,"C-",IF(N157&lt;'PlayerGrades+'!$AF$11,"C",IF(N157&lt;'PlayerGrades+'!$AF$10,"C+",IF(N157&lt;'PlayerGrades+'!$AF$9,"B-",IF(N157&lt;'PlayerGrades+'!$AF$8,"B",IF(N157&lt;'PlayerGrades+'!$AF$7,"B+",IF(N157&lt;'PlayerGrades+'!$AF$6,"A-",IF(N157&lt;'PlayerGrades+'!$AF$5,"A",IF(N157&lt;'PlayerGrades+'!$AF$4,"A+",IF(N157&lt;'PlayerGrades+'!$AF$3,"S-",IF(N157&lt;'PlayerGrades+'!$AF$2,"S","S+"))))))))))))))))))))</f>
        <v>B+</v>
      </c>
      <c r="P157" s="937">
        <f t="shared" si="7"/>
        <v>0</v>
      </c>
      <c r="Q157" s="937" t="str">
        <f>IF(P157&lt;'PlayerGrades+'!$AG$21,"F-",IF(P157&lt;'PlayerGrades+'!$AG$20,"F",IF(P157&lt;'PlayerGrades+'!$AG$19,"F+",IF(P157&lt;'PlayerGrades+'!$AG$18,"E-",IF(P157&lt;'PlayerGrades+'!$AG$17,"E",IF(P157&lt;'PlayerGrades+'!$AG$16,"E+",IF(P157&lt;'PlayerGrades+'!$AG$15,"D-",IF(P157&lt;'PlayerGrades+'!$AG$14,"D",IF(P157&lt;'PlayerGrades+'!$AG$13,"D+",IF(P157&lt;'PlayerGrades+'!$AG$12,"C-",IF(P157&lt;'PlayerGrades+'!$AG$11,"C",IF(P157&lt;'PlayerGrades+'!$AG$10,"C+",IF(P157&lt;'PlayerGrades+'!$AG$9,"B-",IF(P157&lt;'PlayerGrades+'!$AG$8,"B",IF(P157&lt;'PlayerGrades+'!$AG$7,"B+",IF(P157&lt;'PlayerGrades+'!$AG$6,"A-",IF(P157&lt;'PlayerGrades+'!$AG$5,"A",IF(P157&lt;'PlayerGrades+'!$AG$4,"A+",IF(P157&lt;'PlayerGrades+'!$AG$3,"S-",IF(P157&lt;'PlayerGrades+'!$AG$2,"S","S+"))))))))))))))))))))</f>
        <v>F</v>
      </c>
      <c r="R157" s="937">
        <f t="shared" si="8"/>
        <v>0.3555555556</v>
      </c>
      <c r="S157" s="937" t="str">
        <f>IF(R157&lt;'PlayerGrades+'!$AH$21,"F-",IF(R157&lt;'PlayerGrades+'!$AH$20,"F",IF(R157&lt;'PlayerGrades+'!$AH$19,"F+",IF(R157&lt;'PlayerGrades+'!$AH$18,"E-",IF(R157&lt;'PlayerGrades+'!$AH$17,"E",IF(R157&lt;'PlayerGrades+'!$AH$16,"E+",IF(R157&lt;'PlayerGrades+'!$AH$15,"D-",IF(R157&lt;'PlayerGrades+'!$AH$14,"D",IF(R157&lt;'PlayerGrades+'!$AH$13,"D+",IF(R157&lt;'PlayerGrades+'!$AH$12,"C-",IF(R157&lt;'PlayerGrades+'!$AH$11,"C",IF(R157&lt;'PlayerGrades+'!$AH$10,"C+",IF(R157&lt;'PlayerGrades+'!$AH$9,"B-",IF(R157&lt;'PlayerGrades+'!$AH$8,"B",IF(R157&lt;'PlayerGrades+'!$AH$7,"B+",IF(R157&lt;'PlayerGrades+'!$AH$6,"A-",IF(R157&lt;'PlayerGrades+'!$AH$5,"A",IF(R157&lt;'PlayerGrades+'!$AH$4,"A+",IF(R157&lt;'PlayerGrades+'!$AH$3,"S-",IF(R157&lt;'PlayerGrades+'!$AH$2,"S","S+"))))))))))))))))))))</f>
        <v>F</v>
      </c>
      <c r="T157" s="937">
        <f t="shared" si="9"/>
        <v>0.2666666667</v>
      </c>
      <c r="U157" s="937" t="str">
        <f>IF(T157&lt;'PlayerGrades+'!$AI$21,"F-",IF(T157&lt;'PlayerGrades+'!$AI$20,"F",IF(T157&lt;'PlayerGrades+'!$AI$19,"F+",IF(T157&lt;'PlayerGrades+'!$AI$18,"E-",IF(T157&lt;'PlayerGrades+'!$AI$17,"E",IF(T157&lt;'PlayerGrades+'!$AI$16,"E+",IF(T157&lt;'PlayerGrades+'!$AI$15,"D-",IF(T157&lt;'PlayerGrades+'!$AI$14,"D",IF(T157&lt;'PlayerGrades+'!$AI$13,"D+",IF(T157&lt;'PlayerGrades+'!$AI$12,"C-",IF(T157&lt;'PlayerGrades+'!$AI$11,"C",IF(T157&lt;'PlayerGrades+'!$AI$10,"C+",IF(T157&lt;'PlayerGrades+'!$AI$9,"B-",IF(T157&lt;'PlayerGrades+'!$AI$8,"B",IF(T157&lt;'PlayerGrades+'!$AI$7,"B+",IF(T157&lt;'PlayerGrades+'!$AI$6,"A-",IF(T157&lt;'PlayerGrades+'!$AI$5,"A",IF(T157&lt;'PlayerGrades+'!$AI$4,"A+",IF(T157&lt;'PlayerGrades+'!$AI$3,"S-",IF(T157&lt;'PlayerGrades+'!$AI$2,"S","S+"))))))))))))))))))))</f>
        <v>F-</v>
      </c>
      <c r="V157" s="1">
        <v>0.0</v>
      </c>
      <c r="W157" s="1">
        <v>0.0</v>
      </c>
      <c r="X157" s="941">
        <v>0.0</v>
      </c>
      <c r="Y157" s="941">
        <v>0.0</v>
      </c>
      <c r="Z157" s="941">
        <v>0.0</v>
      </c>
      <c r="AA157" s="952">
        <v>40.0</v>
      </c>
      <c r="AB157" s="952">
        <v>41.0</v>
      </c>
      <c r="AC157" s="952">
        <v>-1.0</v>
      </c>
      <c r="AD157" s="952">
        <v>2.0</v>
      </c>
      <c r="AE157" s="952">
        <v>3.0</v>
      </c>
      <c r="AF157" s="952">
        <v>1.0</v>
      </c>
      <c r="AG157" s="952">
        <v>529.0</v>
      </c>
      <c r="AH157" s="952">
        <v>675.0</v>
      </c>
      <c r="AI157" s="952">
        <v>12.0</v>
      </c>
      <c r="AJ157" s="952">
        <v>5.0</v>
      </c>
      <c r="AK157" s="952">
        <v>0.0</v>
      </c>
      <c r="AL157" s="952">
        <v>0.0</v>
      </c>
      <c r="AM157" s="952">
        <v>0.0</v>
      </c>
      <c r="AN157" s="952">
        <v>0.0</v>
      </c>
      <c r="AO157" s="952">
        <v>0.0</v>
      </c>
      <c r="AP157" s="952">
        <v>0.0</v>
      </c>
      <c r="AQ157" s="952">
        <v>0.0</v>
      </c>
      <c r="AR157" s="952">
        <v>5.0</v>
      </c>
      <c r="AS157" s="952">
        <v>1.0</v>
      </c>
      <c r="AT157" s="952">
        <v>0.0</v>
      </c>
      <c r="AU157" s="952">
        <v>0.0</v>
      </c>
      <c r="AV157" s="952">
        <v>0.0</v>
      </c>
      <c r="AW157" s="952">
        <v>0.0</v>
      </c>
      <c r="AX157" s="952">
        <v>0.0</v>
      </c>
      <c r="AY157" s="952">
        <v>0.0</v>
      </c>
      <c r="AZ157" s="952">
        <v>0.0</v>
      </c>
      <c r="BA157" s="952">
        <v>0.0</v>
      </c>
      <c r="BB157" s="952">
        <v>5.0</v>
      </c>
      <c r="BC157" s="952">
        <v>0.0</v>
      </c>
      <c r="BD157" s="952">
        <v>2.0</v>
      </c>
      <c r="BE157" s="952">
        <v>3.0</v>
      </c>
      <c r="BF157" s="952">
        <v>0.0</v>
      </c>
      <c r="BG157" s="954">
        <v>0.0</v>
      </c>
    </row>
    <row r="158">
      <c r="A158" s="965" t="s">
        <v>153</v>
      </c>
      <c r="B158" s="16" t="str">
        <f>IF(C158&lt;'PlayerGrades+'!$Y$44,"F-",IF(C158&lt;'PlayerGrades+'!$Y$43,"F",IF(C158&lt;'PlayerGrades+'!$Y$42,"F+",IF(C158&lt;'PlayerGrades+'!$Y$41,"E-",IF(C158&lt;'PlayerGrades+'!$Y$40,"E",IF(C158&lt;'PlayerGrades+'!$Y$39,"E+",IF(C158&lt;'PlayerGrades+'!$Y$38,"D-",IF(C158&lt;'PlayerGrades+'!$Y$37,"D",IF(C158&lt;'PlayerGrades+'!$Y$36,"D+",IF(C158&lt;'PlayerGrades+'!$Y$35,"C-",IF(C158&lt;'PlayerGrades+'!$Y$34,"C",IF(C158&lt;'PlayerGrades+'!$Y$33,"C+",IF(C158&lt;'PlayerGrades+'!$Y$32,"B-",IF(C158&lt;'PlayerGrades+'!$Y$31,"B",IF(C158&lt;'PlayerGrades+'!$Y$30,"B+",IF(C158&lt;'PlayerGrades+'!$Y$29,"A-",IF(C158&lt;'PlayerGrades+'!$Y$28,"A",IF(C158&lt;'PlayerGrades+'!$Y$27,"A+",IF(C158&lt;'PlayerGrades+'!$Y$26,"S-",IF(C158&lt;'PlayerGrades+'!$Y$25,"S","S+"))))))))))))))))))))</f>
        <v>F</v>
      </c>
      <c r="C158" s="936">
        <f>('PlayerGrades+'!$Y$47*(VLOOKUP(E158, 'PlayerGrades+'!$X$3:$Y$23, 2, FALSE)))+('PlayerGrades+'!$Y$48*(VLOOKUP(G158, 'PlayerGrades+'!$X$3:$Y$23, 2, FALSE)))+('PlayerGrades+'!$Y$49*(VLOOKUP(I158, 'PlayerGrades+'!$X$3:$Y$23, 2, FALSE)))+('PlayerGrades+'!$Y$50*(VLOOKUP(K158, 'PlayerGrades+'!$X$3:$Y$23, 2, FALSE)))+('PlayerGrades+'!$Y$51*(VLOOKUP(M158, 'PlayerGrades+'!$X$3:$Y$23, 2, FALSE)))+('PlayerGrades+'!$Y$52*(VLOOKUP(O158, 'PlayerGrades+'!$X$3:$Y$23, 2, FALSE)))+('PlayerGrades+'!$Y$53*(VLOOKUP(Q158, 'PlayerGrades+'!$X$3:$Y$23, 2, FALSE)))+('PlayerGrades+'!$Y$54*(VLOOKUP(S158, 'PlayerGrades+'!$X$3:$Y$23, 2, FALSE)))+('PlayerGrades+'!$Y$55*(VLOOKUP(U158, 'PlayerGrades+'!$X$3:$Y$23, 2, FALSE)))</f>
        <v>9.45</v>
      </c>
      <c r="D158" s="937">
        <f t="shared" si="1"/>
        <v>0.3555555556</v>
      </c>
      <c r="E158" s="937" t="str">
        <f>IF(D158&lt;'PlayerGrades+'!$AA$21,"F-",IF(D158&lt;'PlayerGrades+'!$AA$20,"F",IF(D158&lt;'PlayerGrades+'!$AA$19,"F+",IF(D158&lt;'PlayerGrades+'!$AA$18,"E-",IF(D158&lt;'PlayerGrades+'!$AA$17,"E",IF(D158&lt;'PlayerGrades+'!$AA$16,"E+",IF(D158&lt;'PlayerGrades+'!$AA$15,"D-",IF(D158&lt;'PlayerGrades+'!$AA$14,"D",IF(D158&lt;'PlayerGrades+'!$AA$13,"D+",IF(D158&lt;'PlayerGrades+'!$AA$12,"C-",IF(D158&lt;'PlayerGrades+'!$AA$11,"C",IF(D158&lt;'PlayerGrades+'!$AA$10,"C+",IF(D158&lt;'PlayerGrades+'!$AA$9,"B-",IF(D158&lt;'PlayerGrades+'!$AA$8,"B",IF(D158&lt;'PlayerGrades+'!$AA$7,"B+",IF(D158&lt;'PlayerGrades+'!$AA$6,"A-",IF(D158&lt;'PlayerGrades+'!$AA$5,"A",IF(D158&lt;'PlayerGrades+'!$AA$4,"A+",IF(D158&lt;'PlayerGrades+'!$AA$3,"S-",IF(D158&lt;'PlayerGrades+'!$AA$2,"S","S+"))))))))))))))))))))</f>
        <v>A</v>
      </c>
      <c r="F158" s="937">
        <f t="shared" si="2"/>
        <v>-0.2666666667</v>
      </c>
      <c r="G158" s="937" t="str">
        <f>IF(F158&lt;'PlayerGrades+'!$AB$21,"F-",IF(F158&lt;'PlayerGrades+'!$AB$20,"F",IF(F158&lt;'PlayerGrades+'!$AB$19,"F+",IF(F158&lt;'PlayerGrades+'!$AB$18,"E-",IF(F158&lt;'PlayerGrades+'!$AB$17,"E",IF(F158&lt;'PlayerGrades+'!$AB$16,"E+",IF(F158&lt;'PlayerGrades+'!$AB$15,"D-",IF(F158&lt;'PlayerGrades+'!$AB$14,"D",IF(F158&lt;'PlayerGrades+'!$AB$13,"D+",IF(F158&lt;'PlayerGrades+'!$AB$12,"C-",IF(F158&lt;'PlayerGrades+'!$AB$11,"C",IF(F158&lt;'PlayerGrades+'!$AB$10,"C+",IF(F158&lt;'PlayerGrades+'!$AB$9,"B-",IF(F158&lt;'PlayerGrades+'!$AB$8,"B",IF(F158&lt;'PlayerGrades+'!$AB$7,"B+",IF(F158&lt;'PlayerGrades+'!$AB$6,"A-",IF(F158&lt;'PlayerGrades+'!$AB$5,"A",IF(F158&lt;'PlayerGrades+'!$AB$4,"A+",IF(F158&lt;'PlayerGrades+'!$AB$3,"S-",IF(F158&lt;'PlayerGrades+'!$AB$2,"S","S+"))))))))))))))))))))</f>
        <v>C</v>
      </c>
      <c r="H158" s="937">
        <f t="shared" si="3"/>
        <v>0</v>
      </c>
      <c r="I158" s="937" t="str">
        <f>IF(H158&lt;'PlayerGrades+'!$AC$21,"F-",IF(H158&lt;'PlayerGrades+'!$AC$20,"F",IF(H158&lt;'PlayerGrades+'!$AC$19,"F+",IF(H158&lt;'PlayerGrades+'!$AC$18,"E-",IF(H158&lt;'PlayerGrades+'!$AC$17,"E",IF(H158&lt;'PlayerGrades+'!$AC$16,"E+",IF(H158&lt;'PlayerGrades+'!$AC$15,"D-",IF(H158&lt;'PlayerGrades+'!$AC$14,"D",IF(H158&lt;'PlayerGrades+'!$AC$13,"D+",IF(H158&lt;'PlayerGrades+'!$AC$12,"C-",IF(H158&lt;'PlayerGrades+'!$AC$11,"C",IF(H158&lt;'PlayerGrades+'!$AC$10,"C+",IF(H158&lt;'PlayerGrades+'!$AC$9,"B-",IF(H158&lt;'PlayerGrades+'!$AC$8,"B",IF(H158&lt;'PlayerGrades+'!$AC$7,"B+",IF(H158&lt;'PlayerGrades+'!$AC$6,"A-",IF(H158&lt;'PlayerGrades+'!$AC$5,"A",IF(H158&lt;'PlayerGrades+'!$AC$4,"A+",IF(H158&lt;'PlayerGrades+'!$AC$3,"S-",IF(H158&lt;'PlayerGrades+'!$AC$2,"S","S+"))))))))))))))))))))</f>
        <v>F-</v>
      </c>
      <c r="J158" s="937">
        <f t="shared" si="4"/>
        <v>0</v>
      </c>
      <c r="K158" s="937" t="str">
        <f>IF(J158&lt;'PlayerGrades+'!$AD$21,"F-",IF(J158&lt;'PlayerGrades+'!$AD$20,"F",IF(J158&lt;'PlayerGrades+'!$AD$19,"F+",IF(J158&lt;'PlayerGrades+'!$AD$18,"E-",IF(J158&lt;'PlayerGrades+'!$AD$17,"E",IF(J158&lt;'PlayerGrades+'!$AD$16,"E+",IF(J158&lt;'PlayerGrades+'!$AD$15,"D-",IF(J158&lt;'PlayerGrades+'!$AD$14,"D",IF(J158&lt;'PlayerGrades+'!$AD$13,"D+",IF(J158&lt;'PlayerGrades+'!$AD$12,"C-",IF(J158&lt;'PlayerGrades+'!$AD$11,"C",IF(J158&lt;'PlayerGrades+'!$AD$10,"C+",IF(J158&lt;'PlayerGrades+'!$AD$9,"B-",IF(J158&lt;'PlayerGrades+'!$AD$8,"B",IF(J158&lt;'PlayerGrades+'!$AD$7,"B+",IF(J158&lt;'PlayerGrades+'!$AD$6,"A-",IF(J158&lt;'PlayerGrades+'!$AD$5,"A",IF(J158&lt;'PlayerGrades+'!$AD$4,"A+",IF(J158&lt;'PlayerGrades+'!$AD$3,"S-",IF(J158&lt;'PlayerGrades+'!$AD$2,"S","S+"))))))))))))))))))))</f>
        <v>F-</v>
      </c>
      <c r="L158" s="677">
        <f t="shared" si="5"/>
        <v>0.08888888889</v>
      </c>
      <c r="M158" s="938" t="str">
        <f>IF(L158&lt;'PlayerGrades+'!$AE$21,"F-",IF(L158&lt;'PlayerGrades+'!$AE$20,"F",IF(L158&lt;'PlayerGrades+'!$AE$19,"F+",IF(L158&lt;'PlayerGrades+'!$AE$18,"E-",IF(L158&lt;'PlayerGrades+'!$AE$17,"E",IF(L158&lt;'PlayerGrades+'!$AE$16,"E+",IF(L158&lt;'PlayerGrades+'!$AE$15,"D-",IF(L158&lt;'PlayerGrades+'!$AE$14,"D",IF(L158&lt;'PlayerGrades+'!$AE$13,"D+",IF(L158&lt;'PlayerGrades+'!$AE$12,"C-",IF(L158&lt;'PlayerGrades+'!$AE$11,"C",IF(L158&lt;'PlayerGrades+'!$AE$10,"C+",IF(L158&lt;'PlayerGrades+'!$AE$9,"B-",IF(L158&lt;'PlayerGrades+'!$AE$8,"B",IF(L158&lt;'PlayerGrades+'!$AE$7,"B+",IF(L158&lt;'PlayerGrades+'!$AE$6,"A-",IF(L158&lt;'PlayerGrades+'!$AE$5,"A",IF(L158&lt;'PlayerGrades+'!$AE$4,"A+",IF(L158&lt;'PlayerGrades+'!$AE$3,"S-",IF(L158&lt;'PlayerGrades+'!$AE$2,"S","S+"))))))))))))))))))))</f>
        <v>F-</v>
      </c>
      <c r="N158" s="937">
        <f t="shared" si="6"/>
        <v>0</v>
      </c>
      <c r="O158" s="937" t="str">
        <f>IF(N158&lt;'PlayerGrades+'!$AF$21,"F-",IF(N158&lt;'PlayerGrades+'!$AF$20,"F",IF(N158&lt;'PlayerGrades+'!$AF$19,"F+",IF(N158&lt;'PlayerGrades+'!$AF$18,"E-",IF(N158&lt;'PlayerGrades+'!$AF$17,"E",IF(N158&lt;'PlayerGrades+'!$AF$16,"E+",IF(N158&lt;'PlayerGrades+'!$AF$15,"D-",IF(N158&lt;'PlayerGrades+'!$AF$14,"D",IF(N158&lt;'PlayerGrades+'!$AF$13,"D+",IF(N158&lt;'PlayerGrades+'!$AF$12,"C-",IF(N158&lt;'PlayerGrades+'!$AF$11,"C",IF(N158&lt;'PlayerGrades+'!$AF$10,"C+",IF(N158&lt;'PlayerGrades+'!$AF$9,"B-",IF(N158&lt;'PlayerGrades+'!$AF$8,"B",IF(N158&lt;'PlayerGrades+'!$AF$7,"B+",IF(N158&lt;'PlayerGrades+'!$AF$6,"A-",IF(N158&lt;'PlayerGrades+'!$AF$5,"A",IF(N158&lt;'PlayerGrades+'!$AF$4,"A+",IF(N158&lt;'PlayerGrades+'!$AF$3,"S-",IF(N158&lt;'PlayerGrades+'!$AF$2,"S","S+"))))))))))))))))))))</f>
        <v>F-</v>
      </c>
      <c r="P158" s="937">
        <f t="shared" si="7"/>
        <v>0</v>
      </c>
      <c r="Q158" s="937" t="str">
        <f>IF(P158&lt;'PlayerGrades+'!$AG$21,"F-",IF(P158&lt;'PlayerGrades+'!$AG$20,"F",IF(P158&lt;'PlayerGrades+'!$AG$19,"F+",IF(P158&lt;'PlayerGrades+'!$AG$18,"E-",IF(P158&lt;'PlayerGrades+'!$AG$17,"E",IF(P158&lt;'PlayerGrades+'!$AG$16,"E+",IF(P158&lt;'PlayerGrades+'!$AG$15,"D-",IF(P158&lt;'PlayerGrades+'!$AG$14,"D",IF(P158&lt;'PlayerGrades+'!$AG$13,"D+",IF(P158&lt;'PlayerGrades+'!$AG$12,"C-",IF(P158&lt;'PlayerGrades+'!$AG$11,"C",IF(P158&lt;'PlayerGrades+'!$AG$10,"C+",IF(P158&lt;'PlayerGrades+'!$AG$9,"B-",IF(P158&lt;'PlayerGrades+'!$AG$8,"B",IF(P158&lt;'PlayerGrades+'!$AG$7,"B+",IF(P158&lt;'PlayerGrades+'!$AG$6,"A-",IF(P158&lt;'PlayerGrades+'!$AG$5,"A",IF(P158&lt;'PlayerGrades+'!$AG$4,"A+",IF(P158&lt;'PlayerGrades+'!$AG$3,"S-",IF(P158&lt;'PlayerGrades+'!$AG$2,"S","S+"))))))))))))))))))))</f>
        <v>F</v>
      </c>
      <c r="R158" s="937">
        <f t="shared" si="8"/>
        <v>0.3555555556</v>
      </c>
      <c r="S158" s="937" t="str">
        <f>IF(R158&lt;'PlayerGrades+'!$AH$21,"F-",IF(R158&lt;'PlayerGrades+'!$AH$20,"F",IF(R158&lt;'PlayerGrades+'!$AH$19,"F+",IF(R158&lt;'PlayerGrades+'!$AH$18,"E-",IF(R158&lt;'PlayerGrades+'!$AH$17,"E",IF(R158&lt;'PlayerGrades+'!$AH$16,"E+",IF(R158&lt;'PlayerGrades+'!$AH$15,"D-",IF(R158&lt;'PlayerGrades+'!$AH$14,"D",IF(R158&lt;'PlayerGrades+'!$AH$13,"D+",IF(R158&lt;'PlayerGrades+'!$AH$12,"C-",IF(R158&lt;'PlayerGrades+'!$AH$11,"C",IF(R158&lt;'PlayerGrades+'!$AH$10,"C+",IF(R158&lt;'PlayerGrades+'!$AH$9,"B-",IF(R158&lt;'PlayerGrades+'!$AH$8,"B",IF(R158&lt;'PlayerGrades+'!$AH$7,"B+",IF(R158&lt;'PlayerGrades+'!$AH$6,"A-",IF(R158&lt;'PlayerGrades+'!$AH$5,"A",IF(R158&lt;'PlayerGrades+'!$AH$4,"A+",IF(R158&lt;'PlayerGrades+'!$AH$3,"S-",IF(R158&lt;'PlayerGrades+'!$AH$2,"S","S+"))))))))))))))))))))</f>
        <v>F</v>
      </c>
      <c r="T158" s="937">
        <f t="shared" si="9"/>
        <v>0.1777777778</v>
      </c>
      <c r="U158" s="937" t="str">
        <f>IF(T158&lt;'PlayerGrades+'!$AI$21,"F-",IF(T158&lt;'PlayerGrades+'!$AI$20,"F",IF(T158&lt;'PlayerGrades+'!$AI$19,"F+",IF(T158&lt;'PlayerGrades+'!$AI$18,"E-",IF(T158&lt;'PlayerGrades+'!$AI$17,"E",IF(T158&lt;'PlayerGrades+'!$AI$16,"E+",IF(T158&lt;'PlayerGrades+'!$AI$15,"D-",IF(T158&lt;'PlayerGrades+'!$AI$14,"D",IF(T158&lt;'PlayerGrades+'!$AI$13,"D+",IF(T158&lt;'PlayerGrades+'!$AI$12,"C-",IF(T158&lt;'PlayerGrades+'!$AI$11,"C",IF(T158&lt;'PlayerGrades+'!$AI$10,"C+",IF(T158&lt;'PlayerGrades+'!$AI$9,"B-",IF(T158&lt;'PlayerGrades+'!$AI$8,"B",IF(T158&lt;'PlayerGrades+'!$AI$7,"B+",IF(T158&lt;'PlayerGrades+'!$AI$6,"A-",IF(T158&lt;'PlayerGrades+'!$AI$5,"A",IF(T158&lt;'PlayerGrades+'!$AI$4,"A+",IF(T158&lt;'PlayerGrades+'!$AI$3,"S-",IF(T158&lt;'PlayerGrades+'!$AI$2,"S","S+"))))))))))))))))))))</f>
        <v>F-</v>
      </c>
      <c r="V158" s="1">
        <v>0.0</v>
      </c>
      <c r="W158" s="1">
        <v>0.0</v>
      </c>
      <c r="X158" s="941">
        <v>0.0</v>
      </c>
      <c r="Y158" s="941">
        <v>1.0</v>
      </c>
      <c r="Z158" s="941">
        <v>3.0</v>
      </c>
      <c r="AA158" s="952">
        <v>16.0</v>
      </c>
      <c r="AB158" s="952">
        <v>19.0</v>
      </c>
      <c r="AC158" s="952">
        <v>-3.0</v>
      </c>
      <c r="AD158" s="952">
        <v>0.0</v>
      </c>
      <c r="AE158" s="952">
        <v>4.0</v>
      </c>
      <c r="AF158" s="952">
        <v>0.0</v>
      </c>
      <c r="AG158" s="952">
        <v>595.0</v>
      </c>
      <c r="AH158" s="952">
        <v>675.0</v>
      </c>
      <c r="AI158" s="952">
        <v>31.0</v>
      </c>
      <c r="AJ158" s="952">
        <v>451.0</v>
      </c>
      <c r="AK158" s="952">
        <v>0.0</v>
      </c>
      <c r="AL158" s="952">
        <v>0.0</v>
      </c>
      <c r="AM158" s="952">
        <v>0.0</v>
      </c>
      <c r="AN158" s="952">
        <v>0.0</v>
      </c>
      <c r="AO158" s="952">
        <v>0.0</v>
      </c>
      <c r="AP158" s="952">
        <v>0.0</v>
      </c>
      <c r="AQ158" s="952">
        <v>0.0</v>
      </c>
      <c r="AR158" s="952">
        <v>1.0</v>
      </c>
      <c r="AS158" s="952">
        <v>0.0</v>
      </c>
      <c r="AT158" s="952">
        <v>0.0</v>
      </c>
      <c r="AU158" s="952">
        <v>0.0</v>
      </c>
      <c r="AV158" s="952">
        <v>0.0</v>
      </c>
      <c r="AW158" s="952">
        <v>0.0</v>
      </c>
      <c r="AX158" s="952">
        <v>0.0</v>
      </c>
      <c r="AY158" s="952">
        <v>0.0</v>
      </c>
      <c r="AZ158" s="952">
        <v>0.0</v>
      </c>
      <c r="BA158" s="952">
        <v>0.0</v>
      </c>
      <c r="BB158" s="952">
        <v>0.0</v>
      </c>
      <c r="BC158" s="952">
        <v>0.0</v>
      </c>
      <c r="BD158" s="952">
        <v>4.0</v>
      </c>
      <c r="BE158" s="952">
        <v>2.0</v>
      </c>
      <c r="BF158" s="952">
        <v>0.0</v>
      </c>
      <c r="BG158" s="954">
        <v>1.0</v>
      </c>
    </row>
    <row r="159">
      <c r="A159" s="965" t="s">
        <v>131</v>
      </c>
      <c r="B159" s="16" t="str">
        <f>IF(C159&lt;'PlayerGrades+'!$Y$44,"F-",IF(C159&lt;'PlayerGrades+'!$Y$43,"F",IF(C159&lt;'PlayerGrades+'!$Y$42,"F+",IF(C159&lt;'PlayerGrades+'!$Y$41,"E-",IF(C159&lt;'PlayerGrades+'!$Y$40,"E",IF(C159&lt;'PlayerGrades+'!$Y$39,"E+",IF(C159&lt;'PlayerGrades+'!$Y$38,"D-",IF(C159&lt;'PlayerGrades+'!$Y$37,"D",IF(C159&lt;'PlayerGrades+'!$Y$36,"D+",IF(C159&lt;'PlayerGrades+'!$Y$35,"C-",IF(C159&lt;'PlayerGrades+'!$Y$34,"C",IF(C159&lt;'PlayerGrades+'!$Y$33,"C+",IF(C159&lt;'PlayerGrades+'!$Y$32,"B-",IF(C159&lt;'PlayerGrades+'!$Y$31,"B",IF(C159&lt;'PlayerGrades+'!$Y$30,"B+",IF(C159&lt;'PlayerGrades+'!$Y$29,"A-",IF(C159&lt;'PlayerGrades+'!$Y$28,"A",IF(C159&lt;'PlayerGrades+'!$Y$27,"A+",IF(C159&lt;'PlayerGrades+'!$Y$26,"S-",IF(C159&lt;'PlayerGrades+'!$Y$25,"S","S+"))))))))))))))))))))</f>
        <v>B+</v>
      </c>
      <c r="C159" s="936">
        <f>('PlayerGrades+'!$Y$47*(VLOOKUP(E159, 'PlayerGrades+'!$X$3:$Y$23, 2, FALSE)))+('PlayerGrades+'!$Y$48*(VLOOKUP(G159, 'PlayerGrades+'!$X$3:$Y$23, 2, FALSE)))+('PlayerGrades+'!$Y$49*(VLOOKUP(I159, 'PlayerGrades+'!$X$3:$Y$23, 2, FALSE)))+('PlayerGrades+'!$Y$50*(VLOOKUP(K159, 'PlayerGrades+'!$X$3:$Y$23, 2, FALSE)))+('PlayerGrades+'!$Y$51*(VLOOKUP(M159, 'PlayerGrades+'!$X$3:$Y$23, 2, FALSE)))+('PlayerGrades+'!$Y$52*(VLOOKUP(O159, 'PlayerGrades+'!$X$3:$Y$23, 2, FALSE)))+('PlayerGrades+'!$Y$53*(VLOOKUP(Q159, 'PlayerGrades+'!$X$3:$Y$23, 2, FALSE)))+('PlayerGrades+'!$Y$54*(VLOOKUP(S159, 'PlayerGrades+'!$X$3:$Y$23, 2, FALSE)))+('PlayerGrades+'!$Y$55*(VLOOKUP(U159, 'PlayerGrades+'!$X$3:$Y$23, 2, FALSE)))</f>
        <v>23.9</v>
      </c>
      <c r="D159" s="937">
        <f t="shared" si="1"/>
        <v>0.08888888889</v>
      </c>
      <c r="E159" s="937" t="str">
        <f>IF(D159&lt;'PlayerGrades+'!$AA$21,"F-",IF(D159&lt;'PlayerGrades+'!$AA$20,"F",IF(D159&lt;'PlayerGrades+'!$AA$19,"F+",IF(D159&lt;'PlayerGrades+'!$AA$18,"E-",IF(D159&lt;'PlayerGrades+'!$AA$17,"E",IF(D159&lt;'PlayerGrades+'!$AA$16,"E+",IF(D159&lt;'PlayerGrades+'!$AA$15,"D-",IF(D159&lt;'PlayerGrades+'!$AA$14,"D",IF(D159&lt;'PlayerGrades+'!$AA$13,"D+",IF(D159&lt;'PlayerGrades+'!$AA$12,"C-",IF(D159&lt;'PlayerGrades+'!$AA$11,"C",IF(D159&lt;'PlayerGrades+'!$AA$10,"C+",IF(D159&lt;'PlayerGrades+'!$AA$9,"B-",IF(D159&lt;'PlayerGrades+'!$AA$8,"B",IF(D159&lt;'PlayerGrades+'!$AA$7,"B+",IF(D159&lt;'PlayerGrades+'!$AA$6,"A-",IF(D159&lt;'PlayerGrades+'!$AA$5,"A",IF(D159&lt;'PlayerGrades+'!$AA$4,"A+",IF(D159&lt;'PlayerGrades+'!$AA$3,"S-",IF(D159&lt;'PlayerGrades+'!$AA$2,"S","S+"))))))))))))))))))))</f>
        <v>B</v>
      </c>
      <c r="F159" s="937">
        <f t="shared" si="2"/>
        <v>-0.6222222222</v>
      </c>
      <c r="G159" s="937" t="str">
        <f>IF(F159&lt;'PlayerGrades+'!$AB$21,"F-",IF(F159&lt;'PlayerGrades+'!$AB$20,"F",IF(F159&lt;'PlayerGrades+'!$AB$19,"F+",IF(F159&lt;'PlayerGrades+'!$AB$18,"E-",IF(F159&lt;'PlayerGrades+'!$AB$17,"E",IF(F159&lt;'PlayerGrades+'!$AB$16,"E+",IF(F159&lt;'PlayerGrades+'!$AB$15,"D-",IF(F159&lt;'PlayerGrades+'!$AB$14,"D",IF(F159&lt;'PlayerGrades+'!$AB$13,"D+",IF(F159&lt;'PlayerGrades+'!$AB$12,"C-",IF(F159&lt;'PlayerGrades+'!$AB$11,"C",IF(F159&lt;'PlayerGrades+'!$AB$10,"C+",IF(F159&lt;'PlayerGrades+'!$AB$9,"B-",IF(F159&lt;'PlayerGrades+'!$AB$8,"B",IF(F159&lt;'PlayerGrades+'!$AB$7,"B+",IF(F159&lt;'PlayerGrades+'!$AB$6,"A-",IF(F159&lt;'PlayerGrades+'!$AB$5,"A",IF(F159&lt;'PlayerGrades+'!$AB$4,"A+",IF(F159&lt;'PlayerGrades+'!$AB$3,"S-",IF(F159&lt;'PlayerGrades+'!$AB$2,"S","S+"))))))))))))))))))))</f>
        <v>D-</v>
      </c>
      <c r="H159" s="937">
        <f t="shared" si="3"/>
        <v>0</v>
      </c>
      <c r="I159" s="937" t="str">
        <f>IF(H159&lt;'PlayerGrades+'!$AC$21,"F-",IF(H159&lt;'PlayerGrades+'!$AC$20,"F",IF(H159&lt;'PlayerGrades+'!$AC$19,"F+",IF(H159&lt;'PlayerGrades+'!$AC$18,"E-",IF(H159&lt;'PlayerGrades+'!$AC$17,"E",IF(H159&lt;'PlayerGrades+'!$AC$16,"E+",IF(H159&lt;'PlayerGrades+'!$AC$15,"D-",IF(H159&lt;'PlayerGrades+'!$AC$14,"D",IF(H159&lt;'PlayerGrades+'!$AC$13,"D+",IF(H159&lt;'PlayerGrades+'!$AC$12,"C-",IF(H159&lt;'PlayerGrades+'!$AC$11,"C",IF(H159&lt;'PlayerGrades+'!$AC$10,"C+",IF(H159&lt;'PlayerGrades+'!$AC$9,"B-",IF(H159&lt;'PlayerGrades+'!$AC$8,"B",IF(H159&lt;'PlayerGrades+'!$AC$7,"B+",IF(H159&lt;'PlayerGrades+'!$AC$6,"A-",IF(H159&lt;'PlayerGrades+'!$AC$5,"A",IF(H159&lt;'PlayerGrades+'!$AC$4,"A+",IF(H159&lt;'PlayerGrades+'!$AC$3,"S-",IF(H159&lt;'PlayerGrades+'!$AC$2,"S","S+"))))))))))))))))))))</f>
        <v>F-</v>
      </c>
      <c r="J159" s="937">
        <f t="shared" si="4"/>
        <v>0.1777777778</v>
      </c>
      <c r="K159" s="937" t="str">
        <f>IF(J159&lt;'PlayerGrades+'!$AD$21,"F-",IF(J159&lt;'PlayerGrades+'!$AD$20,"F",IF(J159&lt;'PlayerGrades+'!$AD$19,"F+",IF(J159&lt;'PlayerGrades+'!$AD$18,"E-",IF(J159&lt;'PlayerGrades+'!$AD$17,"E",IF(J159&lt;'PlayerGrades+'!$AD$16,"E+",IF(J159&lt;'PlayerGrades+'!$AD$15,"D-",IF(J159&lt;'PlayerGrades+'!$AD$14,"D",IF(J159&lt;'PlayerGrades+'!$AD$13,"D+",IF(J159&lt;'PlayerGrades+'!$AD$12,"C-",IF(J159&lt;'PlayerGrades+'!$AD$11,"C",IF(J159&lt;'PlayerGrades+'!$AD$10,"C+",IF(J159&lt;'PlayerGrades+'!$AD$9,"B-",IF(J159&lt;'PlayerGrades+'!$AD$8,"B",IF(J159&lt;'PlayerGrades+'!$AD$7,"B+",IF(J159&lt;'PlayerGrades+'!$AD$6,"A-",IF(J159&lt;'PlayerGrades+'!$AD$5,"A",IF(J159&lt;'PlayerGrades+'!$AD$4,"A+",IF(J159&lt;'PlayerGrades+'!$AD$3,"S-",IF(J159&lt;'PlayerGrades+'!$AD$2,"S","S+"))))))))))))))))))))</f>
        <v>S+</v>
      </c>
      <c r="L159" s="677">
        <f t="shared" si="5"/>
        <v>0.3555555556</v>
      </c>
      <c r="M159" s="938" t="str">
        <f>IF(L159&lt;'PlayerGrades+'!$AE$21,"F-",IF(L159&lt;'PlayerGrades+'!$AE$20,"F",IF(L159&lt;'PlayerGrades+'!$AE$19,"F+",IF(L159&lt;'PlayerGrades+'!$AE$18,"E-",IF(L159&lt;'PlayerGrades+'!$AE$17,"E",IF(L159&lt;'PlayerGrades+'!$AE$16,"E+",IF(L159&lt;'PlayerGrades+'!$AE$15,"D-",IF(L159&lt;'PlayerGrades+'!$AE$14,"D",IF(L159&lt;'PlayerGrades+'!$AE$13,"D+",IF(L159&lt;'PlayerGrades+'!$AE$12,"C-",IF(L159&lt;'PlayerGrades+'!$AE$11,"C",IF(L159&lt;'PlayerGrades+'!$AE$10,"C+",IF(L159&lt;'PlayerGrades+'!$AE$9,"B-",IF(L159&lt;'PlayerGrades+'!$AE$8,"B",IF(L159&lt;'PlayerGrades+'!$AE$7,"B+",IF(L159&lt;'PlayerGrades+'!$AE$6,"A-",IF(L159&lt;'PlayerGrades+'!$AE$5,"A",IF(L159&lt;'PlayerGrades+'!$AE$4,"A+",IF(L159&lt;'PlayerGrades+'!$AE$3,"S-",IF(L159&lt;'PlayerGrades+'!$AE$2,"S","S+"))))))))))))))))))))</f>
        <v>D</v>
      </c>
      <c r="N159" s="937">
        <f t="shared" si="6"/>
        <v>0.1777777778</v>
      </c>
      <c r="O159" s="937" t="str">
        <f>IF(N159&lt;'PlayerGrades+'!$AF$21,"F-",IF(N159&lt;'PlayerGrades+'!$AF$20,"F",IF(N159&lt;'PlayerGrades+'!$AF$19,"F+",IF(N159&lt;'PlayerGrades+'!$AF$18,"E-",IF(N159&lt;'PlayerGrades+'!$AF$17,"E",IF(N159&lt;'PlayerGrades+'!$AF$16,"E+",IF(N159&lt;'PlayerGrades+'!$AF$15,"D-",IF(N159&lt;'PlayerGrades+'!$AF$14,"D",IF(N159&lt;'PlayerGrades+'!$AF$13,"D+",IF(N159&lt;'PlayerGrades+'!$AF$12,"C-",IF(N159&lt;'PlayerGrades+'!$AF$11,"C",IF(N159&lt;'PlayerGrades+'!$AF$10,"C+",IF(N159&lt;'PlayerGrades+'!$AF$9,"B-",IF(N159&lt;'PlayerGrades+'!$AF$8,"B",IF(N159&lt;'PlayerGrades+'!$AF$7,"B+",IF(N159&lt;'PlayerGrades+'!$AF$6,"A-",IF(N159&lt;'PlayerGrades+'!$AF$5,"A",IF(N159&lt;'PlayerGrades+'!$AF$4,"A+",IF(N159&lt;'PlayerGrades+'!$AF$3,"S-",IF(N159&lt;'PlayerGrades+'!$AF$2,"S","S+"))))))))))))))))))))</f>
        <v>S+</v>
      </c>
      <c r="P159" s="937">
        <f t="shared" si="7"/>
        <v>0.08888888889</v>
      </c>
      <c r="Q159" s="937" t="str">
        <f>IF(P159&lt;'PlayerGrades+'!$AG$21,"F-",IF(P159&lt;'PlayerGrades+'!$AG$20,"F",IF(P159&lt;'PlayerGrades+'!$AG$19,"F+",IF(P159&lt;'PlayerGrades+'!$AG$18,"E-",IF(P159&lt;'PlayerGrades+'!$AG$17,"E",IF(P159&lt;'PlayerGrades+'!$AG$16,"E+",IF(P159&lt;'PlayerGrades+'!$AG$15,"D-",IF(P159&lt;'PlayerGrades+'!$AG$14,"D",IF(P159&lt;'PlayerGrades+'!$AG$13,"D+",IF(P159&lt;'PlayerGrades+'!$AG$12,"C-",IF(P159&lt;'PlayerGrades+'!$AG$11,"C",IF(P159&lt;'PlayerGrades+'!$AG$10,"C+",IF(P159&lt;'PlayerGrades+'!$AG$9,"B-",IF(P159&lt;'PlayerGrades+'!$AG$8,"B",IF(P159&lt;'PlayerGrades+'!$AG$7,"B+",IF(P159&lt;'PlayerGrades+'!$AG$6,"A-",IF(P159&lt;'PlayerGrades+'!$AG$5,"A",IF(P159&lt;'PlayerGrades+'!$AG$4,"A+",IF(P159&lt;'PlayerGrades+'!$AG$3,"S-",IF(P159&lt;'PlayerGrades+'!$AG$2,"S","S+"))))))))))))))))))))</f>
        <v>S+</v>
      </c>
      <c r="R159" s="937">
        <f t="shared" si="8"/>
        <v>0.8</v>
      </c>
      <c r="S159" s="937" t="str">
        <f>IF(R159&lt;'PlayerGrades+'!$AH$21,"F-",IF(R159&lt;'PlayerGrades+'!$AH$20,"F",IF(R159&lt;'PlayerGrades+'!$AH$19,"F+",IF(R159&lt;'PlayerGrades+'!$AH$18,"E-",IF(R159&lt;'PlayerGrades+'!$AH$17,"E",IF(R159&lt;'PlayerGrades+'!$AH$16,"E+",IF(R159&lt;'PlayerGrades+'!$AH$15,"D-",IF(R159&lt;'PlayerGrades+'!$AH$14,"D",IF(R159&lt;'PlayerGrades+'!$AH$13,"D+",IF(R159&lt;'PlayerGrades+'!$AH$12,"C-",IF(R159&lt;'PlayerGrades+'!$AH$11,"C",IF(R159&lt;'PlayerGrades+'!$AH$10,"C+",IF(R159&lt;'PlayerGrades+'!$AH$9,"B-",IF(R159&lt;'PlayerGrades+'!$AH$8,"B",IF(R159&lt;'PlayerGrades+'!$AH$7,"B+",IF(R159&lt;'PlayerGrades+'!$AH$6,"A-",IF(R159&lt;'PlayerGrades+'!$AH$5,"A",IF(R159&lt;'PlayerGrades+'!$AH$4,"A+",IF(R159&lt;'PlayerGrades+'!$AH$3,"S-",IF(R159&lt;'PlayerGrades+'!$AH$2,"S","S+"))))))))))))))))))))</f>
        <v>S+</v>
      </c>
      <c r="T159" s="937">
        <f t="shared" si="9"/>
        <v>0.1777777778</v>
      </c>
      <c r="U159" s="937" t="str">
        <f>IF(T159&lt;'PlayerGrades+'!$AI$21,"F-",IF(T159&lt;'PlayerGrades+'!$AI$20,"F",IF(T159&lt;'PlayerGrades+'!$AI$19,"F+",IF(T159&lt;'PlayerGrades+'!$AI$18,"E-",IF(T159&lt;'PlayerGrades+'!$AI$17,"E",IF(T159&lt;'PlayerGrades+'!$AI$16,"E+",IF(T159&lt;'PlayerGrades+'!$AI$15,"D-",IF(T159&lt;'PlayerGrades+'!$AI$14,"D",IF(T159&lt;'PlayerGrades+'!$AI$13,"D+",IF(T159&lt;'PlayerGrades+'!$AI$12,"C-",IF(T159&lt;'PlayerGrades+'!$AI$11,"C",IF(T159&lt;'PlayerGrades+'!$AI$10,"C+",IF(T159&lt;'PlayerGrades+'!$AI$9,"B-",IF(T159&lt;'PlayerGrades+'!$AI$8,"B",IF(T159&lt;'PlayerGrades+'!$AI$7,"B+",IF(T159&lt;'PlayerGrades+'!$AI$6,"A-",IF(T159&lt;'PlayerGrades+'!$AI$5,"A",IF(T159&lt;'PlayerGrades+'!$AI$4,"A+",IF(T159&lt;'PlayerGrades+'!$AI$3,"S-",IF(T159&lt;'PlayerGrades+'!$AI$2,"S","S+"))))))))))))))))))))</f>
        <v>F-</v>
      </c>
      <c r="V159" s="1">
        <v>0.0</v>
      </c>
      <c r="W159" s="1">
        <v>0.0</v>
      </c>
      <c r="X159" s="941">
        <v>0.0</v>
      </c>
      <c r="Y159" s="941">
        <v>0.0</v>
      </c>
      <c r="Z159" s="941">
        <v>1.0</v>
      </c>
      <c r="AA159" s="952">
        <v>38.0</v>
      </c>
      <c r="AB159" s="952">
        <v>45.0</v>
      </c>
      <c r="AC159" s="952">
        <v>-7.0</v>
      </c>
      <c r="AD159" s="952">
        <v>3.0</v>
      </c>
      <c r="AE159" s="952">
        <v>5.0</v>
      </c>
      <c r="AF159" s="952">
        <v>1.0</v>
      </c>
      <c r="AG159" s="952">
        <v>514.0</v>
      </c>
      <c r="AH159" s="952">
        <v>675.0</v>
      </c>
      <c r="AI159" s="952">
        <v>11.0</v>
      </c>
      <c r="AJ159" s="952">
        <v>4.0</v>
      </c>
      <c r="AK159" s="952">
        <v>0.0</v>
      </c>
      <c r="AL159" s="952">
        <v>2.0</v>
      </c>
      <c r="AM159" s="952">
        <v>0.0</v>
      </c>
      <c r="AN159" s="952">
        <v>0.0</v>
      </c>
      <c r="AO159" s="952">
        <v>0.0</v>
      </c>
      <c r="AP159" s="952">
        <v>1.0</v>
      </c>
      <c r="AQ159" s="952">
        <v>0.0</v>
      </c>
      <c r="AR159" s="952">
        <v>4.0</v>
      </c>
      <c r="AS159" s="952">
        <v>2.0</v>
      </c>
      <c r="AT159" s="952">
        <v>1.0</v>
      </c>
      <c r="AU159" s="952">
        <v>1.0</v>
      </c>
      <c r="AV159" s="952">
        <v>0.0</v>
      </c>
      <c r="AW159" s="952">
        <v>0.0</v>
      </c>
      <c r="AX159" s="952">
        <v>0.0</v>
      </c>
      <c r="AY159" s="952">
        <v>0.0</v>
      </c>
      <c r="AZ159" s="952">
        <v>0.0</v>
      </c>
      <c r="BA159" s="952">
        <v>0.0</v>
      </c>
      <c r="BB159" s="952">
        <v>0.0</v>
      </c>
      <c r="BC159" s="952">
        <v>0.0</v>
      </c>
      <c r="BD159" s="952">
        <v>6.0</v>
      </c>
      <c r="BE159" s="952">
        <v>2.0</v>
      </c>
      <c r="BF159" s="952">
        <v>0.0</v>
      </c>
      <c r="BG159" s="954">
        <v>1.0</v>
      </c>
    </row>
    <row r="160">
      <c r="A160" s="965" t="s">
        <v>120</v>
      </c>
      <c r="B160" s="16" t="str">
        <f>IF(C160&lt;'PlayerGrades+'!$Y$44,"F-",IF(C160&lt;'PlayerGrades+'!$Y$43,"F",IF(C160&lt;'PlayerGrades+'!$Y$42,"F+",IF(C160&lt;'PlayerGrades+'!$Y$41,"E-",IF(C160&lt;'PlayerGrades+'!$Y$40,"E",IF(C160&lt;'PlayerGrades+'!$Y$39,"E+",IF(C160&lt;'PlayerGrades+'!$Y$38,"D-",IF(C160&lt;'PlayerGrades+'!$Y$37,"D",IF(C160&lt;'PlayerGrades+'!$Y$36,"D+",IF(C160&lt;'PlayerGrades+'!$Y$35,"C-",IF(C160&lt;'PlayerGrades+'!$Y$34,"C",IF(C160&lt;'PlayerGrades+'!$Y$33,"C+",IF(C160&lt;'PlayerGrades+'!$Y$32,"B-",IF(C160&lt;'PlayerGrades+'!$Y$31,"B",IF(C160&lt;'PlayerGrades+'!$Y$30,"B+",IF(C160&lt;'PlayerGrades+'!$Y$29,"A-",IF(C160&lt;'PlayerGrades+'!$Y$28,"A",IF(C160&lt;'PlayerGrades+'!$Y$27,"A+",IF(C160&lt;'PlayerGrades+'!$Y$26,"S-",IF(C160&lt;'PlayerGrades+'!$Y$25,"S","S+"))))))))))))))))))))</f>
        <v>A+</v>
      </c>
      <c r="C160" s="936">
        <f>('PlayerGrades+'!$Y$47*(VLOOKUP(E160, 'PlayerGrades+'!$X$3:$Y$23, 2, FALSE)))+('PlayerGrades+'!$Y$48*(VLOOKUP(G160, 'PlayerGrades+'!$X$3:$Y$23, 2, FALSE)))+('PlayerGrades+'!$Y$49*(VLOOKUP(I160, 'PlayerGrades+'!$X$3:$Y$23, 2, FALSE)))+('PlayerGrades+'!$Y$50*(VLOOKUP(K160, 'PlayerGrades+'!$X$3:$Y$23, 2, FALSE)))+('PlayerGrades+'!$Y$51*(VLOOKUP(M160, 'PlayerGrades+'!$X$3:$Y$23, 2, FALSE)))+('PlayerGrades+'!$Y$52*(VLOOKUP(O160, 'PlayerGrades+'!$X$3:$Y$23, 2, FALSE)))+('PlayerGrades+'!$Y$53*(VLOOKUP(Q160, 'PlayerGrades+'!$X$3:$Y$23, 2, FALSE)))+('PlayerGrades+'!$Y$54*(VLOOKUP(S160, 'PlayerGrades+'!$X$3:$Y$23, 2, FALSE)))+('PlayerGrades+'!$Y$55*(VLOOKUP(U160, 'PlayerGrades+'!$X$3:$Y$23, 2, FALSE)))</f>
        <v>28.55</v>
      </c>
      <c r="D160" s="937">
        <f t="shared" si="1"/>
        <v>0</v>
      </c>
      <c r="E160" s="937" t="str">
        <f>IF(D160&lt;'PlayerGrades+'!$AA$21,"F-",IF(D160&lt;'PlayerGrades+'!$AA$20,"F",IF(D160&lt;'PlayerGrades+'!$AA$19,"F+",IF(D160&lt;'PlayerGrades+'!$AA$18,"E-",IF(D160&lt;'PlayerGrades+'!$AA$17,"E",IF(D160&lt;'PlayerGrades+'!$AA$16,"E+",IF(D160&lt;'PlayerGrades+'!$AA$15,"D-",IF(D160&lt;'PlayerGrades+'!$AA$14,"D",IF(D160&lt;'PlayerGrades+'!$AA$13,"D+",IF(D160&lt;'PlayerGrades+'!$AA$12,"C-",IF(D160&lt;'PlayerGrades+'!$AA$11,"C",IF(D160&lt;'PlayerGrades+'!$AA$10,"C+",IF(D160&lt;'PlayerGrades+'!$AA$9,"B-",IF(D160&lt;'PlayerGrades+'!$AA$8,"B",IF(D160&lt;'PlayerGrades+'!$AA$7,"B+",IF(D160&lt;'PlayerGrades+'!$AA$6,"A-",IF(D160&lt;'PlayerGrades+'!$AA$5,"A",IF(D160&lt;'PlayerGrades+'!$AA$4,"A+",IF(D160&lt;'PlayerGrades+'!$AA$3,"S-",IF(D160&lt;'PlayerGrades+'!$AA$2,"S","S+"))))))))))))))))))))</f>
        <v>F-</v>
      </c>
      <c r="F160" s="937">
        <f t="shared" si="2"/>
        <v>0.3555555556</v>
      </c>
      <c r="G160" s="937" t="str">
        <f>IF(F160&lt;'PlayerGrades+'!$AB$21,"F-",IF(F160&lt;'PlayerGrades+'!$AB$20,"F",IF(F160&lt;'PlayerGrades+'!$AB$19,"F+",IF(F160&lt;'PlayerGrades+'!$AB$18,"E-",IF(F160&lt;'PlayerGrades+'!$AB$17,"E",IF(F160&lt;'PlayerGrades+'!$AB$16,"E+",IF(F160&lt;'PlayerGrades+'!$AB$15,"D-",IF(F160&lt;'PlayerGrades+'!$AB$14,"D",IF(F160&lt;'PlayerGrades+'!$AB$13,"D+",IF(F160&lt;'PlayerGrades+'!$AB$12,"C-",IF(F160&lt;'PlayerGrades+'!$AB$11,"C",IF(F160&lt;'PlayerGrades+'!$AB$10,"C+",IF(F160&lt;'PlayerGrades+'!$AB$9,"B-",IF(F160&lt;'PlayerGrades+'!$AB$8,"B",IF(F160&lt;'PlayerGrades+'!$AB$7,"B+",IF(F160&lt;'PlayerGrades+'!$AB$6,"A-",IF(F160&lt;'PlayerGrades+'!$AB$5,"A",IF(F160&lt;'PlayerGrades+'!$AB$4,"A+",IF(F160&lt;'PlayerGrades+'!$AB$3,"S-",IF(F160&lt;'PlayerGrades+'!$AB$2,"S","S+"))))))))))))))))))))</f>
        <v>A-</v>
      </c>
      <c r="H160" s="937">
        <f t="shared" si="3"/>
        <v>0.1777777778</v>
      </c>
      <c r="I160" s="937" t="str">
        <f>IF(H160&lt;'PlayerGrades+'!$AC$21,"F-",IF(H160&lt;'PlayerGrades+'!$AC$20,"F",IF(H160&lt;'PlayerGrades+'!$AC$19,"F+",IF(H160&lt;'PlayerGrades+'!$AC$18,"E-",IF(H160&lt;'PlayerGrades+'!$AC$17,"E",IF(H160&lt;'PlayerGrades+'!$AC$16,"E+",IF(H160&lt;'PlayerGrades+'!$AC$15,"D-",IF(H160&lt;'PlayerGrades+'!$AC$14,"D",IF(H160&lt;'PlayerGrades+'!$AC$13,"D+",IF(H160&lt;'PlayerGrades+'!$AC$12,"C-",IF(H160&lt;'PlayerGrades+'!$AC$11,"C",IF(H160&lt;'PlayerGrades+'!$AC$10,"C+",IF(H160&lt;'PlayerGrades+'!$AC$9,"B-",IF(H160&lt;'PlayerGrades+'!$AC$8,"B",IF(H160&lt;'PlayerGrades+'!$AC$7,"B+",IF(H160&lt;'PlayerGrades+'!$AC$6,"A-",IF(H160&lt;'PlayerGrades+'!$AC$5,"A",IF(H160&lt;'PlayerGrades+'!$AC$4,"A+",IF(H160&lt;'PlayerGrades+'!$AC$3,"S-",IF(H160&lt;'PlayerGrades+'!$AC$2,"S","S+"))))))))))))))))))))</f>
        <v>S-</v>
      </c>
      <c r="J160" s="937">
        <f t="shared" si="4"/>
        <v>0.08888888889</v>
      </c>
      <c r="K160" s="937" t="str">
        <f>IF(J160&lt;'PlayerGrades+'!$AD$21,"F-",IF(J160&lt;'PlayerGrades+'!$AD$20,"F",IF(J160&lt;'PlayerGrades+'!$AD$19,"F+",IF(J160&lt;'PlayerGrades+'!$AD$18,"E-",IF(J160&lt;'PlayerGrades+'!$AD$17,"E",IF(J160&lt;'PlayerGrades+'!$AD$16,"E+",IF(J160&lt;'PlayerGrades+'!$AD$15,"D-",IF(J160&lt;'PlayerGrades+'!$AD$14,"D",IF(J160&lt;'PlayerGrades+'!$AD$13,"D+",IF(J160&lt;'PlayerGrades+'!$AD$12,"C-",IF(J160&lt;'PlayerGrades+'!$AD$11,"C",IF(J160&lt;'PlayerGrades+'!$AD$10,"C+",IF(J160&lt;'PlayerGrades+'!$AD$9,"B-",IF(J160&lt;'PlayerGrades+'!$AD$8,"B",IF(J160&lt;'PlayerGrades+'!$AD$7,"B+",IF(J160&lt;'PlayerGrades+'!$AD$6,"A-",IF(J160&lt;'PlayerGrades+'!$AD$5,"A",IF(J160&lt;'PlayerGrades+'!$AD$4,"A+",IF(J160&lt;'PlayerGrades+'!$AD$3,"S-",IF(J160&lt;'PlayerGrades+'!$AD$2,"S","S+"))))))))))))))))))))</f>
        <v>S-</v>
      </c>
      <c r="L160" s="677">
        <f t="shared" si="5"/>
        <v>0.5333333333</v>
      </c>
      <c r="M160" s="938" t="str">
        <f>IF(L160&lt;'PlayerGrades+'!$AE$21,"F-",IF(L160&lt;'PlayerGrades+'!$AE$20,"F",IF(L160&lt;'PlayerGrades+'!$AE$19,"F+",IF(L160&lt;'PlayerGrades+'!$AE$18,"E-",IF(L160&lt;'PlayerGrades+'!$AE$17,"E",IF(L160&lt;'PlayerGrades+'!$AE$16,"E+",IF(L160&lt;'PlayerGrades+'!$AE$15,"D-",IF(L160&lt;'PlayerGrades+'!$AE$14,"D",IF(L160&lt;'PlayerGrades+'!$AE$13,"D+",IF(L160&lt;'PlayerGrades+'!$AE$12,"C-",IF(L160&lt;'PlayerGrades+'!$AE$11,"C",IF(L160&lt;'PlayerGrades+'!$AE$10,"C+",IF(L160&lt;'PlayerGrades+'!$AE$9,"B-",IF(L160&lt;'PlayerGrades+'!$AE$8,"B",IF(L160&lt;'PlayerGrades+'!$AE$7,"B+",IF(L160&lt;'PlayerGrades+'!$AE$6,"A-",IF(L160&lt;'PlayerGrades+'!$AE$5,"A",IF(L160&lt;'PlayerGrades+'!$AE$4,"A+",IF(L160&lt;'PlayerGrades+'!$AE$3,"S-",IF(L160&lt;'PlayerGrades+'!$AE$2,"S","S+"))))))))))))))))))))</f>
        <v>A-</v>
      </c>
      <c r="N160" s="937">
        <f t="shared" si="6"/>
        <v>0.1777777778</v>
      </c>
      <c r="O160" s="937" t="str">
        <f>IF(N160&lt;'PlayerGrades+'!$AF$21,"F-",IF(N160&lt;'PlayerGrades+'!$AF$20,"F",IF(N160&lt;'PlayerGrades+'!$AF$19,"F+",IF(N160&lt;'PlayerGrades+'!$AF$18,"E-",IF(N160&lt;'PlayerGrades+'!$AF$17,"E",IF(N160&lt;'PlayerGrades+'!$AF$16,"E+",IF(N160&lt;'PlayerGrades+'!$AF$15,"D-",IF(N160&lt;'PlayerGrades+'!$AF$14,"D",IF(N160&lt;'PlayerGrades+'!$AF$13,"D+",IF(N160&lt;'PlayerGrades+'!$AF$12,"C-",IF(N160&lt;'PlayerGrades+'!$AF$11,"C",IF(N160&lt;'PlayerGrades+'!$AF$10,"C+",IF(N160&lt;'PlayerGrades+'!$AF$9,"B-",IF(N160&lt;'PlayerGrades+'!$AF$8,"B",IF(N160&lt;'PlayerGrades+'!$AF$7,"B+",IF(N160&lt;'PlayerGrades+'!$AF$6,"A-",IF(N160&lt;'PlayerGrades+'!$AF$5,"A",IF(N160&lt;'PlayerGrades+'!$AF$4,"A+",IF(N160&lt;'PlayerGrades+'!$AF$3,"S-",IF(N160&lt;'PlayerGrades+'!$AF$2,"S","S+"))))))))))))))))))))</f>
        <v>S+</v>
      </c>
      <c r="P160" s="937">
        <f t="shared" si="7"/>
        <v>0.08888888889</v>
      </c>
      <c r="Q160" s="937" t="str">
        <f>IF(P160&lt;'PlayerGrades+'!$AG$21,"F-",IF(P160&lt;'PlayerGrades+'!$AG$20,"F",IF(P160&lt;'PlayerGrades+'!$AG$19,"F+",IF(P160&lt;'PlayerGrades+'!$AG$18,"E-",IF(P160&lt;'PlayerGrades+'!$AG$17,"E",IF(P160&lt;'PlayerGrades+'!$AG$16,"E+",IF(P160&lt;'PlayerGrades+'!$AG$15,"D-",IF(P160&lt;'PlayerGrades+'!$AG$14,"D",IF(P160&lt;'PlayerGrades+'!$AG$13,"D+",IF(P160&lt;'PlayerGrades+'!$AG$12,"C-",IF(P160&lt;'PlayerGrades+'!$AG$11,"C",IF(P160&lt;'PlayerGrades+'!$AG$10,"C+",IF(P160&lt;'PlayerGrades+'!$AG$9,"B-",IF(P160&lt;'PlayerGrades+'!$AG$8,"B",IF(P160&lt;'PlayerGrades+'!$AG$7,"B+",IF(P160&lt;'PlayerGrades+'!$AG$6,"A-",IF(P160&lt;'PlayerGrades+'!$AG$5,"A",IF(P160&lt;'PlayerGrades+'!$AG$4,"A+",IF(P160&lt;'PlayerGrades+'!$AG$3,"S-",IF(P160&lt;'PlayerGrades+'!$AG$2,"S","S+"))))))))))))))))))))</f>
        <v>S+</v>
      </c>
      <c r="R160" s="937">
        <f t="shared" si="8"/>
        <v>0.8888888889</v>
      </c>
      <c r="S160" s="937" t="str">
        <f>IF(R160&lt;'PlayerGrades+'!$AH$21,"F-",IF(R160&lt;'PlayerGrades+'!$AH$20,"F",IF(R160&lt;'PlayerGrades+'!$AH$19,"F+",IF(R160&lt;'PlayerGrades+'!$AH$18,"E-",IF(R160&lt;'PlayerGrades+'!$AH$17,"E",IF(R160&lt;'PlayerGrades+'!$AH$16,"E+",IF(R160&lt;'PlayerGrades+'!$AH$15,"D-",IF(R160&lt;'PlayerGrades+'!$AH$14,"D",IF(R160&lt;'PlayerGrades+'!$AH$13,"D+",IF(R160&lt;'PlayerGrades+'!$AH$12,"C-",IF(R160&lt;'PlayerGrades+'!$AH$11,"C",IF(R160&lt;'PlayerGrades+'!$AH$10,"C+",IF(R160&lt;'PlayerGrades+'!$AH$9,"B-",IF(R160&lt;'PlayerGrades+'!$AH$8,"B",IF(R160&lt;'PlayerGrades+'!$AH$7,"B+",IF(R160&lt;'PlayerGrades+'!$AH$6,"A-",IF(R160&lt;'PlayerGrades+'!$AH$5,"A",IF(R160&lt;'PlayerGrades+'!$AH$4,"A+",IF(R160&lt;'PlayerGrades+'!$AH$3,"S-",IF(R160&lt;'PlayerGrades+'!$AH$2,"S","S+"))))))))))))))))))))</f>
        <v>S+</v>
      </c>
      <c r="T160" s="937">
        <f t="shared" si="9"/>
        <v>0.4444444444</v>
      </c>
      <c r="U160" s="937" t="str">
        <f>IF(T160&lt;'PlayerGrades+'!$AI$21,"F-",IF(T160&lt;'PlayerGrades+'!$AI$20,"F",IF(T160&lt;'PlayerGrades+'!$AI$19,"F+",IF(T160&lt;'PlayerGrades+'!$AI$18,"E-",IF(T160&lt;'PlayerGrades+'!$AI$17,"E",IF(T160&lt;'PlayerGrades+'!$AI$16,"E+",IF(T160&lt;'PlayerGrades+'!$AI$15,"D-",IF(T160&lt;'PlayerGrades+'!$AI$14,"D",IF(T160&lt;'PlayerGrades+'!$AI$13,"D+",IF(T160&lt;'PlayerGrades+'!$AI$12,"C-",IF(T160&lt;'PlayerGrades+'!$AI$11,"C",IF(T160&lt;'PlayerGrades+'!$AI$10,"C+",IF(T160&lt;'PlayerGrades+'!$AI$9,"B-",IF(T160&lt;'PlayerGrades+'!$AI$8,"B",IF(T160&lt;'PlayerGrades+'!$AI$7,"B+",IF(T160&lt;'PlayerGrades+'!$AI$6,"A-",IF(T160&lt;'PlayerGrades+'!$AI$5,"A",IF(T160&lt;'PlayerGrades+'!$AI$4,"A+",IF(T160&lt;'PlayerGrades+'!$AI$3,"S-",IF(T160&lt;'PlayerGrades+'!$AI$2,"S","S+"))))))))))))))))))))</f>
        <v>F-</v>
      </c>
      <c r="V160" s="1">
        <v>0.0</v>
      </c>
      <c r="W160" s="1">
        <v>0.0</v>
      </c>
      <c r="X160" s="941">
        <v>0.0</v>
      </c>
      <c r="Y160" s="941">
        <v>0.0</v>
      </c>
      <c r="Z160" s="941">
        <v>0.0</v>
      </c>
      <c r="AA160" s="952">
        <v>46.0</v>
      </c>
      <c r="AB160" s="952">
        <v>42.0</v>
      </c>
      <c r="AC160" s="952">
        <v>4.0</v>
      </c>
      <c r="AD160" s="952">
        <v>4.0</v>
      </c>
      <c r="AE160" s="952">
        <v>5.0</v>
      </c>
      <c r="AF160" s="952">
        <v>1.0</v>
      </c>
      <c r="AG160" s="952">
        <v>526.0</v>
      </c>
      <c r="AH160" s="952">
        <v>675.0</v>
      </c>
      <c r="AI160" s="952">
        <v>12.0</v>
      </c>
      <c r="AJ160" s="952">
        <v>2.0</v>
      </c>
      <c r="AK160" s="952">
        <v>0.0</v>
      </c>
      <c r="AL160" s="952">
        <v>1.0</v>
      </c>
      <c r="AM160" s="952">
        <v>0.0</v>
      </c>
      <c r="AN160" s="952">
        <v>0.0</v>
      </c>
      <c r="AO160" s="952">
        <v>0.0</v>
      </c>
      <c r="AP160" s="952">
        <v>1.0</v>
      </c>
      <c r="AQ160" s="952">
        <v>0.0</v>
      </c>
      <c r="AR160" s="952">
        <v>6.0</v>
      </c>
      <c r="AS160" s="952">
        <v>2.0</v>
      </c>
      <c r="AT160" s="952">
        <v>1.0</v>
      </c>
      <c r="AU160" s="952">
        <v>1.0</v>
      </c>
      <c r="AV160" s="952">
        <v>0.0</v>
      </c>
      <c r="AW160" s="952">
        <v>0.0</v>
      </c>
      <c r="AX160" s="952">
        <v>0.0</v>
      </c>
      <c r="AY160" s="952">
        <v>0.0</v>
      </c>
      <c r="AZ160" s="952">
        <v>0.0</v>
      </c>
      <c r="BA160" s="952">
        <v>0.0</v>
      </c>
      <c r="BB160" s="952">
        <v>2.0</v>
      </c>
      <c r="BC160" s="952">
        <v>0.0</v>
      </c>
      <c r="BD160" s="952">
        <v>6.0</v>
      </c>
      <c r="BE160" s="952">
        <v>5.0</v>
      </c>
      <c r="BF160" s="952">
        <v>0.0</v>
      </c>
      <c r="BG160" s="954">
        <v>1.0</v>
      </c>
    </row>
    <row r="161">
      <c r="A161" s="966" t="s">
        <v>142</v>
      </c>
      <c r="B161" s="16" t="str">
        <f>IF(C161&lt;'PlayerGrades+'!$Y$44,"F-",IF(C161&lt;'PlayerGrades+'!$Y$43,"F",IF(C161&lt;'PlayerGrades+'!$Y$42,"F+",IF(C161&lt;'PlayerGrades+'!$Y$41,"E-",IF(C161&lt;'PlayerGrades+'!$Y$40,"E",IF(C161&lt;'PlayerGrades+'!$Y$39,"E+",IF(C161&lt;'PlayerGrades+'!$Y$38,"D-",IF(C161&lt;'PlayerGrades+'!$Y$37,"D",IF(C161&lt;'PlayerGrades+'!$Y$36,"D+",IF(C161&lt;'PlayerGrades+'!$Y$35,"C-",IF(C161&lt;'PlayerGrades+'!$Y$34,"C",IF(C161&lt;'PlayerGrades+'!$Y$33,"C+",IF(C161&lt;'PlayerGrades+'!$Y$32,"B-",IF(C161&lt;'PlayerGrades+'!$Y$31,"B",IF(C161&lt;'PlayerGrades+'!$Y$30,"B+",IF(C161&lt;'PlayerGrades+'!$Y$29,"A-",IF(C161&lt;'PlayerGrades+'!$Y$28,"A",IF(C161&lt;'PlayerGrades+'!$Y$27,"A+",IF(C161&lt;'PlayerGrades+'!$Y$26,"S-",IF(C161&lt;'PlayerGrades+'!$Y$25,"S","S+"))))))))))))))))))))</f>
        <v>E+</v>
      </c>
      <c r="C161" s="936">
        <f>('PlayerGrades+'!$Y$47*(VLOOKUP(E161, 'PlayerGrades+'!$X$3:$Y$23, 2, FALSE)))+('PlayerGrades+'!$Y$48*(VLOOKUP(G161, 'PlayerGrades+'!$X$3:$Y$23, 2, FALSE)))+('PlayerGrades+'!$Y$49*(VLOOKUP(I161, 'PlayerGrades+'!$X$3:$Y$23, 2, FALSE)))+('PlayerGrades+'!$Y$50*(VLOOKUP(K161, 'PlayerGrades+'!$X$3:$Y$23, 2, FALSE)))+('PlayerGrades+'!$Y$51*(VLOOKUP(M161, 'PlayerGrades+'!$X$3:$Y$23, 2, FALSE)))+('PlayerGrades+'!$Y$52*(VLOOKUP(O161, 'PlayerGrades+'!$X$3:$Y$23, 2, FALSE)))+('PlayerGrades+'!$Y$53*(VLOOKUP(Q161, 'PlayerGrades+'!$X$3:$Y$23, 2, FALSE)))+('PlayerGrades+'!$Y$54*(VLOOKUP(S161, 'PlayerGrades+'!$X$3:$Y$23, 2, FALSE)))+('PlayerGrades+'!$Y$55*(VLOOKUP(U161, 'PlayerGrades+'!$X$3:$Y$23, 2, FALSE)))</f>
        <v>13.5</v>
      </c>
      <c r="D161" s="937">
        <f t="shared" si="1"/>
        <v>0</v>
      </c>
      <c r="E161" s="937" t="str">
        <f>IF(D161&lt;'PlayerGrades+'!$AA$21,"F-",IF(D161&lt;'PlayerGrades+'!$AA$20,"F",IF(D161&lt;'PlayerGrades+'!$AA$19,"F+",IF(D161&lt;'PlayerGrades+'!$AA$18,"E-",IF(D161&lt;'PlayerGrades+'!$AA$17,"E",IF(D161&lt;'PlayerGrades+'!$AA$16,"E+",IF(D161&lt;'PlayerGrades+'!$AA$15,"D-",IF(D161&lt;'PlayerGrades+'!$AA$14,"D",IF(D161&lt;'PlayerGrades+'!$AA$13,"D+",IF(D161&lt;'PlayerGrades+'!$AA$12,"C-",IF(D161&lt;'PlayerGrades+'!$AA$11,"C",IF(D161&lt;'PlayerGrades+'!$AA$10,"C+",IF(D161&lt;'PlayerGrades+'!$AA$9,"B-",IF(D161&lt;'PlayerGrades+'!$AA$8,"B",IF(D161&lt;'PlayerGrades+'!$AA$7,"B+",IF(D161&lt;'PlayerGrades+'!$AA$6,"A-",IF(D161&lt;'PlayerGrades+'!$AA$5,"A",IF(D161&lt;'PlayerGrades+'!$AA$4,"A+",IF(D161&lt;'PlayerGrades+'!$AA$3,"S-",IF(D161&lt;'PlayerGrades+'!$AA$2,"S","S+"))))))))))))))))))))</f>
        <v>F-</v>
      </c>
      <c r="F161" s="937">
        <f t="shared" si="2"/>
        <v>-0.7111111111</v>
      </c>
      <c r="G161" s="937" t="str">
        <f>IF(F161&lt;'PlayerGrades+'!$AB$21,"F-",IF(F161&lt;'PlayerGrades+'!$AB$20,"F",IF(F161&lt;'PlayerGrades+'!$AB$19,"F+",IF(F161&lt;'PlayerGrades+'!$AB$18,"E-",IF(F161&lt;'PlayerGrades+'!$AB$17,"E",IF(F161&lt;'PlayerGrades+'!$AB$16,"E+",IF(F161&lt;'PlayerGrades+'!$AB$15,"D-",IF(F161&lt;'PlayerGrades+'!$AB$14,"D",IF(F161&lt;'PlayerGrades+'!$AB$13,"D+",IF(F161&lt;'PlayerGrades+'!$AB$12,"C-",IF(F161&lt;'PlayerGrades+'!$AB$11,"C",IF(F161&lt;'PlayerGrades+'!$AB$10,"C+",IF(F161&lt;'PlayerGrades+'!$AB$9,"B-",IF(F161&lt;'PlayerGrades+'!$AB$8,"B",IF(F161&lt;'PlayerGrades+'!$AB$7,"B+",IF(F161&lt;'PlayerGrades+'!$AB$6,"A-",IF(F161&lt;'PlayerGrades+'!$AB$5,"A",IF(F161&lt;'PlayerGrades+'!$AB$4,"A+",IF(F161&lt;'PlayerGrades+'!$AB$3,"S-",IF(F161&lt;'PlayerGrades+'!$AB$2,"S","S+"))))))))))))))))))))</f>
        <v>E+</v>
      </c>
      <c r="H161" s="937">
        <f t="shared" si="3"/>
        <v>0</v>
      </c>
      <c r="I161" s="937" t="str">
        <f>IF(H161&lt;'PlayerGrades+'!$AC$21,"F-",IF(H161&lt;'PlayerGrades+'!$AC$20,"F",IF(H161&lt;'PlayerGrades+'!$AC$19,"F+",IF(H161&lt;'PlayerGrades+'!$AC$18,"E-",IF(H161&lt;'PlayerGrades+'!$AC$17,"E",IF(H161&lt;'PlayerGrades+'!$AC$16,"E+",IF(H161&lt;'PlayerGrades+'!$AC$15,"D-",IF(H161&lt;'PlayerGrades+'!$AC$14,"D",IF(H161&lt;'PlayerGrades+'!$AC$13,"D+",IF(H161&lt;'PlayerGrades+'!$AC$12,"C-",IF(H161&lt;'PlayerGrades+'!$AC$11,"C",IF(H161&lt;'PlayerGrades+'!$AC$10,"C+",IF(H161&lt;'PlayerGrades+'!$AC$9,"B-",IF(H161&lt;'PlayerGrades+'!$AC$8,"B",IF(H161&lt;'PlayerGrades+'!$AC$7,"B+",IF(H161&lt;'PlayerGrades+'!$AC$6,"A-",IF(H161&lt;'PlayerGrades+'!$AC$5,"A",IF(H161&lt;'PlayerGrades+'!$AC$4,"A+",IF(H161&lt;'PlayerGrades+'!$AC$3,"S-",IF(H161&lt;'PlayerGrades+'!$AC$2,"S","S+"))))))))))))))))))))</f>
        <v>F-</v>
      </c>
      <c r="J161" s="937">
        <f t="shared" si="4"/>
        <v>0</v>
      </c>
      <c r="K161" s="937" t="str">
        <f>IF(J161&lt;'PlayerGrades+'!$AD$21,"F-",IF(J161&lt;'PlayerGrades+'!$AD$20,"F",IF(J161&lt;'PlayerGrades+'!$AD$19,"F+",IF(J161&lt;'PlayerGrades+'!$AD$18,"E-",IF(J161&lt;'PlayerGrades+'!$AD$17,"E",IF(J161&lt;'PlayerGrades+'!$AD$16,"E+",IF(J161&lt;'PlayerGrades+'!$AD$15,"D-",IF(J161&lt;'PlayerGrades+'!$AD$14,"D",IF(J161&lt;'PlayerGrades+'!$AD$13,"D+",IF(J161&lt;'PlayerGrades+'!$AD$12,"C-",IF(J161&lt;'PlayerGrades+'!$AD$11,"C",IF(J161&lt;'PlayerGrades+'!$AD$10,"C+",IF(J161&lt;'PlayerGrades+'!$AD$9,"B-",IF(J161&lt;'PlayerGrades+'!$AD$8,"B",IF(J161&lt;'PlayerGrades+'!$AD$7,"B+",IF(J161&lt;'PlayerGrades+'!$AD$6,"A-",IF(J161&lt;'PlayerGrades+'!$AD$5,"A",IF(J161&lt;'PlayerGrades+'!$AD$4,"A+",IF(J161&lt;'PlayerGrades+'!$AD$3,"S-",IF(J161&lt;'PlayerGrades+'!$AD$2,"S","S+"))))))))))))))))))))</f>
        <v>F-</v>
      </c>
      <c r="L161" s="677">
        <f t="shared" si="5"/>
        <v>0.5333333333</v>
      </c>
      <c r="M161" s="938" t="str">
        <f>IF(L161&lt;'PlayerGrades+'!$AE$21,"F-",IF(L161&lt;'PlayerGrades+'!$AE$20,"F",IF(L161&lt;'PlayerGrades+'!$AE$19,"F+",IF(L161&lt;'PlayerGrades+'!$AE$18,"E-",IF(L161&lt;'PlayerGrades+'!$AE$17,"E",IF(L161&lt;'PlayerGrades+'!$AE$16,"E+",IF(L161&lt;'PlayerGrades+'!$AE$15,"D-",IF(L161&lt;'PlayerGrades+'!$AE$14,"D",IF(L161&lt;'PlayerGrades+'!$AE$13,"D+",IF(L161&lt;'PlayerGrades+'!$AE$12,"C-",IF(L161&lt;'PlayerGrades+'!$AE$11,"C",IF(L161&lt;'PlayerGrades+'!$AE$10,"C+",IF(L161&lt;'PlayerGrades+'!$AE$9,"B-",IF(L161&lt;'PlayerGrades+'!$AE$8,"B",IF(L161&lt;'PlayerGrades+'!$AE$7,"B+",IF(L161&lt;'PlayerGrades+'!$AE$6,"A-",IF(L161&lt;'PlayerGrades+'!$AE$5,"A",IF(L161&lt;'PlayerGrades+'!$AE$4,"A+",IF(L161&lt;'PlayerGrades+'!$AE$3,"S-",IF(L161&lt;'PlayerGrades+'!$AE$2,"S","S+"))))))))))))))))))))</f>
        <v>A-</v>
      </c>
      <c r="N161" s="937">
        <f t="shared" si="6"/>
        <v>0.08888888889</v>
      </c>
      <c r="O161" s="937" t="str">
        <f>IF(N161&lt;'PlayerGrades+'!$AF$21,"F-",IF(N161&lt;'PlayerGrades+'!$AF$20,"F",IF(N161&lt;'PlayerGrades+'!$AF$19,"F+",IF(N161&lt;'PlayerGrades+'!$AF$18,"E-",IF(N161&lt;'PlayerGrades+'!$AF$17,"E",IF(N161&lt;'PlayerGrades+'!$AF$16,"E+",IF(N161&lt;'PlayerGrades+'!$AF$15,"D-",IF(N161&lt;'PlayerGrades+'!$AF$14,"D",IF(N161&lt;'PlayerGrades+'!$AF$13,"D+",IF(N161&lt;'PlayerGrades+'!$AF$12,"C-",IF(N161&lt;'PlayerGrades+'!$AF$11,"C",IF(N161&lt;'PlayerGrades+'!$AF$10,"C+",IF(N161&lt;'PlayerGrades+'!$AF$9,"B-",IF(N161&lt;'PlayerGrades+'!$AF$8,"B",IF(N161&lt;'PlayerGrades+'!$AF$7,"B+",IF(N161&lt;'PlayerGrades+'!$AF$6,"A-",IF(N161&lt;'PlayerGrades+'!$AF$5,"A",IF(N161&lt;'PlayerGrades+'!$AF$4,"A+",IF(N161&lt;'PlayerGrades+'!$AF$3,"S-",IF(N161&lt;'PlayerGrades+'!$AF$2,"S","S+"))))))))))))))))))))</f>
        <v>B+</v>
      </c>
      <c r="P161" s="937">
        <f t="shared" si="7"/>
        <v>0</v>
      </c>
      <c r="Q161" s="937" t="str">
        <f>IF(P161&lt;'PlayerGrades+'!$AG$21,"F-",IF(P161&lt;'PlayerGrades+'!$AG$20,"F",IF(P161&lt;'PlayerGrades+'!$AG$19,"F+",IF(P161&lt;'PlayerGrades+'!$AG$18,"E-",IF(P161&lt;'PlayerGrades+'!$AG$17,"E",IF(P161&lt;'PlayerGrades+'!$AG$16,"E+",IF(P161&lt;'PlayerGrades+'!$AG$15,"D-",IF(P161&lt;'PlayerGrades+'!$AG$14,"D",IF(P161&lt;'PlayerGrades+'!$AG$13,"D+",IF(P161&lt;'PlayerGrades+'!$AG$12,"C-",IF(P161&lt;'PlayerGrades+'!$AG$11,"C",IF(P161&lt;'PlayerGrades+'!$AG$10,"C+",IF(P161&lt;'PlayerGrades+'!$AG$9,"B-",IF(P161&lt;'PlayerGrades+'!$AG$8,"B",IF(P161&lt;'PlayerGrades+'!$AG$7,"B+",IF(P161&lt;'PlayerGrades+'!$AG$6,"A-",IF(P161&lt;'PlayerGrades+'!$AG$5,"A",IF(P161&lt;'PlayerGrades+'!$AG$4,"A+",IF(P161&lt;'PlayerGrades+'!$AG$3,"S-",IF(P161&lt;'PlayerGrades+'!$AG$2,"S","S+"))))))))))))))))))))</f>
        <v>F</v>
      </c>
      <c r="R161" s="937">
        <f t="shared" si="8"/>
        <v>0.4444444444</v>
      </c>
      <c r="S161" s="937" t="str">
        <f>IF(R161&lt;'PlayerGrades+'!$AH$21,"F-",IF(R161&lt;'PlayerGrades+'!$AH$20,"F",IF(R161&lt;'PlayerGrades+'!$AH$19,"F+",IF(R161&lt;'PlayerGrades+'!$AH$18,"E-",IF(R161&lt;'PlayerGrades+'!$AH$17,"E",IF(R161&lt;'PlayerGrades+'!$AH$16,"E+",IF(R161&lt;'PlayerGrades+'!$AH$15,"D-",IF(R161&lt;'PlayerGrades+'!$AH$14,"D",IF(R161&lt;'PlayerGrades+'!$AH$13,"D+",IF(R161&lt;'PlayerGrades+'!$AH$12,"C-",IF(R161&lt;'PlayerGrades+'!$AH$11,"C",IF(R161&lt;'PlayerGrades+'!$AH$10,"C+",IF(R161&lt;'PlayerGrades+'!$AH$9,"B-",IF(R161&lt;'PlayerGrades+'!$AH$8,"B",IF(R161&lt;'PlayerGrades+'!$AH$7,"B+",IF(R161&lt;'PlayerGrades+'!$AH$6,"A-",IF(R161&lt;'PlayerGrades+'!$AH$5,"A",IF(R161&lt;'PlayerGrades+'!$AH$4,"A+",IF(R161&lt;'PlayerGrades+'!$AH$3,"S-",IF(R161&lt;'PlayerGrades+'!$AH$2,"S","S+"))))))))))))))))))))</f>
        <v>E-</v>
      </c>
      <c r="T161" s="937">
        <f t="shared" si="9"/>
        <v>1.177777778</v>
      </c>
      <c r="U161" s="937" t="str">
        <f>IF(T161&lt;'PlayerGrades+'!$AI$21,"F-",IF(T161&lt;'PlayerGrades+'!$AI$20,"F",IF(T161&lt;'PlayerGrades+'!$AI$19,"F+",IF(T161&lt;'PlayerGrades+'!$AI$18,"E-",IF(T161&lt;'PlayerGrades+'!$AI$17,"E",IF(T161&lt;'PlayerGrades+'!$AI$16,"E+",IF(T161&lt;'PlayerGrades+'!$AI$15,"D-",IF(T161&lt;'PlayerGrades+'!$AI$14,"D",IF(T161&lt;'PlayerGrades+'!$AI$13,"D+",IF(T161&lt;'PlayerGrades+'!$AI$12,"C-",IF(T161&lt;'PlayerGrades+'!$AI$11,"C",IF(T161&lt;'PlayerGrades+'!$AI$10,"C+",IF(T161&lt;'PlayerGrades+'!$AI$9,"B-",IF(T161&lt;'PlayerGrades+'!$AI$8,"B",IF(T161&lt;'PlayerGrades+'!$AI$7,"B+",IF(T161&lt;'PlayerGrades+'!$AI$6,"A-",IF(T161&lt;'PlayerGrades+'!$AI$5,"A",IF(T161&lt;'PlayerGrades+'!$AI$4,"A+",IF(T161&lt;'PlayerGrades+'!$AI$3,"S-",IF(T161&lt;'PlayerGrades+'!$AI$2,"S","S+"))))))))))))))))))))</f>
        <v>D+</v>
      </c>
      <c r="V161" s="882">
        <v>0.0</v>
      </c>
      <c r="W161" s="882">
        <v>0.0</v>
      </c>
      <c r="X161" s="944">
        <v>0.0</v>
      </c>
      <c r="Y161" s="944">
        <v>0.0</v>
      </c>
      <c r="Z161" s="944">
        <v>0.0</v>
      </c>
      <c r="AA161" s="956">
        <v>39.0</v>
      </c>
      <c r="AB161" s="956">
        <v>47.0</v>
      </c>
      <c r="AC161" s="956">
        <v>-8.0</v>
      </c>
      <c r="AD161" s="956">
        <v>0.0</v>
      </c>
      <c r="AE161" s="956">
        <v>4.0</v>
      </c>
      <c r="AF161" s="956">
        <v>0.0</v>
      </c>
      <c r="AG161" s="956">
        <v>505.0</v>
      </c>
      <c r="AH161" s="956">
        <v>675.0</v>
      </c>
      <c r="AI161" s="956">
        <v>10.0</v>
      </c>
      <c r="AJ161" s="956">
        <v>27.0</v>
      </c>
      <c r="AK161" s="956">
        <v>0.0</v>
      </c>
      <c r="AL161" s="956">
        <v>0.0</v>
      </c>
      <c r="AM161" s="956">
        <v>0.0</v>
      </c>
      <c r="AN161" s="956">
        <v>0.0</v>
      </c>
      <c r="AO161" s="956">
        <v>0.0</v>
      </c>
      <c r="AP161" s="956">
        <v>0.0</v>
      </c>
      <c r="AQ161" s="956">
        <v>0.0</v>
      </c>
      <c r="AR161" s="956">
        <v>6.0</v>
      </c>
      <c r="AS161" s="956">
        <v>1.0</v>
      </c>
      <c r="AT161" s="956">
        <v>0.0</v>
      </c>
      <c r="AU161" s="956">
        <v>0.0</v>
      </c>
      <c r="AV161" s="956">
        <v>0.0</v>
      </c>
      <c r="AW161" s="956">
        <v>0.0</v>
      </c>
      <c r="AX161" s="956">
        <v>0.0</v>
      </c>
      <c r="AY161" s="956">
        <v>0.0</v>
      </c>
      <c r="AZ161" s="956">
        <v>0.0</v>
      </c>
      <c r="BA161" s="956">
        <v>0.0</v>
      </c>
      <c r="BB161" s="956">
        <v>0.0</v>
      </c>
      <c r="BC161" s="956">
        <v>0.0</v>
      </c>
      <c r="BD161" s="956">
        <v>5.0</v>
      </c>
      <c r="BE161" s="956">
        <v>2.0</v>
      </c>
      <c r="BF161" s="956">
        <v>1.0</v>
      </c>
      <c r="BG161" s="957">
        <v>1.0</v>
      </c>
    </row>
    <row r="162">
      <c r="A162" s="946" t="s">
        <v>118</v>
      </c>
      <c r="B162" s="16" t="str">
        <f>IF(C162&lt;'PlayerGrades+'!$Y$44,"F-",IF(C162&lt;'PlayerGrades+'!$Y$43,"F",IF(C162&lt;'PlayerGrades+'!$Y$42,"F+",IF(C162&lt;'PlayerGrades+'!$Y$41,"E-",IF(C162&lt;'PlayerGrades+'!$Y$40,"E",IF(C162&lt;'PlayerGrades+'!$Y$39,"E+",IF(C162&lt;'PlayerGrades+'!$Y$38,"D-",IF(C162&lt;'PlayerGrades+'!$Y$37,"D",IF(C162&lt;'PlayerGrades+'!$Y$36,"D+",IF(C162&lt;'PlayerGrades+'!$Y$35,"C-",IF(C162&lt;'PlayerGrades+'!$Y$34,"C",IF(C162&lt;'PlayerGrades+'!$Y$33,"C+",IF(C162&lt;'PlayerGrades+'!$Y$32,"B-",IF(C162&lt;'PlayerGrades+'!$Y$31,"B",IF(C162&lt;'PlayerGrades+'!$Y$30,"B+",IF(C162&lt;'PlayerGrades+'!$Y$29,"A-",IF(C162&lt;'PlayerGrades+'!$Y$28,"A",IF(C162&lt;'PlayerGrades+'!$Y$27,"A+",IF(C162&lt;'PlayerGrades+'!$Y$26,"S-",IF(C162&lt;'PlayerGrades+'!$Y$25,"S","S+"))))))))))))))))))))</f>
        <v>C+</v>
      </c>
      <c r="C162" s="936">
        <f>('PlayerGrades+'!$Y$47*(VLOOKUP(E162, 'PlayerGrades+'!$X$3:$Y$23, 2, FALSE)))+('PlayerGrades+'!$Y$48*(VLOOKUP(G162, 'PlayerGrades+'!$X$3:$Y$23, 2, FALSE)))+('PlayerGrades+'!$Y$49*(VLOOKUP(I162, 'PlayerGrades+'!$X$3:$Y$23, 2, FALSE)))+('PlayerGrades+'!$Y$50*(VLOOKUP(K162, 'PlayerGrades+'!$X$3:$Y$23, 2, FALSE)))+('PlayerGrades+'!$Y$51*(VLOOKUP(M162, 'PlayerGrades+'!$X$3:$Y$23, 2, FALSE)))+('PlayerGrades+'!$Y$52*(VLOOKUP(O162, 'PlayerGrades+'!$X$3:$Y$23, 2, FALSE)))+('PlayerGrades+'!$Y$53*(VLOOKUP(Q162, 'PlayerGrades+'!$X$3:$Y$23, 2, FALSE)))+('PlayerGrades+'!$Y$54*(VLOOKUP(S162, 'PlayerGrades+'!$X$3:$Y$23, 2, FALSE)))+('PlayerGrades+'!$Y$55*(VLOOKUP(U162, 'PlayerGrades+'!$X$3:$Y$23, 2, FALSE)))</f>
        <v>21.55</v>
      </c>
      <c r="D162" s="937">
        <f t="shared" si="1"/>
        <v>0.7089715536</v>
      </c>
      <c r="E162" s="937" t="str">
        <f>IF(D162&lt;'PlayerGrades+'!$AA$21,"F-",IF(D162&lt;'PlayerGrades+'!$AA$20,"F",IF(D162&lt;'PlayerGrades+'!$AA$19,"F+",IF(D162&lt;'PlayerGrades+'!$AA$18,"E-",IF(D162&lt;'PlayerGrades+'!$AA$17,"E",IF(D162&lt;'PlayerGrades+'!$AA$16,"E+",IF(D162&lt;'PlayerGrades+'!$AA$15,"D-",IF(D162&lt;'PlayerGrades+'!$AA$14,"D",IF(D162&lt;'PlayerGrades+'!$AA$13,"D+",IF(D162&lt;'PlayerGrades+'!$AA$12,"C-",IF(D162&lt;'PlayerGrades+'!$AA$11,"C",IF(D162&lt;'PlayerGrades+'!$AA$10,"C+",IF(D162&lt;'PlayerGrades+'!$AA$9,"B-",IF(D162&lt;'PlayerGrades+'!$AA$8,"B",IF(D162&lt;'PlayerGrades+'!$AA$7,"B+",IF(D162&lt;'PlayerGrades+'!$AA$6,"A-",IF(D162&lt;'PlayerGrades+'!$AA$5,"A",IF(D162&lt;'PlayerGrades+'!$AA$4,"A+",IF(D162&lt;'PlayerGrades+'!$AA$3,"S-",IF(D162&lt;'PlayerGrades+'!$AA$2,"S","S+"))))))))))))))))))))</f>
        <v>S</v>
      </c>
      <c r="F162" s="937">
        <f t="shared" si="2"/>
        <v>0.3938730853</v>
      </c>
      <c r="G162" s="937" t="str">
        <f>IF(F162&lt;'PlayerGrades+'!$AB$21,"F-",IF(F162&lt;'PlayerGrades+'!$AB$20,"F",IF(F162&lt;'PlayerGrades+'!$AB$19,"F+",IF(F162&lt;'PlayerGrades+'!$AB$18,"E-",IF(F162&lt;'PlayerGrades+'!$AB$17,"E",IF(F162&lt;'PlayerGrades+'!$AB$16,"E+",IF(F162&lt;'PlayerGrades+'!$AB$15,"D-",IF(F162&lt;'PlayerGrades+'!$AB$14,"D",IF(F162&lt;'PlayerGrades+'!$AB$13,"D+",IF(F162&lt;'PlayerGrades+'!$AB$12,"C-",IF(F162&lt;'PlayerGrades+'!$AB$11,"C",IF(F162&lt;'PlayerGrades+'!$AB$10,"C+",IF(F162&lt;'PlayerGrades+'!$AB$9,"B-",IF(F162&lt;'PlayerGrades+'!$AB$8,"B",IF(F162&lt;'PlayerGrades+'!$AB$7,"B+",IF(F162&lt;'PlayerGrades+'!$AB$6,"A-",IF(F162&lt;'PlayerGrades+'!$AB$5,"A",IF(F162&lt;'PlayerGrades+'!$AB$4,"A+",IF(F162&lt;'PlayerGrades+'!$AB$3,"S-",IF(F162&lt;'PlayerGrades+'!$AB$2,"S","S+"))))))))))))))))))))</f>
        <v>A</v>
      </c>
      <c r="H162" s="937">
        <f t="shared" si="3"/>
        <v>0.02625820569</v>
      </c>
      <c r="I162" s="937" t="str">
        <f>IF(H162&lt;'PlayerGrades+'!$AC$21,"F-",IF(H162&lt;'PlayerGrades+'!$AC$20,"F",IF(H162&lt;'PlayerGrades+'!$AC$19,"F+",IF(H162&lt;'PlayerGrades+'!$AC$18,"E-",IF(H162&lt;'PlayerGrades+'!$AC$17,"E",IF(H162&lt;'PlayerGrades+'!$AC$16,"E+",IF(H162&lt;'PlayerGrades+'!$AC$15,"D-",IF(H162&lt;'PlayerGrades+'!$AC$14,"D",IF(H162&lt;'PlayerGrades+'!$AC$13,"D+",IF(H162&lt;'PlayerGrades+'!$AC$12,"C-",IF(H162&lt;'PlayerGrades+'!$AC$11,"C",IF(H162&lt;'PlayerGrades+'!$AC$10,"C+",IF(H162&lt;'PlayerGrades+'!$AC$9,"B-",IF(H162&lt;'PlayerGrades+'!$AC$8,"B",IF(H162&lt;'PlayerGrades+'!$AC$7,"B+",IF(H162&lt;'PlayerGrades+'!$AC$6,"A-",IF(H162&lt;'PlayerGrades+'!$AC$5,"A",IF(H162&lt;'PlayerGrades+'!$AC$4,"A+",IF(H162&lt;'PlayerGrades+'!$AC$3,"S-",IF(H162&lt;'PlayerGrades+'!$AC$2,"S","S+"))))))))))))))))))))</f>
        <v>F-</v>
      </c>
      <c r="J162" s="937">
        <f t="shared" si="4"/>
        <v>0.07877461707</v>
      </c>
      <c r="K162" s="937" t="str">
        <f>IF(J162&lt;'PlayerGrades+'!$AD$21,"F-",IF(J162&lt;'PlayerGrades+'!$AD$20,"F",IF(J162&lt;'PlayerGrades+'!$AD$19,"F+",IF(J162&lt;'PlayerGrades+'!$AD$18,"E-",IF(J162&lt;'PlayerGrades+'!$AD$17,"E",IF(J162&lt;'PlayerGrades+'!$AD$16,"E+",IF(J162&lt;'PlayerGrades+'!$AD$15,"D-",IF(J162&lt;'PlayerGrades+'!$AD$14,"D",IF(J162&lt;'PlayerGrades+'!$AD$13,"D+",IF(J162&lt;'PlayerGrades+'!$AD$12,"C-",IF(J162&lt;'PlayerGrades+'!$AD$11,"C",IF(J162&lt;'PlayerGrades+'!$AD$10,"C+",IF(J162&lt;'PlayerGrades+'!$AD$9,"B-",IF(J162&lt;'PlayerGrades+'!$AD$8,"B",IF(J162&lt;'PlayerGrades+'!$AD$7,"B+",IF(J162&lt;'PlayerGrades+'!$AD$6,"A-",IF(J162&lt;'PlayerGrades+'!$AD$5,"A",IF(J162&lt;'PlayerGrades+'!$AD$4,"A+",IF(J162&lt;'PlayerGrades+'!$AD$3,"S-",IF(J162&lt;'PlayerGrades+'!$AD$2,"S","S+"))))))))))))))))))))</f>
        <v>A+</v>
      </c>
      <c r="L162" s="677">
        <f t="shared" si="5"/>
        <v>0.3676148796</v>
      </c>
      <c r="M162" s="938" t="str">
        <f>IF(L162&lt;'PlayerGrades+'!$AE$21,"F-",IF(L162&lt;'PlayerGrades+'!$AE$20,"F",IF(L162&lt;'PlayerGrades+'!$AE$19,"F+",IF(L162&lt;'PlayerGrades+'!$AE$18,"E-",IF(L162&lt;'PlayerGrades+'!$AE$17,"E",IF(L162&lt;'PlayerGrades+'!$AE$16,"E+",IF(L162&lt;'PlayerGrades+'!$AE$15,"D-",IF(L162&lt;'PlayerGrades+'!$AE$14,"D",IF(L162&lt;'PlayerGrades+'!$AE$13,"D+",IF(L162&lt;'PlayerGrades+'!$AE$12,"C-",IF(L162&lt;'PlayerGrades+'!$AE$11,"C",IF(L162&lt;'PlayerGrades+'!$AE$10,"C+",IF(L162&lt;'PlayerGrades+'!$AE$9,"B-",IF(L162&lt;'PlayerGrades+'!$AE$8,"B",IF(L162&lt;'PlayerGrades+'!$AE$7,"B+",IF(L162&lt;'PlayerGrades+'!$AE$6,"A-",IF(L162&lt;'PlayerGrades+'!$AE$5,"A",IF(L162&lt;'PlayerGrades+'!$AE$4,"A+",IF(L162&lt;'PlayerGrades+'!$AE$3,"S-",IF(L162&lt;'PlayerGrades+'!$AE$2,"S","S+"))))))))))))))))))))</f>
        <v>C-</v>
      </c>
      <c r="N162" s="937">
        <f t="shared" si="6"/>
        <v>0.05251641138</v>
      </c>
      <c r="O162" s="937" t="str">
        <f>IF(N162&lt;'PlayerGrades+'!$AF$21,"F-",IF(N162&lt;'PlayerGrades+'!$AF$20,"F",IF(N162&lt;'PlayerGrades+'!$AF$19,"F+",IF(N162&lt;'PlayerGrades+'!$AF$18,"E-",IF(N162&lt;'PlayerGrades+'!$AF$17,"E",IF(N162&lt;'PlayerGrades+'!$AF$16,"E+",IF(N162&lt;'PlayerGrades+'!$AF$15,"D-",IF(N162&lt;'PlayerGrades+'!$AF$14,"D",IF(N162&lt;'PlayerGrades+'!$AF$13,"D+",IF(N162&lt;'PlayerGrades+'!$AF$12,"C-",IF(N162&lt;'PlayerGrades+'!$AF$11,"C",IF(N162&lt;'PlayerGrades+'!$AF$10,"C+",IF(N162&lt;'PlayerGrades+'!$AF$9,"B-",IF(N162&lt;'PlayerGrades+'!$AF$8,"B",IF(N162&lt;'PlayerGrades+'!$AF$7,"B+",IF(N162&lt;'PlayerGrades+'!$AF$6,"A-",IF(N162&lt;'PlayerGrades+'!$AF$5,"A",IF(N162&lt;'PlayerGrades+'!$AF$4,"A+",IF(N162&lt;'PlayerGrades+'!$AF$3,"S-",IF(N162&lt;'PlayerGrades+'!$AF$2,"S","S+"))))))))))))))))))))</f>
        <v>D</v>
      </c>
      <c r="P162" s="937">
        <f t="shared" si="7"/>
        <v>0</v>
      </c>
      <c r="Q162" s="937" t="str">
        <f>IF(P162&lt;'PlayerGrades+'!$AG$21,"F-",IF(P162&lt;'PlayerGrades+'!$AG$20,"F",IF(P162&lt;'PlayerGrades+'!$AG$19,"F+",IF(P162&lt;'PlayerGrades+'!$AG$18,"E-",IF(P162&lt;'PlayerGrades+'!$AG$17,"E",IF(P162&lt;'PlayerGrades+'!$AG$16,"E+",IF(P162&lt;'PlayerGrades+'!$AG$15,"D-",IF(P162&lt;'PlayerGrades+'!$AG$14,"D",IF(P162&lt;'PlayerGrades+'!$AG$13,"D+",IF(P162&lt;'PlayerGrades+'!$AG$12,"C-",IF(P162&lt;'PlayerGrades+'!$AG$11,"C",IF(P162&lt;'PlayerGrades+'!$AG$10,"C+",IF(P162&lt;'PlayerGrades+'!$AG$9,"B-",IF(P162&lt;'PlayerGrades+'!$AG$8,"B",IF(P162&lt;'PlayerGrades+'!$AG$7,"B+",IF(P162&lt;'PlayerGrades+'!$AG$6,"A-",IF(P162&lt;'PlayerGrades+'!$AG$5,"A",IF(P162&lt;'PlayerGrades+'!$AG$4,"A+",IF(P162&lt;'PlayerGrades+'!$AG$3,"S-",IF(P162&lt;'PlayerGrades+'!$AG$2,"S","S+"))))))))))))))))))))</f>
        <v>F</v>
      </c>
      <c r="R162" s="937">
        <f t="shared" si="8"/>
        <v>0.6039387309</v>
      </c>
      <c r="S162" s="937" t="str">
        <f>IF(R162&lt;'PlayerGrades+'!$AH$21,"F-",IF(R162&lt;'PlayerGrades+'!$AH$20,"F",IF(R162&lt;'PlayerGrades+'!$AH$19,"F+",IF(R162&lt;'PlayerGrades+'!$AH$18,"E-",IF(R162&lt;'PlayerGrades+'!$AH$17,"E",IF(R162&lt;'PlayerGrades+'!$AH$16,"E+",IF(R162&lt;'PlayerGrades+'!$AH$15,"D-",IF(R162&lt;'PlayerGrades+'!$AH$14,"D",IF(R162&lt;'PlayerGrades+'!$AH$13,"D+",IF(R162&lt;'PlayerGrades+'!$AH$12,"C-",IF(R162&lt;'PlayerGrades+'!$AH$11,"C",IF(R162&lt;'PlayerGrades+'!$AH$10,"C+",IF(R162&lt;'PlayerGrades+'!$AH$9,"B-",IF(R162&lt;'PlayerGrades+'!$AH$8,"B",IF(R162&lt;'PlayerGrades+'!$AH$7,"B+",IF(R162&lt;'PlayerGrades+'!$AH$6,"A-",IF(R162&lt;'PlayerGrades+'!$AH$5,"A",IF(R162&lt;'PlayerGrades+'!$AH$4,"A+",IF(R162&lt;'PlayerGrades+'!$AH$3,"S-",IF(R162&lt;'PlayerGrades+'!$AH$2,"S","S+"))))))))))))))))))))</f>
        <v>A-</v>
      </c>
      <c r="T162" s="937">
        <f t="shared" si="9"/>
        <v>1.210065646</v>
      </c>
      <c r="U162" s="937" t="str">
        <f>IF(T162&lt;'PlayerGrades+'!$AI$21,"F-",IF(T162&lt;'PlayerGrades+'!$AI$20,"F",IF(T162&lt;'PlayerGrades+'!$AI$19,"F+",IF(T162&lt;'PlayerGrades+'!$AI$18,"E-",IF(T162&lt;'PlayerGrades+'!$AI$17,"E",IF(T162&lt;'PlayerGrades+'!$AI$16,"E+",IF(T162&lt;'PlayerGrades+'!$AI$15,"D-",IF(T162&lt;'PlayerGrades+'!$AI$14,"D",IF(T162&lt;'PlayerGrades+'!$AI$13,"D+",IF(T162&lt;'PlayerGrades+'!$AI$12,"C-",IF(T162&lt;'PlayerGrades+'!$AI$11,"C",IF(T162&lt;'PlayerGrades+'!$AI$10,"C+",IF(T162&lt;'PlayerGrades+'!$AI$9,"B-",IF(T162&lt;'PlayerGrades+'!$AI$8,"B",IF(T162&lt;'PlayerGrades+'!$AI$7,"B+",IF(T162&lt;'PlayerGrades+'!$AI$6,"A-",IF(T162&lt;'PlayerGrades+'!$AI$5,"A",IF(T162&lt;'PlayerGrades+'!$AI$4,"A+",IF(T162&lt;'PlayerGrades+'!$AI$3,"S-",IF(T162&lt;'PlayerGrades+'!$AI$2,"S","S+"))))))))))))))))))))</f>
        <v>C-</v>
      </c>
      <c r="V162" s="939">
        <v>1.0</v>
      </c>
      <c r="W162" s="939">
        <v>1.0</v>
      </c>
      <c r="X162" s="939">
        <v>0.0</v>
      </c>
      <c r="Y162" s="939">
        <v>3.0</v>
      </c>
      <c r="Z162" s="939">
        <v>24.0</v>
      </c>
      <c r="AA162" s="939">
        <v>95.0</v>
      </c>
      <c r="AB162" s="939">
        <v>80.0</v>
      </c>
      <c r="AC162" s="939">
        <v>15.0</v>
      </c>
      <c r="AD162" s="939">
        <v>8.0</v>
      </c>
      <c r="AE162" s="939">
        <v>10.0</v>
      </c>
      <c r="AF162" s="939">
        <v>4.0</v>
      </c>
      <c r="AG162" s="939">
        <v>1939.0</v>
      </c>
      <c r="AH162" s="939">
        <v>2285.0</v>
      </c>
      <c r="AI162" s="939">
        <v>24.0</v>
      </c>
      <c r="AJ162" s="939">
        <v>1169.0</v>
      </c>
      <c r="AK162" s="939">
        <v>0.0</v>
      </c>
      <c r="AL162" s="939">
        <v>3.0</v>
      </c>
      <c r="AM162" s="939">
        <v>1.0</v>
      </c>
      <c r="AN162" s="939">
        <v>0.0</v>
      </c>
      <c r="AO162" s="939">
        <v>0.0</v>
      </c>
      <c r="AP162" s="939">
        <v>0.0</v>
      </c>
      <c r="AQ162" s="939">
        <v>0.0</v>
      </c>
      <c r="AR162" s="939">
        <v>14.0</v>
      </c>
      <c r="AS162" s="939">
        <v>2.0</v>
      </c>
      <c r="AT162" s="939">
        <v>0.0</v>
      </c>
      <c r="AU162" s="939">
        <v>0.0</v>
      </c>
      <c r="AV162" s="939">
        <v>0.0</v>
      </c>
      <c r="AW162" s="939">
        <v>0.0</v>
      </c>
      <c r="AX162" s="939">
        <v>0.0</v>
      </c>
      <c r="AY162" s="939">
        <v>0.0</v>
      </c>
      <c r="AZ162" s="939">
        <v>0.0</v>
      </c>
      <c r="BA162" s="939">
        <v>0.0</v>
      </c>
      <c r="BB162" s="939">
        <v>1.0</v>
      </c>
      <c r="BC162" s="939">
        <v>0.0</v>
      </c>
      <c r="BD162" s="939">
        <v>15.0</v>
      </c>
      <c r="BE162" s="939">
        <v>8.0</v>
      </c>
      <c r="BF162" s="939">
        <v>1.0</v>
      </c>
      <c r="BG162" s="940">
        <v>0.0</v>
      </c>
    </row>
    <row r="163">
      <c r="A163" s="935" t="s">
        <v>129</v>
      </c>
      <c r="B163" s="16" t="str">
        <f>IF(C163&lt;'PlayerGrades+'!$Y$44,"F-",IF(C163&lt;'PlayerGrades+'!$Y$43,"F",IF(C163&lt;'PlayerGrades+'!$Y$42,"F+",IF(C163&lt;'PlayerGrades+'!$Y$41,"E-",IF(C163&lt;'PlayerGrades+'!$Y$40,"E",IF(C163&lt;'PlayerGrades+'!$Y$39,"E+",IF(C163&lt;'PlayerGrades+'!$Y$38,"D-",IF(C163&lt;'PlayerGrades+'!$Y$37,"D",IF(C163&lt;'PlayerGrades+'!$Y$36,"D+",IF(C163&lt;'PlayerGrades+'!$Y$35,"C-",IF(C163&lt;'PlayerGrades+'!$Y$34,"C",IF(C163&lt;'PlayerGrades+'!$Y$33,"C+",IF(C163&lt;'PlayerGrades+'!$Y$32,"B-",IF(C163&lt;'PlayerGrades+'!$Y$31,"B",IF(C163&lt;'PlayerGrades+'!$Y$30,"B+",IF(C163&lt;'PlayerGrades+'!$Y$29,"A-",IF(C163&lt;'PlayerGrades+'!$Y$28,"A",IF(C163&lt;'PlayerGrades+'!$Y$27,"A+",IF(C163&lt;'PlayerGrades+'!$Y$26,"S-",IF(C163&lt;'PlayerGrades+'!$Y$25,"S","S+"))))))))))))))))))))</f>
        <v>A</v>
      </c>
      <c r="C163" s="936">
        <f>('PlayerGrades+'!$Y$47*(VLOOKUP(E163, 'PlayerGrades+'!$X$3:$Y$23, 2, FALSE)))+('PlayerGrades+'!$Y$48*(VLOOKUP(G163, 'PlayerGrades+'!$X$3:$Y$23, 2, FALSE)))+('PlayerGrades+'!$Y$49*(VLOOKUP(I163, 'PlayerGrades+'!$X$3:$Y$23, 2, FALSE)))+('PlayerGrades+'!$Y$50*(VLOOKUP(K163, 'PlayerGrades+'!$X$3:$Y$23, 2, FALSE)))+('PlayerGrades+'!$Y$51*(VLOOKUP(M163, 'PlayerGrades+'!$X$3:$Y$23, 2, FALSE)))+('PlayerGrades+'!$Y$52*(VLOOKUP(O163, 'PlayerGrades+'!$X$3:$Y$23, 2, FALSE)))+('PlayerGrades+'!$Y$53*(VLOOKUP(Q163, 'PlayerGrades+'!$X$3:$Y$23, 2, FALSE)))+('PlayerGrades+'!$Y$54*(VLOOKUP(S163, 'PlayerGrades+'!$X$3:$Y$23, 2, FALSE)))+('PlayerGrades+'!$Y$55*(VLOOKUP(U163, 'PlayerGrades+'!$X$3:$Y$23, 2, FALSE)))</f>
        <v>27</v>
      </c>
      <c r="D163" s="937">
        <f t="shared" si="1"/>
        <v>0.2888402626</v>
      </c>
      <c r="E163" s="937" t="str">
        <f>IF(D163&lt;'PlayerGrades+'!$AA$21,"F-",IF(D163&lt;'PlayerGrades+'!$AA$20,"F",IF(D163&lt;'PlayerGrades+'!$AA$19,"F+",IF(D163&lt;'PlayerGrades+'!$AA$18,"E-",IF(D163&lt;'PlayerGrades+'!$AA$17,"E",IF(D163&lt;'PlayerGrades+'!$AA$16,"E+",IF(D163&lt;'PlayerGrades+'!$AA$15,"D-",IF(D163&lt;'PlayerGrades+'!$AA$14,"D",IF(D163&lt;'PlayerGrades+'!$AA$13,"D+",IF(D163&lt;'PlayerGrades+'!$AA$12,"C-",IF(D163&lt;'PlayerGrades+'!$AA$11,"C",IF(D163&lt;'PlayerGrades+'!$AA$10,"C+",IF(D163&lt;'PlayerGrades+'!$AA$9,"B-",IF(D163&lt;'PlayerGrades+'!$AA$8,"B",IF(D163&lt;'PlayerGrades+'!$AA$7,"B+",IF(D163&lt;'PlayerGrades+'!$AA$6,"A-",IF(D163&lt;'PlayerGrades+'!$AA$5,"A",IF(D163&lt;'PlayerGrades+'!$AA$4,"A+",IF(D163&lt;'PlayerGrades+'!$AA$3,"S-",IF(D163&lt;'PlayerGrades+'!$AA$2,"S","S+"))))))))))))))))))))</f>
        <v>A</v>
      </c>
      <c r="F163" s="937">
        <f t="shared" si="2"/>
        <v>0.6827133479</v>
      </c>
      <c r="G163" s="937" t="str">
        <f>IF(F163&lt;'PlayerGrades+'!$AB$21,"F-",IF(F163&lt;'PlayerGrades+'!$AB$20,"F",IF(F163&lt;'PlayerGrades+'!$AB$19,"F+",IF(F163&lt;'PlayerGrades+'!$AB$18,"E-",IF(F163&lt;'PlayerGrades+'!$AB$17,"E",IF(F163&lt;'PlayerGrades+'!$AB$16,"E+",IF(F163&lt;'PlayerGrades+'!$AB$15,"D-",IF(F163&lt;'PlayerGrades+'!$AB$14,"D",IF(F163&lt;'PlayerGrades+'!$AB$13,"D+",IF(F163&lt;'PlayerGrades+'!$AB$12,"C-",IF(F163&lt;'PlayerGrades+'!$AB$11,"C",IF(F163&lt;'PlayerGrades+'!$AB$10,"C+",IF(F163&lt;'PlayerGrades+'!$AB$9,"B-",IF(F163&lt;'PlayerGrades+'!$AB$8,"B",IF(F163&lt;'PlayerGrades+'!$AB$7,"B+",IF(F163&lt;'PlayerGrades+'!$AB$6,"A-",IF(F163&lt;'PlayerGrades+'!$AB$5,"A",IF(F163&lt;'PlayerGrades+'!$AB$4,"A+",IF(F163&lt;'PlayerGrades+'!$AB$3,"S-",IF(F163&lt;'PlayerGrades+'!$AB$2,"S","S+"))))))))))))))))))))</f>
        <v>S-</v>
      </c>
      <c r="H163" s="937">
        <f t="shared" si="3"/>
        <v>0.2888402626</v>
      </c>
      <c r="I163" s="937" t="str">
        <f>IF(H163&lt;'PlayerGrades+'!$AC$21,"F-",IF(H163&lt;'PlayerGrades+'!$AC$20,"F",IF(H163&lt;'PlayerGrades+'!$AC$19,"F+",IF(H163&lt;'PlayerGrades+'!$AC$18,"E-",IF(H163&lt;'PlayerGrades+'!$AC$17,"E",IF(H163&lt;'PlayerGrades+'!$AC$16,"E+",IF(H163&lt;'PlayerGrades+'!$AC$15,"D-",IF(H163&lt;'PlayerGrades+'!$AC$14,"D",IF(H163&lt;'PlayerGrades+'!$AC$13,"D+",IF(H163&lt;'PlayerGrades+'!$AC$12,"C-",IF(H163&lt;'PlayerGrades+'!$AC$11,"C",IF(H163&lt;'PlayerGrades+'!$AC$10,"C+",IF(H163&lt;'PlayerGrades+'!$AC$9,"B-",IF(H163&lt;'PlayerGrades+'!$AC$8,"B",IF(H163&lt;'PlayerGrades+'!$AC$7,"B+",IF(H163&lt;'PlayerGrades+'!$AC$6,"A-",IF(H163&lt;'PlayerGrades+'!$AC$5,"A",IF(H163&lt;'PlayerGrades+'!$AC$4,"A+",IF(H163&lt;'PlayerGrades+'!$AC$3,"S-",IF(H163&lt;'PlayerGrades+'!$AC$2,"S","S+"))))))))))))))))))))</f>
        <v>S</v>
      </c>
      <c r="J163" s="937">
        <f t="shared" si="4"/>
        <v>0.02625820569</v>
      </c>
      <c r="K163" s="937" t="str">
        <f>IF(J163&lt;'PlayerGrades+'!$AD$21,"F-",IF(J163&lt;'PlayerGrades+'!$AD$20,"F",IF(J163&lt;'PlayerGrades+'!$AD$19,"F+",IF(J163&lt;'PlayerGrades+'!$AD$18,"E-",IF(J163&lt;'PlayerGrades+'!$AD$17,"E",IF(J163&lt;'PlayerGrades+'!$AD$16,"E+",IF(J163&lt;'PlayerGrades+'!$AD$15,"D-",IF(J163&lt;'PlayerGrades+'!$AD$14,"D",IF(J163&lt;'PlayerGrades+'!$AD$13,"D+",IF(J163&lt;'PlayerGrades+'!$AD$12,"C-",IF(J163&lt;'PlayerGrades+'!$AD$11,"C",IF(J163&lt;'PlayerGrades+'!$AD$10,"C+",IF(J163&lt;'PlayerGrades+'!$AD$9,"B-",IF(J163&lt;'PlayerGrades+'!$AD$8,"B",IF(J163&lt;'PlayerGrades+'!$AD$7,"B+",IF(J163&lt;'PlayerGrades+'!$AD$6,"A-",IF(J163&lt;'PlayerGrades+'!$AD$5,"A",IF(J163&lt;'PlayerGrades+'!$AD$4,"A+",IF(J163&lt;'PlayerGrades+'!$AD$3,"S-",IF(J163&lt;'PlayerGrades+'!$AD$2,"S","S+"))))))))))))))))))))</f>
        <v>D+</v>
      </c>
      <c r="L163" s="677">
        <f t="shared" si="5"/>
        <v>0.4463894967</v>
      </c>
      <c r="M163" s="938" t="str">
        <f>IF(L163&lt;'PlayerGrades+'!$AE$21,"F-",IF(L163&lt;'PlayerGrades+'!$AE$20,"F",IF(L163&lt;'PlayerGrades+'!$AE$19,"F+",IF(L163&lt;'PlayerGrades+'!$AE$18,"E-",IF(L163&lt;'PlayerGrades+'!$AE$17,"E",IF(L163&lt;'PlayerGrades+'!$AE$16,"E+",IF(L163&lt;'PlayerGrades+'!$AE$15,"D-",IF(L163&lt;'PlayerGrades+'!$AE$14,"D",IF(L163&lt;'PlayerGrades+'!$AE$13,"D+",IF(L163&lt;'PlayerGrades+'!$AE$12,"C-",IF(L163&lt;'PlayerGrades+'!$AE$11,"C",IF(L163&lt;'PlayerGrades+'!$AE$10,"C+",IF(L163&lt;'PlayerGrades+'!$AE$9,"B-",IF(L163&lt;'PlayerGrades+'!$AE$8,"B",IF(L163&lt;'PlayerGrades+'!$AE$7,"B+",IF(L163&lt;'PlayerGrades+'!$AE$6,"A-",IF(L163&lt;'PlayerGrades+'!$AE$5,"A",IF(L163&lt;'PlayerGrades+'!$AE$4,"A+",IF(L163&lt;'PlayerGrades+'!$AE$3,"S-",IF(L163&lt;'PlayerGrades+'!$AE$2,"S","S+"))))))))))))))))))))</f>
        <v>B</v>
      </c>
      <c r="N163" s="937">
        <f t="shared" si="6"/>
        <v>0.07877461707</v>
      </c>
      <c r="O163" s="937" t="str">
        <f>IF(N163&lt;'PlayerGrades+'!$AF$21,"F-",IF(N163&lt;'PlayerGrades+'!$AF$20,"F",IF(N163&lt;'PlayerGrades+'!$AF$19,"F+",IF(N163&lt;'PlayerGrades+'!$AF$18,"E-",IF(N163&lt;'PlayerGrades+'!$AF$17,"E",IF(N163&lt;'PlayerGrades+'!$AF$16,"E+",IF(N163&lt;'PlayerGrades+'!$AF$15,"D-",IF(N163&lt;'PlayerGrades+'!$AF$14,"D",IF(N163&lt;'PlayerGrades+'!$AF$13,"D+",IF(N163&lt;'PlayerGrades+'!$AF$12,"C-",IF(N163&lt;'PlayerGrades+'!$AF$11,"C",IF(N163&lt;'PlayerGrades+'!$AF$10,"C+",IF(N163&lt;'PlayerGrades+'!$AF$9,"B-",IF(N163&lt;'PlayerGrades+'!$AF$8,"B",IF(N163&lt;'PlayerGrades+'!$AF$7,"B+",IF(N163&lt;'PlayerGrades+'!$AF$6,"A-",IF(N163&lt;'PlayerGrades+'!$AF$5,"A",IF(N163&lt;'PlayerGrades+'!$AF$4,"A+",IF(N163&lt;'PlayerGrades+'!$AF$3,"S-",IF(N163&lt;'PlayerGrades+'!$AF$2,"S","S+"))))))))))))))))))))</f>
        <v>B-</v>
      </c>
      <c r="P163" s="937">
        <f t="shared" si="7"/>
        <v>0</v>
      </c>
      <c r="Q163" s="937" t="str">
        <f>IF(P163&lt;'PlayerGrades+'!$AG$21,"F-",IF(P163&lt;'PlayerGrades+'!$AG$20,"F",IF(P163&lt;'PlayerGrades+'!$AG$19,"F+",IF(P163&lt;'PlayerGrades+'!$AG$18,"E-",IF(P163&lt;'PlayerGrades+'!$AG$17,"E",IF(P163&lt;'PlayerGrades+'!$AG$16,"E+",IF(P163&lt;'PlayerGrades+'!$AG$15,"D-",IF(P163&lt;'PlayerGrades+'!$AG$14,"D",IF(P163&lt;'PlayerGrades+'!$AG$13,"D+",IF(P163&lt;'PlayerGrades+'!$AG$12,"C-",IF(P163&lt;'PlayerGrades+'!$AG$11,"C",IF(P163&lt;'PlayerGrades+'!$AG$10,"C+",IF(P163&lt;'PlayerGrades+'!$AG$9,"B-",IF(P163&lt;'PlayerGrades+'!$AG$8,"B",IF(P163&lt;'PlayerGrades+'!$AG$7,"B+",IF(P163&lt;'PlayerGrades+'!$AG$6,"A-",IF(P163&lt;'PlayerGrades+'!$AG$5,"A",IF(P163&lt;'PlayerGrades+'!$AG$4,"A+",IF(P163&lt;'PlayerGrades+'!$AG$3,"S-",IF(P163&lt;'PlayerGrades+'!$AG$2,"S","S+"))))))))))))))))))))</f>
        <v>F</v>
      </c>
      <c r="R163" s="937">
        <f t="shared" si="8"/>
        <v>0.8140043764</v>
      </c>
      <c r="S163" s="937" t="str">
        <f>IF(R163&lt;'PlayerGrades+'!$AH$21,"F-",IF(R163&lt;'PlayerGrades+'!$AH$20,"F",IF(R163&lt;'PlayerGrades+'!$AH$19,"F+",IF(R163&lt;'PlayerGrades+'!$AH$18,"E-",IF(R163&lt;'PlayerGrades+'!$AH$17,"E",IF(R163&lt;'PlayerGrades+'!$AH$16,"E+",IF(R163&lt;'PlayerGrades+'!$AH$15,"D-",IF(R163&lt;'PlayerGrades+'!$AH$14,"D",IF(R163&lt;'PlayerGrades+'!$AH$13,"D+",IF(R163&lt;'PlayerGrades+'!$AH$12,"C-",IF(R163&lt;'PlayerGrades+'!$AH$11,"C",IF(R163&lt;'PlayerGrades+'!$AH$10,"C+",IF(R163&lt;'PlayerGrades+'!$AH$9,"B-",IF(R163&lt;'PlayerGrades+'!$AH$8,"B",IF(R163&lt;'PlayerGrades+'!$AH$7,"B+",IF(R163&lt;'PlayerGrades+'!$AH$6,"A-",IF(R163&lt;'PlayerGrades+'!$AH$5,"A",IF(R163&lt;'PlayerGrades+'!$AH$4,"A+",IF(R163&lt;'PlayerGrades+'!$AH$3,"S-",IF(R163&lt;'PlayerGrades+'!$AH$2,"S","S+"))))))))))))))))))))</f>
        <v>S+</v>
      </c>
      <c r="T163" s="937">
        <f t="shared" si="9"/>
        <v>0.3676148796</v>
      </c>
      <c r="U163" s="937" t="str">
        <f>IF(T163&lt;'PlayerGrades+'!$AI$21,"F-",IF(T163&lt;'PlayerGrades+'!$AI$20,"F",IF(T163&lt;'PlayerGrades+'!$AI$19,"F+",IF(T163&lt;'PlayerGrades+'!$AI$18,"E-",IF(T163&lt;'PlayerGrades+'!$AI$17,"E",IF(T163&lt;'PlayerGrades+'!$AI$16,"E+",IF(T163&lt;'PlayerGrades+'!$AI$15,"D-",IF(T163&lt;'PlayerGrades+'!$AI$14,"D",IF(T163&lt;'PlayerGrades+'!$AI$13,"D+",IF(T163&lt;'PlayerGrades+'!$AI$12,"C-",IF(T163&lt;'PlayerGrades+'!$AI$11,"C",IF(T163&lt;'PlayerGrades+'!$AI$10,"C+",IF(T163&lt;'PlayerGrades+'!$AI$9,"B-",IF(T163&lt;'PlayerGrades+'!$AI$8,"B",IF(T163&lt;'PlayerGrades+'!$AI$7,"B+",IF(T163&lt;'PlayerGrades+'!$AI$6,"A-",IF(T163&lt;'PlayerGrades+'!$AI$5,"A",IF(T163&lt;'PlayerGrades+'!$AI$4,"A+",IF(T163&lt;'PlayerGrades+'!$AI$3,"S-",IF(T163&lt;'PlayerGrades+'!$AI$2,"S","S+"))))))))))))))))))))</f>
        <v>F-</v>
      </c>
      <c r="V163" s="941">
        <v>1.0</v>
      </c>
      <c r="W163" s="941">
        <v>1.0</v>
      </c>
      <c r="X163" s="941">
        <v>0.0</v>
      </c>
      <c r="Y163" s="941">
        <v>2.0</v>
      </c>
      <c r="Z163" s="941">
        <v>9.0</v>
      </c>
      <c r="AA163" s="941">
        <v>147.0</v>
      </c>
      <c r="AB163" s="941">
        <v>121.0</v>
      </c>
      <c r="AC163" s="941">
        <v>26.0</v>
      </c>
      <c r="AD163" s="941">
        <v>6.0</v>
      </c>
      <c r="AE163" s="941">
        <v>5.0</v>
      </c>
      <c r="AF163" s="941">
        <v>2.0</v>
      </c>
      <c r="AG163" s="941">
        <v>1816.0</v>
      </c>
      <c r="AH163" s="941">
        <v>2285.0</v>
      </c>
      <c r="AI163" s="941">
        <v>15.0</v>
      </c>
      <c r="AJ163" s="941">
        <v>229.0</v>
      </c>
      <c r="AK163" s="941">
        <v>0.0</v>
      </c>
      <c r="AL163" s="941">
        <v>1.0</v>
      </c>
      <c r="AM163" s="941">
        <v>0.0</v>
      </c>
      <c r="AN163" s="941">
        <v>0.0</v>
      </c>
      <c r="AO163" s="941">
        <v>0.0</v>
      </c>
      <c r="AP163" s="941">
        <v>0.0</v>
      </c>
      <c r="AQ163" s="941">
        <v>0.0</v>
      </c>
      <c r="AR163" s="941">
        <v>17.0</v>
      </c>
      <c r="AS163" s="941">
        <v>3.0</v>
      </c>
      <c r="AT163" s="941">
        <v>1.0</v>
      </c>
      <c r="AU163" s="941">
        <v>0.0</v>
      </c>
      <c r="AV163" s="941">
        <v>0.0</v>
      </c>
      <c r="AW163" s="941">
        <v>0.0</v>
      </c>
      <c r="AX163" s="941">
        <v>0.0</v>
      </c>
      <c r="AY163" s="941">
        <v>0.0</v>
      </c>
      <c r="AZ163" s="941">
        <v>0.0</v>
      </c>
      <c r="BA163" s="941">
        <v>0.0</v>
      </c>
      <c r="BB163" s="941">
        <v>11.0</v>
      </c>
      <c r="BC163" s="941">
        <v>0.0</v>
      </c>
      <c r="BD163" s="941">
        <v>25.0</v>
      </c>
      <c r="BE163" s="941">
        <v>14.0</v>
      </c>
      <c r="BF163" s="941">
        <v>0.0</v>
      </c>
      <c r="BG163" s="942">
        <v>0.0</v>
      </c>
    </row>
    <row r="164">
      <c r="A164" s="935" t="s">
        <v>151</v>
      </c>
      <c r="B164" s="16" t="str">
        <f>IF(C164&lt;'PlayerGrades+'!$Y$44,"F-",IF(C164&lt;'PlayerGrades+'!$Y$43,"F",IF(C164&lt;'PlayerGrades+'!$Y$42,"F+",IF(C164&lt;'PlayerGrades+'!$Y$41,"E-",IF(C164&lt;'PlayerGrades+'!$Y$40,"E",IF(C164&lt;'PlayerGrades+'!$Y$39,"E+",IF(C164&lt;'PlayerGrades+'!$Y$38,"D-",IF(C164&lt;'PlayerGrades+'!$Y$37,"D",IF(C164&lt;'PlayerGrades+'!$Y$36,"D+",IF(C164&lt;'PlayerGrades+'!$Y$35,"C-",IF(C164&lt;'PlayerGrades+'!$Y$34,"C",IF(C164&lt;'PlayerGrades+'!$Y$33,"C+",IF(C164&lt;'PlayerGrades+'!$Y$32,"B-",IF(C164&lt;'PlayerGrades+'!$Y$31,"B",IF(C164&lt;'PlayerGrades+'!$Y$30,"B+",IF(C164&lt;'PlayerGrades+'!$Y$29,"A-",IF(C164&lt;'PlayerGrades+'!$Y$28,"A",IF(C164&lt;'PlayerGrades+'!$Y$27,"A+",IF(C164&lt;'PlayerGrades+'!$Y$26,"S-",IF(C164&lt;'PlayerGrades+'!$Y$25,"S","S+"))))))))))))))))))))</f>
        <v>A</v>
      </c>
      <c r="C164" s="936">
        <f>('PlayerGrades+'!$Y$47*(VLOOKUP(E164, 'PlayerGrades+'!$X$3:$Y$23, 2, FALSE)))+('PlayerGrades+'!$Y$48*(VLOOKUP(G164, 'PlayerGrades+'!$X$3:$Y$23, 2, FALSE)))+('PlayerGrades+'!$Y$49*(VLOOKUP(I164, 'PlayerGrades+'!$X$3:$Y$23, 2, FALSE)))+('PlayerGrades+'!$Y$50*(VLOOKUP(K164, 'PlayerGrades+'!$X$3:$Y$23, 2, FALSE)))+('PlayerGrades+'!$Y$51*(VLOOKUP(M164, 'PlayerGrades+'!$X$3:$Y$23, 2, FALSE)))+('PlayerGrades+'!$Y$52*(VLOOKUP(O164, 'PlayerGrades+'!$X$3:$Y$23, 2, FALSE)))+('PlayerGrades+'!$Y$53*(VLOOKUP(Q164, 'PlayerGrades+'!$X$3:$Y$23, 2, FALSE)))+('PlayerGrades+'!$Y$54*(VLOOKUP(S164, 'PlayerGrades+'!$X$3:$Y$23, 2, FALSE)))+('PlayerGrades+'!$Y$55*(VLOOKUP(U164, 'PlayerGrades+'!$X$3:$Y$23, 2, FALSE)))</f>
        <v>25.7</v>
      </c>
      <c r="D164" s="937">
        <f t="shared" si="1"/>
        <v>0</v>
      </c>
      <c r="E164" s="937" t="str">
        <f>IF(D164&lt;'PlayerGrades+'!$AA$21,"F-",IF(D164&lt;'PlayerGrades+'!$AA$20,"F",IF(D164&lt;'PlayerGrades+'!$AA$19,"F+",IF(D164&lt;'PlayerGrades+'!$AA$18,"E-",IF(D164&lt;'PlayerGrades+'!$AA$17,"E",IF(D164&lt;'PlayerGrades+'!$AA$16,"E+",IF(D164&lt;'PlayerGrades+'!$AA$15,"D-",IF(D164&lt;'PlayerGrades+'!$AA$14,"D",IF(D164&lt;'PlayerGrades+'!$AA$13,"D+",IF(D164&lt;'PlayerGrades+'!$AA$12,"C-",IF(D164&lt;'PlayerGrades+'!$AA$11,"C",IF(D164&lt;'PlayerGrades+'!$AA$10,"C+",IF(D164&lt;'PlayerGrades+'!$AA$9,"B-",IF(D164&lt;'PlayerGrades+'!$AA$8,"B",IF(D164&lt;'PlayerGrades+'!$AA$7,"B+",IF(D164&lt;'PlayerGrades+'!$AA$6,"A-",IF(D164&lt;'PlayerGrades+'!$AA$5,"A",IF(D164&lt;'PlayerGrades+'!$AA$4,"A+",IF(D164&lt;'PlayerGrades+'!$AA$3,"S-",IF(D164&lt;'PlayerGrades+'!$AA$2,"S","S+"))))))))))))))))))))</f>
        <v>F-</v>
      </c>
      <c r="F164" s="937">
        <f t="shared" si="2"/>
        <v>0.6564551422</v>
      </c>
      <c r="G164" s="937" t="str">
        <f>IF(F164&lt;'PlayerGrades+'!$AB$21,"F-",IF(F164&lt;'PlayerGrades+'!$AB$20,"F",IF(F164&lt;'PlayerGrades+'!$AB$19,"F+",IF(F164&lt;'PlayerGrades+'!$AB$18,"E-",IF(F164&lt;'PlayerGrades+'!$AB$17,"E",IF(F164&lt;'PlayerGrades+'!$AB$16,"E+",IF(F164&lt;'PlayerGrades+'!$AB$15,"D-",IF(F164&lt;'PlayerGrades+'!$AB$14,"D",IF(F164&lt;'PlayerGrades+'!$AB$13,"D+",IF(F164&lt;'PlayerGrades+'!$AB$12,"C-",IF(F164&lt;'PlayerGrades+'!$AB$11,"C",IF(F164&lt;'PlayerGrades+'!$AB$10,"C+",IF(F164&lt;'PlayerGrades+'!$AB$9,"B-",IF(F164&lt;'PlayerGrades+'!$AB$8,"B",IF(F164&lt;'PlayerGrades+'!$AB$7,"B+",IF(F164&lt;'PlayerGrades+'!$AB$6,"A-",IF(F164&lt;'PlayerGrades+'!$AB$5,"A",IF(F164&lt;'PlayerGrades+'!$AB$4,"A+",IF(F164&lt;'PlayerGrades+'!$AB$3,"S-",IF(F164&lt;'PlayerGrades+'!$AB$2,"S","S+"))))))))))))))))))))</f>
        <v>S-</v>
      </c>
      <c r="H164" s="937">
        <f t="shared" si="3"/>
        <v>0.341356674</v>
      </c>
      <c r="I164" s="937" t="str">
        <f>IF(H164&lt;'PlayerGrades+'!$AC$21,"F-",IF(H164&lt;'PlayerGrades+'!$AC$20,"F",IF(H164&lt;'PlayerGrades+'!$AC$19,"F+",IF(H164&lt;'PlayerGrades+'!$AC$18,"E-",IF(H164&lt;'PlayerGrades+'!$AC$17,"E",IF(H164&lt;'PlayerGrades+'!$AC$16,"E+",IF(H164&lt;'PlayerGrades+'!$AC$15,"D-",IF(H164&lt;'PlayerGrades+'!$AC$14,"D",IF(H164&lt;'PlayerGrades+'!$AC$13,"D+",IF(H164&lt;'PlayerGrades+'!$AC$12,"C-",IF(H164&lt;'PlayerGrades+'!$AC$11,"C",IF(H164&lt;'PlayerGrades+'!$AC$10,"C+",IF(H164&lt;'PlayerGrades+'!$AC$9,"B-",IF(H164&lt;'PlayerGrades+'!$AC$8,"B",IF(H164&lt;'PlayerGrades+'!$AC$7,"B+",IF(H164&lt;'PlayerGrades+'!$AC$6,"A-",IF(H164&lt;'PlayerGrades+'!$AC$5,"A",IF(H164&lt;'PlayerGrades+'!$AC$4,"A+",IF(H164&lt;'PlayerGrades+'!$AC$3,"S-",IF(H164&lt;'PlayerGrades+'!$AC$2,"S","S+"))))))))))))))))))))</f>
        <v>S+</v>
      </c>
      <c r="J164" s="937">
        <f t="shared" si="4"/>
        <v>0.07877461707</v>
      </c>
      <c r="K164" s="937" t="str">
        <f>IF(J164&lt;'PlayerGrades+'!$AD$21,"F-",IF(J164&lt;'PlayerGrades+'!$AD$20,"F",IF(J164&lt;'PlayerGrades+'!$AD$19,"F+",IF(J164&lt;'PlayerGrades+'!$AD$18,"E-",IF(J164&lt;'PlayerGrades+'!$AD$17,"E",IF(J164&lt;'PlayerGrades+'!$AD$16,"E+",IF(J164&lt;'PlayerGrades+'!$AD$15,"D-",IF(J164&lt;'PlayerGrades+'!$AD$14,"D",IF(J164&lt;'PlayerGrades+'!$AD$13,"D+",IF(J164&lt;'PlayerGrades+'!$AD$12,"C-",IF(J164&lt;'PlayerGrades+'!$AD$11,"C",IF(J164&lt;'PlayerGrades+'!$AD$10,"C+",IF(J164&lt;'PlayerGrades+'!$AD$9,"B-",IF(J164&lt;'PlayerGrades+'!$AD$8,"B",IF(J164&lt;'PlayerGrades+'!$AD$7,"B+",IF(J164&lt;'PlayerGrades+'!$AD$6,"A-",IF(J164&lt;'PlayerGrades+'!$AD$5,"A",IF(J164&lt;'PlayerGrades+'!$AD$4,"A+",IF(J164&lt;'PlayerGrades+'!$AD$3,"S-",IF(J164&lt;'PlayerGrades+'!$AD$2,"S","S+"))))))))))))))))))))</f>
        <v>A+</v>
      </c>
      <c r="L164" s="677">
        <f t="shared" si="5"/>
        <v>0.5514223195</v>
      </c>
      <c r="M164" s="938" t="str">
        <f>IF(L164&lt;'PlayerGrades+'!$AE$21,"F-",IF(L164&lt;'PlayerGrades+'!$AE$20,"F",IF(L164&lt;'PlayerGrades+'!$AE$19,"F+",IF(L164&lt;'PlayerGrades+'!$AE$18,"E-",IF(L164&lt;'PlayerGrades+'!$AE$17,"E",IF(L164&lt;'PlayerGrades+'!$AE$16,"E+",IF(L164&lt;'PlayerGrades+'!$AE$15,"D-",IF(L164&lt;'PlayerGrades+'!$AE$14,"D",IF(L164&lt;'PlayerGrades+'!$AE$13,"D+",IF(L164&lt;'PlayerGrades+'!$AE$12,"C-",IF(L164&lt;'PlayerGrades+'!$AE$11,"C",IF(L164&lt;'PlayerGrades+'!$AE$10,"C+",IF(L164&lt;'PlayerGrades+'!$AE$9,"B-",IF(L164&lt;'PlayerGrades+'!$AE$8,"B",IF(L164&lt;'PlayerGrades+'!$AE$7,"B+",IF(L164&lt;'PlayerGrades+'!$AE$6,"A-",IF(L164&lt;'PlayerGrades+'!$AE$5,"A",IF(L164&lt;'PlayerGrades+'!$AE$4,"A+",IF(L164&lt;'PlayerGrades+'!$AE$3,"S-",IF(L164&lt;'PlayerGrades+'!$AE$2,"S","S+"))))))))))))))))))))</f>
        <v>A</v>
      </c>
      <c r="N164" s="937">
        <f t="shared" si="6"/>
        <v>0.1050328228</v>
      </c>
      <c r="O164" s="937" t="str">
        <f>IF(N164&lt;'PlayerGrades+'!$AF$21,"F-",IF(N164&lt;'PlayerGrades+'!$AF$20,"F",IF(N164&lt;'PlayerGrades+'!$AF$19,"F+",IF(N164&lt;'PlayerGrades+'!$AF$18,"E-",IF(N164&lt;'PlayerGrades+'!$AF$17,"E",IF(N164&lt;'PlayerGrades+'!$AF$16,"E+",IF(N164&lt;'PlayerGrades+'!$AF$15,"D-",IF(N164&lt;'PlayerGrades+'!$AF$14,"D",IF(N164&lt;'PlayerGrades+'!$AF$13,"D+",IF(N164&lt;'PlayerGrades+'!$AF$12,"C-",IF(N164&lt;'PlayerGrades+'!$AF$11,"C",IF(N164&lt;'PlayerGrades+'!$AF$10,"C+",IF(N164&lt;'PlayerGrades+'!$AF$9,"B-",IF(N164&lt;'PlayerGrades+'!$AF$8,"B",IF(N164&lt;'PlayerGrades+'!$AF$7,"B+",IF(N164&lt;'PlayerGrades+'!$AF$6,"A-",IF(N164&lt;'PlayerGrades+'!$AF$5,"A",IF(N164&lt;'PlayerGrades+'!$AF$4,"A+",IF(N164&lt;'PlayerGrades+'!$AF$3,"S-",IF(N164&lt;'PlayerGrades+'!$AF$2,"S","S+"))))))))))))))))))))</f>
        <v>A+</v>
      </c>
      <c r="P164" s="937">
        <f t="shared" si="7"/>
        <v>0.07877461707</v>
      </c>
      <c r="Q164" s="937" t="str">
        <f>IF(P164&lt;'PlayerGrades+'!$AG$21,"F-",IF(P164&lt;'PlayerGrades+'!$AG$20,"F",IF(P164&lt;'PlayerGrades+'!$AG$19,"F+",IF(P164&lt;'PlayerGrades+'!$AG$18,"E-",IF(P164&lt;'PlayerGrades+'!$AG$17,"E",IF(P164&lt;'PlayerGrades+'!$AG$16,"E+",IF(P164&lt;'PlayerGrades+'!$AG$15,"D-",IF(P164&lt;'PlayerGrades+'!$AG$14,"D",IF(P164&lt;'PlayerGrades+'!$AG$13,"D+",IF(P164&lt;'PlayerGrades+'!$AG$12,"C-",IF(P164&lt;'PlayerGrades+'!$AG$11,"C",IF(P164&lt;'PlayerGrades+'!$AG$10,"C+",IF(P164&lt;'PlayerGrades+'!$AG$9,"B-",IF(P164&lt;'PlayerGrades+'!$AG$8,"B",IF(P164&lt;'PlayerGrades+'!$AG$7,"B+",IF(P164&lt;'PlayerGrades+'!$AG$6,"A-",IF(P164&lt;'PlayerGrades+'!$AG$5,"A",IF(P164&lt;'PlayerGrades+'!$AG$4,"A+",IF(P164&lt;'PlayerGrades+'!$AG$3,"S-",IF(P164&lt;'PlayerGrades+'!$AG$2,"S","S+"))))))))))))))))))))</f>
        <v>S-</v>
      </c>
      <c r="R164" s="937">
        <f t="shared" si="8"/>
        <v>0.3938730853</v>
      </c>
      <c r="S164" s="937" t="str">
        <f>IF(R164&lt;'PlayerGrades+'!$AH$21,"F-",IF(R164&lt;'PlayerGrades+'!$AH$20,"F",IF(R164&lt;'PlayerGrades+'!$AH$19,"F+",IF(R164&lt;'PlayerGrades+'!$AH$18,"E-",IF(R164&lt;'PlayerGrades+'!$AH$17,"E",IF(R164&lt;'PlayerGrades+'!$AH$16,"E+",IF(R164&lt;'PlayerGrades+'!$AH$15,"D-",IF(R164&lt;'PlayerGrades+'!$AH$14,"D",IF(R164&lt;'PlayerGrades+'!$AH$13,"D+",IF(R164&lt;'PlayerGrades+'!$AH$12,"C-",IF(R164&lt;'PlayerGrades+'!$AH$11,"C",IF(R164&lt;'PlayerGrades+'!$AH$10,"C+",IF(R164&lt;'PlayerGrades+'!$AH$9,"B-",IF(R164&lt;'PlayerGrades+'!$AH$8,"B",IF(R164&lt;'PlayerGrades+'!$AH$7,"B+",IF(R164&lt;'PlayerGrades+'!$AH$6,"A-",IF(R164&lt;'PlayerGrades+'!$AH$5,"A",IF(R164&lt;'PlayerGrades+'!$AH$4,"A+",IF(R164&lt;'PlayerGrades+'!$AH$3,"S-",IF(R164&lt;'PlayerGrades+'!$AH$2,"S","S+"))))))))))))))))))))</f>
        <v>F+</v>
      </c>
      <c r="T164" s="937">
        <f t="shared" si="9"/>
        <v>1.472647702</v>
      </c>
      <c r="U164" s="937" t="str">
        <f>IF(T164&lt;'PlayerGrades+'!$AI$21,"F-",IF(T164&lt;'PlayerGrades+'!$AI$20,"F",IF(T164&lt;'PlayerGrades+'!$AI$19,"F+",IF(T164&lt;'PlayerGrades+'!$AI$18,"E-",IF(T164&lt;'PlayerGrades+'!$AI$17,"E",IF(T164&lt;'PlayerGrades+'!$AI$16,"E+",IF(T164&lt;'PlayerGrades+'!$AI$15,"D-",IF(T164&lt;'PlayerGrades+'!$AI$14,"D",IF(T164&lt;'PlayerGrades+'!$AI$13,"D+",IF(T164&lt;'PlayerGrades+'!$AI$12,"C-",IF(T164&lt;'PlayerGrades+'!$AI$11,"C",IF(T164&lt;'PlayerGrades+'!$AI$10,"C+",IF(T164&lt;'PlayerGrades+'!$AI$9,"B-",IF(T164&lt;'PlayerGrades+'!$AI$8,"B",IF(T164&lt;'PlayerGrades+'!$AI$7,"B+",IF(T164&lt;'PlayerGrades+'!$AI$6,"A-",IF(T164&lt;'PlayerGrades+'!$AI$5,"A",IF(T164&lt;'PlayerGrades+'!$AI$4,"A+",IF(T164&lt;'PlayerGrades+'!$AI$3,"S-",IF(T164&lt;'PlayerGrades+'!$AI$2,"S","S+"))))))))))))))))))))</f>
        <v>A-</v>
      </c>
      <c r="V164" s="941">
        <v>1.0</v>
      </c>
      <c r="W164" s="941">
        <v>1.0</v>
      </c>
      <c r="X164" s="941">
        <v>0.0</v>
      </c>
      <c r="Y164" s="941">
        <v>0.0</v>
      </c>
      <c r="Z164" s="941">
        <v>0.0</v>
      </c>
      <c r="AA164" s="941">
        <v>160.0</v>
      </c>
      <c r="AB164" s="941">
        <v>135.0</v>
      </c>
      <c r="AC164" s="941">
        <v>25.0</v>
      </c>
      <c r="AD164" s="941">
        <v>10.0</v>
      </c>
      <c r="AE164" s="941">
        <v>6.0</v>
      </c>
      <c r="AF164" s="941">
        <v>1.0</v>
      </c>
      <c r="AG164" s="941">
        <v>1771.0</v>
      </c>
      <c r="AH164" s="941">
        <v>2285.0</v>
      </c>
      <c r="AI164" s="941">
        <v>13.0</v>
      </c>
      <c r="AJ164" s="941">
        <v>0.0</v>
      </c>
      <c r="AK164" s="941">
        <v>0.0</v>
      </c>
      <c r="AL164" s="941">
        <v>3.0</v>
      </c>
      <c r="AM164" s="941">
        <v>0.0</v>
      </c>
      <c r="AN164" s="941">
        <v>0.0</v>
      </c>
      <c r="AO164" s="941">
        <v>0.0</v>
      </c>
      <c r="AP164" s="941">
        <v>3.0</v>
      </c>
      <c r="AQ164" s="941">
        <v>0.0</v>
      </c>
      <c r="AR164" s="941">
        <v>21.0</v>
      </c>
      <c r="AS164" s="941">
        <v>4.0</v>
      </c>
      <c r="AT164" s="941">
        <v>1.0</v>
      </c>
      <c r="AU164" s="941">
        <v>0.0</v>
      </c>
      <c r="AV164" s="941">
        <v>0.0</v>
      </c>
      <c r="AW164" s="941">
        <v>0.0</v>
      </c>
      <c r="AX164" s="941">
        <v>0.0</v>
      </c>
      <c r="AY164" s="941">
        <v>0.0</v>
      </c>
      <c r="AZ164" s="941">
        <v>0.0</v>
      </c>
      <c r="BA164" s="941">
        <v>0.0</v>
      </c>
      <c r="BB164" s="941">
        <v>13.0</v>
      </c>
      <c r="BC164" s="941">
        <v>0.0</v>
      </c>
      <c r="BD164" s="941">
        <v>5.0</v>
      </c>
      <c r="BE164" s="941">
        <v>18.0</v>
      </c>
      <c r="BF164" s="941">
        <v>1.0</v>
      </c>
      <c r="BG164" s="942">
        <v>0.0</v>
      </c>
    </row>
    <row r="165">
      <c r="A165" s="935" t="s">
        <v>140</v>
      </c>
      <c r="B165" s="16" t="str">
        <f>IF(C165&lt;'PlayerGrades+'!$Y$44,"F-",IF(C165&lt;'PlayerGrades+'!$Y$43,"F",IF(C165&lt;'PlayerGrades+'!$Y$42,"F+",IF(C165&lt;'PlayerGrades+'!$Y$41,"E-",IF(C165&lt;'PlayerGrades+'!$Y$40,"E",IF(C165&lt;'PlayerGrades+'!$Y$39,"E+",IF(C165&lt;'PlayerGrades+'!$Y$38,"D-",IF(C165&lt;'PlayerGrades+'!$Y$37,"D",IF(C165&lt;'PlayerGrades+'!$Y$36,"D+",IF(C165&lt;'PlayerGrades+'!$Y$35,"C-",IF(C165&lt;'PlayerGrades+'!$Y$34,"C",IF(C165&lt;'PlayerGrades+'!$Y$33,"C+",IF(C165&lt;'PlayerGrades+'!$Y$32,"B-",IF(C165&lt;'PlayerGrades+'!$Y$31,"B",IF(C165&lt;'PlayerGrades+'!$Y$30,"B+",IF(C165&lt;'PlayerGrades+'!$Y$29,"A-",IF(C165&lt;'PlayerGrades+'!$Y$28,"A",IF(C165&lt;'PlayerGrades+'!$Y$27,"A+",IF(C165&lt;'PlayerGrades+'!$Y$26,"S-",IF(C165&lt;'PlayerGrades+'!$Y$25,"S","S+"))))))))))))))))))))</f>
        <v>D-</v>
      </c>
      <c r="C165" s="936">
        <f>('PlayerGrades+'!$Y$47*(VLOOKUP(E165, 'PlayerGrades+'!$X$3:$Y$23, 2, FALSE)))+('PlayerGrades+'!$Y$48*(VLOOKUP(G165, 'PlayerGrades+'!$X$3:$Y$23, 2, FALSE)))+('PlayerGrades+'!$Y$49*(VLOOKUP(I165, 'PlayerGrades+'!$X$3:$Y$23, 2, FALSE)))+('PlayerGrades+'!$Y$50*(VLOOKUP(K165, 'PlayerGrades+'!$X$3:$Y$23, 2, FALSE)))+('PlayerGrades+'!$Y$51*(VLOOKUP(M165, 'PlayerGrades+'!$X$3:$Y$23, 2, FALSE)))+('PlayerGrades+'!$Y$52*(VLOOKUP(O165, 'PlayerGrades+'!$X$3:$Y$23, 2, FALSE)))+('PlayerGrades+'!$Y$53*(VLOOKUP(Q165, 'PlayerGrades+'!$X$3:$Y$23, 2, FALSE)))+('PlayerGrades+'!$Y$54*(VLOOKUP(S165, 'PlayerGrades+'!$X$3:$Y$23, 2, FALSE)))+('PlayerGrades+'!$Y$55*(VLOOKUP(U165, 'PlayerGrades+'!$X$3:$Y$23, 2, FALSE)))</f>
        <v>14.6</v>
      </c>
      <c r="D165" s="937">
        <f t="shared" si="1"/>
        <v>0.02625820569</v>
      </c>
      <c r="E165" s="937" t="str">
        <f>IF(D165&lt;'PlayerGrades+'!$AA$21,"F-",IF(D165&lt;'PlayerGrades+'!$AA$20,"F",IF(D165&lt;'PlayerGrades+'!$AA$19,"F+",IF(D165&lt;'PlayerGrades+'!$AA$18,"E-",IF(D165&lt;'PlayerGrades+'!$AA$17,"E",IF(D165&lt;'PlayerGrades+'!$AA$16,"E+",IF(D165&lt;'PlayerGrades+'!$AA$15,"D-",IF(D165&lt;'PlayerGrades+'!$AA$14,"D",IF(D165&lt;'PlayerGrades+'!$AA$13,"D+",IF(D165&lt;'PlayerGrades+'!$AA$12,"C-",IF(D165&lt;'PlayerGrades+'!$AA$11,"C",IF(D165&lt;'PlayerGrades+'!$AA$10,"C+",IF(D165&lt;'PlayerGrades+'!$AA$9,"B-",IF(D165&lt;'PlayerGrades+'!$AA$8,"B",IF(D165&lt;'PlayerGrades+'!$AA$7,"B+",IF(D165&lt;'PlayerGrades+'!$AA$6,"A-",IF(D165&lt;'PlayerGrades+'!$AA$5,"A",IF(D165&lt;'PlayerGrades+'!$AA$4,"A+",IF(D165&lt;'PlayerGrades+'!$AA$3,"S-",IF(D165&lt;'PlayerGrades+'!$AA$2,"S","S+"))))))))))))))))))))</f>
        <v>D-</v>
      </c>
      <c r="F165" s="937">
        <f t="shared" si="2"/>
        <v>-0.02625820569</v>
      </c>
      <c r="G165" s="937" t="str">
        <f>IF(F165&lt;'PlayerGrades+'!$AB$21,"F-",IF(F165&lt;'PlayerGrades+'!$AB$20,"F",IF(F165&lt;'PlayerGrades+'!$AB$19,"F+",IF(F165&lt;'PlayerGrades+'!$AB$18,"E-",IF(F165&lt;'PlayerGrades+'!$AB$17,"E",IF(F165&lt;'PlayerGrades+'!$AB$16,"E+",IF(F165&lt;'PlayerGrades+'!$AB$15,"D-",IF(F165&lt;'PlayerGrades+'!$AB$14,"D",IF(F165&lt;'PlayerGrades+'!$AB$13,"D+",IF(F165&lt;'PlayerGrades+'!$AB$12,"C-",IF(F165&lt;'PlayerGrades+'!$AB$11,"C",IF(F165&lt;'PlayerGrades+'!$AB$10,"C+",IF(F165&lt;'PlayerGrades+'!$AB$9,"B-",IF(F165&lt;'PlayerGrades+'!$AB$8,"B",IF(F165&lt;'PlayerGrades+'!$AB$7,"B+",IF(F165&lt;'PlayerGrades+'!$AB$6,"A-",IF(F165&lt;'PlayerGrades+'!$AB$5,"A",IF(F165&lt;'PlayerGrades+'!$AB$4,"A+",IF(F165&lt;'PlayerGrades+'!$AB$3,"S-",IF(F165&lt;'PlayerGrades+'!$AB$2,"S","S+"))))))))))))))))))))</f>
        <v>B-</v>
      </c>
      <c r="H165" s="937">
        <f t="shared" si="3"/>
        <v>0</v>
      </c>
      <c r="I165" s="937" t="str">
        <f>IF(H165&lt;'PlayerGrades+'!$AC$21,"F-",IF(H165&lt;'PlayerGrades+'!$AC$20,"F",IF(H165&lt;'PlayerGrades+'!$AC$19,"F+",IF(H165&lt;'PlayerGrades+'!$AC$18,"E-",IF(H165&lt;'PlayerGrades+'!$AC$17,"E",IF(H165&lt;'PlayerGrades+'!$AC$16,"E+",IF(H165&lt;'PlayerGrades+'!$AC$15,"D-",IF(H165&lt;'PlayerGrades+'!$AC$14,"D",IF(H165&lt;'PlayerGrades+'!$AC$13,"D+",IF(H165&lt;'PlayerGrades+'!$AC$12,"C-",IF(H165&lt;'PlayerGrades+'!$AC$11,"C",IF(H165&lt;'PlayerGrades+'!$AC$10,"C+",IF(H165&lt;'PlayerGrades+'!$AC$9,"B-",IF(H165&lt;'PlayerGrades+'!$AC$8,"B",IF(H165&lt;'PlayerGrades+'!$AC$7,"B+",IF(H165&lt;'PlayerGrades+'!$AC$6,"A-",IF(H165&lt;'PlayerGrades+'!$AC$5,"A",IF(H165&lt;'PlayerGrades+'!$AC$4,"A+",IF(H165&lt;'PlayerGrades+'!$AC$3,"S-",IF(H165&lt;'PlayerGrades+'!$AC$2,"S","S+"))))))))))))))))))))</f>
        <v>F-</v>
      </c>
      <c r="J165" s="937">
        <f t="shared" si="4"/>
        <v>0</v>
      </c>
      <c r="K165" s="937" t="str">
        <f>IF(J165&lt;'PlayerGrades+'!$AD$21,"F-",IF(J165&lt;'PlayerGrades+'!$AD$20,"F",IF(J165&lt;'PlayerGrades+'!$AD$19,"F+",IF(J165&lt;'PlayerGrades+'!$AD$18,"E-",IF(J165&lt;'PlayerGrades+'!$AD$17,"E",IF(J165&lt;'PlayerGrades+'!$AD$16,"E+",IF(J165&lt;'PlayerGrades+'!$AD$15,"D-",IF(J165&lt;'PlayerGrades+'!$AD$14,"D",IF(J165&lt;'PlayerGrades+'!$AD$13,"D+",IF(J165&lt;'PlayerGrades+'!$AD$12,"C-",IF(J165&lt;'PlayerGrades+'!$AD$11,"C",IF(J165&lt;'PlayerGrades+'!$AD$10,"C+",IF(J165&lt;'PlayerGrades+'!$AD$9,"B-",IF(J165&lt;'PlayerGrades+'!$AD$8,"B",IF(J165&lt;'PlayerGrades+'!$AD$7,"B+",IF(J165&lt;'PlayerGrades+'!$AD$6,"A-",IF(J165&lt;'PlayerGrades+'!$AD$5,"A",IF(J165&lt;'PlayerGrades+'!$AD$4,"A+",IF(J165&lt;'PlayerGrades+'!$AD$3,"S-",IF(J165&lt;'PlayerGrades+'!$AD$2,"S","S+"))))))))))))))))))))</f>
        <v>F-</v>
      </c>
      <c r="L165" s="677">
        <f t="shared" si="5"/>
        <v>0.4463894967</v>
      </c>
      <c r="M165" s="938" t="str">
        <f>IF(L165&lt;'PlayerGrades+'!$AE$21,"F-",IF(L165&lt;'PlayerGrades+'!$AE$20,"F",IF(L165&lt;'PlayerGrades+'!$AE$19,"F+",IF(L165&lt;'PlayerGrades+'!$AE$18,"E-",IF(L165&lt;'PlayerGrades+'!$AE$17,"E",IF(L165&lt;'PlayerGrades+'!$AE$16,"E+",IF(L165&lt;'PlayerGrades+'!$AE$15,"D-",IF(L165&lt;'PlayerGrades+'!$AE$14,"D",IF(L165&lt;'PlayerGrades+'!$AE$13,"D+",IF(L165&lt;'PlayerGrades+'!$AE$12,"C-",IF(L165&lt;'PlayerGrades+'!$AE$11,"C",IF(L165&lt;'PlayerGrades+'!$AE$10,"C+",IF(L165&lt;'PlayerGrades+'!$AE$9,"B-",IF(L165&lt;'PlayerGrades+'!$AE$8,"B",IF(L165&lt;'PlayerGrades+'!$AE$7,"B+",IF(L165&lt;'PlayerGrades+'!$AE$6,"A-",IF(L165&lt;'PlayerGrades+'!$AE$5,"A",IF(L165&lt;'PlayerGrades+'!$AE$4,"A+",IF(L165&lt;'PlayerGrades+'!$AE$3,"S-",IF(L165&lt;'PlayerGrades+'!$AE$2,"S","S+"))))))))))))))))))))</f>
        <v>B</v>
      </c>
      <c r="N165" s="937">
        <f t="shared" si="6"/>
        <v>0.02625820569</v>
      </c>
      <c r="O165" s="937" t="str">
        <f>IF(N165&lt;'PlayerGrades+'!$AF$21,"F-",IF(N165&lt;'PlayerGrades+'!$AF$20,"F",IF(N165&lt;'PlayerGrades+'!$AF$19,"F+",IF(N165&lt;'PlayerGrades+'!$AF$18,"E-",IF(N165&lt;'PlayerGrades+'!$AF$17,"E",IF(N165&lt;'PlayerGrades+'!$AF$16,"E+",IF(N165&lt;'PlayerGrades+'!$AF$15,"D-",IF(N165&lt;'PlayerGrades+'!$AF$14,"D",IF(N165&lt;'PlayerGrades+'!$AF$13,"D+",IF(N165&lt;'PlayerGrades+'!$AF$12,"C-",IF(N165&lt;'PlayerGrades+'!$AF$11,"C",IF(N165&lt;'PlayerGrades+'!$AF$10,"C+",IF(N165&lt;'PlayerGrades+'!$AF$9,"B-",IF(N165&lt;'PlayerGrades+'!$AF$8,"B",IF(N165&lt;'PlayerGrades+'!$AF$7,"B+",IF(N165&lt;'PlayerGrades+'!$AF$6,"A-",IF(N165&lt;'PlayerGrades+'!$AF$5,"A",IF(N165&lt;'PlayerGrades+'!$AF$4,"A+",IF(N165&lt;'PlayerGrades+'!$AF$3,"S-",IF(N165&lt;'PlayerGrades+'!$AF$2,"S","S+"))))))))))))))))))))</f>
        <v>F</v>
      </c>
      <c r="P165" s="937">
        <f t="shared" si="7"/>
        <v>0</v>
      </c>
      <c r="Q165" s="937" t="str">
        <f>IF(P165&lt;'PlayerGrades+'!$AG$21,"F-",IF(P165&lt;'PlayerGrades+'!$AG$20,"F",IF(P165&lt;'PlayerGrades+'!$AG$19,"F+",IF(P165&lt;'PlayerGrades+'!$AG$18,"E-",IF(P165&lt;'PlayerGrades+'!$AG$17,"E",IF(P165&lt;'PlayerGrades+'!$AG$16,"E+",IF(P165&lt;'PlayerGrades+'!$AG$15,"D-",IF(P165&lt;'PlayerGrades+'!$AG$14,"D",IF(P165&lt;'PlayerGrades+'!$AG$13,"D+",IF(P165&lt;'PlayerGrades+'!$AG$12,"C-",IF(P165&lt;'PlayerGrades+'!$AG$11,"C",IF(P165&lt;'PlayerGrades+'!$AG$10,"C+",IF(P165&lt;'PlayerGrades+'!$AG$9,"B-",IF(P165&lt;'PlayerGrades+'!$AG$8,"B",IF(P165&lt;'PlayerGrades+'!$AG$7,"B+",IF(P165&lt;'PlayerGrades+'!$AG$6,"A-",IF(P165&lt;'PlayerGrades+'!$AG$5,"A",IF(P165&lt;'PlayerGrades+'!$AG$4,"A+",IF(P165&lt;'PlayerGrades+'!$AG$3,"S-",IF(P165&lt;'PlayerGrades+'!$AG$2,"S","S+"))))))))))))))))))))</f>
        <v>F</v>
      </c>
      <c r="R165" s="937">
        <f t="shared" si="8"/>
        <v>0.6301969365</v>
      </c>
      <c r="S165" s="937" t="str">
        <f>IF(R165&lt;'PlayerGrades+'!$AH$21,"F-",IF(R165&lt;'PlayerGrades+'!$AH$20,"F",IF(R165&lt;'PlayerGrades+'!$AH$19,"F+",IF(R165&lt;'PlayerGrades+'!$AH$18,"E-",IF(R165&lt;'PlayerGrades+'!$AH$17,"E",IF(R165&lt;'PlayerGrades+'!$AH$16,"E+",IF(R165&lt;'PlayerGrades+'!$AH$15,"D-",IF(R165&lt;'PlayerGrades+'!$AH$14,"D",IF(R165&lt;'PlayerGrades+'!$AH$13,"D+",IF(R165&lt;'PlayerGrades+'!$AH$12,"C-",IF(R165&lt;'PlayerGrades+'!$AH$11,"C",IF(R165&lt;'PlayerGrades+'!$AH$10,"C+",IF(R165&lt;'PlayerGrades+'!$AH$9,"B-",IF(R165&lt;'PlayerGrades+'!$AH$8,"B",IF(R165&lt;'PlayerGrades+'!$AH$7,"B+",IF(R165&lt;'PlayerGrades+'!$AH$6,"A-",IF(R165&lt;'PlayerGrades+'!$AH$5,"A",IF(R165&lt;'PlayerGrades+'!$AH$4,"A+",IF(R165&lt;'PlayerGrades+'!$AH$3,"S-",IF(R165&lt;'PlayerGrades+'!$AH$2,"S","S+"))))))))))))))))))))</f>
        <v>A</v>
      </c>
      <c r="T165" s="937">
        <f t="shared" si="9"/>
        <v>0.4989059081</v>
      </c>
      <c r="U165" s="937" t="str">
        <f>IF(T165&lt;'PlayerGrades+'!$AI$21,"F-",IF(T165&lt;'PlayerGrades+'!$AI$20,"F",IF(T165&lt;'PlayerGrades+'!$AI$19,"F+",IF(T165&lt;'PlayerGrades+'!$AI$18,"E-",IF(T165&lt;'PlayerGrades+'!$AI$17,"E",IF(T165&lt;'PlayerGrades+'!$AI$16,"E+",IF(T165&lt;'PlayerGrades+'!$AI$15,"D-",IF(T165&lt;'PlayerGrades+'!$AI$14,"D",IF(T165&lt;'PlayerGrades+'!$AI$13,"D+",IF(T165&lt;'PlayerGrades+'!$AI$12,"C-",IF(T165&lt;'PlayerGrades+'!$AI$11,"C",IF(T165&lt;'PlayerGrades+'!$AI$10,"C+",IF(T165&lt;'PlayerGrades+'!$AI$9,"B-",IF(T165&lt;'PlayerGrades+'!$AI$8,"B",IF(T165&lt;'PlayerGrades+'!$AI$7,"B+",IF(T165&lt;'PlayerGrades+'!$AI$6,"A-",IF(T165&lt;'PlayerGrades+'!$AI$5,"A",IF(T165&lt;'PlayerGrades+'!$AI$4,"A+",IF(T165&lt;'PlayerGrades+'!$AI$3,"S-",IF(T165&lt;'PlayerGrades+'!$AI$2,"S","S+"))))))))))))))))))))</f>
        <v>F-</v>
      </c>
      <c r="V165" s="941">
        <v>1.0</v>
      </c>
      <c r="W165" s="941">
        <v>1.0</v>
      </c>
      <c r="X165" s="941">
        <v>0.0</v>
      </c>
      <c r="Y165" s="941">
        <v>0.0</v>
      </c>
      <c r="Z165" s="941">
        <v>1.0</v>
      </c>
      <c r="AA165" s="941">
        <v>118.0</v>
      </c>
      <c r="AB165" s="941">
        <v>119.0</v>
      </c>
      <c r="AC165" s="941">
        <v>-1.0</v>
      </c>
      <c r="AD165" s="941">
        <v>14.0</v>
      </c>
      <c r="AE165" s="941">
        <v>4.0</v>
      </c>
      <c r="AF165" s="941">
        <v>3.0</v>
      </c>
      <c r="AG165" s="941">
        <v>1817.0</v>
      </c>
      <c r="AH165" s="941">
        <v>2285.0</v>
      </c>
      <c r="AI165" s="941">
        <v>15.0</v>
      </c>
      <c r="AJ165" s="941">
        <v>14.0</v>
      </c>
      <c r="AK165" s="941">
        <v>0.0</v>
      </c>
      <c r="AL165" s="941">
        <v>0.0</v>
      </c>
      <c r="AM165" s="941">
        <v>0.0</v>
      </c>
      <c r="AN165" s="941">
        <v>0.0</v>
      </c>
      <c r="AO165" s="941">
        <v>0.0</v>
      </c>
      <c r="AP165" s="941">
        <v>0.0</v>
      </c>
      <c r="AQ165" s="941">
        <v>0.0</v>
      </c>
      <c r="AR165" s="941">
        <v>17.0</v>
      </c>
      <c r="AS165" s="941">
        <v>1.0</v>
      </c>
      <c r="AT165" s="941">
        <v>0.0</v>
      </c>
      <c r="AU165" s="941">
        <v>0.0</v>
      </c>
      <c r="AV165" s="941">
        <v>0.0</v>
      </c>
      <c r="AW165" s="941">
        <v>0.0</v>
      </c>
      <c r="AX165" s="941">
        <v>0.0</v>
      </c>
      <c r="AY165" s="941">
        <v>0.0</v>
      </c>
      <c r="AZ165" s="941">
        <v>0.0</v>
      </c>
      <c r="BA165" s="941">
        <v>0.0</v>
      </c>
      <c r="BB165" s="941">
        <v>0.0</v>
      </c>
      <c r="BC165" s="941">
        <v>0.0</v>
      </c>
      <c r="BD165" s="941">
        <v>10.0</v>
      </c>
      <c r="BE165" s="941">
        <v>19.0</v>
      </c>
      <c r="BF165" s="941">
        <v>0.0</v>
      </c>
      <c r="BG165" s="942">
        <v>0.0</v>
      </c>
    </row>
    <row r="166">
      <c r="A166" s="935" t="s">
        <v>128</v>
      </c>
      <c r="B166" s="16" t="str">
        <f>IF(C166&lt;'PlayerGrades+'!$Y$44,"F-",IF(C166&lt;'PlayerGrades+'!$Y$43,"F",IF(C166&lt;'PlayerGrades+'!$Y$42,"F+",IF(C166&lt;'PlayerGrades+'!$Y$41,"E-",IF(C166&lt;'PlayerGrades+'!$Y$40,"E",IF(C166&lt;'PlayerGrades+'!$Y$39,"E+",IF(C166&lt;'PlayerGrades+'!$Y$38,"D-",IF(C166&lt;'PlayerGrades+'!$Y$37,"D",IF(C166&lt;'PlayerGrades+'!$Y$36,"D+",IF(C166&lt;'PlayerGrades+'!$Y$35,"C-",IF(C166&lt;'PlayerGrades+'!$Y$34,"C",IF(C166&lt;'PlayerGrades+'!$Y$33,"C+",IF(C166&lt;'PlayerGrades+'!$Y$32,"B-",IF(C166&lt;'PlayerGrades+'!$Y$31,"B",IF(C166&lt;'PlayerGrades+'!$Y$30,"B+",IF(C166&lt;'PlayerGrades+'!$Y$29,"A-",IF(C166&lt;'PlayerGrades+'!$Y$28,"A",IF(C166&lt;'PlayerGrades+'!$Y$27,"A+",IF(C166&lt;'PlayerGrades+'!$Y$26,"S-",IF(C166&lt;'PlayerGrades+'!$Y$25,"S","S+"))))))))))))))))))))</f>
        <v>A</v>
      </c>
      <c r="C166" s="936">
        <f>('PlayerGrades+'!$Y$47*(VLOOKUP(E166, 'PlayerGrades+'!$X$3:$Y$23, 2, FALSE)))+('PlayerGrades+'!$Y$48*(VLOOKUP(G166, 'PlayerGrades+'!$X$3:$Y$23, 2, FALSE)))+('PlayerGrades+'!$Y$49*(VLOOKUP(I166, 'PlayerGrades+'!$X$3:$Y$23, 2, FALSE)))+('PlayerGrades+'!$Y$50*(VLOOKUP(K166, 'PlayerGrades+'!$X$3:$Y$23, 2, FALSE)))+('PlayerGrades+'!$Y$51*(VLOOKUP(M166, 'PlayerGrades+'!$X$3:$Y$23, 2, FALSE)))+('PlayerGrades+'!$Y$52*(VLOOKUP(O166, 'PlayerGrades+'!$X$3:$Y$23, 2, FALSE)))+('PlayerGrades+'!$Y$53*(VLOOKUP(Q166, 'PlayerGrades+'!$X$3:$Y$23, 2, FALSE)))+('PlayerGrades+'!$Y$54*(VLOOKUP(S166, 'PlayerGrades+'!$X$3:$Y$23, 2, FALSE)))+('PlayerGrades+'!$Y$55*(VLOOKUP(U166, 'PlayerGrades+'!$X$3:$Y$23, 2, FALSE)))</f>
        <v>25.5</v>
      </c>
      <c r="D166" s="937">
        <f t="shared" si="1"/>
        <v>0.1050328228</v>
      </c>
      <c r="E166" s="937" t="str">
        <f>IF(D166&lt;'PlayerGrades+'!$AA$21,"F-",IF(D166&lt;'PlayerGrades+'!$AA$20,"F",IF(D166&lt;'PlayerGrades+'!$AA$19,"F+",IF(D166&lt;'PlayerGrades+'!$AA$18,"E-",IF(D166&lt;'PlayerGrades+'!$AA$17,"E",IF(D166&lt;'PlayerGrades+'!$AA$16,"E+",IF(D166&lt;'PlayerGrades+'!$AA$15,"D-",IF(D166&lt;'PlayerGrades+'!$AA$14,"D",IF(D166&lt;'PlayerGrades+'!$AA$13,"D+",IF(D166&lt;'PlayerGrades+'!$AA$12,"C-",IF(D166&lt;'PlayerGrades+'!$AA$11,"C",IF(D166&lt;'PlayerGrades+'!$AA$10,"C+",IF(D166&lt;'PlayerGrades+'!$AA$9,"B-",IF(D166&lt;'PlayerGrades+'!$AA$8,"B",IF(D166&lt;'PlayerGrades+'!$AA$7,"B+",IF(D166&lt;'PlayerGrades+'!$AA$6,"A-",IF(D166&lt;'PlayerGrades+'!$AA$5,"A",IF(D166&lt;'PlayerGrades+'!$AA$4,"A+",IF(D166&lt;'PlayerGrades+'!$AA$3,"S-",IF(D166&lt;'PlayerGrades+'!$AA$2,"S","S+"))))))))))))))))))))</f>
        <v>B</v>
      </c>
      <c r="F166" s="937">
        <f t="shared" si="2"/>
        <v>-0.1312910284</v>
      </c>
      <c r="G166" s="937" t="str">
        <f>IF(F166&lt;'PlayerGrades+'!$AB$21,"F-",IF(F166&lt;'PlayerGrades+'!$AB$20,"F",IF(F166&lt;'PlayerGrades+'!$AB$19,"F+",IF(F166&lt;'PlayerGrades+'!$AB$18,"E-",IF(F166&lt;'PlayerGrades+'!$AB$17,"E",IF(F166&lt;'PlayerGrades+'!$AB$16,"E+",IF(F166&lt;'PlayerGrades+'!$AB$15,"D-",IF(F166&lt;'PlayerGrades+'!$AB$14,"D",IF(F166&lt;'PlayerGrades+'!$AB$13,"D+",IF(F166&lt;'PlayerGrades+'!$AB$12,"C-",IF(F166&lt;'PlayerGrades+'!$AB$11,"C",IF(F166&lt;'PlayerGrades+'!$AB$10,"C+",IF(F166&lt;'PlayerGrades+'!$AB$9,"B-",IF(F166&lt;'PlayerGrades+'!$AB$8,"B",IF(F166&lt;'PlayerGrades+'!$AB$7,"B+",IF(F166&lt;'PlayerGrades+'!$AB$6,"A-",IF(F166&lt;'PlayerGrades+'!$AB$5,"A",IF(F166&lt;'PlayerGrades+'!$AB$4,"A+",IF(F166&lt;'PlayerGrades+'!$AB$3,"S-",IF(F166&lt;'PlayerGrades+'!$AB$2,"S","S+"))))))))))))))))))))</f>
        <v>C+</v>
      </c>
      <c r="H166" s="937">
        <f t="shared" si="3"/>
        <v>0.02625820569</v>
      </c>
      <c r="I166" s="937" t="str">
        <f>IF(H166&lt;'PlayerGrades+'!$AC$21,"F-",IF(H166&lt;'PlayerGrades+'!$AC$20,"F",IF(H166&lt;'PlayerGrades+'!$AC$19,"F+",IF(H166&lt;'PlayerGrades+'!$AC$18,"E-",IF(H166&lt;'PlayerGrades+'!$AC$17,"E",IF(H166&lt;'PlayerGrades+'!$AC$16,"E+",IF(H166&lt;'PlayerGrades+'!$AC$15,"D-",IF(H166&lt;'PlayerGrades+'!$AC$14,"D",IF(H166&lt;'PlayerGrades+'!$AC$13,"D+",IF(H166&lt;'PlayerGrades+'!$AC$12,"C-",IF(H166&lt;'PlayerGrades+'!$AC$11,"C",IF(H166&lt;'PlayerGrades+'!$AC$10,"C+",IF(H166&lt;'PlayerGrades+'!$AC$9,"B-",IF(H166&lt;'PlayerGrades+'!$AC$8,"B",IF(H166&lt;'PlayerGrades+'!$AC$7,"B+",IF(H166&lt;'PlayerGrades+'!$AC$6,"A-",IF(H166&lt;'PlayerGrades+'!$AC$5,"A",IF(H166&lt;'PlayerGrades+'!$AC$4,"A+",IF(H166&lt;'PlayerGrades+'!$AC$3,"S-",IF(H166&lt;'PlayerGrades+'!$AC$2,"S","S+"))))))))))))))))))))</f>
        <v>F-</v>
      </c>
      <c r="J166" s="937">
        <f t="shared" si="4"/>
        <v>0.05251641138</v>
      </c>
      <c r="K166" s="937" t="str">
        <f>IF(J166&lt;'PlayerGrades+'!$AD$21,"F-",IF(J166&lt;'PlayerGrades+'!$AD$20,"F",IF(J166&lt;'PlayerGrades+'!$AD$19,"F+",IF(J166&lt;'PlayerGrades+'!$AD$18,"E-",IF(J166&lt;'PlayerGrades+'!$AD$17,"E",IF(J166&lt;'PlayerGrades+'!$AD$16,"E+",IF(J166&lt;'PlayerGrades+'!$AD$15,"D-",IF(J166&lt;'PlayerGrades+'!$AD$14,"D",IF(J166&lt;'PlayerGrades+'!$AD$13,"D+",IF(J166&lt;'PlayerGrades+'!$AD$12,"C-",IF(J166&lt;'PlayerGrades+'!$AD$11,"C",IF(J166&lt;'PlayerGrades+'!$AD$10,"C+",IF(J166&lt;'PlayerGrades+'!$AD$9,"B-",IF(J166&lt;'PlayerGrades+'!$AD$8,"B",IF(J166&lt;'PlayerGrades+'!$AD$7,"B+",IF(J166&lt;'PlayerGrades+'!$AD$6,"A-",IF(J166&lt;'PlayerGrades+'!$AD$5,"A",IF(J166&lt;'PlayerGrades+'!$AD$4,"A+",IF(J166&lt;'PlayerGrades+'!$AD$3,"S-",IF(J166&lt;'PlayerGrades+'!$AD$2,"S","S+"))))))))))))))))))))</f>
        <v>B</v>
      </c>
      <c r="L166" s="677">
        <f t="shared" si="5"/>
        <v>0.6039387309</v>
      </c>
      <c r="M166" s="938" t="str">
        <f>IF(L166&lt;'PlayerGrades+'!$AE$21,"F-",IF(L166&lt;'PlayerGrades+'!$AE$20,"F",IF(L166&lt;'PlayerGrades+'!$AE$19,"F+",IF(L166&lt;'PlayerGrades+'!$AE$18,"E-",IF(L166&lt;'PlayerGrades+'!$AE$17,"E",IF(L166&lt;'PlayerGrades+'!$AE$16,"E+",IF(L166&lt;'PlayerGrades+'!$AE$15,"D-",IF(L166&lt;'PlayerGrades+'!$AE$14,"D",IF(L166&lt;'PlayerGrades+'!$AE$13,"D+",IF(L166&lt;'PlayerGrades+'!$AE$12,"C-",IF(L166&lt;'PlayerGrades+'!$AE$11,"C",IF(L166&lt;'PlayerGrades+'!$AE$10,"C+",IF(L166&lt;'PlayerGrades+'!$AE$9,"B-",IF(L166&lt;'PlayerGrades+'!$AE$8,"B",IF(L166&lt;'PlayerGrades+'!$AE$7,"B+",IF(L166&lt;'PlayerGrades+'!$AE$6,"A-",IF(L166&lt;'PlayerGrades+'!$AE$5,"A",IF(L166&lt;'PlayerGrades+'!$AE$4,"A+",IF(L166&lt;'PlayerGrades+'!$AE$3,"S-",IF(L166&lt;'PlayerGrades+'!$AE$2,"S","S+"))))))))))))))))))))</f>
        <v>A+</v>
      </c>
      <c r="N166" s="937">
        <f t="shared" si="6"/>
        <v>0.1312910284</v>
      </c>
      <c r="O166" s="937" t="str">
        <f>IF(N166&lt;'PlayerGrades+'!$AF$21,"F-",IF(N166&lt;'PlayerGrades+'!$AF$20,"F",IF(N166&lt;'PlayerGrades+'!$AF$19,"F+",IF(N166&lt;'PlayerGrades+'!$AF$18,"E-",IF(N166&lt;'PlayerGrades+'!$AF$17,"E",IF(N166&lt;'PlayerGrades+'!$AF$16,"E+",IF(N166&lt;'PlayerGrades+'!$AF$15,"D-",IF(N166&lt;'PlayerGrades+'!$AF$14,"D",IF(N166&lt;'PlayerGrades+'!$AF$13,"D+",IF(N166&lt;'PlayerGrades+'!$AF$12,"C-",IF(N166&lt;'PlayerGrades+'!$AF$11,"C",IF(N166&lt;'PlayerGrades+'!$AF$10,"C+",IF(N166&lt;'PlayerGrades+'!$AF$9,"B-",IF(N166&lt;'PlayerGrades+'!$AF$8,"B",IF(N166&lt;'PlayerGrades+'!$AF$7,"B+",IF(N166&lt;'PlayerGrades+'!$AF$6,"A-",IF(N166&lt;'PlayerGrades+'!$AF$5,"A",IF(N166&lt;'PlayerGrades+'!$AF$4,"A+",IF(N166&lt;'PlayerGrades+'!$AF$3,"S-",IF(N166&lt;'PlayerGrades+'!$AF$2,"S","S+"))))))))))))))))))))</f>
        <v>S</v>
      </c>
      <c r="P166" s="937">
        <f t="shared" si="7"/>
        <v>0</v>
      </c>
      <c r="Q166" s="937" t="str">
        <f>IF(P166&lt;'PlayerGrades+'!$AG$21,"F-",IF(P166&lt;'PlayerGrades+'!$AG$20,"F",IF(P166&lt;'PlayerGrades+'!$AG$19,"F+",IF(P166&lt;'PlayerGrades+'!$AG$18,"E-",IF(P166&lt;'PlayerGrades+'!$AG$17,"E",IF(P166&lt;'PlayerGrades+'!$AG$16,"E+",IF(P166&lt;'PlayerGrades+'!$AG$15,"D-",IF(P166&lt;'PlayerGrades+'!$AG$14,"D",IF(P166&lt;'PlayerGrades+'!$AG$13,"D+",IF(P166&lt;'PlayerGrades+'!$AG$12,"C-",IF(P166&lt;'PlayerGrades+'!$AG$11,"C",IF(P166&lt;'PlayerGrades+'!$AG$10,"C+",IF(P166&lt;'PlayerGrades+'!$AG$9,"B-",IF(P166&lt;'PlayerGrades+'!$AG$8,"B",IF(P166&lt;'PlayerGrades+'!$AG$7,"B+",IF(P166&lt;'PlayerGrades+'!$AG$6,"A-",IF(P166&lt;'PlayerGrades+'!$AG$5,"A",IF(P166&lt;'PlayerGrades+'!$AG$4,"A+",IF(P166&lt;'PlayerGrades+'!$AG$3,"S-",IF(P166&lt;'PlayerGrades+'!$AG$2,"S","S+"))))))))))))))))))))</f>
        <v>F</v>
      </c>
      <c r="R166" s="937">
        <f t="shared" si="8"/>
        <v>0.6564551422</v>
      </c>
      <c r="S166" s="937" t="str">
        <f>IF(R166&lt;'PlayerGrades+'!$AH$21,"F-",IF(R166&lt;'PlayerGrades+'!$AH$20,"F",IF(R166&lt;'PlayerGrades+'!$AH$19,"F+",IF(R166&lt;'PlayerGrades+'!$AH$18,"E-",IF(R166&lt;'PlayerGrades+'!$AH$17,"E",IF(R166&lt;'PlayerGrades+'!$AH$16,"E+",IF(R166&lt;'PlayerGrades+'!$AH$15,"D-",IF(R166&lt;'PlayerGrades+'!$AH$14,"D",IF(R166&lt;'PlayerGrades+'!$AH$13,"D+",IF(R166&lt;'PlayerGrades+'!$AH$12,"C-",IF(R166&lt;'PlayerGrades+'!$AH$11,"C",IF(R166&lt;'PlayerGrades+'!$AH$10,"C+",IF(R166&lt;'PlayerGrades+'!$AH$9,"B-",IF(R166&lt;'PlayerGrades+'!$AH$8,"B",IF(R166&lt;'PlayerGrades+'!$AH$7,"B+",IF(R166&lt;'PlayerGrades+'!$AH$6,"A-",IF(R166&lt;'PlayerGrades+'!$AH$5,"A",IF(R166&lt;'PlayerGrades+'!$AH$4,"A+",IF(R166&lt;'PlayerGrades+'!$AH$3,"S-",IF(R166&lt;'PlayerGrades+'!$AH$2,"S","S+"))))))))))))))))))))</f>
        <v>A+</v>
      </c>
      <c r="T166" s="937">
        <f t="shared" si="9"/>
        <v>2.446389497</v>
      </c>
      <c r="U166" s="937" t="str">
        <f>IF(T166&lt;'PlayerGrades+'!$AI$21,"F-",IF(T166&lt;'PlayerGrades+'!$AI$20,"F",IF(T166&lt;'PlayerGrades+'!$AI$19,"F+",IF(T166&lt;'PlayerGrades+'!$AI$18,"E-",IF(T166&lt;'PlayerGrades+'!$AI$17,"E",IF(T166&lt;'PlayerGrades+'!$AI$16,"E+",IF(T166&lt;'PlayerGrades+'!$AI$15,"D-",IF(T166&lt;'PlayerGrades+'!$AI$14,"D",IF(T166&lt;'PlayerGrades+'!$AI$13,"D+",IF(T166&lt;'PlayerGrades+'!$AI$12,"C-",IF(T166&lt;'PlayerGrades+'!$AI$11,"C",IF(T166&lt;'PlayerGrades+'!$AI$10,"C+",IF(T166&lt;'PlayerGrades+'!$AI$9,"B-",IF(T166&lt;'PlayerGrades+'!$AI$8,"B",IF(T166&lt;'PlayerGrades+'!$AI$7,"B+",IF(T166&lt;'PlayerGrades+'!$AI$6,"A-",IF(T166&lt;'PlayerGrades+'!$AI$5,"A",IF(T166&lt;'PlayerGrades+'!$AI$4,"A+",IF(T166&lt;'PlayerGrades+'!$AI$3,"S-",IF(T166&lt;'PlayerGrades+'!$AI$2,"S","S+"))))))))))))))))))))</f>
        <v>S+</v>
      </c>
      <c r="V166" s="941">
        <v>1.0</v>
      </c>
      <c r="W166" s="941">
        <v>0.0</v>
      </c>
      <c r="X166" s="941">
        <v>1.0</v>
      </c>
      <c r="Y166" s="941">
        <v>2.0</v>
      </c>
      <c r="Z166" s="941">
        <v>2.0</v>
      </c>
      <c r="AA166" s="941">
        <v>141.0</v>
      </c>
      <c r="AB166" s="941">
        <v>146.0</v>
      </c>
      <c r="AC166" s="941">
        <v>-5.0</v>
      </c>
      <c r="AD166" s="941">
        <v>8.0</v>
      </c>
      <c r="AE166" s="941">
        <v>5.0</v>
      </c>
      <c r="AF166" s="941">
        <v>1.0</v>
      </c>
      <c r="AG166" s="941">
        <v>1738.0</v>
      </c>
      <c r="AH166" s="941">
        <v>2285.0</v>
      </c>
      <c r="AI166" s="941">
        <v>11.0</v>
      </c>
      <c r="AJ166" s="941">
        <v>57.0</v>
      </c>
      <c r="AK166" s="941">
        <v>0.0</v>
      </c>
      <c r="AL166" s="941">
        <v>2.0</v>
      </c>
      <c r="AM166" s="941">
        <v>0.0</v>
      </c>
      <c r="AN166" s="941">
        <v>0.0</v>
      </c>
      <c r="AO166" s="941">
        <v>0.0</v>
      </c>
      <c r="AP166" s="941">
        <v>0.0</v>
      </c>
      <c r="AQ166" s="941">
        <v>0.0</v>
      </c>
      <c r="AR166" s="941">
        <v>23.0</v>
      </c>
      <c r="AS166" s="941">
        <v>5.0</v>
      </c>
      <c r="AT166" s="941">
        <v>1.0</v>
      </c>
      <c r="AU166" s="941">
        <v>0.0</v>
      </c>
      <c r="AV166" s="941">
        <v>0.0</v>
      </c>
      <c r="AW166" s="941">
        <v>0.0</v>
      </c>
      <c r="AX166" s="941">
        <v>0.0</v>
      </c>
      <c r="AY166" s="941">
        <v>0.0</v>
      </c>
      <c r="AZ166" s="941">
        <v>0.0</v>
      </c>
      <c r="BA166" s="941">
        <v>0.0</v>
      </c>
      <c r="BB166" s="941">
        <v>1.0</v>
      </c>
      <c r="BC166" s="941">
        <v>0.0</v>
      </c>
      <c r="BD166" s="941">
        <v>17.0</v>
      </c>
      <c r="BE166" s="941">
        <v>17.0</v>
      </c>
      <c r="BF166" s="941">
        <v>2.0</v>
      </c>
      <c r="BG166" s="942">
        <v>1.0</v>
      </c>
    </row>
    <row r="167">
      <c r="A167" s="935" t="s">
        <v>150</v>
      </c>
      <c r="B167" s="16" t="str">
        <f>IF(C167&lt;'PlayerGrades+'!$Y$44,"F-",IF(C167&lt;'PlayerGrades+'!$Y$43,"F",IF(C167&lt;'PlayerGrades+'!$Y$42,"F+",IF(C167&lt;'PlayerGrades+'!$Y$41,"E-",IF(C167&lt;'PlayerGrades+'!$Y$40,"E",IF(C167&lt;'PlayerGrades+'!$Y$39,"E+",IF(C167&lt;'PlayerGrades+'!$Y$38,"D-",IF(C167&lt;'PlayerGrades+'!$Y$37,"D",IF(C167&lt;'PlayerGrades+'!$Y$36,"D+",IF(C167&lt;'PlayerGrades+'!$Y$35,"C-",IF(C167&lt;'PlayerGrades+'!$Y$34,"C",IF(C167&lt;'PlayerGrades+'!$Y$33,"C+",IF(C167&lt;'PlayerGrades+'!$Y$32,"B-",IF(C167&lt;'PlayerGrades+'!$Y$31,"B",IF(C167&lt;'PlayerGrades+'!$Y$30,"B+",IF(C167&lt;'PlayerGrades+'!$Y$29,"A-",IF(C167&lt;'PlayerGrades+'!$Y$28,"A",IF(C167&lt;'PlayerGrades+'!$Y$27,"A+",IF(C167&lt;'PlayerGrades+'!$Y$26,"S-",IF(C167&lt;'PlayerGrades+'!$Y$25,"S","S+"))))))))))))))))))))</f>
        <v>D+</v>
      </c>
      <c r="C167" s="936">
        <f>('PlayerGrades+'!$Y$47*(VLOOKUP(E167, 'PlayerGrades+'!$X$3:$Y$23, 2, FALSE)))+('PlayerGrades+'!$Y$48*(VLOOKUP(G167, 'PlayerGrades+'!$X$3:$Y$23, 2, FALSE)))+('PlayerGrades+'!$Y$49*(VLOOKUP(I167, 'PlayerGrades+'!$X$3:$Y$23, 2, FALSE)))+('PlayerGrades+'!$Y$50*(VLOOKUP(K167, 'PlayerGrades+'!$X$3:$Y$23, 2, FALSE)))+('PlayerGrades+'!$Y$51*(VLOOKUP(M167, 'PlayerGrades+'!$X$3:$Y$23, 2, FALSE)))+('PlayerGrades+'!$Y$52*(VLOOKUP(O167, 'PlayerGrades+'!$X$3:$Y$23, 2, FALSE)))+('PlayerGrades+'!$Y$53*(VLOOKUP(Q167, 'PlayerGrades+'!$X$3:$Y$23, 2, FALSE)))+('PlayerGrades+'!$Y$54*(VLOOKUP(S167, 'PlayerGrades+'!$X$3:$Y$23, 2, FALSE)))+('PlayerGrades+'!$Y$55*(VLOOKUP(U167, 'PlayerGrades+'!$X$3:$Y$23, 2, FALSE)))</f>
        <v>17.2</v>
      </c>
      <c r="D167" s="937">
        <f t="shared" si="1"/>
        <v>0.420131291</v>
      </c>
      <c r="E167" s="937" t="str">
        <f>IF(D167&lt;'PlayerGrades+'!$AA$21,"F-",IF(D167&lt;'PlayerGrades+'!$AA$20,"F",IF(D167&lt;'PlayerGrades+'!$AA$19,"F+",IF(D167&lt;'PlayerGrades+'!$AA$18,"E-",IF(D167&lt;'PlayerGrades+'!$AA$17,"E",IF(D167&lt;'PlayerGrades+'!$AA$16,"E+",IF(D167&lt;'PlayerGrades+'!$AA$15,"D-",IF(D167&lt;'PlayerGrades+'!$AA$14,"D",IF(D167&lt;'PlayerGrades+'!$AA$13,"D+",IF(D167&lt;'PlayerGrades+'!$AA$12,"C-",IF(D167&lt;'PlayerGrades+'!$AA$11,"C",IF(D167&lt;'PlayerGrades+'!$AA$10,"C+",IF(D167&lt;'PlayerGrades+'!$AA$9,"B-",IF(D167&lt;'PlayerGrades+'!$AA$8,"B",IF(D167&lt;'PlayerGrades+'!$AA$7,"B+",IF(D167&lt;'PlayerGrades+'!$AA$6,"A-",IF(D167&lt;'PlayerGrades+'!$AA$5,"A",IF(D167&lt;'PlayerGrades+'!$AA$4,"A+",IF(D167&lt;'PlayerGrades+'!$AA$3,"S-",IF(D167&lt;'PlayerGrades+'!$AA$2,"S","S+"))))))))))))))))))))</f>
        <v>A+</v>
      </c>
      <c r="F167" s="937">
        <f t="shared" si="2"/>
        <v>-0.7089715536</v>
      </c>
      <c r="G167" s="937" t="str">
        <f>IF(F167&lt;'PlayerGrades+'!$AB$21,"F-",IF(F167&lt;'PlayerGrades+'!$AB$20,"F",IF(F167&lt;'PlayerGrades+'!$AB$19,"F+",IF(F167&lt;'PlayerGrades+'!$AB$18,"E-",IF(F167&lt;'PlayerGrades+'!$AB$17,"E",IF(F167&lt;'PlayerGrades+'!$AB$16,"E+",IF(F167&lt;'PlayerGrades+'!$AB$15,"D-",IF(F167&lt;'PlayerGrades+'!$AB$14,"D",IF(F167&lt;'PlayerGrades+'!$AB$13,"D+",IF(F167&lt;'PlayerGrades+'!$AB$12,"C-",IF(F167&lt;'PlayerGrades+'!$AB$11,"C",IF(F167&lt;'PlayerGrades+'!$AB$10,"C+",IF(F167&lt;'PlayerGrades+'!$AB$9,"B-",IF(F167&lt;'PlayerGrades+'!$AB$8,"B",IF(F167&lt;'PlayerGrades+'!$AB$7,"B+",IF(F167&lt;'PlayerGrades+'!$AB$6,"A-",IF(F167&lt;'PlayerGrades+'!$AB$5,"A",IF(F167&lt;'PlayerGrades+'!$AB$4,"A+",IF(F167&lt;'PlayerGrades+'!$AB$3,"S-",IF(F167&lt;'PlayerGrades+'!$AB$2,"S","S+"))))))))))))))))))))</f>
        <v>E+</v>
      </c>
      <c r="H167" s="937">
        <f t="shared" si="3"/>
        <v>0.02625820569</v>
      </c>
      <c r="I167" s="937" t="str">
        <f>IF(H167&lt;'PlayerGrades+'!$AC$21,"F-",IF(H167&lt;'PlayerGrades+'!$AC$20,"F",IF(H167&lt;'PlayerGrades+'!$AC$19,"F+",IF(H167&lt;'PlayerGrades+'!$AC$18,"E-",IF(H167&lt;'PlayerGrades+'!$AC$17,"E",IF(H167&lt;'PlayerGrades+'!$AC$16,"E+",IF(H167&lt;'PlayerGrades+'!$AC$15,"D-",IF(H167&lt;'PlayerGrades+'!$AC$14,"D",IF(H167&lt;'PlayerGrades+'!$AC$13,"D+",IF(H167&lt;'PlayerGrades+'!$AC$12,"C-",IF(H167&lt;'PlayerGrades+'!$AC$11,"C",IF(H167&lt;'PlayerGrades+'!$AC$10,"C+",IF(H167&lt;'PlayerGrades+'!$AC$9,"B-",IF(H167&lt;'PlayerGrades+'!$AC$8,"B",IF(H167&lt;'PlayerGrades+'!$AC$7,"B+",IF(H167&lt;'PlayerGrades+'!$AC$6,"A-",IF(H167&lt;'PlayerGrades+'!$AC$5,"A",IF(H167&lt;'PlayerGrades+'!$AC$4,"A+",IF(H167&lt;'PlayerGrades+'!$AC$3,"S-",IF(H167&lt;'PlayerGrades+'!$AC$2,"S","S+"))))))))))))))))))))</f>
        <v>F-</v>
      </c>
      <c r="J167" s="937">
        <f t="shared" si="4"/>
        <v>0.05251641138</v>
      </c>
      <c r="K167" s="937" t="str">
        <f>IF(J167&lt;'PlayerGrades+'!$AD$21,"F-",IF(J167&lt;'PlayerGrades+'!$AD$20,"F",IF(J167&lt;'PlayerGrades+'!$AD$19,"F+",IF(J167&lt;'PlayerGrades+'!$AD$18,"E-",IF(J167&lt;'PlayerGrades+'!$AD$17,"E",IF(J167&lt;'PlayerGrades+'!$AD$16,"E+",IF(J167&lt;'PlayerGrades+'!$AD$15,"D-",IF(J167&lt;'PlayerGrades+'!$AD$14,"D",IF(J167&lt;'PlayerGrades+'!$AD$13,"D+",IF(J167&lt;'PlayerGrades+'!$AD$12,"C-",IF(J167&lt;'PlayerGrades+'!$AD$11,"C",IF(J167&lt;'PlayerGrades+'!$AD$10,"C+",IF(J167&lt;'PlayerGrades+'!$AD$9,"B-",IF(J167&lt;'PlayerGrades+'!$AD$8,"B",IF(J167&lt;'PlayerGrades+'!$AD$7,"B+",IF(J167&lt;'PlayerGrades+'!$AD$6,"A-",IF(J167&lt;'PlayerGrades+'!$AD$5,"A",IF(J167&lt;'PlayerGrades+'!$AD$4,"A+",IF(J167&lt;'PlayerGrades+'!$AD$3,"S-",IF(J167&lt;'PlayerGrades+'!$AD$2,"S","S+"))))))))))))))))))))</f>
        <v>B</v>
      </c>
      <c r="L167" s="677">
        <f t="shared" si="5"/>
        <v>0.2888402626</v>
      </c>
      <c r="M167" s="938" t="str">
        <f>IF(L167&lt;'PlayerGrades+'!$AE$21,"F-",IF(L167&lt;'PlayerGrades+'!$AE$20,"F",IF(L167&lt;'PlayerGrades+'!$AE$19,"F+",IF(L167&lt;'PlayerGrades+'!$AE$18,"E-",IF(L167&lt;'PlayerGrades+'!$AE$17,"E",IF(L167&lt;'PlayerGrades+'!$AE$16,"E+",IF(L167&lt;'PlayerGrades+'!$AE$15,"D-",IF(L167&lt;'PlayerGrades+'!$AE$14,"D",IF(L167&lt;'PlayerGrades+'!$AE$13,"D+",IF(L167&lt;'PlayerGrades+'!$AE$12,"C-",IF(L167&lt;'PlayerGrades+'!$AE$11,"C",IF(L167&lt;'PlayerGrades+'!$AE$10,"C+",IF(L167&lt;'PlayerGrades+'!$AE$9,"B-",IF(L167&lt;'PlayerGrades+'!$AE$8,"B",IF(L167&lt;'PlayerGrades+'!$AE$7,"B+",IF(L167&lt;'PlayerGrades+'!$AE$6,"A-",IF(L167&lt;'PlayerGrades+'!$AE$5,"A",IF(L167&lt;'PlayerGrades+'!$AE$4,"A+",IF(L167&lt;'PlayerGrades+'!$AE$3,"S-",IF(L167&lt;'PlayerGrades+'!$AE$2,"S","S+"))))))))))))))))))))</f>
        <v>F+</v>
      </c>
      <c r="N167" s="937">
        <f t="shared" si="6"/>
        <v>0.05251641138</v>
      </c>
      <c r="O167" s="937" t="str">
        <f>IF(N167&lt;'PlayerGrades+'!$AF$21,"F-",IF(N167&lt;'PlayerGrades+'!$AF$20,"F",IF(N167&lt;'PlayerGrades+'!$AF$19,"F+",IF(N167&lt;'PlayerGrades+'!$AF$18,"E-",IF(N167&lt;'PlayerGrades+'!$AF$17,"E",IF(N167&lt;'PlayerGrades+'!$AF$16,"E+",IF(N167&lt;'PlayerGrades+'!$AF$15,"D-",IF(N167&lt;'PlayerGrades+'!$AF$14,"D",IF(N167&lt;'PlayerGrades+'!$AF$13,"D+",IF(N167&lt;'PlayerGrades+'!$AF$12,"C-",IF(N167&lt;'PlayerGrades+'!$AF$11,"C",IF(N167&lt;'PlayerGrades+'!$AF$10,"C+",IF(N167&lt;'PlayerGrades+'!$AF$9,"B-",IF(N167&lt;'PlayerGrades+'!$AF$8,"B",IF(N167&lt;'PlayerGrades+'!$AF$7,"B+",IF(N167&lt;'PlayerGrades+'!$AF$6,"A-",IF(N167&lt;'PlayerGrades+'!$AF$5,"A",IF(N167&lt;'PlayerGrades+'!$AF$4,"A+",IF(N167&lt;'PlayerGrades+'!$AF$3,"S-",IF(N167&lt;'PlayerGrades+'!$AF$2,"S","S+"))))))))))))))))))))</f>
        <v>D</v>
      </c>
      <c r="P167" s="937">
        <f t="shared" si="7"/>
        <v>0.02625820569</v>
      </c>
      <c r="Q167" s="937" t="str">
        <f>IF(P167&lt;'PlayerGrades+'!$AG$21,"F-",IF(P167&lt;'PlayerGrades+'!$AG$20,"F",IF(P167&lt;'PlayerGrades+'!$AG$19,"F+",IF(P167&lt;'PlayerGrades+'!$AG$18,"E-",IF(P167&lt;'PlayerGrades+'!$AG$17,"E",IF(P167&lt;'PlayerGrades+'!$AG$16,"E+",IF(P167&lt;'PlayerGrades+'!$AG$15,"D-",IF(P167&lt;'PlayerGrades+'!$AG$14,"D",IF(P167&lt;'PlayerGrades+'!$AG$13,"D+",IF(P167&lt;'PlayerGrades+'!$AG$12,"C-",IF(P167&lt;'PlayerGrades+'!$AG$11,"C",IF(P167&lt;'PlayerGrades+'!$AG$10,"C+",IF(P167&lt;'PlayerGrades+'!$AG$9,"B-",IF(P167&lt;'PlayerGrades+'!$AG$8,"B",IF(P167&lt;'PlayerGrades+'!$AG$7,"B+",IF(P167&lt;'PlayerGrades+'!$AG$6,"A-",IF(P167&lt;'PlayerGrades+'!$AG$5,"A",IF(P167&lt;'PlayerGrades+'!$AG$4,"A+",IF(P167&lt;'PlayerGrades+'!$AG$3,"S-",IF(P167&lt;'PlayerGrades+'!$AG$2,"S","S+"))))))))))))))))))))</f>
        <v>B</v>
      </c>
      <c r="R167" s="937">
        <f t="shared" si="8"/>
        <v>0.5776805252</v>
      </c>
      <c r="S167" s="937" t="str">
        <f>IF(R167&lt;'PlayerGrades+'!$AH$21,"F-",IF(R167&lt;'PlayerGrades+'!$AH$20,"F",IF(R167&lt;'PlayerGrades+'!$AH$19,"F+",IF(R167&lt;'PlayerGrades+'!$AH$18,"E-",IF(R167&lt;'PlayerGrades+'!$AH$17,"E",IF(R167&lt;'PlayerGrades+'!$AH$16,"E+",IF(R167&lt;'PlayerGrades+'!$AH$15,"D-",IF(R167&lt;'PlayerGrades+'!$AH$14,"D",IF(R167&lt;'PlayerGrades+'!$AH$13,"D+",IF(R167&lt;'PlayerGrades+'!$AH$12,"C-",IF(R167&lt;'PlayerGrades+'!$AH$11,"C",IF(R167&lt;'PlayerGrades+'!$AH$10,"C+",IF(R167&lt;'PlayerGrades+'!$AH$9,"B-",IF(R167&lt;'PlayerGrades+'!$AH$8,"B",IF(R167&lt;'PlayerGrades+'!$AH$7,"B+",IF(R167&lt;'PlayerGrades+'!$AH$6,"A-",IF(R167&lt;'PlayerGrades+'!$AH$5,"A",IF(R167&lt;'PlayerGrades+'!$AH$4,"A+",IF(R167&lt;'PlayerGrades+'!$AH$3,"S-",IF(R167&lt;'PlayerGrades+'!$AH$2,"S","S+"))))))))))))))))))))</f>
        <v>B</v>
      </c>
      <c r="T167" s="937">
        <f t="shared" si="9"/>
        <v>1.18380744</v>
      </c>
      <c r="U167" s="937" t="str">
        <f>IF(T167&lt;'PlayerGrades+'!$AI$21,"F-",IF(T167&lt;'PlayerGrades+'!$AI$20,"F",IF(T167&lt;'PlayerGrades+'!$AI$19,"F+",IF(T167&lt;'PlayerGrades+'!$AI$18,"E-",IF(T167&lt;'PlayerGrades+'!$AI$17,"E",IF(T167&lt;'PlayerGrades+'!$AI$16,"E+",IF(T167&lt;'PlayerGrades+'!$AI$15,"D-",IF(T167&lt;'PlayerGrades+'!$AI$14,"D",IF(T167&lt;'PlayerGrades+'!$AI$13,"D+",IF(T167&lt;'PlayerGrades+'!$AI$12,"C-",IF(T167&lt;'PlayerGrades+'!$AI$11,"C",IF(T167&lt;'PlayerGrades+'!$AI$10,"C+",IF(T167&lt;'PlayerGrades+'!$AI$9,"B-",IF(T167&lt;'PlayerGrades+'!$AI$8,"B",IF(T167&lt;'PlayerGrades+'!$AI$7,"B+",IF(T167&lt;'PlayerGrades+'!$AI$6,"A-",IF(T167&lt;'PlayerGrades+'!$AI$5,"A",IF(T167&lt;'PlayerGrades+'!$AI$4,"A+",IF(T167&lt;'PlayerGrades+'!$AI$3,"S-",IF(T167&lt;'PlayerGrades+'!$AI$2,"S","S+"))))))))))))))))))))</f>
        <v>D+</v>
      </c>
      <c r="V167" s="941">
        <v>1.0</v>
      </c>
      <c r="W167" s="941">
        <v>0.0</v>
      </c>
      <c r="X167" s="941">
        <v>1.0</v>
      </c>
      <c r="Y167" s="941">
        <v>1.0</v>
      </c>
      <c r="Z167" s="941">
        <v>15.0</v>
      </c>
      <c r="AA167" s="941">
        <v>83.0</v>
      </c>
      <c r="AB167" s="941">
        <v>110.0</v>
      </c>
      <c r="AC167" s="941">
        <v>-27.0</v>
      </c>
      <c r="AD167" s="941">
        <v>5.0</v>
      </c>
      <c r="AE167" s="941">
        <v>6.0</v>
      </c>
      <c r="AF167" s="941">
        <v>1.0</v>
      </c>
      <c r="AG167" s="941">
        <v>1841.0</v>
      </c>
      <c r="AH167" s="941">
        <v>2285.0</v>
      </c>
      <c r="AI167" s="941">
        <v>16.0</v>
      </c>
      <c r="AJ167" s="941">
        <v>521.0</v>
      </c>
      <c r="AK167" s="941">
        <v>0.0</v>
      </c>
      <c r="AL167" s="941">
        <v>2.0</v>
      </c>
      <c r="AM167" s="941">
        <v>0.0</v>
      </c>
      <c r="AN167" s="941">
        <v>0.0</v>
      </c>
      <c r="AO167" s="941">
        <v>0.0</v>
      </c>
      <c r="AP167" s="941">
        <v>1.0</v>
      </c>
      <c r="AQ167" s="941">
        <v>0.0</v>
      </c>
      <c r="AR167" s="941">
        <v>11.0</v>
      </c>
      <c r="AS167" s="941">
        <v>2.0</v>
      </c>
      <c r="AT167" s="941">
        <v>0.0</v>
      </c>
      <c r="AU167" s="941">
        <v>0.0</v>
      </c>
      <c r="AV167" s="941">
        <v>0.0</v>
      </c>
      <c r="AW167" s="941">
        <v>0.0</v>
      </c>
      <c r="AX167" s="941">
        <v>0.0</v>
      </c>
      <c r="AY167" s="941">
        <v>0.0</v>
      </c>
      <c r="AZ167" s="941">
        <v>0.0</v>
      </c>
      <c r="BA167" s="941">
        <v>0.0</v>
      </c>
      <c r="BB167" s="941">
        <v>1.0</v>
      </c>
      <c r="BC167" s="941">
        <v>0.0</v>
      </c>
      <c r="BD167" s="941">
        <v>17.0</v>
      </c>
      <c r="BE167" s="941">
        <v>7.0</v>
      </c>
      <c r="BF167" s="941">
        <v>1.0</v>
      </c>
      <c r="BG167" s="942">
        <v>1.0</v>
      </c>
    </row>
    <row r="168">
      <c r="A168" s="935" t="s">
        <v>117</v>
      </c>
      <c r="B168" s="16" t="str">
        <f>IF(C168&lt;'PlayerGrades+'!$Y$44,"F-",IF(C168&lt;'PlayerGrades+'!$Y$43,"F",IF(C168&lt;'PlayerGrades+'!$Y$42,"F+",IF(C168&lt;'PlayerGrades+'!$Y$41,"E-",IF(C168&lt;'PlayerGrades+'!$Y$40,"E",IF(C168&lt;'PlayerGrades+'!$Y$39,"E+",IF(C168&lt;'PlayerGrades+'!$Y$38,"D-",IF(C168&lt;'PlayerGrades+'!$Y$37,"D",IF(C168&lt;'PlayerGrades+'!$Y$36,"D+",IF(C168&lt;'PlayerGrades+'!$Y$35,"C-",IF(C168&lt;'PlayerGrades+'!$Y$34,"C",IF(C168&lt;'PlayerGrades+'!$Y$33,"C+",IF(C168&lt;'PlayerGrades+'!$Y$32,"B-",IF(C168&lt;'PlayerGrades+'!$Y$31,"B",IF(C168&lt;'PlayerGrades+'!$Y$30,"B+",IF(C168&lt;'PlayerGrades+'!$Y$29,"A-",IF(C168&lt;'PlayerGrades+'!$Y$28,"A",IF(C168&lt;'PlayerGrades+'!$Y$27,"A+",IF(C168&lt;'PlayerGrades+'!$Y$26,"S-",IF(C168&lt;'PlayerGrades+'!$Y$25,"S","S+"))))))))))))))))))))</f>
        <v>F</v>
      </c>
      <c r="C168" s="936">
        <f>('PlayerGrades+'!$Y$47*(VLOOKUP(E168, 'PlayerGrades+'!$X$3:$Y$23, 2, FALSE)))+('PlayerGrades+'!$Y$48*(VLOOKUP(G168, 'PlayerGrades+'!$X$3:$Y$23, 2, FALSE)))+('PlayerGrades+'!$Y$49*(VLOOKUP(I168, 'PlayerGrades+'!$X$3:$Y$23, 2, FALSE)))+('PlayerGrades+'!$Y$50*(VLOOKUP(K168, 'PlayerGrades+'!$X$3:$Y$23, 2, FALSE)))+('PlayerGrades+'!$Y$51*(VLOOKUP(M168, 'PlayerGrades+'!$X$3:$Y$23, 2, FALSE)))+('PlayerGrades+'!$Y$52*(VLOOKUP(O168, 'PlayerGrades+'!$X$3:$Y$23, 2, FALSE)))+('PlayerGrades+'!$Y$53*(VLOOKUP(Q168, 'PlayerGrades+'!$X$3:$Y$23, 2, FALSE)))+('PlayerGrades+'!$Y$54*(VLOOKUP(S168, 'PlayerGrades+'!$X$3:$Y$23, 2, FALSE)))+('PlayerGrades+'!$Y$55*(VLOOKUP(U168, 'PlayerGrades+'!$X$3:$Y$23, 2, FALSE)))</f>
        <v>9.1</v>
      </c>
      <c r="D168" s="937">
        <f t="shared" si="1"/>
        <v>0.02625820569</v>
      </c>
      <c r="E168" s="937" t="str">
        <f>IF(D168&lt;'PlayerGrades+'!$AA$21,"F-",IF(D168&lt;'PlayerGrades+'!$AA$20,"F",IF(D168&lt;'PlayerGrades+'!$AA$19,"F+",IF(D168&lt;'PlayerGrades+'!$AA$18,"E-",IF(D168&lt;'PlayerGrades+'!$AA$17,"E",IF(D168&lt;'PlayerGrades+'!$AA$16,"E+",IF(D168&lt;'PlayerGrades+'!$AA$15,"D-",IF(D168&lt;'PlayerGrades+'!$AA$14,"D",IF(D168&lt;'PlayerGrades+'!$AA$13,"D+",IF(D168&lt;'PlayerGrades+'!$AA$12,"C-",IF(D168&lt;'PlayerGrades+'!$AA$11,"C",IF(D168&lt;'PlayerGrades+'!$AA$10,"C+",IF(D168&lt;'PlayerGrades+'!$AA$9,"B-",IF(D168&lt;'PlayerGrades+'!$AA$8,"B",IF(D168&lt;'PlayerGrades+'!$AA$7,"B+",IF(D168&lt;'PlayerGrades+'!$AA$6,"A-",IF(D168&lt;'PlayerGrades+'!$AA$5,"A",IF(D168&lt;'PlayerGrades+'!$AA$4,"A+",IF(D168&lt;'PlayerGrades+'!$AA$3,"S-",IF(D168&lt;'PlayerGrades+'!$AA$2,"S","S+"))))))))))))))))))))</f>
        <v>D-</v>
      </c>
      <c r="F168" s="937">
        <f t="shared" si="2"/>
        <v>-1.234135667</v>
      </c>
      <c r="G168" s="937" t="str">
        <f>IF(F168&lt;'PlayerGrades+'!$AB$21,"F-",IF(F168&lt;'PlayerGrades+'!$AB$20,"F",IF(F168&lt;'PlayerGrades+'!$AB$19,"F+",IF(F168&lt;'PlayerGrades+'!$AB$18,"E-",IF(F168&lt;'PlayerGrades+'!$AB$17,"E",IF(F168&lt;'PlayerGrades+'!$AB$16,"E+",IF(F168&lt;'PlayerGrades+'!$AB$15,"D-",IF(F168&lt;'PlayerGrades+'!$AB$14,"D",IF(F168&lt;'PlayerGrades+'!$AB$13,"D+",IF(F168&lt;'PlayerGrades+'!$AB$12,"C-",IF(F168&lt;'PlayerGrades+'!$AB$11,"C",IF(F168&lt;'PlayerGrades+'!$AB$10,"C+",IF(F168&lt;'PlayerGrades+'!$AB$9,"B-",IF(F168&lt;'PlayerGrades+'!$AB$8,"B",IF(F168&lt;'PlayerGrades+'!$AB$7,"B+",IF(F168&lt;'PlayerGrades+'!$AB$6,"A-",IF(F168&lt;'PlayerGrades+'!$AB$5,"A",IF(F168&lt;'PlayerGrades+'!$AB$4,"A+",IF(F168&lt;'PlayerGrades+'!$AB$3,"S-",IF(F168&lt;'PlayerGrades+'!$AB$2,"S","S+"))))))))))))))))))))</f>
        <v>F-</v>
      </c>
      <c r="H168" s="937">
        <f t="shared" si="3"/>
        <v>0.02625820569</v>
      </c>
      <c r="I168" s="937" t="str">
        <f>IF(H168&lt;'PlayerGrades+'!$AC$21,"F-",IF(H168&lt;'PlayerGrades+'!$AC$20,"F",IF(H168&lt;'PlayerGrades+'!$AC$19,"F+",IF(H168&lt;'PlayerGrades+'!$AC$18,"E-",IF(H168&lt;'PlayerGrades+'!$AC$17,"E",IF(H168&lt;'PlayerGrades+'!$AC$16,"E+",IF(H168&lt;'PlayerGrades+'!$AC$15,"D-",IF(H168&lt;'PlayerGrades+'!$AC$14,"D",IF(H168&lt;'PlayerGrades+'!$AC$13,"D+",IF(H168&lt;'PlayerGrades+'!$AC$12,"C-",IF(H168&lt;'PlayerGrades+'!$AC$11,"C",IF(H168&lt;'PlayerGrades+'!$AC$10,"C+",IF(H168&lt;'PlayerGrades+'!$AC$9,"B-",IF(H168&lt;'PlayerGrades+'!$AC$8,"B",IF(H168&lt;'PlayerGrades+'!$AC$7,"B+",IF(H168&lt;'PlayerGrades+'!$AC$6,"A-",IF(H168&lt;'PlayerGrades+'!$AC$5,"A",IF(H168&lt;'PlayerGrades+'!$AC$4,"A+",IF(H168&lt;'PlayerGrades+'!$AC$3,"S-",IF(H168&lt;'PlayerGrades+'!$AC$2,"S","S+"))))))))))))))))))))</f>
        <v>F-</v>
      </c>
      <c r="J168" s="937">
        <f t="shared" si="4"/>
        <v>0</v>
      </c>
      <c r="K168" s="937" t="str">
        <f>IF(J168&lt;'PlayerGrades+'!$AD$21,"F-",IF(J168&lt;'PlayerGrades+'!$AD$20,"F",IF(J168&lt;'PlayerGrades+'!$AD$19,"F+",IF(J168&lt;'PlayerGrades+'!$AD$18,"E-",IF(J168&lt;'PlayerGrades+'!$AD$17,"E",IF(J168&lt;'PlayerGrades+'!$AD$16,"E+",IF(J168&lt;'PlayerGrades+'!$AD$15,"D-",IF(J168&lt;'PlayerGrades+'!$AD$14,"D",IF(J168&lt;'PlayerGrades+'!$AD$13,"D+",IF(J168&lt;'PlayerGrades+'!$AD$12,"C-",IF(J168&lt;'PlayerGrades+'!$AD$11,"C",IF(J168&lt;'PlayerGrades+'!$AD$10,"C+",IF(J168&lt;'PlayerGrades+'!$AD$9,"B-",IF(J168&lt;'PlayerGrades+'!$AD$8,"B",IF(J168&lt;'PlayerGrades+'!$AD$7,"B+",IF(J168&lt;'PlayerGrades+'!$AD$6,"A-",IF(J168&lt;'PlayerGrades+'!$AD$5,"A",IF(J168&lt;'PlayerGrades+'!$AD$4,"A+",IF(J168&lt;'PlayerGrades+'!$AD$3,"S-",IF(J168&lt;'PlayerGrades+'!$AD$2,"S","S+"))))))))))))))))))))</f>
        <v>F-</v>
      </c>
      <c r="L168" s="677">
        <f t="shared" si="5"/>
        <v>0.2888402626</v>
      </c>
      <c r="M168" s="938" t="str">
        <f>IF(L168&lt;'PlayerGrades+'!$AE$21,"F-",IF(L168&lt;'PlayerGrades+'!$AE$20,"F",IF(L168&lt;'PlayerGrades+'!$AE$19,"F+",IF(L168&lt;'PlayerGrades+'!$AE$18,"E-",IF(L168&lt;'PlayerGrades+'!$AE$17,"E",IF(L168&lt;'PlayerGrades+'!$AE$16,"E+",IF(L168&lt;'PlayerGrades+'!$AE$15,"D-",IF(L168&lt;'PlayerGrades+'!$AE$14,"D",IF(L168&lt;'PlayerGrades+'!$AE$13,"D+",IF(L168&lt;'PlayerGrades+'!$AE$12,"C-",IF(L168&lt;'PlayerGrades+'!$AE$11,"C",IF(L168&lt;'PlayerGrades+'!$AE$10,"C+",IF(L168&lt;'PlayerGrades+'!$AE$9,"B-",IF(L168&lt;'PlayerGrades+'!$AE$8,"B",IF(L168&lt;'PlayerGrades+'!$AE$7,"B+",IF(L168&lt;'PlayerGrades+'!$AE$6,"A-",IF(L168&lt;'PlayerGrades+'!$AE$5,"A",IF(L168&lt;'PlayerGrades+'!$AE$4,"A+",IF(L168&lt;'PlayerGrades+'!$AE$3,"S-",IF(L168&lt;'PlayerGrades+'!$AE$2,"S","S+"))))))))))))))))))))</f>
        <v>F+</v>
      </c>
      <c r="N168" s="937">
        <f t="shared" si="6"/>
        <v>0.05251641138</v>
      </c>
      <c r="O168" s="937" t="str">
        <f>IF(N168&lt;'PlayerGrades+'!$AF$21,"F-",IF(N168&lt;'PlayerGrades+'!$AF$20,"F",IF(N168&lt;'PlayerGrades+'!$AF$19,"F+",IF(N168&lt;'PlayerGrades+'!$AF$18,"E-",IF(N168&lt;'PlayerGrades+'!$AF$17,"E",IF(N168&lt;'PlayerGrades+'!$AF$16,"E+",IF(N168&lt;'PlayerGrades+'!$AF$15,"D-",IF(N168&lt;'PlayerGrades+'!$AF$14,"D",IF(N168&lt;'PlayerGrades+'!$AF$13,"D+",IF(N168&lt;'PlayerGrades+'!$AF$12,"C-",IF(N168&lt;'PlayerGrades+'!$AF$11,"C",IF(N168&lt;'PlayerGrades+'!$AF$10,"C+",IF(N168&lt;'PlayerGrades+'!$AF$9,"B-",IF(N168&lt;'PlayerGrades+'!$AF$8,"B",IF(N168&lt;'PlayerGrades+'!$AF$7,"B+",IF(N168&lt;'PlayerGrades+'!$AF$6,"A-",IF(N168&lt;'PlayerGrades+'!$AF$5,"A",IF(N168&lt;'PlayerGrades+'!$AF$4,"A+",IF(N168&lt;'PlayerGrades+'!$AF$3,"S-",IF(N168&lt;'PlayerGrades+'!$AF$2,"S","S+"))))))))))))))))))))</f>
        <v>D</v>
      </c>
      <c r="P168" s="937">
        <f t="shared" si="7"/>
        <v>0</v>
      </c>
      <c r="Q168" s="937" t="str">
        <f>IF(P168&lt;'PlayerGrades+'!$AG$21,"F-",IF(P168&lt;'PlayerGrades+'!$AG$20,"F",IF(P168&lt;'PlayerGrades+'!$AG$19,"F+",IF(P168&lt;'PlayerGrades+'!$AG$18,"E-",IF(P168&lt;'PlayerGrades+'!$AG$17,"E",IF(P168&lt;'PlayerGrades+'!$AG$16,"E+",IF(P168&lt;'PlayerGrades+'!$AG$15,"D-",IF(P168&lt;'PlayerGrades+'!$AG$14,"D",IF(P168&lt;'PlayerGrades+'!$AG$13,"D+",IF(P168&lt;'PlayerGrades+'!$AG$12,"C-",IF(P168&lt;'PlayerGrades+'!$AG$11,"C",IF(P168&lt;'PlayerGrades+'!$AG$10,"C+",IF(P168&lt;'PlayerGrades+'!$AG$9,"B-",IF(P168&lt;'PlayerGrades+'!$AG$8,"B",IF(P168&lt;'PlayerGrades+'!$AG$7,"B+",IF(P168&lt;'PlayerGrades+'!$AG$6,"A-",IF(P168&lt;'PlayerGrades+'!$AG$5,"A",IF(P168&lt;'PlayerGrades+'!$AG$4,"A+",IF(P168&lt;'PlayerGrades+'!$AG$3,"S-",IF(P168&lt;'PlayerGrades+'!$AG$2,"S","S+"))))))))))))))))))))</f>
        <v>F</v>
      </c>
      <c r="R168" s="937">
        <f t="shared" si="8"/>
        <v>0.3938730853</v>
      </c>
      <c r="S168" s="937" t="str">
        <f>IF(R168&lt;'PlayerGrades+'!$AH$21,"F-",IF(R168&lt;'PlayerGrades+'!$AH$20,"F",IF(R168&lt;'PlayerGrades+'!$AH$19,"F+",IF(R168&lt;'PlayerGrades+'!$AH$18,"E-",IF(R168&lt;'PlayerGrades+'!$AH$17,"E",IF(R168&lt;'PlayerGrades+'!$AH$16,"E+",IF(R168&lt;'PlayerGrades+'!$AH$15,"D-",IF(R168&lt;'PlayerGrades+'!$AH$14,"D",IF(R168&lt;'PlayerGrades+'!$AH$13,"D+",IF(R168&lt;'PlayerGrades+'!$AH$12,"C-",IF(R168&lt;'PlayerGrades+'!$AH$11,"C",IF(R168&lt;'PlayerGrades+'!$AH$10,"C+",IF(R168&lt;'PlayerGrades+'!$AH$9,"B-",IF(R168&lt;'PlayerGrades+'!$AH$8,"B",IF(R168&lt;'PlayerGrades+'!$AH$7,"B+",IF(R168&lt;'PlayerGrades+'!$AH$6,"A-",IF(R168&lt;'PlayerGrades+'!$AH$5,"A",IF(R168&lt;'PlayerGrades+'!$AH$4,"A+",IF(R168&lt;'PlayerGrades+'!$AH$3,"S-",IF(R168&lt;'PlayerGrades+'!$AH$2,"S","S+"))))))))))))))))))))</f>
        <v>F+</v>
      </c>
      <c r="T168" s="937">
        <f t="shared" si="9"/>
        <v>1.420131291</v>
      </c>
      <c r="U168" s="937" t="str">
        <f>IF(T168&lt;'PlayerGrades+'!$AI$21,"F-",IF(T168&lt;'PlayerGrades+'!$AI$20,"F",IF(T168&lt;'PlayerGrades+'!$AI$19,"F+",IF(T168&lt;'PlayerGrades+'!$AI$18,"E-",IF(T168&lt;'PlayerGrades+'!$AI$17,"E",IF(T168&lt;'PlayerGrades+'!$AI$16,"E+",IF(T168&lt;'PlayerGrades+'!$AI$15,"D-",IF(T168&lt;'PlayerGrades+'!$AI$14,"D",IF(T168&lt;'PlayerGrades+'!$AI$13,"D+",IF(T168&lt;'PlayerGrades+'!$AI$12,"C-",IF(T168&lt;'PlayerGrades+'!$AI$11,"C",IF(T168&lt;'PlayerGrades+'!$AI$10,"C+",IF(T168&lt;'PlayerGrades+'!$AI$9,"B-",IF(T168&lt;'PlayerGrades+'!$AI$8,"B",IF(T168&lt;'PlayerGrades+'!$AI$7,"B+",IF(T168&lt;'PlayerGrades+'!$AI$6,"A-",IF(T168&lt;'PlayerGrades+'!$AI$5,"A",IF(T168&lt;'PlayerGrades+'!$AI$4,"A+",IF(T168&lt;'PlayerGrades+'!$AI$3,"S-",IF(T168&lt;'PlayerGrades+'!$AI$2,"S","S+"))))))))))))))))))))</f>
        <v>B+</v>
      </c>
      <c r="V168" s="941">
        <v>1.0</v>
      </c>
      <c r="W168" s="941">
        <v>0.0</v>
      </c>
      <c r="X168" s="941">
        <v>1.0</v>
      </c>
      <c r="Y168" s="941">
        <v>0.0</v>
      </c>
      <c r="Z168" s="941">
        <v>1.0</v>
      </c>
      <c r="AA168" s="941">
        <v>92.0</v>
      </c>
      <c r="AB168" s="941">
        <v>139.0</v>
      </c>
      <c r="AC168" s="941">
        <v>-47.0</v>
      </c>
      <c r="AD168" s="941">
        <v>6.0</v>
      </c>
      <c r="AE168" s="941">
        <v>4.0</v>
      </c>
      <c r="AF168" s="941">
        <v>5.0</v>
      </c>
      <c r="AG168" s="941">
        <v>1760.0</v>
      </c>
      <c r="AH168" s="941">
        <v>2285.0</v>
      </c>
      <c r="AI168" s="941">
        <v>12.0</v>
      </c>
      <c r="AJ168" s="941">
        <v>21.0</v>
      </c>
      <c r="AK168" s="941">
        <v>0.0</v>
      </c>
      <c r="AL168" s="941">
        <v>0.0</v>
      </c>
      <c r="AM168" s="941">
        <v>0.0</v>
      </c>
      <c r="AN168" s="941">
        <v>0.0</v>
      </c>
      <c r="AO168" s="941">
        <v>0.0</v>
      </c>
      <c r="AP168" s="941">
        <v>0.0</v>
      </c>
      <c r="AQ168" s="941">
        <v>0.0</v>
      </c>
      <c r="AR168" s="941">
        <v>11.0</v>
      </c>
      <c r="AS168" s="941">
        <v>2.0</v>
      </c>
      <c r="AT168" s="941">
        <v>0.0</v>
      </c>
      <c r="AU168" s="941">
        <v>0.0</v>
      </c>
      <c r="AV168" s="941">
        <v>0.0</v>
      </c>
      <c r="AW168" s="941">
        <v>0.0</v>
      </c>
      <c r="AX168" s="941">
        <v>0.0</v>
      </c>
      <c r="AY168" s="941">
        <v>0.0</v>
      </c>
      <c r="AZ168" s="941">
        <v>0.0</v>
      </c>
      <c r="BA168" s="941">
        <v>0.0</v>
      </c>
      <c r="BB168" s="941">
        <v>1.0</v>
      </c>
      <c r="BC168" s="941">
        <v>0.0</v>
      </c>
      <c r="BD168" s="941">
        <v>9.0</v>
      </c>
      <c r="BE168" s="941">
        <v>16.0</v>
      </c>
      <c r="BF168" s="941">
        <v>1.0</v>
      </c>
      <c r="BG168" s="942">
        <v>1.0</v>
      </c>
    </row>
    <row r="169">
      <c r="A169" s="943" t="s">
        <v>139</v>
      </c>
      <c r="B169" s="16" t="str">
        <f>IF(C169&lt;'PlayerGrades+'!$Y$44,"F-",IF(C169&lt;'PlayerGrades+'!$Y$43,"F",IF(C169&lt;'PlayerGrades+'!$Y$42,"F+",IF(C169&lt;'PlayerGrades+'!$Y$41,"E-",IF(C169&lt;'PlayerGrades+'!$Y$40,"E",IF(C169&lt;'PlayerGrades+'!$Y$39,"E+",IF(C169&lt;'PlayerGrades+'!$Y$38,"D-",IF(C169&lt;'PlayerGrades+'!$Y$37,"D",IF(C169&lt;'PlayerGrades+'!$Y$36,"D+",IF(C169&lt;'PlayerGrades+'!$Y$35,"C-",IF(C169&lt;'PlayerGrades+'!$Y$34,"C",IF(C169&lt;'PlayerGrades+'!$Y$33,"C+",IF(C169&lt;'PlayerGrades+'!$Y$32,"B-",IF(C169&lt;'PlayerGrades+'!$Y$31,"B",IF(C169&lt;'PlayerGrades+'!$Y$30,"B+",IF(C169&lt;'PlayerGrades+'!$Y$29,"A-",IF(C169&lt;'PlayerGrades+'!$Y$28,"A",IF(C169&lt;'PlayerGrades+'!$Y$27,"A+",IF(C169&lt;'PlayerGrades+'!$Y$26,"S-",IF(C169&lt;'PlayerGrades+'!$Y$25,"S","S+"))))))))))))))))))))</f>
        <v>D-</v>
      </c>
      <c r="C169" s="936">
        <f>('PlayerGrades+'!$Y$47*(VLOOKUP(E169, 'PlayerGrades+'!$X$3:$Y$23, 2, FALSE)))+('PlayerGrades+'!$Y$48*(VLOOKUP(G169, 'PlayerGrades+'!$X$3:$Y$23, 2, FALSE)))+('PlayerGrades+'!$Y$49*(VLOOKUP(I169, 'PlayerGrades+'!$X$3:$Y$23, 2, FALSE)))+('PlayerGrades+'!$Y$50*(VLOOKUP(K169, 'PlayerGrades+'!$X$3:$Y$23, 2, FALSE)))+('PlayerGrades+'!$Y$51*(VLOOKUP(M169, 'PlayerGrades+'!$X$3:$Y$23, 2, FALSE)))+('PlayerGrades+'!$Y$52*(VLOOKUP(O169, 'PlayerGrades+'!$X$3:$Y$23, 2, FALSE)))+('PlayerGrades+'!$Y$53*(VLOOKUP(Q169, 'PlayerGrades+'!$X$3:$Y$23, 2, FALSE)))+('PlayerGrades+'!$Y$54*(VLOOKUP(S169, 'PlayerGrades+'!$X$3:$Y$23, 2, FALSE)))+('PlayerGrades+'!$Y$55*(VLOOKUP(U169, 'PlayerGrades+'!$X$3:$Y$23, 2, FALSE)))</f>
        <v>15.2</v>
      </c>
      <c r="D169" s="937">
        <f t="shared" si="1"/>
        <v>0</v>
      </c>
      <c r="E169" s="937" t="str">
        <f>IF(D169&lt;'PlayerGrades+'!$AA$21,"F-",IF(D169&lt;'PlayerGrades+'!$AA$20,"F",IF(D169&lt;'PlayerGrades+'!$AA$19,"F+",IF(D169&lt;'PlayerGrades+'!$AA$18,"E-",IF(D169&lt;'PlayerGrades+'!$AA$17,"E",IF(D169&lt;'PlayerGrades+'!$AA$16,"E+",IF(D169&lt;'PlayerGrades+'!$AA$15,"D-",IF(D169&lt;'PlayerGrades+'!$AA$14,"D",IF(D169&lt;'PlayerGrades+'!$AA$13,"D+",IF(D169&lt;'PlayerGrades+'!$AA$12,"C-",IF(D169&lt;'PlayerGrades+'!$AA$11,"C",IF(D169&lt;'PlayerGrades+'!$AA$10,"C+",IF(D169&lt;'PlayerGrades+'!$AA$9,"B-",IF(D169&lt;'PlayerGrades+'!$AA$8,"B",IF(D169&lt;'PlayerGrades+'!$AA$7,"B+",IF(D169&lt;'PlayerGrades+'!$AA$6,"A-",IF(D169&lt;'PlayerGrades+'!$AA$5,"A",IF(D169&lt;'PlayerGrades+'!$AA$4,"A+",IF(D169&lt;'PlayerGrades+'!$AA$3,"S-",IF(D169&lt;'PlayerGrades+'!$AA$2,"S","S+"))))))))))))))))))))</f>
        <v>F-</v>
      </c>
      <c r="F169" s="937">
        <f t="shared" si="2"/>
        <v>-0.7877461707</v>
      </c>
      <c r="G169" s="937" t="str">
        <f>IF(F169&lt;'PlayerGrades+'!$AB$21,"F-",IF(F169&lt;'PlayerGrades+'!$AB$20,"F",IF(F169&lt;'PlayerGrades+'!$AB$19,"F+",IF(F169&lt;'PlayerGrades+'!$AB$18,"E-",IF(F169&lt;'PlayerGrades+'!$AB$17,"E",IF(F169&lt;'PlayerGrades+'!$AB$16,"E+",IF(F169&lt;'PlayerGrades+'!$AB$15,"D-",IF(F169&lt;'PlayerGrades+'!$AB$14,"D",IF(F169&lt;'PlayerGrades+'!$AB$13,"D+",IF(F169&lt;'PlayerGrades+'!$AB$12,"C-",IF(F169&lt;'PlayerGrades+'!$AB$11,"C",IF(F169&lt;'PlayerGrades+'!$AB$10,"C+",IF(F169&lt;'PlayerGrades+'!$AB$9,"B-",IF(F169&lt;'PlayerGrades+'!$AB$8,"B",IF(F169&lt;'PlayerGrades+'!$AB$7,"B+",IF(F169&lt;'PlayerGrades+'!$AB$6,"A-",IF(F169&lt;'PlayerGrades+'!$AB$5,"A",IF(F169&lt;'PlayerGrades+'!$AB$4,"A+",IF(F169&lt;'PlayerGrades+'!$AB$3,"S-",IF(F169&lt;'PlayerGrades+'!$AB$2,"S","S+"))))))))))))))))))))</f>
        <v>E</v>
      </c>
      <c r="H169" s="937">
        <f t="shared" si="3"/>
        <v>0</v>
      </c>
      <c r="I169" s="937" t="str">
        <f>IF(H169&lt;'PlayerGrades+'!$AC$21,"F-",IF(H169&lt;'PlayerGrades+'!$AC$20,"F",IF(H169&lt;'PlayerGrades+'!$AC$19,"F+",IF(H169&lt;'PlayerGrades+'!$AC$18,"E-",IF(H169&lt;'PlayerGrades+'!$AC$17,"E",IF(H169&lt;'PlayerGrades+'!$AC$16,"E+",IF(H169&lt;'PlayerGrades+'!$AC$15,"D-",IF(H169&lt;'PlayerGrades+'!$AC$14,"D",IF(H169&lt;'PlayerGrades+'!$AC$13,"D+",IF(H169&lt;'PlayerGrades+'!$AC$12,"C-",IF(H169&lt;'PlayerGrades+'!$AC$11,"C",IF(H169&lt;'PlayerGrades+'!$AC$10,"C+",IF(H169&lt;'PlayerGrades+'!$AC$9,"B-",IF(H169&lt;'PlayerGrades+'!$AC$8,"B",IF(H169&lt;'PlayerGrades+'!$AC$7,"B+",IF(H169&lt;'PlayerGrades+'!$AC$6,"A-",IF(H169&lt;'PlayerGrades+'!$AC$5,"A",IF(H169&lt;'PlayerGrades+'!$AC$4,"A+",IF(H169&lt;'PlayerGrades+'!$AC$3,"S-",IF(H169&lt;'PlayerGrades+'!$AC$2,"S","S+"))))))))))))))))))))</f>
        <v>F-</v>
      </c>
      <c r="J169" s="937">
        <f t="shared" si="4"/>
        <v>0</v>
      </c>
      <c r="K169" s="937" t="str">
        <f>IF(J169&lt;'PlayerGrades+'!$AD$21,"F-",IF(J169&lt;'PlayerGrades+'!$AD$20,"F",IF(J169&lt;'PlayerGrades+'!$AD$19,"F+",IF(J169&lt;'PlayerGrades+'!$AD$18,"E-",IF(J169&lt;'PlayerGrades+'!$AD$17,"E",IF(J169&lt;'PlayerGrades+'!$AD$16,"E+",IF(J169&lt;'PlayerGrades+'!$AD$15,"D-",IF(J169&lt;'PlayerGrades+'!$AD$14,"D",IF(J169&lt;'PlayerGrades+'!$AD$13,"D+",IF(J169&lt;'PlayerGrades+'!$AD$12,"C-",IF(J169&lt;'PlayerGrades+'!$AD$11,"C",IF(J169&lt;'PlayerGrades+'!$AD$10,"C+",IF(J169&lt;'PlayerGrades+'!$AD$9,"B-",IF(J169&lt;'PlayerGrades+'!$AD$8,"B",IF(J169&lt;'PlayerGrades+'!$AD$7,"B+",IF(J169&lt;'PlayerGrades+'!$AD$6,"A-",IF(J169&lt;'PlayerGrades+'!$AD$5,"A",IF(J169&lt;'PlayerGrades+'!$AD$4,"A+",IF(J169&lt;'PlayerGrades+'!$AD$3,"S-",IF(J169&lt;'PlayerGrades+'!$AD$2,"S","S+"))))))))))))))))))))</f>
        <v>F-</v>
      </c>
      <c r="L169" s="677">
        <f t="shared" si="5"/>
        <v>0.4463894967</v>
      </c>
      <c r="M169" s="938" t="str">
        <f>IF(L169&lt;'PlayerGrades+'!$AE$21,"F-",IF(L169&lt;'PlayerGrades+'!$AE$20,"F",IF(L169&lt;'PlayerGrades+'!$AE$19,"F+",IF(L169&lt;'PlayerGrades+'!$AE$18,"E-",IF(L169&lt;'PlayerGrades+'!$AE$17,"E",IF(L169&lt;'PlayerGrades+'!$AE$16,"E+",IF(L169&lt;'PlayerGrades+'!$AE$15,"D-",IF(L169&lt;'PlayerGrades+'!$AE$14,"D",IF(L169&lt;'PlayerGrades+'!$AE$13,"D+",IF(L169&lt;'PlayerGrades+'!$AE$12,"C-",IF(L169&lt;'PlayerGrades+'!$AE$11,"C",IF(L169&lt;'PlayerGrades+'!$AE$10,"C+",IF(L169&lt;'PlayerGrades+'!$AE$9,"B-",IF(L169&lt;'PlayerGrades+'!$AE$8,"B",IF(L169&lt;'PlayerGrades+'!$AE$7,"B+",IF(L169&lt;'PlayerGrades+'!$AE$6,"A-",IF(L169&lt;'PlayerGrades+'!$AE$5,"A",IF(L169&lt;'PlayerGrades+'!$AE$4,"A+",IF(L169&lt;'PlayerGrades+'!$AE$3,"S-",IF(L169&lt;'PlayerGrades+'!$AE$2,"S","S+"))))))))))))))))))))</f>
        <v>B</v>
      </c>
      <c r="N169" s="937">
        <f t="shared" si="6"/>
        <v>0.07877461707</v>
      </c>
      <c r="O169" s="937" t="str">
        <f>IF(N169&lt;'PlayerGrades+'!$AF$21,"F-",IF(N169&lt;'PlayerGrades+'!$AF$20,"F",IF(N169&lt;'PlayerGrades+'!$AF$19,"F+",IF(N169&lt;'PlayerGrades+'!$AF$18,"E-",IF(N169&lt;'PlayerGrades+'!$AF$17,"E",IF(N169&lt;'PlayerGrades+'!$AF$16,"E+",IF(N169&lt;'PlayerGrades+'!$AF$15,"D-",IF(N169&lt;'PlayerGrades+'!$AF$14,"D",IF(N169&lt;'PlayerGrades+'!$AF$13,"D+",IF(N169&lt;'PlayerGrades+'!$AF$12,"C-",IF(N169&lt;'PlayerGrades+'!$AF$11,"C",IF(N169&lt;'PlayerGrades+'!$AF$10,"C+",IF(N169&lt;'PlayerGrades+'!$AF$9,"B-",IF(N169&lt;'PlayerGrades+'!$AF$8,"B",IF(N169&lt;'PlayerGrades+'!$AF$7,"B+",IF(N169&lt;'PlayerGrades+'!$AF$6,"A-",IF(N169&lt;'PlayerGrades+'!$AF$5,"A",IF(N169&lt;'PlayerGrades+'!$AF$4,"A+",IF(N169&lt;'PlayerGrades+'!$AF$3,"S-",IF(N169&lt;'PlayerGrades+'!$AF$2,"S","S+"))))))))))))))))))))</f>
        <v>B-</v>
      </c>
      <c r="P169" s="937">
        <f t="shared" si="7"/>
        <v>0</v>
      </c>
      <c r="Q169" s="937" t="str">
        <f>IF(P169&lt;'PlayerGrades+'!$AG$21,"F-",IF(P169&lt;'PlayerGrades+'!$AG$20,"F",IF(P169&lt;'PlayerGrades+'!$AG$19,"F+",IF(P169&lt;'PlayerGrades+'!$AG$18,"E-",IF(P169&lt;'PlayerGrades+'!$AG$17,"E",IF(P169&lt;'PlayerGrades+'!$AG$16,"E+",IF(P169&lt;'PlayerGrades+'!$AG$15,"D-",IF(P169&lt;'PlayerGrades+'!$AG$14,"D",IF(P169&lt;'PlayerGrades+'!$AG$13,"D+",IF(P169&lt;'PlayerGrades+'!$AG$12,"C-",IF(P169&lt;'PlayerGrades+'!$AG$11,"C",IF(P169&lt;'PlayerGrades+'!$AG$10,"C+",IF(P169&lt;'PlayerGrades+'!$AG$9,"B-",IF(P169&lt;'PlayerGrades+'!$AG$8,"B",IF(P169&lt;'PlayerGrades+'!$AG$7,"B+",IF(P169&lt;'PlayerGrades+'!$AG$6,"A-",IF(P169&lt;'PlayerGrades+'!$AG$5,"A",IF(P169&lt;'PlayerGrades+'!$AG$4,"A+",IF(P169&lt;'PlayerGrades+'!$AG$3,"S-",IF(P169&lt;'PlayerGrades+'!$AG$2,"S","S+"))))))))))))))))))))</f>
        <v>F</v>
      </c>
      <c r="R169" s="937">
        <f t="shared" si="8"/>
        <v>0.5251641138</v>
      </c>
      <c r="S169" s="937" t="str">
        <f>IF(R169&lt;'PlayerGrades+'!$AH$21,"F-",IF(R169&lt;'PlayerGrades+'!$AH$20,"F",IF(R169&lt;'PlayerGrades+'!$AH$19,"F+",IF(R169&lt;'PlayerGrades+'!$AH$18,"E-",IF(R169&lt;'PlayerGrades+'!$AH$17,"E",IF(R169&lt;'PlayerGrades+'!$AH$16,"E+",IF(R169&lt;'PlayerGrades+'!$AH$15,"D-",IF(R169&lt;'PlayerGrades+'!$AH$14,"D",IF(R169&lt;'PlayerGrades+'!$AH$13,"D+",IF(R169&lt;'PlayerGrades+'!$AH$12,"C-",IF(R169&lt;'PlayerGrades+'!$AH$11,"C",IF(R169&lt;'PlayerGrades+'!$AH$10,"C+",IF(R169&lt;'PlayerGrades+'!$AH$9,"B-",IF(R169&lt;'PlayerGrades+'!$AH$8,"B",IF(R169&lt;'PlayerGrades+'!$AH$7,"B+",IF(R169&lt;'PlayerGrades+'!$AH$6,"A-",IF(R169&lt;'PlayerGrades+'!$AH$5,"A",IF(R169&lt;'PlayerGrades+'!$AH$4,"A+",IF(R169&lt;'PlayerGrades+'!$AH$3,"S-",IF(R169&lt;'PlayerGrades+'!$AH$2,"S","S+"))))))))))))))))))))</f>
        <v>C</v>
      </c>
      <c r="T169" s="937">
        <f t="shared" si="9"/>
        <v>2.525164114</v>
      </c>
      <c r="U169" s="937" t="str">
        <f>IF(T169&lt;'PlayerGrades+'!$AI$21,"F-",IF(T169&lt;'PlayerGrades+'!$AI$20,"F",IF(T169&lt;'PlayerGrades+'!$AI$19,"F+",IF(T169&lt;'PlayerGrades+'!$AI$18,"E-",IF(T169&lt;'PlayerGrades+'!$AI$17,"E",IF(T169&lt;'PlayerGrades+'!$AI$16,"E+",IF(T169&lt;'PlayerGrades+'!$AI$15,"D-",IF(T169&lt;'PlayerGrades+'!$AI$14,"D",IF(T169&lt;'PlayerGrades+'!$AI$13,"D+",IF(T169&lt;'PlayerGrades+'!$AI$12,"C-",IF(T169&lt;'PlayerGrades+'!$AI$11,"C",IF(T169&lt;'PlayerGrades+'!$AI$10,"C+",IF(T169&lt;'PlayerGrades+'!$AI$9,"B-",IF(T169&lt;'PlayerGrades+'!$AI$8,"B",IF(T169&lt;'PlayerGrades+'!$AI$7,"B+",IF(T169&lt;'PlayerGrades+'!$AI$6,"A-",IF(T169&lt;'PlayerGrades+'!$AI$5,"A",IF(T169&lt;'PlayerGrades+'!$AI$4,"A+",IF(T169&lt;'PlayerGrades+'!$AI$3,"S-",IF(T169&lt;'PlayerGrades+'!$AI$2,"S","S+"))))))))))))))))))))</f>
        <v>S+</v>
      </c>
      <c r="V169" s="944">
        <v>1.0</v>
      </c>
      <c r="W169" s="944">
        <v>0.0</v>
      </c>
      <c r="X169" s="944">
        <v>1.0</v>
      </c>
      <c r="Y169" s="944">
        <v>0.0</v>
      </c>
      <c r="Z169" s="944">
        <v>0.0</v>
      </c>
      <c r="AA169" s="944">
        <v>117.0</v>
      </c>
      <c r="AB169" s="944">
        <v>147.0</v>
      </c>
      <c r="AC169" s="944">
        <v>-30.0</v>
      </c>
      <c r="AD169" s="944">
        <v>9.0</v>
      </c>
      <c r="AE169" s="944">
        <v>4.0</v>
      </c>
      <c r="AF169" s="944">
        <v>6.0</v>
      </c>
      <c r="AG169" s="944">
        <v>1734.0</v>
      </c>
      <c r="AH169" s="944">
        <v>2285.0</v>
      </c>
      <c r="AI169" s="944">
        <v>11.0</v>
      </c>
      <c r="AJ169" s="944">
        <v>29.0</v>
      </c>
      <c r="AK169" s="944">
        <v>0.0</v>
      </c>
      <c r="AL169" s="944">
        <v>0.0</v>
      </c>
      <c r="AM169" s="944">
        <v>0.0</v>
      </c>
      <c r="AN169" s="944">
        <v>0.0</v>
      </c>
      <c r="AO169" s="944">
        <v>0.0</v>
      </c>
      <c r="AP169" s="944">
        <v>0.0</v>
      </c>
      <c r="AQ169" s="944">
        <v>0.0</v>
      </c>
      <c r="AR169" s="944">
        <v>17.0</v>
      </c>
      <c r="AS169" s="944">
        <v>3.0</v>
      </c>
      <c r="AT169" s="944">
        <v>0.0</v>
      </c>
      <c r="AU169" s="944">
        <v>0.0</v>
      </c>
      <c r="AV169" s="944">
        <v>0.0</v>
      </c>
      <c r="AW169" s="944">
        <v>0.0</v>
      </c>
      <c r="AX169" s="944">
        <v>0.0</v>
      </c>
      <c r="AY169" s="944">
        <v>0.0</v>
      </c>
      <c r="AZ169" s="944">
        <v>0.0</v>
      </c>
      <c r="BA169" s="944">
        <v>0.0</v>
      </c>
      <c r="BB169" s="944">
        <v>0.0</v>
      </c>
      <c r="BC169" s="944">
        <v>0.0</v>
      </c>
      <c r="BD169" s="944">
        <v>11.0</v>
      </c>
      <c r="BE169" s="944">
        <v>20.0</v>
      </c>
      <c r="BF169" s="944">
        <v>2.0</v>
      </c>
      <c r="BG169" s="945">
        <v>1.0</v>
      </c>
    </row>
    <row r="170">
      <c r="A170" s="946" t="s">
        <v>118</v>
      </c>
      <c r="B170" s="16" t="str">
        <f>IF(C170&lt;'PlayerGrades+'!$Y$44,"F-",IF(C170&lt;'PlayerGrades+'!$Y$43,"F",IF(C170&lt;'PlayerGrades+'!$Y$42,"F+",IF(C170&lt;'PlayerGrades+'!$Y$41,"E-",IF(C170&lt;'PlayerGrades+'!$Y$40,"E",IF(C170&lt;'PlayerGrades+'!$Y$39,"E+",IF(C170&lt;'PlayerGrades+'!$Y$38,"D-",IF(C170&lt;'PlayerGrades+'!$Y$37,"D",IF(C170&lt;'PlayerGrades+'!$Y$36,"D+",IF(C170&lt;'PlayerGrades+'!$Y$35,"C-",IF(C170&lt;'PlayerGrades+'!$Y$34,"C",IF(C170&lt;'PlayerGrades+'!$Y$33,"C+",IF(C170&lt;'PlayerGrades+'!$Y$32,"B-",IF(C170&lt;'PlayerGrades+'!$Y$31,"B",IF(C170&lt;'PlayerGrades+'!$Y$30,"B+",IF(C170&lt;'PlayerGrades+'!$Y$29,"A-",IF(C170&lt;'PlayerGrades+'!$Y$28,"A",IF(C170&lt;'PlayerGrades+'!$Y$27,"A+",IF(C170&lt;'PlayerGrades+'!$Y$26,"S-",IF(C170&lt;'PlayerGrades+'!$Y$25,"S","S+"))))))))))))))))))))</f>
        <v>C</v>
      </c>
      <c r="C170" s="936">
        <f>('PlayerGrades+'!$Y$47*(VLOOKUP(E170, 'PlayerGrades+'!$X$3:$Y$23, 2, FALSE)))+('PlayerGrades+'!$Y$48*(VLOOKUP(G170, 'PlayerGrades+'!$X$3:$Y$23, 2, FALSE)))+('PlayerGrades+'!$Y$49*(VLOOKUP(I170, 'PlayerGrades+'!$X$3:$Y$23, 2, FALSE)))+('PlayerGrades+'!$Y$50*(VLOOKUP(K170, 'PlayerGrades+'!$X$3:$Y$23, 2, FALSE)))+('PlayerGrades+'!$Y$51*(VLOOKUP(M170, 'PlayerGrades+'!$X$3:$Y$23, 2, FALSE)))+('PlayerGrades+'!$Y$52*(VLOOKUP(O170, 'PlayerGrades+'!$X$3:$Y$23, 2, FALSE)))+('PlayerGrades+'!$Y$53*(VLOOKUP(Q170, 'PlayerGrades+'!$X$3:$Y$23, 2, FALSE)))+('PlayerGrades+'!$Y$54*(VLOOKUP(S170, 'PlayerGrades+'!$X$3:$Y$23, 2, FALSE)))+('PlayerGrades+'!$Y$55*(VLOOKUP(U170, 'PlayerGrades+'!$X$3:$Y$23, 2, FALSE)))</f>
        <v>19.45</v>
      </c>
      <c r="D170" s="937">
        <f t="shared" si="1"/>
        <v>0.6385169928</v>
      </c>
      <c r="E170" s="937" t="str">
        <f>IF(D170&lt;'PlayerGrades+'!$AA$21,"F-",IF(D170&lt;'PlayerGrades+'!$AA$20,"F",IF(D170&lt;'PlayerGrades+'!$AA$19,"F+",IF(D170&lt;'PlayerGrades+'!$AA$18,"E-",IF(D170&lt;'PlayerGrades+'!$AA$17,"E",IF(D170&lt;'PlayerGrades+'!$AA$16,"E+",IF(D170&lt;'PlayerGrades+'!$AA$15,"D-",IF(D170&lt;'PlayerGrades+'!$AA$14,"D",IF(D170&lt;'PlayerGrades+'!$AA$13,"D+",IF(D170&lt;'PlayerGrades+'!$AA$12,"C-",IF(D170&lt;'PlayerGrades+'!$AA$11,"C",IF(D170&lt;'PlayerGrades+'!$AA$10,"C+",IF(D170&lt;'PlayerGrades+'!$AA$9,"B-",IF(D170&lt;'PlayerGrades+'!$AA$8,"B",IF(D170&lt;'PlayerGrades+'!$AA$7,"B+",IF(D170&lt;'PlayerGrades+'!$AA$6,"A-",IF(D170&lt;'PlayerGrades+'!$AA$5,"A",IF(D170&lt;'PlayerGrades+'!$AA$4,"A+",IF(D170&lt;'PlayerGrades+'!$AA$3,"S-",IF(D170&lt;'PlayerGrades+'!$AA$2,"S","S+"))))))))))))))))))))</f>
        <v>S-</v>
      </c>
      <c r="F170" s="937">
        <f t="shared" si="2"/>
        <v>0.3707518023</v>
      </c>
      <c r="G170" s="937" t="str">
        <f>IF(F170&lt;'PlayerGrades+'!$AB$21,"F-",IF(F170&lt;'PlayerGrades+'!$AB$20,"F",IF(F170&lt;'PlayerGrades+'!$AB$19,"F+",IF(F170&lt;'PlayerGrades+'!$AB$18,"E-",IF(F170&lt;'PlayerGrades+'!$AB$17,"E",IF(F170&lt;'PlayerGrades+'!$AB$16,"E+",IF(F170&lt;'PlayerGrades+'!$AB$15,"D-",IF(F170&lt;'PlayerGrades+'!$AB$14,"D",IF(F170&lt;'PlayerGrades+'!$AB$13,"D+",IF(F170&lt;'PlayerGrades+'!$AB$12,"C-",IF(F170&lt;'PlayerGrades+'!$AB$11,"C",IF(F170&lt;'PlayerGrades+'!$AB$10,"C+",IF(F170&lt;'PlayerGrades+'!$AB$9,"B-",IF(F170&lt;'PlayerGrades+'!$AB$8,"B",IF(F170&lt;'PlayerGrades+'!$AB$7,"B+",IF(F170&lt;'PlayerGrades+'!$AB$6,"A-",IF(F170&lt;'PlayerGrades+'!$AB$5,"A",IF(F170&lt;'PlayerGrades+'!$AB$4,"A+",IF(F170&lt;'PlayerGrades+'!$AB$3,"S-",IF(F170&lt;'PlayerGrades+'!$AB$2,"S","S+"))))))))))))))))))))</f>
        <v>A</v>
      </c>
      <c r="H170" s="937">
        <f t="shared" si="3"/>
        <v>0.0411946447</v>
      </c>
      <c r="I170" s="937" t="str">
        <f>IF(H170&lt;'PlayerGrades+'!$AC$21,"F-",IF(H170&lt;'PlayerGrades+'!$AC$20,"F",IF(H170&lt;'PlayerGrades+'!$AC$19,"F+",IF(H170&lt;'PlayerGrades+'!$AC$18,"E-",IF(H170&lt;'PlayerGrades+'!$AC$17,"E",IF(H170&lt;'PlayerGrades+'!$AC$16,"E+",IF(H170&lt;'PlayerGrades+'!$AC$15,"D-",IF(H170&lt;'PlayerGrades+'!$AC$14,"D",IF(H170&lt;'PlayerGrades+'!$AC$13,"D+",IF(H170&lt;'PlayerGrades+'!$AC$12,"C-",IF(H170&lt;'PlayerGrades+'!$AC$11,"C",IF(H170&lt;'PlayerGrades+'!$AC$10,"C+",IF(H170&lt;'PlayerGrades+'!$AC$9,"B-",IF(H170&lt;'PlayerGrades+'!$AC$8,"B",IF(H170&lt;'PlayerGrades+'!$AC$7,"B+",IF(H170&lt;'PlayerGrades+'!$AC$6,"A-",IF(H170&lt;'PlayerGrades+'!$AC$5,"A",IF(H170&lt;'PlayerGrades+'!$AC$4,"A+",IF(H170&lt;'PlayerGrades+'!$AC$3,"S-",IF(H170&lt;'PlayerGrades+'!$AC$2,"S","S+"))))))))))))))))))))</f>
        <v>F</v>
      </c>
      <c r="J170" s="937">
        <f t="shared" si="4"/>
        <v>0.1029866117</v>
      </c>
      <c r="K170" s="937" t="str">
        <f>IF(J170&lt;'PlayerGrades+'!$AD$21,"F-",IF(J170&lt;'PlayerGrades+'!$AD$20,"F",IF(J170&lt;'PlayerGrades+'!$AD$19,"F+",IF(J170&lt;'PlayerGrades+'!$AD$18,"E-",IF(J170&lt;'PlayerGrades+'!$AD$17,"E",IF(J170&lt;'PlayerGrades+'!$AD$16,"E+",IF(J170&lt;'PlayerGrades+'!$AD$15,"D-",IF(J170&lt;'PlayerGrades+'!$AD$14,"D",IF(J170&lt;'PlayerGrades+'!$AD$13,"D+",IF(J170&lt;'PlayerGrades+'!$AD$12,"C-",IF(J170&lt;'PlayerGrades+'!$AD$11,"C",IF(J170&lt;'PlayerGrades+'!$AD$10,"C+",IF(J170&lt;'PlayerGrades+'!$AD$9,"B-",IF(J170&lt;'PlayerGrades+'!$AD$8,"B",IF(J170&lt;'PlayerGrades+'!$AD$7,"B+",IF(J170&lt;'PlayerGrades+'!$AD$6,"A-",IF(J170&lt;'PlayerGrades+'!$AD$5,"A",IF(J170&lt;'PlayerGrades+'!$AD$4,"A+",IF(J170&lt;'PlayerGrades+'!$AD$3,"S-",IF(J170&lt;'PlayerGrades+'!$AD$2,"S","S+"))))))))))))))))))))</f>
        <v>S</v>
      </c>
      <c r="L170" s="677">
        <f t="shared" si="5"/>
        <v>0.3501544799</v>
      </c>
      <c r="M170" s="938" t="str">
        <f>IF(L170&lt;'PlayerGrades+'!$AE$21,"F-",IF(L170&lt;'PlayerGrades+'!$AE$20,"F",IF(L170&lt;'PlayerGrades+'!$AE$19,"F+",IF(L170&lt;'PlayerGrades+'!$AE$18,"E-",IF(L170&lt;'PlayerGrades+'!$AE$17,"E",IF(L170&lt;'PlayerGrades+'!$AE$16,"E+",IF(L170&lt;'PlayerGrades+'!$AE$15,"D-",IF(L170&lt;'PlayerGrades+'!$AE$14,"D",IF(L170&lt;'PlayerGrades+'!$AE$13,"D+",IF(L170&lt;'PlayerGrades+'!$AE$12,"C-",IF(L170&lt;'PlayerGrades+'!$AE$11,"C",IF(L170&lt;'PlayerGrades+'!$AE$10,"C+",IF(L170&lt;'PlayerGrades+'!$AE$9,"B-",IF(L170&lt;'PlayerGrades+'!$AE$8,"B",IF(L170&lt;'PlayerGrades+'!$AE$7,"B+",IF(L170&lt;'PlayerGrades+'!$AE$6,"A-",IF(L170&lt;'PlayerGrades+'!$AE$5,"A",IF(L170&lt;'PlayerGrades+'!$AE$4,"A+",IF(L170&lt;'PlayerGrades+'!$AE$3,"S-",IF(L170&lt;'PlayerGrades+'!$AE$2,"S","S+"))))))))))))))))))))</f>
        <v>D</v>
      </c>
      <c r="N170" s="937">
        <f t="shared" si="6"/>
        <v>0</v>
      </c>
      <c r="O170" s="937" t="str">
        <f>IF(N170&lt;'PlayerGrades+'!$AF$21,"F-",IF(N170&lt;'PlayerGrades+'!$AF$20,"F",IF(N170&lt;'PlayerGrades+'!$AF$19,"F+",IF(N170&lt;'PlayerGrades+'!$AF$18,"E-",IF(N170&lt;'PlayerGrades+'!$AF$17,"E",IF(N170&lt;'PlayerGrades+'!$AF$16,"E+",IF(N170&lt;'PlayerGrades+'!$AF$15,"D-",IF(N170&lt;'PlayerGrades+'!$AF$14,"D",IF(N170&lt;'PlayerGrades+'!$AF$13,"D+",IF(N170&lt;'PlayerGrades+'!$AF$12,"C-",IF(N170&lt;'PlayerGrades+'!$AF$11,"C",IF(N170&lt;'PlayerGrades+'!$AF$10,"C+",IF(N170&lt;'PlayerGrades+'!$AF$9,"B-",IF(N170&lt;'PlayerGrades+'!$AF$8,"B",IF(N170&lt;'PlayerGrades+'!$AF$7,"B+",IF(N170&lt;'PlayerGrades+'!$AF$6,"A-",IF(N170&lt;'PlayerGrades+'!$AF$5,"A",IF(N170&lt;'PlayerGrades+'!$AF$4,"A+",IF(N170&lt;'PlayerGrades+'!$AF$3,"S-",IF(N170&lt;'PlayerGrades+'!$AF$2,"S","S+"))))))))))))))))))))</f>
        <v>F-</v>
      </c>
      <c r="P170" s="937">
        <f t="shared" si="7"/>
        <v>0</v>
      </c>
      <c r="Q170" s="937" t="str">
        <f>IF(P170&lt;'PlayerGrades+'!$AG$21,"F-",IF(P170&lt;'PlayerGrades+'!$AG$20,"F",IF(P170&lt;'PlayerGrades+'!$AG$19,"F+",IF(P170&lt;'PlayerGrades+'!$AG$18,"E-",IF(P170&lt;'PlayerGrades+'!$AG$17,"E",IF(P170&lt;'PlayerGrades+'!$AG$16,"E+",IF(P170&lt;'PlayerGrades+'!$AG$15,"D-",IF(P170&lt;'PlayerGrades+'!$AG$14,"D",IF(P170&lt;'PlayerGrades+'!$AG$13,"D+",IF(P170&lt;'PlayerGrades+'!$AG$12,"C-",IF(P170&lt;'PlayerGrades+'!$AG$11,"C",IF(P170&lt;'PlayerGrades+'!$AG$10,"C+",IF(P170&lt;'PlayerGrades+'!$AG$9,"B-",IF(P170&lt;'PlayerGrades+'!$AG$8,"B",IF(P170&lt;'PlayerGrades+'!$AG$7,"B+",IF(P170&lt;'PlayerGrades+'!$AG$6,"A-",IF(P170&lt;'PlayerGrades+'!$AG$5,"A",IF(P170&lt;'PlayerGrades+'!$AG$4,"A+",IF(P170&lt;'PlayerGrades+'!$AG$3,"S-",IF(P170&lt;'PlayerGrades+'!$AG$2,"S","S+"))))))))))))))))))))</f>
        <v>F</v>
      </c>
      <c r="R170" s="937">
        <f t="shared" si="8"/>
        <v>0.6179196704</v>
      </c>
      <c r="S170" s="937" t="str">
        <f>IF(R170&lt;'PlayerGrades+'!$AH$21,"F-",IF(R170&lt;'PlayerGrades+'!$AH$20,"F",IF(R170&lt;'PlayerGrades+'!$AH$19,"F+",IF(R170&lt;'PlayerGrades+'!$AH$18,"E-",IF(R170&lt;'PlayerGrades+'!$AH$17,"E",IF(R170&lt;'PlayerGrades+'!$AH$16,"E+",IF(R170&lt;'PlayerGrades+'!$AH$15,"D-",IF(R170&lt;'PlayerGrades+'!$AH$14,"D",IF(R170&lt;'PlayerGrades+'!$AH$13,"D+",IF(R170&lt;'PlayerGrades+'!$AH$12,"C-",IF(R170&lt;'PlayerGrades+'!$AH$11,"C",IF(R170&lt;'PlayerGrades+'!$AH$10,"C+",IF(R170&lt;'PlayerGrades+'!$AH$9,"B-",IF(R170&lt;'PlayerGrades+'!$AH$8,"B",IF(R170&lt;'PlayerGrades+'!$AH$7,"B+",IF(R170&lt;'PlayerGrades+'!$AH$6,"A-",IF(R170&lt;'PlayerGrades+'!$AH$5,"A",IF(R170&lt;'PlayerGrades+'!$AH$4,"A+",IF(R170&lt;'PlayerGrades+'!$AH$3,"S-",IF(R170&lt;'PlayerGrades+'!$AH$2,"S","S+"))))))))))))))))))))</f>
        <v>A-</v>
      </c>
      <c r="T170" s="937">
        <f t="shared" si="9"/>
        <v>1.308959835</v>
      </c>
      <c r="U170" s="937" t="str">
        <f>IF(T170&lt;'PlayerGrades+'!$AI$21,"F-",IF(T170&lt;'PlayerGrades+'!$AI$20,"F",IF(T170&lt;'PlayerGrades+'!$AI$19,"F+",IF(T170&lt;'PlayerGrades+'!$AI$18,"E-",IF(T170&lt;'PlayerGrades+'!$AI$17,"E",IF(T170&lt;'PlayerGrades+'!$AI$16,"E+",IF(T170&lt;'PlayerGrades+'!$AI$15,"D-",IF(T170&lt;'PlayerGrades+'!$AI$14,"D",IF(T170&lt;'PlayerGrades+'!$AI$13,"D+",IF(T170&lt;'PlayerGrades+'!$AI$12,"C-",IF(T170&lt;'PlayerGrades+'!$AI$11,"C",IF(T170&lt;'PlayerGrades+'!$AI$10,"C+",IF(T170&lt;'PlayerGrades+'!$AI$9,"B-",IF(T170&lt;'PlayerGrades+'!$AI$8,"B",IF(T170&lt;'PlayerGrades+'!$AI$7,"B+",IF(T170&lt;'PlayerGrades+'!$AI$6,"A-",IF(T170&lt;'PlayerGrades+'!$AI$5,"A",IF(T170&lt;'PlayerGrades+'!$AI$4,"A+",IF(T170&lt;'PlayerGrades+'!$AI$3,"S-",IF(T170&lt;'PlayerGrades+'!$AI$2,"S","S+"))))))))))))))))))))</f>
        <v>C+</v>
      </c>
      <c r="V170" s="939">
        <v>1.0</v>
      </c>
      <c r="W170" s="939">
        <v>1.0</v>
      </c>
      <c r="X170" s="939">
        <v>0.0</v>
      </c>
      <c r="Y170" s="939">
        <v>4.0</v>
      </c>
      <c r="Z170" s="939">
        <v>27.0</v>
      </c>
      <c r="AA170" s="939">
        <v>137.0</v>
      </c>
      <c r="AB170" s="939">
        <v>119.0</v>
      </c>
      <c r="AC170" s="939">
        <v>18.0</v>
      </c>
      <c r="AD170" s="939">
        <v>7.0</v>
      </c>
      <c r="AE170" s="939">
        <v>7.0</v>
      </c>
      <c r="AF170" s="939">
        <v>0.0</v>
      </c>
      <c r="AG170" s="939">
        <v>2466.0</v>
      </c>
      <c r="AH170" s="939">
        <v>2913.0</v>
      </c>
      <c r="AI170" s="939">
        <v>20.0</v>
      </c>
      <c r="AJ170" s="939">
        <v>1189.0</v>
      </c>
      <c r="AK170" s="939">
        <v>0.0</v>
      </c>
      <c r="AL170" s="939">
        <v>5.0</v>
      </c>
      <c r="AM170" s="939">
        <v>0.0</v>
      </c>
      <c r="AN170" s="939">
        <v>0.0</v>
      </c>
      <c r="AO170" s="939">
        <v>0.0</v>
      </c>
      <c r="AP170" s="939">
        <v>0.0</v>
      </c>
      <c r="AQ170" s="939">
        <v>0.0</v>
      </c>
      <c r="AR170" s="939">
        <v>17.0</v>
      </c>
      <c r="AS170" s="939">
        <v>0.0</v>
      </c>
      <c r="AT170" s="939">
        <v>0.0</v>
      </c>
      <c r="AU170" s="939">
        <v>0.0</v>
      </c>
      <c r="AV170" s="939">
        <v>0.0</v>
      </c>
      <c r="AW170" s="939">
        <v>0.0</v>
      </c>
      <c r="AX170" s="939">
        <v>0.0</v>
      </c>
      <c r="AY170" s="939">
        <v>0.0</v>
      </c>
      <c r="AZ170" s="939">
        <v>0.0</v>
      </c>
      <c r="BA170" s="939">
        <v>0.0</v>
      </c>
      <c r="BB170" s="939">
        <v>2.0</v>
      </c>
      <c r="BC170" s="939">
        <v>0.0</v>
      </c>
      <c r="BD170" s="939">
        <v>23.0</v>
      </c>
      <c r="BE170" s="939">
        <v>15.0</v>
      </c>
      <c r="BF170" s="939">
        <v>1.0</v>
      </c>
      <c r="BG170" s="940">
        <v>0.0</v>
      </c>
    </row>
    <row r="171">
      <c r="A171" s="935" t="s">
        <v>151</v>
      </c>
      <c r="B171" s="16" t="str">
        <f>IF(C171&lt;'PlayerGrades+'!$Y$44,"F-",IF(C171&lt;'PlayerGrades+'!$Y$43,"F",IF(C171&lt;'PlayerGrades+'!$Y$42,"F+",IF(C171&lt;'PlayerGrades+'!$Y$41,"E-",IF(C171&lt;'PlayerGrades+'!$Y$40,"E",IF(C171&lt;'PlayerGrades+'!$Y$39,"E+",IF(C171&lt;'PlayerGrades+'!$Y$38,"D-",IF(C171&lt;'PlayerGrades+'!$Y$37,"D",IF(C171&lt;'PlayerGrades+'!$Y$36,"D+",IF(C171&lt;'PlayerGrades+'!$Y$35,"C-",IF(C171&lt;'PlayerGrades+'!$Y$34,"C",IF(C171&lt;'PlayerGrades+'!$Y$33,"C+",IF(C171&lt;'PlayerGrades+'!$Y$32,"B-",IF(C171&lt;'PlayerGrades+'!$Y$31,"B",IF(C171&lt;'PlayerGrades+'!$Y$30,"B+",IF(C171&lt;'PlayerGrades+'!$Y$29,"A-",IF(C171&lt;'PlayerGrades+'!$Y$28,"A",IF(C171&lt;'PlayerGrades+'!$Y$27,"A+",IF(C171&lt;'PlayerGrades+'!$Y$26,"S-",IF(C171&lt;'PlayerGrades+'!$Y$25,"S","S+"))))))))))))))))))))</f>
        <v>D</v>
      </c>
      <c r="C171" s="936">
        <f>('PlayerGrades+'!$Y$47*(VLOOKUP(E171, 'PlayerGrades+'!$X$3:$Y$23, 2, FALSE)))+('PlayerGrades+'!$Y$48*(VLOOKUP(G171, 'PlayerGrades+'!$X$3:$Y$23, 2, FALSE)))+('PlayerGrades+'!$Y$49*(VLOOKUP(I171, 'PlayerGrades+'!$X$3:$Y$23, 2, FALSE)))+('PlayerGrades+'!$Y$50*(VLOOKUP(K171, 'PlayerGrades+'!$X$3:$Y$23, 2, FALSE)))+('PlayerGrades+'!$Y$51*(VLOOKUP(M171, 'PlayerGrades+'!$X$3:$Y$23, 2, FALSE)))+('PlayerGrades+'!$Y$52*(VLOOKUP(O171, 'PlayerGrades+'!$X$3:$Y$23, 2, FALSE)))+('PlayerGrades+'!$Y$53*(VLOOKUP(Q171, 'PlayerGrades+'!$X$3:$Y$23, 2, FALSE)))+('PlayerGrades+'!$Y$54*(VLOOKUP(S171, 'PlayerGrades+'!$X$3:$Y$23, 2, FALSE)))+('PlayerGrades+'!$Y$55*(VLOOKUP(U171, 'PlayerGrades+'!$X$3:$Y$23, 2, FALSE)))</f>
        <v>16.05</v>
      </c>
      <c r="D171" s="937">
        <f t="shared" si="1"/>
        <v>0.0411946447</v>
      </c>
      <c r="E171" s="937" t="str">
        <f>IF(D171&lt;'PlayerGrades+'!$AA$21,"F-",IF(D171&lt;'PlayerGrades+'!$AA$20,"F",IF(D171&lt;'PlayerGrades+'!$AA$19,"F+",IF(D171&lt;'PlayerGrades+'!$AA$18,"E-",IF(D171&lt;'PlayerGrades+'!$AA$17,"E",IF(D171&lt;'PlayerGrades+'!$AA$16,"E+",IF(D171&lt;'PlayerGrades+'!$AA$15,"D-",IF(D171&lt;'PlayerGrades+'!$AA$14,"D",IF(D171&lt;'PlayerGrades+'!$AA$13,"D+",IF(D171&lt;'PlayerGrades+'!$AA$12,"C-",IF(D171&lt;'PlayerGrades+'!$AA$11,"C",IF(D171&lt;'PlayerGrades+'!$AA$10,"C+",IF(D171&lt;'PlayerGrades+'!$AA$9,"B-",IF(D171&lt;'PlayerGrades+'!$AA$8,"B",IF(D171&lt;'PlayerGrades+'!$AA$7,"B+",IF(D171&lt;'PlayerGrades+'!$AA$6,"A-",IF(D171&lt;'PlayerGrades+'!$AA$5,"A",IF(D171&lt;'PlayerGrades+'!$AA$4,"A+",IF(D171&lt;'PlayerGrades+'!$AA$3,"S-",IF(D171&lt;'PlayerGrades+'!$AA$2,"S","S+"))))))))))))))))))))</f>
        <v>C</v>
      </c>
      <c r="F171" s="937">
        <f t="shared" si="2"/>
        <v>-0.411946447</v>
      </c>
      <c r="G171" s="937" t="str">
        <f>IF(F171&lt;'PlayerGrades+'!$AB$21,"F-",IF(F171&lt;'PlayerGrades+'!$AB$20,"F",IF(F171&lt;'PlayerGrades+'!$AB$19,"F+",IF(F171&lt;'PlayerGrades+'!$AB$18,"E-",IF(F171&lt;'PlayerGrades+'!$AB$17,"E",IF(F171&lt;'PlayerGrades+'!$AB$16,"E+",IF(F171&lt;'PlayerGrades+'!$AB$15,"D-",IF(F171&lt;'PlayerGrades+'!$AB$14,"D",IF(F171&lt;'PlayerGrades+'!$AB$13,"D+",IF(F171&lt;'PlayerGrades+'!$AB$12,"C-",IF(F171&lt;'PlayerGrades+'!$AB$11,"C",IF(F171&lt;'PlayerGrades+'!$AB$10,"C+",IF(F171&lt;'PlayerGrades+'!$AB$9,"B-",IF(F171&lt;'PlayerGrades+'!$AB$8,"B",IF(F171&lt;'PlayerGrades+'!$AB$7,"B+",IF(F171&lt;'PlayerGrades+'!$AB$6,"A-",IF(F171&lt;'PlayerGrades+'!$AB$5,"A",IF(F171&lt;'PlayerGrades+'!$AB$4,"A+",IF(F171&lt;'PlayerGrades+'!$AB$3,"S-",IF(F171&lt;'PlayerGrades+'!$AB$2,"S","S+"))))))))))))))))))))</f>
        <v>D</v>
      </c>
      <c r="H171" s="937">
        <f t="shared" si="3"/>
        <v>0.0411946447</v>
      </c>
      <c r="I171" s="937" t="str">
        <f>IF(H171&lt;'PlayerGrades+'!$AC$21,"F-",IF(H171&lt;'PlayerGrades+'!$AC$20,"F",IF(H171&lt;'PlayerGrades+'!$AC$19,"F+",IF(H171&lt;'PlayerGrades+'!$AC$18,"E-",IF(H171&lt;'PlayerGrades+'!$AC$17,"E",IF(H171&lt;'PlayerGrades+'!$AC$16,"E+",IF(H171&lt;'PlayerGrades+'!$AC$15,"D-",IF(H171&lt;'PlayerGrades+'!$AC$14,"D",IF(H171&lt;'PlayerGrades+'!$AC$13,"D+",IF(H171&lt;'PlayerGrades+'!$AC$12,"C-",IF(H171&lt;'PlayerGrades+'!$AC$11,"C",IF(H171&lt;'PlayerGrades+'!$AC$10,"C+",IF(H171&lt;'PlayerGrades+'!$AC$9,"B-",IF(H171&lt;'PlayerGrades+'!$AC$8,"B",IF(H171&lt;'PlayerGrades+'!$AC$7,"B+",IF(H171&lt;'PlayerGrades+'!$AC$6,"A-",IF(H171&lt;'PlayerGrades+'!$AC$5,"A",IF(H171&lt;'PlayerGrades+'!$AC$4,"A+",IF(H171&lt;'PlayerGrades+'!$AC$3,"S-",IF(H171&lt;'PlayerGrades+'!$AC$2,"S","S+"))))))))))))))))))))</f>
        <v>F</v>
      </c>
      <c r="J171" s="937">
        <f t="shared" si="4"/>
        <v>0.0411946447</v>
      </c>
      <c r="K171" s="937" t="str">
        <f>IF(J171&lt;'PlayerGrades+'!$AD$21,"F-",IF(J171&lt;'PlayerGrades+'!$AD$20,"F",IF(J171&lt;'PlayerGrades+'!$AD$19,"F+",IF(J171&lt;'PlayerGrades+'!$AD$18,"E-",IF(J171&lt;'PlayerGrades+'!$AD$17,"E",IF(J171&lt;'PlayerGrades+'!$AD$16,"E+",IF(J171&lt;'PlayerGrades+'!$AD$15,"D-",IF(J171&lt;'PlayerGrades+'!$AD$14,"D",IF(J171&lt;'PlayerGrades+'!$AD$13,"D+",IF(J171&lt;'PlayerGrades+'!$AD$12,"C-",IF(J171&lt;'PlayerGrades+'!$AD$11,"C",IF(J171&lt;'PlayerGrades+'!$AD$10,"C+",IF(J171&lt;'PlayerGrades+'!$AD$9,"B-",IF(J171&lt;'PlayerGrades+'!$AD$8,"B",IF(J171&lt;'PlayerGrades+'!$AD$7,"B+",IF(J171&lt;'PlayerGrades+'!$AD$6,"A-",IF(J171&lt;'PlayerGrades+'!$AD$5,"A",IF(J171&lt;'PlayerGrades+'!$AD$4,"A+",IF(J171&lt;'PlayerGrades+'!$AD$3,"S-",IF(J171&lt;'PlayerGrades+'!$AD$2,"S","S+"))))))))))))))))))))</f>
        <v>C+</v>
      </c>
      <c r="L171" s="677">
        <f t="shared" si="5"/>
        <v>0.5149330587</v>
      </c>
      <c r="M171" s="938" t="str">
        <f>IF(L171&lt;'PlayerGrades+'!$AE$21,"F-",IF(L171&lt;'PlayerGrades+'!$AE$20,"F",IF(L171&lt;'PlayerGrades+'!$AE$19,"F+",IF(L171&lt;'PlayerGrades+'!$AE$18,"E-",IF(L171&lt;'PlayerGrades+'!$AE$17,"E",IF(L171&lt;'PlayerGrades+'!$AE$16,"E+",IF(L171&lt;'PlayerGrades+'!$AE$15,"D-",IF(L171&lt;'PlayerGrades+'!$AE$14,"D",IF(L171&lt;'PlayerGrades+'!$AE$13,"D+",IF(L171&lt;'PlayerGrades+'!$AE$12,"C-",IF(L171&lt;'PlayerGrades+'!$AE$11,"C",IF(L171&lt;'PlayerGrades+'!$AE$10,"C+",IF(L171&lt;'PlayerGrades+'!$AE$9,"B-",IF(L171&lt;'PlayerGrades+'!$AE$8,"B",IF(L171&lt;'PlayerGrades+'!$AE$7,"B+",IF(L171&lt;'PlayerGrades+'!$AE$6,"A-",IF(L171&lt;'PlayerGrades+'!$AE$5,"A",IF(L171&lt;'PlayerGrades+'!$AE$4,"A+",IF(L171&lt;'PlayerGrades+'!$AE$3,"S-",IF(L171&lt;'PlayerGrades+'!$AE$2,"S","S+"))))))))))))))))))))</f>
        <v>A-</v>
      </c>
      <c r="N171" s="937">
        <f t="shared" si="6"/>
        <v>0.02059732235</v>
      </c>
      <c r="O171" s="937" t="str">
        <f>IF(N171&lt;'PlayerGrades+'!$AF$21,"F-",IF(N171&lt;'PlayerGrades+'!$AF$20,"F",IF(N171&lt;'PlayerGrades+'!$AF$19,"F+",IF(N171&lt;'PlayerGrades+'!$AF$18,"E-",IF(N171&lt;'PlayerGrades+'!$AF$17,"E",IF(N171&lt;'PlayerGrades+'!$AF$16,"E+",IF(N171&lt;'PlayerGrades+'!$AF$15,"D-",IF(N171&lt;'PlayerGrades+'!$AF$14,"D",IF(N171&lt;'PlayerGrades+'!$AF$13,"D+",IF(N171&lt;'PlayerGrades+'!$AF$12,"C-",IF(N171&lt;'PlayerGrades+'!$AF$11,"C",IF(N171&lt;'PlayerGrades+'!$AF$10,"C+",IF(N171&lt;'PlayerGrades+'!$AF$9,"B-",IF(N171&lt;'PlayerGrades+'!$AF$8,"B",IF(N171&lt;'PlayerGrades+'!$AF$7,"B+",IF(N171&lt;'PlayerGrades+'!$AF$6,"A-",IF(N171&lt;'PlayerGrades+'!$AF$5,"A",IF(N171&lt;'PlayerGrades+'!$AF$4,"A+",IF(N171&lt;'PlayerGrades+'!$AF$3,"S-",IF(N171&lt;'PlayerGrades+'!$AF$2,"S","S+"))))))))))))))))))))</f>
        <v>F-</v>
      </c>
      <c r="P171" s="937">
        <f t="shared" si="7"/>
        <v>0.0411946447</v>
      </c>
      <c r="Q171" s="937" t="str">
        <f>IF(P171&lt;'PlayerGrades+'!$AG$21,"F-",IF(P171&lt;'PlayerGrades+'!$AG$20,"F",IF(P171&lt;'PlayerGrades+'!$AG$19,"F+",IF(P171&lt;'PlayerGrades+'!$AG$18,"E-",IF(P171&lt;'PlayerGrades+'!$AG$17,"E",IF(P171&lt;'PlayerGrades+'!$AG$16,"E+",IF(P171&lt;'PlayerGrades+'!$AG$15,"D-",IF(P171&lt;'PlayerGrades+'!$AG$14,"D",IF(P171&lt;'PlayerGrades+'!$AG$13,"D+",IF(P171&lt;'PlayerGrades+'!$AG$12,"C-",IF(P171&lt;'PlayerGrades+'!$AG$11,"C",IF(P171&lt;'PlayerGrades+'!$AG$10,"C+",IF(P171&lt;'PlayerGrades+'!$AG$9,"B-",IF(P171&lt;'PlayerGrades+'!$AG$8,"B",IF(P171&lt;'PlayerGrades+'!$AG$7,"B+",IF(P171&lt;'PlayerGrades+'!$AG$6,"A-",IF(P171&lt;'PlayerGrades+'!$AG$5,"A",IF(P171&lt;'PlayerGrades+'!$AG$4,"A+",IF(P171&lt;'PlayerGrades+'!$AG$3,"S-",IF(P171&lt;'PlayerGrades+'!$AG$2,"S","S+"))))))))))))))))))))</f>
        <v>A</v>
      </c>
      <c r="R171" s="937">
        <f t="shared" si="8"/>
        <v>0.5561277034</v>
      </c>
      <c r="S171" s="937" t="str">
        <f>IF(R171&lt;'PlayerGrades+'!$AH$21,"F-",IF(R171&lt;'PlayerGrades+'!$AH$20,"F",IF(R171&lt;'PlayerGrades+'!$AH$19,"F+",IF(R171&lt;'PlayerGrades+'!$AH$18,"E-",IF(R171&lt;'PlayerGrades+'!$AH$17,"E",IF(R171&lt;'PlayerGrades+'!$AH$16,"E+",IF(R171&lt;'PlayerGrades+'!$AH$15,"D-",IF(R171&lt;'PlayerGrades+'!$AH$14,"D",IF(R171&lt;'PlayerGrades+'!$AH$13,"D+",IF(R171&lt;'PlayerGrades+'!$AH$12,"C-",IF(R171&lt;'PlayerGrades+'!$AH$11,"C",IF(R171&lt;'PlayerGrades+'!$AH$10,"C+",IF(R171&lt;'PlayerGrades+'!$AH$9,"B-",IF(R171&lt;'PlayerGrades+'!$AH$8,"B",IF(R171&lt;'PlayerGrades+'!$AH$7,"B+",IF(R171&lt;'PlayerGrades+'!$AH$6,"A-",IF(R171&lt;'PlayerGrades+'!$AH$5,"A",IF(R171&lt;'PlayerGrades+'!$AH$4,"A+",IF(R171&lt;'PlayerGrades+'!$AH$3,"S-",IF(R171&lt;'PlayerGrades+'!$AH$2,"S","S+"))))))))))))))))))))</f>
        <v>B-</v>
      </c>
      <c r="T171" s="937">
        <f t="shared" si="9"/>
        <v>0.3707518023</v>
      </c>
      <c r="U171" s="937" t="str">
        <f>IF(T171&lt;'PlayerGrades+'!$AI$21,"F-",IF(T171&lt;'PlayerGrades+'!$AI$20,"F",IF(T171&lt;'PlayerGrades+'!$AI$19,"F+",IF(T171&lt;'PlayerGrades+'!$AI$18,"E-",IF(T171&lt;'PlayerGrades+'!$AI$17,"E",IF(T171&lt;'PlayerGrades+'!$AI$16,"E+",IF(T171&lt;'PlayerGrades+'!$AI$15,"D-",IF(T171&lt;'PlayerGrades+'!$AI$14,"D",IF(T171&lt;'PlayerGrades+'!$AI$13,"D+",IF(T171&lt;'PlayerGrades+'!$AI$12,"C-",IF(T171&lt;'PlayerGrades+'!$AI$11,"C",IF(T171&lt;'PlayerGrades+'!$AI$10,"C+",IF(T171&lt;'PlayerGrades+'!$AI$9,"B-",IF(T171&lt;'PlayerGrades+'!$AI$8,"B",IF(T171&lt;'PlayerGrades+'!$AI$7,"B+",IF(T171&lt;'PlayerGrades+'!$AI$6,"A-",IF(T171&lt;'PlayerGrades+'!$AI$5,"A",IF(T171&lt;'PlayerGrades+'!$AI$4,"A+",IF(T171&lt;'PlayerGrades+'!$AI$3,"S-",IF(T171&lt;'PlayerGrades+'!$AI$2,"S","S+"))))))))))))))))))))</f>
        <v>F-</v>
      </c>
      <c r="V171" s="941">
        <v>1.0</v>
      </c>
      <c r="W171" s="941">
        <v>1.0</v>
      </c>
      <c r="X171" s="941">
        <v>0.0</v>
      </c>
      <c r="Y171" s="941">
        <v>1.0</v>
      </c>
      <c r="Z171" s="941">
        <v>1.0</v>
      </c>
      <c r="AA171" s="941">
        <v>155.0</v>
      </c>
      <c r="AB171" s="941">
        <v>175.0</v>
      </c>
      <c r="AC171" s="941">
        <v>-20.0</v>
      </c>
      <c r="AD171" s="941">
        <v>9.0</v>
      </c>
      <c r="AE171" s="941">
        <v>7.0</v>
      </c>
      <c r="AF171" s="941">
        <v>2.0</v>
      </c>
      <c r="AG171" s="941">
        <v>2299.0</v>
      </c>
      <c r="AH171" s="941">
        <v>2913.0</v>
      </c>
      <c r="AI171" s="941">
        <v>13.0</v>
      </c>
      <c r="AJ171" s="941">
        <v>11.0</v>
      </c>
      <c r="AK171" s="941">
        <v>0.0</v>
      </c>
      <c r="AL171" s="941">
        <v>2.0</v>
      </c>
      <c r="AM171" s="941">
        <v>0.0</v>
      </c>
      <c r="AN171" s="941">
        <v>0.0</v>
      </c>
      <c r="AO171" s="941">
        <v>0.0</v>
      </c>
      <c r="AP171" s="941">
        <v>2.0</v>
      </c>
      <c r="AQ171" s="941">
        <v>0.0</v>
      </c>
      <c r="AR171" s="941">
        <v>25.0</v>
      </c>
      <c r="AS171" s="941">
        <v>1.0</v>
      </c>
      <c r="AT171" s="941">
        <v>0.0</v>
      </c>
      <c r="AU171" s="941">
        <v>0.0</v>
      </c>
      <c r="AV171" s="941">
        <v>0.0</v>
      </c>
      <c r="AW171" s="941">
        <v>0.0</v>
      </c>
      <c r="AX171" s="941">
        <v>0.0</v>
      </c>
      <c r="AY171" s="941">
        <v>0.0</v>
      </c>
      <c r="AZ171" s="941">
        <v>0.0</v>
      </c>
      <c r="BA171" s="941">
        <v>0.0</v>
      </c>
      <c r="BB171" s="941">
        <v>2.0</v>
      </c>
      <c r="BC171" s="941">
        <v>0.0</v>
      </c>
      <c r="BD171" s="941">
        <v>18.0</v>
      </c>
      <c r="BE171" s="941">
        <v>18.0</v>
      </c>
      <c r="BF171" s="941">
        <v>0.0</v>
      </c>
      <c r="BG171" s="942">
        <v>0.0</v>
      </c>
    </row>
    <row r="172">
      <c r="A172" s="935" t="s">
        <v>140</v>
      </c>
      <c r="B172" s="16" t="str">
        <f>IF(C172&lt;'PlayerGrades+'!$Y$44,"F-",IF(C172&lt;'PlayerGrades+'!$Y$43,"F",IF(C172&lt;'PlayerGrades+'!$Y$42,"F+",IF(C172&lt;'PlayerGrades+'!$Y$41,"E-",IF(C172&lt;'PlayerGrades+'!$Y$40,"E",IF(C172&lt;'PlayerGrades+'!$Y$39,"E+",IF(C172&lt;'PlayerGrades+'!$Y$38,"D-",IF(C172&lt;'PlayerGrades+'!$Y$37,"D",IF(C172&lt;'PlayerGrades+'!$Y$36,"D+",IF(C172&lt;'PlayerGrades+'!$Y$35,"C-",IF(C172&lt;'PlayerGrades+'!$Y$34,"C",IF(C172&lt;'PlayerGrades+'!$Y$33,"C+",IF(C172&lt;'PlayerGrades+'!$Y$32,"B-",IF(C172&lt;'PlayerGrades+'!$Y$31,"B",IF(C172&lt;'PlayerGrades+'!$Y$30,"B+",IF(C172&lt;'PlayerGrades+'!$Y$29,"A-",IF(C172&lt;'PlayerGrades+'!$Y$28,"A",IF(C172&lt;'PlayerGrades+'!$Y$27,"A+",IF(C172&lt;'PlayerGrades+'!$Y$26,"S-",IF(C172&lt;'PlayerGrades+'!$Y$25,"S","S+"))))))))))))))))))))</f>
        <v>A-</v>
      </c>
      <c r="C172" s="936">
        <f>('PlayerGrades+'!$Y$47*(VLOOKUP(E172, 'PlayerGrades+'!$X$3:$Y$23, 2, FALSE)))+('PlayerGrades+'!$Y$48*(VLOOKUP(G172, 'PlayerGrades+'!$X$3:$Y$23, 2, FALSE)))+('PlayerGrades+'!$Y$49*(VLOOKUP(I172, 'PlayerGrades+'!$X$3:$Y$23, 2, FALSE)))+('PlayerGrades+'!$Y$50*(VLOOKUP(K172, 'PlayerGrades+'!$X$3:$Y$23, 2, FALSE)))+('PlayerGrades+'!$Y$51*(VLOOKUP(M172, 'PlayerGrades+'!$X$3:$Y$23, 2, FALSE)))+('PlayerGrades+'!$Y$52*(VLOOKUP(O172, 'PlayerGrades+'!$X$3:$Y$23, 2, FALSE)))+('PlayerGrades+'!$Y$53*(VLOOKUP(Q172, 'PlayerGrades+'!$X$3:$Y$23, 2, FALSE)))+('PlayerGrades+'!$Y$54*(VLOOKUP(S172, 'PlayerGrades+'!$X$3:$Y$23, 2, FALSE)))+('PlayerGrades+'!$Y$55*(VLOOKUP(U172, 'PlayerGrades+'!$X$3:$Y$23, 2, FALSE)))</f>
        <v>24.55</v>
      </c>
      <c r="D172" s="937">
        <f t="shared" si="1"/>
        <v>0</v>
      </c>
      <c r="E172" s="937" t="str">
        <f>IF(D172&lt;'PlayerGrades+'!$AA$21,"F-",IF(D172&lt;'PlayerGrades+'!$AA$20,"F",IF(D172&lt;'PlayerGrades+'!$AA$19,"F+",IF(D172&lt;'PlayerGrades+'!$AA$18,"E-",IF(D172&lt;'PlayerGrades+'!$AA$17,"E",IF(D172&lt;'PlayerGrades+'!$AA$16,"E+",IF(D172&lt;'PlayerGrades+'!$AA$15,"D-",IF(D172&lt;'PlayerGrades+'!$AA$14,"D",IF(D172&lt;'PlayerGrades+'!$AA$13,"D+",IF(D172&lt;'PlayerGrades+'!$AA$12,"C-",IF(D172&lt;'PlayerGrades+'!$AA$11,"C",IF(D172&lt;'PlayerGrades+'!$AA$10,"C+",IF(D172&lt;'PlayerGrades+'!$AA$9,"B-",IF(D172&lt;'PlayerGrades+'!$AA$8,"B",IF(D172&lt;'PlayerGrades+'!$AA$7,"B+",IF(D172&lt;'PlayerGrades+'!$AA$6,"A-",IF(D172&lt;'PlayerGrades+'!$AA$5,"A",IF(D172&lt;'PlayerGrades+'!$AA$4,"A+",IF(D172&lt;'PlayerGrades+'!$AA$3,"S-",IF(D172&lt;'PlayerGrades+'!$AA$2,"S","S+"))))))))))))))))))))</f>
        <v>F-</v>
      </c>
      <c r="F172" s="937">
        <f t="shared" si="2"/>
        <v>0.1647785788</v>
      </c>
      <c r="G172" s="937" t="str">
        <f>IF(F172&lt;'PlayerGrades+'!$AB$21,"F-",IF(F172&lt;'PlayerGrades+'!$AB$20,"F",IF(F172&lt;'PlayerGrades+'!$AB$19,"F+",IF(F172&lt;'PlayerGrades+'!$AB$18,"E-",IF(F172&lt;'PlayerGrades+'!$AB$17,"E",IF(F172&lt;'PlayerGrades+'!$AB$16,"E+",IF(F172&lt;'PlayerGrades+'!$AB$15,"D-",IF(F172&lt;'PlayerGrades+'!$AB$14,"D",IF(F172&lt;'PlayerGrades+'!$AB$13,"D+",IF(F172&lt;'PlayerGrades+'!$AB$12,"C-",IF(F172&lt;'PlayerGrades+'!$AB$11,"C",IF(F172&lt;'PlayerGrades+'!$AB$10,"C+",IF(F172&lt;'PlayerGrades+'!$AB$9,"B-",IF(F172&lt;'PlayerGrades+'!$AB$8,"B",IF(F172&lt;'PlayerGrades+'!$AB$7,"B+",IF(F172&lt;'PlayerGrades+'!$AB$6,"A-",IF(F172&lt;'PlayerGrades+'!$AB$5,"A",IF(F172&lt;'PlayerGrades+'!$AB$4,"A+",IF(F172&lt;'PlayerGrades+'!$AB$3,"S-",IF(F172&lt;'PlayerGrades+'!$AB$2,"S","S+"))))))))))))))))))))</f>
        <v>B+</v>
      </c>
      <c r="H172" s="937">
        <f t="shared" si="3"/>
        <v>0.1853759011</v>
      </c>
      <c r="I172" s="937" t="str">
        <f>IF(H172&lt;'PlayerGrades+'!$AC$21,"F-",IF(H172&lt;'PlayerGrades+'!$AC$20,"F",IF(H172&lt;'PlayerGrades+'!$AC$19,"F+",IF(H172&lt;'PlayerGrades+'!$AC$18,"E-",IF(H172&lt;'PlayerGrades+'!$AC$17,"E",IF(H172&lt;'PlayerGrades+'!$AC$16,"E+",IF(H172&lt;'PlayerGrades+'!$AC$15,"D-",IF(H172&lt;'PlayerGrades+'!$AC$14,"D",IF(H172&lt;'PlayerGrades+'!$AC$13,"D+",IF(H172&lt;'PlayerGrades+'!$AC$12,"C-",IF(H172&lt;'PlayerGrades+'!$AC$11,"C",IF(H172&lt;'PlayerGrades+'!$AC$10,"C+",IF(H172&lt;'PlayerGrades+'!$AC$9,"B-",IF(H172&lt;'PlayerGrades+'!$AC$8,"B",IF(H172&lt;'PlayerGrades+'!$AC$7,"B+",IF(H172&lt;'PlayerGrades+'!$AC$6,"A-",IF(H172&lt;'PlayerGrades+'!$AC$5,"A",IF(H172&lt;'PlayerGrades+'!$AC$4,"A+",IF(H172&lt;'PlayerGrades+'!$AC$3,"S-",IF(H172&lt;'PlayerGrades+'!$AC$2,"S","S+"))))))))))))))))))))</f>
        <v>S</v>
      </c>
      <c r="J172" s="937">
        <f t="shared" si="4"/>
        <v>0.06179196704</v>
      </c>
      <c r="K172" s="937" t="str">
        <f>IF(J172&lt;'PlayerGrades+'!$AD$21,"F-",IF(J172&lt;'PlayerGrades+'!$AD$20,"F",IF(J172&lt;'PlayerGrades+'!$AD$19,"F+",IF(J172&lt;'PlayerGrades+'!$AD$18,"E-",IF(J172&lt;'PlayerGrades+'!$AD$17,"E",IF(J172&lt;'PlayerGrades+'!$AD$16,"E+",IF(J172&lt;'PlayerGrades+'!$AD$15,"D-",IF(J172&lt;'PlayerGrades+'!$AD$14,"D",IF(J172&lt;'PlayerGrades+'!$AD$13,"D+",IF(J172&lt;'PlayerGrades+'!$AD$12,"C-",IF(J172&lt;'PlayerGrades+'!$AD$11,"C",IF(J172&lt;'PlayerGrades+'!$AD$10,"C+",IF(J172&lt;'PlayerGrades+'!$AD$9,"B-",IF(J172&lt;'PlayerGrades+'!$AD$8,"B",IF(J172&lt;'PlayerGrades+'!$AD$7,"B+",IF(J172&lt;'PlayerGrades+'!$AD$6,"A-",IF(J172&lt;'PlayerGrades+'!$AD$5,"A",IF(J172&lt;'PlayerGrades+'!$AD$4,"A+",IF(J172&lt;'PlayerGrades+'!$AD$3,"S-",IF(J172&lt;'PlayerGrades+'!$AD$2,"S","S+"))))))))))))))))))))</f>
        <v>A-</v>
      </c>
      <c r="L172" s="677">
        <f t="shared" si="5"/>
        <v>0.5149330587</v>
      </c>
      <c r="M172" s="938" t="str">
        <f>IF(L172&lt;'PlayerGrades+'!$AE$21,"F-",IF(L172&lt;'PlayerGrades+'!$AE$20,"F",IF(L172&lt;'PlayerGrades+'!$AE$19,"F+",IF(L172&lt;'PlayerGrades+'!$AE$18,"E-",IF(L172&lt;'PlayerGrades+'!$AE$17,"E",IF(L172&lt;'PlayerGrades+'!$AE$16,"E+",IF(L172&lt;'PlayerGrades+'!$AE$15,"D-",IF(L172&lt;'PlayerGrades+'!$AE$14,"D",IF(L172&lt;'PlayerGrades+'!$AE$13,"D+",IF(L172&lt;'PlayerGrades+'!$AE$12,"C-",IF(L172&lt;'PlayerGrades+'!$AE$11,"C",IF(L172&lt;'PlayerGrades+'!$AE$10,"C+",IF(L172&lt;'PlayerGrades+'!$AE$9,"B-",IF(L172&lt;'PlayerGrades+'!$AE$8,"B",IF(L172&lt;'PlayerGrades+'!$AE$7,"B+",IF(L172&lt;'PlayerGrades+'!$AE$6,"A-",IF(L172&lt;'PlayerGrades+'!$AE$5,"A",IF(L172&lt;'PlayerGrades+'!$AE$4,"A+",IF(L172&lt;'PlayerGrades+'!$AE$3,"S-",IF(L172&lt;'PlayerGrades+'!$AE$2,"S","S+"))))))))))))))))))))</f>
        <v>A-</v>
      </c>
      <c r="N172" s="937">
        <f t="shared" si="6"/>
        <v>0.08238928939</v>
      </c>
      <c r="O172" s="937" t="str">
        <f>IF(N172&lt;'PlayerGrades+'!$AF$21,"F-",IF(N172&lt;'PlayerGrades+'!$AF$20,"F",IF(N172&lt;'PlayerGrades+'!$AF$19,"F+",IF(N172&lt;'PlayerGrades+'!$AF$18,"E-",IF(N172&lt;'PlayerGrades+'!$AF$17,"E",IF(N172&lt;'PlayerGrades+'!$AF$16,"E+",IF(N172&lt;'PlayerGrades+'!$AF$15,"D-",IF(N172&lt;'PlayerGrades+'!$AF$14,"D",IF(N172&lt;'PlayerGrades+'!$AF$13,"D+",IF(N172&lt;'PlayerGrades+'!$AF$12,"C-",IF(N172&lt;'PlayerGrades+'!$AF$11,"C",IF(N172&lt;'PlayerGrades+'!$AF$10,"C+",IF(N172&lt;'PlayerGrades+'!$AF$9,"B-",IF(N172&lt;'PlayerGrades+'!$AF$8,"B",IF(N172&lt;'PlayerGrades+'!$AF$7,"B+",IF(N172&lt;'PlayerGrades+'!$AF$6,"A-",IF(N172&lt;'PlayerGrades+'!$AF$5,"A",IF(N172&lt;'PlayerGrades+'!$AF$4,"A+",IF(N172&lt;'PlayerGrades+'!$AF$3,"S-",IF(N172&lt;'PlayerGrades+'!$AF$2,"S","S+"))))))))))))))))))))</f>
        <v>B</v>
      </c>
      <c r="P172" s="937">
        <f t="shared" si="7"/>
        <v>0.06179196704</v>
      </c>
      <c r="Q172" s="937" t="str">
        <f>IF(P172&lt;'PlayerGrades+'!$AG$21,"F-",IF(P172&lt;'PlayerGrades+'!$AG$20,"F",IF(P172&lt;'PlayerGrades+'!$AG$19,"F+",IF(P172&lt;'PlayerGrades+'!$AG$18,"E-",IF(P172&lt;'PlayerGrades+'!$AG$17,"E",IF(P172&lt;'PlayerGrades+'!$AG$16,"E+",IF(P172&lt;'PlayerGrades+'!$AG$15,"D-",IF(P172&lt;'PlayerGrades+'!$AG$14,"D",IF(P172&lt;'PlayerGrades+'!$AG$13,"D+",IF(P172&lt;'PlayerGrades+'!$AG$12,"C-",IF(P172&lt;'PlayerGrades+'!$AG$11,"C",IF(P172&lt;'PlayerGrades+'!$AG$10,"C+",IF(P172&lt;'PlayerGrades+'!$AG$9,"B-",IF(P172&lt;'PlayerGrades+'!$AG$8,"B",IF(P172&lt;'PlayerGrades+'!$AG$7,"B+",IF(P172&lt;'PlayerGrades+'!$AG$6,"A-",IF(P172&lt;'PlayerGrades+'!$AG$5,"A",IF(P172&lt;'PlayerGrades+'!$AG$4,"A+",IF(P172&lt;'PlayerGrades+'!$AG$3,"S-",IF(P172&lt;'PlayerGrades+'!$AG$2,"S","S+"))))))))))))))))))))</f>
        <v>A+</v>
      </c>
      <c r="R172" s="937">
        <f t="shared" si="8"/>
        <v>0.6179196704</v>
      </c>
      <c r="S172" s="937" t="str">
        <f>IF(R172&lt;'PlayerGrades+'!$AH$21,"F-",IF(R172&lt;'PlayerGrades+'!$AH$20,"F",IF(R172&lt;'PlayerGrades+'!$AH$19,"F+",IF(R172&lt;'PlayerGrades+'!$AH$18,"E-",IF(R172&lt;'PlayerGrades+'!$AH$17,"E",IF(R172&lt;'PlayerGrades+'!$AH$16,"E+",IF(R172&lt;'PlayerGrades+'!$AH$15,"D-",IF(R172&lt;'PlayerGrades+'!$AH$14,"D",IF(R172&lt;'PlayerGrades+'!$AH$13,"D+",IF(R172&lt;'PlayerGrades+'!$AH$12,"C-",IF(R172&lt;'PlayerGrades+'!$AH$11,"C",IF(R172&lt;'PlayerGrades+'!$AH$10,"C+",IF(R172&lt;'PlayerGrades+'!$AH$9,"B-",IF(R172&lt;'PlayerGrades+'!$AH$8,"B",IF(R172&lt;'PlayerGrades+'!$AH$7,"B+",IF(R172&lt;'PlayerGrades+'!$AH$6,"A-",IF(R172&lt;'PlayerGrades+'!$AH$5,"A",IF(R172&lt;'PlayerGrades+'!$AH$4,"A+",IF(R172&lt;'PlayerGrades+'!$AH$3,"S-",IF(R172&lt;'PlayerGrades+'!$AH$2,"S","S+"))))))))))))))))))))</f>
        <v>A-</v>
      </c>
      <c r="T172" s="937">
        <f t="shared" si="9"/>
        <v>0.5561277034</v>
      </c>
      <c r="U172" s="937" t="str">
        <f>IF(T172&lt;'PlayerGrades+'!$AI$21,"F-",IF(T172&lt;'PlayerGrades+'!$AI$20,"F",IF(T172&lt;'PlayerGrades+'!$AI$19,"F+",IF(T172&lt;'PlayerGrades+'!$AI$18,"E-",IF(T172&lt;'PlayerGrades+'!$AI$17,"E",IF(T172&lt;'PlayerGrades+'!$AI$16,"E+",IF(T172&lt;'PlayerGrades+'!$AI$15,"D-",IF(T172&lt;'PlayerGrades+'!$AI$14,"D",IF(T172&lt;'PlayerGrades+'!$AI$13,"D+",IF(T172&lt;'PlayerGrades+'!$AI$12,"C-",IF(T172&lt;'PlayerGrades+'!$AI$11,"C",IF(T172&lt;'PlayerGrades+'!$AI$10,"C+",IF(T172&lt;'PlayerGrades+'!$AI$9,"B-",IF(T172&lt;'PlayerGrades+'!$AI$8,"B",IF(T172&lt;'PlayerGrades+'!$AI$7,"B+",IF(T172&lt;'PlayerGrades+'!$AI$6,"A-",IF(T172&lt;'PlayerGrades+'!$AI$5,"A",IF(T172&lt;'PlayerGrades+'!$AI$4,"A+",IF(T172&lt;'PlayerGrades+'!$AI$3,"S-",IF(T172&lt;'PlayerGrades+'!$AI$2,"S","S+"))))))))))))))))))))</f>
        <v>F-</v>
      </c>
      <c r="V172" s="941">
        <v>1.0</v>
      </c>
      <c r="W172" s="941">
        <v>1.0</v>
      </c>
      <c r="X172" s="941">
        <v>0.0</v>
      </c>
      <c r="Y172" s="941">
        <v>0.0</v>
      </c>
      <c r="Z172" s="941">
        <v>0.0</v>
      </c>
      <c r="AA172" s="941">
        <v>158.0</v>
      </c>
      <c r="AB172" s="941">
        <v>150.0</v>
      </c>
      <c r="AC172" s="941">
        <v>8.0</v>
      </c>
      <c r="AD172" s="941">
        <v>14.0</v>
      </c>
      <c r="AE172" s="941">
        <v>6.0</v>
      </c>
      <c r="AF172" s="941">
        <v>2.0</v>
      </c>
      <c r="AG172" s="941">
        <v>2370.0</v>
      </c>
      <c r="AH172" s="941">
        <v>2913.0</v>
      </c>
      <c r="AI172" s="941">
        <v>15.0</v>
      </c>
      <c r="AJ172" s="941">
        <v>38.0</v>
      </c>
      <c r="AK172" s="941">
        <v>0.0</v>
      </c>
      <c r="AL172" s="941">
        <v>3.0</v>
      </c>
      <c r="AM172" s="941">
        <v>0.0</v>
      </c>
      <c r="AN172" s="941">
        <v>0.0</v>
      </c>
      <c r="AO172" s="941">
        <v>0.0</v>
      </c>
      <c r="AP172" s="941">
        <v>3.0</v>
      </c>
      <c r="AQ172" s="941">
        <v>0.0</v>
      </c>
      <c r="AR172" s="941">
        <v>25.0</v>
      </c>
      <c r="AS172" s="941">
        <v>4.0</v>
      </c>
      <c r="AT172" s="941">
        <v>0.0</v>
      </c>
      <c r="AU172" s="941">
        <v>0.0</v>
      </c>
      <c r="AV172" s="941">
        <v>0.0</v>
      </c>
      <c r="AW172" s="941">
        <v>0.0</v>
      </c>
      <c r="AX172" s="941">
        <v>0.0</v>
      </c>
      <c r="AY172" s="941">
        <v>0.0</v>
      </c>
      <c r="AZ172" s="941">
        <v>0.0</v>
      </c>
      <c r="BA172" s="941">
        <v>0.0</v>
      </c>
      <c r="BB172" s="941">
        <v>9.0</v>
      </c>
      <c r="BC172" s="941">
        <v>0.0</v>
      </c>
      <c r="BD172" s="941">
        <v>16.0</v>
      </c>
      <c r="BE172" s="941">
        <v>27.0</v>
      </c>
      <c r="BF172" s="941">
        <v>0.0</v>
      </c>
      <c r="BG172" s="942">
        <v>0.0</v>
      </c>
    </row>
    <row r="173">
      <c r="A173" s="935" t="s">
        <v>129</v>
      </c>
      <c r="B173" s="16" t="str">
        <f>IF(C173&lt;'PlayerGrades+'!$Y$44,"F-",IF(C173&lt;'PlayerGrades+'!$Y$43,"F",IF(C173&lt;'PlayerGrades+'!$Y$42,"F+",IF(C173&lt;'PlayerGrades+'!$Y$41,"E-",IF(C173&lt;'PlayerGrades+'!$Y$40,"E",IF(C173&lt;'PlayerGrades+'!$Y$39,"E+",IF(C173&lt;'PlayerGrades+'!$Y$38,"D-",IF(C173&lt;'PlayerGrades+'!$Y$37,"D",IF(C173&lt;'PlayerGrades+'!$Y$36,"D+",IF(C173&lt;'PlayerGrades+'!$Y$35,"C-",IF(C173&lt;'PlayerGrades+'!$Y$34,"C",IF(C173&lt;'PlayerGrades+'!$Y$33,"C+",IF(C173&lt;'PlayerGrades+'!$Y$32,"B-",IF(C173&lt;'PlayerGrades+'!$Y$31,"B",IF(C173&lt;'PlayerGrades+'!$Y$30,"B+",IF(C173&lt;'PlayerGrades+'!$Y$29,"A-",IF(C173&lt;'PlayerGrades+'!$Y$28,"A",IF(C173&lt;'PlayerGrades+'!$Y$27,"A+",IF(C173&lt;'PlayerGrades+'!$Y$26,"S-",IF(C173&lt;'PlayerGrades+'!$Y$25,"S","S+"))))))))))))))))))))</f>
        <v>S</v>
      </c>
      <c r="C173" s="936">
        <f>('PlayerGrades+'!$Y$47*(VLOOKUP(E173, 'PlayerGrades+'!$X$3:$Y$23, 2, FALSE)))+('PlayerGrades+'!$Y$48*(VLOOKUP(G173, 'PlayerGrades+'!$X$3:$Y$23, 2, FALSE)))+('PlayerGrades+'!$Y$49*(VLOOKUP(I173, 'PlayerGrades+'!$X$3:$Y$23, 2, FALSE)))+('PlayerGrades+'!$Y$50*(VLOOKUP(K173, 'PlayerGrades+'!$X$3:$Y$23, 2, FALSE)))+('PlayerGrades+'!$Y$51*(VLOOKUP(M173, 'PlayerGrades+'!$X$3:$Y$23, 2, FALSE)))+('PlayerGrades+'!$Y$52*(VLOOKUP(O173, 'PlayerGrades+'!$X$3:$Y$23, 2, FALSE)))+('PlayerGrades+'!$Y$53*(VLOOKUP(Q173, 'PlayerGrades+'!$X$3:$Y$23, 2, FALSE)))+('PlayerGrades+'!$Y$54*(VLOOKUP(S173, 'PlayerGrades+'!$X$3:$Y$23, 2, FALSE)))+('PlayerGrades+'!$Y$55*(VLOOKUP(U173, 'PlayerGrades+'!$X$3:$Y$23, 2, FALSE)))</f>
        <v>31.55</v>
      </c>
      <c r="D173" s="937">
        <f t="shared" si="1"/>
        <v>0.0411946447</v>
      </c>
      <c r="E173" s="937" t="str">
        <f>IF(D173&lt;'PlayerGrades+'!$AA$21,"F-",IF(D173&lt;'PlayerGrades+'!$AA$20,"F",IF(D173&lt;'PlayerGrades+'!$AA$19,"F+",IF(D173&lt;'PlayerGrades+'!$AA$18,"E-",IF(D173&lt;'PlayerGrades+'!$AA$17,"E",IF(D173&lt;'PlayerGrades+'!$AA$16,"E+",IF(D173&lt;'PlayerGrades+'!$AA$15,"D-",IF(D173&lt;'PlayerGrades+'!$AA$14,"D",IF(D173&lt;'PlayerGrades+'!$AA$13,"D+",IF(D173&lt;'PlayerGrades+'!$AA$12,"C-",IF(D173&lt;'PlayerGrades+'!$AA$11,"C",IF(D173&lt;'PlayerGrades+'!$AA$10,"C+",IF(D173&lt;'PlayerGrades+'!$AA$9,"B-",IF(D173&lt;'PlayerGrades+'!$AA$8,"B",IF(D173&lt;'PlayerGrades+'!$AA$7,"B+",IF(D173&lt;'PlayerGrades+'!$AA$6,"A-",IF(D173&lt;'PlayerGrades+'!$AA$5,"A",IF(D173&lt;'PlayerGrades+'!$AA$4,"A+",IF(D173&lt;'PlayerGrades+'!$AA$3,"S-",IF(D173&lt;'PlayerGrades+'!$AA$2,"S","S+"))))))))))))))))))))</f>
        <v>C</v>
      </c>
      <c r="F173" s="937">
        <f t="shared" si="2"/>
        <v>0.473738414</v>
      </c>
      <c r="G173" s="937" t="str">
        <f>IF(F173&lt;'PlayerGrades+'!$AB$21,"F-",IF(F173&lt;'PlayerGrades+'!$AB$20,"F",IF(F173&lt;'PlayerGrades+'!$AB$19,"F+",IF(F173&lt;'PlayerGrades+'!$AB$18,"E-",IF(F173&lt;'PlayerGrades+'!$AB$17,"E",IF(F173&lt;'PlayerGrades+'!$AB$16,"E+",IF(F173&lt;'PlayerGrades+'!$AB$15,"D-",IF(F173&lt;'PlayerGrades+'!$AB$14,"D",IF(F173&lt;'PlayerGrades+'!$AB$13,"D+",IF(F173&lt;'PlayerGrades+'!$AB$12,"C-",IF(F173&lt;'PlayerGrades+'!$AB$11,"C",IF(F173&lt;'PlayerGrades+'!$AB$10,"C+",IF(F173&lt;'PlayerGrades+'!$AB$9,"B-",IF(F173&lt;'PlayerGrades+'!$AB$8,"B",IF(F173&lt;'PlayerGrades+'!$AB$7,"B+",IF(F173&lt;'PlayerGrades+'!$AB$6,"A-",IF(F173&lt;'PlayerGrades+'!$AB$5,"A",IF(F173&lt;'PlayerGrades+'!$AB$4,"A+",IF(F173&lt;'PlayerGrades+'!$AB$3,"S-",IF(F173&lt;'PlayerGrades+'!$AB$2,"S","S+"))))))))))))))))))))</f>
        <v>A+</v>
      </c>
      <c r="H173" s="937">
        <f t="shared" si="3"/>
        <v>0.08238928939</v>
      </c>
      <c r="I173" s="937" t="str">
        <f>IF(H173&lt;'PlayerGrades+'!$AC$21,"F-",IF(H173&lt;'PlayerGrades+'!$AC$20,"F",IF(H173&lt;'PlayerGrades+'!$AC$19,"F+",IF(H173&lt;'PlayerGrades+'!$AC$18,"E-",IF(H173&lt;'PlayerGrades+'!$AC$17,"E",IF(H173&lt;'PlayerGrades+'!$AC$16,"E+",IF(H173&lt;'PlayerGrades+'!$AC$15,"D-",IF(H173&lt;'PlayerGrades+'!$AC$14,"D",IF(H173&lt;'PlayerGrades+'!$AC$13,"D+",IF(H173&lt;'PlayerGrades+'!$AC$12,"C-",IF(H173&lt;'PlayerGrades+'!$AC$11,"C",IF(H173&lt;'PlayerGrades+'!$AC$10,"C+",IF(H173&lt;'PlayerGrades+'!$AC$9,"B-",IF(H173&lt;'PlayerGrades+'!$AC$8,"B",IF(H173&lt;'PlayerGrades+'!$AC$7,"B+",IF(H173&lt;'PlayerGrades+'!$AC$6,"A-",IF(H173&lt;'PlayerGrades+'!$AC$5,"A",IF(H173&lt;'PlayerGrades+'!$AC$4,"A+",IF(H173&lt;'PlayerGrades+'!$AC$3,"S-",IF(H173&lt;'PlayerGrades+'!$AC$2,"S","S+"))))))))))))))))))))</f>
        <v>D-</v>
      </c>
      <c r="J173" s="937">
        <f t="shared" si="4"/>
        <v>0.1029866117</v>
      </c>
      <c r="K173" s="937" t="str">
        <f>IF(J173&lt;'PlayerGrades+'!$AD$21,"F-",IF(J173&lt;'PlayerGrades+'!$AD$20,"F",IF(J173&lt;'PlayerGrades+'!$AD$19,"F+",IF(J173&lt;'PlayerGrades+'!$AD$18,"E-",IF(J173&lt;'PlayerGrades+'!$AD$17,"E",IF(J173&lt;'PlayerGrades+'!$AD$16,"E+",IF(J173&lt;'PlayerGrades+'!$AD$15,"D-",IF(J173&lt;'PlayerGrades+'!$AD$14,"D",IF(J173&lt;'PlayerGrades+'!$AD$13,"D+",IF(J173&lt;'PlayerGrades+'!$AD$12,"C-",IF(J173&lt;'PlayerGrades+'!$AD$11,"C",IF(J173&lt;'PlayerGrades+'!$AD$10,"C+",IF(J173&lt;'PlayerGrades+'!$AD$9,"B-",IF(J173&lt;'PlayerGrades+'!$AD$8,"B",IF(J173&lt;'PlayerGrades+'!$AD$7,"B+",IF(J173&lt;'PlayerGrades+'!$AD$6,"A-",IF(J173&lt;'PlayerGrades+'!$AD$5,"A",IF(J173&lt;'PlayerGrades+'!$AD$4,"A+",IF(J173&lt;'PlayerGrades+'!$AD$3,"S-",IF(J173&lt;'PlayerGrades+'!$AD$2,"S","S+"))))))))))))))))))))</f>
        <v>S</v>
      </c>
      <c r="L173" s="677">
        <f t="shared" si="5"/>
        <v>0.8238928939</v>
      </c>
      <c r="M173" s="938" t="str">
        <f>IF(L173&lt;'PlayerGrades+'!$AE$21,"F-",IF(L173&lt;'PlayerGrades+'!$AE$20,"F",IF(L173&lt;'PlayerGrades+'!$AE$19,"F+",IF(L173&lt;'PlayerGrades+'!$AE$18,"E-",IF(L173&lt;'PlayerGrades+'!$AE$17,"E",IF(L173&lt;'PlayerGrades+'!$AE$16,"E+",IF(L173&lt;'PlayerGrades+'!$AE$15,"D-",IF(L173&lt;'PlayerGrades+'!$AE$14,"D",IF(L173&lt;'PlayerGrades+'!$AE$13,"D+",IF(L173&lt;'PlayerGrades+'!$AE$12,"C-",IF(L173&lt;'PlayerGrades+'!$AE$11,"C",IF(L173&lt;'PlayerGrades+'!$AE$10,"C+",IF(L173&lt;'PlayerGrades+'!$AE$9,"B-",IF(L173&lt;'PlayerGrades+'!$AE$8,"B",IF(L173&lt;'PlayerGrades+'!$AE$7,"B+",IF(L173&lt;'PlayerGrades+'!$AE$6,"A-",IF(L173&lt;'PlayerGrades+'!$AE$5,"A",IF(L173&lt;'PlayerGrades+'!$AE$4,"A+",IF(L173&lt;'PlayerGrades+'!$AE$3,"S-",IF(L173&lt;'PlayerGrades+'!$AE$2,"S","S+"))))))))))))))))))))</f>
        <v>S+</v>
      </c>
      <c r="N173" s="937">
        <f t="shared" si="6"/>
        <v>0.2471678682</v>
      </c>
      <c r="O173" s="937" t="str">
        <f>IF(N173&lt;'PlayerGrades+'!$AF$21,"F-",IF(N173&lt;'PlayerGrades+'!$AF$20,"F",IF(N173&lt;'PlayerGrades+'!$AF$19,"F+",IF(N173&lt;'PlayerGrades+'!$AF$18,"E-",IF(N173&lt;'PlayerGrades+'!$AF$17,"E",IF(N173&lt;'PlayerGrades+'!$AF$16,"E+",IF(N173&lt;'PlayerGrades+'!$AF$15,"D-",IF(N173&lt;'PlayerGrades+'!$AF$14,"D",IF(N173&lt;'PlayerGrades+'!$AF$13,"D+",IF(N173&lt;'PlayerGrades+'!$AF$12,"C-",IF(N173&lt;'PlayerGrades+'!$AF$11,"C",IF(N173&lt;'PlayerGrades+'!$AF$10,"C+",IF(N173&lt;'PlayerGrades+'!$AF$9,"B-",IF(N173&lt;'PlayerGrades+'!$AF$8,"B",IF(N173&lt;'PlayerGrades+'!$AF$7,"B+",IF(N173&lt;'PlayerGrades+'!$AF$6,"A-",IF(N173&lt;'PlayerGrades+'!$AF$5,"A",IF(N173&lt;'PlayerGrades+'!$AF$4,"A+",IF(N173&lt;'PlayerGrades+'!$AF$3,"S-",IF(N173&lt;'PlayerGrades+'!$AF$2,"S","S+"))))))))))))))))))))</f>
        <v>S+</v>
      </c>
      <c r="P173" s="937">
        <f t="shared" si="7"/>
        <v>0.08238928939</v>
      </c>
      <c r="Q173" s="937" t="str">
        <f>IF(P173&lt;'PlayerGrades+'!$AG$21,"F-",IF(P173&lt;'PlayerGrades+'!$AG$20,"F",IF(P173&lt;'PlayerGrades+'!$AG$19,"F+",IF(P173&lt;'PlayerGrades+'!$AG$18,"E-",IF(P173&lt;'PlayerGrades+'!$AG$17,"E",IF(P173&lt;'PlayerGrades+'!$AG$16,"E+",IF(P173&lt;'PlayerGrades+'!$AG$15,"D-",IF(P173&lt;'PlayerGrades+'!$AG$14,"D",IF(P173&lt;'PlayerGrades+'!$AG$13,"D+",IF(P173&lt;'PlayerGrades+'!$AG$12,"C-",IF(P173&lt;'PlayerGrades+'!$AG$11,"C",IF(P173&lt;'PlayerGrades+'!$AG$10,"C+",IF(P173&lt;'PlayerGrades+'!$AG$9,"B-",IF(P173&lt;'PlayerGrades+'!$AG$8,"B",IF(P173&lt;'PlayerGrades+'!$AG$7,"B+",IF(P173&lt;'PlayerGrades+'!$AG$6,"A-",IF(P173&lt;'PlayerGrades+'!$AG$5,"A",IF(P173&lt;'PlayerGrades+'!$AG$4,"A+",IF(P173&lt;'PlayerGrades+'!$AG$3,"S-",IF(P173&lt;'PlayerGrades+'!$AG$2,"S","S+"))))))))))))))))))))</f>
        <v>S-</v>
      </c>
      <c r="R173" s="937">
        <f t="shared" si="8"/>
        <v>0.7621009269</v>
      </c>
      <c r="S173" s="937" t="str">
        <f>IF(R173&lt;'PlayerGrades+'!$AH$21,"F-",IF(R173&lt;'PlayerGrades+'!$AH$20,"F",IF(R173&lt;'PlayerGrades+'!$AH$19,"F+",IF(R173&lt;'PlayerGrades+'!$AH$18,"E-",IF(R173&lt;'PlayerGrades+'!$AH$17,"E",IF(R173&lt;'PlayerGrades+'!$AH$16,"E+",IF(R173&lt;'PlayerGrades+'!$AH$15,"D-",IF(R173&lt;'PlayerGrades+'!$AH$14,"D",IF(R173&lt;'PlayerGrades+'!$AH$13,"D+",IF(R173&lt;'PlayerGrades+'!$AH$12,"C-",IF(R173&lt;'PlayerGrades+'!$AH$11,"C",IF(R173&lt;'PlayerGrades+'!$AH$10,"C+",IF(R173&lt;'PlayerGrades+'!$AH$9,"B-",IF(R173&lt;'PlayerGrades+'!$AH$8,"B",IF(R173&lt;'PlayerGrades+'!$AH$7,"B+",IF(R173&lt;'PlayerGrades+'!$AH$6,"A-",IF(R173&lt;'PlayerGrades+'!$AH$5,"A",IF(R173&lt;'PlayerGrades+'!$AH$4,"A+",IF(R173&lt;'PlayerGrades+'!$AH$3,"S-",IF(R173&lt;'PlayerGrades+'!$AH$2,"S","S+"))))))))))))))))))))</f>
        <v>S+</v>
      </c>
      <c r="T173" s="937">
        <f t="shared" si="9"/>
        <v>2.576725026</v>
      </c>
      <c r="U173" s="937" t="str">
        <f>IF(T173&lt;'PlayerGrades+'!$AI$21,"F-",IF(T173&lt;'PlayerGrades+'!$AI$20,"F",IF(T173&lt;'PlayerGrades+'!$AI$19,"F+",IF(T173&lt;'PlayerGrades+'!$AI$18,"E-",IF(T173&lt;'PlayerGrades+'!$AI$17,"E",IF(T173&lt;'PlayerGrades+'!$AI$16,"E+",IF(T173&lt;'PlayerGrades+'!$AI$15,"D-",IF(T173&lt;'PlayerGrades+'!$AI$14,"D",IF(T173&lt;'PlayerGrades+'!$AI$13,"D+",IF(T173&lt;'PlayerGrades+'!$AI$12,"C-",IF(T173&lt;'PlayerGrades+'!$AI$11,"C",IF(T173&lt;'PlayerGrades+'!$AI$10,"C+",IF(T173&lt;'PlayerGrades+'!$AI$9,"B-",IF(T173&lt;'PlayerGrades+'!$AI$8,"B",IF(T173&lt;'PlayerGrades+'!$AI$7,"B+",IF(T173&lt;'PlayerGrades+'!$AI$6,"A-",IF(T173&lt;'PlayerGrades+'!$AI$5,"A",IF(T173&lt;'PlayerGrades+'!$AI$4,"A+",IF(T173&lt;'PlayerGrades+'!$AI$3,"S-",IF(T173&lt;'PlayerGrades+'!$AI$2,"S","S+"))))))))))))))))))))</f>
        <v>S+</v>
      </c>
      <c r="V173" s="941">
        <v>1.0</v>
      </c>
      <c r="W173" s="941">
        <v>1.0</v>
      </c>
      <c r="X173" s="941">
        <v>0.0</v>
      </c>
      <c r="Y173" s="941">
        <v>0.0</v>
      </c>
      <c r="Z173" s="941">
        <v>2.0</v>
      </c>
      <c r="AA173" s="941">
        <v>208.0</v>
      </c>
      <c r="AB173" s="941">
        <v>185.0</v>
      </c>
      <c r="AC173" s="941">
        <v>23.0</v>
      </c>
      <c r="AD173" s="941">
        <v>13.0</v>
      </c>
      <c r="AE173" s="941">
        <v>8.0</v>
      </c>
      <c r="AF173" s="941">
        <v>5.0</v>
      </c>
      <c r="AG173" s="941">
        <v>2262.0</v>
      </c>
      <c r="AH173" s="941">
        <v>2913.0</v>
      </c>
      <c r="AI173" s="941">
        <v>12.0</v>
      </c>
      <c r="AJ173" s="941">
        <v>26.0</v>
      </c>
      <c r="AK173" s="941">
        <v>0.0</v>
      </c>
      <c r="AL173" s="941">
        <v>5.0</v>
      </c>
      <c r="AM173" s="941">
        <v>0.0</v>
      </c>
      <c r="AN173" s="941">
        <v>0.0</v>
      </c>
      <c r="AO173" s="941">
        <v>0.0</v>
      </c>
      <c r="AP173" s="941">
        <v>4.0</v>
      </c>
      <c r="AQ173" s="941">
        <v>0.0</v>
      </c>
      <c r="AR173" s="941">
        <v>40.0</v>
      </c>
      <c r="AS173" s="941">
        <v>12.0</v>
      </c>
      <c r="AT173" s="941">
        <v>2.0</v>
      </c>
      <c r="AU173" s="941">
        <v>0.0</v>
      </c>
      <c r="AV173" s="941">
        <v>0.0</v>
      </c>
      <c r="AW173" s="941">
        <v>0.0</v>
      </c>
      <c r="AX173" s="941">
        <v>0.0</v>
      </c>
      <c r="AY173" s="941">
        <v>0.0</v>
      </c>
      <c r="AZ173" s="941">
        <v>0.0</v>
      </c>
      <c r="BA173" s="941">
        <v>0.0</v>
      </c>
      <c r="BB173" s="941">
        <v>4.0</v>
      </c>
      <c r="BC173" s="941">
        <v>0.0</v>
      </c>
      <c r="BD173" s="941">
        <v>24.0</v>
      </c>
      <c r="BE173" s="941">
        <v>28.0</v>
      </c>
      <c r="BF173" s="941">
        <v>2.0</v>
      </c>
      <c r="BG173" s="942">
        <v>0.0</v>
      </c>
    </row>
    <row r="174">
      <c r="A174" s="935" t="s">
        <v>114</v>
      </c>
      <c r="B174" s="16" t="str">
        <f>IF(C174&lt;'PlayerGrades+'!$Y$44,"F-",IF(C174&lt;'PlayerGrades+'!$Y$43,"F",IF(C174&lt;'PlayerGrades+'!$Y$42,"F+",IF(C174&lt;'PlayerGrades+'!$Y$41,"E-",IF(C174&lt;'PlayerGrades+'!$Y$40,"E",IF(C174&lt;'PlayerGrades+'!$Y$39,"E+",IF(C174&lt;'PlayerGrades+'!$Y$38,"D-",IF(C174&lt;'PlayerGrades+'!$Y$37,"D",IF(C174&lt;'PlayerGrades+'!$Y$36,"D+",IF(C174&lt;'PlayerGrades+'!$Y$35,"C-",IF(C174&lt;'PlayerGrades+'!$Y$34,"C",IF(C174&lt;'PlayerGrades+'!$Y$33,"C+",IF(C174&lt;'PlayerGrades+'!$Y$32,"B-",IF(C174&lt;'PlayerGrades+'!$Y$31,"B",IF(C174&lt;'PlayerGrades+'!$Y$30,"B+",IF(C174&lt;'PlayerGrades+'!$Y$29,"A-",IF(C174&lt;'PlayerGrades+'!$Y$28,"A",IF(C174&lt;'PlayerGrades+'!$Y$27,"A+",IF(C174&lt;'PlayerGrades+'!$Y$26,"S-",IF(C174&lt;'PlayerGrades+'!$Y$25,"S","S+"))))))))))))))))))))</f>
        <v>D-</v>
      </c>
      <c r="C174" s="936">
        <f>('PlayerGrades+'!$Y$47*(VLOOKUP(E174, 'PlayerGrades+'!$X$3:$Y$23, 2, FALSE)))+('PlayerGrades+'!$Y$48*(VLOOKUP(G174, 'PlayerGrades+'!$X$3:$Y$23, 2, FALSE)))+('PlayerGrades+'!$Y$49*(VLOOKUP(I174, 'PlayerGrades+'!$X$3:$Y$23, 2, FALSE)))+('PlayerGrades+'!$Y$50*(VLOOKUP(K174, 'PlayerGrades+'!$X$3:$Y$23, 2, FALSE)))+('PlayerGrades+'!$Y$51*(VLOOKUP(M174, 'PlayerGrades+'!$X$3:$Y$23, 2, FALSE)))+('PlayerGrades+'!$Y$52*(VLOOKUP(O174, 'PlayerGrades+'!$X$3:$Y$23, 2, FALSE)))+('PlayerGrades+'!$Y$53*(VLOOKUP(Q174, 'PlayerGrades+'!$X$3:$Y$23, 2, FALSE)))+('PlayerGrades+'!$Y$54*(VLOOKUP(S174, 'PlayerGrades+'!$X$3:$Y$23, 2, FALSE)))+('PlayerGrades+'!$Y$55*(VLOOKUP(U174, 'PlayerGrades+'!$X$3:$Y$23, 2, FALSE)))</f>
        <v>15.3</v>
      </c>
      <c r="D174" s="937">
        <f t="shared" si="1"/>
        <v>0.5767250257</v>
      </c>
      <c r="E174" s="937" t="str">
        <f>IF(D174&lt;'PlayerGrades+'!$AA$21,"F-",IF(D174&lt;'PlayerGrades+'!$AA$20,"F",IF(D174&lt;'PlayerGrades+'!$AA$19,"F+",IF(D174&lt;'PlayerGrades+'!$AA$18,"E-",IF(D174&lt;'PlayerGrades+'!$AA$17,"E",IF(D174&lt;'PlayerGrades+'!$AA$16,"E+",IF(D174&lt;'PlayerGrades+'!$AA$15,"D-",IF(D174&lt;'PlayerGrades+'!$AA$14,"D",IF(D174&lt;'PlayerGrades+'!$AA$13,"D+",IF(D174&lt;'PlayerGrades+'!$AA$12,"C-",IF(D174&lt;'PlayerGrades+'!$AA$11,"C",IF(D174&lt;'PlayerGrades+'!$AA$10,"C+",IF(D174&lt;'PlayerGrades+'!$AA$9,"B-",IF(D174&lt;'PlayerGrades+'!$AA$8,"B",IF(D174&lt;'PlayerGrades+'!$AA$7,"B+",IF(D174&lt;'PlayerGrades+'!$AA$6,"A-",IF(D174&lt;'PlayerGrades+'!$AA$5,"A",IF(D174&lt;'PlayerGrades+'!$AA$4,"A+",IF(D174&lt;'PlayerGrades+'!$AA$3,"S-",IF(D174&lt;'PlayerGrades+'!$AA$2,"S","S+"))))))))))))))))))))</f>
        <v>S-</v>
      </c>
      <c r="F174" s="937">
        <f t="shared" si="2"/>
        <v>-0.2471678682</v>
      </c>
      <c r="G174" s="937" t="str">
        <f>IF(F174&lt;'PlayerGrades+'!$AB$21,"F-",IF(F174&lt;'PlayerGrades+'!$AB$20,"F",IF(F174&lt;'PlayerGrades+'!$AB$19,"F+",IF(F174&lt;'PlayerGrades+'!$AB$18,"E-",IF(F174&lt;'PlayerGrades+'!$AB$17,"E",IF(F174&lt;'PlayerGrades+'!$AB$16,"E+",IF(F174&lt;'PlayerGrades+'!$AB$15,"D-",IF(F174&lt;'PlayerGrades+'!$AB$14,"D",IF(F174&lt;'PlayerGrades+'!$AB$13,"D+",IF(F174&lt;'PlayerGrades+'!$AB$12,"C-",IF(F174&lt;'PlayerGrades+'!$AB$11,"C",IF(F174&lt;'PlayerGrades+'!$AB$10,"C+",IF(F174&lt;'PlayerGrades+'!$AB$9,"B-",IF(F174&lt;'PlayerGrades+'!$AB$8,"B",IF(F174&lt;'PlayerGrades+'!$AB$7,"B+",IF(F174&lt;'PlayerGrades+'!$AB$6,"A-",IF(F174&lt;'PlayerGrades+'!$AB$5,"A",IF(F174&lt;'PlayerGrades+'!$AB$4,"A+",IF(F174&lt;'PlayerGrades+'!$AB$3,"S-",IF(F174&lt;'PlayerGrades+'!$AB$2,"S","S+"))))))))))))))))))))</f>
        <v>C+</v>
      </c>
      <c r="H174" s="937">
        <f t="shared" si="3"/>
        <v>0.0411946447</v>
      </c>
      <c r="I174" s="937" t="str">
        <f>IF(H174&lt;'PlayerGrades+'!$AC$21,"F-",IF(H174&lt;'PlayerGrades+'!$AC$20,"F",IF(H174&lt;'PlayerGrades+'!$AC$19,"F+",IF(H174&lt;'PlayerGrades+'!$AC$18,"E-",IF(H174&lt;'PlayerGrades+'!$AC$17,"E",IF(H174&lt;'PlayerGrades+'!$AC$16,"E+",IF(H174&lt;'PlayerGrades+'!$AC$15,"D-",IF(H174&lt;'PlayerGrades+'!$AC$14,"D",IF(H174&lt;'PlayerGrades+'!$AC$13,"D+",IF(H174&lt;'PlayerGrades+'!$AC$12,"C-",IF(H174&lt;'PlayerGrades+'!$AC$11,"C",IF(H174&lt;'PlayerGrades+'!$AC$10,"C+",IF(H174&lt;'PlayerGrades+'!$AC$9,"B-",IF(H174&lt;'PlayerGrades+'!$AC$8,"B",IF(H174&lt;'PlayerGrades+'!$AC$7,"B+",IF(H174&lt;'PlayerGrades+'!$AC$6,"A-",IF(H174&lt;'PlayerGrades+'!$AC$5,"A",IF(H174&lt;'PlayerGrades+'!$AC$4,"A+",IF(H174&lt;'PlayerGrades+'!$AC$3,"S-",IF(H174&lt;'PlayerGrades+'!$AC$2,"S","S+"))))))))))))))))))))</f>
        <v>F</v>
      </c>
      <c r="J174" s="937">
        <f t="shared" si="4"/>
        <v>0.0411946447</v>
      </c>
      <c r="K174" s="937" t="str">
        <f>IF(J174&lt;'PlayerGrades+'!$AD$21,"F-",IF(J174&lt;'PlayerGrades+'!$AD$20,"F",IF(J174&lt;'PlayerGrades+'!$AD$19,"F+",IF(J174&lt;'PlayerGrades+'!$AD$18,"E-",IF(J174&lt;'PlayerGrades+'!$AD$17,"E",IF(J174&lt;'PlayerGrades+'!$AD$16,"E+",IF(J174&lt;'PlayerGrades+'!$AD$15,"D-",IF(J174&lt;'PlayerGrades+'!$AD$14,"D",IF(J174&lt;'PlayerGrades+'!$AD$13,"D+",IF(J174&lt;'PlayerGrades+'!$AD$12,"C-",IF(J174&lt;'PlayerGrades+'!$AD$11,"C",IF(J174&lt;'PlayerGrades+'!$AD$10,"C+",IF(J174&lt;'PlayerGrades+'!$AD$9,"B-",IF(J174&lt;'PlayerGrades+'!$AD$8,"B",IF(J174&lt;'PlayerGrades+'!$AD$7,"B+",IF(J174&lt;'PlayerGrades+'!$AD$6,"A-",IF(J174&lt;'PlayerGrades+'!$AD$5,"A",IF(J174&lt;'PlayerGrades+'!$AD$4,"A+",IF(J174&lt;'PlayerGrades+'!$AD$3,"S-",IF(J174&lt;'PlayerGrades+'!$AD$2,"S","S+"))))))))))))))))))))</f>
        <v>C+</v>
      </c>
      <c r="L174" s="677">
        <f t="shared" si="5"/>
        <v>0.2265705458</v>
      </c>
      <c r="M174" s="938" t="str">
        <f>IF(L174&lt;'PlayerGrades+'!$AE$21,"F-",IF(L174&lt;'PlayerGrades+'!$AE$20,"F",IF(L174&lt;'PlayerGrades+'!$AE$19,"F+",IF(L174&lt;'PlayerGrades+'!$AE$18,"E-",IF(L174&lt;'PlayerGrades+'!$AE$17,"E",IF(L174&lt;'PlayerGrades+'!$AE$16,"E+",IF(L174&lt;'PlayerGrades+'!$AE$15,"D-",IF(L174&lt;'PlayerGrades+'!$AE$14,"D",IF(L174&lt;'PlayerGrades+'!$AE$13,"D+",IF(L174&lt;'PlayerGrades+'!$AE$12,"C-",IF(L174&lt;'PlayerGrades+'!$AE$11,"C",IF(L174&lt;'PlayerGrades+'!$AE$10,"C+",IF(L174&lt;'PlayerGrades+'!$AE$9,"B-",IF(L174&lt;'PlayerGrades+'!$AE$8,"B",IF(L174&lt;'PlayerGrades+'!$AE$7,"B+",IF(L174&lt;'PlayerGrades+'!$AE$6,"A-",IF(L174&lt;'PlayerGrades+'!$AE$5,"A",IF(L174&lt;'PlayerGrades+'!$AE$4,"A+",IF(L174&lt;'PlayerGrades+'!$AE$3,"S-",IF(L174&lt;'PlayerGrades+'!$AE$2,"S","S+"))))))))))))))))))))</f>
        <v>F</v>
      </c>
      <c r="N174" s="937">
        <f t="shared" si="6"/>
        <v>0.02059732235</v>
      </c>
      <c r="O174" s="937" t="str">
        <f>IF(N174&lt;'PlayerGrades+'!$AF$21,"F-",IF(N174&lt;'PlayerGrades+'!$AF$20,"F",IF(N174&lt;'PlayerGrades+'!$AF$19,"F+",IF(N174&lt;'PlayerGrades+'!$AF$18,"E-",IF(N174&lt;'PlayerGrades+'!$AF$17,"E",IF(N174&lt;'PlayerGrades+'!$AF$16,"E+",IF(N174&lt;'PlayerGrades+'!$AF$15,"D-",IF(N174&lt;'PlayerGrades+'!$AF$14,"D",IF(N174&lt;'PlayerGrades+'!$AF$13,"D+",IF(N174&lt;'PlayerGrades+'!$AF$12,"C-",IF(N174&lt;'PlayerGrades+'!$AF$11,"C",IF(N174&lt;'PlayerGrades+'!$AF$10,"C+",IF(N174&lt;'PlayerGrades+'!$AF$9,"B-",IF(N174&lt;'PlayerGrades+'!$AF$8,"B",IF(N174&lt;'PlayerGrades+'!$AF$7,"B+",IF(N174&lt;'PlayerGrades+'!$AF$6,"A-",IF(N174&lt;'PlayerGrades+'!$AF$5,"A",IF(N174&lt;'PlayerGrades+'!$AF$4,"A+",IF(N174&lt;'PlayerGrades+'!$AF$3,"S-",IF(N174&lt;'PlayerGrades+'!$AF$2,"S","S+"))))))))))))))))))))</f>
        <v>F-</v>
      </c>
      <c r="P174" s="937">
        <f t="shared" si="7"/>
        <v>0</v>
      </c>
      <c r="Q174" s="937" t="str">
        <f>IF(P174&lt;'PlayerGrades+'!$AG$21,"F-",IF(P174&lt;'PlayerGrades+'!$AG$20,"F",IF(P174&lt;'PlayerGrades+'!$AG$19,"F+",IF(P174&lt;'PlayerGrades+'!$AG$18,"E-",IF(P174&lt;'PlayerGrades+'!$AG$17,"E",IF(P174&lt;'PlayerGrades+'!$AG$16,"E+",IF(P174&lt;'PlayerGrades+'!$AG$15,"D-",IF(P174&lt;'PlayerGrades+'!$AG$14,"D",IF(P174&lt;'PlayerGrades+'!$AG$13,"D+",IF(P174&lt;'PlayerGrades+'!$AG$12,"C-",IF(P174&lt;'PlayerGrades+'!$AG$11,"C",IF(P174&lt;'PlayerGrades+'!$AG$10,"C+",IF(P174&lt;'PlayerGrades+'!$AG$9,"B-",IF(P174&lt;'PlayerGrades+'!$AG$8,"B",IF(P174&lt;'PlayerGrades+'!$AG$7,"B+",IF(P174&lt;'PlayerGrades+'!$AG$6,"A-",IF(P174&lt;'PlayerGrades+'!$AG$5,"A",IF(P174&lt;'PlayerGrades+'!$AG$4,"A+",IF(P174&lt;'PlayerGrades+'!$AG$3,"S-",IF(P174&lt;'PlayerGrades+'!$AG$2,"S","S+"))))))))))))))))))))</f>
        <v>F</v>
      </c>
      <c r="R174" s="937">
        <f t="shared" si="8"/>
        <v>0.5767250257</v>
      </c>
      <c r="S174" s="937" t="str">
        <f>IF(R174&lt;'PlayerGrades+'!$AH$21,"F-",IF(R174&lt;'PlayerGrades+'!$AH$20,"F",IF(R174&lt;'PlayerGrades+'!$AH$19,"F+",IF(R174&lt;'PlayerGrades+'!$AH$18,"E-",IF(R174&lt;'PlayerGrades+'!$AH$17,"E",IF(R174&lt;'PlayerGrades+'!$AH$16,"E+",IF(R174&lt;'PlayerGrades+'!$AH$15,"D-",IF(R174&lt;'PlayerGrades+'!$AH$14,"D",IF(R174&lt;'PlayerGrades+'!$AH$13,"D+",IF(R174&lt;'PlayerGrades+'!$AH$12,"C-",IF(R174&lt;'PlayerGrades+'!$AH$11,"C",IF(R174&lt;'PlayerGrades+'!$AH$10,"C+",IF(R174&lt;'PlayerGrades+'!$AH$9,"B-",IF(R174&lt;'PlayerGrades+'!$AH$8,"B",IF(R174&lt;'PlayerGrades+'!$AH$7,"B+",IF(R174&lt;'PlayerGrades+'!$AH$6,"A-",IF(R174&lt;'PlayerGrades+'!$AH$5,"A",IF(R174&lt;'PlayerGrades+'!$AH$4,"A+",IF(R174&lt;'PlayerGrades+'!$AH$3,"S-",IF(R174&lt;'PlayerGrades+'!$AH$2,"S","S+"))))))))))))))))))))</f>
        <v>B</v>
      </c>
      <c r="T174" s="937">
        <f t="shared" si="9"/>
        <v>1.144181256</v>
      </c>
      <c r="U174" s="937" t="str">
        <f>IF(T174&lt;'PlayerGrades+'!$AI$21,"F-",IF(T174&lt;'PlayerGrades+'!$AI$20,"F",IF(T174&lt;'PlayerGrades+'!$AI$19,"F+",IF(T174&lt;'PlayerGrades+'!$AI$18,"E-",IF(T174&lt;'PlayerGrades+'!$AI$17,"E",IF(T174&lt;'PlayerGrades+'!$AI$16,"E+",IF(T174&lt;'PlayerGrades+'!$AI$15,"D-",IF(T174&lt;'PlayerGrades+'!$AI$14,"D",IF(T174&lt;'PlayerGrades+'!$AI$13,"D+",IF(T174&lt;'PlayerGrades+'!$AI$12,"C-",IF(T174&lt;'PlayerGrades+'!$AI$11,"C",IF(T174&lt;'PlayerGrades+'!$AI$10,"C+",IF(T174&lt;'PlayerGrades+'!$AI$9,"B-",IF(T174&lt;'PlayerGrades+'!$AI$8,"B",IF(T174&lt;'PlayerGrades+'!$AI$7,"B+",IF(T174&lt;'PlayerGrades+'!$AI$6,"A-",IF(T174&lt;'PlayerGrades+'!$AI$5,"A",IF(T174&lt;'PlayerGrades+'!$AI$4,"A+",IF(T174&lt;'PlayerGrades+'!$AI$3,"S-",IF(T174&lt;'PlayerGrades+'!$AI$2,"S","S+"))))))))))))))))))))</f>
        <v>D</v>
      </c>
      <c r="V174" s="941">
        <v>1.0</v>
      </c>
      <c r="W174" s="941">
        <v>0.0</v>
      </c>
      <c r="X174" s="941">
        <v>1.0</v>
      </c>
      <c r="Y174" s="941">
        <v>2.0</v>
      </c>
      <c r="Z174" s="941">
        <v>26.0</v>
      </c>
      <c r="AA174" s="941">
        <v>85.0</v>
      </c>
      <c r="AB174" s="941">
        <v>97.0</v>
      </c>
      <c r="AC174" s="941">
        <v>-12.0</v>
      </c>
      <c r="AD174" s="941">
        <v>6.0</v>
      </c>
      <c r="AE174" s="941">
        <v>9.0</v>
      </c>
      <c r="AF174" s="941">
        <v>0.0</v>
      </c>
      <c r="AG174" s="941">
        <v>2528.0</v>
      </c>
      <c r="AH174" s="941">
        <v>2913.0</v>
      </c>
      <c r="AI174" s="941">
        <v>26.0</v>
      </c>
      <c r="AJ174" s="941">
        <v>1301.0</v>
      </c>
      <c r="AK174" s="941">
        <v>0.0</v>
      </c>
      <c r="AL174" s="941">
        <v>2.0</v>
      </c>
      <c r="AM174" s="941">
        <v>0.0</v>
      </c>
      <c r="AN174" s="941">
        <v>0.0</v>
      </c>
      <c r="AO174" s="941">
        <v>0.0</v>
      </c>
      <c r="AP174" s="941">
        <v>0.0</v>
      </c>
      <c r="AQ174" s="941">
        <v>0.0</v>
      </c>
      <c r="AR174" s="941">
        <v>11.0</v>
      </c>
      <c r="AS174" s="941">
        <v>1.0</v>
      </c>
      <c r="AT174" s="941">
        <v>0.0</v>
      </c>
      <c r="AU174" s="941">
        <v>0.0</v>
      </c>
      <c r="AV174" s="941">
        <v>0.0</v>
      </c>
      <c r="AW174" s="941">
        <v>0.0</v>
      </c>
      <c r="AX174" s="941">
        <v>0.0</v>
      </c>
      <c r="AY174" s="941">
        <v>0.0</v>
      </c>
      <c r="AZ174" s="941">
        <v>0.0</v>
      </c>
      <c r="BA174" s="941">
        <v>0.0</v>
      </c>
      <c r="BB174" s="941">
        <v>2.0</v>
      </c>
      <c r="BC174" s="941">
        <v>0.0</v>
      </c>
      <c r="BD174" s="941">
        <v>22.0</v>
      </c>
      <c r="BE174" s="941">
        <v>7.0</v>
      </c>
      <c r="BF174" s="941">
        <v>1.0</v>
      </c>
      <c r="BG174" s="942">
        <v>1.0</v>
      </c>
    </row>
    <row r="175">
      <c r="A175" s="935" t="s">
        <v>125</v>
      </c>
      <c r="B175" s="16" t="str">
        <f>IF(C175&lt;'PlayerGrades+'!$Y$44,"F-",IF(C175&lt;'PlayerGrades+'!$Y$43,"F",IF(C175&lt;'PlayerGrades+'!$Y$42,"F+",IF(C175&lt;'PlayerGrades+'!$Y$41,"E-",IF(C175&lt;'PlayerGrades+'!$Y$40,"E",IF(C175&lt;'PlayerGrades+'!$Y$39,"E+",IF(C175&lt;'PlayerGrades+'!$Y$38,"D-",IF(C175&lt;'PlayerGrades+'!$Y$37,"D",IF(C175&lt;'PlayerGrades+'!$Y$36,"D+",IF(C175&lt;'PlayerGrades+'!$Y$35,"C-",IF(C175&lt;'PlayerGrades+'!$Y$34,"C",IF(C175&lt;'PlayerGrades+'!$Y$33,"C+",IF(C175&lt;'PlayerGrades+'!$Y$32,"B-",IF(C175&lt;'PlayerGrades+'!$Y$31,"B",IF(C175&lt;'PlayerGrades+'!$Y$30,"B+",IF(C175&lt;'PlayerGrades+'!$Y$29,"A-",IF(C175&lt;'PlayerGrades+'!$Y$28,"A",IF(C175&lt;'PlayerGrades+'!$Y$27,"A+",IF(C175&lt;'PlayerGrades+'!$Y$26,"S-",IF(C175&lt;'PlayerGrades+'!$Y$25,"S","S+"))))))))))))))))))))</f>
        <v>A+</v>
      </c>
      <c r="C175" s="936">
        <f>('PlayerGrades+'!$Y$47*(VLOOKUP(E175, 'PlayerGrades+'!$X$3:$Y$23, 2, FALSE)))+('PlayerGrades+'!$Y$48*(VLOOKUP(G175, 'PlayerGrades+'!$X$3:$Y$23, 2, FALSE)))+('PlayerGrades+'!$Y$49*(VLOOKUP(I175, 'PlayerGrades+'!$X$3:$Y$23, 2, FALSE)))+('PlayerGrades+'!$Y$50*(VLOOKUP(K175, 'PlayerGrades+'!$X$3:$Y$23, 2, FALSE)))+('PlayerGrades+'!$Y$51*(VLOOKUP(M175, 'PlayerGrades+'!$X$3:$Y$23, 2, FALSE)))+('PlayerGrades+'!$Y$52*(VLOOKUP(O175, 'PlayerGrades+'!$X$3:$Y$23, 2, FALSE)))+('PlayerGrades+'!$Y$53*(VLOOKUP(Q175, 'PlayerGrades+'!$X$3:$Y$23, 2, FALSE)))+('PlayerGrades+'!$Y$54*(VLOOKUP(S175, 'PlayerGrades+'!$X$3:$Y$23, 2, FALSE)))+('PlayerGrades+'!$Y$55*(VLOOKUP(U175, 'PlayerGrades+'!$X$3:$Y$23, 2, FALSE)))</f>
        <v>29.6</v>
      </c>
      <c r="D175" s="937">
        <f t="shared" si="1"/>
        <v>0</v>
      </c>
      <c r="E175" s="937" t="str">
        <f>IF(D175&lt;'PlayerGrades+'!$AA$21,"F-",IF(D175&lt;'PlayerGrades+'!$AA$20,"F",IF(D175&lt;'PlayerGrades+'!$AA$19,"F+",IF(D175&lt;'PlayerGrades+'!$AA$18,"E-",IF(D175&lt;'PlayerGrades+'!$AA$17,"E",IF(D175&lt;'PlayerGrades+'!$AA$16,"E+",IF(D175&lt;'PlayerGrades+'!$AA$15,"D-",IF(D175&lt;'PlayerGrades+'!$AA$14,"D",IF(D175&lt;'PlayerGrades+'!$AA$13,"D+",IF(D175&lt;'PlayerGrades+'!$AA$12,"C-",IF(D175&lt;'PlayerGrades+'!$AA$11,"C",IF(D175&lt;'PlayerGrades+'!$AA$10,"C+",IF(D175&lt;'PlayerGrades+'!$AA$9,"B-",IF(D175&lt;'PlayerGrades+'!$AA$8,"B",IF(D175&lt;'PlayerGrades+'!$AA$7,"B+",IF(D175&lt;'PlayerGrades+'!$AA$6,"A-",IF(D175&lt;'PlayerGrades+'!$AA$5,"A",IF(D175&lt;'PlayerGrades+'!$AA$4,"A+",IF(D175&lt;'PlayerGrades+'!$AA$3,"S-",IF(D175&lt;'PlayerGrades+'!$AA$2,"S","S+"))))))))))))))))))))</f>
        <v>F-</v>
      </c>
      <c r="F175" s="937">
        <f t="shared" si="2"/>
        <v>0.6591143151</v>
      </c>
      <c r="G175" s="937" t="str">
        <f>IF(F175&lt;'PlayerGrades+'!$AB$21,"F-",IF(F175&lt;'PlayerGrades+'!$AB$20,"F",IF(F175&lt;'PlayerGrades+'!$AB$19,"F+",IF(F175&lt;'PlayerGrades+'!$AB$18,"E-",IF(F175&lt;'PlayerGrades+'!$AB$17,"E",IF(F175&lt;'PlayerGrades+'!$AB$16,"E+",IF(F175&lt;'PlayerGrades+'!$AB$15,"D-",IF(F175&lt;'PlayerGrades+'!$AB$14,"D",IF(F175&lt;'PlayerGrades+'!$AB$13,"D+",IF(F175&lt;'PlayerGrades+'!$AB$12,"C-",IF(F175&lt;'PlayerGrades+'!$AB$11,"C",IF(F175&lt;'PlayerGrades+'!$AB$10,"C+",IF(F175&lt;'PlayerGrades+'!$AB$9,"B-",IF(F175&lt;'PlayerGrades+'!$AB$8,"B",IF(F175&lt;'PlayerGrades+'!$AB$7,"B+",IF(F175&lt;'PlayerGrades+'!$AB$6,"A-",IF(F175&lt;'PlayerGrades+'!$AB$5,"A",IF(F175&lt;'PlayerGrades+'!$AB$4,"A+",IF(F175&lt;'PlayerGrades+'!$AB$3,"S-",IF(F175&lt;'PlayerGrades+'!$AB$2,"S","S+"))))))))))))))))))))</f>
        <v>S-</v>
      </c>
      <c r="H175" s="937">
        <f t="shared" si="3"/>
        <v>0.2059732235</v>
      </c>
      <c r="I175" s="937" t="str">
        <f>IF(H175&lt;'PlayerGrades+'!$AC$21,"F-",IF(H175&lt;'PlayerGrades+'!$AC$20,"F",IF(H175&lt;'PlayerGrades+'!$AC$19,"F+",IF(H175&lt;'PlayerGrades+'!$AC$18,"E-",IF(H175&lt;'PlayerGrades+'!$AC$17,"E",IF(H175&lt;'PlayerGrades+'!$AC$16,"E+",IF(H175&lt;'PlayerGrades+'!$AC$15,"D-",IF(H175&lt;'PlayerGrades+'!$AC$14,"D",IF(H175&lt;'PlayerGrades+'!$AC$13,"D+",IF(H175&lt;'PlayerGrades+'!$AC$12,"C-",IF(H175&lt;'PlayerGrades+'!$AC$11,"C",IF(H175&lt;'PlayerGrades+'!$AC$10,"C+",IF(H175&lt;'PlayerGrades+'!$AC$9,"B-",IF(H175&lt;'PlayerGrades+'!$AC$8,"B",IF(H175&lt;'PlayerGrades+'!$AC$7,"B+",IF(H175&lt;'PlayerGrades+'!$AC$6,"A-",IF(H175&lt;'PlayerGrades+'!$AC$5,"A",IF(H175&lt;'PlayerGrades+'!$AC$4,"A+",IF(H175&lt;'PlayerGrades+'!$AC$3,"S-",IF(H175&lt;'PlayerGrades+'!$AC$2,"S","S+"))))))))))))))))))))</f>
        <v>S</v>
      </c>
      <c r="J175" s="937">
        <f t="shared" si="4"/>
        <v>0.1029866117</v>
      </c>
      <c r="K175" s="937" t="str">
        <f>IF(J175&lt;'PlayerGrades+'!$AD$21,"F-",IF(J175&lt;'PlayerGrades+'!$AD$20,"F",IF(J175&lt;'PlayerGrades+'!$AD$19,"F+",IF(J175&lt;'PlayerGrades+'!$AD$18,"E-",IF(J175&lt;'PlayerGrades+'!$AD$17,"E",IF(J175&lt;'PlayerGrades+'!$AD$16,"E+",IF(J175&lt;'PlayerGrades+'!$AD$15,"D-",IF(J175&lt;'PlayerGrades+'!$AD$14,"D",IF(J175&lt;'PlayerGrades+'!$AD$13,"D+",IF(J175&lt;'PlayerGrades+'!$AD$12,"C-",IF(J175&lt;'PlayerGrades+'!$AD$11,"C",IF(J175&lt;'PlayerGrades+'!$AD$10,"C+",IF(J175&lt;'PlayerGrades+'!$AD$9,"B-",IF(J175&lt;'PlayerGrades+'!$AD$8,"B",IF(J175&lt;'PlayerGrades+'!$AD$7,"B+",IF(J175&lt;'PlayerGrades+'!$AD$6,"A-",IF(J175&lt;'PlayerGrades+'!$AD$5,"A",IF(J175&lt;'PlayerGrades+'!$AD$4,"A+",IF(J175&lt;'PlayerGrades+'!$AD$3,"S-",IF(J175&lt;'PlayerGrades+'!$AD$2,"S","S+"))))))))))))))))))))</f>
        <v>S</v>
      </c>
      <c r="L175" s="677">
        <f t="shared" si="5"/>
        <v>0.7003089598</v>
      </c>
      <c r="M175" s="938" t="str">
        <f>IF(L175&lt;'PlayerGrades+'!$AE$21,"F-",IF(L175&lt;'PlayerGrades+'!$AE$20,"F",IF(L175&lt;'PlayerGrades+'!$AE$19,"F+",IF(L175&lt;'PlayerGrades+'!$AE$18,"E-",IF(L175&lt;'PlayerGrades+'!$AE$17,"E",IF(L175&lt;'PlayerGrades+'!$AE$16,"E+",IF(L175&lt;'PlayerGrades+'!$AE$15,"D-",IF(L175&lt;'PlayerGrades+'!$AE$14,"D",IF(L175&lt;'PlayerGrades+'!$AE$13,"D+",IF(L175&lt;'PlayerGrades+'!$AE$12,"C-",IF(L175&lt;'PlayerGrades+'!$AE$11,"C",IF(L175&lt;'PlayerGrades+'!$AE$10,"C+",IF(L175&lt;'PlayerGrades+'!$AE$9,"B-",IF(L175&lt;'PlayerGrades+'!$AE$8,"B",IF(L175&lt;'PlayerGrades+'!$AE$7,"B+",IF(L175&lt;'PlayerGrades+'!$AE$6,"A-",IF(L175&lt;'PlayerGrades+'!$AE$5,"A",IF(L175&lt;'PlayerGrades+'!$AE$4,"A+",IF(L175&lt;'PlayerGrades+'!$AE$3,"S-",IF(L175&lt;'PlayerGrades+'!$AE$2,"S","S+"))))))))))))))))))))</f>
        <v>S</v>
      </c>
      <c r="N175" s="937">
        <f t="shared" si="6"/>
        <v>0.1235839341</v>
      </c>
      <c r="O175" s="937" t="str">
        <f>IF(N175&lt;'PlayerGrades+'!$AF$21,"F-",IF(N175&lt;'PlayerGrades+'!$AF$20,"F",IF(N175&lt;'PlayerGrades+'!$AF$19,"F+",IF(N175&lt;'PlayerGrades+'!$AF$18,"E-",IF(N175&lt;'PlayerGrades+'!$AF$17,"E",IF(N175&lt;'PlayerGrades+'!$AF$16,"E+",IF(N175&lt;'PlayerGrades+'!$AF$15,"D-",IF(N175&lt;'PlayerGrades+'!$AF$14,"D",IF(N175&lt;'PlayerGrades+'!$AF$13,"D+",IF(N175&lt;'PlayerGrades+'!$AF$12,"C-",IF(N175&lt;'PlayerGrades+'!$AF$11,"C",IF(N175&lt;'PlayerGrades+'!$AF$10,"C+",IF(N175&lt;'PlayerGrades+'!$AF$9,"B-",IF(N175&lt;'PlayerGrades+'!$AF$8,"B",IF(N175&lt;'PlayerGrades+'!$AF$7,"B+",IF(N175&lt;'PlayerGrades+'!$AF$6,"A-",IF(N175&lt;'PlayerGrades+'!$AF$5,"A",IF(N175&lt;'PlayerGrades+'!$AF$4,"A+",IF(N175&lt;'PlayerGrades+'!$AF$3,"S-",IF(N175&lt;'PlayerGrades+'!$AF$2,"S","S+"))))))))))))))))))))</f>
        <v>S</v>
      </c>
      <c r="P175" s="937">
        <f t="shared" si="7"/>
        <v>0.1029866117</v>
      </c>
      <c r="Q175" s="937" t="str">
        <f>IF(P175&lt;'PlayerGrades+'!$AG$21,"F-",IF(P175&lt;'PlayerGrades+'!$AG$20,"F",IF(P175&lt;'PlayerGrades+'!$AG$19,"F+",IF(P175&lt;'PlayerGrades+'!$AG$18,"E-",IF(P175&lt;'PlayerGrades+'!$AG$17,"E",IF(P175&lt;'PlayerGrades+'!$AG$16,"E+",IF(P175&lt;'PlayerGrades+'!$AG$15,"D-",IF(P175&lt;'PlayerGrades+'!$AG$14,"D",IF(P175&lt;'PlayerGrades+'!$AG$13,"D+",IF(P175&lt;'PlayerGrades+'!$AG$12,"C-",IF(P175&lt;'PlayerGrades+'!$AG$11,"C",IF(P175&lt;'PlayerGrades+'!$AG$10,"C+",IF(P175&lt;'PlayerGrades+'!$AG$9,"B-",IF(P175&lt;'PlayerGrades+'!$AG$8,"B",IF(P175&lt;'PlayerGrades+'!$AG$7,"B+",IF(P175&lt;'PlayerGrades+'!$AG$6,"A-",IF(P175&lt;'PlayerGrades+'!$AG$5,"A",IF(P175&lt;'PlayerGrades+'!$AG$4,"A+",IF(P175&lt;'PlayerGrades+'!$AG$3,"S-",IF(P175&lt;'PlayerGrades+'!$AG$2,"S","S+"))))))))))))))))))))</f>
        <v>S+</v>
      </c>
      <c r="R175" s="937">
        <f t="shared" si="8"/>
        <v>0.6797116375</v>
      </c>
      <c r="S175" s="937" t="str">
        <f>IF(R175&lt;'PlayerGrades+'!$AH$21,"F-",IF(R175&lt;'PlayerGrades+'!$AH$20,"F",IF(R175&lt;'PlayerGrades+'!$AH$19,"F+",IF(R175&lt;'PlayerGrades+'!$AH$18,"E-",IF(R175&lt;'PlayerGrades+'!$AH$17,"E",IF(R175&lt;'PlayerGrades+'!$AH$16,"E+",IF(R175&lt;'PlayerGrades+'!$AH$15,"D-",IF(R175&lt;'PlayerGrades+'!$AH$14,"D",IF(R175&lt;'PlayerGrades+'!$AH$13,"D+",IF(R175&lt;'PlayerGrades+'!$AH$12,"C-",IF(R175&lt;'PlayerGrades+'!$AH$11,"C",IF(R175&lt;'PlayerGrades+'!$AH$10,"C+",IF(R175&lt;'PlayerGrades+'!$AH$9,"B-",IF(R175&lt;'PlayerGrades+'!$AH$8,"B",IF(R175&lt;'PlayerGrades+'!$AH$7,"B+",IF(R175&lt;'PlayerGrades+'!$AH$6,"A-",IF(R175&lt;'PlayerGrades+'!$AH$5,"A",IF(R175&lt;'PlayerGrades+'!$AH$4,"A+",IF(R175&lt;'PlayerGrades+'!$AH$3,"S-",IF(R175&lt;'PlayerGrades+'!$AH$2,"S","S+"))))))))))))))))))))</f>
        <v>S-</v>
      </c>
      <c r="T175" s="937">
        <f t="shared" si="9"/>
        <v>0.6591143151</v>
      </c>
      <c r="U175" s="937" t="str">
        <f>IF(T175&lt;'PlayerGrades+'!$AI$21,"F-",IF(T175&lt;'PlayerGrades+'!$AI$20,"F",IF(T175&lt;'PlayerGrades+'!$AI$19,"F+",IF(T175&lt;'PlayerGrades+'!$AI$18,"E-",IF(T175&lt;'PlayerGrades+'!$AI$17,"E",IF(T175&lt;'PlayerGrades+'!$AI$16,"E+",IF(T175&lt;'PlayerGrades+'!$AI$15,"D-",IF(T175&lt;'PlayerGrades+'!$AI$14,"D",IF(T175&lt;'PlayerGrades+'!$AI$13,"D+",IF(T175&lt;'PlayerGrades+'!$AI$12,"C-",IF(T175&lt;'PlayerGrades+'!$AI$11,"C",IF(T175&lt;'PlayerGrades+'!$AI$10,"C+",IF(T175&lt;'PlayerGrades+'!$AI$9,"B-",IF(T175&lt;'PlayerGrades+'!$AI$8,"B",IF(T175&lt;'PlayerGrades+'!$AI$7,"B+",IF(T175&lt;'PlayerGrades+'!$AI$6,"A-",IF(T175&lt;'PlayerGrades+'!$AI$5,"A",IF(T175&lt;'PlayerGrades+'!$AI$4,"A+",IF(T175&lt;'PlayerGrades+'!$AI$3,"S-",IF(T175&lt;'PlayerGrades+'!$AI$2,"S","S+"))))))))))))))))))))</f>
        <v>F-</v>
      </c>
      <c r="V175" s="941">
        <v>1.0</v>
      </c>
      <c r="W175" s="941">
        <v>0.0</v>
      </c>
      <c r="X175" s="941">
        <v>1.0</v>
      </c>
      <c r="Y175" s="941">
        <v>0.0</v>
      </c>
      <c r="Z175" s="941">
        <v>0.0</v>
      </c>
      <c r="AA175" s="941">
        <v>205.0</v>
      </c>
      <c r="AB175" s="941">
        <v>173.0</v>
      </c>
      <c r="AC175" s="941">
        <v>32.0</v>
      </c>
      <c r="AD175" s="941">
        <v>16.0</v>
      </c>
      <c r="AE175" s="941">
        <v>6.0</v>
      </c>
      <c r="AF175" s="941">
        <v>8.0</v>
      </c>
      <c r="AG175" s="941">
        <v>2305.0</v>
      </c>
      <c r="AH175" s="941">
        <v>2913.0</v>
      </c>
      <c r="AI175" s="941">
        <v>13.0</v>
      </c>
      <c r="AJ175" s="941">
        <v>21.0</v>
      </c>
      <c r="AK175" s="941">
        <v>0.0</v>
      </c>
      <c r="AL175" s="941">
        <v>5.0</v>
      </c>
      <c r="AM175" s="941">
        <v>0.0</v>
      </c>
      <c r="AN175" s="941">
        <v>0.0</v>
      </c>
      <c r="AO175" s="941">
        <v>0.0</v>
      </c>
      <c r="AP175" s="941">
        <v>5.0</v>
      </c>
      <c r="AQ175" s="941">
        <v>0.0</v>
      </c>
      <c r="AR175" s="941">
        <v>34.0</v>
      </c>
      <c r="AS175" s="941">
        <v>6.0</v>
      </c>
      <c r="AT175" s="941">
        <v>1.0</v>
      </c>
      <c r="AU175" s="941">
        <v>0.0</v>
      </c>
      <c r="AV175" s="941">
        <v>0.0</v>
      </c>
      <c r="AW175" s="941">
        <v>0.0</v>
      </c>
      <c r="AX175" s="941">
        <v>0.0</v>
      </c>
      <c r="AY175" s="941">
        <v>0.0</v>
      </c>
      <c r="AZ175" s="941">
        <v>0.0</v>
      </c>
      <c r="BA175" s="941">
        <v>0.0</v>
      </c>
      <c r="BB175" s="941">
        <v>10.0</v>
      </c>
      <c r="BC175" s="941">
        <v>0.0</v>
      </c>
      <c r="BD175" s="941">
        <v>17.0</v>
      </c>
      <c r="BE175" s="941">
        <v>32.0</v>
      </c>
      <c r="BF175" s="941">
        <v>0.0</v>
      </c>
      <c r="BG175" s="942">
        <v>1.0</v>
      </c>
    </row>
    <row r="176">
      <c r="A176" s="935" t="s">
        <v>136</v>
      </c>
      <c r="B176" s="16" t="str">
        <f>IF(C176&lt;'PlayerGrades+'!$Y$44,"F-",IF(C176&lt;'PlayerGrades+'!$Y$43,"F",IF(C176&lt;'PlayerGrades+'!$Y$42,"F+",IF(C176&lt;'PlayerGrades+'!$Y$41,"E-",IF(C176&lt;'PlayerGrades+'!$Y$40,"E",IF(C176&lt;'PlayerGrades+'!$Y$39,"E+",IF(C176&lt;'PlayerGrades+'!$Y$38,"D-",IF(C176&lt;'PlayerGrades+'!$Y$37,"D",IF(C176&lt;'PlayerGrades+'!$Y$36,"D+",IF(C176&lt;'PlayerGrades+'!$Y$35,"C-",IF(C176&lt;'PlayerGrades+'!$Y$34,"C",IF(C176&lt;'PlayerGrades+'!$Y$33,"C+",IF(C176&lt;'PlayerGrades+'!$Y$32,"B-",IF(C176&lt;'PlayerGrades+'!$Y$31,"B",IF(C176&lt;'PlayerGrades+'!$Y$30,"B+",IF(C176&lt;'PlayerGrades+'!$Y$29,"A-",IF(C176&lt;'PlayerGrades+'!$Y$28,"A",IF(C176&lt;'PlayerGrades+'!$Y$27,"A+",IF(C176&lt;'PlayerGrades+'!$Y$26,"S-",IF(C176&lt;'PlayerGrades+'!$Y$25,"S","S+"))))))))))))))))))))</f>
        <v>A</v>
      </c>
      <c r="C176" s="936">
        <f>('PlayerGrades+'!$Y$47*(VLOOKUP(E176, 'PlayerGrades+'!$X$3:$Y$23, 2, FALSE)))+('PlayerGrades+'!$Y$48*(VLOOKUP(G176, 'PlayerGrades+'!$X$3:$Y$23, 2, FALSE)))+('PlayerGrades+'!$Y$49*(VLOOKUP(I176, 'PlayerGrades+'!$X$3:$Y$23, 2, FALSE)))+('PlayerGrades+'!$Y$50*(VLOOKUP(K176, 'PlayerGrades+'!$X$3:$Y$23, 2, FALSE)))+('PlayerGrades+'!$Y$51*(VLOOKUP(M176, 'PlayerGrades+'!$X$3:$Y$23, 2, FALSE)))+('PlayerGrades+'!$Y$52*(VLOOKUP(O176, 'PlayerGrades+'!$X$3:$Y$23, 2, FALSE)))+('PlayerGrades+'!$Y$53*(VLOOKUP(Q176, 'PlayerGrades+'!$X$3:$Y$23, 2, FALSE)))+('PlayerGrades+'!$Y$54*(VLOOKUP(S176, 'PlayerGrades+'!$X$3:$Y$23, 2, FALSE)))+('PlayerGrades+'!$Y$55*(VLOOKUP(U176, 'PlayerGrades+'!$X$3:$Y$23, 2, FALSE)))</f>
        <v>25.65</v>
      </c>
      <c r="D176" s="937">
        <f t="shared" si="1"/>
        <v>0</v>
      </c>
      <c r="E176" s="937" t="str">
        <f>IF(D176&lt;'PlayerGrades+'!$AA$21,"F-",IF(D176&lt;'PlayerGrades+'!$AA$20,"F",IF(D176&lt;'PlayerGrades+'!$AA$19,"F+",IF(D176&lt;'PlayerGrades+'!$AA$18,"E-",IF(D176&lt;'PlayerGrades+'!$AA$17,"E",IF(D176&lt;'PlayerGrades+'!$AA$16,"E+",IF(D176&lt;'PlayerGrades+'!$AA$15,"D-",IF(D176&lt;'PlayerGrades+'!$AA$14,"D",IF(D176&lt;'PlayerGrades+'!$AA$13,"D+",IF(D176&lt;'PlayerGrades+'!$AA$12,"C-",IF(D176&lt;'PlayerGrades+'!$AA$11,"C",IF(D176&lt;'PlayerGrades+'!$AA$10,"C+",IF(D176&lt;'PlayerGrades+'!$AA$9,"B-",IF(D176&lt;'PlayerGrades+'!$AA$8,"B",IF(D176&lt;'PlayerGrades+'!$AA$7,"B+",IF(D176&lt;'PlayerGrades+'!$AA$6,"A-",IF(D176&lt;'PlayerGrades+'!$AA$5,"A",IF(D176&lt;'PlayerGrades+'!$AA$4,"A+",IF(D176&lt;'PlayerGrades+'!$AA$3,"S-",IF(D176&lt;'PlayerGrades+'!$AA$2,"S","S+"))))))))))))))))))))</f>
        <v>F-</v>
      </c>
      <c r="F176" s="937">
        <f t="shared" si="2"/>
        <v>-0.3913491246</v>
      </c>
      <c r="G176" s="937" t="str">
        <f>IF(F176&lt;'PlayerGrades+'!$AB$21,"F-",IF(F176&lt;'PlayerGrades+'!$AB$20,"F",IF(F176&lt;'PlayerGrades+'!$AB$19,"F+",IF(F176&lt;'PlayerGrades+'!$AB$18,"E-",IF(F176&lt;'PlayerGrades+'!$AB$17,"E",IF(F176&lt;'PlayerGrades+'!$AB$16,"E+",IF(F176&lt;'PlayerGrades+'!$AB$15,"D-",IF(F176&lt;'PlayerGrades+'!$AB$14,"D",IF(F176&lt;'PlayerGrades+'!$AB$13,"D+",IF(F176&lt;'PlayerGrades+'!$AB$12,"C-",IF(F176&lt;'PlayerGrades+'!$AB$11,"C",IF(F176&lt;'PlayerGrades+'!$AB$10,"C+",IF(F176&lt;'PlayerGrades+'!$AB$9,"B-",IF(F176&lt;'PlayerGrades+'!$AB$8,"B",IF(F176&lt;'PlayerGrades+'!$AB$7,"B+",IF(F176&lt;'PlayerGrades+'!$AB$6,"A-",IF(F176&lt;'PlayerGrades+'!$AB$5,"A",IF(F176&lt;'PlayerGrades+'!$AB$4,"A+",IF(F176&lt;'PlayerGrades+'!$AB$3,"S-",IF(F176&lt;'PlayerGrades+'!$AB$2,"S","S+"))))))))))))))))))))</f>
        <v>D+</v>
      </c>
      <c r="H176" s="937">
        <f t="shared" si="3"/>
        <v>0.1441812564</v>
      </c>
      <c r="I176" s="937" t="str">
        <f>IF(H176&lt;'PlayerGrades+'!$AC$21,"F-",IF(H176&lt;'PlayerGrades+'!$AC$20,"F",IF(H176&lt;'PlayerGrades+'!$AC$19,"F+",IF(H176&lt;'PlayerGrades+'!$AC$18,"E-",IF(H176&lt;'PlayerGrades+'!$AC$17,"E",IF(H176&lt;'PlayerGrades+'!$AC$16,"E+",IF(H176&lt;'PlayerGrades+'!$AC$15,"D-",IF(H176&lt;'PlayerGrades+'!$AC$14,"D",IF(H176&lt;'PlayerGrades+'!$AC$13,"D+",IF(H176&lt;'PlayerGrades+'!$AC$12,"C-",IF(H176&lt;'PlayerGrades+'!$AC$11,"C",IF(H176&lt;'PlayerGrades+'!$AC$10,"C+",IF(H176&lt;'PlayerGrades+'!$AC$9,"B-",IF(H176&lt;'PlayerGrades+'!$AC$8,"B",IF(H176&lt;'PlayerGrades+'!$AC$7,"B+",IF(H176&lt;'PlayerGrades+'!$AC$6,"A-",IF(H176&lt;'PlayerGrades+'!$AC$5,"A",IF(H176&lt;'PlayerGrades+'!$AC$4,"A+",IF(H176&lt;'PlayerGrades+'!$AC$3,"S-",IF(H176&lt;'PlayerGrades+'!$AC$2,"S","S+"))))))))))))))))))))</f>
        <v>A</v>
      </c>
      <c r="J176" s="937">
        <f t="shared" si="4"/>
        <v>0.02059732235</v>
      </c>
      <c r="K176" s="937" t="str">
        <f>IF(J176&lt;'PlayerGrades+'!$AD$21,"F-",IF(J176&lt;'PlayerGrades+'!$AD$20,"F",IF(J176&lt;'PlayerGrades+'!$AD$19,"F+",IF(J176&lt;'PlayerGrades+'!$AD$18,"E-",IF(J176&lt;'PlayerGrades+'!$AD$17,"E",IF(J176&lt;'PlayerGrades+'!$AD$16,"E+",IF(J176&lt;'PlayerGrades+'!$AD$15,"D-",IF(J176&lt;'PlayerGrades+'!$AD$14,"D",IF(J176&lt;'PlayerGrades+'!$AD$13,"D+",IF(J176&lt;'PlayerGrades+'!$AD$12,"C-",IF(J176&lt;'PlayerGrades+'!$AD$11,"C",IF(J176&lt;'PlayerGrades+'!$AD$10,"C+",IF(J176&lt;'PlayerGrades+'!$AD$9,"B-",IF(J176&lt;'PlayerGrades+'!$AD$8,"B",IF(J176&lt;'PlayerGrades+'!$AD$7,"B+",IF(J176&lt;'PlayerGrades+'!$AD$6,"A-",IF(J176&lt;'PlayerGrades+'!$AD$5,"A",IF(J176&lt;'PlayerGrades+'!$AD$4,"A+",IF(J176&lt;'PlayerGrades+'!$AD$3,"S-",IF(J176&lt;'PlayerGrades+'!$AD$2,"S","S+"))))))))))))))))))))</f>
        <v>E+</v>
      </c>
      <c r="L176" s="677">
        <f t="shared" si="5"/>
        <v>0.7209062822</v>
      </c>
      <c r="M176" s="938" t="str">
        <f>IF(L176&lt;'PlayerGrades+'!$AE$21,"F-",IF(L176&lt;'PlayerGrades+'!$AE$20,"F",IF(L176&lt;'PlayerGrades+'!$AE$19,"F+",IF(L176&lt;'PlayerGrades+'!$AE$18,"E-",IF(L176&lt;'PlayerGrades+'!$AE$17,"E",IF(L176&lt;'PlayerGrades+'!$AE$16,"E+",IF(L176&lt;'PlayerGrades+'!$AE$15,"D-",IF(L176&lt;'PlayerGrades+'!$AE$14,"D",IF(L176&lt;'PlayerGrades+'!$AE$13,"D+",IF(L176&lt;'PlayerGrades+'!$AE$12,"C-",IF(L176&lt;'PlayerGrades+'!$AE$11,"C",IF(L176&lt;'PlayerGrades+'!$AE$10,"C+",IF(L176&lt;'PlayerGrades+'!$AE$9,"B-",IF(L176&lt;'PlayerGrades+'!$AE$8,"B",IF(L176&lt;'PlayerGrades+'!$AE$7,"B+",IF(L176&lt;'PlayerGrades+'!$AE$6,"A-",IF(L176&lt;'PlayerGrades+'!$AE$5,"A",IF(L176&lt;'PlayerGrades+'!$AE$4,"A+",IF(L176&lt;'PlayerGrades+'!$AE$3,"S-",IF(L176&lt;'PlayerGrades+'!$AE$2,"S","S+"))))))))))))))))))))</f>
        <v>S+</v>
      </c>
      <c r="N176" s="937">
        <f t="shared" si="6"/>
        <v>0.1235839341</v>
      </c>
      <c r="O176" s="937" t="str">
        <f>IF(N176&lt;'PlayerGrades+'!$AF$21,"F-",IF(N176&lt;'PlayerGrades+'!$AF$20,"F",IF(N176&lt;'PlayerGrades+'!$AF$19,"F+",IF(N176&lt;'PlayerGrades+'!$AF$18,"E-",IF(N176&lt;'PlayerGrades+'!$AF$17,"E",IF(N176&lt;'PlayerGrades+'!$AF$16,"E+",IF(N176&lt;'PlayerGrades+'!$AF$15,"D-",IF(N176&lt;'PlayerGrades+'!$AF$14,"D",IF(N176&lt;'PlayerGrades+'!$AF$13,"D+",IF(N176&lt;'PlayerGrades+'!$AF$12,"C-",IF(N176&lt;'PlayerGrades+'!$AF$11,"C",IF(N176&lt;'PlayerGrades+'!$AF$10,"C+",IF(N176&lt;'PlayerGrades+'!$AF$9,"B-",IF(N176&lt;'PlayerGrades+'!$AF$8,"B",IF(N176&lt;'PlayerGrades+'!$AF$7,"B+",IF(N176&lt;'PlayerGrades+'!$AF$6,"A-",IF(N176&lt;'PlayerGrades+'!$AF$5,"A",IF(N176&lt;'PlayerGrades+'!$AF$4,"A+",IF(N176&lt;'PlayerGrades+'!$AF$3,"S-",IF(N176&lt;'PlayerGrades+'!$AF$2,"S","S+"))))))))))))))))))))</f>
        <v>S</v>
      </c>
      <c r="P176" s="937">
        <f t="shared" si="7"/>
        <v>0.02059732235</v>
      </c>
      <c r="Q176" s="937" t="str">
        <f>IF(P176&lt;'PlayerGrades+'!$AG$21,"F-",IF(P176&lt;'PlayerGrades+'!$AG$20,"F",IF(P176&lt;'PlayerGrades+'!$AG$19,"F+",IF(P176&lt;'PlayerGrades+'!$AG$18,"E-",IF(P176&lt;'PlayerGrades+'!$AG$17,"E",IF(P176&lt;'PlayerGrades+'!$AG$16,"E+",IF(P176&lt;'PlayerGrades+'!$AG$15,"D-",IF(P176&lt;'PlayerGrades+'!$AG$14,"D",IF(P176&lt;'PlayerGrades+'!$AG$13,"D+",IF(P176&lt;'PlayerGrades+'!$AG$12,"C-",IF(P176&lt;'PlayerGrades+'!$AG$11,"C",IF(P176&lt;'PlayerGrades+'!$AG$10,"C+",IF(P176&lt;'PlayerGrades+'!$AG$9,"B-",IF(P176&lt;'PlayerGrades+'!$AG$8,"B",IF(P176&lt;'PlayerGrades+'!$AG$7,"B+",IF(P176&lt;'PlayerGrades+'!$AG$6,"A-",IF(P176&lt;'PlayerGrades+'!$AG$5,"A",IF(P176&lt;'PlayerGrades+'!$AG$4,"A+",IF(P176&lt;'PlayerGrades+'!$AG$3,"S-",IF(P176&lt;'PlayerGrades+'!$AG$2,"S","S+"))))))))))))))))))))</f>
        <v>C+</v>
      </c>
      <c r="R176" s="937">
        <f t="shared" si="8"/>
        <v>0.6179196704</v>
      </c>
      <c r="S176" s="937" t="str">
        <f>IF(R176&lt;'PlayerGrades+'!$AH$21,"F-",IF(R176&lt;'PlayerGrades+'!$AH$20,"F",IF(R176&lt;'PlayerGrades+'!$AH$19,"F+",IF(R176&lt;'PlayerGrades+'!$AH$18,"E-",IF(R176&lt;'PlayerGrades+'!$AH$17,"E",IF(R176&lt;'PlayerGrades+'!$AH$16,"E+",IF(R176&lt;'PlayerGrades+'!$AH$15,"D-",IF(R176&lt;'PlayerGrades+'!$AH$14,"D",IF(R176&lt;'PlayerGrades+'!$AH$13,"D+",IF(R176&lt;'PlayerGrades+'!$AH$12,"C-",IF(R176&lt;'PlayerGrades+'!$AH$11,"C",IF(R176&lt;'PlayerGrades+'!$AH$10,"C+",IF(R176&lt;'PlayerGrades+'!$AH$9,"B-",IF(R176&lt;'PlayerGrades+'!$AH$8,"B",IF(R176&lt;'PlayerGrades+'!$AH$7,"B+",IF(R176&lt;'PlayerGrades+'!$AH$6,"A-",IF(R176&lt;'PlayerGrades+'!$AH$5,"A",IF(R176&lt;'PlayerGrades+'!$AH$4,"A+",IF(R176&lt;'PlayerGrades+'!$AH$3,"S-",IF(R176&lt;'PlayerGrades+'!$AH$2,"S","S+"))))))))))))))))))))</f>
        <v>A-</v>
      </c>
      <c r="T176" s="937">
        <f t="shared" si="9"/>
        <v>2.576725026</v>
      </c>
      <c r="U176" s="937" t="str">
        <f>IF(T176&lt;'PlayerGrades+'!$AI$21,"F-",IF(T176&lt;'PlayerGrades+'!$AI$20,"F",IF(T176&lt;'PlayerGrades+'!$AI$19,"F+",IF(T176&lt;'PlayerGrades+'!$AI$18,"E-",IF(T176&lt;'PlayerGrades+'!$AI$17,"E",IF(T176&lt;'PlayerGrades+'!$AI$16,"E+",IF(T176&lt;'PlayerGrades+'!$AI$15,"D-",IF(T176&lt;'PlayerGrades+'!$AI$14,"D",IF(T176&lt;'PlayerGrades+'!$AI$13,"D+",IF(T176&lt;'PlayerGrades+'!$AI$12,"C-",IF(T176&lt;'PlayerGrades+'!$AI$11,"C",IF(T176&lt;'PlayerGrades+'!$AI$10,"C+",IF(T176&lt;'PlayerGrades+'!$AI$9,"B-",IF(T176&lt;'PlayerGrades+'!$AI$8,"B",IF(T176&lt;'PlayerGrades+'!$AI$7,"B+",IF(T176&lt;'PlayerGrades+'!$AI$6,"A-",IF(T176&lt;'PlayerGrades+'!$AI$5,"A",IF(T176&lt;'PlayerGrades+'!$AI$4,"A+",IF(T176&lt;'PlayerGrades+'!$AI$3,"S-",IF(T176&lt;'PlayerGrades+'!$AI$2,"S","S+"))))))))))))))))))))</f>
        <v>S+</v>
      </c>
      <c r="V176" s="941">
        <v>1.0</v>
      </c>
      <c r="W176" s="941">
        <v>0.0</v>
      </c>
      <c r="X176" s="941">
        <v>1.0</v>
      </c>
      <c r="Y176" s="941">
        <v>0.0</v>
      </c>
      <c r="Z176" s="941">
        <v>0.0</v>
      </c>
      <c r="AA176" s="941">
        <v>204.0</v>
      </c>
      <c r="AB176" s="941">
        <v>223.0</v>
      </c>
      <c r="AC176" s="941">
        <v>-19.0</v>
      </c>
      <c r="AD176" s="941">
        <v>8.0</v>
      </c>
      <c r="AE176" s="941">
        <v>5.0</v>
      </c>
      <c r="AF176" s="941">
        <v>2.0</v>
      </c>
      <c r="AG176" s="941">
        <v>2147.0</v>
      </c>
      <c r="AH176" s="941">
        <v>2913.0</v>
      </c>
      <c r="AI176" s="941">
        <v>9.0</v>
      </c>
      <c r="AJ176" s="941">
        <v>43.0</v>
      </c>
      <c r="AK176" s="941">
        <v>0.0</v>
      </c>
      <c r="AL176" s="941">
        <v>1.0</v>
      </c>
      <c r="AM176" s="941">
        <v>0.0</v>
      </c>
      <c r="AN176" s="941">
        <v>0.0</v>
      </c>
      <c r="AO176" s="941">
        <v>0.0</v>
      </c>
      <c r="AP176" s="941">
        <v>1.0</v>
      </c>
      <c r="AQ176" s="941">
        <v>0.0</v>
      </c>
      <c r="AR176" s="941">
        <v>35.0</v>
      </c>
      <c r="AS176" s="941">
        <v>6.0</v>
      </c>
      <c r="AT176" s="941">
        <v>1.0</v>
      </c>
      <c r="AU176" s="941">
        <v>0.0</v>
      </c>
      <c r="AV176" s="941">
        <v>0.0</v>
      </c>
      <c r="AW176" s="941">
        <v>0.0</v>
      </c>
      <c r="AX176" s="941">
        <v>0.0</v>
      </c>
      <c r="AY176" s="941">
        <v>0.0</v>
      </c>
      <c r="AZ176" s="941">
        <v>0.0</v>
      </c>
      <c r="BA176" s="941">
        <v>0.0</v>
      </c>
      <c r="BB176" s="941">
        <v>7.0</v>
      </c>
      <c r="BC176" s="941">
        <v>0.0</v>
      </c>
      <c r="BD176" s="941">
        <v>22.0</v>
      </c>
      <c r="BE176" s="941">
        <v>28.0</v>
      </c>
      <c r="BF176" s="941">
        <v>2.0</v>
      </c>
      <c r="BG176" s="942">
        <v>1.0</v>
      </c>
    </row>
    <row r="177">
      <c r="A177" s="935" t="s">
        <v>147</v>
      </c>
      <c r="B177" s="16" t="str">
        <f>IF(C177&lt;'PlayerGrades+'!$Y$44,"F-",IF(C177&lt;'PlayerGrades+'!$Y$43,"F",IF(C177&lt;'PlayerGrades+'!$Y$42,"F+",IF(C177&lt;'PlayerGrades+'!$Y$41,"E-",IF(C177&lt;'PlayerGrades+'!$Y$40,"E",IF(C177&lt;'PlayerGrades+'!$Y$39,"E+",IF(C177&lt;'PlayerGrades+'!$Y$38,"D-",IF(C177&lt;'PlayerGrades+'!$Y$37,"D",IF(C177&lt;'PlayerGrades+'!$Y$36,"D+",IF(C177&lt;'PlayerGrades+'!$Y$35,"C-",IF(C177&lt;'PlayerGrades+'!$Y$34,"C",IF(C177&lt;'PlayerGrades+'!$Y$33,"C+",IF(C177&lt;'PlayerGrades+'!$Y$32,"B-",IF(C177&lt;'PlayerGrades+'!$Y$31,"B",IF(C177&lt;'PlayerGrades+'!$Y$30,"B+",IF(C177&lt;'PlayerGrades+'!$Y$29,"A-",IF(C177&lt;'PlayerGrades+'!$Y$28,"A",IF(C177&lt;'PlayerGrades+'!$Y$27,"A+",IF(C177&lt;'PlayerGrades+'!$Y$26,"S-",IF(C177&lt;'PlayerGrades+'!$Y$25,"S","S+"))))))))))))))))))))</f>
        <v>F</v>
      </c>
      <c r="C177" s="936">
        <f>('PlayerGrades+'!$Y$47*(VLOOKUP(E177, 'PlayerGrades+'!$X$3:$Y$23, 2, FALSE)))+('PlayerGrades+'!$Y$48*(VLOOKUP(G177, 'PlayerGrades+'!$X$3:$Y$23, 2, FALSE)))+('PlayerGrades+'!$Y$49*(VLOOKUP(I177, 'PlayerGrades+'!$X$3:$Y$23, 2, FALSE)))+('PlayerGrades+'!$Y$50*(VLOOKUP(K177, 'PlayerGrades+'!$X$3:$Y$23, 2, FALSE)))+('PlayerGrades+'!$Y$51*(VLOOKUP(M177, 'PlayerGrades+'!$X$3:$Y$23, 2, FALSE)))+('PlayerGrades+'!$Y$52*(VLOOKUP(O177, 'PlayerGrades+'!$X$3:$Y$23, 2, FALSE)))+('PlayerGrades+'!$Y$53*(VLOOKUP(Q177, 'PlayerGrades+'!$X$3:$Y$23, 2, FALSE)))+('PlayerGrades+'!$Y$54*(VLOOKUP(S177, 'PlayerGrades+'!$X$3:$Y$23, 2, FALSE)))+('PlayerGrades+'!$Y$55*(VLOOKUP(U177, 'PlayerGrades+'!$X$3:$Y$23, 2, FALSE)))</f>
        <v>9.85</v>
      </c>
      <c r="D177" s="937">
        <f t="shared" si="1"/>
        <v>0</v>
      </c>
      <c r="E177" s="937" t="str">
        <f>IF(D177&lt;'PlayerGrades+'!$AA$21,"F-",IF(D177&lt;'PlayerGrades+'!$AA$20,"F",IF(D177&lt;'PlayerGrades+'!$AA$19,"F+",IF(D177&lt;'PlayerGrades+'!$AA$18,"E-",IF(D177&lt;'PlayerGrades+'!$AA$17,"E",IF(D177&lt;'PlayerGrades+'!$AA$16,"E+",IF(D177&lt;'PlayerGrades+'!$AA$15,"D-",IF(D177&lt;'PlayerGrades+'!$AA$14,"D",IF(D177&lt;'PlayerGrades+'!$AA$13,"D+",IF(D177&lt;'PlayerGrades+'!$AA$12,"C-",IF(D177&lt;'PlayerGrades+'!$AA$11,"C",IF(D177&lt;'PlayerGrades+'!$AA$10,"C+",IF(D177&lt;'PlayerGrades+'!$AA$9,"B-",IF(D177&lt;'PlayerGrades+'!$AA$8,"B",IF(D177&lt;'PlayerGrades+'!$AA$7,"B+",IF(D177&lt;'PlayerGrades+'!$AA$6,"A-",IF(D177&lt;'PlayerGrades+'!$AA$5,"A",IF(D177&lt;'PlayerGrades+'!$AA$4,"A+",IF(D177&lt;'PlayerGrades+'!$AA$3,"S-",IF(D177&lt;'PlayerGrades+'!$AA$2,"S","S+"))))))))))))))))))))</f>
        <v>F-</v>
      </c>
      <c r="F177" s="937">
        <f t="shared" si="2"/>
        <v>-1.462409887</v>
      </c>
      <c r="G177" s="937" t="str">
        <f>IF(F177&lt;'PlayerGrades+'!$AB$21,"F-",IF(F177&lt;'PlayerGrades+'!$AB$20,"F",IF(F177&lt;'PlayerGrades+'!$AB$19,"F+",IF(F177&lt;'PlayerGrades+'!$AB$18,"E-",IF(F177&lt;'PlayerGrades+'!$AB$17,"E",IF(F177&lt;'PlayerGrades+'!$AB$16,"E+",IF(F177&lt;'PlayerGrades+'!$AB$15,"D-",IF(F177&lt;'PlayerGrades+'!$AB$14,"D",IF(F177&lt;'PlayerGrades+'!$AB$13,"D+",IF(F177&lt;'PlayerGrades+'!$AB$12,"C-",IF(F177&lt;'PlayerGrades+'!$AB$11,"C",IF(F177&lt;'PlayerGrades+'!$AB$10,"C+",IF(F177&lt;'PlayerGrades+'!$AB$9,"B-",IF(F177&lt;'PlayerGrades+'!$AB$8,"B",IF(F177&lt;'PlayerGrades+'!$AB$7,"B+",IF(F177&lt;'PlayerGrades+'!$AB$6,"A-",IF(F177&lt;'PlayerGrades+'!$AB$5,"A",IF(F177&lt;'PlayerGrades+'!$AB$4,"A+",IF(F177&lt;'PlayerGrades+'!$AB$3,"S-",IF(F177&lt;'PlayerGrades+'!$AB$2,"S","S+"))))))))))))))))))))</f>
        <v>F-</v>
      </c>
      <c r="H177" s="937">
        <f t="shared" si="3"/>
        <v>0.1441812564</v>
      </c>
      <c r="I177" s="937" t="str">
        <f>IF(H177&lt;'PlayerGrades+'!$AC$21,"F-",IF(H177&lt;'PlayerGrades+'!$AC$20,"F",IF(H177&lt;'PlayerGrades+'!$AC$19,"F+",IF(H177&lt;'PlayerGrades+'!$AC$18,"E-",IF(H177&lt;'PlayerGrades+'!$AC$17,"E",IF(H177&lt;'PlayerGrades+'!$AC$16,"E+",IF(H177&lt;'PlayerGrades+'!$AC$15,"D-",IF(H177&lt;'PlayerGrades+'!$AC$14,"D",IF(H177&lt;'PlayerGrades+'!$AC$13,"D+",IF(H177&lt;'PlayerGrades+'!$AC$12,"C-",IF(H177&lt;'PlayerGrades+'!$AC$11,"C",IF(H177&lt;'PlayerGrades+'!$AC$10,"C+",IF(H177&lt;'PlayerGrades+'!$AC$9,"B-",IF(H177&lt;'PlayerGrades+'!$AC$8,"B",IF(H177&lt;'PlayerGrades+'!$AC$7,"B+",IF(H177&lt;'PlayerGrades+'!$AC$6,"A-",IF(H177&lt;'PlayerGrades+'!$AC$5,"A",IF(H177&lt;'PlayerGrades+'!$AC$4,"A+",IF(H177&lt;'PlayerGrades+'!$AC$3,"S-",IF(H177&lt;'PlayerGrades+'!$AC$2,"S","S+"))))))))))))))))))))</f>
        <v>A</v>
      </c>
      <c r="J177" s="937">
        <f t="shared" si="4"/>
        <v>0.02059732235</v>
      </c>
      <c r="K177" s="937" t="str">
        <f>IF(J177&lt;'PlayerGrades+'!$AD$21,"F-",IF(J177&lt;'PlayerGrades+'!$AD$20,"F",IF(J177&lt;'PlayerGrades+'!$AD$19,"F+",IF(J177&lt;'PlayerGrades+'!$AD$18,"E-",IF(J177&lt;'PlayerGrades+'!$AD$17,"E",IF(J177&lt;'PlayerGrades+'!$AD$16,"E+",IF(J177&lt;'PlayerGrades+'!$AD$15,"D-",IF(J177&lt;'PlayerGrades+'!$AD$14,"D",IF(J177&lt;'PlayerGrades+'!$AD$13,"D+",IF(J177&lt;'PlayerGrades+'!$AD$12,"C-",IF(J177&lt;'PlayerGrades+'!$AD$11,"C",IF(J177&lt;'PlayerGrades+'!$AD$10,"C+",IF(J177&lt;'PlayerGrades+'!$AD$9,"B-",IF(J177&lt;'PlayerGrades+'!$AD$8,"B",IF(J177&lt;'PlayerGrades+'!$AD$7,"B+",IF(J177&lt;'PlayerGrades+'!$AD$6,"A-",IF(J177&lt;'PlayerGrades+'!$AD$5,"A",IF(J177&lt;'PlayerGrades+'!$AD$4,"A+",IF(J177&lt;'PlayerGrades+'!$AD$3,"S-",IF(J177&lt;'PlayerGrades+'!$AD$2,"S","S+"))))))))))))))))))))</f>
        <v>E+</v>
      </c>
      <c r="L177" s="677">
        <f t="shared" si="5"/>
        <v>0.3295571576</v>
      </c>
      <c r="M177" s="938" t="str">
        <f>IF(L177&lt;'PlayerGrades+'!$AE$21,"F-",IF(L177&lt;'PlayerGrades+'!$AE$20,"F",IF(L177&lt;'PlayerGrades+'!$AE$19,"F+",IF(L177&lt;'PlayerGrades+'!$AE$18,"E-",IF(L177&lt;'PlayerGrades+'!$AE$17,"E",IF(L177&lt;'PlayerGrades+'!$AE$16,"E+",IF(L177&lt;'PlayerGrades+'!$AE$15,"D-",IF(L177&lt;'PlayerGrades+'!$AE$14,"D",IF(L177&lt;'PlayerGrades+'!$AE$13,"D+",IF(L177&lt;'PlayerGrades+'!$AE$12,"C-",IF(L177&lt;'PlayerGrades+'!$AE$11,"C",IF(L177&lt;'PlayerGrades+'!$AE$10,"C+",IF(L177&lt;'PlayerGrades+'!$AE$9,"B-",IF(L177&lt;'PlayerGrades+'!$AE$8,"B",IF(L177&lt;'PlayerGrades+'!$AE$7,"B+",IF(L177&lt;'PlayerGrades+'!$AE$6,"A-",IF(L177&lt;'PlayerGrades+'!$AE$5,"A",IF(L177&lt;'PlayerGrades+'!$AE$4,"A+",IF(L177&lt;'PlayerGrades+'!$AE$3,"S-",IF(L177&lt;'PlayerGrades+'!$AE$2,"S","S+"))))))))))))))))))))</f>
        <v>E+</v>
      </c>
      <c r="N177" s="937">
        <f t="shared" si="6"/>
        <v>0.02059732235</v>
      </c>
      <c r="O177" s="937" t="str">
        <f>IF(N177&lt;'PlayerGrades+'!$AF$21,"F-",IF(N177&lt;'PlayerGrades+'!$AF$20,"F",IF(N177&lt;'PlayerGrades+'!$AF$19,"F+",IF(N177&lt;'PlayerGrades+'!$AF$18,"E-",IF(N177&lt;'PlayerGrades+'!$AF$17,"E",IF(N177&lt;'PlayerGrades+'!$AF$16,"E+",IF(N177&lt;'PlayerGrades+'!$AF$15,"D-",IF(N177&lt;'PlayerGrades+'!$AF$14,"D",IF(N177&lt;'PlayerGrades+'!$AF$13,"D+",IF(N177&lt;'PlayerGrades+'!$AF$12,"C-",IF(N177&lt;'PlayerGrades+'!$AF$11,"C",IF(N177&lt;'PlayerGrades+'!$AF$10,"C+",IF(N177&lt;'PlayerGrades+'!$AF$9,"B-",IF(N177&lt;'PlayerGrades+'!$AF$8,"B",IF(N177&lt;'PlayerGrades+'!$AF$7,"B+",IF(N177&lt;'PlayerGrades+'!$AF$6,"A-",IF(N177&lt;'PlayerGrades+'!$AF$5,"A",IF(N177&lt;'PlayerGrades+'!$AF$4,"A+",IF(N177&lt;'PlayerGrades+'!$AF$3,"S-",IF(N177&lt;'PlayerGrades+'!$AF$2,"S","S+"))))))))))))))))))))</f>
        <v>F-</v>
      </c>
      <c r="P177" s="937">
        <f t="shared" si="7"/>
        <v>0</v>
      </c>
      <c r="Q177" s="937" t="str">
        <f>IF(P177&lt;'PlayerGrades+'!$AG$21,"F-",IF(P177&lt;'PlayerGrades+'!$AG$20,"F",IF(P177&lt;'PlayerGrades+'!$AG$19,"F+",IF(P177&lt;'PlayerGrades+'!$AG$18,"E-",IF(P177&lt;'PlayerGrades+'!$AG$17,"E",IF(P177&lt;'PlayerGrades+'!$AG$16,"E+",IF(P177&lt;'PlayerGrades+'!$AG$15,"D-",IF(P177&lt;'PlayerGrades+'!$AG$14,"D",IF(P177&lt;'PlayerGrades+'!$AG$13,"D+",IF(P177&lt;'PlayerGrades+'!$AG$12,"C-",IF(P177&lt;'PlayerGrades+'!$AG$11,"C",IF(P177&lt;'PlayerGrades+'!$AG$10,"C+",IF(P177&lt;'PlayerGrades+'!$AG$9,"B-",IF(P177&lt;'PlayerGrades+'!$AG$8,"B",IF(P177&lt;'PlayerGrades+'!$AG$7,"B+",IF(P177&lt;'PlayerGrades+'!$AG$6,"A-",IF(P177&lt;'PlayerGrades+'!$AG$5,"A",IF(P177&lt;'PlayerGrades+'!$AG$4,"A+",IF(P177&lt;'PlayerGrades+'!$AG$3,"S-",IF(P177&lt;'PlayerGrades+'!$AG$2,"S","S+"))))))))))))))))))))</f>
        <v>F</v>
      </c>
      <c r="R177" s="937">
        <f t="shared" si="8"/>
        <v>0.3707518023</v>
      </c>
      <c r="S177" s="937" t="str">
        <f>IF(R177&lt;'PlayerGrades+'!$AH$21,"F-",IF(R177&lt;'PlayerGrades+'!$AH$20,"F",IF(R177&lt;'PlayerGrades+'!$AH$19,"F+",IF(R177&lt;'PlayerGrades+'!$AH$18,"E-",IF(R177&lt;'PlayerGrades+'!$AH$17,"E",IF(R177&lt;'PlayerGrades+'!$AH$16,"E+",IF(R177&lt;'PlayerGrades+'!$AH$15,"D-",IF(R177&lt;'PlayerGrades+'!$AH$14,"D",IF(R177&lt;'PlayerGrades+'!$AH$13,"D+",IF(R177&lt;'PlayerGrades+'!$AH$12,"C-",IF(R177&lt;'PlayerGrades+'!$AH$11,"C",IF(R177&lt;'PlayerGrades+'!$AH$10,"C+",IF(R177&lt;'PlayerGrades+'!$AH$9,"B-",IF(R177&lt;'PlayerGrades+'!$AH$8,"B",IF(R177&lt;'PlayerGrades+'!$AH$7,"B+",IF(R177&lt;'PlayerGrades+'!$AH$6,"A-",IF(R177&lt;'PlayerGrades+'!$AH$5,"A",IF(R177&lt;'PlayerGrades+'!$AH$4,"A+",IF(R177&lt;'PlayerGrades+'!$AH$3,"S-",IF(R177&lt;'PlayerGrades+'!$AH$2,"S","S+"))))))))))))))))))))</f>
        <v>F</v>
      </c>
      <c r="T177" s="937">
        <f t="shared" si="9"/>
        <v>1.432543769</v>
      </c>
      <c r="U177" s="937" t="str">
        <f>IF(T177&lt;'PlayerGrades+'!$AI$21,"F-",IF(T177&lt;'PlayerGrades+'!$AI$20,"F",IF(T177&lt;'PlayerGrades+'!$AI$19,"F+",IF(T177&lt;'PlayerGrades+'!$AI$18,"E-",IF(T177&lt;'PlayerGrades+'!$AI$17,"E",IF(T177&lt;'PlayerGrades+'!$AI$16,"E+",IF(T177&lt;'PlayerGrades+'!$AI$15,"D-",IF(T177&lt;'PlayerGrades+'!$AI$14,"D",IF(T177&lt;'PlayerGrades+'!$AI$13,"D+",IF(T177&lt;'PlayerGrades+'!$AI$12,"C-",IF(T177&lt;'PlayerGrades+'!$AI$11,"C",IF(T177&lt;'PlayerGrades+'!$AI$10,"C+",IF(T177&lt;'PlayerGrades+'!$AI$9,"B-",IF(T177&lt;'PlayerGrades+'!$AI$8,"B",IF(T177&lt;'PlayerGrades+'!$AI$7,"B+",IF(T177&lt;'PlayerGrades+'!$AI$6,"A-",IF(T177&lt;'PlayerGrades+'!$AI$5,"A",IF(T177&lt;'PlayerGrades+'!$AI$4,"A+",IF(T177&lt;'PlayerGrades+'!$AI$3,"S-",IF(T177&lt;'PlayerGrades+'!$AI$2,"S","S+"))))))))))))))))))))</f>
        <v>B+</v>
      </c>
      <c r="V177" s="941">
        <v>1.0</v>
      </c>
      <c r="W177" s="941">
        <v>0.0</v>
      </c>
      <c r="X177" s="941">
        <v>1.0</v>
      </c>
      <c r="Y177" s="941">
        <v>0.0</v>
      </c>
      <c r="Z177" s="941">
        <v>0.0</v>
      </c>
      <c r="AA177" s="941">
        <v>119.0</v>
      </c>
      <c r="AB177" s="941">
        <v>190.0</v>
      </c>
      <c r="AC177" s="941">
        <v>-71.0</v>
      </c>
      <c r="AD177" s="941">
        <v>6.0</v>
      </c>
      <c r="AE177" s="941">
        <v>5.0</v>
      </c>
      <c r="AF177" s="941">
        <v>3.0</v>
      </c>
      <c r="AG177" s="941">
        <v>2255.0</v>
      </c>
      <c r="AH177" s="941">
        <v>2913.0</v>
      </c>
      <c r="AI177" s="941">
        <v>11.0</v>
      </c>
      <c r="AJ177" s="941">
        <v>38.0</v>
      </c>
      <c r="AK177" s="941">
        <v>0.0</v>
      </c>
      <c r="AL177" s="941">
        <v>1.0</v>
      </c>
      <c r="AM177" s="941">
        <v>0.0</v>
      </c>
      <c r="AN177" s="941">
        <v>0.0</v>
      </c>
      <c r="AO177" s="941">
        <v>0.0</v>
      </c>
      <c r="AP177" s="941">
        <v>0.0</v>
      </c>
      <c r="AQ177" s="941">
        <v>0.0</v>
      </c>
      <c r="AR177" s="941">
        <v>16.0</v>
      </c>
      <c r="AS177" s="941">
        <v>1.0</v>
      </c>
      <c r="AT177" s="941">
        <v>0.0</v>
      </c>
      <c r="AU177" s="941">
        <v>0.0</v>
      </c>
      <c r="AV177" s="941">
        <v>0.0</v>
      </c>
      <c r="AW177" s="941">
        <v>0.0</v>
      </c>
      <c r="AX177" s="941">
        <v>0.0</v>
      </c>
      <c r="AY177" s="941">
        <v>0.0</v>
      </c>
      <c r="AZ177" s="941">
        <v>0.0</v>
      </c>
      <c r="BA177" s="941">
        <v>0.0</v>
      </c>
      <c r="BB177" s="941">
        <v>7.0</v>
      </c>
      <c r="BC177" s="941">
        <v>0.0</v>
      </c>
      <c r="BD177" s="941">
        <v>12.0</v>
      </c>
      <c r="BE177" s="941">
        <v>21.0</v>
      </c>
      <c r="BF177" s="941">
        <v>1.0</v>
      </c>
      <c r="BG177" s="942">
        <v>1.0</v>
      </c>
    </row>
    <row r="178">
      <c r="A178" s="946" t="s">
        <v>149</v>
      </c>
      <c r="B178" s="16" t="str">
        <f>IF(C178&lt;'PlayerGrades+'!$Y$44,"F-",IF(C178&lt;'PlayerGrades+'!$Y$43,"F",IF(C178&lt;'PlayerGrades+'!$Y$42,"F+",IF(C178&lt;'PlayerGrades+'!$Y$41,"E-",IF(C178&lt;'PlayerGrades+'!$Y$40,"E",IF(C178&lt;'PlayerGrades+'!$Y$39,"E+",IF(C178&lt;'PlayerGrades+'!$Y$38,"D-",IF(C178&lt;'PlayerGrades+'!$Y$37,"D",IF(C178&lt;'PlayerGrades+'!$Y$36,"D+",IF(C178&lt;'PlayerGrades+'!$Y$35,"C-",IF(C178&lt;'PlayerGrades+'!$Y$34,"C",IF(C178&lt;'PlayerGrades+'!$Y$33,"C+",IF(C178&lt;'PlayerGrades+'!$Y$32,"B-",IF(C178&lt;'PlayerGrades+'!$Y$31,"B",IF(C178&lt;'PlayerGrades+'!$Y$30,"B+",IF(C178&lt;'PlayerGrades+'!$Y$29,"A-",IF(C178&lt;'PlayerGrades+'!$Y$28,"A",IF(C178&lt;'PlayerGrades+'!$Y$27,"A+",IF(C178&lt;'PlayerGrades+'!$Y$26,"S-",IF(C178&lt;'PlayerGrades+'!$Y$25,"S","S+"))))))))))))))))))))</f>
        <v>E+</v>
      </c>
      <c r="C178" s="936">
        <f>('PlayerGrades+'!$Y$47*(VLOOKUP(E178, 'PlayerGrades+'!$X$3:$Y$23, 2, FALSE)))+('PlayerGrades+'!$Y$48*(VLOOKUP(G178, 'PlayerGrades+'!$X$3:$Y$23, 2, FALSE)))+('PlayerGrades+'!$Y$49*(VLOOKUP(I178, 'PlayerGrades+'!$X$3:$Y$23, 2, FALSE)))+('PlayerGrades+'!$Y$50*(VLOOKUP(K178, 'PlayerGrades+'!$X$3:$Y$23, 2, FALSE)))+('PlayerGrades+'!$Y$51*(VLOOKUP(M178, 'PlayerGrades+'!$X$3:$Y$23, 2, FALSE)))+('PlayerGrades+'!$Y$52*(VLOOKUP(O178, 'PlayerGrades+'!$X$3:$Y$23, 2, FALSE)))+('PlayerGrades+'!$Y$53*(VLOOKUP(Q178, 'PlayerGrades+'!$X$3:$Y$23, 2, FALSE)))+('PlayerGrades+'!$Y$54*(VLOOKUP(S178, 'PlayerGrades+'!$X$3:$Y$23, 2, FALSE)))+('PlayerGrades+'!$Y$55*(VLOOKUP(U178, 'PlayerGrades+'!$X$3:$Y$23, 2, FALSE)))</f>
        <v>13.7</v>
      </c>
      <c r="D178" s="937">
        <f t="shared" si="1"/>
        <v>0.8222811671</v>
      </c>
      <c r="E178" s="937" t="str">
        <f>IF(D178&lt;'PlayerGrades+'!$AA$21,"F-",IF(D178&lt;'PlayerGrades+'!$AA$20,"F",IF(D178&lt;'PlayerGrades+'!$AA$19,"F+",IF(D178&lt;'PlayerGrades+'!$AA$18,"E-",IF(D178&lt;'PlayerGrades+'!$AA$17,"E",IF(D178&lt;'PlayerGrades+'!$AA$16,"E+",IF(D178&lt;'PlayerGrades+'!$AA$15,"D-",IF(D178&lt;'PlayerGrades+'!$AA$14,"D",IF(D178&lt;'PlayerGrades+'!$AA$13,"D+",IF(D178&lt;'PlayerGrades+'!$AA$12,"C-",IF(D178&lt;'PlayerGrades+'!$AA$11,"C",IF(D178&lt;'PlayerGrades+'!$AA$10,"C+",IF(D178&lt;'PlayerGrades+'!$AA$9,"B-",IF(D178&lt;'PlayerGrades+'!$AA$8,"B",IF(D178&lt;'PlayerGrades+'!$AA$7,"B+",IF(D178&lt;'PlayerGrades+'!$AA$6,"A-",IF(D178&lt;'PlayerGrades+'!$AA$5,"A",IF(D178&lt;'PlayerGrades+'!$AA$4,"A+",IF(D178&lt;'PlayerGrades+'!$AA$3,"S-",IF(D178&lt;'PlayerGrades+'!$AA$2,"S","S+"))))))))))))))))))))</f>
        <v>S</v>
      </c>
      <c r="F178" s="937">
        <f t="shared" si="2"/>
        <v>0.5570291777</v>
      </c>
      <c r="G178" s="937" t="str">
        <f>IF(F178&lt;'PlayerGrades+'!$AB$21,"F-",IF(F178&lt;'PlayerGrades+'!$AB$20,"F",IF(F178&lt;'PlayerGrades+'!$AB$19,"F+",IF(F178&lt;'PlayerGrades+'!$AB$18,"E-",IF(F178&lt;'PlayerGrades+'!$AB$17,"E",IF(F178&lt;'PlayerGrades+'!$AB$16,"E+",IF(F178&lt;'PlayerGrades+'!$AB$15,"D-",IF(F178&lt;'PlayerGrades+'!$AB$14,"D",IF(F178&lt;'PlayerGrades+'!$AB$13,"D+",IF(F178&lt;'PlayerGrades+'!$AB$12,"C-",IF(F178&lt;'PlayerGrades+'!$AB$11,"C",IF(F178&lt;'PlayerGrades+'!$AB$10,"C+",IF(F178&lt;'PlayerGrades+'!$AB$9,"B-",IF(F178&lt;'PlayerGrades+'!$AB$8,"B",IF(F178&lt;'PlayerGrades+'!$AB$7,"B+",IF(F178&lt;'PlayerGrades+'!$AB$6,"A-",IF(F178&lt;'PlayerGrades+'!$AB$5,"A",IF(F178&lt;'PlayerGrades+'!$AB$4,"A+",IF(F178&lt;'PlayerGrades+'!$AB$3,"S-",IF(F178&lt;'PlayerGrades+'!$AB$2,"S","S+"))))))))))))))))))))</f>
        <v>S-</v>
      </c>
      <c r="H178" s="937">
        <f t="shared" si="3"/>
        <v>0</v>
      </c>
      <c r="I178" s="937" t="str">
        <f>IF(H178&lt;'PlayerGrades+'!$AC$21,"F-",IF(H178&lt;'PlayerGrades+'!$AC$20,"F",IF(H178&lt;'PlayerGrades+'!$AC$19,"F+",IF(H178&lt;'PlayerGrades+'!$AC$18,"E-",IF(H178&lt;'PlayerGrades+'!$AC$17,"E",IF(H178&lt;'PlayerGrades+'!$AC$16,"E+",IF(H178&lt;'PlayerGrades+'!$AC$15,"D-",IF(H178&lt;'PlayerGrades+'!$AC$14,"D",IF(H178&lt;'PlayerGrades+'!$AC$13,"D+",IF(H178&lt;'PlayerGrades+'!$AC$12,"C-",IF(H178&lt;'PlayerGrades+'!$AC$11,"C",IF(H178&lt;'PlayerGrades+'!$AC$10,"C+",IF(H178&lt;'PlayerGrades+'!$AC$9,"B-",IF(H178&lt;'PlayerGrades+'!$AC$8,"B",IF(H178&lt;'PlayerGrades+'!$AC$7,"B+",IF(H178&lt;'PlayerGrades+'!$AC$6,"A-",IF(H178&lt;'PlayerGrades+'!$AC$5,"A",IF(H178&lt;'PlayerGrades+'!$AC$4,"A+",IF(H178&lt;'PlayerGrades+'!$AC$3,"S-",IF(H178&lt;'PlayerGrades+'!$AC$2,"S","S+"))))))))))))))))))))</f>
        <v>F-</v>
      </c>
      <c r="J178" s="937">
        <f t="shared" si="4"/>
        <v>0.05305039788</v>
      </c>
      <c r="K178" s="937" t="str">
        <f>IF(J178&lt;'PlayerGrades+'!$AD$21,"F-",IF(J178&lt;'PlayerGrades+'!$AD$20,"F",IF(J178&lt;'PlayerGrades+'!$AD$19,"F+",IF(J178&lt;'PlayerGrades+'!$AD$18,"E-",IF(J178&lt;'PlayerGrades+'!$AD$17,"E",IF(J178&lt;'PlayerGrades+'!$AD$16,"E+",IF(J178&lt;'PlayerGrades+'!$AD$15,"D-",IF(J178&lt;'PlayerGrades+'!$AD$14,"D",IF(J178&lt;'PlayerGrades+'!$AD$13,"D+",IF(J178&lt;'PlayerGrades+'!$AD$12,"C-",IF(J178&lt;'PlayerGrades+'!$AD$11,"C",IF(J178&lt;'PlayerGrades+'!$AD$10,"C+",IF(J178&lt;'PlayerGrades+'!$AD$9,"B-",IF(J178&lt;'PlayerGrades+'!$AD$8,"B",IF(J178&lt;'PlayerGrades+'!$AD$7,"B+",IF(J178&lt;'PlayerGrades+'!$AD$6,"A-",IF(J178&lt;'PlayerGrades+'!$AD$5,"A",IF(J178&lt;'PlayerGrades+'!$AD$4,"A+",IF(J178&lt;'PlayerGrades+'!$AD$3,"S-",IF(J178&lt;'PlayerGrades+'!$AD$2,"S","S+"))))))))))))))))))))</f>
        <v>B+</v>
      </c>
      <c r="L178" s="677">
        <f t="shared" si="5"/>
        <v>0.1061007958</v>
      </c>
      <c r="M178" s="938" t="str">
        <f>IF(L178&lt;'PlayerGrades+'!$AE$21,"F-",IF(L178&lt;'PlayerGrades+'!$AE$20,"F",IF(L178&lt;'PlayerGrades+'!$AE$19,"F+",IF(L178&lt;'PlayerGrades+'!$AE$18,"E-",IF(L178&lt;'PlayerGrades+'!$AE$17,"E",IF(L178&lt;'PlayerGrades+'!$AE$16,"E+",IF(L178&lt;'PlayerGrades+'!$AE$15,"D-",IF(L178&lt;'PlayerGrades+'!$AE$14,"D",IF(L178&lt;'PlayerGrades+'!$AE$13,"D+",IF(L178&lt;'PlayerGrades+'!$AE$12,"C-",IF(L178&lt;'PlayerGrades+'!$AE$11,"C",IF(L178&lt;'PlayerGrades+'!$AE$10,"C+",IF(L178&lt;'PlayerGrades+'!$AE$9,"B-",IF(L178&lt;'PlayerGrades+'!$AE$8,"B",IF(L178&lt;'PlayerGrades+'!$AE$7,"B+",IF(L178&lt;'PlayerGrades+'!$AE$6,"A-",IF(L178&lt;'PlayerGrades+'!$AE$5,"A",IF(L178&lt;'PlayerGrades+'!$AE$4,"A+",IF(L178&lt;'PlayerGrades+'!$AE$3,"S-",IF(L178&lt;'PlayerGrades+'!$AE$2,"S","S+"))))))))))))))))))))</f>
        <v>F-</v>
      </c>
      <c r="N178" s="937">
        <f t="shared" si="6"/>
        <v>0</v>
      </c>
      <c r="O178" s="937" t="str">
        <f>IF(N178&lt;'PlayerGrades+'!$AF$21,"F-",IF(N178&lt;'PlayerGrades+'!$AF$20,"F",IF(N178&lt;'PlayerGrades+'!$AF$19,"F+",IF(N178&lt;'PlayerGrades+'!$AF$18,"E-",IF(N178&lt;'PlayerGrades+'!$AF$17,"E",IF(N178&lt;'PlayerGrades+'!$AF$16,"E+",IF(N178&lt;'PlayerGrades+'!$AF$15,"D-",IF(N178&lt;'PlayerGrades+'!$AF$14,"D",IF(N178&lt;'PlayerGrades+'!$AF$13,"D+",IF(N178&lt;'PlayerGrades+'!$AF$12,"C-",IF(N178&lt;'PlayerGrades+'!$AF$11,"C",IF(N178&lt;'PlayerGrades+'!$AF$10,"C+",IF(N178&lt;'PlayerGrades+'!$AF$9,"B-",IF(N178&lt;'PlayerGrades+'!$AF$8,"B",IF(N178&lt;'PlayerGrades+'!$AF$7,"B+",IF(N178&lt;'PlayerGrades+'!$AF$6,"A-",IF(N178&lt;'PlayerGrades+'!$AF$5,"A",IF(N178&lt;'PlayerGrades+'!$AF$4,"A+",IF(N178&lt;'PlayerGrades+'!$AF$3,"S-",IF(N178&lt;'PlayerGrades+'!$AF$2,"S","S+"))))))))))))))))))))</f>
        <v>F-</v>
      </c>
      <c r="P178" s="937">
        <f t="shared" si="7"/>
        <v>0</v>
      </c>
      <c r="Q178" s="937" t="str">
        <f>IF(P178&lt;'PlayerGrades+'!$AG$21,"F-",IF(P178&lt;'PlayerGrades+'!$AG$20,"F",IF(P178&lt;'PlayerGrades+'!$AG$19,"F+",IF(P178&lt;'PlayerGrades+'!$AG$18,"E-",IF(P178&lt;'PlayerGrades+'!$AG$17,"E",IF(P178&lt;'PlayerGrades+'!$AG$16,"E+",IF(P178&lt;'PlayerGrades+'!$AG$15,"D-",IF(P178&lt;'PlayerGrades+'!$AG$14,"D",IF(P178&lt;'PlayerGrades+'!$AG$13,"D+",IF(P178&lt;'PlayerGrades+'!$AG$12,"C-",IF(P178&lt;'PlayerGrades+'!$AG$11,"C",IF(P178&lt;'PlayerGrades+'!$AG$10,"C+",IF(P178&lt;'PlayerGrades+'!$AG$9,"B-",IF(P178&lt;'PlayerGrades+'!$AG$8,"B",IF(P178&lt;'PlayerGrades+'!$AG$7,"B+",IF(P178&lt;'PlayerGrades+'!$AG$6,"A-",IF(P178&lt;'PlayerGrades+'!$AG$5,"A",IF(P178&lt;'PlayerGrades+'!$AG$4,"A+",IF(P178&lt;'PlayerGrades+'!$AG$3,"S-",IF(P178&lt;'PlayerGrades+'!$AG$2,"S","S+"))))))))))))))))))))</f>
        <v>F</v>
      </c>
      <c r="R178" s="937">
        <f t="shared" si="8"/>
        <v>0.424403183</v>
      </c>
      <c r="S178" s="937" t="str">
        <f>IF(R178&lt;'PlayerGrades+'!$AH$21,"F-",IF(R178&lt;'PlayerGrades+'!$AH$20,"F",IF(R178&lt;'PlayerGrades+'!$AH$19,"F+",IF(R178&lt;'PlayerGrades+'!$AH$18,"E-",IF(R178&lt;'PlayerGrades+'!$AH$17,"E",IF(R178&lt;'PlayerGrades+'!$AH$16,"E+",IF(R178&lt;'PlayerGrades+'!$AH$15,"D-",IF(R178&lt;'PlayerGrades+'!$AH$14,"D",IF(R178&lt;'PlayerGrades+'!$AH$13,"D+",IF(R178&lt;'PlayerGrades+'!$AH$12,"C-",IF(R178&lt;'PlayerGrades+'!$AH$11,"C",IF(R178&lt;'PlayerGrades+'!$AH$10,"C+",IF(R178&lt;'PlayerGrades+'!$AH$9,"B-",IF(R178&lt;'PlayerGrades+'!$AH$8,"B",IF(R178&lt;'PlayerGrades+'!$AH$7,"B+",IF(R178&lt;'PlayerGrades+'!$AH$6,"A-",IF(R178&lt;'PlayerGrades+'!$AH$5,"A",IF(R178&lt;'PlayerGrades+'!$AH$4,"A+",IF(R178&lt;'PlayerGrades+'!$AH$3,"S-",IF(R178&lt;'PlayerGrades+'!$AH$2,"S","S+"))))))))))))))))))))</f>
        <v>F+</v>
      </c>
      <c r="T178" s="937">
        <f t="shared" si="9"/>
        <v>0.1856763926</v>
      </c>
      <c r="U178" s="937" t="str">
        <f>IF(T178&lt;'PlayerGrades+'!$AI$21,"F-",IF(T178&lt;'PlayerGrades+'!$AI$20,"F",IF(T178&lt;'PlayerGrades+'!$AI$19,"F+",IF(T178&lt;'PlayerGrades+'!$AI$18,"E-",IF(T178&lt;'PlayerGrades+'!$AI$17,"E",IF(T178&lt;'PlayerGrades+'!$AI$16,"E+",IF(T178&lt;'PlayerGrades+'!$AI$15,"D-",IF(T178&lt;'PlayerGrades+'!$AI$14,"D",IF(T178&lt;'PlayerGrades+'!$AI$13,"D+",IF(T178&lt;'PlayerGrades+'!$AI$12,"C-",IF(T178&lt;'PlayerGrades+'!$AI$11,"C",IF(T178&lt;'PlayerGrades+'!$AI$10,"C+",IF(T178&lt;'PlayerGrades+'!$AI$9,"B-",IF(T178&lt;'PlayerGrades+'!$AI$8,"B",IF(T178&lt;'PlayerGrades+'!$AI$7,"B+",IF(T178&lt;'PlayerGrades+'!$AI$6,"A-",IF(T178&lt;'PlayerGrades+'!$AI$5,"A",IF(T178&lt;'PlayerGrades+'!$AI$4,"A+",IF(T178&lt;'PlayerGrades+'!$AI$3,"S-",IF(T178&lt;'PlayerGrades+'!$AI$2,"S","S+"))))))))))))))))))))</f>
        <v>F-</v>
      </c>
      <c r="V178" s="939">
        <v>1.0</v>
      </c>
      <c r="W178" s="939">
        <v>1.0</v>
      </c>
      <c r="X178" s="939">
        <v>0.0</v>
      </c>
      <c r="Y178" s="939">
        <v>3.0</v>
      </c>
      <c r="Z178" s="939">
        <v>28.0</v>
      </c>
      <c r="AA178" s="939">
        <v>61.0</v>
      </c>
      <c r="AB178" s="939">
        <v>40.0</v>
      </c>
      <c r="AC178" s="939">
        <v>21.0</v>
      </c>
      <c r="AD178" s="939">
        <v>2.0</v>
      </c>
      <c r="AE178" s="939">
        <v>10.0</v>
      </c>
      <c r="AF178" s="939">
        <v>1.0</v>
      </c>
      <c r="AG178" s="939">
        <v>2072.0</v>
      </c>
      <c r="AH178" s="939">
        <v>2262.0</v>
      </c>
      <c r="AI178" s="939">
        <v>51.0</v>
      </c>
      <c r="AJ178" s="939">
        <v>1512.0</v>
      </c>
      <c r="AK178" s="939">
        <v>0.0</v>
      </c>
      <c r="AL178" s="939">
        <v>2.0</v>
      </c>
      <c r="AM178" s="939">
        <v>1.0</v>
      </c>
      <c r="AN178" s="939">
        <v>0.0</v>
      </c>
      <c r="AO178" s="939">
        <v>0.0</v>
      </c>
      <c r="AP178" s="939">
        <v>0.0</v>
      </c>
      <c r="AQ178" s="939">
        <v>0.0</v>
      </c>
      <c r="AR178" s="939">
        <v>4.0</v>
      </c>
      <c r="AS178" s="939">
        <v>0.0</v>
      </c>
      <c r="AT178" s="939">
        <v>0.0</v>
      </c>
      <c r="AU178" s="939">
        <v>0.0</v>
      </c>
      <c r="AV178" s="939">
        <v>0.0</v>
      </c>
      <c r="AW178" s="939">
        <v>0.0</v>
      </c>
      <c r="AX178" s="939">
        <v>0.0</v>
      </c>
      <c r="AY178" s="939">
        <v>0.0</v>
      </c>
      <c r="AZ178" s="939">
        <v>0.0</v>
      </c>
      <c r="BA178" s="939">
        <v>0.0</v>
      </c>
      <c r="BB178" s="939">
        <v>0.0</v>
      </c>
      <c r="BC178" s="939">
        <v>0.0</v>
      </c>
      <c r="BD178" s="939">
        <v>14.0</v>
      </c>
      <c r="BE178" s="939">
        <v>7.0</v>
      </c>
      <c r="BF178" s="939">
        <v>0.0</v>
      </c>
      <c r="BG178" s="940">
        <v>1.0</v>
      </c>
    </row>
    <row r="179">
      <c r="A179" s="935" t="s">
        <v>138</v>
      </c>
      <c r="B179" s="16" t="str">
        <f>IF(C179&lt;'PlayerGrades+'!$Y$44,"F-",IF(C179&lt;'PlayerGrades+'!$Y$43,"F",IF(C179&lt;'PlayerGrades+'!$Y$42,"F+",IF(C179&lt;'PlayerGrades+'!$Y$41,"E-",IF(C179&lt;'PlayerGrades+'!$Y$40,"E",IF(C179&lt;'PlayerGrades+'!$Y$39,"E+",IF(C179&lt;'PlayerGrades+'!$Y$38,"D-",IF(C179&lt;'PlayerGrades+'!$Y$37,"D",IF(C179&lt;'PlayerGrades+'!$Y$36,"D+",IF(C179&lt;'PlayerGrades+'!$Y$35,"C-",IF(C179&lt;'PlayerGrades+'!$Y$34,"C",IF(C179&lt;'PlayerGrades+'!$Y$33,"C+",IF(C179&lt;'PlayerGrades+'!$Y$32,"B-",IF(C179&lt;'PlayerGrades+'!$Y$31,"B",IF(C179&lt;'PlayerGrades+'!$Y$30,"B+",IF(C179&lt;'PlayerGrades+'!$Y$29,"A-",IF(C179&lt;'PlayerGrades+'!$Y$28,"A",IF(C179&lt;'PlayerGrades+'!$Y$27,"A+",IF(C179&lt;'PlayerGrades+'!$Y$26,"S-",IF(C179&lt;'PlayerGrades+'!$Y$25,"S","S+"))))))))))))))))))))</f>
        <v>S+</v>
      </c>
      <c r="C179" s="936">
        <f>('PlayerGrades+'!$Y$47*(VLOOKUP(E179, 'PlayerGrades+'!$X$3:$Y$23, 2, FALSE)))+('PlayerGrades+'!$Y$48*(VLOOKUP(G179, 'PlayerGrades+'!$X$3:$Y$23, 2, FALSE)))+('PlayerGrades+'!$Y$49*(VLOOKUP(I179, 'PlayerGrades+'!$X$3:$Y$23, 2, FALSE)))+('PlayerGrades+'!$Y$50*(VLOOKUP(K179, 'PlayerGrades+'!$X$3:$Y$23, 2, FALSE)))+('PlayerGrades+'!$Y$51*(VLOOKUP(M179, 'PlayerGrades+'!$X$3:$Y$23, 2, FALSE)))+('PlayerGrades+'!$Y$52*(VLOOKUP(O179, 'PlayerGrades+'!$X$3:$Y$23, 2, FALSE)))+('PlayerGrades+'!$Y$53*(VLOOKUP(Q179, 'PlayerGrades+'!$X$3:$Y$23, 2, FALSE)))+('PlayerGrades+'!$Y$54*(VLOOKUP(S179, 'PlayerGrades+'!$X$3:$Y$23, 2, FALSE)))+('PlayerGrades+'!$Y$55*(VLOOKUP(U179, 'PlayerGrades+'!$X$3:$Y$23, 2, FALSE)))</f>
        <v>33.3</v>
      </c>
      <c r="D179" s="937">
        <f t="shared" si="1"/>
        <v>0.07957559682</v>
      </c>
      <c r="E179" s="937" t="str">
        <f>IF(D179&lt;'PlayerGrades+'!$AA$21,"F-",IF(D179&lt;'PlayerGrades+'!$AA$20,"F",IF(D179&lt;'PlayerGrades+'!$AA$19,"F+",IF(D179&lt;'PlayerGrades+'!$AA$18,"E-",IF(D179&lt;'PlayerGrades+'!$AA$17,"E",IF(D179&lt;'PlayerGrades+'!$AA$16,"E+",IF(D179&lt;'PlayerGrades+'!$AA$15,"D-",IF(D179&lt;'PlayerGrades+'!$AA$14,"D",IF(D179&lt;'PlayerGrades+'!$AA$13,"D+",IF(D179&lt;'PlayerGrades+'!$AA$12,"C-",IF(D179&lt;'PlayerGrades+'!$AA$11,"C",IF(D179&lt;'PlayerGrades+'!$AA$10,"C+",IF(D179&lt;'PlayerGrades+'!$AA$9,"B-",IF(D179&lt;'PlayerGrades+'!$AA$8,"B",IF(D179&lt;'PlayerGrades+'!$AA$7,"B+",IF(D179&lt;'PlayerGrades+'!$AA$6,"A-",IF(D179&lt;'PlayerGrades+'!$AA$5,"A",IF(D179&lt;'PlayerGrades+'!$AA$4,"A+",IF(D179&lt;'PlayerGrades+'!$AA$3,"S-",IF(D179&lt;'PlayerGrades+'!$AA$2,"S","S+"))))))))))))))))))))</f>
        <v>B</v>
      </c>
      <c r="F179" s="937">
        <f t="shared" si="2"/>
        <v>0.6896551724</v>
      </c>
      <c r="G179" s="937" t="str">
        <f>IF(F179&lt;'PlayerGrades+'!$AB$21,"F-",IF(F179&lt;'PlayerGrades+'!$AB$20,"F",IF(F179&lt;'PlayerGrades+'!$AB$19,"F+",IF(F179&lt;'PlayerGrades+'!$AB$18,"E-",IF(F179&lt;'PlayerGrades+'!$AB$17,"E",IF(F179&lt;'PlayerGrades+'!$AB$16,"E+",IF(F179&lt;'PlayerGrades+'!$AB$15,"D-",IF(F179&lt;'PlayerGrades+'!$AB$14,"D",IF(F179&lt;'PlayerGrades+'!$AB$13,"D+",IF(F179&lt;'PlayerGrades+'!$AB$12,"C-",IF(F179&lt;'PlayerGrades+'!$AB$11,"C",IF(F179&lt;'PlayerGrades+'!$AB$10,"C+",IF(F179&lt;'PlayerGrades+'!$AB$9,"B-",IF(F179&lt;'PlayerGrades+'!$AB$8,"B",IF(F179&lt;'PlayerGrades+'!$AB$7,"B+",IF(F179&lt;'PlayerGrades+'!$AB$6,"A-",IF(F179&lt;'PlayerGrades+'!$AB$5,"A",IF(F179&lt;'PlayerGrades+'!$AB$4,"A+",IF(F179&lt;'PlayerGrades+'!$AB$3,"S-",IF(F179&lt;'PlayerGrades+'!$AB$2,"S","S+"))))))))))))))))))))</f>
        <v>S-</v>
      </c>
      <c r="H179" s="937">
        <f t="shared" si="3"/>
        <v>0.1061007958</v>
      </c>
      <c r="I179" s="937" t="str">
        <f>IF(H179&lt;'PlayerGrades+'!$AC$21,"F-",IF(H179&lt;'PlayerGrades+'!$AC$20,"F",IF(H179&lt;'PlayerGrades+'!$AC$19,"F+",IF(H179&lt;'PlayerGrades+'!$AC$18,"E-",IF(H179&lt;'PlayerGrades+'!$AC$17,"E",IF(H179&lt;'PlayerGrades+'!$AC$16,"E+",IF(H179&lt;'PlayerGrades+'!$AC$15,"D-",IF(H179&lt;'PlayerGrades+'!$AC$14,"D",IF(H179&lt;'PlayerGrades+'!$AC$13,"D+",IF(H179&lt;'PlayerGrades+'!$AC$12,"C-",IF(H179&lt;'PlayerGrades+'!$AC$11,"C",IF(H179&lt;'PlayerGrades+'!$AC$10,"C+",IF(H179&lt;'PlayerGrades+'!$AC$9,"B-",IF(H179&lt;'PlayerGrades+'!$AC$8,"B",IF(H179&lt;'PlayerGrades+'!$AC$7,"B+",IF(H179&lt;'PlayerGrades+'!$AC$6,"A-",IF(H179&lt;'PlayerGrades+'!$AC$5,"A",IF(H179&lt;'PlayerGrades+'!$AC$4,"A+",IF(H179&lt;'PlayerGrades+'!$AC$3,"S-",IF(H179&lt;'PlayerGrades+'!$AC$2,"S","S+"))))))))))))))))))))</f>
        <v>C-</v>
      </c>
      <c r="J179" s="937">
        <f t="shared" si="4"/>
        <v>0.1061007958</v>
      </c>
      <c r="K179" s="937" t="str">
        <f>IF(J179&lt;'PlayerGrades+'!$AD$21,"F-",IF(J179&lt;'PlayerGrades+'!$AD$20,"F",IF(J179&lt;'PlayerGrades+'!$AD$19,"F+",IF(J179&lt;'PlayerGrades+'!$AD$18,"E-",IF(J179&lt;'PlayerGrades+'!$AD$17,"E",IF(J179&lt;'PlayerGrades+'!$AD$16,"E+",IF(J179&lt;'PlayerGrades+'!$AD$15,"D-",IF(J179&lt;'PlayerGrades+'!$AD$14,"D",IF(J179&lt;'PlayerGrades+'!$AD$13,"D+",IF(J179&lt;'PlayerGrades+'!$AD$12,"C-",IF(J179&lt;'PlayerGrades+'!$AD$11,"C",IF(J179&lt;'PlayerGrades+'!$AD$10,"C+",IF(J179&lt;'PlayerGrades+'!$AD$9,"B-",IF(J179&lt;'PlayerGrades+'!$AD$8,"B",IF(J179&lt;'PlayerGrades+'!$AD$7,"B+",IF(J179&lt;'PlayerGrades+'!$AD$6,"A-",IF(J179&lt;'PlayerGrades+'!$AD$5,"A",IF(J179&lt;'PlayerGrades+'!$AD$4,"A+",IF(J179&lt;'PlayerGrades+'!$AD$3,"S-",IF(J179&lt;'PlayerGrades+'!$AD$2,"S","S+"))))))))))))))))))))</f>
        <v>S+</v>
      </c>
      <c r="L179" s="677">
        <f t="shared" si="5"/>
        <v>0.8222811671</v>
      </c>
      <c r="M179" s="938" t="str">
        <f>IF(L179&lt;'PlayerGrades+'!$AE$21,"F-",IF(L179&lt;'PlayerGrades+'!$AE$20,"F",IF(L179&lt;'PlayerGrades+'!$AE$19,"F+",IF(L179&lt;'PlayerGrades+'!$AE$18,"E-",IF(L179&lt;'PlayerGrades+'!$AE$17,"E",IF(L179&lt;'PlayerGrades+'!$AE$16,"E+",IF(L179&lt;'PlayerGrades+'!$AE$15,"D-",IF(L179&lt;'PlayerGrades+'!$AE$14,"D",IF(L179&lt;'PlayerGrades+'!$AE$13,"D+",IF(L179&lt;'PlayerGrades+'!$AE$12,"C-",IF(L179&lt;'PlayerGrades+'!$AE$11,"C",IF(L179&lt;'PlayerGrades+'!$AE$10,"C+",IF(L179&lt;'PlayerGrades+'!$AE$9,"B-",IF(L179&lt;'PlayerGrades+'!$AE$8,"B",IF(L179&lt;'PlayerGrades+'!$AE$7,"B+",IF(L179&lt;'PlayerGrades+'!$AE$6,"A-",IF(L179&lt;'PlayerGrades+'!$AE$5,"A",IF(L179&lt;'PlayerGrades+'!$AE$4,"A+",IF(L179&lt;'PlayerGrades+'!$AE$3,"S-",IF(L179&lt;'PlayerGrades+'!$AE$2,"S","S+"))))))))))))))))))))</f>
        <v>S+</v>
      </c>
      <c r="N179" s="937">
        <f t="shared" si="6"/>
        <v>0.1591511936</v>
      </c>
      <c r="O179" s="937" t="str">
        <f>IF(N179&lt;'PlayerGrades+'!$AF$21,"F-",IF(N179&lt;'PlayerGrades+'!$AF$20,"F",IF(N179&lt;'PlayerGrades+'!$AF$19,"F+",IF(N179&lt;'PlayerGrades+'!$AF$18,"E-",IF(N179&lt;'PlayerGrades+'!$AF$17,"E",IF(N179&lt;'PlayerGrades+'!$AF$16,"E+",IF(N179&lt;'PlayerGrades+'!$AF$15,"D-",IF(N179&lt;'PlayerGrades+'!$AF$14,"D",IF(N179&lt;'PlayerGrades+'!$AF$13,"D+",IF(N179&lt;'PlayerGrades+'!$AF$12,"C-",IF(N179&lt;'PlayerGrades+'!$AF$11,"C",IF(N179&lt;'PlayerGrades+'!$AF$10,"C+",IF(N179&lt;'PlayerGrades+'!$AF$9,"B-",IF(N179&lt;'PlayerGrades+'!$AF$8,"B",IF(N179&lt;'PlayerGrades+'!$AF$7,"B+",IF(N179&lt;'PlayerGrades+'!$AF$6,"A-",IF(N179&lt;'PlayerGrades+'!$AF$5,"A",IF(N179&lt;'PlayerGrades+'!$AF$4,"A+",IF(N179&lt;'PlayerGrades+'!$AF$3,"S-",IF(N179&lt;'PlayerGrades+'!$AF$2,"S","S+"))))))))))))))))))))</f>
        <v>S+</v>
      </c>
      <c r="P179" s="937">
        <f t="shared" si="7"/>
        <v>0.1061007958</v>
      </c>
      <c r="Q179" s="937" t="str">
        <f>IF(P179&lt;'PlayerGrades+'!$AG$21,"F-",IF(P179&lt;'PlayerGrades+'!$AG$20,"F",IF(P179&lt;'PlayerGrades+'!$AG$19,"F+",IF(P179&lt;'PlayerGrades+'!$AG$18,"E-",IF(P179&lt;'PlayerGrades+'!$AG$17,"E",IF(P179&lt;'PlayerGrades+'!$AG$16,"E+",IF(P179&lt;'PlayerGrades+'!$AG$15,"D-",IF(P179&lt;'PlayerGrades+'!$AG$14,"D",IF(P179&lt;'PlayerGrades+'!$AG$13,"D+",IF(P179&lt;'PlayerGrades+'!$AG$12,"C-",IF(P179&lt;'PlayerGrades+'!$AG$11,"C",IF(P179&lt;'PlayerGrades+'!$AG$10,"C+",IF(P179&lt;'PlayerGrades+'!$AG$9,"B-",IF(P179&lt;'PlayerGrades+'!$AG$8,"B",IF(P179&lt;'PlayerGrades+'!$AG$7,"B+",IF(P179&lt;'PlayerGrades+'!$AG$6,"A-",IF(P179&lt;'PlayerGrades+'!$AG$5,"A",IF(P179&lt;'PlayerGrades+'!$AG$4,"A+",IF(P179&lt;'PlayerGrades+'!$AG$3,"S-",IF(P179&lt;'PlayerGrades+'!$AG$2,"S","S+"))))))))))))))))))))</f>
        <v>S+</v>
      </c>
      <c r="R179" s="937">
        <f t="shared" si="8"/>
        <v>0.9549071618</v>
      </c>
      <c r="S179" s="937" t="str">
        <f>IF(R179&lt;'PlayerGrades+'!$AH$21,"F-",IF(R179&lt;'PlayerGrades+'!$AH$20,"F",IF(R179&lt;'PlayerGrades+'!$AH$19,"F+",IF(R179&lt;'PlayerGrades+'!$AH$18,"E-",IF(R179&lt;'PlayerGrades+'!$AH$17,"E",IF(R179&lt;'PlayerGrades+'!$AH$16,"E+",IF(R179&lt;'PlayerGrades+'!$AH$15,"D-",IF(R179&lt;'PlayerGrades+'!$AH$14,"D",IF(R179&lt;'PlayerGrades+'!$AH$13,"D+",IF(R179&lt;'PlayerGrades+'!$AH$12,"C-",IF(R179&lt;'PlayerGrades+'!$AH$11,"C",IF(R179&lt;'PlayerGrades+'!$AH$10,"C+",IF(R179&lt;'PlayerGrades+'!$AH$9,"B-",IF(R179&lt;'PlayerGrades+'!$AH$8,"B",IF(R179&lt;'PlayerGrades+'!$AH$7,"B+",IF(R179&lt;'PlayerGrades+'!$AH$6,"A-",IF(R179&lt;'PlayerGrades+'!$AH$5,"A",IF(R179&lt;'PlayerGrades+'!$AH$4,"A+",IF(R179&lt;'PlayerGrades+'!$AH$3,"S-",IF(R179&lt;'PlayerGrades+'!$AH$2,"S","S+"))))))))))))))))))))</f>
        <v>S+</v>
      </c>
      <c r="T179" s="937">
        <f t="shared" si="9"/>
        <v>3.397877984</v>
      </c>
      <c r="U179" s="937" t="str">
        <f>IF(T179&lt;'PlayerGrades+'!$AI$21,"F-",IF(T179&lt;'PlayerGrades+'!$AI$20,"F",IF(T179&lt;'PlayerGrades+'!$AI$19,"F+",IF(T179&lt;'PlayerGrades+'!$AI$18,"E-",IF(T179&lt;'PlayerGrades+'!$AI$17,"E",IF(T179&lt;'PlayerGrades+'!$AI$16,"E+",IF(T179&lt;'PlayerGrades+'!$AI$15,"D-",IF(T179&lt;'PlayerGrades+'!$AI$14,"D",IF(T179&lt;'PlayerGrades+'!$AI$13,"D+",IF(T179&lt;'PlayerGrades+'!$AI$12,"C-",IF(T179&lt;'PlayerGrades+'!$AI$11,"C",IF(T179&lt;'PlayerGrades+'!$AI$10,"C+",IF(T179&lt;'PlayerGrades+'!$AI$9,"B-",IF(T179&lt;'PlayerGrades+'!$AI$8,"B",IF(T179&lt;'PlayerGrades+'!$AI$7,"B+",IF(T179&lt;'PlayerGrades+'!$AI$6,"A-",IF(T179&lt;'PlayerGrades+'!$AI$5,"A",IF(T179&lt;'PlayerGrades+'!$AI$4,"A+",IF(T179&lt;'PlayerGrades+'!$AI$3,"S-",IF(T179&lt;'PlayerGrades+'!$AI$2,"S","S+"))))))))))))))))))))</f>
        <v>S+</v>
      </c>
      <c r="V179" s="941">
        <v>1.0</v>
      </c>
      <c r="W179" s="941">
        <v>1.0</v>
      </c>
      <c r="X179" s="941">
        <v>0.0</v>
      </c>
      <c r="Y179" s="941">
        <v>2.0</v>
      </c>
      <c r="Z179" s="941">
        <v>1.0</v>
      </c>
      <c r="AA179" s="941">
        <v>159.0</v>
      </c>
      <c r="AB179" s="941">
        <v>133.0</v>
      </c>
      <c r="AC179" s="941">
        <v>26.0</v>
      </c>
      <c r="AD179" s="941">
        <v>17.0</v>
      </c>
      <c r="AE179" s="941">
        <v>6.0</v>
      </c>
      <c r="AF179" s="941">
        <v>1.0</v>
      </c>
      <c r="AG179" s="941">
        <v>1801.0</v>
      </c>
      <c r="AH179" s="941">
        <v>2262.0</v>
      </c>
      <c r="AI179" s="941">
        <v>13.0</v>
      </c>
      <c r="AJ179" s="941">
        <v>13.0</v>
      </c>
      <c r="AK179" s="941">
        <v>0.0</v>
      </c>
      <c r="AL179" s="941">
        <v>4.0</v>
      </c>
      <c r="AM179" s="941">
        <v>0.0</v>
      </c>
      <c r="AN179" s="941">
        <v>0.0</v>
      </c>
      <c r="AO179" s="941">
        <v>0.0</v>
      </c>
      <c r="AP179" s="941">
        <v>4.0</v>
      </c>
      <c r="AQ179" s="941">
        <v>0.0</v>
      </c>
      <c r="AR179" s="941">
        <v>31.0</v>
      </c>
      <c r="AS179" s="941">
        <v>6.0</v>
      </c>
      <c r="AT179" s="941">
        <v>1.0</v>
      </c>
      <c r="AU179" s="941">
        <v>0.0</v>
      </c>
      <c r="AV179" s="941">
        <v>0.0</v>
      </c>
      <c r="AW179" s="941">
        <v>0.0</v>
      </c>
      <c r="AX179" s="941">
        <v>0.0</v>
      </c>
      <c r="AY179" s="941">
        <v>0.0</v>
      </c>
      <c r="AZ179" s="941">
        <v>0.0</v>
      </c>
      <c r="BA179" s="941">
        <v>0.0</v>
      </c>
      <c r="BB179" s="941">
        <v>4.0</v>
      </c>
      <c r="BC179" s="941">
        <v>0.0</v>
      </c>
      <c r="BD179" s="941">
        <v>19.0</v>
      </c>
      <c r="BE179" s="941">
        <v>15.0</v>
      </c>
      <c r="BF179" s="941">
        <v>3.0</v>
      </c>
      <c r="BG179" s="942">
        <v>1.0</v>
      </c>
    </row>
    <row r="180">
      <c r="A180" s="935" t="s">
        <v>418</v>
      </c>
      <c r="B180" s="16" t="str">
        <f>IF(C180&lt;'PlayerGrades+'!$Y$44,"F-",IF(C180&lt;'PlayerGrades+'!$Y$43,"F",IF(C180&lt;'PlayerGrades+'!$Y$42,"F+",IF(C180&lt;'PlayerGrades+'!$Y$41,"E-",IF(C180&lt;'PlayerGrades+'!$Y$40,"E",IF(C180&lt;'PlayerGrades+'!$Y$39,"E+",IF(C180&lt;'PlayerGrades+'!$Y$38,"D-",IF(C180&lt;'PlayerGrades+'!$Y$37,"D",IF(C180&lt;'PlayerGrades+'!$Y$36,"D+",IF(C180&lt;'PlayerGrades+'!$Y$35,"C-",IF(C180&lt;'PlayerGrades+'!$Y$34,"C",IF(C180&lt;'PlayerGrades+'!$Y$33,"C+",IF(C180&lt;'PlayerGrades+'!$Y$32,"B-",IF(C180&lt;'PlayerGrades+'!$Y$31,"B",IF(C180&lt;'PlayerGrades+'!$Y$30,"B+",IF(C180&lt;'PlayerGrades+'!$Y$29,"A-",IF(C180&lt;'PlayerGrades+'!$Y$28,"A",IF(C180&lt;'PlayerGrades+'!$Y$27,"A+",IF(C180&lt;'PlayerGrades+'!$Y$26,"S-",IF(C180&lt;'PlayerGrades+'!$Y$25,"S","S+"))))))))))))))))))))</f>
        <v>S</v>
      </c>
      <c r="C180" s="936">
        <f>('PlayerGrades+'!$Y$47*(VLOOKUP(E180, 'PlayerGrades+'!$X$3:$Y$23, 2, FALSE)))+('PlayerGrades+'!$Y$48*(VLOOKUP(G180, 'PlayerGrades+'!$X$3:$Y$23, 2, FALSE)))+('PlayerGrades+'!$Y$49*(VLOOKUP(I180, 'PlayerGrades+'!$X$3:$Y$23, 2, FALSE)))+('PlayerGrades+'!$Y$50*(VLOOKUP(K180, 'PlayerGrades+'!$X$3:$Y$23, 2, FALSE)))+('PlayerGrades+'!$Y$51*(VLOOKUP(M180, 'PlayerGrades+'!$X$3:$Y$23, 2, FALSE)))+('PlayerGrades+'!$Y$52*(VLOOKUP(O180, 'PlayerGrades+'!$X$3:$Y$23, 2, FALSE)))+('PlayerGrades+'!$Y$53*(VLOOKUP(Q180, 'PlayerGrades+'!$X$3:$Y$23, 2, FALSE)))+('PlayerGrades+'!$Y$54*(VLOOKUP(S180, 'PlayerGrades+'!$X$3:$Y$23, 2, FALSE)))+('PlayerGrades+'!$Y$55*(VLOOKUP(U180, 'PlayerGrades+'!$X$3:$Y$23, 2, FALSE)))</f>
        <v>32.6</v>
      </c>
      <c r="D180" s="937">
        <f t="shared" si="1"/>
        <v>0</v>
      </c>
      <c r="E180" s="937" t="str">
        <f>IF(D180&lt;'PlayerGrades+'!$AA$21,"F-",IF(D180&lt;'PlayerGrades+'!$AA$20,"F",IF(D180&lt;'PlayerGrades+'!$AA$19,"F+",IF(D180&lt;'PlayerGrades+'!$AA$18,"E-",IF(D180&lt;'PlayerGrades+'!$AA$17,"E",IF(D180&lt;'PlayerGrades+'!$AA$16,"E+",IF(D180&lt;'PlayerGrades+'!$AA$15,"D-",IF(D180&lt;'PlayerGrades+'!$AA$14,"D",IF(D180&lt;'PlayerGrades+'!$AA$13,"D+",IF(D180&lt;'PlayerGrades+'!$AA$12,"C-",IF(D180&lt;'PlayerGrades+'!$AA$11,"C",IF(D180&lt;'PlayerGrades+'!$AA$10,"C+",IF(D180&lt;'PlayerGrades+'!$AA$9,"B-",IF(D180&lt;'PlayerGrades+'!$AA$8,"B",IF(D180&lt;'PlayerGrades+'!$AA$7,"B+",IF(D180&lt;'PlayerGrades+'!$AA$6,"A-",IF(D180&lt;'PlayerGrades+'!$AA$5,"A",IF(D180&lt;'PlayerGrades+'!$AA$4,"A+",IF(D180&lt;'PlayerGrades+'!$AA$3,"S-",IF(D180&lt;'PlayerGrades+'!$AA$2,"S","S+"))))))))))))))))))))</f>
        <v>F-</v>
      </c>
      <c r="F180" s="937">
        <f t="shared" si="2"/>
        <v>1.352785146</v>
      </c>
      <c r="G180" s="937" t="str">
        <f>IF(F180&lt;'PlayerGrades+'!$AB$21,"F-",IF(F180&lt;'PlayerGrades+'!$AB$20,"F",IF(F180&lt;'PlayerGrades+'!$AB$19,"F+",IF(F180&lt;'PlayerGrades+'!$AB$18,"E-",IF(F180&lt;'PlayerGrades+'!$AB$17,"E",IF(F180&lt;'PlayerGrades+'!$AB$16,"E+",IF(F180&lt;'PlayerGrades+'!$AB$15,"D-",IF(F180&lt;'PlayerGrades+'!$AB$14,"D",IF(F180&lt;'PlayerGrades+'!$AB$13,"D+",IF(F180&lt;'PlayerGrades+'!$AB$12,"C-",IF(F180&lt;'PlayerGrades+'!$AB$11,"C",IF(F180&lt;'PlayerGrades+'!$AB$10,"C+",IF(F180&lt;'PlayerGrades+'!$AB$9,"B-",IF(F180&lt;'PlayerGrades+'!$AB$8,"B",IF(F180&lt;'PlayerGrades+'!$AB$7,"B+",IF(F180&lt;'PlayerGrades+'!$AB$6,"A-",IF(F180&lt;'PlayerGrades+'!$AB$5,"A",IF(F180&lt;'PlayerGrades+'!$AB$4,"A+",IF(F180&lt;'PlayerGrades+'!$AB$3,"S-",IF(F180&lt;'PlayerGrades+'!$AB$2,"S","S+"))))))))))))))))))))</f>
        <v>S+</v>
      </c>
      <c r="H180" s="937">
        <f t="shared" si="3"/>
        <v>0.2652519894</v>
      </c>
      <c r="I180" s="937" t="str">
        <f>IF(H180&lt;'PlayerGrades+'!$AC$21,"F-",IF(H180&lt;'PlayerGrades+'!$AC$20,"F",IF(H180&lt;'PlayerGrades+'!$AC$19,"F+",IF(H180&lt;'PlayerGrades+'!$AC$18,"E-",IF(H180&lt;'PlayerGrades+'!$AC$17,"E",IF(H180&lt;'PlayerGrades+'!$AC$16,"E+",IF(H180&lt;'PlayerGrades+'!$AC$15,"D-",IF(H180&lt;'PlayerGrades+'!$AC$14,"D",IF(H180&lt;'PlayerGrades+'!$AC$13,"D+",IF(H180&lt;'PlayerGrades+'!$AC$12,"C-",IF(H180&lt;'PlayerGrades+'!$AC$11,"C",IF(H180&lt;'PlayerGrades+'!$AC$10,"C+",IF(H180&lt;'PlayerGrades+'!$AC$9,"B-",IF(H180&lt;'PlayerGrades+'!$AC$8,"B",IF(H180&lt;'PlayerGrades+'!$AC$7,"B+",IF(H180&lt;'PlayerGrades+'!$AC$6,"A-",IF(H180&lt;'PlayerGrades+'!$AC$5,"A",IF(H180&lt;'PlayerGrades+'!$AC$4,"A+",IF(H180&lt;'PlayerGrades+'!$AC$3,"S-",IF(H180&lt;'PlayerGrades+'!$AC$2,"S","S+"))))))))))))))))))))</f>
        <v>S</v>
      </c>
      <c r="J180" s="937">
        <f t="shared" si="4"/>
        <v>0.1326259947</v>
      </c>
      <c r="K180" s="937" t="str">
        <f>IF(J180&lt;'PlayerGrades+'!$AD$21,"F-",IF(J180&lt;'PlayerGrades+'!$AD$20,"F",IF(J180&lt;'PlayerGrades+'!$AD$19,"F+",IF(J180&lt;'PlayerGrades+'!$AD$18,"E-",IF(J180&lt;'PlayerGrades+'!$AD$17,"E",IF(J180&lt;'PlayerGrades+'!$AD$16,"E+",IF(J180&lt;'PlayerGrades+'!$AD$15,"D-",IF(J180&lt;'PlayerGrades+'!$AD$14,"D",IF(J180&lt;'PlayerGrades+'!$AD$13,"D+",IF(J180&lt;'PlayerGrades+'!$AD$12,"C-",IF(J180&lt;'PlayerGrades+'!$AD$11,"C",IF(J180&lt;'PlayerGrades+'!$AD$10,"C+",IF(J180&lt;'PlayerGrades+'!$AD$9,"B-",IF(J180&lt;'PlayerGrades+'!$AD$8,"B",IF(J180&lt;'PlayerGrades+'!$AD$7,"B+",IF(J180&lt;'PlayerGrades+'!$AD$6,"A-",IF(J180&lt;'PlayerGrades+'!$AD$5,"A",IF(J180&lt;'PlayerGrades+'!$AD$4,"A+",IF(J180&lt;'PlayerGrades+'!$AD$3,"S-",IF(J180&lt;'PlayerGrades+'!$AD$2,"S","S+"))))))))))))))))))))</f>
        <v>S+</v>
      </c>
      <c r="L180" s="677">
        <f t="shared" si="5"/>
        <v>0.7692307692</v>
      </c>
      <c r="M180" s="938" t="str">
        <f>IF(L180&lt;'PlayerGrades+'!$AE$21,"F-",IF(L180&lt;'PlayerGrades+'!$AE$20,"F",IF(L180&lt;'PlayerGrades+'!$AE$19,"F+",IF(L180&lt;'PlayerGrades+'!$AE$18,"E-",IF(L180&lt;'PlayerGrades+'!$AE$17,"E",IF(L180&lt;'PlayerGrades+'!$AE$16,"E+",IF(L180&lt;'PlayerGrades+'!$AE$15,"D-",IF(L180&lt;'PlayerGrades+'!$AE$14,"D",IF(L180&lt;'PlayerGrades+'!$AE$13,"D+",IF(L180&lt;'PlayerGrades+'!$AE$12,"C-",IF(L180&lt;'PlayerGrades+'!$AE$11,"C",IF(L180&lt;'PlayerGrades+'!$AE$10,"C+",IF(L180&lt;'PlayerGrades+'!$AE$9,"B-",IF(L180&lt;'PlayerGrades+'!$AE$8,"B",IF(L180&lt;'PlayerGrades+'!$AE$7,"B+",IF(L180&lt;'PlayerGrades+'!$AE$6,"A-",IF(L180&lt;'PlayerGrades+'!$AE$5,"A",IF(L180&lt;'PlayerGrades+'!$AE$4,"A+",IF(L180&lt;'PlayerGrades+'!$AE$3,"S-",IF(L180&lt;'PlayerGrades+'!$AE$2,"S","S+"))))))))))))))))))))</f>
        <v>S+</v>
      </c>
      <c r="N180" s="937">
        <f t="shared" si="6"/>
        <v>0.1061007958</v>
      </c>
      <c r="O180" s="937" t="str">
        <f>IF(N180&lt;'PlayerGrades+'!$AF$21,"F-",IF(N180&lt;'PlayerGrades+'!$AF$20,"F",IF(N180&lt;'PlayerGrades+'!$AF$19,"F+",IF(N180&lt;'PlayerGrades+'!$AF$18,"E-",IF(N180&lt;'PlayerGrades+'!$AF$17,"E",IF(N180&lt;'PlayerGrades+'!$AF$16,"E+",IF(N180&lt;'PlayerGrades+'!$AF$15,"D-",IF(N180&lt;'PlayerGrades+'!$AF$14,"D",IF(N180&lt;'PlayerGrades+'!$AF$13,"D+",IF(N180&lt;'PlayerGrades+'!$AF$12,"C-",IF(N180&lt;'PlayerGrades+'!$AF$11,"C",IF(N180&lt;'PlayerGrades+'!$AF$10,"C+",IF(N180&lt;'PlayerGrades+'!$AF$9,"B-",IF(N180&lt;'PlayerGrades+'!$AF$8,"B",IF(N180&lt;'PlayerGrades+'!$AF$7,"B+",IF(N180&lt;'PlayerGrades+'!$AF$6,"A-",IF(N180&lt;'PlayerGrades+'!$AF$5,"A",IF(N180&lt;'PlayerGrades+'!$AF$4,"A+",IF(N180&lt;'PlayerGrades+'!$AF$3,"S-",IF(N180&lt;'PlayerGrades+'!$AF$2,"S","S+"))))))))))))))))))))</f>
        <v>S-</v>
      </c>
      <c r="P180" s="937">
        <f t="shared" si="7"/>
        <v>0.1326259947</v>
      </c>
      <c r="Q180" s="937" t="str">
        <f>IF(P180&lt;'PlayerGrades+'!$AG$21,"F-",IF(P180&lt;'PlayerGrades+'!$AG$20,"F",IF(P180&lt;'PlayerGrades+'!$AG$19,"F+",IF(P180&lt;'PlayerGrades+'!$AG$18,"E-",IF(P180&lt;'PlayerGrades+'!$AG$17,"E",IF(P180&lt;'PlayerGrades+'!$AG$16,"E+",IF(P180&lt;'PlayerGrades+'!$AG$15,"D-",IF(P180&lt;'PlayerGrades+'!$AG$14,"D",IF(P180&lt;'PlayerGrades+'!$AG$13,"D+",IF(P180&lt;'PlayerGrades+'!$AG$12,"C-",IF(P180&lt;'PlayerGrades+'!$AG$11,"C",IF(P180&lt;'PlayerGrades+'!$AG$10,"C+",IF(P180&lt;'PlayerGrades+'!$AG$9,"B-",IF(P180&lt;'PlayerGrades+'!$AG$8,"B",IF(P180&lt;'PlayerGrades+'!$AG$7,"B+",IF(P180&lt;'PlayerGrades+'!$AG$6,"A-",IF(P180&lt;'PlayerGrades+'!$AG$5,"A",IF(P180&lt;'PlayerGrades+'!$AG$4,"A+",IF(P180&lt;'PlayerGrades+'!$AG$3,"S-",IF(P180&lt;'PlayerGrades+'!$AG$2,"S","S+"))))))))))))))))))))</f>
        <v>S+</v>
      </c>
      <c r="R180" s="937">
        <f t="shared" si="8"/>
        <v>0.7957559682</v>
      </c>
      <c r="S180" s="937" t="str">
        <f>IF(R180&lt;'PlayerGrades+'!$AH$21,"F-",IF(R180&lt;'PlayerGrades+'!$AH$20,"F",IF(R180&lt;'PlayerGrades+'!$AH$19,"F+",IF(R180&lt;'PlayerGrades+'!$AH$18,"E-",IF(R180&lt;'PlayerGrades+'!$AH$17,"E",IF(R180&lt;'PlayerGrades+'!$AH$16,"E+",IF(R180&lt;'PlayerGrades+'!$AH$15,"D-",IF(R180&lt;'PlayerGrades+'!$AH$14,"D",IF(R180&lt;'PlayerGrades+'!$AH$13,"D+",IF(R180&lt;'PlayerGrades+'!$AH$12,"C-",IF(R180&lt;'PlayerGrades+'!$AH$11,"C",IF(R180&lt;'PlayerGrades+'!$AH$10,"C+",IF(R180&lt;'PlayerGrades+'!$AH$9,"B-",IF(R180&lt;'PlayerGrades+'!$AH$8,"B",IF(R180&lt;'PlayerGrades+'!$AH$7,"B+",IF(R180&lt;'PlayerGrades+'!$AH$6,"A-",IF(R180&lt;'PlayerGrades+'!$AH$5,"A",IF(R180&lt;'PlayerGrades+'!$AH$4,"A+",IF(R180&lt;'PlayerGrades+'!$AH$3,"S-",IF(R180&lt;'PlayerGrades+'!$AH$2,"S","S+"))))))))))))))))))))</f>
        <v>S+</v>
      </c>
      <c r="T180" s="937">
        <f t="shared" si="9"/>
        <v>2.477453581</v>
      </c>
      <c r="U180" s="937" t="str">
        <f>IF(T180&lt;'PlayerGrades+'!$AI$21,"F-",IF(T180&lt;'PlayerGrades+'!$AI$20,"F",IF(T180&lt;'PlayerGrades+'!$AI$19,"F+",IF(T180&lt;'PlayerGrades+'!$AI$18,"E-",IF(T180&lt;'PlayerGrades+'!$AI$17,"E",IF(T180&lt;'PlayerGrades+'!$AI$16,"E+",IF(T180&lt;'PlayerGrades+'!$AI$15,"D-",IF(T180&lt;'PlayerGrades+'!$AI$14,"D",IF(T180&lt;'PlayerGrades+'!$AI$13,"D+",IF(T180&lt;'PlayerGrades+'!$AI$12,"C-",IF(T180&lt;'PlayerGrades+'!$AI$11,"C",IF(T180&lt;'PlayerGrades+'!$AI$10,"C+",IF(T180&lt;'PlayerGrades+'!$AI$9,"B-",IF(T180&lt;'PlayerGrades+'!$AI$8,"B",IF(T180&lt;'PlayerGrades+'!$AI$7,"B+",IF(T180&lt;'PlayerGrades+'!$AI$6,"A-",IF(T180&lt;'PlayerGrades+'!$AI$5,"A",IF(T180&lt;'PlayerGrades+'!$AI$4,"A+",IF(T180&lt;'PlayerGrades+'!$AI$3,"S-",IF(T180&lt;'PlayerGrades+'!$AI$2,"S","S+"))))))))))))))))))))</f>
        <v>S+</v>
      </c>
      <c r="V180" s="941">
        <v>1.0</v>
      </c>
      <c r="W180" s="941">
        <v>1.0</v>
      </c>
      <c r="X180" s="941">
        <v>0.0</v>
      </c>
      <c r="Y180" s="941">
        <v>0.0</v>
      </c>
      <c r="Z180" s="941">
        <v>0.0</v>
      </c>
      <c r="AA180" s="941">
        <v>160.0</v>
      </c>
      <c r="AB180" s="941">
        <v>109.0</v>
      </c>
      <c r="AC180" s="941">
        <v>51.0</v>
      </c>
      <c r="AD180" s="941">
        <v>9.0</v>
      </c>
      <c r="AE180" s="941">
        <v>8.0</v>
      </c>
      <c r="AF180" s="941">
        <v>3.0</v>
      </c>
      <c r="AG180" s="941">
        <v>1871.0</v>
      </c>
      <c r="AH180" s="941">
        <v>2262.0</v>
      </c>
      <c r="AI180" s="941">
        <v>17.0</v>
      </c>
      <c r="AJ180" s="941">
        <v>13.0</v>
      </c>
      <c r="AK180" s="941">
        <v>0.0</v>
      </c>
      <c r="AL180" s="941">
        <v>5.0</v>
      </c>
      <c r="AM180" s="941">
        <v>0.0</v>
      </c>
      <c r="AN180" s="941">
        <v>0.0</v>
      </c>
      <c r="AO180" s="941">
        <v>0.0</v>
      </c>
      <c r="AP180" s="941">
        <v>5.0</v>
      </c>
      <c r="AQ180" s="941">
        <v>0.0</v>
      </c>
      <c r="AR180" s="941">
        <v>29.0</v>
      </c>
      <c r="AS180" s="941">
        <v>4.0</v>
      </c>
      <c r="AT180" s="941">
        <v>2.0</v>
      </c>
      <c r="AU180" s="941">
        <v>0.0</v>
      </c>
      <c r="AV180" s="941">
        <v>0.0</v>
      </c>
      <c r="AW180" s="941">
        <v>0.0</v>
      </c>
      <c r="AX180" s="941">
        <v>0.0</v>
      </c>
      <c r="AY180" s="941">
        <v>0.0</v>
      </c>
      <c r="AZ180" s="941">
        <v>0.0</v>
      </c>
      <c r="BA180" s="941">
        <v>0.0</v>
      </c>
      <c r="BB180" s="941">
        <v>10.0</v>
      </c>
      <c r="BC180" s="941">
        <v>0.0</v>
      </c>
      <c r="BD180" s="941">
        <v>21.0</v>
      </c>
      <c r="BE180" s="941">
        <v>18.0</v>
      </c>
      <c r="BF180" s="941">
        <v>2.0</v>
      </c>
      <c r="BG180" s="942">
        <v>1.0</v>
      </c>
    </row>
    <row r="181">
      <c r="A181" s="935" t="s">
        <v>392</v>
      </c>
      <c r="B181" s="16" t="str">
        <f>IF(C181&lt;'PlayerGrades+'!$Y$44,"F-",IF(C181&lt;'PlayerGrades+'!$Y$43,"F",IF(C181&lt;'PlayerGrades+'!$Y$42,"F+",IF(C181&lt;'PlayerGrades+'!$Y$41,"E-",IF(C181&lt;'PlayerGrades+'!$Y$40,"E",IF(C181&lt;'PlayerGrades+'!$Y$39,"E+",IF(C181&lt;'PlayerGrades+'!$Y$38,"D-",IF(C181&lt;'PlayerGrades+'!$Y$37,"D",IF(C181&lt;'PlayerGrades+'!$Y$36,"D+",IF(C181&lt;'PlayerGrades+'!$Y$35,"C-",IF(C181&lt;'PlayerGrades+'!$Y$34,"C",IF(C181&lt;'PlayerGrades+'!$Y$33,"C+",IF(C181&lt;'PlayerGrades+'!$Y$32,"B-",IF(C181&lt;'PlayerGrades+'!$Y$31,"B",IF(C181&lt;'PlayerGrades+'!$Y$30,"B+",IF(C181&lt;'PlayerGrades+'!$Y$29,"A-",IF(C181&lt;'PlayerGrades+'!$Y$28,"A",IF(C181&lt;'PlayerGrades+'!$Y$27,"A+",IF(C181&lt;'PlayerGrades+'!$Y$26,"S-",IF(C181&lt;'PlayerGrades+'!$Y$25,"S","S+"))))))))))))))))))))</f>
        <v>D-</v>
      </c>
      <c r="C181" s="936">
        <f>('PlayerGrades+'!$Y$47*(VLOOKUP(E181, 'PlayerGrades+'!$X$3:$Y$23, 2, FALSE)))+('PlayerGrades+'!$Y$48*(VLOOKUP(G181, 'PlayerGrades+'!$X$3:$Y$23, 2, FALSE)))+('PlayerGrades+'!$Y$49*(VLOOKUP(I181, 'PlayerGrades+'!$X$3:$Y$23, 2, FALSE)))+('PlayerGrades+'!$Y$50*(VLOOKUP(K181, 'PlayerGrades+'!$X$3:$Y$23, 2, FALSE)))+('PlayerGrades+'!$Y$51*(VLOOKUP(M181, 'PlayerGrades+'!$X$3:$Y$23, 2, FALSE)))+('PlayerGrades+'!$Y$52*(VLOOKUP(O181, 'PlayerGrades+'!$X$3:$Y$23, 2, FALSE)))+('PlayerGrades+'!$Y$53*(VLOOKUP(Q181, 'PlayerGrades+'!$X$3:$Y$23, 2, FALSE)))+('PlayerGrades+'!$Y$54*(VLOOKUP(S181, 'PlayerGrades+'!$X$3:$Y$23, 2, FALSE)))+('PlayerGrades+'!$Y$55*(VLOOKUP(U181, 'PlayerGrades+'!$X$3:$Y$23, 2, FALSE)))</f>
        <v>14.85</v>
      </c>
      <c r="D181" s="937">
        <f t="shared" si="1"/>
        <v>0</v>
      </c>
      <c r="E181" s="937" t="str">
        <f>IF(D181&lt;'PlayerGrades+'!$AA$21,"F-",IF(D181&lt;'PlayerGrades+'!$AA$20,"F",IF(D181&lt;'PlayerGrades+'!$AA$19,"F+",IF(D181&lt;'PlayerGrades+'!$AA$18,"E-",IF(D181&lt;'PlayerGrades+'!$AA$17,"E",IF(D181&lt;'PlayerGrades+'!$AA$16,"E+",IF(D181&lt;'PlayerGrades+'!$AA$15,"D-",IF(D181&lt;'PlayerGrades+'!$AA$14,"D",IF(D181&lt;'PlayerGrades+'!$AA$13,"D+",IF(D181&lt;'PlayerGrades+'!$AA$12,"C-",IF(D181&lt;'PlayerGrades+'!$AA$11,"C",IF(D181&lt;'PlayerGrades+'!$AA$10,"C+",IF(D181&lt;'PlayerGrades+'!$AA$9,"B-",IF(D181&lt;'PlayerGrades+'!$AA$8,"B",IF(D181&lt;'PlayerGrades+'!$AA$7,"B+",IF(D181&lt;'PlayerGrades+'!$AA$6,"A-",IF(D181&lt;'PlayerGrades+'!$AA$5,"A",IF(D181&lt;'PlayerGrades+'!$AA$4,"A+",IF(D181&lt;'PlayerGrades+'!$AA$3,"S-",IF(D181&lt;'PlayerGrades+'!$AA$2,"S","S+"))))))))))))))))))))</f>
        <v>F-</v>
      </c>
      <c r="F181" s="937">
        <f t="shared" si="2"/>
        <v>-1.00795756</v>
      </c>
      <c r="G181" s="937" t="str">
        <f>IF(F181&lt;'PlayerGrades+'!$AB$21,"F-",IF(F181&lt;'PlayerGrades+'!$AB$20,"F",IF(F181&lt;'PlayerGrades+'!$AB$19,"F+",IF(F181&lt;'PlayerGrades+'!$AB$18,"E-",IF(F181&lt;'PlayerGrades+'!$AB$17,"E",IF(F181&lt;'PlayerGrades+'!$AB$16,"E+",IF(F181&lt;'PlayerGrades+'!$AB$15,"D-",IF(F181&lt;'PlayerGrades+'!$AB$14,"D",IF(F181&lt;'PlayerGrades+'!$AB$13,"D+",IF(F181&lt;'PlayerGrades+'!$AB$12,"C-",IF(F181&lt;'PlayerGrades+'!$AB$11,"C",IF(F181&lt;'PlayerGrades+'!$AB$10,"C+",IF(F181&lt;'PlayerGrades+'!$AB$9,"B-",IF(F181&lt;'PlayerGrades+'!$AB$8,"B",IF(F181&lt;'PlayerGrades+'!$AB$7,"B+",IF(F181&lt;'PlayerGrades+'!$AB$6,"A-",IF(F181&lt;'PlayerGrades+'!$AB$5,"A",IF(F181&lt;'PlayerGrades+'!$AB$4,"A+",IF(F181&lt;'PlayerGrades+'!$AB$3,"S-",IF(F181&lt;'PlayerGrades+'!$AB$2,"S","S+"))))))))))))))))))))</f>
        <v>F</v>
      </c>
      <c r="H181" s="937">
        <f t="shared" si="3"/>
        <v>0.05305039788</v>
      </c>
      <c r="I181" s="937" t="str">
        <f>IF(H181&lt;'PlayerGrades+'!$AC$21,"F-",IF(H181&lt;'PlayerGrades+'!$AC$20,"F",IF(H181&lt;'PlayerGrades+'!$AC$19,"F+",IF(H181&lt;'PlayerGrades+'!$AC$18,"E-",IF(H181&lt;'PlayerGrades+'!$AC$17,"E",IF(H181&lt;'PlayerGrades+'!$AC$16,"E+",IF(H181&lt;'PlayerGrades+'!$AC$15,"D-",IF(H181&lt;'PlayerGrades+'!$AC$14,"D",IF(H181&lt;'PlayerGrades+'!$AC$13,"D+",IF(H181&lt;'PlayerGrades+'!$AC$12,"C-",IF(H181&lt;'PlayerGrades+'!$AC$11,"C",IF(H181&lt;'PlayerGrades+'!$AC$10,"C+",IF(H181&lt;'PlayerGrades+'!$AC$9,"B-",IF(H181&lt;'PlayerGrades+'!$AC$8,"B",IF(H181&lt;'PlayerGrades+'!$AC$7,"B+",IF(H181&lt;'PlayerGrades+'!$AC$6,"A-",IF(H181&lt;'PlayerGrades+'!$AC$5,"A",IF(H181&lt;'PlayerGrades+'!$AC$4,"A+",IF(H181&lt;'PlayerGrades+'!$AC$3,"S-",IF(H181&lt;'PlayerGrades+'!$AC$2,"S","S+"))))))))))))))))))))</f>
        <v>F+</v>
      </c>
      <c r="J181" s="937">
        <f t="shared" si="4"/>
        <v>0</v>
      </c>
      <c r="K181" s="937" t="str">
        <f>IF(J181&lt;'PlayerGrades+'!$AD$21,"F-",IF(J181&lt;'PlayerGrades+'!$AD$20,"F",IF(J181&lt;'PlayerGrades+'!$AD$19,"F+",IF(J181&lt;'PlayerGrades+'!$AD$18,"E-",IF(J181&lt;'PlayerGrades+'!$AD$17,"E",IF(J181&lt;'PlayerGrades+'!$AD$16,"E+",IF(J181&lt;'PlayerGrades+'!$AD$15,"D-",IF(J181&lt;'PlayerGrades+'!$AD$14,"D",IF(J181&lt;'PlayerGrades+'!$AD$13,"D+",IF(J181&lt;'PlayerGrades+'!$AD$12,"C-",IF(J181&lt;'PlayerGrades+'!$AD$11,"C",IF(J181&lt;'PlayerGrades+'!$AD$10,"C+",IF(J181&lt;'PlayerGrades+'!$AD$9,"B-",IF(J181&lt;'PlayerGrades+'!$AD$8,"B",IF(J181&lt;'PlayerGrades+'!$AD$7,"B+",IF(J181&lt;'PlayerGrades+'!$AD$6,"A-",IF(J181&lt;'PlayerGrades+'!$AD$5,"A",IF(J181&lt;'PlayerGrades+'!$AD$4,"A+",IF(J181&lt;'PlayerGrades+'!$AD$3,"S-",IF(J181&lt;'PlayerGrades+'!$AD$2,"S","S+"))))))))))))))))))))</f>
        <v>F-</v>
      </c>
      <c r="L181" s="677">
        <f t="shared" si="5"/>
        <v>0.450928382</v>
      </c>
      <c r="M181" s="938" t="str">
        <f>IF(L181&lt;'PlayerGrades+'!$AE$21,"F-",IF(L181&lt;'PlayerGrades+'!$AE$20,"F",IF(L181&lt;'PlayerGrades+'!$AE$19,"F+",IF(L181&lt;'PlayerGrades+'!$AE$18,"E-",IF(L181&lt;'PlayerGrades+'!$AE$17,"E",IF(L181&lt;'PlayerGrades+'!$AE$16,"E+",IF(L181&lt;'PlayerGrades+'!$AE$15,"D-",IF(L181&lt;'PlayerGrades+'!$AE$14,"D",IF(L181&lt;'PlayerGrades+'!$AE$13,"D+",IF(L181&lt;'PlayerGrades+'!$AE$12,"C-",IF(L181&lt;'PlayerGrades+'!$AE$11,"C",IF(L181&lt;'PlayerGrades+'!$AE$10,"C+",IF(L181&lt;'PlayerGrades+'!$AE$9,"B-",IF(L181&lt;'PlayerGrades+'!$AE$8,"B",IF(L181&lt;'PlayerGrades+'!$AE$7,"B+",IF(L181&lt;'PlayerGrades+'!$AE$6,"A-",IF(L181&lt;'PlayerGrades+'!$AE$5,"A",IF(L181&lt;'PlayerGrades+'!$AE$4,"A+",IF(L181&lt;'PlayerGrades+'!$AE$3,"S-",IF(L181&lt;'PlayerGrades+'!$AE$2,"S","S+"))))))))))))))))))))</f>
        <v>B+</v>
      </c>
      <c r="N181" s="937">
        <f t="shared" si="6"/>
        <v>0.1061007958</v>
      </c>
      <c r="O181" s="937" t="str">
        <f>IF(N181&lt;'PlayerGrades+'!$AF$21,"F-",IF(N181&lt;'PlayerGrades+'!$AF$20,"F",IF(N181&lt;'PlayerGrades+'!$AF$19,"F+",IF(N181&lt;'PlayerGrades+'!$AF$18,"E-",IF(N181&lt;'PlayerGrades+'!$AF$17,"E",IF(N181&lt;'PlayerGrades+'!$AF$16,"E+",IF(N181&lt;'PlayerGrades+'!$AF$15,"D-",IF(N181&lt;'PlayerGrades+'!$AF$14,"D",IF(N181&lt;'PlayerGrades+'!$AF$13,"D+",IF(N181&lt;'PlayerGrades+'!$AF$12,"C-",IF(N181&lt;'PlayerGrades+'!$AF$11,"C",IF(N181&lt;'PlayerGrades+'!$AF$10,"C+",IF(N181&lt;'PlayerGrades+'!$AF$9,"B-",IF(N181&lt;'PlayerGrades+'!$AF$8,"B",IF(N181&lt;'PlayerGrades+'!$AF$7,"B+",IF(N181&lt;'PlayerGrades+'!$AF$6,"A-",IF(N181&lt;'PlayerGrades+'!$AF$5,"A",IF(N181&lt;'PlayerGrades+'!$AF$4,"A+",IF(N181&lt;'PlayerGrades+'!$AF$3,"S-",IF(N181&lt;'PlayerGrades+'!$AF$2,"S","S+"))))))))))))))))))))</f>
        <v>S-</v>
      </c>
      <c r="P181" s="937">
        <f t="shared" si="7"/>
        <v>0</v>
      </c>
      <c r="Q181" s="937" t="str">
        <f>IF(P181&lt;'PlayerGrades+'!$AG$21,"F-",IF(P181&lt;'PlayerGrades+'!$AG$20,"F",IF(P181&lt;'PlayerGrades+'!$AG$19,"F+",IF(P181&lt;'PlayerGrades+'!$AG$18,"E-",IF(P181&lt;'PlayerGrades+'!$AG$17,"E",IF(P181&lt;'PlayerGrades+'!$AG$16,"E+",IF(P181&lt;'PlayerGrades+'!$AG$15,"D-",IF(P181&lt;'PlayerGrades+'!$AG$14,"D",IF(P181&lt;'PlayerGrades+'!$AG$13,"D+",IF(P181&lt;'PlayerGrades+'!$AG$12,"C-",IF(P181&lt;'PlayerGrades+'!$AG$11,"C",IF(P181&lt;'PlayerGrades+'!$AG$10,"C+",IF(P181&lt;'PlayerGrades+'!$AG$9,"B-",IF(P181&lt;'PlayerGrades+'!$AG$8,"B",IF(P181&lt;'PlayerGrades+'!$AG$7,"B+",IF(P181&lt;'PlayerGrades+'!$AG$6,"A-",IF(P181&lt;'PlayerGrades+'!$AG$5,"A",IF(P181&lt;'PlayerGrades+'!$AG$4,"A+",IF(P181&lt;'PlayerGrades+'!$AG$3,"S-",IF(P181&lt;'PlayerGrades+'!$AG$2,"S","S+"))))))))))))))))))))</f>
        <v>F</v>
      </c>
      <c r="R181" s="937">
        <f t="shared" si="8"/>
        <v>0.5305039788</v>
      </c>
      <c r="S181" s="937" t="str">
        <f>IF(R181&lt;'PlayerGrades+'!$AH$21,"F-",IF(R181&lt;'PlayerGrades+'!$AH$20,"F",IF(R181&lt;'PlayerGrades+'!$AH$19,"F+",IF(R181&lt;'PlayerGrades+'!$AH$18,"E-",IF(R181&lt;'PlayerGrades+'!$AH$17,"E",IF(R181&lt;'PlayerGrades+'!$AH$16,"E+",IF(R181&lt;'PlayerGrades+'!$AH$15,"D-",IF(R181&lt;'PlayerGrades+'!$AH$14,"D",IF(R181&lt;'PlayerGrades+'!$AH$13,"D+",IF(R181&lt;'PlayerGrades+'!$AH$12,"C-",IF(R181&lt;'PlayerGrades+'!$AH$11,"C",IF(R181&lt;'PlayerGrades+'!$AH$10,"C+",IF(R181&lt;'PlayerGrades+'!$AH$9,"B-",IF(R181&lt;'PlayerGrades+'!$AH$8,"B",IF(R181&lt;'PlayerGrades+'!$AH$7,"B+",IF(R181&lt;'PlayerGrades+'!$AH$6,"A-",IF(R181&lt;'PlayerGrades+'!$AH$5,"A",IF(R181&lt;'PlayerGrades+'!$AH$4,"A+",IF(R181&lt;'PlayerGrades+'!$AH$3,"S-",IF(R181&lt;'PlayerGrades+'!$AH$2,"S","S+"))))))))))))))))))))</f>
        <v>C</v>
      </c>
      <c r="T181" s="937">
        <f t="shared" si="9"/>
        <v>0.6896551724</v>
      </c>
      <c r="U181" s="937" t="str">
        <f>IF(T181&lt;'PlayerGrades+'!$AI$21,"F-",IF(T181&lt;'PlayerGrades+'!$AI$20,"F",IF(T181&lt;'PlayerGrades+'!$AI$19,"F+",IF(T181&lt;'PlayerGrades+'!$AI$18,"E-",IF(T181&lt;'PlayerGrades+'!$AI$17,"E",IF(T181&lt;'PlayerGrades+'!$AI$16,"E+",IF(T181&lt;'PlayerGrades+'!$AI$15,"D-",IF(T181&lt;'PlayerGrades+'!$AI$14,"D",IF(T181&lt;'PlayerGrades+'!$AI$13,"D+",IF(T181&lt;'PlayerGrades+'!$AI$12,"C-",IF(T181&lt;'PlayerGrades+'!$AI$11,"C",IF(T181&lt;'PlayerGrades+'!$AI$10,"C+",IF(T181&lt;'PlayerGrades+'!$AI$9,"B-",IF(T181&lt;'PlayerGrades+'!$AI$8,"B",IF(T181&lt;'PlayerGrades+'!$AI$7,"B+",IF(T181&lt;'PlayerGrades+'!$AI$6,"A-",IF(T181&lt;'PlayerGrades+'!$AI$5,"A",IF(T181&lt;'PlayerGrades+'!$AI$4,"A+",IF(T181&lt;'PlayerGrades+'!$AI$3,"S-",IF(T181&lt;'PlayerGrades+'!$AI$2,"S","S+"))))))))))))))))))))</f>
        <v>F-</v>
      </c>
      <c r="V181" s="941">
        <v>1.0</v>
      </c>
      <c r="W181" s="941">
        <v>1.0</v>
      </c>
      <c r="X181" s="941">
        <v>0.0</v>
      </c>
      <c r="Y181" s="941">
        <v>0.0</v>
      </c>
      <c r="Z181" s="941">
        <v>0.0</v>
      </c>
      <c r="AA181" s="941">
        <v>134.0</v>
      </c>
      <c r="AB181" s="941">
        <v>172.0</v>
      </c>
      <c r="AC181" s="941">
        <v>-38.0</v>
      </c>
      <c r="AD181" s="941">
        <v>10.0</v>
      </c>
      <c r="AE181" s="941">
        <v>4.0</v>
      </c>
      <c r="AF181" s="941">
        <v>1.0</v>
      </c>
      <c r="AG181" s="941">
        <v>1680.0</v>
      </c>
      <c r="AH181" s="941">
        <v>2262.0</v>
      </c>
      <c r="AI181" s="941">
        <v>9.0</v>
      </c>
      <c r="AJ181" s="941">
        <v>7.0</v>
      </c>
      <c r="AK181" s="941">
        <v>0.0</v>
      </c>
      <c r="AL181" s="941">
        <v>0.0</v>
      </c>
      <c r="AM181" s="941">
        <v>0.0</v>
      </c>
      <c r="AN181" s="941">
        <v>0.0</v>
      </c>
      <c r="AO181" s="941">
        <v>0.0</v>
      </c>
      <c r="AP181" s="941">
        <v>0.0</v>
      </c>
      <c r="AQ181" s="941">
        <v>0.0</v>
      </c>
      <c r="AR181" s="941">
        <v>17.0</v>
      </c>
      <c r="AS181" s="941">
        <v>4.0</v>
      </c>
      <c r="AT181" s="941">
        <v>2.0</v>
      </c>
      <c r="AU181" s="941">
        <v>0.0</v>
      </c>
      <c r="AV181" s="941">
        <v>0.0</v>
      </c>
      <c r="AW181" s="941">
        <v>0.0</v>
      </c>
      <c r="AX181" s="941">
        <v>0.0</v>
      </c>
      <c r="AY181" s="941">
        <v>0.0</v>
      </c>
      <c r="AZ181" s="941">
        <v>0.0</v>
      </c>
      <c r="BA181" s="941">
        <v>0.0</v>
      </c>
      <c r="BB181" s="941">
        <v>2.0</v>
      </c>
      <c r="BC181" s="941">
        <v>0.0</v>
      </c>
      <c r="BD181" s="941">
        <v>10.0</v>
      </c>
      <c r="BE181" s="941">
        <v>26.0</v>
      </c>
      <c r="BF181" s="941">
        <v>0.0</v>
      </c>
      <c r="BG181" s="942">
        <v>1.0</v>
      </c>
    </row>
    <row r="182">
      <c r="A182" s="935" t="s">
        <v>147</v>
      </c>
      <c r="B182" s="16" t="str">
        <f>IF(C182&lt;'PlayerGrades+'!$Y$44,"F-",IF(C182&lt;'PlayerGrades+'!$Y$43,"F",IF(C182&lt;'PlayerGrades+'!$Y$42,"F+",IF(C182&lt;'PlayerGrades+'!$Y$41,"E-",IF(C182&lt;'PlayerGrades+'!$Y$40,"E",IF(C182&lt;'PlayerGrades+'!$Y$39,"E+",IF(C182&lt;'PlayerGrades+'!$Y$38,"D-",IF(C182&lt;'PlayerGrades+'!$Y$37,"D",IF(C182&lt;'PlayerGrades+'!$Y$36,"D+",IF(C182&lt;'PlayerGrades+'!$Y$35,"C-",IF(C182&lt;'PlayerGrades+'!$Y$34,"C",IF(C182&lt;'PlayerGrades+'!$Y$33,"C+",IF(C182&lt;'PlayerGrades+'!$Y$32,"B-",IF(C182&lt;'PlayerGrades+'!$Y$31,"B",IF(C182&lt;'PlayerGrades+'!$Y$30,"B+",IF(C182&lt;'PlayerGrades+'!$Y$29,"A-",IF(C182&lt;'PlayerGrades+'!$Y$28,"A",IF(C182&lt;'PlayerGrades+'!$Y$27,"A+",IF(C182&lt;'PlayerGrades+'!$Y$26,"S-",IF(C182&lt;'PlayerGrades+'!$Y$25,"S","S+"))))))))))))))))))))</f>
        <v>F-</v>
      </c>
      <c r="C182" s="936">
        <f>('PlayerGrades+'!$Y$47*(VLOOKUP(E182, 'PlayerGrades+'!$X$3:$Y$23, 2, FALSE)))+('PlayerGrades+'!$Y$48*(VLOOKUP(G182, 'PlayerGrades+'!$X$3:$Y$23, 2, FALSE)))+('PlayerGrades+'!$Y$49*(VLOOKUP(I182, 'PlayerGrades+'!$X$3:$Y$23, 2, FALSE)))+('PlayerGrades+'!$Y$50*(VLOOKUP(K182, 'PlayerGrades+'!$X$3:$Y$23, 2, FALSE)))+('PlayerGrades+'!$Y$51*(VLOOKUP(M182, 'PlayerGrades+'!$X$3:$Y$23, 2, FALSE)))+('PlayerGrades+'!$Y$52*(VLOOKUP(O182, 'PlayerGrades+'!$X$3:$Y$23, 2, FALSE)))+('PlayerGrades+'!$Y$53*(VLOOKUP(Q182, 'PlayerGrades+'!$X$3:$Y$23, 2, FALSE)))+('PlayerGrades+'!$Y$54*(VLOOKUP(S182, 'PlayerGrades+'!$X$3:$Y$23, 2, FALSE)))+('PlayerGrades+'!$Y$55*(VLOOKUP(U182, 'PlayerGrades+'!$X$3:$Y$23, 2, FALSE)))</f>
        <v>5.8</v>
      </c>
      <c r="D182" s="937">
        <f t="shared" si="1"/>
        <v>0</v>
      </c>
      <c r="E182" s="937" t="str">
        <f>IF(D182&lt;'PlayerGrades+'!$AA$21,"F-",IF(D182&lt;'PlayerGrades+'!$AA$20,"F",IF(D182&lt;'PlayerGrades+'!$AA$19,"F+",IF(D182&lt;'PlayerGrades+'!$AA$18,"E-",IF(D182&lt;'PlayerGrades+'!$AA$17,"E",IF(D182&lt;'PlayerGrades+'!$AA$16,"E+",IF(D182&lt;'PlayerGrades+'!$AA$15,"D-",IF(D182&lt;'PlayerGrades+'!$AA$14,"D",IF(D182&lt;'PlayerGrades+'!$AA$13,"D+",IF(D182&lt;'PlayerGrades+'!$AA$12,"C-",IF(D182&lt;'PlayerGrades+'!$AA$11,"C",IF(D182&lt;'PlayerGrades+'!$AA$10,"C+",IF(D182&lt;'PlayerGrades+'!$AA$9,"B-",IF(D182&lt;'PlayerGrades+'!$AA$8,"B",IF(D182&lt;'PlayerGrades+'!$AA$7,"B+",IF(D182&lt;'PlayerGrades+'!$AA$6,"A-",IF(D182&lt;'PlayerGrades+'!$AA$5,"A",IF(D182&lt;'PlayerGrades+'!$AA$4,"A+",IF(D182&lt;'PlayerGrades+'!$AA$3,"S-",IF(D182&lt;'PlayerGrades+'!$AA$2,"S","S+"))))))))))))))))))))</f>
        <v>F-</v>
      </c>
      <c r="F182" s="937">
        <f t="shared" si="2"/>
        <v>-1.299734748</v>
      </c>
      <c r="G182" s="937" t="str">
        <f>IF(F182&lt;'PlayerGrades+'!$AB$21,"F-",IF(F182&lt;'PlayerGrades+'!$AB$20,"F",IF(F182&lt;'PlayerGrades+'!$AB$19,"F+",IF(F182&lt;'PlayerGrades+'!$AB$18,"E-",IF(F182&lt;'PlayerGrades+'!$AB$17,"E",IF(F182&lt;'PlayerGrades+'!$AB$16,"E+",IF(F182&lt;'PlayerGrades+'!$AB$15,"D-",IF(F182&lt;'PlayerGrades+'!$AB$14,"D",IF(F182&lt;'PlayerGrades+'!$AB$13,"D+",IF(F182&lt;'PlayerGrades+'!$AB$12,"C-",IF(F182&lt;'PlayerGrades+'!$AB$11,"C",IF(F182&lt;'PlayerGrades+'!$AB$10,"C+",IF(F182&lt;'PlayerGrades+'!$AB$9,"B-",IF(F182&lt;'PlayerGrades+'!$AB$8,"B",IF(F182&lt;'PlayerGrades+'!$AB$7,"B+",IF(F182&lt;'PlayerGrades+'!$AB$6,"A-",IF(F182&lt;'PlayerGrades+'!$AB$5,"A",IF(F182&lt;'PlayerGrades+'!$AB$4,"A+",IF(F182&lt;'PlayerGrades+'!$AB$3,"S-",IF(F182&lt;'PlayerGrades+'!$AB$2,"S","S+"))))))))))))))))))))</f>
        <v>F-</v>
      </c>
      <c r="H182" s="937">
        <f t="shared" si="3"/>
        <v>0.02652519894</v>
      </c>
      <c r="I182" s="937" t="str">
        <f>IF(H182&lt;'PlayerGrades+'!$AC$21,"F-",IF(H182&lt;'PlayerGrades+'!$AC$20,"F",IF(H182&lt;'PlayerGrades+'!$AC$19,"F+",IF(H182&lt;'PlayerGrades+'!$AC$18,"E-",IF(H182&lt;'PlayerGrades+'!$AC$17,"E",IF(H182&lt;'PlayerGrades+'!$AC$16,"E+",IF(H182&lt;'PlayerGrades+'!$AC$15,"D-",IF(H182&lt;'PlayerGrades+'!$AC$14,"D",IF(H182&lt;'PlayerGrades+'!$AC$13,"D+",IF(H182&lt;'PlayerGrades+'!$AC$12,"C-",IF(H182&lt;'PlayerGrades+'!$AC$11,"C",IF(H182&lt;'PlayerGrades+'!$AC$10,"C+",IF(H182&lt;'PlayerGrades+'!$AC$9,"B-",IF(H182&lt;'PlayerGrades+'!$AC$8,"B",IF(H182&lt;'PlayerGrades+'!$AC$7,"B+",IF(H182&lt;'PlayerGrades+'!$AC$6,"A-",IF(H182&lt;'PlayerGrades+'!$AC$5,"A",IF(H182&lt;'PlayerGrades+'!$AC$4,"A+",IF(H182&lt;'PlayerGrades+'!$AC$3,"S-",IF(H182&lt;'PlayerGrades+'!$AC$2,"S","S+"))))))))))))))))))))</f>
        <v>F-</v>
      </c>
      <c r="J182" s="937">
        <f t="shared" si="4"/>
        <v>0.02652519894</v>
      </c>
      <c r="K182" s="937" t="str">
        <f>IF(J182&lt;'PlayerGrades+'!$AD$21,"F-",IF(J182&lt;'PlayerGrades+'!$AD$20,"F",IF(J182&lt;'PlayerGrades+'!$AD$19,"F+",IF(J182&lt;'PlayerGrades+'!$AD$18,"E-",IF(J182&lt;'PlayerGrades+'!$AD$17,"E",IF(J182&lt;'PlayerGrades+'!$AD$16,"E+",IF(J182&lt;'PlayerGrades+'!$AD$15,"D-",IF(J182&lt;'PlayerGrades+'!$AD$14,"D",IF(J182&lt;'PlayerGrades+'!$AD$13,"D+",IF(J182&lt;'PlayerGrades+'!$AD$12,"C-",IF(J182&lt;'PlayerGrades+'!$AD$11,"C",IF(J182&lt;'PlayerGrades+'!$AD$10,"C+",IF(J182&lt;'PlayerGrades+'!$AD$9,"B-",IF(J182&lt;'PlayerGrades+'!$AD$8,"B",IF(J182&lt;'PlayerGrades+'!$AD$7,"B+",IF(J182&lt;'PlayerGrades+'!$AD$6,"A-",IF(J182&lt;'PlayerGrades+'!$AD$5,"A",IF(J182&lt;'PlayerGrades+'!$AD$4,"A+",IF(J182&lt;'PlayerGrades+'!$AD$3,"S-",IF(J182&lt;'PlayerGrades+'!$AD$2,"S","S+"))))))))))))))))))))</f>
        <v>D+</v>
      </c>
      <c r="L182" s="677">
        <f t="shared" si="5"/>
        <v>0.1061007958</v>
      </c>
      <c r="M182" s="938" t="str">
        <f>IF(L182&lt;'PlayerGrades+'!$AE$21,"F-",IF(L182&lt;'PlayerGrades+'!$AE$20,"F",IF(L182&lt;'PlayerGrades+'!$AE$19,"F+",IF(L182&lt;'PlayerGrades+'!$AE$18,"E-",IF(L182&lt;'PlayerGrades+'!$AE$17,"E",IF(L182&lt;'PlayerGrades+'!$AE$16,"E+",IF(L182&lt;'PlayerGrades+'!$AE$15,"D-",IF(L182&lt;'PlayerGrades+'!$AE$14,"D",IF(L182&lt;'PlayerGrades+'!$AE$13,"D+",IF(L182&lt;'PlayerGrades+'!$AE$12,"C-",IF(L182&lt;'PlayerGrades+'!$AE$11,"C",IF(L182&lt;'PlayerGrades+'!$AE$10,"C+",IF(L182&lt;'PlayerGrades+'!$AE$9,"B-",IF(L182&lt;'PlayerGrades+'!$AE$8,"B",IF(L182&lt;'PlayerGrades+'!$AE$7,"B+",IF(L182&lt;'PlayerGrades+'!$AE$6,"A-",IF(L182&lt;'PlayerGrades+'!$AE$5,"A",IF(L182&lt;'PlayerGrades+'!$AE$4,"A+",IF(L182&lt;'PlayerGrades+'!$AE$3,"S-",IF(L182&lt;'PlayerGrades+'!$AE$2,"S","S+"))))))))))))))))))))</f>
        <v>F-</v>
      </c>
      <c r="N182" s="937">
        <f t="shared" si="6"/>
        <v>0.02652519894</v>
      </c>
      <c r="O182" s="937" t="str">
        <f>IF(N182&lt;'PlayerGrades+'!$AF$21,"F-",IF(N182&lt;'PlayerGrades+'!$AF$20,"F",IF(N182&lt;'PlayerGrades+'!$AF$19,"F+",IF(N182&lt;'PlayerGrades+'!$AF$18,"E-",IF(N182&lt;'PlayerGrades+'!$AF$17,"E",IF(N182&lt;'PlayerGrades+'!$AF$16,"E+",IF(N182&lt;'PlayerGrades+'!$AF$15,"D-",IF(N182&lt;'PlayerGrades+'!$AF$14,"D",IF(N182&lt;'PlayerGrades+'!$AF$13,"D+",IF(N182&lt;'PlayerGrades+'!$AF$12,"C-",IF(N182&lt;'PlayerGrades+'!$AF$11,"C",IF(N182&lt;'PlayerGrades+'!$AF$10,"C+",IF(N182&lt;'PlayerGrades+'!$AF$9,"B-",IF(N182&lt;'PlayerGrades+'!$AF$8,"B",IF(N182&lt;'PlayerGrades+'!$AF$7,"B+",IF(N182&lt;'PlayerGrades+'!$AF$6,"A-",IF(N182&lt;'PlayerGrades+'!$AF$5,"A",IF(N182&lt;'PlayerGrades+'!$AF$4,"A+",IF(N182&lt;'PlayerGrades+'!$AF$3,"S-",IF(N182&lt;'PlayerGrades+'!$AF$2,"S","S+"))))))))))))))))))))</f>
        <v>F</v>
      </c>
      <c r="P182" s="937">
        <f t="shared" si="7"/>
        <v>0.02652519894</v>
      </c>
      <c r="Q182" s="937" t="str">
        <f>IF(P182&lt;'PlayerGrades+'!$AG$21,"F-",IF(P182&lt;'PlayerGrades+'!$AG$20,"F",IF(P182&lt;'PlayerGrades+'!$AG$19,"F+",IF(P182&lt;'PlayerGrades+'!$AG$18,"E-",IF(P182&lt;'PlayerGrades+'!$AG$17,"E",IF(P182&lt;'PlayerGrades+'!$AG$16,"E+",IF(P182&lt;'PlayerGrades+'!$AG$15,"D-",IF(P182&lt;'PlayerGrades+'!$AG$14,"D",IF(P182&lt;'PlayerGrades+'!$AG$13,"D+",IF(P182&lt;'PlayerGrades+'!$AG$12,"C-",IF(P182&lt;'PlayerGrades+'!$AG$11,"C",IF(P182&lt;'PlayerGrades+'!$AG$10,"C+",IF(P182&lt;'PlayerGrades+'!$AG$9,"B-",IF(P182&lt;'PlayerGrades+'!$AG$8,"B",IF(P182&lt;'PlayerGrades+'!$AG$7,"B+",IF(P182&lt;'PlayerGrades+'!$AG$6,"A-",IF(P182&lt;'PlayerGrades+'!$AG$5,"A",IF(P182&lt;'PlayerGrades+'!$AG$4,"A+",IF(P182&lt;'PlayerGrades+'!$AG$3,"S-",IF(P182&lt;'PlayerGrades+'!$AG$2,"S","S+"))))))))))))))))))))</f>
        <v>B</v>
      </c>
      <c r="R182" s="937">
        <f t="shared" si="8"/>
        <v>0.2387267905</v>
      </c>
      <c r="S182" s="937" t="str">
        <f>IF(R182&lt;'PlayerGrades+'!$AH$21,"F-",IF(R182&lt;'PlayerGrades+'!$AH$20,"F",IF(R182&lt;'PlayerGrades+'!$AH$19,"F+",IF(R182&lt;'PlayerGrades+'!$AH$18,"E-",IF(R182&lt;'PlayerGrades+'!$AH$17,"E",IF(R182&lt;'PlayerGrades+'!$AH$16,"E+",IF(R182&lt;'PlayerGrades+'!$AH$15,"D-",IF(R182&lt;'PlayerGrades+'!$AH$14,"D",IF(R182&lt;'PlayerGrades+'!$AH$13,"D+",IF(R182&lt;'PlayerGrades+'!$AH$12,"C-",IF(R182&lt;'PlayerGrades+'!$AH$11,"C",IF(R182&lt;'PlayerGrades+'!$AH$10,"C+",IF(R182&lt;'PlayerGrades+'!$AH$9,"B-",IF(R182&lt;'PlayerGrades+'!$AH$8,"B",IF(R182&lt;'PlayerGrades+'!$AH$7,"B+",IF(R182&lt;'PlayerGrades+'!$AH$6,"A-",IF(R182&lt;'PlayerGrades+'!$AH$5,"A",IF(R182&lt;'PlayerGrades+'!$AH$4,"A+",IF(R182&lt;'PlayerGrades+'!$AH$3,"S-",IF(R182&lt;'PlayerGrades+'!$AH$2,"S","S+"))))))))))))))))))))</f>
        <v>F-</v>
      </c>
      <c r="T182" s="937">
        <f t="shared" si="9"/>
        <v>0.3183023873</v>
      </c>
      <c r="U182" s="937" t="str">
        <f>IF(T182&lt;'PlayerGrades+'!$AI$21,"F-",IF(T182&lt;'PlayerGrades+'!$AI$20,"F",IF(T182&lt;'PlayerGrades+'!$AI$19,"F+",IF(T182&lt;'PlayerGrades+'!$AI$18,"E-",IF(T182&lt;'PlayerGrades+'!$AI$17,"E",IF(T182&lt;'PlayerGrades+'!$AI$16,"E+",IF(T182&lt;'PlayerGrades+'!$AI$15,"D-",IF(T182&lt;'PlayerGrades+'!$AI$14,"D",IF(T182&lt;'PlayerGrades+'!$AI$13,"D+",IF(T182&lt;'PlayerGrades+'!$AI$12,"C-",IF(T182&lt;'PlayerGrades+'!$AI$11,"C",IF(T182&lt;'PlayerGrades+'!$AI$10,"C+",IF(T182&lt;'PlayerGrades+'!$AI$9,"B-",IF(T182&lt;'PlayerGrades+'!$AI$8,"B",IF(T182&lt;'PlayerGrades+'!$AI$7,"B+",IF(T182&lt;'PlayerGrades+'!$AI$6,"A-",IF(T182&lt;'PlayerGrades+'!$AI$5,"A",IF(T182&lt;'PlayerGrades+'!$AI$4,"A+",IF(T182&lt;'PlayerGrades+'!$AI$3,"S-",IF(T182&lt;'PlayerGrades+'!$AI$2,"S","S+"))))))))))))))))))))</f>
        <v>F-</v>
      </c>
      <c r="V182" s="941">
        <v>1.0</v>
      </c>
      <c r="W182" s="941">
        <v>0.0</v>
      </c>
      <c r="X182" s="941">
        <v>1.0</v>
      </c>
      <c r="Y182" s="941">
        <v>0.0</v>
      </c>
      <c r="Z182" s="941">
        <v>0.0</v>
      </c>
      <c r="AA182" s="941">
        <v>89.0</v>
      </c>
      <c r="AB182" s="941">
        <v>138.0</v>
      </c>
      <c r="AC182" s="941">
        <v>-49.0</v>
      </c>
      <c r="AD182" s="941">
        <v>3.0</v>
      </c>
      <c r="AE182" s="941">
        <v>5.0</v>
      </c>
      <c r="AF182" s="941">
        <v>3.0</v>
      </c>
      <c r="AG182" s="941">
        <v>1791.0</v>
      </c>
      <c r="AH182" s="941">
        <v>2262.0</v>
      </c>
      <c r="AI182" s="941">
        <v>12.0</v>
      </c>
      <c r="AJ182" s="941">
        <v>0.0</v>
      </c>
      <c r="AK182" s="941">
        <v>0.0</v>
      </c>
      <c r="AL182" s="941">
        <v>1.0</v>
      </c>
      <c r="AM182" s="941">
        <v>0.0</v>
      </c>
      <c r="AN182" s="941">
        <v>0.0</v>
      </c>
      <c r="AO182" s="941">
        <v>0.0</v>
      </c>
      <c r="AP182" s="941">
        <v>1.0</v>
      </c>
      <c r="AQ182" s="941">
        <v>0.0</v>
      </c>
      <c r="AR182" s="941">
        <v>4.0</v>
      </c>
      <c r="AS182" s="941">
        <v>1.0</v>
      </c>
      <c r="AT182" s="941">
        <v>1.0</v>
      </c>
      <c r="AU182" s="941">
        <v>0.0</v>
      </c>
      <c r="AV182" s="941">
        <v>0.0</v>
      </c>
      <c r="AW182" s="941">
        <v>0.0</v>
      </c>
      <c r="AX182" s="941">
        <v>0.0</v>
      </c>
      <c r="AY182" s="941">
        <v>0.0</v>
      </c>
      <c r="AZ182" s="941">
        <v>0.0</v>
      </c>
      <c r="BA182" s="941">
        <v>0.0</v>
      </c>
      <c r="BB182" s="941">
        <v>1.0</v>
      </c>
      <c r="BC182" s="941">
        <v>0.0</v>
      </c>
      <c r="BD182" s="941">
        <v>6.0</v>
      </c>
      <c r="BE182" s="941">
        <v>12.0</v>
      </c>
      <c r="BF182" s="941">
        <v>0.0</v>
      </c>
      <c r="BG182" s="942">
        <v>0.0</v>
      </c>
    </row>
    <row r="183">
      <c r="A183" s="935" t="s">
        <v>136</v>
      </c>
      <c r="B183" s="16" t="str">
        <f>IF(C183&lt;'PlayerGrades+'!$Y$44,"F-",IF(C183&lt;'PlayerGrades+'!$Y$43,"F",IF(C183&lt;'PlayerGrades+'!$Y$42,"F+",IF(C183&lt;'PlayerGrades+'!$Y$41,"E-",IF(C183&lt;'PlayerGrades+'!$Y$40,"E",IF(C183&lt;'PlayerGrades+'!$Y$39,"E+",IF(C183&lt;'PlayerGrades+'!$Y$38,"D-",IF(C183&lt;'PlayerGrades+'!$Y$37,"D",IF(C183&lt;'PlayerGrades+'!$Y$36,"D+",IF(C183&lt;'PlayerGrades+'!$Y$35,"C-",IF(C183&lt;'PlayerGrades+'!$Y$34,"C",IF(C183&lt;'PlayerGrades+'!$Y$33,"C+",IF(C183&lt;'PlayerGrades+'!$Y$32,"B-",IF(C183&lt;'PlayerGrades+'!$Y$31,"B",IF(C183&lt;'PlayerGrades+'!$Y$30,"B+",IF(C183&lt;'PlayerGrades+'!$Y$29,"A-",IF(C183&lt;'PlayerGrades+'!$Y$28,"A",IF(C183&lt;'PlayerGrades+'!$Y$27,"A+",IF(C183&lt;'PlayerGrades+'!$Y$26,"S-",IF(C183&lt;'PlayerGrades+'!$Y$25,"S","S+"))))))))))))))))))))</f>
        <v>D-</v>
      </c>
      <c r="C183" s="936">
        <f>('PlayerGrades+'!$Y$47*(VLOOKUP(E183, 'PlayerGrades+'!$X$3:$Y$23, 2, FALSE)))+('PlayerGrades+'!$Y$48*(VLOOKUP(G183, 'PlayerGrades+'!$X$3:$Y$23, 2, FALSE)))+('PlayerGrades+'!$Y$49*(VLOOKUP(I183, 'PlayerGrades+'!$X$3:$Y$23, 2, FALSE)))+('PlayerGrades+'!$Y$50*(VLOOKUP(K183, 'PlayerGrades+'!$X$3:$Y$23, 2, FALSE)))+('PlayerGrades+'!$Y$51*(VLOOKUP(M183, 'PlayerGrades+'!$X$3:$Y$23, 2, FALSE)))+('PlayerGrades+'!$Y$52*(VLOOKUP(O183, 'PlayerGrades+'!$X$3:$Y$23, 2, FALSE)))+('PlayerGrades+'!$Y$53*(VLOOKUP(Q183, 'PlayerGrades+'!$X$3:$Y$23, 2, FALSE)))+('PlayerGrades+'!$Y$54*(VLOOKUP(S183, 'PlayerGrades+'!$X$3:$Y$23, 2, FALSE)))+('PlayerGrades+'!$Y$55*(VLOOKUP(U183, 'PlayerGrades+'!$X$3:$Y$23, 2, FALSE)))</f>
        <v>14.55</v>
      </c>
      <c r="D183" s="937">
        <f t="shared" si="1"/>
        <v>0</v>
      </c>
      <c r="E183" s="937" t="str">
        <f>IF(D183&lt;'PlayerGrades+'!$AA$21,"F-",IF(D183&lt;'PlayerGrades+'!$AA$20,"F",IF(D183&lt;'PlayerGrades+'!$AA$19,"F+",IF(D183&lt;'PlayerGrades+'!$AA$18,"E-",IF(D183&lt;'PlayerGrades+'!$AA$17,"E",IF(D183&lt;'PlayerGrades+'!$AA$16,"E+",IF(D183&lt;'PlayerGrades+'!$AA$15,"D-",IF(D183&lt;'PlayerGrades+'!$AA$14,"D",IF(D183&lt;'PlayerGrades+'!$AA$13,"D+",IF(D183&lt;'PlayerGrades+'!$AA$12,"C-",IF(D183&lt;'PlayerGrades+'!$AA$11,"C",IF(D183&lt;'PlayerGrades+'!$AA$10,"C+",IF(D183&lt;'PlayerGrades+'!$AA$9,"B-",IF(D183&lt;'PlayerGrades+'!$AA$8,"B",IF(D183&lt;'PlayerGrades+'!$AA$7,"B+",IF(D183&lt;'PlayerGrades+'!$AA$6,"A-",IF(D183&lt;'PlayerGrades+'!$AA$5,"A",IF(D183&lt;'PlayerGrades+'!$AA$4,"A+",IF(D183&lt;'PlayerGrades+'!$AA$3,"S-",IF(D183&lt;'PlayerGrades+'!$AA$2,"S","S+"))))))))))))))))))))</f>
        <v>F-</v>
      </c>
      <c r="F183" s="937">
        <f t="shared" si="2"/>
        <v>-0.5039787798</v>
      </c>
      <c r="G183" s="937" t="str">
        <f>IF(F183&lt;'PlayerGrades+'!$AB$21,"F-",IF(F183&lt;'PlayerGrades+'!$AB$20,"F",IF(F183&lt;'PlayerGrades+'!$AB$19,"F+",IF(F183&lt;'PlayerGrades+'!$AB$18,"E-",IF(F183&lt;'PlayerGrades+'!$AB$17,"E",IF(F183&lt;'PlayerGrades+'!$AB$16,"E+",IF(F183&lt;'PlayerGrades+'!$AB$15,"D-",IF(F183&lt;'PlayerGrades+'!$AB$14,"D",IF(F183&lt;'PlayerGrades+'!$AB$13,"D+",IF(F183&lt;'PlayerGrades+'!$AB$12,"C-",IF(F183&lt;'PlayerGrades+'!$AB$11,"C",IF(F183&lt;'PlayerGrades+'!$AB$10,"C+",IF(F183&lt;'PlayerGrades+'!$AB$9,"B-",IF(F183&lt;'PlayerGrades+'!$AB$8,"B",IF(F183&lt;'PlayerGrades+'!$AB$7,"B+",IF(F183&lt;'PlayerGrades+'!$AB$6,"A-",IF(F183&lt;'PlayerGrades+'!$AB$5,"A",IF(F183&lt;'PlayerGrades+'!$AB$4,"A+",IF(F183&lt;'PlayerGrades+'!$AB$3,"S-",IF(F183&lt;'PlayerGrades+'!$AB$2,"S","S+"))))))))))))))))))))</f>
        <v>D</v>
      </c>
      <c r="H183" s="937">
        <f t="shared" si="3"/>
        <v>0.05305039788</v>
      </c>
      <c r="I183" s="937" t="str">
        <f>IF(H183&lt;'PlayerGrades+'!$AC$21,"F-",IF(H183&lt;'PlayerGrades+'!$AC$20,"F",IF(H183&lt;'PlayerGrades+'!$AC$19,"F+",IF(H183&lt;'PlayerGrades+'!$AC$18,"E-",IF(H183&lt;'PlayerGrades+'!$AC$17,"E",IF(H183&lt;'PlayerGrades+'!$AC$16,"E+",IF(H183&lt;'PlayerGrades+'!$AC$15,"D-",IF(H183&lt;'PlayerGrades+'!$AC$14,"D",IF(H183&lt;'PlayerGrades+'!$AC$13,"D+",IF(H183&lt;'PlayerGrades+'!$AC$12,"C-",IF(H183&lt;'PlayerGrades+'!$AC$11,"C",IF(H183&lt;'PlayerGrades+'!$AC$10,"C+",IF(H183&lt;'PlayerGrades+'!$AC$9,"B-",IF(H183&lt;'PlayerGrades+'!$AC$8,"B",IF(H183&lt;'PlayerGrades+'!$AC$7,"B+",IF(H183&lt;'PlayerGrades+'!$AC$6,"A-",IF(H183&lt;'PlayerGrades+'!$AC$5,"A",IF(H183&lt;'PlayerGrades+'!$AC$4,"A+",IF(H183&lt;'PlayerGrades+'!$AC$3,"S-",IF(H183&lt;'PlayerGrades+'!$AC$2,"S","S+"))))))))))))))))))))</f>
        <v>F+</v>
      </c>
      <c r="J183" s="937">
        <f t="shared" si="4"/>
        <v>0</v>
      </c>
      <c r="K183" s="937" t="str">
        <f>IF(J183&lt;'PlayerGrades+'!$AD$21,"F-",IF(J183&lt;'PlayerGrades+'!$AD$20,"F",IF(J183&lt;'PlayerGrades+'!$AD$19,"F+",IF(J183&lt;'PlayerGrades+'!$AD$18,"E-",IF(J183&lt;'PlayerGrades+'!$AD$17,"E",IF(J183&lt;'PlayerGrades+'!$AD$16,"E+",IF(J183&lt;'PlayerGrades+'!$AD$15,"D-",IF(J183&lt;'PlayerGrades+'!$AD$14,"D",IF(J183&lt;'PlayerGrades+'!$AD$13,"D+",IF(J183&lt;'PlayerGrades+'!$AD$12,"C-",IF(J183&lt;'PlayerGrades+'!$AD$11,"C",IF(J183&lt;'PlayerGrades+'!$AD$10,"C+",IF(J183&lt;'PlayerGrades+'!$AD$9,"B-",IF(J183&lt;'PlayerGrades+'!$AD$8,"B",IF(J183&lt;'PlayerGrades+'!$AD$7,"B+",IF(J183&lt;'PlayerGrades+'!$AD$6,"A-",IF(J183&lt;'PlayerGrades+'!$AD$5,"A",IF(J183&lt;'PlayerGrades+'!$AD$4,"A+",IF(J183&lt;'PlayerGrades+'!$AD$3,"S-",IF(J183&lt;'PlayerGrades+'!$AD$2,"S","S+"))))))))))))))))))))</f>
        <v>F-</v>
      </c>
      <c r="L183" s="677">
        <f t="shared" si="5"/>
        <v>0.6896551724</v>
      </c>
      <c r="M183" s="938" t="str">
        <f>IF(L183&lt;'PlayerGrades+'!$AE$21,"F-",IF(L183&lt;'PlayerGrades+'!$AE$20,"F",IF(L183&lt;'PlayerGrades+'!$AE$19,"F+",IF(L183&lt;'PlayerGrades+'!$AE$18,"E-",IF(L183&lt;'PlayerGrades+'!$AE$17,"E",IF(L183&lt;'PlayerGrades+'!$AE$16,"E+",IF(L183&lt;'PlayerGrades+'!$AE$15,"D-",IF(L183&lt;'PlayerGrades+'!$AE$14,"D",IF(L183&lt;'PlayerGrades+'!$AE$13,"D+",IF(L183&lt;'PlayerGrades+'!$AE$12,"C-",IF(L183&lt;'PlayerGrades+'!$AE$11,"C",IF(L183&lt;'PlayerGrades+'!$AE$10,"C+",IF(L183&lt;'PlayerGrades+'!$AE$9,"B-",IF(L183&lt;'PlayerGrades+'!$AE$8,"B",IF(L183&lt;'PlayerGrades+'!$AE$7,"B+",IF(L183&lt;'PlayerGrades+'!$AE$6,"A-",IF(L183&lt;'PlayerGrades+'!$AE$5,"A",IF(L183&lt;'PlayerGrades+'!$AE$4,"A+",IF(L183&lt;'PlayerGrades+'!$AE$3,"S-",IF(L183&lt;'PlayerGrades+'!$AE$2,"S","S+"))))))))))))))))))))</f>
        <v>S</v>
      </c>
      <c r="N183" s="937">
        <f t="shared" si="6"/>
        <v>0.07957559682</v>
      </c>
      <c r="O183" s="937" t="str">
        <f>IF(N183&lt;'PlayerGrades+'!$AF$21,"F-",IF(N183&lt;'PlayerGrades+'!$AF$20,"F",IF(N183&lt;'PlayerGrades+'!$AF$19,"F+",IF(N183&lt;'PlayerGrades+'!$AF$18,"E-",IF(N183&lt;'PlayerGrades+'!$AF$17,"E",IF(N183&lt;'PlayerGrades+'!$AF$16,"E+",IF(N183&lt;'PlayerGrades+'!$AF$15,"D-",IF(N183&lt;'PlayerGrades+'!$AF$14,"D",IF(N183&lt;'PlayerGrades+'!$AF$13,"D+",IF(N183&lt;'PlayerGrades+'!$AF$12,"C-",IF(N183&lt;'PlayerGrades+'!$AF$11,"C",IF(N183&lt;'PlayerGrades+'!$AF$10,"C+",IF(N183&lt;'PlayerGrades+'!$AF$9,"B-",IF(N183&lt;'PlayerGrades+'!$AF$8,"B",IF(N183&lt;'PlayerGrades+'!$AF$7,"B+",IF(N183&lt;'PlayerGrades+'!$AF$6,"A-",IF(N183&lt;'PlayerGrades+'!$AF$5,"A",IF(N183&lt;'PlayerGrades+'!$AF$4,"A+",IF(N183&lt;'PlayerGrades+'!$AF$3,"S-",IF(N183&lt;'PlayerGrades+'!$AF$2,"S","S+"))))))))))))))))))))</f>
        <v>B-</v>
      </c>
      <c r="P183" s="937">
        <f t="shared" si="7"/>
        <v>0</v>
      </c>
      <c r="Q183" s="937" t="str">
        <f>IF(P183&lt;'PlayerGrades+'!$AG$21,"F-",IF(P183&lt;'PlayerGrades+'!$AG$20,"F",IF(P183&lt;'PlayerGrades+'!$AG$19,"F+",IF(P183&lt;'PlayerGrades+'!$AG$18,"E-",IF(P183&lt;'PlayerGrades+'!$AG$17,"E",IF(P183&lt;'PlayerGrades+'!$AG$16,"E+",IF(P183&lt;'PlayerGrades+'!$AG$15,"D-",IF(P183&lt;'PlayerGrades+'!$AG$14,"D",IF(P183&lt;'PlayerGrades+'!$AG$13,"D+",IF(P183&lt;'PlayerGrades+'!$AG$12,"C-",IF(P183&lt;'PlayerGrades+'!$AG$11,"C",IF(P183&lt;'PlayerGrades+'!$AG$10,"C+",IF(P183&lt;'PlayerGrades+'!$AG$9,"B-",IF(P183&lt;'PlayerGrades+'!$AG$8,"B",IF(P183&lt;'PlayerGrades+'!$AG$7,"B+",IF(P183&lt;'PlayerGrades+'!$AG$6,"A-",IF(P183&lt;'PlayerGrades+'!$AG$5,"A",IF(P183&lt;'PlayerGrades+'!$AG$4,"A+",IF(P183&lt;'PlayerGrades+'!$AG$3,"S-",IF(P183&lt;'PlayerGrades+'!$AG$2,"S","S+"))))))))))))))))))))</f>
        <v>F</v>
      </c>
      <c r="R183" s="937">
        <f t="shared" si="8"/>
        <v>0.5039787798</v>
      </c>
      <c r="S183" s="937" t="str">
        <f>IF(R183&lt;'PlayerGrades+'!$AH$21,"F-",IF(R183&lt;'PlayerGrades+'!$AH$20,"F",IF(R183&lt;'PlayerGrades+'!$AH$19,"F+",IF(R183&lt;'PlayerGrades+'!$AH$18,"E-",IF(R183&lt;'PlayerGrades+'!$AH$17,"E",IF(R183&lt;'PlayerGrades+'!$AH$16,"E+",IF(R183&lt;'PlayerGrades+'!$AH$15,"D-",IF(R183&lt;'PlayerGrades+'!$AH$14,"D",IF(R183&lt;'PlayerGrades+'!$AH$13,"D+",IF(R183&lt;'PlayerGrades+'!$AH$12,"C-",IF(R183&lt;'PlayerGrades+'!$AH$11,"C",IF(R183&lt;'PlayerGrades+'!$AH$10,"C+",IF(R183&lt;'PlayerGrades+'!$AH$9,"B-",IF(R183&lt;'PlayerGrades+'!$AH$8,"B",IF(R183&lt;'PlayerGrades+'!$AH$7,"B+",IF(R183&lt;'PlayerGrades+'!$AH$6,"A-",IF(R183&lt;'PlayerGrades+'!$AH$5,"A",IF(R183&lt;'PlayerGrades+'!$AH$4,"A+",IF(R183&lt;'PlayerGrades+'!$AH$3,"S-",IF(R183&lt;'PlayerGrades+'!$AH$2,"S","S+"))))))))))))))))))))</f>
        <v>D-</v>
      </c>
      <c r="T183" s="937">
        <f t="shared" si="9"/>
        <v>0.6100795756</v>
      </c>
      <c r="U183" s="937" t="str">
        <f>IF(T183&lt;'PlayerGrades+'!$AI$21,"F-",IF(T183&lt;'PlayerGrades+'!$AI$20,"F",IF(T183&lt;'PlayerGrades+'!$AI$19,"F+",IF(T183&lt;'PlayerGrades+'!$AI$18,"E-",IF(T183&lt;'PlayerGrades+'!$AI$17,"E",IF(T183&lt;'PlayerGrades+'!$AI$16,"E+",IF(T183&lt;'PlayerGrades+'!$AI$15,"D-",IF(T183&lt;'PlayerGrades+'!$AI$14,"D",IF(T183&lt;'PlayerGrades+'!$AI$13,"D+",IF(T183&lt;'PlayerGrades+'!$AI$12,"C-",IF(T183&lt;'PlayerGrades+'!$AI$11,"C",IF(T183&lt;'PlayerGrades+'!$AI$10,"C+",IF(T183&lt;'PlayerGrades+'!$AI$9,"B-",IF(T183&lt;'PlayerGrades+'!$AI$8,"B",IF(T183&lt;'PlayerGrades+'!$AI$7,"B+",IF(T183&lt;'PlayerGrades+'!$AI$6,"A-",IF(T183&lt;'PlayerGrades+'!$AI$5,"A",IF(T183&lt;'PlayerGrades+'!$AI$4,"A+",IF(T183&lt;'PlayerGrades+'!$AI$3,"S-",IF(T183&lt;'PlayerGrades+'!$AI$2,"S","S+"))))))))))))))))))))</f>
        <v>F-</v>
      </c>
      <c r="V183" s="941">
        <v>1.0</v>
      </c>
      <c r="W183" s="941">
        <v>0.0</v>
      </c>
      <c r="X183" s="941">
        <v>1.0</v>
      </c>
      <c r="Y183" s="941">
        <v>0.0</v>
      </c>
      <c r="Z183" s="941">
        <v>0.0</v>
      </c>
      <c r="AA183" s="941">
        <v>152.0</v>
      </c>
      <c r="AB183" s="941">
        <v>171.0</v>
      </c>
      <c r="AC183" s="941">
        <v>-19.0</v>
      </c>
      <c r="AD183" s="941">
        <v>5.0</v>
      </c>
      <c r="AE183" s="941">
        <v>4.0</v>
      </c>
      <c r="AF183" s="941">
        <v>1.0</v>
      </c>
      <c r="AG183" s="941">
        <v>1685.0</v>
      </c>
      <c r="AH183" s="941">
        <v>2262.0</v>
      </c>
      <c r="AI183" s="941">
        <v>9.0</v>
      </c>
      <c r="AJ183" s="941">
        <v>13.0</v>
      </c>
      <c r="AK183" s="941">
        <v>0.0</v>
      </c>
      <c r="AL183" s="941">
        <v>0.0</v>
      </c>
      <c r="AM183" s="941">
        <v>0.0</v>
      </c>
      <c r="AN183" s="941">
        <v>0.0</v>
      </c>
      <c r="AO183" s="941">
        <v>0.0</v>
      </c>
      <c r="AP183" s="941">
        <v>0.0</v>
      </c>
      <c r="AQ183" s="941">
        <v>0.0</v>
      </c>
      <c r="AR183" s="941">
        <v>26.0</v>
      </c>
      <c r="AS183" s="941">
        <v>3.0</v>
      </c>
      <c r="AT183" s="941">
        <v>0.0</v>
      </c>
      <c r="AU183" s="941">
        <v>0.0</v>
      </c>
      <c r="AV183" s="941">
        <v>0.0</v>
      </c>
      <c r="AW183" s="941">
        <v>0.0</v>
      </c>
      <c r="AX183" s="941">
        <v>0.0</v>
      </c>
      <c r="AY183" s="941">
        <v>0.0</v>
      </c>
      <c r="AZ183" s="941">
        <v>0.0</v>
      </c>
      <c r="BA183" s="941">
        <v>0.0</v>
      </c>
      <c r="BB183" s="941">
        <v>2.0</v>
      </c>
      <c r="BC183" s="941">
        <v>0.0</v>
      </c>
      <c r="BD183" s="941">
        <v>14.0</v>
      </c>
      <c r="BE183" s="941">
        <v>23.0</v>
      </c>
      <c r="BF183" s="941">
        <v>0.0</v>
      </c>
      <c r="BG183" s="942">
        <v>0.0</v>
      </c>
    </row>
    <row r="184">
      <c r="A184" s="935" t="s">
        <v>125</v>
      </c>
      <c r="B184" s="16" t="str">
        <f>IF(C184&lt;'PlayerGrades+'!$Y$44,"F-",IF(C184&lt;'PlayerGrades+'!$Y$43,"F",IF(C184&lt;'PlayerGrades+'!$Y$42,"F+",IF(C184&lt;'PlayerGrades+'!$Y$41,"E-",IF(C184&lt;'PlayerGrades+'!$Y$40,"E",IF(C184&lt;'PlayerGrades+'!$Y$39,"E+",IF(C184&lt;'PlayerGrades+'!$Y$38,"D-",IF(C184&lt;'PlayerGrades+'!$Y$37,"D",IF(C184&lt;'PlayerGrades+'!$Y$36,"D+",IF(C184&lt;'PlayerGrades+'!$Y$35,"C-",IF(C184&lt;'PlayerGrades+'!$Y$34,"C",IF(C184&lt;'PlayerGrades+'!$Y$33,"C+",IF(C184&lt;'PlayerGrades+'!$Y$32,"B-",IF(C184&lt;'PlayerGrades+'!$Y$31,"B",IF(C184&lt;'PlayerGrades+'!$Y$30,"B+",IF(C184&lt;'PlayerGrades+'!$Y$29,"A-",IF(C184&lt;'PlayerGrades+'!$Y$28,"A",IF(C184&lt;'PlayerGrades+'!$Y$27,"A+",IF(C184&lt;'PlayerGrades+'!$Y$26,"S-",IF(C184&lt;'PlayerGrades+'!$Y$25,"S","S+"))))))))))))))))))))</f>
        <v>C+</v>
      </c>
      <c r="C184" s="936">
        <f>('PlayerGrades+'!$Y$47*(VLOOKUP(E184, 'PlayerGrades+'!$X$3:$Y$23, 2, FALSE)))+('PlayerGrades+'!$Y$48*(VLOOKUP(G184, 'PlayerGrades+'!$X$3:$Y$23, 2, FALSE)))+('PlayerGrades+'!$Y$49*(VLOOKUP(I184, 'PlayerGrades+'!$X$3:$Y$23, 2, FALSE)))+('PlayerGrades+'!$Y$50*(VLOOKUP(K184, 'PlayerGrades+'!$X$3:$Y$23, 2, FALSE)))+('PlayerGrades+'!$Y$51*(VLOOKUP(M184, 'PlayerGrades+'!$X$3:$Y$23, 2, FALSE)))+('PlayerGrades+'!$Y$52*(VLOOKUP(O184, 'PlayerGrades+'!$X$3:$Y$23, 2, FALSE)))+('PlayerGrades+'!$Y$53*(VLOOKUP(Q184, 'PlayerGrades+'!$X$3:$Y$23, 2, FALSE)))+('PlayerGrades+'!$Y$54*(VLOOKUP(S184, 'PlayerGrades+'!$X$3:$Y$23, 2, FALSE)))+('PlayerGrades+'!$Y$55*(VLOOKUP(U184, 'PlayerGrades+'!$X$3:$Y$23, 2, FALSE)))</f>
        <v>21.35</v>
      </c>
      <c r="D184" s="937">
        <f t="shared" si="1"/>
        <v>0.02652519894</v>
      </c>
      <c r="E184" s="937" t="str">
        <f>IF(D184&lt;'PlayerGrades+'!$AA$21,"F-",IF(D184&lt;'PlayerGrades+'!$AA$20,"F",IF(D184&lt;'PlayerGrades+'!$AA$19,"F+",IF(D184&lt;'PlayerGrades+'!$AA$18,"E-",IF(D184&lt;'PlayerGrades+'!$AA$17,"E",IF(D184&lt;'PlayerGrades+'!$AA$16,"E+",IF(D184&lt;'PlayerGrades+'!$AA$15,"D-",IF(D184&lt;'PlayerGrades+'!$AA$14,"D",IF(D184&lt;'PlayerGrades+'!$AA$13,"D+",IF(D184&lt;'PlayerGrades+'!$AA$12,"C-",IF(D184&lt;'PlayerGrades+'!$AA$11,"C",IF(D184&lt;'PlayerGrades+'!$AA$10,"C+",IF(D184&lt;'PlayerGrades+'!$AA$9,"B-",IF(D184&lt;'PlayerGrades+'!$AA$8,"B",IF(D184&lt;'PlayerGrades+'!$AA$7,"B+",IF(D184&lt;'PlayerGrades+'!$AA$6,"A-",IF(D184&lt;'PlayerGrades+'!$AA$5,"A",IF(D184&lt;'PlayerGrades+'!$AA$4,"A+",IF(D184&lt;'PlayerGrades+'!$AA$3,"S-",IF(D184&lt;'PlayerGrades+'!$AA$2,"S","S+"))))))))))))))))))))</f>
        <v>D-</v>
      </c>
      <c r="F184" s="937">
        <f t="shared" si="2"/>
        <v>-0.1591511936</v>
      </c>
      <c r="G184" s="937" t="str">
        <f>IF(F184&lt;'PlayerGrades+'!$AB$21,"F-",IF(F184&lt;'PlayerGrades+'!$AB$20,"F",IF(F184&lt;'PlayerGrades+'!$AB$19,"F+",IF(F184&lt;'PlayerGrades+'!$AB$18,"E-",IF(F184&lt;'PlayerGrades+'!$AB$17,"E",IF(F184&lt;'PlayerGrades+'!$AB$16,"E+",IF(F184&lt;'PlayerGrades+'!$AB$15,"D-",IF(F184&lt;'PlayerGrades+'!$AB$14,"D",IF(F184&lt;'PlayerGrades+'!$AB$13,"D+",IF(F184&lt;'PlayerGrades+'!$AB$12,"C-",IF(F184&lt;'PlayerGrades+'!$AB$11,"C",IF(F184&lt;'PlayerGrades+'!$AB$10,"C+",IF(F184&lt;'PlayerGrades+'!$AB$9,"B-",IF(F184&lt;'PlayerGrades+'!$AB$8,"B",IF(F184&lt;'PlayerGrades+'!$AB$7,"B+",IF(F184&lt;'PlayerGrades+'!$AB$6,"A-",IF(F184&lt;'PlayerGrades+'!$AB$5,"A",IF(F184&lt;'PlayerGrades+'!$AB$4,"A+",IF(F184&lt;'PlayerGrades+'!$AB$3,"S-",IF(F184&lt;'PlayerGrades+'!$AB$2,"S","S+"))))))))))))))))))))</f>
        <v>C+</v>
      </c>
      <c r="H184" s="937">
        <f t="shared" si="3"/>
        <v>0.05305039788</v>
      </c>
      <c r="I184" s="937" t="str">
        <f>IF(H184&lt;'PlayerGrades+'!$AC$21,"F-",IF(H184&lt;'PlayerGrades+'!$AC$20,"F",IF(H184&lt;'PlayerGrades+'!$AC$19,"F+",IF(H184&lt;'PlayerGrades+'!$AC$18,"E-",IF(H184&lt;'PlayerGrades+'!$AC$17,"E",IF(H184&lt;'PlayerGrades+'!$AC$16,"E+",IF(H184&lt;'PlayerGrades+'!$AC$15,"D-",IF(H184&lt;'PlayerGrades+'!$AC$14,"D",IF(H184&lt;'PlayerGrades+'!$AC$13,"D+",IF(H184&lt;'PlayerGrades+'!$AC$12,"C-",IF(H184&lt;'PlayerGrades+'!$AC$11,"C",IF(H184&lt;'PlayerGrades+'!$AC$10,"C+",IF(H184&lt;'PlayerGrades+'!$AC$9,"B-",IF(H184&lt;'PlayerGrades+'!$AC$8,"B",IF(H184&lt;'PlayerGrades+'!$AC$7,"B+",IF(H184&lt;'PlayerGrades+'!$AC$6,"A-",IF(H184&lt;'PlayerGrades+'!$AC$5,"A",IF(H184&lt;'PlayerGrades+'!$AC$4,"A+",IF(H184&lt;'PlayerGrades+'!$AC$3,"S-",IF(H184&lt;'PlayerGrades+'!$AC$2,"S","S+"))))))))))))))))))))</f>
        <v>F+</v>
      </c>
      <c r="J184" s="937">
        <f t="shared" si="4"/>
        <v>0.07957559682</v>
      </c>
      <c r="K184" s="937" t="str">
        <f>IF(J184&lt;'PlayerGrades+'!$AD$21,"F-",IF(J184&lt;'PlayerGrades+'!$AD$20,"F",IF(J184&lt;'PlayerGrades+'!$AD$19,"F+",IF(J184&lt;'PlayerGrades+'!$AD$18,"E-",IF(J184&lt;'PlayerGrades+'!$AD$17,"E",IF(J184&lt;'PlayerGrades+'!$AD$16,"E+",IF(J184&lt;'PlayerGrades+'!$AD$15,"D-",IF(J184&lt;'PlayerGrades+'!$AD$14,"D",IF(J184&lt;'PlayerGrades+'!$AD$13,"D+",IF(J184&lt;'PlayerGrades+'!$AD$12,"C-",IF(J184&lt;'PlayerGrades+'!$AD$11,"C",IF(J184&lt;'PlayerGrades+'!$AD$10,"C+",IF(J184&lt;'PlayerGrades+'!$AD$9,"B-",IF(J184&lt;'PlayerGrades+'!$AD$8,"B",IF(J184&lt;'PlayerGrades+'!$AD$7,"B+",IF(J184&lt;'PlayerGrades+'!$AD$6,"A-",IF(J184&lt;'PlayerGrades+'!$AD$5,"A",IF(J184&lt;'PlayerGrades+'!$AD$4,"A+",IF(J184&lt;'PlayerGrades+'!$AD$3,"S-",IF(J184&lt;'PlayerGrades+'!$AD$2,"S","S+"))))))))))))))))))))</f>
        <v>A+</v>
      </c>
      <c r="L184" s="677">
        <f t="shared" si="5"/>
        <v>0.424403183</v>
      </c>
      <c r="M184" s="938" t="str">
        <f>IF(L184&lt;'PlayerGrades+'!$AE$21,"F-",IF(L184&lt;'PlayerGrades+'!$AE$20,"F",IF(L184&lt;'PlayerGrades+'!$AE$19,"F+",IF(L184&lt;'PlayerGrades+'!$AE$18,"E-",IF(L184&lt;'PlayerGrades+'!$AE$17,"E",IF(L184&lt;'PlayerGrades+'!$AE$16,"E+",IF(L184&lt;'PlayerGrades+'!$AE$15,"D-",IF(L184&lt;'PlayerGrades+'!$AE$14,"D",IF(L184&lt;'PlayerGrades+'!$AE$13,"D+",IF(L184&lt;'PlayerGrades+'!$AE$12,"C-",IF(L184&lt;'PlayerGrades+'!$AE$11,"C",IF(L184&lt;'PlayerGrades+'!$AE$10,"C+",IF(L184&lt;'PlayerGrades+'!$AE$9,"B-",IF(L184&lt;'PlayerGrades+'!$AE$8,"B",IF(L184&lt;'PlayerGrades+'!$AE$7,"B+",IF(L184&lt;'PlayerGrades+'!$AE$6,"A-",IF(L184&lt;'PlayerGrades+'!$AE$5,"A",IF(L184&lt;'PlayerGrades+'!$AE$4,"A+",IF(L184&lt;'PlayerGrades+'!$AE$3,"S-",IF(L184&lt;'PlayerGrades+'!$AE$2,"S","S+"))))))))))))))))))))</f>
        <v>C+</v>
      </c>
      <c r="N184" s="937">
        <f t="shared" si="6"/>
        <v>0.1061007958</v>
      </c>
      <c r="O184" s="937" t="str">
        <f>IF(N184&lt;'PlayerGrades+'!$AF$21,"F-",IF(N184&lt;'PlayerGrades+'!$AF$20,"F",IF(N184&lt;'PlayerGrades+'!$AF$19,"F+",IF(N184&lt;'PlayerGrades+'!$AF$18,"E-",IF(N184&lt;'PlayerGrades+'!$AF$17,"E",IF(N184&lt;'PlayerGrades+'!$AF$16,"E+",IF(N184&lt;'PlayerGrades+'!$AF$15,"D-",IF(N184&lt;'PlayerGrades+'!$AF$14,"D",IF(N184&lt;'PlayerGrades+'!$AF$13,"D+",IF(N184&lt;'PlayerGrades+'!$AF$12,"C-",IF(N184&lt;'PlayerGrades+'!$AF$11,"C",IF(N184&lt;'PlayerGrades+'!$AF$10,"C+",IF(N184&lt;'PlayerGrades+'!$AF$9,"B-",IF(N184&lt;'PlayerGrades+'!$AF$8,"B",IF(N184&lt;'PlayerGrades+'!$AF$7,"B+",IF(N184&lt;'PlayerGrades+'!$AF$6,"A-",IF(N184&lt;'PlayerGrades+'!$AF$5,"A",IF(N184&lt;'PlayerGrades+'!$AF$4,"A+",IF(N184&lt;'PlayerGrades+'!$AF$3,"S-",IF(N184&lt;'PlayerGrades+'!$AF$2,"S","S+"))))))))))))))))))))</f>
        <v>S-</v>
      </c>
      <c r="P184" s="937">
        <f t="shared" si="7"/>
        <v>0.07957559682</v>
      </c>
      <c r="Q184" s="937" t="str">
        <f>IF(P184&lt;'PlayerGrades+'!$AG$21,"F-",IF(P184&lt;'PlayerGrades+'!$AG$20,"F",IF(P184&lt;'PlayerGrades+'!$AG$19,"F+",IF(P184&lt;'PlayerGrades+'!$AG$18,"E-",IF(P184&lt;'PlayerGrades+'!$AG$17,"E",IF(P184&lt;'PlayerGrades+'!$AG$16,"E+",IF(P184&lt;'PlayerGrades+'!$AG$15,"D-",IF(P184&lt;'PlayerGrades+'!$AG$14,"D",IF(P184&lt;'PlayerGrades+'!$AG$13,"D+",IF(P184&lt;'PlayerGrades+'!$AG$12,"C-",IF(P184&lt;'PlayerGrades+'!$AG$11,"C",IF(P184&lt;'PlayerGrades+'!$AG$10,"C+",IF(P184&lt;'PlayerGrades+'!$AG$9,"B-",IF(P184&lt;'PlayerGrades+'!$AG$8,"B",IF(P184&lt;'PlayerGrades+'!$AG$7,"B+",IF(P184&lt;'PlayerGrades+'!$AG$6,"A-",IF(P184&lt;'PlayerGrades+'!$AG$5,"A",IF(P184&lt;'PlayerGrades+'!$AG$4,"A+",IF(P184&lt;'PlayerGrades+'!$AG$3,"S-",IF(P184&lt;'PlayerGrades+'!$AG$2,"S","S+"))))))))))))))))))))</f>
        <v>S-</v>
      </c>
      <c r="R184" s="937">
        <f t="shared" si="8"/>
        <v>0.5305039788</v>
      </c>
      <c r="S184" s="937" t="str">
        <f>IF(R184&lt;'PlayerGrades+'!$AH$21,"F-",IF(R184&lt;'PlayerGrades+'!$AH$20,"F",IF(R184&lt;'PlayerGrades+'!$AH$19,"F+",IF(R184&lt;'PlayerGrades+'!$AH$18,"E-",IF(R184&lt;'PlayerGrades+'!$AH$17,"E",IF(R184&lt;'PlayerGrades+'!$AH$16,"E+",IF(R184&lt;'PlayerGrades+'!$AH$15,"D-",IF(R184&lt;'PlayerGrades+'!$AH$14,"D",IF(R184&lt;'PlayerGrades+'!$AH$13,"D+",IF(R184&lt;'PlayerGrades+'!$AH$12,"C-",IF(R184&lt;'PlayerGrades+'!$AH$11,"C",IF(R184&lt;'PlayerGrades+'!$AH$10,"C+",IF(R184&lt;'PlayerGrades+'!$AH$9,"B-",IF(R184&lt;'PlayerGrades+'!$AH$8,"B",IF(R184&lt;'PlayerGrades+'!$AH$7,"B+",IF(R184&lt;'PlayerGrades+'!$AH$6,"A-",IF(R184&lt;'PlayerGrades+'!$AH$5,"A",IF(R184&lt;'PlayerGrades+'!$AH$4,"A+",IF(R184&lt;'PlayerGrades+'!$AH$3,"S-",IF(R184&lt;'PlayerGrades+'!$AH$2,"S","S+"))))))))))))))))))))</f>
        <v>C</v>
      </c>
      <c r="T184" s="937">
        <f t="shared" si="9"/>
        <v>0.5039787798</v>
      </c>
      <c r="U184" s="937" t="str">
        <f>IF(T184&lt;'PlayerGrades+'!$AI$21,"F-",IF(T184&lt;'PlayerGrades+'!$AI$20,"F",IF(T184&lt;'PlayerGrades+'!$AI$19,"F+",IF(T184&lt;'PlayerGrades+'!$AI$18,"E-",IF(T184&lt;'PlayerGrades+'!$AI$17,"E",IF(T184&lt;'PlayerGrades+'!$AI$16,"E+",IF(T184&lt;'PlayerGrades+'!$AI$15,"D-",IF(T184&lt;'PlayerGrades+'!$AI$14,"D",IF(T184&lt;'PlayerGrades+'!$AI$13,"D+",IF(T184&lt;'PlayerGrades+'!$AI$12,"C-",IF(T184&lt;'PlayerGrades+'!$AI$11,"C",IF(T184&lt;'PlayerGrades+'!$AI$10,"C+",IF(T184&lt;'PlayerGrades+'!$AI$9,"B-",IF(T184&lt;'PlayerGrades+'!$AI$8,"B",IF(T184&lt;'PlayerGrades+'!$AI$7,"B+",IF(T184&lt;'PlayerGrades+'!$AI$6,"A-",IF(T184&lt;'PlayerGrades+'!$AI$5,"A",IF(T184&lt;'PlayerGrades+'!$AI$4,"A+",IF(T184&lt;'PlayerGrades+'!$AI$3,"S-",IF(T184&lt;'PlayerGrades+'!$AI$2,"S","S+"))))))))))))))))))))</f>
        <v>F-</v>
      </c>
      <c r="V184" s="941">
        <v>1.0</v>
      </c>
      <c r="W184" s="941">
        <v>0.0</v>
      </c>
      <c r="X184" s="941">
        <v>1.0</v>
      </c>
      <c r="Y184" s="941">
        <v>0.0</v>
      </c>
      <c r="Z184" s="941">
        <v>1.0</v>
      </c>
      <c r="AA184" s="941">
        <v>118.0</v>
      </c>
      <c r="AB184" s="941">
        <v>124.0</v>
      </c>
      <c r="AC184" s="941">
        <v>-6.0</v>
      </c>
      <c r="AD184" s="941">
        <v>10.0</v>
      </c>
      <c r="AE184" s="941">
        <v>6.0</v>
      </c>
      <c r="AF184" s="941">
        <v>5.0</v>
      </c>
      <c r="AG184" s="941">
        <v>1828.0</v>
      </c>
      <c r="AH184" s="941">
        <v>2262.0</v>
      </c>
      <c r="AI184" s="941">
        <v>14.0</v>
      </c>
      <c r="AJ184" s="941">
        <v>9.0</v>
      </c>
      <c r="AK184" s="941">
        <v>0.0</v>
      </c>
      <c r="AL184" s="941">
        <v>3.0</v>
      </c>
      <c r="AM184" s="941">
        <v>0.0</v>
      </c>
      <c r="AN184" s="941">
        <v>0.0</v>
      </c>
      <c r="AO184" s="941">
        <v>0.0</v>
      </c>
      <c r="AP184" s="941">
        <v>3.0</v>
      </c>
      <c r="AQ184" s="941">
        <v>0.0</v>
      </c>
      <c r="AR184" s="941">
        <v>16.0</v>
      </c>
      <c r="AS184" s="941">
        <v>4.0</v>
      </c>
      <c r="AT184" s="941">
        <v>2.0</v>
      </c>
      <c r="AU184" s="941">
        <v>1.0</v>
      </c>
      <c r="AV184" s="941">
        <v>1.0</v>
      </c>
      <c r="AW184" s="941">
        <v>0.0</v>
      </c>
      <c r="AX184" s="941">
        <v>0.0</v>
      </c>
      <c r="AY184" s="941">
        <v>0.0</v>
      </c>
      <c r="AZ184" s="941">
        <v>0.0</v>
      </c>
      <c r="BA184" s="941">
        <v>0.0</v>
      </c>
      <c r="BB184" s="941">
        <v>2.0</v>
      </c>
      <c r="BC184" s="941">
        <v>0.0</v>
      </c>
      <c r="BD184" s="941">
        <v>10.0</v>
      </c>
      <c r="BE184" s="941">
        <v>19.0</v>
      </c>
      <c r="BF184" s="941">
        <v>0.0</v>
      </c>
      <c r="BG184" s="942">
        <v>0.0</v>
      </c>
    </row>
    <row r="185">
      <c r="A185" s="943" t="s">
        <v>114</v>
      </c>
      <c r="B185" s="16" t="str">
        <f>IF(C185&lt;'PlayerGrades+'!$Y$44,"F-",IF(C185&lt;'PlayerGrades+'!$Y$43,"F",IF(C185&lt;'PlayerGrades+'!$Y$42,"F+",IF(C185&lt;'PlayerGrades+'!$Y$41,"E-",IF(C185&lt;'PlayerGrades+'!$Y$40,"E",IF(C185&lt;'PlayerGrades+'!$Y$39,"E+",IF(C185&lt;'PlayerGrades+'!$Y$38,"D-",IF(C185&lt;'PlayerGrades+'!$Y$37,"D",IF(C185&lt;'PlayerGrades+'!$Y$36,"D+",IF(C185&lt;'PlayerGrades+'!$Y$35,"C-",IF(C185&lt;'PlayerGrades+'!$Y$34,"C",IF(C185&lt;'PlayerGrades+'!$Y$33,"C+",IF(C185&lt;'PlayerGrades+'!$Y$32,"B-",IF(C185&lt;'PlayerGrades+'!$Y$31,"B",IF(C185&lt;'PlayerGrades+'!$Y$30,"B+",IF(C185&lt;'PlayerGrades+'!$Y$29,"A-",IF(C185&lt;'PlayerGrades+'!$Y$28,"A",IF(C185&lt;'PlayerGrades+'!$Y$27,"A+",IF(C185&lt;'PlayerGrades+'!$Y$26,"S-",IF(C185&lt;'PlayerGrades+'!$Y$25,"S","S+"))))))))))))))))))))</f>
        <v>D</v>
      </c>
      <c r="C185" s="936">
        <f>('PlayerGrades+'!$Y$47*(VLOOKUP(E185, 'PlayerGrades+'!$X$3:$Y$23, 2, FALSE)))+('PlayerGrades+'!$Y$48*(VLOOKUP(G185, 'PlayerGrades+'!$X$3:$Y$23, 2, FALSE)))+('PlayerGrades+'!$Y$49*(VLOOKUP(I185, 'PlayerGrades+'!$X$3:$Y$23, 2, FALSE)))+('PlayerGrades+'!$Y$50*(VLOOKUP(K185, 'PlayerGrades+'!$X$3:$Y$23, 2, FALSE)))+('PlayerGrades+'!$Y$51*(VLOOKUP(M185, 'PlayerGrades+'!$X$3:$Y$23, 2, FALSE)))+('PlayerGrades+'!$Y$52*(VLOOKUP(O185, 'PlayerGrades+'!$X$3:$Y$23, 2, FALSE)))+('PlayerGrades+'!$Y$53*(VLOOKUP(Q185, 'PlayerGrades+'!$X$3:$Y$23, 2, FALSE)))+('PlayerGrades+'!$Y$54*(VLOOKUP(S185, 'PlayerGrades+'!$X$3:$Y$23, 2, FALSE)))+('PlayerGrades+'!$Y$55*(VLOOKUP(U185, 'PlayerGrades+'!$X$3:$Y$23, 2, FALSE)))</f>
        <v>16.15</v>
      </c>
      <c r="D185" s="937">
        <f t="shared" si="1"/>
        <v>0.2122015915</v>
      </c>
      <c r="E185" s="937" t="str">
        <f>IF(D185&lt;'PlayerGrades+'!$AA$21,"F-",IF(D185&lt;'PlayerGrades+'!$AA$20,"F",IF(D185&lt;'PlayerGrades+'!$AA$19,"F+",IF(D185&lt;'PlayerGrades+'!$AA$18,"E-",IF(D185&lt;'PlayerGrades+'!$AA$17,"E",IF(D185&lt;'PlayerGrades+'!$AA$16,"E+",IF(D185&lt;'PlayerGrades+'!$AA$15,"D-",IF(D185&lt;'PlayerGrades+'!$AA$14,"D",IF(D185&lt;'PlayerGrades+'!$AA$13,"D+",IF(D185&lt;'PlayerGrades+'!$AA$12,"C-",IF(D185&lt;'PlayerGrades+'!$AA$11,"C",IF(D185&lt;'PlayerGrades+'!$AA$10,"C+",IF(D185&lt;'PlayerGrades+'!$AA$9,"B-",IF(D185&lt;'PlayerGrades+'!$AA$8,"B",IF(D185&lt;'PlayerGrades+'!$AA$7,"B+",IF(D185&lt;'PlayerGrades+'!$AA$6,"A-",IF(D185&lt;'PlayerGrades+'!$AA$5,"A",IF(D185&lt;'PlayerGrades+'!$AA$4,"A+",IF(D185&lt;'PlayerGrades+'!$AA$3,"S-",IF(D185&lt;'PlayerGrades+'!$AA$2,"S","S+"))))))))))))))))))))</f>
        <v>A-</v>
      </c>
      <c r="F185" s="937">
        <f t="shared" si="2"/>
        <v>-0.450928382</v>
      </c>
      <c r="G185" s="937" t="str">
        <f>IF(F185&lt;'PlayerGrades+'!$AB$21,"F-",IF(F185&lt;'PlayerGrades+'!$AB$20,"F",IF(F185&lt;'PlayerGrades+'!$AB$19,"F+",IF(F185&lt;'PlayerGrades+'!$AB$18,"E-",IF(F185&lt;'PlayerGrades+'!$AB$17,"E",IF(F185&lt;'PlayerGrades+'!$AB$16,"E+",IF(F185&lt;'PlayerGrades+'!$AB$15,"D-",IF(F185&lt;'PlayerGrades+'!$AB$14,"D",IF(F185&lt;'PlayerGrades+'!$AB$13,"D+",IF(F185&lt;'PlayerGrades+'!$AB$12,"C-",IF(F185&lt;'PlayerGrades+'!$AB$11,"C",IF(F185&lt;'PlayerGrades+'!$AB$10,"C+",IF(F185&lt;'PlayerGrades+'!$AB$9,"B-",IF(F185&lt;'PlayerGrades+'!$AB$8,"B",IF(F185&lt;'PlayerGrades+'!$AB$7,"B+",IF(F185&lt;'PlayerGrades+'!$AB$6,"A-",IF(F185&lt;'PlayerGrades+'!$AB$5,"A",IF(F185&lt;'PlayerGrades+'!$AB$4,"A+",IF(F185&lt;'PlayerGrades+'!$AB$3,"S-",IF(F185&lt;'PlayerGrades+'!$AB$2,"S","S+"))))))))))))))))))))</f>
        <v>D</v>
      </c>
      <c r="H185" s="937">
        <f t="shared" si="3"/>
        <v>0</v>
      </c>
      <c r="I185" s="937" t="str">
        <f>IF(H185&lt;'PlayerGrades+'!$AC$21,"F-",IF(H185&lt;'PlayerGrades+'!$AC$20,"F",IF(H185&lt;'PlayerGrades+'!$AC$19,"F+",IF(H185&lt;'PlayerGrades+'!$AC$18,"E-",IF(H185&lt;'PlayerGrades+'!$AC$17,"E",IF(H185&lt;'PlayerGrades+'!$AC$16,"E+",IF(H185&lt;'PlayerGrades+'!$AC$15,"D-",IF(H185&lt;'PlayerGrades+'!$AC$14,"D",IF(H185&lt;'PlayerGrades+'!$AC$13,"D+",IF(H185&lt;'PlayerGrades+'!$AC$12,"C-",IF(H185&lt;'PlayerGrades+'!$AC$11,"C",IF(H185&lt;'PlayerGrades+'!$AC$10,"C+",IF(H185&lt;'PlayerGrades+'!$AC$9,"B-",IF(H185&lt;'PlayerGrades+'!$AC$8,"B",IF(H185&lt;'PlayerGrades+'!$AC$7,"B+",IF(H185&lt;'PlayerGrades+'!$AC$6,"A-",IF(H185&lt;'PlayerGrades+'!$AC$5,"A",IF(H185&lt;'PlayerGrades+'!$AC$4,"A+",IF(H185&lt;'PlayerGrades+'!$AC$3,"S-",IF(H185&lt;'PlayerGrades+'!$AC$2,"S","S+"))))))))))))))))))))</f>
        <v>F-</v>
      </c>
      <c r="J185" s="937">
        <f t="shared" si="4"/>
        <v>0.02652519894</v>
      </c>
      <c r="K185" s="937" t="str">
        <f>IF(J185&lt;'PlayerGrades+'!$AD$21,"F-",IF(J185&lt;'PlayerGrades+'!$AD$20,"F",IF(J185&lt;'PlayerGrades+'!$AD$19,"F+",IF(J185&lt;'PlayerGrades+'!$AD$18,"E-",IF(J185&lt;'PlayerGrades+'!$AD$17,"E",IF(J185&lt;'PlayerGrades+'!$AD$16,"E+",IF(J185&lt;'PlayerGrades+'!$AD$15,"D-",IF(J185&lt;'PlayerGrades+'!$AD$14,"D",IF(J185&lt;'PlayerGrades+'!$AD$13,"D+",IF(J185&lt;'PlayerGrades+'!$AD$12,"C-",IF(J185&lt;'PlayerGrades+'!$AD$11,"C",IF(J185&lt;'PlayerGrades+'!$AD$10,"C+",IF(J185&lt;'PlayerGrades+'!$AD$9,"B-",IF(J185&lt;'PlayerGrades+'!$AD$8,"B",IF(J185&lt;'PlayerGrades+'!$AD$7,"B+",IF(J185&lt;'PlayerGrades+'!$AD$6,"A-",IF(J185&lt;'PlayerGrades+'!$AD$5,"A",IF(J185&lt;'PlayerGrades+'!$AD$4,"A+",IF(J185&lt;'PlayerGrades+'!$AD$3,"S-",IF(J185&lt;'PlayerGrades+'!$AD$2,"S","S+"))))))))))))))))))))</f>
        <v>D+</v>
      </c>
      <c r="L185" s="677">
        <f t="shared" si="5"/>
        <v>0.1856763926</v>
      </c>
      <c r="M185" s="938" t="str">
        <f>IF(L185&lt;'PlayerGrades+'!$AE$21,"F-",IF(L185&lt;'PlayerGrades+'!$AE$20,"F",IF(L185&lt;'PlayerGrades+'!$AE$19,"F+",IF(L185&lt;'PlayerGrades+'!$AE$18,"E-",IF(L185&lt;'PlayerGrades+'!$AE$17,"E",IF(L185&lt;'PlayerGrades+'!$AE$16,"E+",IF(L185&lt;'PlayerGrades+'!$AE$15,"D-",IF(L185&lt;'PlayerGrades+'!$AE$14,"D",IF(L185&lt;'PlayerGrades+'!$AE$13,"D+",IF(L185&lt;'PlayerGrades+'!$AE$12,"C-",IF(L185&lt;'PlayerGrades+'!$AE$11,"C",IF(L185&lt;'PlayerGrades+'!$AE$10,"C+",IF(L185&lt;'PlayerGrades+'!$AE$9,"B-",IF(L185&lt;'PlayerGrades+'!$AE$8,"B",IF(L185&lt;'PlayerGrades+'!$AE$7,"B+",IF(L185&lt;'PlayerGrades+'!$AE$6,"A-",IF(L185&lt;'PlayerGrades+'!$AE$5,"A",IF(L185&lt;'PlayerGrades+'!$AE$4,"A+",IF(L185&lt;'PlayerGrades+'!$AE$3,"S-",IF(L185&lt;'PlayerGrades+'!$AE$2,"S","S+"))))))))))))))))))))</f>
        <v>F-</v>
      </c>
      <c r="N185" s="937">
        <f t="shared" si="6"/>
        <v>0.07957559682</v>
      </c>
      <c r="O185" s="937" t="str">
        <f>IF(N185&lt;'PlayerGrades+'!$AF$21,"F-",IF(N185&lt;'PlayerGrades+'!$AF$20,"F",IF(N185&lt;'PlayerGrades+'!$AF$19,"F+",IF(N185&lt;'PlayerGrades+'!$AF$18,"E-",IF(N185&lt;'PlayerGrades+'!$AF$17,"E",IF(N185&lt;'PlayerGrades+'!$AF$16,"E+",IF(N185&lt;'PlayerGrades+'!$AF$15,"D-",IF(N185&lt;'PlayerGrades+'!$AF$14,"D",IF(N185&lt;'PlayerGrades+'!$AF$13,"D+",IF(N185&lt;'PlayerGrades+'!$AF$12,"C-",IF(N185&lt;'PlayerGrades+'!$AF$11,"C",IF(N185&lt;'PlayerGrades+'!$AF$10,"C+",IF(N185&lt;'PlayerGrades+'!$AF$9,"B-",IF(N185&lt;'PlayerGrades+'!$AF$8,"B",IF(N185&lt;'PlayerGrades+'!$AF$7,"B+",IF(N185&lt;'PlayerGrades+'!$AF$6,"A-",IF(N185&lt;'PlayerGrades+'!$AF$5,"A",IF(N185&lt;'PlayerGrades+'!$AF$4,"A+",IF(N185&lt;'PlayerGrades+'!$AF$3,"S-",IF(N185&lt;'PlayerGrades+'!$AF$2,"S","S+"))))))))))))))))))))</f>
        <v>B-</v>
      </c>
      <c r="P185" s="937">
        <f t="shared" si="7"/>
        <v>0</v>
      </c>
      <c r="Q185" s="937" t="str">
        <f>IF(P185&lt;'PlayerGrades+'!$AG$21,"F-",IF(P185&lt;'PlayerGrades+'!$AG$20,"F",IF(P185&lt;'PlayerGrades+'!$AG$19,"F+",IF(P185&lt;'PlayerGrades+'!$AG$18,"E-",IF(P185&lt;'PlayerGrades+'!$AG$17,"E",IF(P185&lt;'PlayerGrades+'!$AG$16,"E+",IF(P185&lt;'PlayerGrades+'!$AG$15,"D-",IF(P185&lt;'PlayerGrades+'!$AG$14,"D",IF(P185&lt;'PlayerGrades+'!$AG$13,"D+",IF(P185&lt;'PlayerGrades+'!$AG$12,"C-",IF(P185&lt;'PlayerGrades+'!$AG$11,"C",IF(P185&lt;'PlayerGrades+'!$AG$10,"C+",IF(P185&lt;'PlayerGrades+'!$AG$9,"B-",IF(P185&lt;'PlayerGrades+'!$AG$8,"B",IF(P185&lt;'PlayerGrades+'!$AG$7,"B+",IF(P185&lt;'PlayerGrades+'!$AG$6,"A-",IF(P185&lt;'PlayerGrades+'!$AG$5,"A",IF(P185&lt;'PlayerGrades+'!$AG$4,"A+",IF(P185&lt;'PlayerGrades+'!$AG$3,"S-",IF(P185&lt;'PlayerGrades+'!$AG$2,"S","S+"))))))))))))))))))))</f>
        <v>F</v>
      </c>
      <c r="R185" s="937">
        <f t="shared" si="8"/>
        <v>0.5835543767</v>
      </c>
      <c r="S185" s="937" t="str">
        <f>IF(R185&lt;'PlayerGrades+'!$AH$21,"F-",IF(R185&lt;'PlayerGrades+'!$AH$20,"F",IF(R185&lt;'PlayerGrades+'!$AH$19,"F+",IF(R185&lt;'PlayerGrades+'!$AH$18,"E-",IF(R185&lt;'PlayerGrades+'!$AH$17,"E",IF(R185&lt;'PlayerGrades+'!$AH$16,"E+",IF(R185&lt;'PlayerGrades+'!$AH$15,"D-",IF(R185&lt;'PlayerGrades+'!$AH$14,"D",IF(R185&lt;'PlayerGrades+'!$AH$13,"D+",IF(R185&lt;'PlayerGrades+'!$AH$12,"C-",IF(R185&lt;'PlayerGrades+'!$AH$11,"C",IF(R185&lt;'PlayerGrades+'!$AH$10,"C+",IF(R185&lt;'PlayerGrades+'!$AH$9,"B-",IF(R185&lt;'PlayerGrades+'!$AH$8,"B",IF(R185&lt;'PlayerGrades+'!$AH$7,"B+",IF(R185&lt;'PlayerGrades+'!$AH$6,"A-",IF(R185&lt;'PlayerGrades+'!$AH$5,"A",IF(R185&lt;'PlayerGrades+'!$AH$4,"A+",IF(R185&lt;'PlayerGrades+'!$AH$3,"S-",IF(R185&lt;'PlayerGrades+'!$AH$2,"S","S+"))))))))))))))))))))</f>
        <v>B+</v>
      </c>
      <c r="T185" s="937">
        <f t="shared" si="9"/>
        <v>0.4774535809</v>
      </c>
      <c r="U185" s="937" t="str">
        <f>IF(T185&lt;'PlayerGrades+'!$AI$21,"F-",IF(T185&lt;'PlayerGrades+'!$AI$20,"F",IF(T185&lt;'PlayerGrades+'!$AI$19,"F+",IF(T185&lt;'PlayerGrades+'!$AI$18,"E-",IF(T185&lt;'PlayerGrades+'!$AI$17,"E",IF(T185&lt;'PlayerGrades+'!$AI$16,"E+",IF(T185&lt;'PlayerGrades+'!$AI$15,"D-",IF(T185&lt;'PlayerGrades+'!$AI$14,"D",IF(T185&lt;'PlayerGrades+'!$AI$13,"D+",IF(T185&lt;'PlayerGrades+'!$AI$12,"C-",IF(T185&lt;'PlayerGrades+'!$AI$11,"C",IF(T185&lt;'PlayerGrades+'!$AI$10,"C+",IF(T185&lt;'PlayerGrades+'!$AI$9,"B-",IF(T185&lt;'PlayerGrades+'!$AI$8,"B",IF(T185&lt;'PlayerGrades+'!$AI$7,"B+",IF(T185&lt;'PlayerGrades+'!$AI$6,"A-",IF(T185&lt;'PlayerGrades+'!$AI$5,"A",IF(T185&lt;'PlayerGrades+'!$AI$4,"A+",IF(T185&lt;'PlayerGrades+'!$AI$3,"S-",IF(T185&lt;'PlayerGrades+'!$AI$2,"S","S+"))))))))))))))))))))</f>
        <v>F-</v>
      </c>
      <c r="V185" s="944">
        <v>1.0</v>
      </c>
      <c r="W185" s="944">
        <v>0.0</v>
      </c>
      <c r="X185" s="944">
        <v>1.0</v>
      </c>
      <c r="Y185" s="944">
        <v>0.0</v>
      </c>
      <c r="Z185" s="944">
        <v>8.0</v>
      </c>
      <c r="AA185" s="944">
        <v>83.0</v>
      </c>
      <c r="AB185" s="944">
        <v>100.0</v>
      </c>
      <c r="AC185" s="944">
        <v>-17.0</v>
      </c>
      <c r="AD185" s="944">
        <v>6.0</v>
      </c>
      <c r="AE185" s="944">
        <v>6.0</v>
      </c>
      <c r="AF185" s="944">
        <v>1.0</v>
      </c>
      <c r="AG185" s="944">
        <v>1901.0</v>
      </c>
      <c r="AH185" s="944">
        <v>2262.0</v>
      </c>
      <c r="AI185" s="944">
        <v>19.0</v>
      </c>
      <c r="AJ185" s="944">
        <v>518.0</v>
      </c>
      <c r="AK185" s="944">
        <v>0.0</v>
      </c>
      <c r="AL185" s="944">
        <v>1.0</v>
      </c>
      <c r="AM185" s="944">
        <v>0.0</v>
      </c>
      <c r="AN185" s="944">
        <v>0.0</v>
      </c>
      <c r="AO185" s="944">
        <v>0.0</v>
      </c>
      <c r="AP185" s="944">
        <v>0.0</v>
      </c>
      <c r="AQ185" s="944">
        <v>0.0</v>
      </c>
      <c r="AR185" s="944">
        <v>7.0</v>
      </c>
      <c r="AS185" s="944">
        <v>3.0</v>
      </c>
      <c r="AT185" s="944">
        <v>0.0</v>
      </c>
      <c r="AU185" s="944">
        <v>0.0</v>
      </c>
      <c r="AV185" s="944">
        <v>0.0</v>
      </c>
      <c r="AW185" s="944">
        <v>0.0</v>
      </c>
      <c r="AX185" s="944">
        <v>0.0</v>
      </c>
      <c r="AY185" s="944">
        <v>0.0</v>
      </c>
      <c r="AZ185" s="944">
        <v>0.0</v>
      </c>
      <c r="BA185" s="944">
        <v>0.0</v>
      </c>
      <c r="BB185" s="944">
        <v>0.0</v>
      </c>
      <c r="BC185" s="944">
        <v>0.0</v>
      </c>
      <c r="BD185" s="944">
        <v>16.0</v>
      </c>
      <c r="BE185" s="944">
        <v>18.0</v>
      </c>
      <c r="BF185" s="944">
        <v>0.0</v>
      </c>
      <c r="BG185" s="945">
        <v>0.0</v>
      </c>
    </row>
    <row r="186">
      <c r="A186" s="946" t="s">
        <v>149</v>
      </c>
      <c r="B186" s="16" t="str">
        <f>IF(C186&lt;'PlayerGrades+'!$Y$44,"F-",IF(C186&lt;'PlayerGrades+'!$Y$43,"F",IF(C186&lt;'PlayerGrades+'!$Y$42,"F+",IF(C186&lt;'PlayerGrades+'!$Y$41,"E-",IF(C186&lt;'PlayerGrades+'!$Y$40,"E",IF(C186&lt;'PlayerGrades+'!$Y$39,"E+",IF(C186&lt;'PlayerGrades+'!$Y$38,"D-",IF(C186&lt;'PlayerGrades+'!$Y$37,"D",IF(C186&lt;'PlayerGrades+'!$Y$36,"D+",IF(C186&lt;'PlayerGrades+'!$Y$35,"C-",IF(C186&lt;'PlayerGrades+'!$Y$34,"C",IF(C186&lt;'PlayerGrades+'!$Y$33,"C+",IF(C186&lt;'PlayerGrades+'!$Y$32,"B-",IF(C186&lt;'PlayerGrades+'!$Y$31,"B",IF(C186&lt;'PlayerGrades+'!$Y$30,"B+",IF(C186&lt;'PlayerGrades+'!$Y$29,"A-",IF(C186&lt;'PlayerGrades+'!$Y$28,"A",IF(C186&lt;'PlayerGrades+'!$Y$27,"A+",IF(C186&lt;'PlayerGrades+'!$Y$26,"S-",IF(C186&lt;'PlayerGrades+'!$Y$25,"S","S+"))))))))))))))))))))</f>
        <v>D-</v>
      </c>
      <c r="C186" s="936">
        <f>('PlayerGrades+'!$Y$47*(VLOOKUP(E186, 'PlayerGrades+'!$X$3:$Y$23, 2, FALSE)))+('PlayerGrades+'!$Y$48*(VLOOKUP(G186, 'PlayerGrades+'!$X$3:$Y$23, 2, FALSE)))+('PlayerGrades+'!$Y$49*(VLOOKUP(I186, 'PlayerGrades+'!$X$3:$Y$23, 2, FALSE)))+('PlayerGrades+'!$Y$50*(VLOOKUP(K186, 'PlayerGrades+'!$X$3:$Y$23, 2, FALSE)))+('PlayerGrades+'!$Y$51*(VLOOKUP(M186, 'PlayerGrades+'!$X$3:$Y$23, 2, FALSE)))+('PlayerGrades+'!$Y$52*(VLOOKUP(O186, 'PlayerGrades+'!$X$3:$Y$23, 2, FALSE)))+('PlayerGrades+'!$Y$53*(VLOOKUP(Q186, 'PlayerGrades+'!$X$3:$Y$23, 2, FALSE)))+('PlayerGrades+'!$Y$54*(VLOOKUP(S186, 'PlayerGrades+'!$X$3:$Y$23, 2, FALSE)))+('PlayerGrades+'!$Y$55*(VLOOKUP(U186, 'PlayerGrades+'!$X$3:$Y$23, 2, FALSE)))</f>
        <v>14.85</v>
      </c>
      <c r="D186" s="937">
        <f t="shared" si="1"/>
        <v>0.8497030608</v>
      </c>
      <c r="E186" s="937" t="str">
        <f>IF(D186&lt;'PlayerGrades+'!$AA$21,"F-",IF(D186&lt;'PlayerGrades+'!$AA$20,"F",IF(D186&lt;'PlayerGrades+'!$AA$19,"F+",IF(D186&lt;'PlayerGrades+'!$AA$18,"E-",IF(D186&lt;'PlayerGrades+'!$AA$17,"E",IF(D186&lt;'PlayerGrades+'!$AA$16,"E+",IF(D186&lt;'PlayerGrades+'!$AA$15,"D-",IF(D186&lt;'PlayerGrades+'!$AA$14,"D",IF(D186&lt;'PlayerGrades+'!$AA$13,"D+",IF(D186&lt;'PlayerGrades+'!$AA$12,"C-",IF(D186&lt;'PlayerGrades+'!$AA$11,"C",IF(D186&lt;'PlayerGrades+'!$AA$10,"C+",IF(D186&lt;'PlayerGrades+'!$AA$9,"B-",IF(D186&lt;'PlayerGrades+'!$AA$8,"B",IF(D186&lt;'PlayerGrades+'!$AA$7,"B+",IF(D186&lt;'PlayerGrades+'!$AA$6,"A-",IF(D186&lt;'PlayerGrades+'!$AA$5,"A",IF(D186&lt;'PlayerGrades+'!$AA$4,"A+",IF(D186&lt;'PlayerGrades+'!$AA$3,"S-",IF(D186&lt;'PlayerGrades+'!$AA$2,"S","S+"))))))))))))))))))))</f>
        <v>S+</v>
      </c>
      <c r="F186" s="937">
        <f t="shared" si="2"/>
        <v>0.4385564185</v>
      </c>
      <c r="G186" s="937" t="str">
        <f>IF(F186&lt;'PlayerGrades+'!$AB$21,"F-",IF(F186&lt;'PlayerGrades+'!$AB$20,"F",IF(F186&lt;'PlayerGrades+'!$AB$19,"F+",IF(F186&lt;'PlayerGrades+'!$AB$18,"E-",IF(F186&lt;'PlayerGrades+'!$AB$17,"E",IF(F186&lt;'PlayerGrades+'!$AB$16,"E+",IF(F186&lt;'PlayerGrades+'!$AB$15,"D-",IF(F186&lt;'PlayerGrades+'!$AB$14,"D",IF(F186&lt;'PlayerGrades+'!$AB$13,"D+",IF(F186&lt;'PlayerGrades+'!$AB$12,"C-",IF(F186&lt;'PlayerGrades+'!$AB$11,"C",IF(F186&lt;'PlayerGrades+'!$AB$10,"C+",IF(F186&lt;'PlayerGrades+'!$AB$9,"B-",IF(F186&lt;'PlayerGrades+'!$AB$8,"B",IF(F186&lt;'PlayerGrades+'!$AB$7,"B+",IF(F186&lt;'PlayerGrades+'!$AB$6,"A-",IF(F186&lt;'PlayerGrades+'!$AB$5,"A",IF(F186&lt;'PlayerGrades+'!$AB$4,"A+",IF(F186&lt;'PlayerGrades+'!$AB$3,"S-",IF(F186&lt;'PlayerGrades+'!$AB$2,"S","S+"))))))))))))))))))))</f>
        <v>A+</v>
      </c>
      <c r="H186" s="937">
        <f t="shared" si="3"/>
        <v>0.02740977615</v>
      </c>
      <c r="I186" s="937" t="str">
        <f>IF(H186&lt;'PlayerGrades+'!$AC$21,"F-",IF(H186&lt;'PlayerGrades+'!$AC$20,"F",IF(H186&lt;'PlayerGrades+'!$AC$19,"F+",IF(H186&lt;'PlayerGrades+'!$AC$18,"E-",IF(H186&lt;'PlayerGrades+'!$AC$17,"E",IF(H186&lt;'PlayerGrades+'!$AC$16,"E+",IF(H186&lt;'PlayerGrades+'!$AC$15,"D-",IF(H186&lt;'PlayerGrades+'!$AC$14,"D",IF(H186&lt;'PlayerGrades+'!$AC$13,"D+",IF(H186&lt;'PlayerGrades+'!$AC$12,"C-",IF(H186&lt;'PlayerGrades+'!$AC$11,"C",IF(H186&lt;'PlayerGrades+'!$AC$10,"C+",IF(H186&lt;'PlayerGrades+'!$AC$9,"B-",IF(H186&lt;'PlayerGrades+'!$AC$8,"B",IF(H186&lt;'PlayerGrades+'!$AC$7,"B+",IF(H186&lt;'PlayerGrades+'!$AC$6,"A-",IF(H186&lt;'PlayerGrades+'!$AC$5,"A",IF(H186&lt;'PlayerGrades+'!$AC$4,"A+",IF(H186&lt;'PlayerGrades+'!$AC$3,"S-",IF(H186&lt;'PlayerGrades+'!$AC$2,"S","S+"))))))))))))))))))))</f>
        <v>F-</v>
      </c>
      <c r="J186" s="937">
        <f t="shared" si="4"/>
        <v>0.05481955231</v>
      </c>
      <c r="K186" s="937" t="str">
        <f>IF(J186&lt;'PlayerGrades+'!$AD$21,"F-",IF(J186&lt;'PlayerGrades+'!$AD$20,"F",IF(J186&lt;'PlayerGrades+'!$AD$19,"F+",IF(J186&lt;'PlayerGrades+'!$AD$18,"E-",IF(J186&lt;'PlayerGrades+'!$AD$17,"E",IF(J186&lt;'PlayerGrades+'!$AD$16,"E+",IF(J186&lt;'PlayerGrades+'!$AD$15,"D-",IF(J186&lt;'PlayerGrades+'!$AD$14,"D",IF(J186&lt;'PlayerGrades+'!$AD$13,"D+",IF(J186&lt;'PlayerGrades+'!$AD$12,"C-",IF(J186&lt;'PlayerGrades+'!$AD$11,"C",IF(J186&lt;'PlayerGrades+'!$AD$10,"C+",IF(J186&lt;'PlayerGrades+'!$AD$9,"B-",IF(J186&lt;'PlayerGrades+'!$AD$8,"B",IF(J186&lt;'PlayerGrades+'!$AD$7,"B+",IF(J186&lt;'PlayerGrades+'!$AD$6,"A-",IF(J186&lt;'PlayerGrades+'!$AD$5,"A",IF(J186&lt;'PlayerGrades+'!$AD$4,"A+",IF(J186&lt;'PlayerGrades+'!$AD$3,"S-",IF(J186&lt;'PlayerGrades+'!$AD$2,"S","S+"))))))))))))))))))))</f>
        <v>B+</v>
      </c>
      <c r="L186" s="677">
        <f t="shared" si="5"/>
        <v>0.1918684331</v>
      </c>
      <c r="M186" s="938" t="str">
        <f>IF(L186&lt;'PlayerGrades+'!$AE$21,"F-",IF(L186&lt;'PlayerGrades+'!$AE$20,"F",IF(L186&lt;'PlayerGrades+'!$AE$19,"F+",IF(L186&lt;'PlayerGrades+'!$AE$18,"E-",IF(L186&lt;'PlayerGrades+'!$AE$17,"E",IF(L186&lt;'PlayerGrades+'!$AE$16,"E+",IF(L186&lt;'PlayerGrades+'!$AE$15,"D-",IF(L186&lt;'PlayerGrades+'!$AE$14,"D",IF(L186&lt;'PlayerGrades+'!$AE$13,"D+",IF(L186&lt;'PlayerGrades+'!$AE$12,"C-",IF(L186&lt;'PlayerGrades+'!$AE$11,"C",IF(L186&lt;'PlayerGrades+'!$AE$10,"C+",IF(L186&lt;'PlayerGrades+'!$AE$9,"B-",IF(L186&lt;'PlayerGrades+'!$AE$8,"B",IF(L186&lt;'PlayerGrades+'!$AE$7,"B+",IF(L186&lt;'PlayerGrades+'!$AE$6,"A-",IF(L186&lt;'PlayerGrades+'!$AE$5,"A",IF(L186&lt;'PlayerGrades+'!$AE$4,"A+",IF(L186&lt;'PlayerGrades+'!$AE$3,"S-",IF(L186&lt;'PlayerGrades+'!$AE$2,"S","S+"))))))))))))))))))))</f>
        <v>F</v>
      </c>
      <c r="N186" s="937">
        <f t="shared" si="6"/>
        <v>0</v>
      </c>
      <c r="O186" s="937" t="str">
        <f>IF(N186&lt;'PlayerGrades+'!$AF$21,"F-",IF(N186&lt;'PlayerGrades+'!$AF$20,"F",IF(N186&lt;'PlayerGrades+'!$AF$19,"F+",IF(N186&lt;'PlayerGrades+'!$AF$18,"E-",IF(N186&lt;'PlayerGrades+'!$AF$17,"E",IF(N186&lt;'PlayerGrades+'!$AF$16,"E+",IF(N186&lt;'PlayerGrades+'!$AF$15,"D-",IF(N186&lt;'PlayerGrades+'!$AF$14,"D",IF(N186&lt;'PlayerGrades+'!$AF$13,"D+",IF(N186&lt;'PlayerGrades+'!$AF$12,"C-",IF(N186&lt;'PlayerGrades+'!$AF$11,"C",IF(N186&lt;'PlayerGrades+'!$AF$10,"C+",IF(N186&lt;'PlayerGrades+'!$AF$9,"B-",IF(N186&lt;'PlayerGrades+'!$AF$8,"B",IF(N186&lt;'PlayerGrades+'!$AF$7,"B+",IF(N186&lt;'PlayerGrades+'!$AF$6,"A-",IF(N186&lt;'PlayerGrades+'!$AF$5,"A",IF(N186&lt;'PlayerGrades+'!$AF$4,"A+",IF(N186&lt;'PlayerGrades+'!$AF$3,"S-",IF(N186&lt;'PlayerGrades+'!$AF$2,"S","S+"))))))))))))))))))))</f>
        <v>F-</v>
      </c>
      <c r="P186" s="937">
        <f t="shared" si="7"/>
        <v>0</v>
      </c>
      <c r="Q186" s="937" t="str">
        <f>IF(P186&lt;'PlayerGrades+'!$AG$21,"F-",IF(P186&lt;'PlayerGrades+'!$AG$20,"F",IF(P186&lt;'PlayerGrades+'!$AG$19,"F+",IF(P186&lt;'PlayerGrades+'!$AG$18,"E-",IF(P186&lt;'PlayerGrades+'!$AG$17,"E",IF(P186&lt;'PlayerGrades+'!$AG$16,"E+",IF(P186&lt;'PlayerGrades+'!$AG$15,"D-",IF(P186&lt;'PlayerGrades+'!$AG$14,"D",IF(P186&lt;'PlayerGrades+'!$AG$13,"D+",IF(P186&lt;'PlayerGrades+'!$AG$12,"C-",IF(P186&lt;'PlayerGrades+'!$AG$11,"C",IF(P186&lt;'PlayerGrades+'!$AG$10,"C+",IF(P186&lt;'PlayerGrades+'!$AG$9,"B-",IF(P186&lt;'PlayerGrades+'!$AG$8,"B",IF(P186&lt;'PlayerGrades+'!$AG$7,"B+",IF(P186&lt;'PlayerGrades+'!$AG$6,"A-",IF(P186&lt;'PlayerGrades+'!$AG$5,"A",IF(P186&lt;'PlayerGrades+'!$AG$4,"A+",IF(P186&lt;'PlayerGrades+'!$AG$3,"S-",IF(P186&lt;'PlayerGrades+'!$AG$2,"S","S+"))))))))))))))))))))</f>
        <v>F</v>
      </c>
      <c r="R186" s="937">
        <f t="shared" si="8"/>
        <v>0.4111466423</v>
      </c>
      <c r="S186" s="937" t="str">
        <f>IF(R186&lt;'PlayerGrades+'!$AH$21,"F-",IF(R186&lt;'PlayerGrades+'!$AH$20,"F",IF(R186&lt;'PlayerGrades+'!$AH$19,"F+",IF(R186&lt;'PlayerGrades+'!$AH$18,"E-",IF(R186&lt;'PlayerGrades+'!$AH$17,"E",IF(R186&lt;'PlayerGrades+'!$AH$16,"E+",IF(R186&lt;'PlayerGrades+'!$AH$15,"D-",IF(R186&lt;'PlayerGrades+'!$AH$14,"D",IF(R186&lt;'PlayerGrades+'!$AH$13,"D+",IF(R186&lt;'PlayerGrades+'!$AH$12,"C-",IF(R186&lt;'PlayerGrades+'!$AH$11,"C",IF(R186&lt;'PlayerGrades+'!$AH$10,"C+",IF(R186&lt;'PlayerGrades+'!$AH$9,"B-",IF(R186&lt;'PlayerGrades+'!$AH$8,"B",IF(R186&lt;'PlayerGrades+'!$AH$7,"B+",IF(R186&lt;'PlayerGrades+'!$AH$6,"A-",IF(R186&lt;'PlayerGrades+'!$AH$5,"A",IF(R186&lt;'PlayerGrades+'!$AH$4,"A+",IF(R186&lt;'PlayerGrades+'!$AH$3,"S-",IF(R186&lt;'PlayerGrades+'!$AH$2,"S","S+"))))))))))))))))))))</f>
        <v>F+</v>
      </c>
      <c r="T186" s="937">
        <f t="shared" si="9"/>
        <v>1.274097762</v>
      </c>
      <c r="U186" s="937" t="str">
        <f>IF(T186&lt;'PlayerGrades+'!$AI$21,"F-",IF(T186&lt;'PlayerGrades+'!$AI$20,"F",IF(T186&lt;'PlayerGrades+'!$AI$19,"F+",IF(T186&lt;'PlayerGrades+'!$AI$18,"E-",IF(T186&lt;'PlayerGrades+'!$AI$17,"E",IF(T186&lt;'PlayerGrades+'!$AI$16,"E+",IF(T186&lt;'PlayerGrades+'!$AI$15,"D-",IF(T186&lt;'PlayerGrades+'!$AI$14,"D",IF(T186&lt;'PlayerGrades+'!$AI$13,"D+",IF(T186&lt;'PlayerGrades+'!$AI$12,"C-",IF(T186&lt;'PlayerGrades+'!$AI$11,"C",IF(T186&lt;'PlayerGrades+'!$AI$10,"C+",IF(T186&lt;'PlayerGrades+'!$AI$9,"B-",IF(T186&lt;'PlayerGrades+'!$AI$8,"B",IF(T186&lt;'PlayerGrades+'!$AI$7,"B+",IF(T186&lt;'PlayerGrades+'!$AI$6,"A-",IF(T186&lt;'PlayerGrades+'!$AI$5,"A",IF(T186&lt;'PlayerGrades+'!$AI$4,"A+",IF(T186&lt;'PlayerGrades+'!$AI$3,"S-",IF(T186&lt;'PlayerGrades+'!$AI$2,"S","S+"))))))))))))))))))))</f>
        <v>C</v>
      </c>
      <c r="V186" s="939">
        <v>1.0</v>
      </c>
      <c r="W186" s="939">
        <v>1.0</v>
      </c>
      <c r="X186" s="939">
        <v>0.0</v>
      </c>
      <c r="Y186" s="939">
        <v>5.0</v>
      </c>
      <c r="Z186" s="939">
        <v>26.0</v>
      </c>
      <c r="AA186" s="939">
        <v>65.0</v>
      </c>
      <c r="AB186" s="939">
        <v>49.0</v>
      </c>
      <c r="AC186" s="939">
        <v>16.0</v>
      </c>
      <c r="AD186" s="939">
        <v>3.0</v>
      </c>
      <c r="AE186" s="939">
        <v>10.0</v>
      </c>
      <c r="AF186" s="939">
        <v>0.0</v>
      </c>
      <c r="AG186" s="939">
        <v>1957.0</v>
      </c>
      <c r="AH186" s="939">
        <v>2189.0</v>
      </c>
      <c r="AI186" s="939">
        <v>39.0</v>
      </c>
      <c r="AJ186" s="939">
        <v>1289.0</v>
      </c>
      <c r="AK186" s="939">
        <v>0.0</v>
      </c>
      <c r="AL186" s="939">
        <v>2.0</v>
      </c>
      <c r="AM186" s="939">
        <v>1.0</v>
      </c>
      <c r="AN186" s="939">
        <v>0.0</v>
      </c>
      <c r="AO186" s="939">
        <v>0.0</v>
      </c>
      <c r="AP186" s="939">
        <v>0.0</v>
      </c>
      <c r="AQ186" s="939">
        <v>0.0</v>
      </c>
      <c r="AR186" s="939">
        <v>7.0</v>
      </c>
      <c r="AS186" s="939">
        <v>0.0</v>
      </c>
      <c r="AT186" s="939">
        <v>0.0</v>
      </c>
      <c r="AU186" s="939">
        <v>0.0</v>
      </c>
      <c r="AV186" s="939">
        <v>0.0</v>
      </c>
      <c r="AW186" s="939">
        <v>0.0</v>
      </c>
      <c r="AX186" s="939">
        <v>0.0</v>
      </c>
      <c r="AY186" s="939">
        <v>0.0</v>
      </c>
      <c r="AZ186" s="939">
        <v>0.0</v>
      </c>
      <c r="BA186" s="939">
        <v>0.0</v>
      </c>
      <c r="BB186" s="939">
        <v>1.0</v>
      </c>
      <c r="BC186" s="939">
        <v>0.0</v>
      </c>
      <c r="BD186" s="939">
        <v>12.0</v>
      </c>
      <c r="BE186" s="939">
        <v>10.0</v>
      </c>
      <c r="BF186" s="939">
        <v>1.0</v>
      </c>
      <c r="BG186" s="940">
        <v>1.0</v>
      </c>
    </row>
    <row r="187">
      <c r="A187" s="935" t="s">
        <v>138</v>
      </c>
      <c r="B187" s="16" t="str">
        <f>IF(C187&lt;'PlayerGrades+'!$Y$44,"F-",IF(C187&lt;'PlayerGrades+'!$Y$43,"F",IF(C187&lt;'PlayerGrades+'!$Y$42,"F+",IF(C187&lt;'PlayerGrades+'!$Y$41,"E-",IF(C187&lt;'PlayerGrades+'!$Y$40,"E",IF(C187&lt;'PlayerGrades+'!$Y$39,"E+",IF(C187&lt;'PlayerGrades+'!$Y$38,"D-",IF(C187&lt;'PlayerGrades+'!$Y$37,"D",IF(C187&lt;'PlayerGrades+'!$Y$36,"D+",IF(C187&lt;'PlayerGrades+'!$Y$35,"C-",IF(C187&lt;'PlayerGrades+'!$Y$34,"C",IF(C187&lt;'PlayerGrades+'!$Y$33,"C+",IF(C187&lt;'PlayerGrades+'!$Y$32,"B-",IF(C187&lt;'PlayerGrades+'!$Y$31,"B",IF(C187&lt;'PlayerGrades+'!$Y$30,"B+",IF(C187&lt;'PlayerGrades+'!$Y$29,"A-",IF(C187&lt;'PlayerGrades+'!$Y$28,"A",IF(C187&lt;'PlayerGrades+'!$Y$27,"A+",IF(C187&lt;'PlayerGrades+'!$Y$26,"S-",IF(C187&lt;'PlayerGrades+'!$Y$25,"S","S+"))))))))))))))))))))</f>
        <v>D+</v>
      </c>
      <c r="C187" s="936">
        <f>('PlayerGrades+'!$Y$47*(VLOOKUP(E187, 'PlayerGrades+'!$X$3:$Y$23, 2, FALSE)))+('PlayerGrades+'!$Y$48*(VLOOKUP(G187, 'PlayerGrades+'!$X$3:$Y$23, 2, FALSE)))+('PlayerGrades+'!$Y$49*(VLOOKUP(I187, 'PlayerGrades+'!$X$3:$Y$23, 2, FALSE)))+('PlayerGrades+'!$Y$50*(VLOOKUP(K187, 'PlayerGrades+'!$X$3:$Y$23, 2, FALSE)))+('PlayerGrades+'!$Y$51*(VLOOKUP(M187, 'PlayerGrades+'!$X$3:$Y$23, 2, FALSE)))+('PlayerGrades+'!$Y$52*(VLOOKUP(O187, 'PlayerGrades+'!$X$3:$Y$23, 2, FALSE)))+('PlayerGrades+'!$Y$53*(VLOOKUP(Q187, 'PlayerGrades+'!$X$3:$Y$23, 2, FALSE)))+('PlayerGrades+'!$Y$54*(VLOOKUP(S187, 'PlayerGrades+'!$X$3:$Y$23, 2, FALSE)))+('PlayerGrades+'!$Y$55*(VLOOKUP(U187, 'PlayerGrades+'!$X$3:$Y$23, 2, FALSE)))</f>
        <v>17.3</v>
      </c>
      <c r="D187" s="937">
        <f t="shared" si="1"/>
        <v>0.02740977615</v>
      </c>
      <c r="E187" s="937" t="str">
        <f>IF(D187&lt;'PlayerGrades+'!$AA$21,"F-",IF(D187&lt;'PlayerGrades+'!$AA$20,"F",IF(D187&lt;'PlayerGrades+'!$AA$19,"F+",IF(D187&lt;'PlayerGrades+'!$AA$18,"E-",IF(D187&lt;'PlayerGrades+'!$AA$17,"E",IF(D187&lt;'PlayerGrades+'!$AA$16,"E+",IF(D187&lt;'PlayerGrades+'!$AA$15,"D-",IF(D187&lt;'PlayerGrades+'!$AA$14,"D",IF(D187&lt;'PlayerGrades+'!$AA$13,"D+",IF(D187&lt;'PlayerGrades+'!$AA$12,"C-",IF(D187&lt;'PlayerGrades+'!$AA$11,"C",IF(D187&lt;'PlayerGrades+'!$AA$10,"C+",IF(D187&lt;'PlayerGrades+'!$AA$9,"B-",IF(D187&lt;'PlayerGrades+'!$AA$8,"B",IF(D187&lt;'PlayerGrades+'!$AA$7,"B+",IF(D187&lt;'PlayerGrades+'!$AA$6,"A-",IF(D187&lt;'PlayerGrades+'!$AA$5,"A",IF(D187&lt;'PlayerGrades+'!$AA$4,"A+",IF(D187&lt;'PlayerGrades+'!$AA$3,"S-",IF(D187&lt;'PlayerGrades+'!$AA$2,"S","S+"))))))))))))))))))))</f>
        <v>D-</v>
      </c>
      <c r="F187" s="937">
        <f t="shared" si="2"/>
        <v>0.02740977615</v>
      </c>
      <c r="G187" s="937" t="str">
        <f>IF(F187&lt;'PlayerGrades+'!$AB$21,"F-",IF(F187&lt;'PlayerGrades+'!$AB$20,"F",IF(F187&lt;'PlayerGrades+'!$AB$19,"F+",IF(F187&lt;'PlayerGrades+'!$AB$18,"E-",IF(F187&lt;'PlayerGrades+'!$AB$17,"E",IF(F187&lt;'PlayerGrades+'!$AB$16,"E+",IF(F187&lt;'PlayerGrades+'!$AB$15,"D-",IF(F187&lt;'PlayerGrades+'!$AB$14,"D",IF(F187&lt;'PlayerGrades+'!$AB$13,"D+",IF(F187&lt;'PlayerGrades+'!$AB$12,"C-",IF(F187&lt;'PlayerGrades+'!$AB$11,"C",IF(F187&lt;'PlayerGrades+'!$AB$10,"C+",IF(F187&lt;'PlayerGrades+'!$AB$9,"B-",IF(F187&lt;'PlayerGrades+'!$AB$8,"B",IF(F187&lt;'PlayerGrades+'!$AB$7,"B+",IF(F187&lt;'PlayerGrades+'!$AB$6,"A-",IF(F187&lt;'PlayerGrades+'!$AB$5,"A",IF(F187&lt;'PlayerGrades+'!$AB$4,"A+",IF(F187&lt;'PlayerGrades+'!$AB$3,"S-",IF(F187&lt;'PlayerGrades+'!$AB$2,"S","S+"))))))))))))))))))))</f>
        <v>B</v>
      </c>
      <c r="H187" s="937">
        <f t="shared" si="3"/>
        <v>0.05481955231</v>
      </c>
      <c r="I187" s="937" t="str">
        <f>IF(H187&lt;'PlayerGrades+'!$AC$21,"F-",IF(H187&lt;'PlayerGrades+'!$AC$20,"F",IF(H187&lt;'PlayerGrades+'!$AC$19,"F+",IF(H187&lt;'PlayerGrades+'!$AC$18,"E-",IF(H187&lt;'PlayerGrades+'!$AC$17,"E",IF(H187&lt;'PlayerGrades+'!$AC$16,"E+",IF(H187&lt;'PlayerGrades+'!$AC$15,"D-",IF(H187&lt;'PlayerGrades+'!$AC$14,"D",IF(H187&lt;'PlayerGrades+'!$AC$13,"D+",IF(H187&lt;'PlayerGrades+'!$AC$12,"C-",IF(H187&lt;'PlayerGrades+'!$AC$11,"C",IF(H187&lt;'PlayerGrades+'!$AC$10,"C+",IF(H187&lt;'PlayerGrades+'!$AC$9,"B-",IF(H187&lt;'PlayerGrades+'!$AC$8,"B",IF(H187&lt;'PlayerGrades+'!$AC$7,"B+",IF(H187&lt;'PlayerGrades+'!$AC$6,"A-",IF(H187&lt;'PlayerGrades+'!$AC$5,"A",IF(H187&lt;'PlayerGrades+'!$AC$4,"A+",IF(H187&lt;'PlayerGrades+'!$AC$3,"S-",IF(H187&lt;'PlayerGrades+'!$AC$2,"S","S+"))))))))))))))))))))</f>
        <v>F+</v>
      </c>
      <c r="J187" s="937">
        <f t="shared" si="4"/>
        <v>0.02740977615</v>
      </c>
      <c r="K187" s="937" t="str">
        <f>IF(J187&lt;'PlayerGrades+'!$AD$21,"F-",IF(J187&lt;'PlayerGrades+'!$AD$20,"F",IF(J187&lt;'PlayerGrades+'!$AD$19,"F+",IF(J187&lt;'PlayerGrades+'!$AD$18,"E-",IF(J187&lt;'PlayerGrades+'!$AD$17,"E",IF(J187&lt;'PlayerGrades+'!$AD$16,"E+",IF(J187&lt;'PlayerGrades+'!$AD$15,"D-",IF(J187&lt;'PlayerGrades+'!$AD$14,"D",IF(J187&lt;'PlayerGrades+'!$AD$13,"D+",IF(J187&lt;'PlayerGrades+'!$AD$12,"C-",IF(J187&lt;'PlayerGrades+'!$AD$11,"C",IF(J187&lt;'PlayerGrades+'!$AD$10,"C+",IF(J187&lt;'PlayerGrades+'!$AD$9,"B-",IF(J187&lt;'PlayerGrades+'!$AD$8,"B",IF(J187&lt;'PlayerGrades+'!$AD$7,"B+",IF(J187&lt;'PlayerGrades+'!$AD$6,"A-",IF(J187&lt;'PlayerGrades+'!$AD$5,"A",IF(J187&lt;'PlayerGrades+'!$AD$4,"A+",IF(J187&lt;'PlayerGrades+'!$AD$3,"S-",IF(J187&lt;'PlayerGrades+'!$AD$2,"S","S+"))))))))))))))))))))</f>
        <v>D+</v>
      </c>
      <c r="L187" s="677">
        <f t="shared" si="5"/>
        <v>0.3837368661</v>
      </c>
      <c r="M187" s="938" t="str">
        <f>IF(L187&lt;'PlayerGrades+'!$AE$21,"F-",IF(L187&lt;'PlayerGrades+'!$AE$20,"F",IF(L187&lt;'PlayerGrades+'!$AE$19,"F+",IF(L187&lt;'PlayerGrades+'!$AE$18,"E-",IF(L187&lt;'PlayerGrades+'!$AE$17,"E",IF(L187&lt;'PlayerGrades+'!$AE$16,"E+",IF(L187&lt;'PlayerGrades+'!$AE$15,"D-",IF(L187&lt;'PlayerGrades+'!$AE$14,"D",IF(L187&lt;'PlayerGrades+'!$AE$13,"D+",IF(L187&lt;'PlayerGrades+'!$AE$12,"C-",IF(L187&lt;'PlayerGrades+'!$AE$11,"C",IF(L187&lt;'PlayerGrades+'!$AE$10,"C+",IF(L187&lt;'PlayerGrades+'!$AE$9,"B-",IF(L187&lt;'PlayerGrades+'!$AE$8,"B",IF(L187&lt;'PlayerGrades+'!$AE$7,"B+",IF(L187&lt;'PlayerGrades+'!$AE$6,"A-",IF(L187&lt;'PlayerGrades+'!$AE$5,"A",IF(L187&lt;'PlayerGrades+'!$AE$4,"A+",IF(L187&lt;'PlayerGrades+'!$AE$3,"S-",IF(L187&lt;'PlayerGrades+'!$AE$2,"S","S+"))))))))))))))))))))</f>
        <v>C</v>
      </c>
      <c r="N187" s="937">
        <f t="shared" si="6"/>
        <v>0.02740977615</v>
      </c>
      <c r="O187" s="937" t="str">
        <f>IF(N187&lt;'PlayerGrades+'!$AF$21,"F-",IF(N187&lt;'PlayerGrades+'!$AF$20,"F",IF(N187&lt;'PlayerGrades+'!$AF$19,"F+",IF(N187&lt;'PlayerGrades+'!$AF$18,"E-",IF(N187&lt;'PlayerGrades+'!$AF$17,"E",IF(N187&lt;'PlayerGrades+'!$AF$16,"E+",IF(N187&lt;'PlayerGrades+'!$AF$15,"D-",IF(N187&lt;'PlayerGrades+'!$AF$14,"D",IF(N187&lt;'PlayerGrades+'!$AF$13,"D+",IF(N187&lt;'PlayerGrades+'!$AF$12,"C-",IF(N187&lt;'PlayerGrades+'!$AF$11,"C",IF(N187&lt;'PlayerGrades+'!$AF$10,"C+",IF(N187&lt;'PlayerGrades+'!$AF$9,"B-",IF(N187&lt;'PlayerGrades+'!$AF$8,"B",IF(N187&lt;'PlayerGrades+'!$AF$7,"B+",IF(N187&lt;'PlayerGrades+'!$AF$6,"A-",IF(N187&lt;'PlayerGrades+'!$AF$5,"A",IF(N187&lt;'PlayerGrades+'!$AF$4,"A+",IF(N187&lt;'PlayerGrades+'!$AF$3,"S-",IF(N187&lt;'PlayerGrades+'!$AF$2,"S","S+"))))))))))))))))))))</f>
        <v>F</v>
      </c>
      <c r="P187" s="937">
        <f t="shared" si="7"/>
        <v>0.02740977615</v>
      </c>
      <c r="Q187" s="937" t="str">
        <f>IF(P187&lt;'PlayerGrades+'!$AG$21,"F-",IF(P187&lt;'PlayerGrades+'!$AG$20,"F",IF(P187&lt;'PlayerGrades+'!$AG$19,"F+",IF(P187&lt;'PlayerGrades+'!$AG$18,"E-",IF(P187&lt;'PlayerGrades+'!$AG$17,"E",IF(P187&lt;'PlayerGrades+'!$AG$16,"E+",IF(P187&lt;'PlayerGrades+'!$AG$15,"D-",IF(P187&lt;'PlayerGrades+'!$AG$14,"D",IF(P187&lt;'PlayerGrades+'!$AG$13,"D+",IF(P187&lt;'PlayerGrades+'!$AG$12,"C-",IF(P187&lt;'PlayerGrades+'!$AG$11,"C",IF(P187&lt;'PlayerGrades+'!$AG$10,"C+",IF(P187&lt;'PlayerGrades+'!$AG$9,"B-",IF(P187&lt;'PlayerGrades+'!$AG$8,"B",IF(P187&lt;'PlayerGrades+'!$AG$7,"B+",IF(P187&lt;'PlayerGrades+'!$AG$6,"A-",IF(P187&lt;'PlayerGrades+'!$AG$5,"A",IF(P187&lt;'PlayerGrades+'!$AG$4,"A+",IF(P187&lt;'PlayerGrades+'!$AG$3,"S-",IF(P187&lt;'PlayerGrades+'!$AG$2,"S","S+"))))))))))))))))))))</f>
        <v>B</v>
      </c>
      <c r="R187" s="937">
        <f t="shared" si="8"/>
        <v>0.5756052992</v>
      </c>
      <c r="S187" s="937" t="str">
        <f>IF(R187&lt;'PlayerGrades+'!$AH$21,"F-",IF(R187&lt;'PlayerGrades+'!$AH$20,"F",IF(R187&lt;'PlayerGrades+'!$AH$19,"F+",IF(R187&lt;'PlayerGrades+'!$AH$18,"E-",IF(R187&lt;'PlayerGrades+'!$AH$17,"E",IF(R187&lt;'PlayerGrades+'!$AH$16,"E+",IF(R187&lt;'PlayerGrades+'!$AH$15,"D-",IF(R187&lt;'PlayerGrades+'!$AH$14,"D",IF(R187&lt;'PlayerGrades+'!$AH$13,"D+",IF(R187&lt;'PlayerGrades+'!$AH$12,"C-",IF(R187&lt;'PlayerGrades+'!$AH$11,"C",IF(R187&lt;'PlayerGrades+'!$AH$10,"C+",IF(R187&lt;'PlayerGrades+'!$AH$9,"B-",IF(R187&lt;'PlayerGrades+'!$AH$8,"B",IF(R187&lt;'PlayerGrades+'!$AH$7,"B+",IF(R187&lt;'PlayerGrades+'!$AH$6,"A-",IF(R187&lt;'PlayerGrades+'!$AH$5,"A",IF(R187&lt;'PlayerGrades+'!$AH$4,"A+",IF(R187&lt;'PlayerGrades+'!$AH$3,"S-",IF(R187&lt;'PlayerGrades+'!$AH$2,"S","S+"))))))))))))))))))))</f>
        <v>B</v>
      </c>
      <c r="T187" s="937">
        <f t="shared" si="9"/>
        <v>1.438556418</v>
      </c>
      <c r="U187" s="937" t="str">
        <f>IF(T187&lt;'PlayerGrades+'!$AI$21,"F-",IF(T187&lt;'PlayerGrades+'!$AI$20,"F",IF(T187&lt;'PlayerGrades+'!$AI$19,"F+",IF(T187&lt;'PlayerGrades+'!$AI$18,"E-",IF(T187&lt;'PlayerGrades+'!$AI$17,"E",IF(T187&lt;'PlayerGrades+'!$AI$16,"E+",IF(T187&lt;'PlayerGrades+'!$AI$15,"D-",IF(T187&lt;'PlayerGrades+'!$AI$14,"D",IF(T187&lt;'PlayerGrades+'!$AI$13,"D+",IF(T187&lt;'PlayerGrades+'!$AI$12,"C-",IF(T187&lt;'PlayerGrades+'!$AI$11,"C",IF(T187&lt;'PlayerGrades+'!$AI$10,"C+",IF(T187&lt;'PlayerGrades+'!$AI$9,"B-",IF(T187&lt;'PlayerGrades+'!$AI$8,"B",IF(T187&lt;'PlayerGrades+'!$AI$7,"B+",IF(T187&lt;'PlayerGrades+'!$AI$6,"A-",IF(T187&lt;'PlayerGrades+'!$AI$5,"A",IF(T187&lt;'PlayerGrades+'!$AI$4,"A+",IF(T187&lt;'PlayerGrades+'!$AI$3,"S-",IF(T187&lt;'PlayerGrades+'!$AI$2,"S","S+"))))))))))))))))))))</f>
        <v>B+</v>
      </c>
      <c r="V187" s="941">
        <v>1.0</v>
      </c>
      <c r="W187" s="941">
        <v>1.0</v>
      </c>
      <c r="X187" s="941">
        <v>0.0</v>
      </c>
      <c r="Y187" s="941">
        <v>0.0</v>
      </c>
      <c r="Z187" s="941">
        <v>1.0</v>
      </c>
      <c r="AA187" s="941">
        <v>139.0</v>
      </c>
      <c r="AB187" s="941">
        <v>138.0</v>
      </c>
      <c r="AC187" s="941">
        <v>1.0</v>
      </c>
      <c r="AD187" s="941">
        <v>7.0</v>
      </c>
      <c r="AE187" s="941">
        <v>5.0</v>
      </c>
      <c r="AF187" s="941">
        <v>1.0</v>
      </c>
      <c r="AG187" s="941">
        <v>1682.0</v>
      </c>
      <c r="AH187" s="941">
        <v>2189.0</v>
      </c>
      <c r="AI187" s="941">
        <v>12.0</v>
      </c>
      <c r="AJ187" s="941">
        <v>25.0</v>
      </c>
      <c r="AK187" s="941">
        <v>0.0</v>
      </c>
      <c r="AL187" s="941">
        <v>1.0</v>
      </c>
      <c r="AM187" s="941">
        <v>0.0</v>
      </c>
      <c r="AN187" s="941">
        <v>0.0</v>
      </c>
      <c r="AO187" s="941">
        <v>0.0</v>
      </c>
      <c r="AP187" s="941">
        <v>1.0</v>
      </c>
      <c r="AQ187" s="941">
        <v>0.0</v>
      </c>
      <c r="AR187" s="941">
        <v>14.0</v>
      </c>
      <c r="AS187" s="941">
        <v>1.0</v>
      </c>
      <c r="AT187" s="941">
        <v>0.0</v>
      </c>
      <c r="AU187" s="941">
        <v>0.0</v>
      </c>
      <c r="AV187" s="941">
        <v>0.0</v>
      </c>
      <c r="AW187" s="941">
        <v>0.0</v>
      </c>
      <c r="AX187" s="941">
        <v>0.0</v>
      </c>
      <c r="AY187" s="941">
        <v>0.0</v>
      </c>
      <c r="AZ187" s="941">
        <v>0.0</v>
      </c>
      <c r="BA187" s="941">
        <v>0.0</v>
      </c>
      <c r="BB187" s="941">
        <v>2.0</v>
      </c>
      <c r="BC187" s="941">
        <v>0.0</v>
      </c>
      <c r="BD187" s="941">
        <v>14.0</v>
      </c>
      <c r="BE187" s="941">
        <v>16.0</v>
      </c>
      <c r="BF187" s="941">
        <v>1.0</v>
      </c>
      <c r="BG187" s="942">
        <v>1.0</v>
      </c>
    </row>
    <row r="188">
      <c r="A188" s="935" t="s">
        <v>392</v>
      </c>
      <c r="B188" s="16" t="str">
        <f>IF(C188&lt;'PlayerGrades+'!$Y$44,"F-",IF(C188&lt;'PlayerGrades+'!$Y$43,"F",IF(C188&lt;'PlayerGrades+'!$Y$42,"F+",IF(C188&lt;'PlayerGrades+'!$Y$41,"E-",IF(C188&lt;'PlayerGrades+'!$Y$40,"E",IF(C188&lt;'PlayerGrades+'!$Y$39,"E+",IF(C188&lt;'PlayerGrades+'!$Y$38,"D-",IF(C188&lt;'PlayerGrades+'!$Y$37,"D",IF(C188&lt;'PlayerGrades+'!$Y$36,"D+",IF(C188&lt;'PlayerGrades+'!$Y$35,"C-",IF(C188&lt;'PlayerGrades+'!$Y$34,"C",IF(C188&lt;'PlayerGrades+'!$Y$33,"C+",IF(C188&lt;'PlayerGrades+'!$Y$32,"B-",IF(C188&lt;'PlayerGrades+'!$Y$31,"B",IF(C188&lt;'PlayerGrades+'!$Y$30,"B+",IF(C188&lt;'PlayerGrades+'!$Y$29,"A-",IF(C188&lt;'PlayerGrades+'!$Y$28,"A",IF(C188&lt;'PlayerGrades+'!$Y$27,"A+",IF(C188&lt;'PlayerGrades+'!$Y$26,"S-",IF(C188&lt;'PlayerGrades+'!$Y$25,"S","S+"))))))))))))))))))))</f>
        <v>A</v>
      </c>
      <c r="C188" s="936">
        <f>('PlayerGrades+'!$Y$47*(VLOOKUP(E188, 'PlayerGrades+'!$X$3:$Y$23, 2, FALSE)))+('PlayerGrades+'!$Y$48*(VLOOKUP(G188, 'PlayerGrades+'!$X$3:$Y$23, 2, FALSE)))+('PlayerGrades+'!$Y$49*(VLOOKUP(I188, 'PlayerGrades+'!$X$3:$Y$23, 2, FALSE)))+('PlayerGrades+'!$Y$50*(VLOOKUP(K188, 'PlayerGrades+'!$X$3:$Y$23, 2, FALSE)))+('PlayerGrades+'!$Y$51*(VLOOKUP(M188, 'PlayerGrades+'!$X$3:$Y$23, 2, FALSE)))+('PlayerGrades+'!$Y$52*(VLOOKUP(O188, 'PlayerGrades+'!$X$3:$Y$23, 2, FALSE)))+('PlayerGrades+'!$Y$53*(VLOOKUP(Q188, 'PlayerGrades+'!$X$3:$Y$23, 2, FALSE)))+('PlayerGrades+'!$Y$54*(VLOOKUP(S188, 'PlayerGrades+'!$X$3:$Y$23, 2, FALSE)))+('PlayerGrades+'!$Y$55*(VLOOKUP(U188, 'PlayerGrades+'!$X$3:$Y$23, 2, FALSE)))</f>
        <v>26.3</v>
      </c>
      <c r="D188" s="937">
        <f t="shared" si="1"/>
        <v>0</v>
      </c>
      <c r="E188" s="937" t="str">
        <f>IF(D188&lt;'PlayerGrades+'!$AA$21,"F-",IF(D188&lt;'PlayerGrades+'!$AA$20,"F",IF(D188&lt;'PlayerGrades+'!$AA$19,"F+",IF(D188&lt;'PlayerGrades+'!$AA$18,"E-",IF(D188&lt;'PlayerGrades+'!$AA$17,"E",IF(D188&lt;'PlayerGrades+'!$AA$16,"E+",IF(D188&lt;'PlayerGrades+'!$AA$15,"D-",IF(D188&lt;'PlayerGrades+'!$AA$14,"D",IF(D188&lt;'PlayerGrades+'!$AA$13,"D+",IF(D188&lt;'PlayerGrades+'!$AA$12,"C-",IF(D188&lt;'PlayerGrades+'!$AA$11,"C",IF(D188&lt;'PlayerGrades+'!$AA$10,"C+",IF(D188&lt;'PlayerGrades+'!$AA$9,"B-",IF(D188&lt;'PlayerGrades+'!$AA$8,"B",IF(D188&lt;'PlayerGrades+'!$AA$7,"B+",IF(D188&lt;'PlayerGrades+'!$AA$6,"A-",IF(D188&lt;'PlayerGrades+'!$AA$5,"A",IF(D188&lt;'PlayerGrades+'!$AA$4,"A+",IF(D188&lt;'PlayerGrades+'!$AA$3,"S-",IF(D188&lt;'PlayerGrades+'!$AA$2,"S","S+"))))))))))))))))))))</f>
        <v>F-</v>
      </c>
      <c r="F188" s="937">
        <f t="shared" si="2"/>
        <v>0.1644586569</v>
      </c>
      <c r="G188" s="937" t="str">
        <f>IF(F188&lt;'PlayerGrades+'!$AB$21,"F-",IF(F188&lt;'PlayerGrades+'!$AB$20,"F",IF(F188&lt;'PlayerGrades+'!$AB$19,"F+",IF(F188&lt;'PlayerGrades+'!$AB$18,"E-",IF(F188&lt;'PlayerGrades+'!$AB$17,"E",IF(F188&lt;'PlayerGrades+'!$AB$16,"E+",IF(F188&lt;'PlayerGrades+'!$AB$15,"D-",IF(F188&lt;'PlayerGrades+'!$AB$14,"D",IF(F188&lt;'PlayerGrades+'!$AB$13,"D+",IF(F188&lt;'PlayerGrades+'!$AB$12,"C-",IF(F188&lt;'PlayerGrades+'!$AB$11,"C",IF(F188&lt;'PlayerGrades+'!$AB$10,"C+",IF(F188&lt;'PlayerGrades+'!$AB$9,"B-",IF(F188&lt;'PlayerGrades+'!$AB$8,"B",IF(F188&lt;'PlayerGrades+'!$AB$7,"B+",IF(F188&lt;'PlayerGrades+'!$AB$6,"A-",IF(F188&lt;'PlayerGrades+'!$AB$5,"A",IF(F188&lt;'PlayerGrades+'!$AB$4,"A+",IF(F188&lt;'PlayerGrades+'!$AB$3,"S-",IF(F188&lt;'PlayerGrades+'!$AB$2,"S","S+"))))))))))))))))))))</f>
        <v>B+</v>
      </c>
      <c r="H188" s="937">
        <f t="shared" si="3"/>
        <v>0.1096391046</v>
      </c>
      <c r="I188" s="937" t="str">
        <f>IF(H188&lt;'PlayerGrades+'!$AC$21,"F-",IF(H188&lt;'PlayerGrades+'!$AC$20,"F",IF(H188&lt;'PlayerGrades+'!$AC$19,"F+",IF(H188&lt;'PlayerGrades+'!$AC$18,"E-",IF(H188&lt;'PlayerGrades+'!$AC$17,"E",IF(H188&lt;'PlayerGrades+'!$AC$16,"E+",IF(H188&lt;'PlayerGrades+'!$AC$15,"D-",IF(H188&lt;'PlayerGrades+'!$AC$14,"D",IF(H188&lt;'PlayerGrades+'!$AC$13,"D+",IF(H188&lt;'PlayerGrades+'!$AC$12,"C-",IF(H188&lt;'PlayerGrades+'!$AC$11,"C",IF(H188&lt;'PlayerGrades+'!$AC$10,"C+",IF(H188&lt;'PlayerGrades+'!$AC$9,"B-",IF(H188&lt;'PlayerGrades+'!$AC$8,"B",IF(H188&lt;'PlayerGrades+'!$AC$7,"B+",IF(H188&lt;'PlayerGrades+'!$AC$6,"A-",IF(H188&lt;'PlayerGrades+'!$AC$5,"A",IF(H188&lt;'PlayerGrades+'!$AC$4,"A+",IF(H188&lt;'PlayerGrades+'!$AC$3,"S-",IF(H188&lt;'PlayerGrades+'!$AC$2,"S","S+"))))))))))))))))))))</f>
        <v>C</v>
      </c>
      <c r="J188" s="937">
        <f t="shared" si="4"/>
        <v>0.1370488808</v>
      </c>
      <c r="K188" s="937" t="str">
        <f>IF(J188&lt;'PlayerGrades+'!$AD$21,"F-",IF(J188&lt;'PlayerGrades+'!$AD$20,"F",IF(J188&lt;'PlayerGrades+'!$AD$19,"F+",IF(J188&lt;'PlayerGrades+'!$AD$18,"E-",IF(J188&lt;'PlayerGrades+'!$AD$17,"E",IF(J188&lt;'PlayerGrades+'!$AD$16,"E+",IF(J188&lt;'PlayerGrades+'!$AD$15,"D-",IF(J188&lt;'PlayerGrades+'!$AD$14,"D",IF(J188&lt;'PlayerGrades+'!$AD$13,"D+",IF(J188&lt;'PlayerGrades+'!$AD$12,"C-",IF(J188&lt;'PlayerGrades+'!$AD$11,"C",IF(J188&lt;'PlayerGrades+'!$AD$10,"C+",IF(J188&lt;'PlayerGrades+'!$AD$9,"B-",IF(J188&lt;'PlayerGrades+'!$AD$8,"B",IF(J188&lt;'PlayerGrades+'!$AD$7,"B+",IF(J188&lt;'PlayerGrades+'!$AD$6,"A-",IF(J188&lt;'PlayerGrades+'!$AD$5,"A",IF(J188&lt;'PlayerGrades+'!$AD$4,"A+",IF(J188&lt;'PlayerGrades+'!$AD$3,"S-",IF(J188&lt;'PlayerGrades+'!$AD$2,"S","S+"))))))))))))))))))))</f>
        <v>S+</v>
      </c>
      <c r="L188" s="677">
        <f t="shared" si="5"/>
        <v>0.71265418</v>
      </c>
      <c r="M188" s="938" t="str">
        <f>IF(L188&lt;'PlayerGrades+'!$AE$21,"F-",IF(L188&lt;'PlayerGrades+'!$AE$20,"F",IF(L188&lt;'PlayerGrades+'!$AE$19,"F+",IF(L188&lt;'PlayerGrades+'!$AE$18,"E-",IF(L188&lt;'PlayerGrades+'!$AE$17,"E",IF(L188&lt;'PlayerGrades+'!$AE$16,"E+",IF(L188&lt;'PlayerGrades+'!$AE$15,"D-",IF(L188&lt;'PlayerGrades+'!$AE$14,"D",IF(L188&lt;'PlayerGrades+'!$AE$13,"D+",IF(L188&lt;'PlayerGrades+'!$AE$12,"C-",IF(L188&lt;'PlayerGrades+'!$AE$11,"C",IF(L188&lt;'PlayerGrades+'!$AE$10,"C+",IF(L188&lt;'PlayerGrades+'!$AE$9,"B-",IF(L188&lt;'PlayerGrades+'!$AE$8,"B",IF(L188&lt;'PlayerGrades+'!$AE$7,"B+",IF(L188&lt;'PlayerGrades+'!$AE$6,"A-",IF(L188&lt;'PlayerGrades+'!$AE$5,"A",IF(L188&lt;'PlayerGrades+'!$AE$4,"A+",IF(L188&lt;'PlayerGrades+'!$AE$3,"S-",IF(L188&lt;'PlayerGrades+'!$AE$2,"S","S+"))))))))))))))))))))</f>
        <v>S+</v>
      </c>
      <c r="N188" s="937">
        <f t="shared" si="6"/>
        <v>0.1918684331</v>
      </c>
      <c r="O188" s="937" t="str">
        <f>IF(N188&lt;'PlayerGrades+'!$AF$21,"F-",IF(N188&lt;'PlayerGrades+'!$AF$20,"F",IF(N188&lt;'PlayerGrades+'!$AF$19,"F+",IF(N188&lt;'PlayerGrades+'!$AF$18,"E-",IF(N188&lt;'PlayerGrades+'!$AF$17,"E",IF(N188&lt;'PlayerGrades+'!$AF$16,"E+",IF(N188&lt;'PlayerGrades+'!$AF$15,"D-",IF(N188&lt;'PlayerGrades+'!$AF$14,"D",IF(N188&lt;'PlayerGrades+'!$AF$13,"D+",IF(N188&lt;'PlayerGrades+'!$AF$12,"C-",IF(N188&lt;'PlayerGrades+'!$AF$11,"C",IF(N188&lt;'PlayerGrades+'!$AF$10,"C+",IF(N188&lt;'PlayerGrades+'!$AF$9,"B-",IF(N188&lt;'PlayerGrades+'!$AF$8,"B",IF(N188&lt;'PlayerGrades+'!$AF$7,"B+",IF(N188&lt;'PlayerGrades+'!$AF$6,"A-",IF(N188&lt;'PlayerGrades+'!$AF$5,"A",IF(N188&lt;'PlayerGrades+'!$AF$4,"A+",IF(N188&lt;'PlayerGrades+'!$AF$3,"S-",IF(N188&lt;'PlayerGrades+'!$AF$2,"S","S+"))))))))))))))))))))</f>
        <v>S+</v>
      </c>
      <c r="P188" s="937">
        <f t="shared" si="7"/>
        <v>0.1096391046</v>
      </c>
      <c r="Q188" s="937" t="str">
        <f>IF(P188&lt;'PlayerGrades+'!$AG$21,"F-",IF(P188&lt;'PlayerGrades+'!$AG$20,"F",IF(P188&lt;'PlayerGrades+'!$AG$19,"F+",IF(P188&lt;'PlayerGrades+'!$AG$18,"E-",IF(P188&lt;'PlayerGrades+'!$AG$17,"E",IF(P188&lt;'PlayerGrades+'!$AG$16,"E+",IF(P188&lt;'PlayerGrades+'!$AG$15,"D-",IF(P188&lt;'PlayerGrades+'!$AG$14,"D",IF(P188&lt;'PlayerGrades+'!$AG$13,"D+",IF(P188&lt;'PlayerGrades+'!$AG$12,"C-",IF(P188&lt;'PlayerGrades+'!$AG$11,"C",IF(P188&lt;'PlayerGrades+'!$AG$10,"C+",IF(P188&lt;'PlayerGrades+'!$AG$9,"B-",IF(P188&lt;'PlayerGrades+'!$AG$8,"B",IF(P188&lt;'PlayerGrades+'!$AG$7,"B+",IF(P188&lt;'PlayerGrades+'!$AG$6,"A-",IF(P188&lt;'PlayerGrades+'!$AG$5,"A",IF(P188&lt;'PlayerGrades+'!$AG$4,"A+",IF(P188&lt;'PlayerGrades+'!$AG$3,"S-",IF(P188&lt;'PlayerGrades+'!$AG$2,"S","S+"))))))))))))))))))))</f>
        <v>S+</v>
      </c>
      <c r="R188" s="937">
        <f t="shared" si="8"/>
        <v>0.4933759708</v>
      </c>
      <c r="S188" s="937" t="str">
        <f>IF(R188&lt;'PlayerGrades+'!$AH$21,"F-",IF(R188&lt;'PlayerGrades+'!$AH$20,"F",IF(R188&lt;'PlayerGrades+'!$AH$19,"F+",IF(R188&lt;'PlayerGrades+'!$AH$18,"E-",IF(R188&lt;'PlayerGrades+'!$AH$17,"E",IF(R188&lt;'PlayerGrades+'!$AH$16,"E+",IF(R188&lt;'PlayerGrades+'!$AH$15,"D-",IF(R188&lt;'PlayerGrades+'!$AH$14,"D",IF(R188&lt;'PlayerGrades+'!$AH$13,"D+",IF(R188&lt;'PlayerGrades+'!$AH$12,"C-",IF(R188&lt;'PlayerGrades+'!$AH$11,"C",IF(R188&lt;'PlayerGrades+'!$AH$10,"C+",IF(R188&lt;'PlayerGrades+'!$AH$9,"B-",IF(R188&lt;'PlayerGrades+'!$AH$8,"B",IF(R188&lt;'PlayerGrades+'!$AH$7,"B+",IF(R188&lt;'PlayerGrades+'!$AH$6,"A-",IF(R188&lt;'PlayerGrades+'!$AH$5,"A",IF(R188&lt;'PlayerGrades+'!$AH$4,"A+",IF(R188&lt;'PlayerGrades+'!$AH$3,"S-",IF(R188&lt;'PlayerGrades+'!$AH$2,"S","S+"))))))))))))))))))))</f>
        <v>D-</v>
      </c>
      <c r="T188" s="937">
        <f t="shared" si="9"/>
        <v>1.849703061</v>
      </c>
      <c r="U188" s="937" t="str">
        <f>IF(T188&lt;'PlayerGrades+'!$AI$21,"F-",IF(T188&lt;'PlayerGrades+'!$AI$20,"F",IF(T188&lt;'PlayerGrades+'!$AI$19,"F+",IF(T188&lt;'PlayerGrades+'!$AI$18,"E-",IF(T188&lt;'PlayerGrades+'!$AI$17,"E",IF(T188&lt;'PlayerGrades+'!$AI$16,"E+",IF(T188&lt;'PlayerGrades+'!$AI$15,"D-",IF(T188&lt;'PlayerGrades+'!$AI$14,"D",IF(T188&lt;'PlayerGrades+'!$AI$13,"D+",IF(T188&lt;'PlayerGrades+'!$AI$12,"C-",IF(T188&lt;'PlayerGrades+'!$AI$11,"C",IF(T188&lt;'PlayerGrades+'!$AI$10,"C+",IF(T188&lt;'PlayerGrades+'!$AI$9,"B-",IF(T188&lt;'PlayerGrades+'!$AI$8,"B",IF(T188&lt;'PlayerGrades+'!$AI$7,"B+",IF(T188&lt;'PlayerGrades+'!$AI$6,"A-",IF(T188&lt;'PlayerGrades+'!$AI$5,"A",IF(T188&lt;'PlayerGrades+'!$AI$4,"A+",IF(T188&lt;'PlayerGrades+'!$AI$3,"S-",IF(T188&lt;'PlayerGrades+'!$AI$2,"S","S+"))))))))))))))))))))</f>
        <v>S</v>
      </c>
      <c r="V188" s="941">
        <v>1.0</v>
      </c>
      <c r="W188" s="941">
        <v>1.0</v>
      </c>
      <c r="X188" s="941">
        <v>0.0</v>
      </c>
      <c r="Y188" s="941">
        <v>0.0</v>
      </c>
      <c r="Z188" s="941">
        <v>0.0</v>
      </c>
      <c r="AA188" s="941">
        <v>156.0</v>
      </c>
      <c r="AB188" s="941">
        <v>150.0</v>
      </c>
      <c r="AC188" s="941">
        <v>6.0</v>
      </c>
      <c r="AD188" s="941">
        <v>11.0</v>
      </c>
      <c r="AE188" s="941">
        <v>6.0</v>
      </c>
      <c r="AF188" s="941">
        <v>1.0</v>
      </c>
      <c r="AG188" s="941">
        <v>1643.0</v>
      </c>
      <c r="AH188" s="941">
        <v>2189.0</v>
      </c>
      <c r="AI188" s="941">
        <v>10.0</v>
      </c>
      <c r="AJ188" s="941">
        <v>2.0</v>
      </c>
      <c r="AK188" s="941">
        <v>0.0</v>
      </c>
      <c r="AL188" s="941">
        <v>5.0</v>
      </c>
      <c r="AM188" s="941">
        <v>0.0</v>
      </c>
      <c r="AN188" s="941">
        <v>0.0</v>
      </c>
      <c r="AO188" s="941">
        <v>0.0</v>
      </c>
      <c r="AP188" s="941">
        <v>4.0</v>
      </c>
      <c r="AQ188" s="941">
        <v>0.0</v>
      </c>
      <c r="AR188" s="941">
        <v>26.0</v>
      </c>
      <c r="AS188" s="941">
        <v>7.0</v>
      </c>
      <c r="AT188" s="941">
        <v>1.0</v>
      </c>
      <c r="AU188" s="941">
        <v>0.0</v>
      </c>
      <c r="AV188" s="941">
        <v>0.0</v>
      </c>
      <c r="AW188" s="941">
        <v>0.0</v>
      </c>
      <c r="AX188" s="941">
        <v>0.0</v>
      </c>
      <c r="AY188" s="941">
        <v>0.0</v>
      </c>
      <c r="AZ188" s="941">
        <v>0.0</v>
      </c>
      <c r="BA188" s="941">
        <v>0.0</v>
      </c>
      <c r="BB188" s="941">
        <v>4.0</v>
      </c>
      <c r="BC188" s="941">
        <v>0.0</v>
      </c>
      <c r="BD188" s="941">
        <v>7.0</v>
      </c>
      <c r="BE188" s="941">
        <v>31.0</v>
      </c>
      <c r="BF188" s="941">
        <v>1.0</v>
      </c>
      <c r="BG188" s="942">
        <v>1.0</v>
      </c>
    </row>
    <row r="189">
      <c r="A189" s="935" t="s">
        <v>418</v>
      </c>
      <c r="B189" s="16" t="str">
        <f>IF(C189&lt;'PlayerGrades+'!$Y$44,"F-",IF(C189&lt;'PlayerGrades+'!$Y$43,"F",IF(C189&lt;'PlayerGrades+'!$Y$42,"F+",IF(C189&lt;'PlayerGrades+'!$Y$41,"E-",IF(C189&lt;'PlayerGrades+'!$Y$40,"E",IF(C189&lt;'PlayerGrades+'!$Y$39,"E+",IF(C189&lt;'PlayerGrades+'!$Y$38,"D-",IF(C189&lt;'PlayerGrades+'!$Y$37,"D",IF(C189&lt;'PlayerGrades+'!$Y$36,"D+",IF(C189&lt;'PlayerGrades+'!$Y$35,"C-",IF(C189&lt;'PlayerGrades+'!$Y$34,"C",IF(C189&lt;'PlayerGrades+'!$Y$33,"C+",IF(C189&lt;'PlayerGrades+'!$Y$32,"B-",IF(C189&lt;'PlayerGrades+'!$Y$31,"B",IF(C189&lt;'PlayerGrades+'!$Y$30,"B+",IF(C189&lt;'PlayerGrades+'!$Y$29,"A-",IF(C189&lt;'PlayerGrades+'!$Y$28,"A",IF(C189&lt;'PlayerGrades+'!$Y$27,"A+",IF(C189&lt;'PlayerGrades+'!$Y$26,"S-",IF(C189&lt;'PlayerGrades+'!$Y$25,"S","S+"))))))))))))))))))))</f>
        <v>A</v>
      </c>
      <c r="C189" s="936">
        <f>('PlayerGrades+'!$Y$47*(VLOOKUP(E189, 'PlayerGrades+'!$X$3:$Y$23, 2, FALSE)))+('PlayerGrades+'!$Y$48*(VLOOKUP(G189, 'PlayerGrades+'!$X$3:$Y$23, 2, FALSE)))+('PlayerGrades+'!$Y$49*(VLOOKUP(I189, 'PlayerGrades+'!$X$3:$Y$23, 2, FALSE)))+('PlayerGrades+'!$Y$50*(VLOOKUP(K189, 'PlayerGrades+'!$X$3:$Y$23, 2, FALSE)))+('PlayerGrades+'!$Y$51*(VLOOKUP(M189, 'PlayerGrades+'!$X$3:$Y$23, 2, FALSE)))+('PlayerGrades+'!$Y$52*(VLOOKUP(O189, 'PlayerGrades+'!$X$3:$Y$23, 2, FALSE)))+('PlayerGrades+'!$Y$53*(VLOOKUP(Q189, 'PlayerGrades+'!$X$3:$Y$23, 2, FALSE)))+('PlayerGrades+'!$Y$54*(VLOOKUP(S189, 'PlayerGrades+'!$X$3:$Y$23, 2, FALSE)))+('PlayerGrades+'!$Y$55*(VLOOKUP(U189, 'PlayerGrades+'!$X$3:$Y$23, 2, FALSE)))</f>
        <v>26.2</v>
      </c>
      <c r="D189" s="937">
        <f t="shared" si="1"/>
        <v>0</v>
      </c>
      <c r="E189" s="937" t="str">
        <f>IF(D189&lt;'PlayerGrades+'!$AA$21,"F-",IF(D189&lt;'PlayerGrades+'!$AA$20,"F",IF(D189&lt;'PlayerGrades+'!$AA$19,"F+",IF(D189&lt;'PlayerGrades+'!$AA$18,"E-",IF(D189&lt;'PlayerGrades+'!$AA$17,"E",IF(D189&lt;'PlayerGrades+'!$AA$16,"E+",IF(D189&lt;'PlayerGrades+'!$AA$15,"D-",IF(D189&lt;'PlayerGrades+'!$AA$14,"D",IF(D189&lt;'PlayerGrades+'!$AA$13,"D+",IF(D189&lt;'PlayerGrades+'!$AA$12,"C-",IF(D189&lt;'PlayerGrades+'!$AA$11,"C",IF(D189&lt;'PlayerGrades+'!$AA$10,"C+",IF(D189&lt;'PlayerGrades+'!$AA$9,"B-",IF(D189&lt;'PlayerGrades+'!$AA$8,"B",IF(D189&lt;'PlayerGrades+'!$AA$7,"B+",IF(D189&lt;'PlayerGrades+'!$AA$6,"A-",IF(D189&lt;'PlayerGrades+'!$AA$5,"A",IF(D189&lt;'PlayerGrades+'!$AA$4,"A+",IF(D189&lt;'PlayerGrades+'!$AA$3,"S-",IF(D189&lt;'PlayerGrades+'!$AA$2,"S","S+"))))))))))))))))))))</f>
        <v>F-</v>
      </c>
      <c r="F189" s="937">
        <f t="shared" si="2"/>
        <v>0.71265418</v>
      </c>
      <c r="G189" s="937" t="str">
        <f>IF(F189&lt;'PlayerGrades+'!$AB$21,"F-",IF(F189&lt;'PlayerGrades+'!$AB$20,"F",IF(F189&lt;'PlayerGrades+'!$AB$19,"F+",IF(F189&lt;'PlayerGrades+'!$AB$18,"E-",IF(F189&lt;'PlayerGrades+'!$AB$17,"E",IF(F189&lt;'PlayerGrades+'!$AB$16,"E+",IF(F189&lt;'PlayerGrades+'!$AB$15,"D-",IF(F189&lt;'PlayerGrades+'!$AB$14,"D",IF(F189&lt;'PlayerGrades+'!$AB$13,"D+",IF(F189&lt;'PlayerGrades+'!$AB$12,"C-",IF(F189&lt;'PlayerGrades+'!$AB$11,"C",IF(F189&lt;'PlayerGrades+'!$AB$10,"C+",IF(F189&lt;'PlayerGrades+'!$AB$9,"B-",IF(F189&lt;'PlayerGrades+'!$AB$8,"B",IF(F189&lt;'PlayerGrades+'!$AB$7,"B+",IF(F189&lt;'PlayerGrades+'!$AB$6,"A-",IF(F189&lt;'PlayerGrades+'!$AB$5,"A",IF(F189&lt;'PlayerGrades+'!$AB$4,"A+",IF(F189&lt;'PlayerGrades+'!$AB$3,"S-",IF(F189&lt;'PlayerGrades+'!$AB$2,"S","S+"))))))))))))))))))))</f>
        <v>S-</v>
      </c>
      <c r="H189" s="937">
        <f t="shared" si="3"/>
        <v>0.1644586569</v>
      </c>
      <c r="I189" s="937" t="str">
        <f>IF(H189&lt;'PlayerGrades+'!$AC$21,"F-",IF(H189&lt;'PlayerGrades+'!$AC$20,"F",IF(H189&lt;'PlayerGrades+'!$AC$19,"F+",IF(H189&lt;'PlayerGrades+'!$AC$18,"E-",IF(H189&lt;'PlayerGrades+'!$AC$17,"E",IF(H189&lt;'PlayerGrades+'!$AC$16,"E+",IF(H189&lt;'PlayerGrades+'!$AC$15,"D-",IF(H189&lt;'PlayerGrades+'!$AC$14,"D",IF(H189&lt;'PlayerGrades+'!$AC$13,"D+",IF(H189&lt;'PlayerGrades+'!$AC$12,"C-",IF(H189&lt;'PlayerGrades+'!$AC$11,"C",IF(H189&lt;'PlayerGrades+'!$AC$10,"C+",IF(H189&lt;'PlayerGrades+'!$AC$9,"B-",IF(H189&lt;'PlayerGrades+'!$AC$8,"B",IF(H189&lt;'PlayerGrades+'!$AC$7,"B+",IF(H189&lt;'PlayerGrades+'!$AC$6,"A-",IF(H189&lt;'PlayerGrades+'!$AC$5,"A",IF(H189&lt;'PlayerGrades+'!$AC$4,"A+",IF(H189&lt;'PlayerGrades+'!$AC$3,"S-",IF(H189&lt;'PlayerGrades+'!$AC$2,"S","S+"))))))))))))))))))))</f>
        <v>A+</v>
      </c>
      <c r="J189" s="937">
        <f t="shared" si="4"/>
        <v>0.08222932846</v>
      </c>
      <c r="K189" s="937" t="str">
        <f>IF(J189&lt;'PlayerGrades+'!$AD$21,"F-",IF(J189&lt;'PlayerGrades+'!$AD$20,"F",IF(J189&lt;'PlayerGrades+'!$AD$19,"F+",IF(J189&lt;'PlayerGrades+'!$AD$18,"E-",IF(J189&lt;'PlayerGrades+'!$AD$17,"E",IF(J189&lt;'PlayerGrades+'!$AD$16,"E+",IF(J189&lt;'PlayerGrades+'!$AD$15,"D-",IF(J189&lt;'PlayerGrades+'!$AD$14,"D",IF(J189&lt;'PlayerGrades+'!$AD$13,"D+",IF(J189&lt;'PlayerGrades+'!$AD$12,"C-",IF(J189&lt;'PlayerGrades+'!$AD$11,"C",IF(J189&lt;'PlayerGrades+'!$AD$10,"C+",IF(J189&lt;'PlayerGrades+'!$AD$9,"B-",IF(J189&lt;'PlayerGrades+'!$AD$8,"B",IF(J189&lt;'PlayerGrades+'!$AD$7,"B+",IF(J189&lt;'PlayerGrades+'!$AD$6,"A-",IF(J189&lt;'PlayerGrades+'!$AD$5,"A",IF(J189&lt;'PlayerGrades+'!$AD$4,"A+",IF(J189&lt;'PlayerGrades+'!$AD$3,"S-",IF(J189&lt;'PlayerGrades+'!$AD$2,"S","S+"))))))))))))))))))))</f>
        <v>A+</v>
      </c>
      <c r="L189" s="677">
        <f t="shared" si="5"/>
        <v>0.5207857469</v>
      </c>
      <c r="M189" s="938" t="str">
        <f>IF(L189&lt;'PlayerGrades+'!$AE$21,"F-",IF(L189&lt;'PlayerGrades+'!$AE$20,"F",IF(L189&lt;'PlayerGrades+'!$AE$19,"F+",IF(L189&lt;'PlayerGrades+'!$AE$18,"E-",IF(L189&lt;'PlayerGrades+'!$AE$17,"E",IF(L189&lt;'PlayerGrades+'!$AE$16,"E+",IF(L189&lt;'PlayerGrades+'!$AE$15,"D-",IF(L189&lt;'PlayerGrades+'!$AE$14,"D",IF(L189&lt;'PlayerGrades+'!$AE$13,"D+",IF(L189&lt;'PlayerGrades+'!$AE$12,"C-",IF(L189&lt;'PlayerGrades+'!$AE$11,"C",IF(L189&lt;'PlayerGrades+'!$AE$10,"C+",IF(L189&lt;'PlayerGrades+'!$AE$9,"B-",IF(L189&lt;'PlayerGrades+'!$AE$8,"B",IF(L189&lt;'PlayerGrades+'!$AE$7,"B+",IF(L189&lt;'PlayerGrades+'!$AE$6,"A-",IF(L189&lt;'PlayerGrades+'!$AE$5,"A",IF(L189&lt;'PlayerGrades+'!$AE$4,"A+",IF(L189&lt;'PlayerGrades+'!$AE$3,"S-",IF(L189&lt;'PlayerGrades+'!$AE$2,"S","S+"))))))))))))))))))))</f>
        <v>A-</v>
      </c>
      <c r="N189" s="937">
        <f t="shared" si="6"/>
        <v>0.05481955231</v>
      </c>
      <c r="O189" s="937" t="str">
        <f>IF(N189&lt;'PlayerGrades+'!$AF$21,"F-",IF(N189&lt;'PlayerGrades+'!$AF$20,"F",IF(N189&lt;'PlayerGrades+'!$AF$19,"F+",IF(N189&lt;'PlayerGrades+'!$AF$18,"E-",IF(N189&lt;'PlayerGrades+'!$AF$17,"E",IF(N189&lt;'PlayerGrades+'!$AF$16,"E+",IF(N189&lt;'PlayerGrades+'!$AF$15,"D-",IF(N189&lt;'PlayerGrades+'!$AF$14,"D",IF(N189&lt;'PlayerGrades+'!$AF$13,"D+",IF(N189&lt;'PlayerGrades+'!$AF$12,"C-",IF(N189&lt;'PlayerGrades+'!$AF$11,"C",IF(N189&lt;'PlayerGrades+'!$AF$10,"C+",IF(N189&lt;'PlayerGrades+'!$AF$9,"B-",IF(N189&lt;'PlayerGrades+'!$AF$8,"B",IF(N189&lt;'PlayerGrades+'!$AF$7,"B+",IF(N189&lt;'PlayerGrades+'!$AF$6,"A-",IF(N189&lt;'PlayerGrades+'!$AF$5,"A",IF(N189&lt;'PlayerGrades+'!$AF$4,"A+",IF(N189&lt;'PlayerGrades+'!$AF$3,"S-",IF(N189&lt;'PlayerGrades+'!$AF$2,"S","S+"))))))))))))))))))))</f>
        <v>D</v>
      </c>
      <c r="P189" s="937">
        <f t="shared" si="7"/>
        <v>0.08222932846</v>
      </c>
      <c r="Q189" s="937" t="str">
        <f>IF(P189&lt;'PlayerGrades+'!$AG$21,"F-",IF(P189&lt;'PlayerGrades+'!$AG$20,"F",IF(P189&lt;'PlayerGrades+'!$AG$19,"F+",IF(P189&lt;'PlayerGrades+'!$AG$18,"E-",IF(P189&lt;'PlayerGrades+'!$AG$17,"E",IF(P189&lt;'PlayerGrades+'!$AG$16,"E+",IF(P189&lt;'PlayerGrades+'!$AG$15,"D-",IF(P189&lt;'PlayerGrades+'!$AG$14,"D",IF(P189&lt;'PlayerGrades+'!$AG$13,"D+",IF(P189&lt;'PlayerGrades+'!$AG$12,"C-",IF(P189&lt;'PlayerGrades+'!$AG$11,"C",IF(P189&lt;'PlayerGrades+'!$AG$10,"C+",IF(P189&lt;'PlayerGrades+'!$AG$9,"B-",IF(P189&lt;'PlayerGrades+'!$AG$8,"B",IF(P189&lt;'PlayerGrades+'!$AG$7,"B+",IF(P189&lt;'PlayerGrades+'!$AG$6,"A-",IF(P189&lt;'PlayerGrades+'!$AG$5,"A",IF(P189&lt;'PlayerGrades+'!$AG$4,"A+",IF(P189&lt;'PlayerGrades+'!$AG$3,"S-",IF(P189&lt;'PlayerGrades+'!$AG$2,"S","S+"))))))))))))))))))))</f>
        <v>S-</v>
      </c>
      <c r="R189" s="937">
        <f t="shared" si="8"/>
        <v>0.7674737323</v>
      </c>
      <c r="S189" s="937" t="str">
        <f>IF(R189&lt;'PlayerGrades+'!$AH$21,"F-",IF(R189&lt;'PlayerGrades+'!$AH$20,"F",IF(R189&lt;'PlayerGrades+'!$AH$19,"F+",IF(R189&lt;'PlayerGrades+'!$AH$18,"E-",IF(R189&lt;'PlayerGrades+'!$AH$17,"E",IF(R189&lt;'PlayerGrades+'!$AH$16,"E+",IF(R189&lt;'PlayerGrades+'!$AH$15,"D-",IF(R189&lt;'PlayerGrades+'!$AH$14,"D",IF(R189&lt;'PlayerGrades+'!$AH$13,"D+",IF(R189&lt;'PlayerGrades+'!$AH$12,"C-",IF(R189&lt;'PlayerGrades+'!$AH$11,"C",IF(R189&lt;'PlayerGrades+'!$AH$10,"C+",IF(R189&lt;'PlayerGrades+'!$AH$9,"B-",IF(R189&lt;'PlayerGrades+'!$AH$8,"B",IF(R189&lt;'PlayerGrades+'!$AH$7,"B+",IF(R189&lt;'PlayerGrades+'!$AH$6,"A-",IF(R189&lt;'PlayerGrades+'!$AH$5,"A",IF(R189&lt;'PlayerGrades+'!$AH$4,"A+",IF(R189&lt;'PlayerGrades+'!$AH$3,"S-",IF(R189&lt;'PlayerGrades+'!$AH$2,"S","S+"))))))))))))))))))))</f>
        <v>S+</v>
      </c>
      <c r="T189" s="937">
        <f t="shared" si="9"/>
        <v>1.35632709</v>
      </c>
      <c r="U189" s="937" t="str">
        <f>IF(T189&lt;'PlayerGrades+'!$AI$21,"F-",IF(T189&lt;'PlayerGrades+'!$AI$20,"F",IF(T189&lt;'PlayerGrades+'!$AI$19,"F+",IF(T189&lt;'PlayerGrades+'!$AI$18,"E-",IF(T189&lt;'PlayerGrades+'!$AI$17,"E",IF(T189&lt;'PlayerGrades+'!$AI$16,"E+",IF(T189&lt;'PlayerGrades+'!$AI$15,"D-",IF(T189&lt;'PlayerGrades+'!$AI$14,"D",IF(T189&lt;'PlayerGrades+'!$AI$13,"D+",IF(T189&lt;'PlayerGrades+'!$AI$12,"C-",IF(T189&lt;'PlayerGrades+'!$AI$11,"C",IF(T189&lt;'PlayerGrades+'!$AI$10,"C+",IF(T189&lt;'PlayerGrades+'!$AI$9,"B-",IF(T189&lt;'PlayerGrades+'!$AI$8,"B",IF(T189&lt;'PlayerGrades+'!$AI$7,"B+",IF(T189&lt;'PlayerGrades+'!$AI$6,"A-",IF(T189&lt;'PlayerGrades+'!$AI$5,"A",IF(T189&lt;'PlayerGrades+'!$AI$4,"A+",IF(T189&lt;'PlayerGrades+'!$AI$3,"S-",IF(T189&lt;'PlayerGrades+'!$AI$2,"S","S+"))))))))))))))))))))</f>
        <v>B</v>
      </c>
      <c r="V189" s="941">
        <v>1.0</v>
      </c>
      <c r="W189" s="941">
        <v>1.0</v>
      </c>
      <c r="X189" s="941">
        <v>0.0</v>
      </c>
      <c r="Y189" s="941">
        <v>0.0</v>
      </c>
      <c r="Z189" s="941">
        <v>0.0</v>
      </c>
      <c r="AA189" s="941">
        <v>133.0</v>
      </c>
      <c r="AB189" s="941">
        <v>107.0</v>
      </c>
      <c r="AC189" s="941">
        <v>26.0</v>
      </c>
      <c r="AD189" s="941">
        <v>8.0</v>
      </c>
      <c r="AE189" s="941">
        <v>6.0</v>
      </c>
      <c r="AF189" s="941">
        <v>2.0</v>
      </c>
      <c r="AG189" s="941">
        <v>1775.0</v>
      </c>
      <c r="AH189" s="941">
        <v>2189.0</v>
      </c>
      <c r="AI189" s="941">
        <v>16.0</v>
      </c>
      <c r="AJ189" s="941">
        <v>18.0</v>
      </c>
      <c r="AK189" s="941">
        <v>0.0</v>
      </c>
      <c r="AL189" s="941">
        <v>3.0</v>
      </c>
      <c r="AM189" s="941">
        <v>0.0</v>
      </c>
      <c r="AN189" s="941">
        <v>0.0</v>
      </c>
      <c r="AO189" s="941">
        <v>0.0</v>
      </c>
      <c r="AP189" s="941">
        <v>3.0</v>
      </c>
      <c r="AQ189" s="941">
        <v>0.0</v>
      </c>
      <c r="AR189" s="941">
        <v>19.0</v>
      </c>
      <c r="AS189" s="941">
        <v>2.0</v>
      </c>
      <c r="AT189" s="941">
        <v>1.0</v>
      </c>
      <c r="AU189" s="941">
        <v>0.0</v>
      </c>
      <c r="AV189" s="941">
        <v>0.0</v>
      </c>
      <c r="AW189" s="941">
        <v>0.0</v>
      </c>
      <c r="AX189" s="941">
        <v>0.0</v>
      </c>
      <c r="AY189" s="941">
        <v>0.0</v>
      </c>
      <c r="AZ189" s="941">
        <v>0.0</v>
      </c>
      <c r="BA189" s="941">
        <v>0.0</v>
      </c>
      <c r="BB189" s="941">
        <v>6.0</v>
      </c>
      <c r="BC189" s="941">
        <v>0.0</v>
      </c>
      <c r="BD189" s="941">
        <v>20.0</v>
      </c>
      <c r="BE189" s="941">
        <v>13.0</v>
      </c>
      <c r="BF189" s="941">
        <v>1.0</v>
      </c>
      <c r="BG189" s="942">
        <v>1.0</v>
      </c>
    </row>
    <row r="190">
      <c r="A190" s="935" t="s">
        <v>123</v>
      </c>
      <c r="B190" s="16" t="str">
        <f>IF(C190&lt;'PlayerGrades+'!$Y$44,"F-",IF(C190&lt;'PlayerGrades+'!$Y$43,"F",IF(C190&lt;'PlayerGrades+'!$Y$42,"F+",IF(C190&lt;'PlayerGrades+'!$Y$41,"E-",IF(C190&lt;'PlayerGrades+'!$Y$40,"E",IF(C190&lt;'PlayerGrades+'!$Y$39,"E+",IF(C190&lt;'PlayerGrades+'!$Y$38,"D-",IF(C190&lt;'PlayerGrades+'!$Y$37,"D",IF(C190&lt;'PlayerGrades+'!$Y$36,"D+",IF(C190&lt;'PlayerGrades+'!$Y$35,"C-",IF(C190&lt;'PlayerGrades+'!$Y$34,"C",IF(C190&lt;'PlayerGrades+'!$Y$33,"C+",IF(C190&lt;'PlayerGrades+'!$Y$32,"B-",IF(C190&lt;'PlayerGrades+'!$Y$31,"B",IF(C190&lt;'PlayerGrades+'!$Y$30,"B+",IF(C190&lt;'PlayerGrades+'!$Y$29,"A-",IF(C190&lt;'PlayerGrades+'!$Y$28,"A",IF(C190&lt;'PlayerGrades+'!$Y$27,"A+",IF(C190&lt;'PlayerGrades+'!$Y$26,"S-",IF(C190&lt;'PlayerGrades+'!$Y$25,"S","S+"))))))))))))))))))))</f>
        <v>A-</v>
      </c>
      <c r="C190" s="936">
        <f>('PlayerGrades+'!$Y$47*(VLOOKUP(E190, 'PlayerGrades+'!$X$3:$Y$23, 2, FALSE)))+('PlayerGrades+'!$Y$48*(VLOOKUP(G190, 'PlayerGrades+'!$X$3:$Y$23, 2, FALSE)))+('PlayerGrades+'!$Y$49*(VLOOKUP(I190, 'PlayerGrades+'!$X$3:$Y$23, 2, FALSE)))+('PlayerGrades+'!$Y$50*(VLOOKUP(K190, 'PlayerGrades+'!$X$3:$Y$23, 2, FALSE)))+('PlayerGrades+'!$Y$51*(VLOOKUP(M190, 'PlayerGrades+'!$X$3:$Y$23, 2, FALSE)))+('PlayerGrades+'!$Y$52*(VLOOKUP(O190, 'PlayerGrades+'!$X$3:$Y$23, 2, FALSE)))+('PlayerGrades+'!$Y$53*(VLOOKUP(Q190, 'PlayerGrades+'!$X$3:$Y$23, 2, FALSE)))+('PlayerGrades+'!$Y$54*(VLOOKUP(S190, 'PlayerGrades+'!$X$3:$Y$23, 2, FALSE)))+('PlayerGrades+'!$Y$55*(VLOOKUP(U190, 'PlayerGrades+'!$X$3:$Y$23, 2, FALSE)))</f>
        <v>24.6</v>
      </c>
      <c r="D190" s="937">
        <f t="shared" si="1"/>
        <v>0.5756052992</v>
      </c>
      <c r="E190" s="937" t="str">
        <f>IF(D190&lt;'PlayerGrades+'!$AA$21,"F-",IF(D190&lt;'PlayerGrades+'!$AA$20,"F",IF(D190&lt;'PlayerGrades+'!$AA$19,"F+",IF(D190&lt;'PlayerGrades+'!$AA$18,"E-",IF(D190&lt;'PlayerGrades+'!$AA$17,"E",IF(D190&lt;'PlayerGrades+'!$AA$16,"E+",IF(D190&lt;'PlayerGrades+'!$AA$15,"D-",IF(D190&lt;'PlayerGrades+'!$AA$14,"D",IF(D190&lt;'PlayerGrades+'!$AA$13,"D+",IF(D190&lt;'PlayerGrades+'!$AA$12,"C-",IF(D190&lt;'PlayerGrades+'!$AA$11,"C",IF(D190&lt;'PlayerGrades+'!$AA$10,"C+",IF(D190&lt;'PlayerGrades+'!$AA$9,"B-",IF(D190&lt;'PlayerGrades+'!$AA$8,"B",IF(D190&lt;'PlayerGrades+'!$AA$7,"B+",IF(D190&lt;'PlayerGrades+'!$AA$6,"A-",IF(D190&lt;'PlayerGrades+'!$AA$5,"A",IF(D190&lt;'PlayerGrades+'!$AA$4,"A+",IF(D190&lt;'PlayerGrades+'!$AA$3,"S-",IF(D190&lt;'PlayerGrades+'!$AA$2,"S","S+"))))))))))))))))))))</f>
        <v>S-</v>
      </c>
      <c r="F190" s="937">
        <f t="shared" si="2"/>
        <v>0.2192782092</v>
      </c>
      <c r="G190" s="937" t="str">
        <f>IF(F190&lt;'PlayerGrades+'!$AB$21,"F-",IF(F190&lt;'PlayerGrades+'!$AB$20,"F",IF(F190&lt;'PlayerGrades+'!$AB$19,"F+",IF(F190&lt;'PlayerGrades+'!$AB$18,"E-",IF(F190&lt;'PlayerGrades+'!$AB$17,"E",IF(F190&lt;'PlayerGrades+'!$AB$16,"E+",IF(F190&lt;'PlayerGrades+'!$AB$15,"D-",IF(F190&lt;'PlayerGrades+'!$AB$14,"D",IF(F190&lt;'PlayerGrades+'!$AB$13,"D+",IF(F190&lt;'PlayerGrades+'!$AB$12,"C-",IF(F190&lt;'PlayerGrades+'!$AB$11,"C",IF(F190&lt;'PlayerGrades+'!$AB$10,"C+",IF(F190&lt;'PlayerGrades+'!$AB$9,"B-",IF(F190&lt;'PlayerGrades+'!$AB$8,"B",IF(F190&lt;'PlayerGrades+'!$AB$7,"B+",IF(F190&lt;'PlayerGrades+'!$AB$6,"A-",IF(F190&lt;'PlayerGrades+'!$AB$5,"A",IF(F190&lt;'PlayerGrades+'!$AB$4,"A+",IF(F190&lt;'PlayerGrades+'!$AB$3,"S-",IF(F190&lt;'PlayerGrades+'!$AB$2,"S","S+"))))))))))))))))))))</f>
        <v>B+</v>
      </c>
      <c r="H190" s="937">
        <f t="shared" si="3"/>
        <v>0.08222932846</v>
      </c>
      <c r="I190" s="937" t="str">
        <f>IF(H190&lt;'PlayerGrades+'!$AC$21,"F-",IF(H190&lt;'PlayerGrades+'!$AC$20,"F",IF(H190&lt;'PlayerGrades+'!$AC$19,"F+",IF(H190&lt;'PlayerGrades+'!$AC$18,"E-",IF(H190&lt;'PlayerGrades+'!$AC$17,"E",IF(H190&lt;'PlayerGrades+'!$AC$16,"E+",IF(H190&lt;'PlayerGrades+'!$AC$15,"D-",IF(H190&lt;'PlayerGrades+'!$AC$14,"D",IF(H190&lt;'PlayerGrades+'!$AC$13,"D+",IF(H190&lt;'PlayerGrades+'!$AC$12,"C-",IF(H190&lt;'PlayerGrades+'!$AC$11,"C",IF(H190&lt;'PlayerGrades+'!$AC$10,"C+",IF(H190&lt;'PlayerGrades+'!$AC$9,"B-",IF(H190&lt;'PlayerGrades+'!$AC$8,"B",IF(H190&lt;'PlayerGrades+'!$AC$7,"B+",IF(H190&lt;'PlayerGrades+'!$AC$6,"A-",IF(H190&lt;'PlayerGrades+'!$AC$5,"A",IF(H190&lt;'PlayerGrades+'!$AC$4,"A+",IF(H190&lt;'PlayerGrades+'!$AC$3,"S-",IF(H190&lt;'PlayerGrades+'!$AC$2,"S","S+"))))))))))))))))))))</f>
        <v>D-</v>
      </c>
      <c r="J190" s="937">
        <f t="shared" si="4"/>
        <v>0.05481955231</v>
      </c>
      <c r="K190" s="937" t="str">
        <f>IF(J190&lt;'PlayerGrades+'!$AD$21,"F-",IF(J190&lt;'PlayerGrades+'!$AD$20,"F",IF(J190&lt;'PlayerGrades+'!$AD$19,"F+",IF(J190&lt;'PlayerGrades+'!$AD$18,"E-",IF(J190&lt;'PlayerGrades+'!$AD$17,"E",IF(J190&lt;'PlayerGrades+'!$AD$16,"E+",IF(J190&lt;'PlayerGrades+'!$AD$15,"D-",IF(J190&lt;'PlayerGrades+'!$AD$14,"D",IF(J190&lt;'PlayerGrades+'!$AD$13,"D+",IF(J190&lt;'PlayerGrades+'!$AD$12,"C-",IF(J190&lt;'PlayerGrades+'!$AD$11,"C",IF(J190&lt;'PlayerGrades+'!$AD$10,"C+",IF(J190&lt;'PlayerGrades+'!$AD$9,"B-",IF(J190&lt;'PlayerGrades+'!$AD$8,"B",IF(J190&lt;'PlayerGrades+'!$AD$7,"B+",IF(J190&lt;'PlayerGrades+'!$AD$6,"A-",IF(J190&lt;'PlayerGrades+'!$AD$5,"A",IF(J190&lt;'PlayerGrades+'!$AD$4,"A+",IF(J190&lt;'PlayerGrades+'!$AD$3,"S-",IF(J190&lt;'PlayerGrades+'!$AD$2,"S","S+"))))))))))))))))))))</f>
        <v>B+</v>
      </c>
      <c r="L190" s="677">
        <f t="shared" si="5"/>
        <v>0.35632709</v>
      </c>
      <c r="M190" s="938" t="str">
        <f>IF(L190&lt;'PlayerGrades+'!$AE$21,"F-",IF(L190&lt;'PlayerGrades+'!$AE$20,"F",IF(L190&lt;'PlayerGrades+'!$AE$19,"F+",IF(L190&lt;'PlayerGrades+'!$AE$18,"E-",IF(L190&lt;'PlayerGrades+'!$AE$17,"E",IF(L190&lt;'PlayerGrades+'!$AE$16,"E+",IF(L190&lt;'PlayerGrades+'!$AE$15,"D-",IF(L190&lt;'PlayerGrades+'!$AE$14,"D",IF(L190&lt;'PlayerGrades+'!$AE$13,"D+",IF(L190&lt;'PlayerGrades+'!$AE$12,"C-",IF(L190&lt;'PlayerGrades+'!$AE$11,"C",IF(L190&lt;'PlayerGrades+'!$AE$10,"C+",IF(L190&lt;'PlayerGrades+'!$AE$9,"B-",IF(L190&lt;'PlayerGrades+'!$AE$8,"B",IF(L190&lt;'PlayerGrades+'!$AE$7,"B+",IF(L190&lt;'PlayerGrades+'!$AE$6,"A-",IF(L190&lt;'PlayerGrades+'!$AE$5,"A",IF(L190&lt;'PlayerGrades+'!$AE$4,"A+",IF(L190&lt;'PlayerGrades+'!$AE$3,"S-",IF(L190&lt;'PlayerGrades+'!$AE$2,"S","S+"))))))))))))))))))))</f>
        <v>D</v>
      </c>
      <c r="N190" s="937">
        <f t="shared" si="6"/>
        <v>0.1918684331</v>
      </c>
      <c r="O190" s="937" t="str">
        <f>IF(N190&lt;'PlayerGrades+'!$AF$21,"F-",IF(N190&lt;'PlayerGrades+'!$AF$20,"F",IF(N190&lt;'PlayerGrades+'!$AF$19,"F+",IF(N190&lt;'PlayerGrades+'!$AF$18,"E-",IF(N190&lt;'PlayerGrades+'!$AF$17,"E",IF(N190&lt;'PlayerGrades+'!$AF$16,"E+",IF(N190&lt;'PlayerGrades+'!$AF$15,"D-",IF(N190&lt;'PlayerGrades+'!$AF$14,"D",IF(N190&lt;'PlayerGrades+'!$AF$13,"D+",IF(N190&lt;'PlayerGrades+'!$AF$12,"C-",IF(N190&lt;'PlayerGrades+'!$AF$11,"C",IF(N190&lt;'PlayerGrades+'!$AF$10,"C+",IF(N190&lt;'PlayerGrades+'!$AF$9,"B-",IF(N190&lt;'PlayerGrades+'!$AF$8,"B",IF(N190&lt;'PlayerGrades+'!$AF$7,"B+",IF(N190&lt;'PlayerGrades+'!$AF$6,"A-",IF(N190&lt;'PlayerGrades+'!$AF$5,"A",IF(N190&lt;'PlayerGrades+'!$AF$4,"A+",IF(N190&lt;'PlayerGrades+'!$AF$3,"S-",IF(N190&lt;'PlayerGrades+'!$AF$2,"S","S+"))))))))))))))))))))</f>
        <v>S+</v>
      </c>
      <c r="P190" s="937">
        <f t="shared" si="7"/>
        <v>0</v>
      </c>
      <c r="Q190" s="937" t="str">
        <f>IF(P190&lt;'PlayerGrades+'!$AG$21,"F-",IF(P190&lt;'PlayerGrades+'!$AG$20,"F",IF(P190&lt;'PlayerGrades+'!$AG$19,"F+",IF(P190&lt;'PlayerGrades+'!$AG$18,"E-",IF(P190&lt;'PlayerGrades+'!$AG$17,"E",IF(P190&lt;'PlayerGrades+'!$AG$16,"E+",IF(P190&lt;'PlayerGrades+'!$AG$15,"D-",IF(P190&lt;'PlayerGrades+'!$AG$14,"D",IF(P190&lt;'PlayerGrades+'!$AG$13,"D+",IF(P190&lt;'PlayerGrades+'!$AG$12,"C-",IF(P190&lt;'PlayerGrades+'!$AG$11,"C",IF(P190&lt;'PlayerGrades+'!$AG$10,"C+",IF(P190&lt;'PlayerGrades+'!$AG$9,"B-",IF(P190&lt;'PlayerGrades+'!$AG$8,"B",IF(P190&lt;'PlayerGrades+'!$AG$7,"B+",IF(P190&lt;'PlayerGrades+'!$AG$6,"A-",IF(P190&lt;'PlayerGrades+'!$AG$5,"A",IF(P190&lt;'PlayerGrades+'!$AG$4,"A+",IF(P190&lt;'PlayerGrades+'!$AG$3,"S-",IF(P190&lt;'PlayerGrades+'!$AG$2,"S","S+"))))))))))))))))))))</f>
        <v>F</v>
      </c>
      <c r="R190" s="937">
        <f t="shared" si="8"/>
        <v>0.6304248515</v>
      </c>
      <c r="S190" s="937" t="str">
        <f>IF(R190&lt;'PlayerGrades+'!$AH$21,"F-",IF(R190&lt;'PlayerGrades+'!$AH$20,"F",IF(R190&lt;'PlayerGrades+'!$AH$19,"F+",IF(R190&lt;'PlayerGrades+'!$AH$18,"E-",IF(R190&lt;'PlayerGrades+'!$AH$17,"E",IF(R190&lt;'PlayerGrades+'!$AH$16,"E+",IF(R190&lt;'PlayerGrades+'!$AH$15,"D-",IF(R190&lt;'PlayerGrades+'!$AH$14,"D",IF(R190&lt;'PlayerGrades+'!$AH$13,"D+",IF(R190&lt;'PlayerGrades+'!$AH$12,"C-",IF(R190&lt;'PlayerGrades+'!$AH$11,"C",IF(R190&lt;'PlayerGrades+'!$AH$10,"C+",IF(R190&lt;'PlayerGrades+'!$AH$9,"B-",IF(R190&lt;'PlayerGrades+'!$AH$8,"B",IF(R190&lt;'PlayerGrades+'!$AH$7,"B+",IF(R190&lt;'PlayerGrades+'!$AH$6,"A-",IF(R190&lt;'PlayerGrades+'!$AH$5,"A",IF(R190&lt;'PlayerGrades+'!$AH$4,"A+",IF(R190&lt;'PlayerGrades+'!$AH$3,"S-",IF(R190&lt;'PlayerGrades+'!$AH$2,"S","S+"))))))))))))))))))))</f>
        <v>A</v>
      </c>
      <c r="T190" s="937">
        <f t="shared" si="9"/>
        <v>0.3015075377</v>
      </c>
      <c r="U190" s="937" t="str">
        <f>IF(T190&lt;'PlayerGrades+'!$AI$21,"F-",IF(T190&lt;'PlayerGrades+'!$AI$20,"F",IF(T190&lt;'PlayerGrades+'!$AI$19,"F+",IF(T190&lt;'PlayerGrades+'!$AI$18,"E-",IF(T190&lt;'PlayerGrades+'!$AI$17,"E",IF(T190&lt;'PlayerGrades+'!$AI$16,"E+",IF(T190&lt;'PlayerGrades+'!$AI$15,"D-",IF(T190&lt;'PlayerGrades+'!$AI$14,"D",IF(T190&lt;'PlayerGrades+'!$AI$13,"D+",IF(T190&lt;'PlayerGrades+'!$AI$12,"C-",IF(T190&lt;'PlayerGrades+'!$AI$11,"C",IF(T190&lt;'PlayerGrades+'!$AI$10,"C+",IF(T190&lt;'PlayerGrades+'!$AI$9,"B-",IF(T190&lt;'PlayerGrades+'!$AI$8,"B",IF(T190&lt;'PlayerGrades+'!$AI$7,"B+",IF(T190&lt;'PlayerGrades+'!$AI$6,"A-",IF(T190&lt;'PlayerGrades+'!$AI$5,"A",IF(T190&lt;'PlayerGrades+'!$AI$4,"A+",IF(T190&lt;'PlayerGrades+'!$AI$3,"S-",IF(T190&lt;'PlayerGrades+'!$AI$2,"S","S+"))))))))))))))))))))</f>
        <v>F-</v>
      </c>
      <c r="V190" s="941">
        <v>1.0</v>
      </c>
      <c r="W190" s="941">
        <v>0.0</v>
      </c>
      <c r="X190" s="941">
        <v>1.0</v>
      </c>
      <c r="Y190" s="941">
        <v>2.0</v>
      </c>
      <c r="Z190" s="941">
        <v>19.0</v>
      </c>
      <c r="AA190" s="941">
        <v>106.0</v>
      </c>
      <c r="AB190" s="941">
        <v>98.0</v>
      </c>
      <c r="AC190" s="941">
        <v>8.0</v>
      </c>
      <c r="AD190" s="941">
        <v>5.0</v>
      </c>
      <c r="AE190" s="941">
        <v>6.0</v>
      </c>
      <c r="AF190" s="941">
        <v>5.0</v>
      </c>
      <c r="AG190" s="941">
        <v>1802.0</v>
      </c>
      <c r="AH190" s="941">
        <v>2189.0</v>
      </c>
      <c r="AI190" s="941">
        <v>18.0</v>
      </c>
      <c r="AJ190" s="941">
        <v>637.0</v>
      </c>
      <c r="AK190" s="941">
        <v>0.0</v>
      </c>
      <c r="AL190" s="941">
        <v>2.0</v>
      </c>
      <c r="AM190" s="941">
        <v>0.0</v>
      </c>
      <c r="AN190" s="941">
        <v>0.0</v>
      </c>
      <c r="AO190" s="941">
        <v>0.0</v>
      </c>
      <c r="AP190" s="941">
        <v>0.0</v>
      </c>
      <c r="AQ190" s="941">
        <v>0.0</v>
      </c>
      <c r="AR190" s="941">
        <v>13.0</v>
      </c>
      <c r="AS190" s="941">
        <v>7.0</v>
      </c>
      <c r="AT190" s="941">
        <v>1.0</v>
      </c>
      <c r="AU190" s="941">
        <v>0.0</v>
      </c>
      <c r="AV190" s="941">
        <v>0.0</v>
      </c>
      <c r="AW190" s="941">
        <v>0.0</v>
      </c>
      <c r="AX190" s="941">
        <v>0.0</v>
      </c>
      <c r="AY190" s="941">
        <v>0.0</v>
      </c>
      <c r="AZ190" s="941">
        <v>0.0</v>
      </c>
      <c r="BA190" s="941">
        <v>0.0</v>
      </c>
      <c r="BB190" s="941">
        <v>3.0</v>
      </c>
      <c r="BC190" s="941">
        <v>0.0</v>
      </c>
      <c r="BD190" s="941">
        <v>18.0</v>
      </c>
      <c r="BE190" s="941">
        <v>11.0</v>
      </c>
      <c r="BF190" s="941">
        <v>0.0</v>
      </c>
      <c r="BG190" s="942">
        <v>0.0</v>
      </c>
    </row>
    <row r="191">
      <c r="A191" s="935" t="s">
        <v>419</v>
      </c>
      <c r="B191" s="16" t="str">
        <f>IF(C191&lt;'PlayerGrades+'!$Y$44,"F-",IF(C191&lt;'PlayerGrades+'!$Y$43,"F",IF(C191&lt;'PlayerGrades+'!$Y$42,"F+",IF(C191&lt;'PlayerGrades+'!$Y$41,"E-",IF(C191&lt;'PlayerGrades+'!$Y$40,"E",IF(C191&lt;'PlayerGrades+'!$Y$39,"E+",IF(C191&lt;'PlayerGrades+'!$Y$38,"D-",IF(C191&lt;'PlayerGrades+'!$Y$37,"D",IF(C191&lt;'PlayerGrades+'!$Y$36,"D+",IF(C191&lt;'PlayerGrades+'!$Y$35,"C-",IF(C191&lt;'PlayerGrades+'!$Y$34,"C",IF(C191&lt;'PlayerGrades+'!$Y$33,"C+",IF(C191&lt;'PlayerGrades+'!$Y$32,"B-",IF(C191&lt;'PlayerGrades+'!$Y$31,"B",IF(C191&lt;'PlayerGrades+'!$Y$30,"B+",IF(C191&lt;'PlayerGrades+'!$Y$29,"A-",IF(C191&lt;'PlayerGrades+'!$Y$28,"A",IF(C191&lt;'PlayerGrades+'!$Y$27,"A+",IF(C191&lt;'PlayerGrades+'!$Y$26,"S-",IF(C191&lt;'PlayerGrades+'!$Y$25,"S","S+"))))))))))))))))))))</f>
        <v>F+</v>
      </c>
      <c r="C191" s="936">
        <f>('PlayerGrades+'!$Y$47*(VLOOKUP(E191, 'PlayerGrades+'!$X$3:$Y$23, 2, FALSE)))+('PlayerGrades+'!$Y$48*(VLOOKUP(G191, 'PlayerGrades+'!$X$3:$Y$23, 2, FALSE)))+('PlayerGrades+'!$Y$49*(VLOOKUP(I191, 'PlayerGrades+'!$X$3:$Y$23, 2, FALSE)))+('PlayerGrades+'!$Y$50*(VLOOKUP(K191, 'PlayerGrades+'!$X$3:$Y$23, 2, FALSE)))+('PlayerGrades+'!$Y$51*(VLOOKUP(M191, 'PlayerGrades+'!$X$3:$Y$23, 2, FALSE)))+('PlayerGrades+'!$Y$52*(VLOOKUP(O191, 'PlayerGrades+'!$X$3:$Y$23, 2, FALSE)))+('PlayerGrades+'!$Y$53*(VLOOKUP(Q191, 'PlayerGrades+'!$X$3:$Y$23, 2, FALSE)))+('PlayerGrades+'!$Y$54*(VLOOKUP(S191, 'PlayerGrades+'!$X$3:$Y$23, 2, FALSE)))+('PlayerGrades+'!$Y$55*(VLOOKUP(U191, 'PlayerGrades+'!$X$3:$Y$23, 2, FALSE)))</f>
        <v>10.75</v>
      </c>
      <c r="D191" s="937">
        <f t="shared" si="1"/>
        <v>0</v>
      </c>
      <c r="E191" s="937" t="str">
        <f>IF(D191&lt;'PlayerGrades+'!$AA$21,"F-",IF(D191&lt;'PlayerGrades+'!$AA$20,"F",IF(D191&lt;'PlayerGrades+'!$AA$19,"F+",IF(D191&lt;'PlayerGrades+'!$AA$18,"E-",IF(D191&lt;'PlayerGrades+'!$AA$17,"E",IF(D191&lt;'PlayerGrades+'!$AA$16,"E+",IF(D191&lt;'PlayerGrades+'!$AA$15,"D-",IF(D191&lt;'PlayerGrades+'!$AA$14,"D",IF(D191&lt;'PlayerGrades+'!$AA$13,"D+",IF(D191&lt;'PlayerGrades+'!$AA$12,"C-",IF(D191&lt;'PlayerGrades+'!$AA$11,"C",IF(D191&lt;'PlayerGrades+'!$AA$10,"C+",IF(D191&lt;'PlayerGrades+'!$AA$9,"B-",IF(D191&lt;'PlayerGrades+'!$AA$8,"B",IF(D191&lt;'PlayerGrades+'!$AA$7,"B+",IF(D191&lt;'PlayerGrades+'!$AA$6,"A-",IF(D191&lt;'PlayerGrades+'!$AA$5,"A",IF(D191&lt;'PlayerGrades+'!$AA$4,"A+",IF(D191&lt;'PlayerGrades+'!$AA$3,"S-",IF(D191&lt;'PlayerGrades+'!$AA$2,"S","S+"))))))))))))))))))))</f>
        <v>F-</v>
      </c>
      <c r="F191" s="937">
        <f t="shared" si="2"/>
        <v>-0.1096391046</v>
      </c>
      <c r="G191" s="937" t="str">
        <f>IF(F191&lt;'PlayerGrades+'!$AB$21,"F-",IF(F191&lt;'PlayerGrades+'!$AB$20,"F",IF(F191&lt;'PlayerGrades+'!$AB$19,"F+",IF(F191&lt;'PlayerGrades+'!$AB$18,"E-",IF(F191&lt;'PlayerGrades+'!$AB$17,"E",IF(F191&lt;'PlayerGrades+'!$AB$16,"E+",IF(F191&lt;'PlayerGrades+'!$AB$15,"D-",IF(F191&lt;'PlayerGrades+'!$AB$14,"D",IF(F191&lt;'PlayerGrades+'!$AB$13,"D+",IF(F191&lt;'PlayerGrades+'!$AB$12,"C-",IF(F191&lt;'PlayerGrades+'!$AB$11,"C",IF(F191&lt;'PlayerGrades+'!$AB$10,"C+",IF(F191&lt;'PlayerGrades+'!$AB$9,"B-",IF(F191&lt;'PlayerGrades+'!$AB$8,"B",IF(F191&lt;'PlayerGrades+'!$AB$7,"B+",IF(F191&lt;'PlayerGrades+'!$AB$6,"A-",IF(F191&lt;'PlayerGrades+'!$AB$5,"A",IF(F191&lt;'PlayerGrades+'!$AB$4,"A+",IF(F191&lt;'PlayerGrades+'!$AB$3,"S-",IF(F191&lt;'PlayerGrades+'!$AB$2,"S","S+"))))))))))))))))))))</f>
        <v>C+</v>
      </c>
      <c r="H191" s="937">
        <f t="shared" si="3"/>
        <v>0.02740977615</v>
      </c>
      <c r="I191" s="937" t="str">
        <f>IF(H191&lt;'PlayerGrades+'!$AC$21,"F-",IF(H191&lt;'PlayerGrades+'!$AC$20,"F",IF(H191&lt;'PlayerGrades+'!$AC$19,"F+",IF(H191&lt;'PlayerGrades+'!$AC$18,"E-",IF(H191&lt;'PlayerGrades+'!$AC$17,"E",IF(H191&lt;'PlayerGrades+'!$AC$16,"E+",IF(H191&lt;'PlayerGrades+'!$AC$15,"D-",IF(H191&lt;'PlayerGrades+'!$AC$14,"D",IF(H191&lt;'PlayerGrades+'!$AC$13,"D+",IF(H191&lt;'PlayerGrades+'!$AC$12,"C-",IF(H191&lt;'PlayerGrades+'!$AC$11,"C",IF(H191&lt;'PlayerGrades+'!$AC$10,"C+",IF(H191&lt;'PlayerGrades+'!$AC$9,"B-",IF(H191&lt;'PlayerGrades+'!$AC$8,"B",IF(H191&lt;'PlayerGrades+'!$AC$7,"B+",IF(H191&lt;'PlayerGrades+'!$AC$6,"A-",IF(H191&lt;'PlayerGrades+'!$AC$5,"A",IF(H191&lt;'PlayerGrades+'!$AC$4,"A+",IF(H191&lt;'PlayerGrades+'!$AC$3,"S-",IF(H191&lt;'PlayerGrades+'!$AC$2,"S","S+"))))))))))))))))))))</f>
        <v>F-</v>
      </c>
      <c r="J191" s="937">
        <f t="shared" si="4"/>
        <v>0</v>
      </c>
      <c r="K191" s="937" t="str">
        <f>IF(J191&lt;'PlayerGrades+'!$AD$21,"F-",IF(J191&lt;'PlayerGrades+'!$AD$20,"F",IF(J191&lt;'PlayerGrades+'!$AD$19,"F+",IF(J191&lt;'PlayerGrades+'!$AD$18,"E-",IF(J191&lt;'PlayerGrades+'!$AD$17,"E",IF(J191&lt;'PlayerGrades+'!$AD$16,"E+",IF(J191&lt;'PlayerGrades+'!$AD$15,"D-",IF(J191&lt;'PlayerGrades+'!$AD$14,"D",IF(J191&lt;'PlayerGrades+'!$AD$13,"D+",IF(J191&lt;'PlayerGrades+'!$AD$12,"C-",IF(J191&lt;'PlayerGrades+'!$AD$11,"C",IF(J191&lt;'PlayerGrades+'!$AD$10,"C+",IF(J191&lt;'PlayerGrades+'!$AD$9,"B-",IF(J191&lt;'PlayerGrades+'!$AD$8,"B",IF(J191&lt;'PlayerGrades+'!$AD$7,"B+",IF(J191&lt;'PlayerGrades+'!$AD$6,"A-",IF(J191&lt;'PlayerGrades+'!$AD$5,"A",IF(J191&lt;'PlayerGrades+'!$AD$4,"A+",IF(J191&lt;'PlayerGrades+'!$AD$3,"S-",IF(J191&lt;'PlayerGrades+'!$AD$2,"S","S+"))))))))))))))))))))</f>
        <v>F-</v>
      </c>
      <c r="L191" s="677">
        <f t="shared" si="5"/>
        <v>0.35632709</v>
      </c>
      <c r="M191" s="938" t="str">
        <f>IF(L191&lt;'PlayerGrades+'!$AE$21,"F-",IF(L191&lt;'PlayerGrades+'!$AE$20,"F",IF(L191&lt;'PlayerGrades+'!$AE$19,"F+",IF(L191&lt;'PlayerGrades+'!$AE$18,"E-",IF(L191&lt;'PlayerGrades+'!$AE$17,"E",IF(L191&lt;'PlayerGrades+'!$AE$16,"E+",IF(L191&lt;'PlayerGrades+'!$AE$15,"D-",IF(L191&lt;'PlayerGrades+'!$AE$14,"D",IF(L191&lt;'PlayerGrades+'!$AE$13,"D+",IF(L191&lt;'PlayerGrades+'!$AE$12,"C-",IF(L191&lt;'PlayerGrades+'!$AE$11,"C",IF(L191&lt;'PlayerGrades+'!$AE$10,"C+",IF(L191&lt;'PlayerGrades+'!$AE$9,"B-",IF(L191&lt;'PlayerGrades+'!$AE$8,"B",IF(L191&lt;'PlayerGrades+'!$AE$7,"B+",IF(L191&lt;'PlayerGrades+'!$AE$6,"A-",IF(L191&lt;'PlayerGrades+'!$AE$5,"A",IF(L191&lt;'PlayerGrades+'!$AE$4,"A+",IF(L191&lt;'PlayerGrades+'!$AE$3,"S-",IF(L191&lt;'PlayerGrades+'!$AE$2,"S","S+"))))))))))))))))))))</f>
        <v>D</v>
      </c>
      <c r="N191" s="937">
        <f t="shared" si="6"/>
        <v>0</v>
      </c>
      <c r="O191" s="937" t="str">
        <f>IF(N191&lt;'PlayerGrades+'!$AF$21,"F-",IF(N191&lt;'PlayerGrades+'!$AF$20,"F",IF(N191&lt;'PlayerGrades+'!$AF$19,"F+",IF(N191&lt;'PlayerGrades+'!$AF$18,"E-",IF(N191&lt;'PlayerGrades+'!$AF$17,"E",IF(N191&lt;'PlayerGrades+'!$AF$16,"E+",IF(N191&lt;'PlayerGrades+'!$AF$15,"D-",IF(N191&lt;'PlayerGrades+'!$AF$14,"D",IF(N191&lt;'PlayerGrades+'!$AF$13,"D+",IF(N191&lt;'PlayerGrades+'!$AF$12,"C-",IF(N191&lt;'PlayerGrades+'!$AF$11,"C",IF(N191&lt;'PlayerGrades+'!$AF$10,"C+",IF(N191&lt;'PlayerGrades+'!$AF$9,"B-",IF(N191&lt;'PlayerGrades+'!$AF$8,"B",IF(N191&lt;'PlayerGrades+'!$AF$7,"B+",IF(N191&lt;'PlayerGrades+'!$AF$6,"A-",IF(N191&lt;'PlayerGrades+'!$AF$5,"A",IF(N191&lt;'PlayerGrades+'!$AF$4,"A+",IF(N191&lt;'PlayerGrades+'!$AF$3,"S-",IF(N191&lt;'PlayerGrades+'!$AF$2,"S","S+"))))))))))))))))))))</f>
        <v>F-</v>
      </c>
      <c r="P191" s="937">
        <f t="shared" si="7"/>
        <v>0</v>
      </c>
      <c r="Q191" s="937" t="str">
        <f>IF(P191&lt;'PlayerGrades+'!$AG$21,"F-",IF(P191&lt;'PlayerGrades+'!$AG$20,"F",IF(P191&lt;'PlayerGrades+'!$AG$19,"F+",IF(P191&lt;'PlayerGrades+'!$AG$18,"E-",IF(P191&lt;'PlayerGrades+'!$AG$17,"E",IF(P191&lt;'PlayerGrades+'!$AG$16,"E+",IF(P191&lt;'PlayerGrades+'!$AG$15,"D-",IF(P191&lt;'PlayerGrades+'!$AG$14,"D",IF(P191&lt;'PlayerGrades+'!$AG$13,"D+",IF(P191&lt;'PlayerGrades+'!$AG$12,"C-",IF(P191&lt;'PlayerGrades+'!$AG$11,"C",IF(P191&lt;'PlayerGrades+'!$AG$10,"C+",IF(P191&lt;'PlayerGrades+'!$AG$9,"B-",IF(P191&lt;'PlayerGrades+'!$AG$8,"B",IF(P191&lt;'PlayerGrades+'!$AG$7,"B+",IF(P191&lt;'PlayerGrades+'!$AG$6,"A-",IF(P191&lt;'PlayerGrades+'!$AG$5,"A",IF(P191&lt;'PlayerGrades+'!$AG$4,"A+",IF(P191&lt;'PlayerGrades+'!$AG$3,"S-",IF(P191&lt;'PlayerGrades+'!$AG$2,"S","S+"))))))))))))))))))))</f>
        <v>F</v>
      </c>
      <c r="R191" s="937">
        <f t="shared" si="8"/>
        <v>0.4933759708</v>
      </c>
      <c r="S191" s="937" t="str">
        <f>IF(R191&lt;'PlayerGrades+'!$AH$21,"F-",IF(R191&lt;'PlayerGrades+'!$AH$20,"F",IF(R191&lt;'PlayerGrades+'!$AH$19,"F+",IF(R191&lt;'PlayerGrades+'!$AH$18,"E-",IF(R191&lt;'PlayerGrades+'!$AH$17,"E",IF(R191&lt;'PlayerGrades+'!$AH$16,"E+",IF(R191&lt;'PlayerGrades+'!$AH$15,"D-",IF(R191&lt;'PlayerGrades+'!$AH$14,"D",IF(R191&lt;'PlayerGrades+'!$AH$13,"D+",IF(R191&lt;'PlayerGrades+'!$AH$12,"C-",IF(R191&lt;'PlayerGrades+'!$AH$11,"C",IF(R191&lt;'PlayerGrades+'!$AH$10,"C+",IF(R191&lt;'PlayerGrades+'!$AH$9,"B-",IF(R191&lt;'PlayerGrades+'!$AH$8,"B",IF(R191&lt;'PlayerGrades+'!$AH$7,"B+",IF(R191&lt;'PlayerGrades+'!$AH$6,"A-",IF(R191&lt;'PlayerGrades+'!$AH$5,"A",IF(R191&lt;'PlayerGrades+'!$AH$4,"A+",IF(R191&lt;'PlayerGrades+'!$AH$3,"S-",IF(R191&lt;'PlayerGrades+'!$AH$2,"S","S+"))))))))))))))))))))</f>
        <v>D-</v>
      </c>
      <c r="T191" s="937">
        <f t="shared" si="9"/>
        <v>1.520785747</v>
      </c>
      <c r="U191" s="937" t="str">
        <f>IF(T191&lt;'PlayerGrades+'!$AI$21,"F-",IF(T191&lt;'PlayerGrades+'!$AI$20,"F",IF(T191&lt;'PlayerGrades+'!$AI$19,"F+",IF(T191&lt;'PlayerGrades+'!$AI$18,"E-",IF(T191&lt;'PlayerGrades+'!$AI$17,"E",IF(T191&lt;'PlayerGrades+'!$AI$16,"E+",IF(T191&lt;'PlayerGrades+'!$AI$15,"D-",IF(T191&lt;'PlayerGrades+'!$AI$14,"D",IF(T191&lt;'PlayerGrades+'!$AI$13,"D+",IF(T191&lt;'PlayerGrades+'!$AI$12,"C-",IF(T191&lt;'PlayerGrades+'!$AI$11,"C",IF(T191&lt;'PlayerGrades+'!$AI$10,"C+",IF(T191&lt;'PlayerGrades+'!$AI$9,"B-",IF(T191&lt;'PlayerGrades+'!$AI$8,"B",IF(T191&lt;'PlayerGrades+'!$AI$7,"B+",IF(T191&lt;'PlayerGrades+'!$AI$6,"A-",IF(T191&lt;'PlayerGrades+'!$AI$5,"A",IF(T191&lt;'PlayerGrades+'!$AI$4,"A+",IF(T191&lt;'PlayerGrades+'!$AI$3,"S-",IF(T191&lt;'PlayerGrades+'!$AI$2,"S","S+"))))))))))))))))))))</f>
        <v>A</v>
      </c>
      <c r="V191" s="941">
        <v>1.0</v>
      </c>
      <c r="W191" s="941">
        <v>0.0</v>
      </c>
      <c r="X191" s="941">
        <v>1.0</v>
      </c>
      <c r="Y191" s="941">
        <v>0.0</v>
      </c>
      <c r="Z191" s="941">
        <v>0.0</v>
      </c>
      <c r="AA191" s="941">
        <v>125.0</v>
      </c>
      <c r="AB191" s="941">
        <v>129.0</v>
      </c>
      <c r="AC191" s="941">
        <v>-4.0</v>
      </c>
      <c r="AD191" s="941">
        <v>11.0</v>
      </c>
      <c r="AE191" s="941">
        <v>4.0</v>
      </c>
      <c r="AF191" s="941">
        <v>2.0</v>
      </c>
      <c r="AG191" s="941">
        <v>1709.0</v>
      </c>
      <c r="AH191" s="941">
        <v>2189.0</v>
      </c>
      <c r="AI191" s="941">
        <v>13.0</v>
      </c>
      <c r="AJ191" s="941">
        <v>3.0</v>
      </c>
      <c r="AK191" s="941">
        <v>0.0</v>
      </c>
      <c r="AL191" s="941">
        <v>0.0</v>
      </c>
      <c r="AM191" s="941">
        <v>0.0</v>
      </c>
      <c r="AN191" s="941">
        <v>0.0</v>
      </c>
      <c r="AO191" s="941">
        <v>0.0</v>
      </c>
      <c r="AP191" s="941">
        <v>0.0</v>
      </c>
      <c r="AQ191" s="941">
        <v>0.0</v>
      </c>
      <c r="AR191" s="941">
        <v>13.0</v>
      </c>
      <c r="AS191" s="941">
        <v>0.0</v>
      </c>
      <c r="AT191" s="941">
        <v>0.0</v>
      </c>
      <c r="AU191" s="941">
        <v>0.0</v>
      </c>
      <c r="AV191" s="941">
        <v>0.0</v>
      </c>
      <c r="AW191" s="941">
        <v>0.0</v>
      </c>
      <c r="AX191" s="941">
        <v>0.0</v>
      </c>
      <c r="AY191" s="941">
        <v>0.0</v>
      </c>
      <c r="AZ191" s="941">
        <v>0.0</v>
      </c>
      <c r="BA191" s="941">
        <v>0.0</v>
      </c>
      <c r="BB191" s="941">
        <v>1.0</v>
      </c>
      <c r="BC191" s="941">
        <v>0.0</v>
      </c>
      <c r="BD191" s="941">
        <v>7.0</v>
      </c>
      <c r="BE191" s="941">
        <v>19.0</v>
      </c>
      <c r="BF191" s="941">
        <v>1.0</v>
      </c>
      <c r="BG191" s="942">
        <v>0.0</v>
      </c>
    </row>
    <row r="192">
      <c r="A192" s="935" t="s">
        <v>152</v>
      </c>
      <c r="B192" s="16" t="str">
        <f>IF(C192&lt;'PlayerGrades+'!$Y$44,"F-",IF(C192&lt;'PlayerGrades+'!$Y$43,"F",IF(C192&lt;'PlayerGrades+'!$Y$42,"F+",IF(C192&lt;'PlayerGrades+'!$Y$41,"E-",IF(C192&lt;'PlayerGrades+'!$Y$40,"E",IF(C192&lt;'PlayerGrades+'!$Y$39,"E+",IF(C192&lt;'PlayerGrades+'!$Y$38,"D-",IF(C192&lt;'PlayerGrades+'!$Y$37,"D",IF(C192&lt;'PlayerGrades+'!$Y$36,"D+",IF(C192&lt;'PlayerGrades+'!$Y$35,"C-",IF(C192&lt;'PlayerGrades+'!$Y$34,"C",IF(C192&lt;'PlayerGrades+'!$Y$33,"C+",IF(C192&lt;'PlayerGrades+'!$Y$32,"B-",IF(C192&lt;'PlayerGrades+'!$Y$31,"B",IF(C192&lt;'PlayerGrades+'!$Y$30,"B+",IF(C192&lt;'PlayerGrades+'!$Y$29,"A-",IF(C192&lt;'PlayerGrades+'!$Y$28,"A",IF(C192&lt;'PlayerGrades+'!$Y$27,"A+",IF(C192&lt;'PlayerGrades+'!$Y$26,"S-",IF(C192&lt;'PlayerGrades+'!$Y$25,"S","S+"))))))))))))))))))))</f>
        <v>F</v>
      </c>
      <c r="C192" s="936">
        <f>('PlayerGrades+'!$Y$47*(VLOOKUP(E192, 'PlayerGrades+'!$X$3:$Y$23, 2, FALSE)))+('PlayerGrades+'!$Y$48*(VLOOKUP(G192, 'PlayerGrades+'!$X$3:$Y$23, 2, FALSE)))+('PlayerGrades+'!$Y$49*(VLOOKUP(I192, 'PlayerGrades+'!$X$3:$Y$23, 2, FALSE)))+('PlayerGrades+'!$Y$50*(VLOOKUP(K192, 'PlayerGrades+'!$X$3:$Y$23, 2, FALSE)))+('PlayerGrades+'!$Y$51*(VLOOKUP(M192, 'PlayerGrades+'!$X$3:$Y$23, 2, FALSE)))+('PlayerGrades+'!$Y$52*(VLOOKUP(O192, 'PlayerGrades+'!$X$3:$Y$23, 2, FALSE)))+('PlayerGrades+'!$Y$53*(VLOOKUP(Q192, 'PlayerGrades+'!$X$3:$Y$23, 2, FALSE)))+('PlayerGrades+'!$Y$54*(VLOOKUP(S192, 'PlayerGrades+'!$X$3:$Y$23, 2, FALSE)))+('PlayerGrades+'!$Y$55*(VLOOKUP(U192, 'PlayerGrades+'!$X$3:$Y$23, 2, FALSE)))</f>
        <v>10.05</v>
      </c>
      <c r="D192" s="937">
        <f t="shared" si="1"/>
        <v>0.02740977615</v>
      </c>
      <c r="E192" s="937" t="str">
        <f>IF(D192&lt;'PlayerGrades+'!$AA$21,"F-",IF(D192&lt;'PlayerGrades+'!$AA$20,"F",IF(D192&lt;'PlayerGrades+'!$AA$19,"F+",IF(D192&lt;'PlayerGrades+'!$AA$18,"E-",IF(D192&lt;'PlayerGrades+'!$AA$17,"E",IF(D192&lt;'PlayerGrades+'!$AA$16,"E+",IF(D192&lt;'PlayerGrades+'!$AA$15,"D-",IF(D192&lt;'PlayerGrades+'!$AA$14,"D",IF(D192&lt;'PlayerGrades+'!$AA$13,"D+",IF(D192&lt;'PlayerGrades+'!$AA$12,"C-",IF(D192&lt;'PlayerGrades+'!$AA$11,"C",IF(D192&lt;'PlayerGrades+'!$AA$10,"C+",IF(D192&lt;'PlayerGrades+'!$AA$9,"B-",IF(D192&lt;'PlayerGrades+'!$AA$8,"B",IF(D192&lt;'PlayerGrades+'!$AA$7,"B+",IF(D192&lt;'PlayerGrades+'!$AA$6,"A-",IF(D192&lt;'PlayerGrades+'!$AA$5,"A",IF(D192&lt;'PlayerGrades+'!$AA$4,"A+",IF(D192&lt;'PlayerGrades+'!$AA$3,"S-",IF(D192&lt;'PlayerGrades+'!$AA$2,"S","S+"))))))))))))))))))))</f>
        <v>D-</v>
      </c>
      <c r="F192" s="937">
        <f t="shared" si="2"/>
        <v>-1.397898584</v>
      </c>
      <c r="G192" s="937" t="str">
        <f>IF(F192&lt;'PlayerGrades+'!$AB$21,"F-",IF(F192&lt;'PlayerGrades+'!$AB$20,"F",IF(F192&lt;'PlayerGrades+'!$AB$19,"F+",IF(F192&lt;'PlayerGrades+'!$AB$18,"E-",IF(F192&lt;'PlayerGrades+'!$AB$17,"E",IF(F192&lt;'PlayerGrades+'!$AB$16,"E+",IF(F192&lt;'PlayerGrades+'!$AB$15,"D-",IF(F192&lt;'PlayerGrades+'!$AB$14,"D",IF(F192&lt;'PlayerGrades+'!$AB$13,"D+",IF(F192&lt;'PlayerGrades+'!$AB$12,"C-",IF(F192&lt;'PlayerGrades+'!$AB$11,"C",IF(F192&lt;'PlayerGrades+'!$AB$10,"C+",IF(F192&lt;'PlayerGrades+'!$AB$9,"B-",IF(F192&lt;'PlayerGrades+'!$AB$8,"B",IF(F192&lt;'PlayerGrades+'!$AB$7,"B+",IF(F192&lt;'PlayerGrades+'!$AB$6,"A-",IF(F192&lt;'PlayerGrades+'!$AB$5,"A",IF(F192&lt;'PlayerGrades+'!$AB$4,"A+",IF(F192&lt;'PlayerGrades+'!$AB$3,"S-",IF(F192&lt;'PlayerGrades+'!$AB$2,"S","S+"))))))))))))))))))))</f>
        <v>F-</v>
      </c>
      <c r="H192" s="937">
        <f t="shared" si="3"/>
        <v>0.05481955231</v>
      </c>
      <c r="I192" s="937" t="str">
        <f>IF(H192&lt;'PlayerGrades+'!$AC$21,"F-",IF(H192&lt;'PlayerGrades+'!$AC$20,"F",IF(H192&lt;'PlayerGrades+'!$AC$19,"F+",IF(H192&lt;'PlayerGrades+'!$AC$18,"E-",IF(H192&lt;'PlayerGrades+'!$AC$17,"E",IF(H192&lt;'PlayerGrades+'!$AC$16,"E+",IF(H192&lt;'PlayerGrades+'!$AC$15,"D-",IF(H192&lt;'PlayerGrades+'!$AC$14,"D",IF(H192&lt;'PlayerGrades+'!$AC$13,"D+",IF(H192&lt;'PlayerGrades+'!$AC$12,"C-",IF(H192&lt;'PlayerGrades+'!$AC$11,"C",IF(H192&lt;'PlayerGrades+'!$AC$10,"C+",IF(H192&lt;'PlayerGrades+'!$AC$9,"B-",IF(H192&lt;'PlayerGrades+'!$AC$8,"B",IF(H192&lt;'PlayerGrades+'!$AC$7,"B+",IF(H192&lt;'PlayerGrades+'!$AC$6,"A-",IF(H192&lt;'PlayerGrades+'!$AC$5,"A",IF(H192&lt;'PlayerGrades+'!$AC$4,"A+",IF(H192&lt;'PlayerGrades+'!$AC$3,"S-",IF(H192&lt;'PlayerGrades+'!$AC$2,"S","S+"))))))))))))))))))))</f>
        <v>F+</v>
      </c>
      <c r="J192" s="937">
        <f t="shared" si="4"/>
        <v>0</v>
      </c>
      <c r="K192" s="937" t="str">
        <f>IF(J192&lt;'PlayerGrades+'!$AD$21,"F-",IF(J192&lt;'PlayerGrades+'!$AD$20,"F",IF(J192&lt;'PlayerGrades+'!$AD$19,"F+",IF(J192&lt;'PlayerGrades+'!$AD$18,"E-",IF(J192&lt;'PlayerGrades+'!$AD$17,"E",IF(J192&lt;'PlayerGrades+'!$AD$16,"E+",IF(J192&lt;'PlayerGrades+'!$AD$15,"D-",IF(J192&lt;'PlayerGrades+'!$AD$14,"D",IF(J192&lt;'PlayerGrades+'!$AD$13,"D+",IF(J192&lt;'PlayerGrades+'!$AD$12,"C-",IF(J192&lt;'PlayerGrades+'!$AD$11,"C",IF(J192&lt;'PlayerGrades+'!$AD$10,"C+",IF(J192&lt;'PlayerGrades+'!$AD$9,"B-",IF(J192&lt;'PlayerGrades+'!$AD$8,"B",IF(J192&lt;'PlayerGrades+'!$AD$7,"B+",IF(J192&lt;'PlayerGrades+'!$AD$6,"A-",IF(J192&lt;'PlayerGrades+'!$AD$5,"A",IF(J192&lt;'PlayerGrades+'!$AD$4,"A+",IF(J192&lt;'PlayerGrades+'!$AD$3,"S-",IF(J192&lt;'PlayerGrades+'!$AD$2,"S","S+"))))))))))))))))))))</f>
        <v>F-</v>
      </c>
      <c r="L192" s="677">
        <f t="shared" si="5"/>
        <v>0.2466879854</v>
      </c>
      <c r="M192" s="938" t="str">
        <f>IF(L192&lt;'PlayerGrades+'!$AE$21,"F-",IF(L192&lt;'PlayerGrades+'!$AE$20,"F",IF(L192&lt;'PlayerGrades+'!$AE$19,"F+",IF(L192&lt;'PlayerGrades+'!$AE$18,"E-",IF(L192&lt;'PlayerGrades+'!$AE$17,"E",IF(L192&lt;'PlayerGrades+'!$AE$16,"E+",IF(L192&lt;'PlayerGrades+'!$AE$15,"D-",IF(L192&lt;'PlayerGrades+'!$AE$14,"D",IF(L192&lt;'PlayerGrades+'!$AE$13,"D+",IF(L192&lt;'PlayerGrades+'!$AE$12,"C-",IF(L192&lt;'PlayerGrades+'!$AE$11,"C",IF(L192&lt;'PlayerGrades+'!$AE$10,"C+",IF(L192&lt;'PlayerGrades+'!$AE$9,"B-",IF(L192&lt;'PlayerGrades+'!$AE$8,"B",IF(L192&lt;'PlayerGrades+'!$AE$7,"B+",IF(L192&lt;'PlayerGrades+'!$AE$6,"A-",IF(L192&lt;'PlayerGrades+'!$AE$5,"A",IF(L192&lt;'PlayerGrades+'!$AE$4,"A+",IF(L192&lt;'PlayerGrades+'!$AE$3,"S-",IF(L192&lt;'PlayerGrades+'!$AE$2,"S","S+"))))))))))))))))))))</f>
        <v>F</v>
      </c>
      <c r="N192" s="937">
        <f t="shared" si="6"/>
        <v>0</v>
      </c>
      <c r="O192" s="937" t="str">
        <f>IF(N192&lt;'PlayerGrades+'!$AF$21,"F-",IF(N192&lt;'PlayerGrades+'!$AF$20,"F",IF(N192&lt;'PlayerGrades+'!$AF$19,"F+",IF(N192&lt;'PlayerGrades+'!$AF$18,"E-",IF(N192&lt;'PlayerGrades+'!$AF$17,"E",IF(N192&lt;'PlayerGrades+'!$AF$16,"E+",IF(N192&lt;'PlayerGrades+'!$AF$15,"D-",IF(N192&lt;'PlayerGrades+'!$AF$14,"D",IF(N192&lt;'PlayerGrades+'!$AF$13,"D+",IF(N192&lt;'PlayerGrades+'!$AF$12,"C-",IF(N192&lt;'PlayerGrades+'!$AF$11,"C",IF(N192&lt;'PlayerGrades+'!$AF$10,"C+",IF(N192&lt;'PlayerGrades+'!$AF$9,"B-",IF(N192&lt;'PlayerGrades+'!$AF$8,"B",IF(N192&lt;'PlayerGrades+'!$AF$7,"B+",IF(N192&lt;'PlayerGrades+'!$AF$6,"A-",IF(N192&lt;'PlayerGrades+'!$AF$5,"A",IF(N192&lt;'PlayerGrades+'!$AF$4,"A+",IF(N192&lt;'PlayerGrades+'!$AF$3,"S-",IF(N192&lt;'PlayerGrades+'!$AF$2,"S","S+"))))))))))))))))))))</f>
        <v>F-</v>
      </c>
      <c r="P192" s="937">
        <f t="shared" si="7"/>
        <v>0</v>
      </c>
      <c r="Q192" s="937" t="str">
        <f>IF(P192&lt;'PlayerGrades+'!$AG$21,"F-",IF(P192&lt;'PlayerGrades+'!$AG$20,"F",IF(P192&lt;'PlayerGrades+'!$AG$19,"F+",IF(P192&lt;'PlayerGrades+'!$AG$18,"E-",IF(P192&lt;'PlayerGrades+'!$AG$17,"E",IF(P192&lt;'PlayerGrades+'!$AG$16,"E+",IF(P192&lt;'PlayerGrades+'!$AG$15,"D-",IF(P192&lt;'PlayerGrades+'!$AG$14,"D",IF(P192&lt;'PlayerGrades+'!$AG$13,"D+",IF(P192&lt;'PlayerGrades+'!$AG$12,"C-",IF(P192&lt;'PlayerGrades+'!$AG$11,"C",IF(P192&lt;'PlayerGrades+'!$AG$10,"C+",IF(P192&lt;'PlayerGrades+'!$AG$9,"B-",IF(P192&lt;'PlayerGrades+'!$AG$8,"B",IF(P192&lt;'PlayerGrades+'!$AG$7,"B+",IF(P192&lt;'PlayerGrades+'!$AG$6,"A-",IF(P192&lt;'PlayerGrades+'!$AG$5,"A",IF(P192&lt;'PlayerGrades+'!$AG$4,"A+",IF(P192&lt;'PlayerGrades+'!$AG$3,"S-",IF(P192&lt;'PlayerGrades+'!$AG$2,"S","S+"))))))))))))))))))))</f>
        <v>F</v>
      </c>
      <c r="R192" s="937">
        <f t="shared" si="8"/>
        <v>0.5756052992</v>
      </c>
      <c r="S192" s="937" t="str">
        <f>IF(R192&lt;'PlayerGrades+'!$AH$21,"F-",IF(R192&lt;'PlayerGrades+'!$AH$20,"F",IF(R192&lt;'PlayerGrades+'!$AH$19,"F+",IF(R192&lt;'PlayerGrades+'!$AH$18,"E-",IF(R192&lt;'PlayerGrades+'!$AH$17,"E",IF(R192&lt;'PlayerGrades+'!$AH$16,"E+",IF(R192&lt;'PlayerGrades+'!$AH$15,"D-",IF(R192&lt;'PlayerGrades+'!$AH$14,"D",IF(R192&lt;'PlayerGrades+'!$AH$13,"D+",IF(R192&lt;'PlayerGrades+'!$AH$12,"C-",IF(R192&lt;'PlayerGrades+'!$AH$11,"C",IF(R192&lt;'PlayerGrades+'!$AH$10,"C+",IF(R192&lt;'PlayerGrades+'!$AH$9,"B-",IF(R192&lt;'PlayerGrades+'!$AH$8,"B",IF(R192&lt;'PlayerGrades+'!$AH$7,"B+",IF(R192&lt;'PlayerGrades+'!$AH$6,"A-",IF(R192&lt;'PlayerGrades+'!$AH$5,"A",IF(R192&lt;'PlayerGrades+'!$AH$4,"A+",IF(R192&lt;'PlayerGrades+'!$AH$3,"S-",IF(R192&lt;'PlayerGrades+'!$AH$2,"S","S+"))))))))))))))))))))</f>
        <v>B</v>
      </c>
      <c r="T192" s="937">
        <f t="shared" si="9"/>
        <v>1.465966195</v>
      </c>
      <c r="U192" s="937" t="str">
        <f>IF(T192&lt;'PlayerGrades+'!$AI$21,"F-",IF(T192&lt;'PlayerGrades+'!$AI$20,"F",IF(T192&lt;'PlayerGrades+'!$AI$19,"F+",IF(T192&lt;'PlayerGrades+'!$AI$18,"E-",IF(T192&lt;'PlayerGrades+'!$AI$17,"E",IF(T192&lt;'PlayerGrades+'!$AI$16,"E+",IF(T192&lt;'PlayerGrades+'!$AI$15,"D-",IF(T192&lt;'PlayerGrades+'!$AI$14,"D",IF(T192&lt;'PlayerGrades+'!$AI$13,"D+",IF(T192&lt;'PlayerGrades+'!$AI$12,"C-",IF(T192&lt;'PlayerGrades+'!$AI$11,"C",IF(T192&lt;'PlayerGrades+'!$AI$10,"C+",IF(T192&lt;'PlayerGrades+'!$AI$9,"B-",IF(T192&lt;'PlayerGrades+'!$AI$8,"B",IF(T192&lt;'PlayerGrades+'!$AI$7,"B+",IF(T192&lt;'PlayerGrades+'!$AI$6,"A-",IF(T192&lt;'PlayerGrades+'!$AI$5,"A",IF(T192&lt;'PlayerGrades+'!$AI$4,"A+",IF(T192&lt;'PlayerGrades+'!$AI$3,"S-",IF(T192&lt;'PlayerGrades+'!$AI$2,"S","S+"))))))))))))))))))))</f>
        <v>A-</v>
      </c>
      <c r="V192" s="941">
        <v>1.0</v>
      </c>
      <c r="W192" s="941">
        <v>0.0</v>
      </c>
      <c r="X192" s="941">
        <v>1.0</v>
      </c>
      <c r="Y192" s="941">
        <v>0.0</v>
      </c>
      <c r="Z192" s="941">
        <v>1.0</v>
      </c>
      <c r="AA192" s="941">
        <v>88.0</v>
      </c>
      <c r="AB192" s="941">
        <v>139.0</v>
      </c>
      <c r="AC192" s="941">
        <v>-51.0</v>
      </c>
      <c r="AD192" s="941">
        <v>10.0</v>
      </c>
      <c r="AE192" s="941">
        <v>3.0</v>
      </c>
      <c r="AF192" s="941">
        <v>1.0</v>
      </c>
      <c r="AG192" s="941">
        <v>1679.0</v>
      </c>
      <c r="AH192" s="941">
        <v>2189.0</v>
      </c>
      <c r="AI192" s="941">
        <v>12.0</v>
      </c>
      <c r="AJ192" s="941">
        <v>7.0</v>
      </c>
      <c r="AK192" s="941">
        <v>0.0</v>
      </c>
      <c r="AL192" s="941">
        <v>0.0</v>
      </c>
      <c r="AM192" s="941">
        <v>0.0</v>
      </c>
      <c r="AN192" s="941">
        <v>0.0</v>
      </c>
      <c r="AO192" s="941">
        <v>0.0</v>
      </c>
      <c r="AP192" s="941">
        <v>0.0</v>
      </c>
      <c r="AQ192" s="941">
        <v>0.0</v>
      </c>
      <c r="AR192" s="941">
        <v>9.0</v>
      </c>
      <c r="AS192" s="941">
        <v>0.0</v>
      </c>
      <c r="AT192" s="941">
        <v>0.0</v>
      </c>
      <c r="AU192" s="941">
        <v>0.0</v>
      </c>
      <c r="AV192" s="941">
        <v>0.0</v>
      </c>
      <c r="AW192" s="941">
        <v>0.0</v>
      </c>
      <c r="AX192" s="941">
        <v>0.0</v>
      </c>
      <c r="AY192" s="941">
        <v>0.0</v>
      </c>
      <c r="AZ192" s="941">
        <v>0.0</v>
      </c>
      <c r="BA192" s="941">
        <v>0.0</v>
      </c>
      <c r="BB192" s="941">
        <v>2.0</v>
      </c>
      <c r="BC192" s="941">
        <v>0.0</v>
      </c>
      <c r="BD192" s="941">
        <v>11.0</v>
      </c>
      <c r="BE192" s="941">
        <v>17.0</v>
      </c>
      <c r="BF192" s="941">
        <v>1.0</v>
      </c>
      <c r="BG192" s="942">
        <v>0.0</v>
      </c>
    </row>
    <row r="193">
      <c r="A193" s="943" t="s">
        <v>145</v>
      </c>
      <c r="B193" s="16" t="str">
        <f>IF(C193&lt;'PlayerGrades+'!$Y$44,"F-",IF(C193&lt;'PlayerGrades+'!$Y$43,"F",IF(C193&lt;'PlayerGrades+'!$Y$42,"F+",IF(C193&lt;'PlayerGrades+'!$Y$41,"E-",IF(C193&lt;'PlayerGrades+'!$Y$40,"E",IF(C193&lt;'PlayerGrades+'!$Y$39,"E+",IF(C193&lt;'PlayerGrades+'!$Y$38,"D-",IF(C193&lt;'PlayerGrades+'!$Y$37,"D",IF(C193&lt;'PlayerGrades+'!$Y$36,"D+",IF(C193&lt;'PlayerGrades+'!$Y$35,"C-",IF(C193&lt;'PlayerGrades+'!$Y$34,"C",IF(C193&lt;'PlayerGrades+'!$Y$33,"C+",IF(C193&lt;'PlayerGrades+'!$Y$32,"B-",IF(C193&lt;'PlayerGrades+'!$Y$31,"B",IF(C193&lt;'PlayerGrades+'!$Y$30,"B+",IF(C193&lt;'PlayerGrades+'!$Y$29,"A-",IF(C193&lt;'PlayerGrades+'!$Y$28,"A",IF(C193&lt;'PlayerGrades+'!$Y$27,"A+",IF(C193&lt;'PlayerGrades+'!$Y$26,"S-",IF(C193&lt;'PlayerGrades+'!$Y$25,"S","S+"))))))))))))))))))))</f>
        <v>C-</v>
      </c>
      <c r="C193" s="936">
        <f>('PlayerGrades+'!$Y$47*(VLOOKUP(E193, 'PlayerGrades+'!$X$3:$Y$23, 2, FALSE)))+('PlayerGrades+'!$Y$48*(VLOOKUP(G193, 'PlayerGrades+'!$X$3:$Y$23, 2, FALSE)))+('PlayerGrades+'!$Y$49*(VLOOKUP(I193, 'PlayerGrades+'!$X$3:$Y$23, 2, FALSE)))+('PlayerGrades+'!$Y$50*(VLOOKUP(K193, 'PlayerGrades+'!$X$3:$Y$23, 2, FALSE)))+('PlayerGrades+'!$Y$51*(VLOOKUP(M193, 'PlayerGrades+'!$X$3:$Y$23, 2, FALSE)))+('PlayerGrades+'!$Y$52*(VLOOKUP(O193, 'PlayerGrades+'!$X$3:$Y$23, 2, FALSE)))+('PlayerGrades+'!$Y$53*(VLOOKUP(Q193, 'PlayerGrades+'!$X$3:$Y$23, 2, FALSE)))+('PlayerGrades+'!$Y$54*(VLOOKUP(S193, 'PlayerGrades+'!$X$3:$Y$23, 2, FALSE)))+('PlayerGrades+'!$Y$55*(VLOOKUP(U193, 'PlayerGrades+'!$X$3:$Y$23, 2, FALSE)))</f>
        <v>19.2</v>
      </c>
      <c r="D193" s="937">
        <f t="shared" si="1"/>
        <v>0</v>
      </c>
      <c r="E193" s="937" t="str">
        <f>IF(D193&lt;'PlayerGrades+'!$AA$21,"F-",IF(D193&lt;'PlayerGrades+'!$AA$20,"F",IF(D193&lt;'PlayerGrades+'!$AA$19,"F+",IF(D193&lt;'PlayerGrades+'!$AA$18,"E-",IF(D193&lt;'PlayerGrades+'!$AA$17,"E",IF(D193&lt;'PlayerGrades+'!$AA$16,"E+",IF(D193&lt;'PlayerGrades+'!$AA$15,"D-",IF(D193&lt;'PlayerGrades+'!$AA$14,"D",IF(D193&lt;'PlayerGrades+'!$AA$13,"D+",IF(D193&lt;'PlayerGrades+'!$AA$12,"C-",IF(D193&lt;'PlayerGrades+'!$AA$11,"C",IF(D193&lt;'PlayerGrades+'!$AA$10,"C+",IF(D193&lt;'PlayerGrades+'!$AA$9,"B-",IF(D193&lt;'PlayerGrades+'!$AA$8,"B",IF(D193&lt;'PlayerGrades+'!$AA$7,"B+",IF(D193&lt;'PlayerGrades+'!$AA$6,"A-",IF(D193&lt;'PlayerGrades+'!$AA$5,"A",IF(D193&lt;'PlayerGrades+'!$AA$4,"A+",IF(D193&lt;'PlayerGrades+'!$AA$3,"S-",IF(D193&lt;'PlayerGrades+'!$AA$2,"S","S+"))))))))))))))))))))</f>
        <v>F-</v>
      </c>
      <c r="F193" s="937">
        <f t="shared" si="2"/>
        <v>-0.7948835085</v>
      </c>
      <c r="G193" s="937" t="str">
        <f>IF(F193&lt;'PlayerGrades+'!$AB$21,"F-",IF(F193&lt;'PlayerGrades+'!$AB$20,"F",IF(F193&lt;'PlayerGrades+'!$AB$19,"F+",IF(F193&lt;'PlayerGrades+'!$AB$18,"E-",IF(F193&lt;'PlayerGrades+'!$AB$17,"E",IF(F193&lt;'PlayerGrades+'!$AB$16,"E+",IF(F193&lt;'PlayerGrades+'!$AB$15,"D-",IF(F193&lt;'PlayerGrades+'!$AB$14,"D",IF(F193&lt;'PlayerGrades+'!$AB$13,"D+",IF(F193&lt;'PlayerGrades+'!$AB$12,"C-",IF(F193&lt;'PlayerGrades+'!$AB$11,"C",IF(F193&lt;'PlayerGrades+'!$AB$10,"C+",IF(F193&lt;'PlayerGrades+'!$AB$9,"B-",IF(F193&lt;'PlayerGrades+'!$AB$8,"B",IF(F193&lt;'PlayerGrades+'!$AB$7,"B+",IF(F193&lt;'PlayerGrades+'!$AB$6,"A-",IF(F193&lt;'PlayerGrades+'!$AB$5,"A",IF(F193&lt;'PlayerGrades+'!$AB$4,"A+",IF(F193&lt;'PlayerGrades+'!$AB$3,"S-",IF(F193&lt;'PlayerGrades+'!$AB$2,"S","S+"))))))))))))))))))))</f>
        <v>E</v>
      </c>
      <c r="H193" s="937">
        <f t="shared" si="3"/>
        <v>0.08222932846</v>
      </c>
      <c r="I193" s="937" t="str">
        <f>IF(H193&lt;'PlayerGrades+'!$AC$21,"F-",IF(H193&lt;'PlayerGrades+'!$AC$20,"F",IF(H193&lt;'PlayerGrades+'!$AC$19,"F+",IF(H193&lt;'PlayerGrades+'!$AC$18,"E-",IF(H193&lt;'PlayerGrades+'!$AC$17,"E",IF(H193&lt;'PlayerGrades+'!$AC$16,"E+",IF(H193&lt;'PlayerGrades+'!$AC$15,"D-",IF(H193&lt;'PlayerGrades+'!$AC$14,"D",IF(H193&lt;'PlayerGrades+'!$AC$13,"D+",IF(H193&lt;'PlayerGrades+'!$AC$12,"C-",IF(H193&lt;'PlayerGrades+'!$AC$11,"C",IF(H193&lt;'PlayerGrades+'!$AC$10,"C+",IF(H193&lt;'PlayerGrades+'!$AC$9,"B-",IF(H193&lt;'PlayerGrades+'!$AC$8,"B",IF(H193&lt;'PlayerGrades+'!$AC$7,"B+",IF(H193&lt;'PlayerGrades+'!$AC$6,"A-",IF(H193&lt;'PlayerGrades+'!$AC$5,"A",IF(H193&lt;'PlayerGrades+'!$AC$4,"A+",IF(H193&lt;'PlayerGrades+'!$AC$3,"S-",IF(H193&lt;'PlayerGrades+'!$AC$2,"S","S+"))))))))))))))))))))</f>
        <v>D-</v>
      </c>
      <c r="J193" s="937">
        <f t="shared" si="4"/>
        <v>0.05481955231</v>
      </c>
      <c r="K193" s="937" t="str">
        <f>IF(J193&lt;'PlayerGrades+'!$AD$21,"F-",IF(J193&lt;'PlayerGrades+'!$AD$20,"F",IF(J193&lt;'PlayerGrades+'!$AD$19,"F+",IF(J193&lt;'PlayerGrades+'!$AD$18,"E-",IF(J193&lt;'PlayerGrades+'!$AD$17,"E",IF(J193&lt;'PlayerGrades+'!$AD$16,"E+",IF(J193&lt;'PlayerGrades+'!$AD$15,"D-",IF(J193&lt;'PlayerGrades+'!$AD$14,"D",IF(J193&lt;'PlayerGrades+'!$AD$13,"D+",IF(J193&lt;'PlayerGrades+'!$AD$12,"C-",IF(J193&lt;'PlayerGrades+'!$AD$11,"C",IF(J193&lt;'PlayerGrades+'!$AD$10,"C+",IF(J193&lt;'PlayerGrades+'!$AD$9,"B-",IF(J193&lt;'PlayerGrades+'!$AD$8,"B",IF(J193&lt;'PlayerGrades+'!$AD$7,"B+",IF(J193&lt;'PlayerGrades+'!$AD$6,"A-",IF(J193&lt;'PlayerGrades+'!$AD$5,"A",IF(J193&lt;'PlayerGrades+'!$AD$4,"A+",IF(J193&lt;'PlayerGrades+'!$AD$3,"S-",IF(J193&lt;'PlayerGrades+'!$AD$2,"S","S+"))))))))))))))))))))</f>
        <v>B+</v>
      </c>
      <c r="L193" s="677">
        <f t="shared" si="5"/>
        <v>0.4111466423</v>
      </c>
      <c r="M193" s="938" t="str">
        <f>IF(L193&lt;'PlayerGrades+'!$AE$21,"F-",IF(L193&lt;'PlayerGrades+'!$AE$20,"F",IF(L193&lt;'PlayerGrades+'!$AE$19,"F+",IF(L193&lt;'PlayerGrades+'!$AE$18,"E-",IF(L193&lt;'PlayerGrades+'!$AE$17,"E",IF(L193&lt;'PlayerGrades+'!$AE$16,"E+",IF(L193&lt;'PlayerGrades+'!$AE$15,"D-",IF(L193&lt;'PlayerGrades+'!$AE$14,"D",IF(L193&lt;'PlayerGrades+'!$AE$13,"D+",IF(L193&lt;'PlayerGrades+'!$AE$12,"C-",IF(L193&lt;'PlayerGrades+'!$AE$11,"C",IF(L193&lt;'PlayerGrades+'!$AE$10,"C+",IF(L193&lt;'PlayerGrades+'!$AE$9,"B-",IF(L193&lt;'PlayerGrades+'!$AE$8,"B",IF(L193&lt;'PlayerGrades+'!$AE$7,"B+",IF(L193&lt;'PlayerGrades+'!$AE$6,"A-",IF(L193&lt;'PlayerGrades+'!$AE$5,"A",IF(L193&lt;'PlayerGrades+'!$AE$4,"A+",IF(L193&lt;'PlayerGrades+'!$AE$3,"S-",IF(L193&lt;'PlayerGrades+'!$AE$2,"S","S+"))))))))))))))))))))</f>
        <v>C+</v>
      </c>
      <c r="N193" s="937">
        <f t="shared" si="6"/>
        <v>0.08222932846</v>
      </c>
      <c r="O193" s="937" t="str">
        <f>IF(N193&lt;'PlayerGrades+'!$AF$21,"F-",IF(N193&lt;'PlayerGrades+'!$AF$20,"F",IF(N193&lt;'PlayerGrades+'!$AF$19,"F+",IF(N193&lt;'PlayerGrades+'!$AF$18,"E-",IF(N193&lt;'PlayerGrades+'!$AF$17,"E",IF(N193&lt;'PlayerGrades+'!$AF$16,"E+",IF(N193&lt;'PlayerGrades+'!$AF$15,"D-",IF(N193&lt;'PlayerGrades+'!$AF$14,"D",IF(N193&lt;'PlayerGrades+'!$AF$13,"D+",IF(N193&lt;'PlayerGrades+'!$AF$12,"C-",IF(N193&lt;'PlayerGrades+'!$AF$11,"C",IF(N193&lt;'PlayerGrades+'!$AF$10,"C+",IF(N193&lt;'PlayerGrades+'!$AF$9,"B-",IF(N193&lt;'PlayerGrades+'!$AF$8,"B",IF(N193&lt;'PlayerGrades+'!$AF$7,"B+",IF(N193&lt;'PlayerGrades+'!$AF$6,"A-",IF(N193&lt;'PlayerGrades+'!$AF$5,"A",IF(N193&lt;'PlayerGrades+'!$AF$4,"A+",IF(N193&lt;'PlayerGrades+'!$AF$3,"S-",IF(N193&lt;'PlayerGrades+'!$AF$2,"S","S+"))))))))))))))))))))</f>
        <v>B</v>
      </c>
      <c r="P193" s="937">
        <f t="shared" si="7"/>
        <v>0</v>
      </c>
      <c r="Q193" s="937" t="str">
        <f>IF(P193&lt;'PlayerGrades+'!$AG$21,"F-",IF(P193&lt;'PlayerGrades+'!$AG$20,"F",IF(P193&lt;'PlayerGrades+'!$AG$19,"F+",IF(P193&lt;'PlayerGrades+'!$AG$18,"E-",IF(P193&lt;'PlayerGrades+'!$AG$17,"E",IF(P193&lt;'PlayerGrades+'!$AG$16,"E+",IF(P193&lt;'PlayerGrades+'!$AG$15,"D-",IF(P193&lt;'PlayerGrades+'!$AG$14,"D",IF(P193&lt;'PlayerGrades+'!$AG$13,"D+",IF(P193&lt;'PlayerGrades+'!$AG$12,"C-",IF(P193&lt;'PlayerGrades+'!$AG$11,"C",IF(P193&lt;'PlayerGrades+'!$AG$10,"C+",IF(P193&lt;'PlayerGrades+'!$AG$9,"B-",IF(P193&lt;'PlayerGrades+'!$AG$8,"B",IF(P193&lt;'PlayerGrades+'!$AG$7,"B+",IF(P193&lt;'PlayerGrades+'!$AG$6,"A-",IF(P193&lt;'PlayerGrades+'!$AG$5,"A",IF(P193&lt;'PlayerGrades+'!$AG$4,"A+",IF(P193&lt;'PlayerGrades+'!$AG$3,"S-",IF(P193&lt;'PlayerGrades+'!$AG$2,"S","S+"))))))))))))))))))))</f>
        <v>F</v>
      </c>
      <c r="R193" s="937">
        <f t="shared" si="8"/>
        <v>0.6852444038</v>
      </c>
      <c r="S193" s="937" t="str">
        <f>IF(R193&lt;'PlayerGrades+'!$AH$21,"F-",IF(R193&lt;'PlayerGrades+'!$AH$20,"F",IF(R193&lt;'PlayerGrades+'!$AH$19,"F+",IF(R193&lt;'PlayerGrades+'!$AH$18,"E-",IF(R193&lt;'PlayerGrades+'!$AH$17,"E",IF(R193&lt;'PlayerGrades+'!$AH$16,"E+",IF(R193&lt;'PlayerGrades+'!$AH$15,"D-",IF(R193&lt;'PlayerGrades+'!$AH$14,"D",IF(R193&lt;'PlayerGrades+'!$AH$13,"D+",IF(R193&lt;'PlayerGrades+'!$AH$12,"C-",IF(R193&lt;'PlayerGrades+'!$AH$11,"C",IF(R193&lt;'PlayerGrades+'!$AH$10,"C+",IF(R193&lt;'PlayerGrades+'!$AH$9,"B-",IF(R193&lt;'PlayerGrades+'!$AH$8,"B",IF(R193&lt;'PlayerGrades+'!$AH$7,"B+",IF(R193&lt;'PlayerGrades+'!$AH$6,"A-",IF(R193&lt;'PlayerGrades+'!$AH$5,"A",IF(R193&lt;'PlayerGrades+'!$AH$4,"A+",IF(R193&lt;'PlayerGrades+'!$AH$3,"S-",IF(R193&lt;'PlayerGrades+'!$AH$2,"S","S+"))))))))))))))))))))</f>
        <v>S-</v>
      </c>
      <c r="T193" s="937">
        <f t="shared" si="9"/>
        <v>1.465966195</v>
      </c>
      <c r="U193" s="937" t="str">
        <f>IF(T193&lt;'PlayerGrades+'!$AI$21,"F-",IF(T193&lt;'PlayerGrades+'!$AI$20,"F",IF(T193&lt;'PlayerGrades+'!$AI$19,"F+",IF(T193&lt;'PlayerGrades+'!$AI$18,"E-",IF(T193&lt;'PlayerGrades+'!$AI$17,"E",IF(T193&lt;'PlayerGrades+'!$AI$16,"E+",IF(T193&lt;'PlayerGrades+'!$AI$15,"D-",IF(T193&lt;'PlayerGrades+'!$AI$14,"D",IF(T193&lt;'PlayerGrades+'!$AI$13,"D+",IF(T193&lt;'PlayerGrades+'!$AI$12,"C-",IF(T193&lt;'PlayerGrades+'!$AI$11,"C",IF(T193&lt;'PlayerGrades+'!$AI$10,"C+",IF(T193&lt;'PlayerGrades+'!$AI$9,"B-",IF(T193&lt;'PlayerGrades+'!$AI$8,"B",IF(T193&lt;'PlayerGrades+'!$AI$7,"B+",IF(T193&lt;'PlayerGrades+'!$AI$6,"A-",IF(T193&lt;'PlayerGrades+'!$AI$5,"A",IF(T193&lt;'PlayerGrades+'!$AI$4,"A+",IF(T193&lt;'PlayerGrades+'!$AI$3,"S-",IF(T193&lt;'PlayerGrades+'!$AI$2,"S","S+"))))))))))))))))))))</f>
        <v>A-</v>
      </c>
      <c r="V193" s="944">
        <v>1.0</v>
      </c>
      <c r="W193" s="944">
        <v>0.0</v>
      </c>
      <c r="X193" s="944">
        <v>1.0</v>
      </c>
      <c r="Y193" s="944">
        <v>0.0</v>
      </c>
      <c r="Z193" s="944">
        <v>0.0</v>
      </c>
      <c r="AA193" s="944">
        <v>113.0</v>
      </c>
      <c r="AB193" s="944">
        <v>142.0</v>
      </c>
      <c r="AC193" s="944">
        <v>-29.0</v>
      </c>
      <c r="AD193" s="944">
        <v>6.0</v>
      </c>
      <c r="AE193" s="944">
        <v>5.0</v>
      </c>
      <c r="AF193" s="944">
        <v>1.0</v>
      </c>
      <c r="AG193" s="944">
        <v>1666.0</v>
      </c>
      <c r="AH193" s="944">
        <v>2189.0</v>
      </c>
      <c r="AI193" s="944">
        <v>11.0</v>
      </c>
      <c r="AJ193" s="944">
        <v>7.0</v>
      </c>
      <c r="AK193" s="944">
        <v>0.0</v>
      </c>
      <c r="AL193" s="944">
        <v>2.0</v>
      </c>
      <c r="AM193" s="944">
        <v>0.0</v>
      </c>
      <c r="AN193" s="944">
        <v>0.0</v>
      </c>
      <c r="AO193" s="944">
        <v>0.0</v>
      </c>
      <c r="AP193" s="944">
        <v>0.0</v>
      </c>
      <c r="AQ193" s="944">
        <v>0.0</v>
      </c>
      <c r="AR193" s="944">
        <v>15.0</v>
      </c>
      <c r="AS193" s="944">
        <v>3.0</v>
      </c>
      <c r="AT193" s="944">
        <v>0.0</v>
      </c>
      <c r="AU193" s="944">
        <v>0.0</v>
      </c>
      <c r="AV193" s="944">
        <v>0.0</v>
      </c>
      <c r="AW193" s="944">
        <v>0.0</v>
      </c>
      <c r="AX193" s="944">
        <v>0.0</v>
      </c>
      <c r="AY193" s="944">
        <v>0.0</v>
      </c>
      <c r="AZ193" s="944">
        <v>0.0</v>
      </c>
      <c r="BA193" s="944">
        <v>0.0</v>
      </c>
      <c r="BB193" s="944">
        <v>3.0</v>
      </c>
      <c r="BC193" s="944">
        <v>0.0</v>
      </c>
      <c r="BD193" s="944">
        <v>19.0</v>
      </c>
      <c r="BE193" s="944">
        <v>17.0</v>
      </c>
      <c r="BF193" s="944">
        <v>1.0</v>
      </c>
      <c r="BG193" s="945">
        <v>0.0</v>
      </c>
    </row>
    <row r="194">
      <c r="A194" s="946" t="s">
        <v>139</v>
      </c>
      <c r="B194" s="16" t="str">
        <f>IF(C194&lt;'PlayerGrades+'!$Y$44,"F-",IF(C194&lt;'PlayerGrades+'!$Y$43,"F",IF(C194&lt;'PlayerGrades+'!$Y$42,"F+",IF(C194&lt;'PlayerGrades+'!$Y$41,"E-",IF(C194&lt;'PlayerGrades+'!$Y$40,"E",IF(C194&lt;'PlayerGrades+'!$Y$39,"E+",IF(C194&lt;'PlayerGrades+'!$Y$38,"D-",IF(C194&lt;'PlayerGrades+'!$Y$37,"D",IF(C194&lt;'PlayerGrades+'!$Y$36,"D+",IF(C194&lt;'PlayerGrades+'!$Y$35,"C-",IF(C194&lt;'PlayerGrades+'!$Y$34,"C",IF(C194&lt;'PlayerGrades+'!$Y$33,"C+",IF(C194&lt;'PlayerGrades+'!$Y$32,"B-",IF(C194&lt;'PlayerGrades+'!$Y$31,"B",IF(C194&lt;'PlayerGrades+'!$Y$30,"B+",IF(C194&lt;'PlayerGrades+'!$Y$29,"A-",IF(C194&lt;'PlayerGrades+'!$Y$28,"A",IF(C194&lt;'PlayerGrades+'!$Y$27,"A+",IF(C194&lt;'PlayerGrades+'!$Y$26,"S-",IF(C194&lt;'PlayerGrades+'!$Y$25,"S","S+"))))))))))))))))))))</f>
        <v>S-</v>
      </c>
      <c r="C194" s="936">
        <f>('PlayerGrades+'!$Y$47*(VLOOKUP(E194, 'PlayerGrades+'!$X$3:$Y$23, 2, FALSE)))+('PlayerGrades+'!$Y$48*(VLOOKUP(G194, 'PlayerGrades+'!$X$3:$Y$23, 2, FALSE)))+('PlayerGrades+'!$Y$49*(VLOOKUP(I194, 'PlayerGrades+'!$X$3:$Y$23, 2, FALSE)))+('PlayerGrades+'!$Y$50*(VLOOKUP(K194, 'PlayerGrades+'!$X$3:$Y$23, 2, FALSE)))+('PlayerGrades+'!$Y$51*(VLOOKUP(M194, 'PlayerGrades+'!$X$3:$Y$23, 2, FALSE)))+('PlayerGrades+'!$Y$52*(VLOOKUP(O194, 'PlayerGrades+'!$X$3:$Y$23, 2, FALSE)))+('PlayerGrades+'!$Y$53*(VLOOKUP(Q194, 'PlayerGrades+'!$X$3:$Y$23, 2, FALSE)))+('PlayerGrades+'!$Y$54*(VLOOKUP(S194, 'PlayerGrades+'!$X$3:$Y$23, 2, FALSE)))+('PlayerGrades+'!$Y$55*(VLOOKUP(U194, 'PlayerGrades+'!$X$3:$Y$23, 2, FALSE)))</f>
        <v>31.2</v>
      </c>
      <c r="D194" s="937">
        <f t="shared" si="1"/>
        <v>0.2148612355</v>
      </c>
      <c r="E194" s="937" t="str">
        <f>IF(D194&lt;'PlayerGrades+'!$AA$21,"F-",IF(D194&lt;'PlayerGrades+'!$AA$20,"F",IF(D194&lt;'PlayerGrades+'!$AA$19,"F+",IF(D194&lt;'PlayerGrades+'!$AA$18,"E-",IF(D194&lt;'PlayerGrades+'!$AA$17,"E",IF(D194&lt;'PlayerGrades+'!$AA$16,"E+",IF(D194&lt;'PlayerGrades+'!$AA$15,"D-",IF(D194&lt;'PlayerGrades+'!$AA$14,"D",IF(D194&lt;'PlayerGrades+'!$AA$13,"D+",IF(D194&lt;'PlayerGrades+'!$AA$12,"C-",IF(D194&lt;'PlayerGrades+'!$AA$11,"C",IF(D194&lt;'PlayerGrades+'!$AA$10,"C+",IF(D194&lt;'PlayerGrades+'!$AA$9,"B-",IF(D194&lt;'PlayerGrades+'!$AA$8,"B",IF(D194&lt;'PlayerGrades+'!$AA$7,"B+",IF(D194&lt;'PlayerGrades+'!$AA$6,"A-",IF(D194&lt;'PlayerGrades+'!$AA$5,"A",IF(D194&lt;'PlayerGrades+'!$AA$4,"A+",IF(D194&lt;'PlayerGrades+'!$AA$3,"S-",IF(D194&lt;'PlayerGrades+'!$AA$2,"S","S+"))))))))))))))))))))</f>
        <v>A-</v>
      </c>
      <c r="F194" s="937">
        <f t="shared" si="2"/>
        <v>0.376007162</v>
      </c>
      <c r="G194" s="937" t="str">
        <f>IF(F194&lt;'PlayerGrades+'!$AB$21,"F-",IF(F194&lt;'PlayerGrades+'!$AB$20,"F",IF(F194&lt;'PlayerGrades+'!$AB$19,"F+",IF(F194&lt;'PlayerGrades+'!$AB$18,"E-",IF(F194&lt;'PlayerGrades+'!$AB$17,"E",IF(F194&lt;'PlayerGrades+'!$AB$16,"E+",IF(F194&lt;'PlayerGrades+'!$AB$15,"D-",IF(F194&lt;'PlayerGrades+'!$AB$14,"D",IF(F194&lt;'PlayerGrades+'!$AB$13,"D+",IF(F194&lt;'PlayerGrades+'!$AB$12,"C-",IF(F194&lt;'PlayerGrades+'!$AB$11,"C",IF(F194&lt;'PlayerGrades+'!$AB$10,"C+",IF(F194&lt;'PlayerGrades+'!$AB$9,"B-",IF(F194&lt;'PlayerGrades+'!$AB$8,"B",IF(F194&lt;'PlayerGrades+'!$AB$7,"B+",IF(F194&lt;'PlayerGrades+'!$AB$6,"A-",IF(F194&lt;'PlayerGrades+'!$AB$5,"A",IF(F194&lt;'PlayerGrades+'!$AB$4,"A+",IF(F194&lt;'PlayerGrades+'!$AB$3,"S-",IF(F194&lt;'PlayerGrades+'!$AB$2,"S","S+"))))))))))))))))))))</f>
        <v>A</v>
      </c>
      <c r="H194" s="937">
        <f t="shared" si="3"/>
        <v>0.1074306177</v>
      </c>
      <c r="I194" s="937" t="str">
        <f>IF(H194&lt;'PlayerGrades+'!$AC$21,"F-",IF(H194&lt;'PlayerGrades+'!$AC$20,"F",IF(H194&lt;'PlayerGrades+'!$AC$19,"F+",IF(H194&lt;'PlayerGrades+'!$AC$18,"E-",IF(H194&lt;'PlayerGrades+'!$AC$17,"E",IF(H194&lt;'PlayerGrades+'!$AC$16,"E+",IF(H194&lt;'PlayerGrades+'!$AC$15,"D-",IF(H194&lt;'PlayerGrades+'!$AC$14,"D",IF(H194&lt;'PlayerGrades+'!$AC$13,"D+",IF(H194&lt;'PlayerGrades+'!$AC$12,"C-",IF(H194&lt;'PlayerGrades+'!$AC$11,"C",IF(H194&lt;'PlayerGrades+'!$AC$10,"C+",IF(H194&lt;'PlayerGrades+'!$AC$9,"B-",IF(H194&lt;'PlayerGrades+'!$AC$8,"B",IF(H194&lt;'PlayerGrades+'!$AC$7,"B+",IF(H194&lt;'PlayerGrades+'!$AC$6,"A-",IF(H194&lt;'PlayerGrades+'!$AC$5,"A",IF(H194&lt;'PlayerGrades+'!$AC$4,"A+",IF(H194&lt;'PlayerGrades+'!$AC$3,"S-",IF(H194&lt;'PlayerGrades+'!$AC$2,"S","S+"))))))))))))))))))))</f>
        <v>C-</v>
      </c>
      <c r="J194" s="937">
        <f t="shared" si="4"/>
        <v>0.1611459266</v>
      </c>
      <c r="K194" s="937" t="str">
        <f>IF(J194&lt;'PlayerGrades+'!$AD$21,"F-",IF(J194&lt;'PlayerGrades+'!$AD$20,"F",IF(J194&lt;'PlayerGrades+'!$AD$19,"F+",IF(J194&lt;'PlayerGrades+'!$AD$18,"E-",IF(J194&lt;'PlayerGrades+'!$AD$17,"E",IF(J194&lt;'PlayerGrades+'!$AD$16,"E+",IF(J194&lt;'PlayerGrades+'!$AD$15,"D-",IF(J194&lt;'PlayerGrades+'!$AD$14,"D",IF(J194&lt;'PlayerGrades+'!$AD$13,"D+",IF(J194&lt;'PlayerGrades+'!$AD$12,"C-",IF(J194&lt;'PlayerGrades+'!$AD$11,"C",IF(J194&lt;'PlayerGrades+'!$AD$10,"C+",IF(J194&lt;'PlayerGrades+'!$AD$9,"B-",IF(J194&lt;'PlayerGrades+'!$AD$8,"B",IF(J194&lt;'PlayerGrades+'!$AD$7,"B+",IF(J194&lt;'PlayerGrades+'!$AD$6,"A-",IF(J194&lt;'PlayerGrades+'!$AD$5,"A",IF(J194&lt;'PlayerGrades+'!$AD$4,"A+",IF(J194&lt;'PlayerGrades+'!$AD$3,"S-",IF(J194&lt;'PlayerGrades+'!$AD$2,"S","S+"))))))))))))))))))))</f>
        <v>S+</v>
      </c>
      <c r="L194" s="677">
        <f t="shared" si="5"/>
        <v>0.5908683975</v>
      </c>
      <c r="M194" s="938" t="str">
        <f>IF(L194&lt;'PlayerGrades+'!$AE$21,"F-",IF(L194&lt;'PlayerGrades+'!$AE$20,"F",IF(L194&lt;'PlayerGrades+'!$AE$19,"F+",IF(L194&lt;'PlayerGrades+'!$AE$18,"E-",IF(L194&lt;'PlayerGrades+'!$AE$17,"E",IF(L194&lt;'PlayerGrades+'!$AE$16,"E+",IF(L194&lt;'PlayerGrades+'!$AE$15,"D-",IF(L194&lt;'PlayerGrades+'!$AE$14,"D",IF(L194&lt;'PlayerGrades+'!$AE$13,"D+",IF(L194&lt;'PlayerGrades+'!$AE$12,"C-",IF(L194&lt;'PlayerGrades+'!$AE$11,"C",IF(L194&lt;'PlayerGrades+'!$AE$10,"C+",IF(L194&lt;'PlayerGrades+'!$AE$9,"B-",IF(L194&lt;'PlayerGrades+'!$AE$8,"B",IF(L194&lt;'PlayerGrades+'!$AE$7,"B+",IF(L194&lt;'PlayerGrades+'!$AE$6,"A-",IF(L194&lt;'PlayerGrades+'!$AE$5,"A",IF(L194&lt;'PlayerGrades+'!$AE$4,"A+",IF(L194&lt;'PlayerGrades+'!$AE$3,"S-",IF(L194&lt;'PlayerGrades+'!$AE$2,"S","S+"))))))))))))))))))))</f>
        <v>A+</v>
      </c>
      <c r="N194" s="937">
        <f t="shared" si="6"/>
        <v>0.2148612355</v>
      </c>
      <c r="O194" s="937" t="str">
        <f>IF(N194&lt;'PlayerGrades+'!$AF$21,"F-",IF(N194&lt;'PlayerGrades+'!$AF$20,"F",IF(N194&lt;'PlayerGrades+'!$AF$19,"F+",IF(N194&lt;'PlayerGrades+'!$AF$18,"E-",IF(N194&lt;'PlayerGrades+'!$AF$17,"E",IF(N194&lt;'PlayerGrades+'!$AF$16,"E+",IF(N194&lt;'PlayerGrades+'!$AF$15,"D-",IF(N194&lt;'PlayerGrades+'!$AF$14,"D",IF(N194&lt;'PlayerGrades+'!$AF$13,"D+",IF(N194&lt;'PlayerGrades+'!$AF$12,"C-",IF(N194&lt;'PlayerGrades+'!$AF$11,"C",IF(N194&lt;'PlayerGrades+'!$AF$10,"C+",IF(N194&lt;'PlayerGrades+'!$AF$9,"B-",IF(N194&lt;'PlayerGrades+'!$AF$8,"B",IF(N194&lt;'PlayerGrades+'!$AF$7,"B+",IF(N194&lt;'PlayerGrades+'!$AF$6,"A-",IF(N194&lt;'PlayerGrades+'!$AF$5,"A",IF(N194&lt;'PlayerGrades+'!$AF$4,"A+",IF(N194&lt;'PlayerGrades+'!$AF$3,"S-",IF(N194&lt;'PlayerGrades+'!$AF$2,"S","S+"))))))))))))))))))))</f>
        <v>S+</v>
      </c>
      <c r="P194" s="937">
        <f t="shared" si="7"/>
        <v>0.1074306177</v>
      </c>
      <c r="Q194" s="937" t="str">
        <f>IF(P194&lt;'PlayerGrades+'!$AG$21,"F-",IF(P194&lt;'PlayerGrades+'!$AG$20,"F",IF(P194&lt;'PlayerGrades+'!$AG$19,"F+",IF(P194&lt;'PlayerGrades+'!$AG$18,"E-",IF(P194&lt;'PlayerGrades+'!$AG$17,"E",IF(P194&lt;'PlayerGrades+'!$AG$16,"E+",IF(P194&lt;'PlayerGrades+'!$AG$15,"D-",IF(P194&lt;'PlayerGrades+'!$AG$14,"D",IF(P194&lt;'PlayerGrades+'!$AG$13,"D+",IF(P194&lt;'PlayerGrades+'!$AG$12,"C-",IF(P194&lt;'PlayerGrades+'!$AG$11,"C",IF(P194&lt;'PlayerGrades+'!$AG$10,"C+",IF(P194&lt;'PlayerGrades+'!$AG$9,"B-",IF(P194&lt;'PlayerGrades+'!$AG$8,"B",IF(P194&lt;'PlayerGrades+'!$AG$7,"B+",IF(P194&lt;'PlayerGrades+'!$AG$6,"A-",IF(P194&lt;'PlayerGrades+'!$AG$5,"A",IF(P194&lt;'PlayerGrades+'!$AG$4,"A+",IF(P194&lt;'PlayerGrades+'!$AG$3,"S-",IF(P194&lt;'PlayerGrades+'!$AG$2,"S","S+"))))))))))))))))))))</f>
        <v>S+</v>
      </c>
      <c r="R194" s="937">
        <f t="shared" si="8"/>
        <v>0.6982990152</v>
      </c>
      <c r="S194" s="937" t="str">
        <f>IF(R194&lt;'PlayerGrades+'!$AH$21,"F-",IF(R194&lt;'PlayerGrades+'!$AH$20,"F",IF(R194&lt;'PlayerGrades+'!$AH$19,"F+",IF(R194&lt;'PlayerGrades+'!$AH$18,"E-",IF(R194&lt;'PlayerGrades+'!$AH$17,"E",IF(R194&lt;'PlayerGrades+'!$AH$16,"E+",IF(R194&lt;'PlayerGrades+'!$AH$15,"D-",IF(R194&lt;'PlayerGrades+'!$AH$14,"D",IF(R194&lt;'PlayerGrades+'!$AH$13,"D+",IF(R194&lt;'PlayerGrades+'!$AH$12,"C-",IF(R194&lt;'PlayerGrades+'!$AH$11,"C",IF(R194&lt;'PlayerGrades+'!$AH$10,"C+",IF(R194&lt;'PlayerGrades+'!$AH$9,"B-",IF(R194&lt;'PlayerGrades+'!$AH$8,"B",IF(R194&lt;'PlayerGrades+'!$AH$7,"B+",IF(R194&lt;'PlayerGrades+'!$AH$6,"A-",IF(R194&lt;'PlayerGrades+'!$AH$5,"A",IF(R194&lt;'PlayerGrades+'!$AH$4,"A+",IF(R194&lt;'PlayerGrades+'!$AH$3,"S-",IF(R194&lt;'PlayerGrades+'!$AH$2,"S","S+"))))))))))))))))))))</f>
        <v>S-</v>
      </c>
      <c r="T194" s="937">
        <f t="shared" si="9"/>
        <v>1.322291853</v>
      </c>
      <c r="U194" s="937" t="str">
        <f>IF(T194&lt;'PlayerGrades+'!$AI$21,"F-",IF(T194&lt;'PlayerGrades+'!$AI$20,"F",IF(T194&lt;'PlayerGrades+'!$AI$19,"F+",IF(T194&lt;'PlayerGrades+'!$AI$18,"E-",IF(T194&lt;'PlayerGrades+'!$AI$17,"E",IF(T194&lt;'PlayerGrades+'!$AI$16,"E+",IF(T194&lt;'PlayerGrades+'!$AI$15,"D-",IF(T194&lt;'PlayerGrades+'!$AI$14,"D",IF(T194&lt;'PlayerGrades+'!$AI$13,"D+",IF(T194&lt;'PlayerGrades+'!$AI$12,"C-",IF(T194&lt;'PlayerGrades+'!$AI$11,"C",IF(T194&lt;'PlayerGrades+'!$AI$10,"C+",IF(T194&lt;'PlayerGrades+'!$AI$9,"B-",IF(T194&lt;'PlayerGrades+'!$AI$8,"B",IF(T194&lt;'PlayerGrades+'!$AI$7,"B+",IF(T194&lt;'PlayerGrades+'!$AI$6,"A-",IF(T194&lt;'PlayerGrades+'!$AI$5,"A",IF(T194&lt;'PlayerGrades+'!$AI$4,"A+",IF(T194&lt;'PlayerGrades+'!$AI$3,"S-",IF(T194&lt;'PlayerGrades+'!$AI$2,"S","S+"))))))))))))))))))))</f>
        <v>C+</v>
      </c>
      <c r="V194" s="939">
        <v>1.0</v>
      </c>
      <c r="W194" s="939">
        <v>1.0</v>
      </c>
      <c r="X194" s="939">
        <v>0.0</v>
      </c>
      <c r="Y194" s="939">
        <v>2.0</v>
      </c>
      <c r="Z194" s="939">
        <v>2.0</v>
      </c>
      <c r="AA194" s="939">
        <v>78.0</v>
      </c>
      <c r="AB194" s="939">
        <v>71.0</v>
      </c>
      <c r="AC194" s="939">
        <v>7.0</v>
      </c>
      <c r="AD194" s="939">
        <v>5.0</v>
      </c>
      <c r="AE194" s="939">
        <v>5.0</v>
      </c>
      <c r="AF194" s="939">
        <v>2.0</v>
      </c>
      <c r="AG194" s="939">
        <v>809.0</v>
      </c>
      <c r="AH194" s="939">
        <v>1117.0</v>
      </c>
      <c r="AI194" s="939">
        <v>11.0</v>
      </c>
      <c r="AJ194" s="939">
        <v>42.0</v>
      </c>
      <c r="AK194" s="939">
        <v>0.0</v>
      </c>
      <c r="AL194" s="939">
        <v>3.0</v>
      </c>
      <c r="AM194" s="939">
        <v>0.0</v>
      </c>
      <c r="AN194" s="939">
        <v>0.0</v>
      </c>
      <c r="AO194" s="939">
        <v>0.0</v>
      </c>
      <c r="AP194" s="939">
        <v>2.0</v>
      </c>
      <c r="AQ194" s="939">
        <v>0.0</v>
      </c>
      <c r="AR194" s="939">
        <v>11.0</v>
      </c>
      <c r="AS194" s="939">
        <v>4.0</v>
      </c>
      <c r="AT194" s="939">
        <v>1.0</v>
      </c>
      <c r="AU194" s="939">
        <v>0.0</v>
      </c>
      <c r="AV194" s="939">
        <v>0.0</v>
      </c>
      <c r="AW194" s="939">
        <v>0.0</v>
      </c>
      <c r="AX194" s="939">
        <v>0.0</v>
      </c>
      <c r="AY194" s="939">
        <v>0.0</v>
      </c>
      <c r="AZ194" s="939">
        <v>0.0</v>
      </c>
      <c r="BA194" s="939">
        <v>0.0</v>
      </c>
      <c r="BB194" s="939">
        <v>2.0</v>
      </c>
      <c r="BC194" s="939">
        <v>0.0</v>
      </c>
      <c r="BD194" s="939">
        <v>8.0</v>
      </c>
      <c r="BE194" s="939">
        <v>6.0</v>
      </c>
      <c r="BF194" s="939">
        <v>1.0</v>
      </c>
      <c r="BG194" s="940">
        <v>1.0</v>
      </c>
    </row>
    <row r="195">
      <c r="A195" s="935" t="s">
        <v>150</v>
      </c>
      <c r="B195" s="16" t="str">
        <f>IF(C195&lt;'PlayerGrades+'!$Y$44,"F-",IF(C195&lt;'PlayerGrades+'!$Y$43,"F",IF(C195&lt;'PlayerGrades+'!$Y$42,"F+",IF(C195&lt;'PlayerGrades+'!$Y$41,"E-",IF(C195&lt;'PlayerGrades+'!$Y$40,"E",IF(C195&lt;'PlayerGrades+'!$Y$39,"E+",IF(C195&lt;'PlayerGrades+'!$Y$38,"D-",IF(C195&lt;'PlayerGrades+'!$Y$37,"D",IF(C195&lt;'PlayerGrades+'!$Y$36,"D+",IF(C195&lt;'PlayerGrades+'!$Y$35,"C-",IF(C195&lt;'PlayerGrades+'!$Y$34,"C",IF(C195&lt;'PlayerGrades+'!$Y$33,"C+",IF(C195&lt;'PlayerGrades+'!$Y$32,"B-",IF(C195&lt;'PlayerGrades+'!$Y$31,"B",IF(C195&lt;'PlayerGrades+'!$Y$30,"B+",IF(C195&lt;'PlayerGrades+'!$Y$29,"A-",IF(C195&lt;'PlayerGrades+'!$Y$28,"A",IF(C195&lt;'PlayerGrades+'!$Y$27,"A+",IF(C195&lt;'PlayerGrades+'!$Y$26,"S-",IF(C195&lt;'PlayerGrades+'!$Y$25,"S","S+"))))))))))))))))))))</f>
        <v>B-</v>
      </c>
      <c r="C195" s="936">
        <f>('PlayerGrades+'!$Y$47*(VLOOKUP(E195, 'PlayerGrades+'!$X$3:$Y$23, 2, FALSE)))+('PlayerGrades+'!$Y$48*(VLOOKUP(G195, 'PlayerGrades+'!$X$3:$Y$23, 2, FALSE)))+('PlayerGrades+'!$Y$49*(VLOOKUP(I195, 'PlayerGrades+'!$X$3:$Y$23, 2, FALSE)))+('PlayerGrades+'!$Y$50*(VLOOKUP(K195, 'PlayerGrades+'!$X$3:$Y$23, 2, FALSE)))+('PlayerGrades+'!$Y$51*(VLOOKUP(M195, 'PlayerGrades+'!$X$3:$Y$23, 2, FALSE)))+('PlayerGrades+'!$Y$52*(VLOOKUP(O195, 'PlayerGrades+'!$X$3:$Y$23, 2, FALSE)))+('PlayerGrades+'!$Y$53*(VLOOKUP(Q195, 'PlayerGrades+'!$X$3:$Y$23, 2, FALSE)))+('PlayerGrades+'!$Y$54*(VLOOKUP(S195, 'PlayerGrades+'!$X$3:$Y$23, 2, FALSE)))+('PlayerGrades+'!$Y$55*(VLOOKUP(U195, 'PlayerGrades+'!$X$3:$Y$23, 2, FALSE)))</f>
        <v>22.35</v>
      </c>
      <c r="D195" s="937">
        <f t="shared" si="1"/>
        <v>0.2148612355</v>
      </c>
      <c r="E195" s="937" t="str">
        <f>IF(D195&lt;'PlayerGrades+'!$AA$21,"F-",IF(D195&lt;'PlayerGrades+'!$AA$20,"F",IF(D195&lt;'PlayerGrades+'!$AA$19,"F+",IF(D195&lt;'PlayerGrades+'!$AA$18,"E-",IF(D195&lt;'PlayerGrades+'!$AA$17,"E",IF(D195&lt;'PlayerGrades+'!$AA$16,"E+",IF(D195&lt;'PlayerGrades+'!$AA$15,"D-",IF(D195&lt;'PlayerGrades+'!$AA$14,"D",IF(D195&lt;'PlayerGrades+'!$AA$13,"D+",IF(D195&lt;'PlayerGrades+'!$AA$12,"C-",IF(D195&lt;'PlayerGrades+'!$AA$11,"C",IF(D195&lt;'PlayerGrades+'!$AA$10,"C+",IF(D195&lt;'PlayerGrades+'!$AA$9,"B-",IF(D195&lt;'PlayerGrades+'!$AA$8,"B",IF(D195&lt;'PlayerGrades+'!$AA$7,"B+",IF(D195&lt;'PlayerGrades+'!$AA$6,"A-",IF(D195&lt;'PlayerGrades+'!$AA$5,"A",IF(D195&lt;'PlayerGrades+'!$AA$4,"A+",IF(D195&lt;'PlayerGrades+'!$AA$3,"S-",IF(D195&lt;'PlayerGrades+'!$AA$2,"S","S+"))))))))))))))))))))</f>
        <v>A-</v>
      </c>
      <c r="F195" s="937">
        <f t="shared" si="2"/>
        <v>0.2148612355</v>
      </c>
      <c r="G195" s="937" t="str">
        <f>IF(F195&lt;'PlayerGrades+'!$AB$21,"F-",IF(F195&lt;'PlayerGrades+'!$AB$20,"F",IF(F195&lt;'PlayerGrades+'!$AB$19,"F+",IF(F195&lt;'PlayerGrades+'!$AB$18,"E-",IF(F195&lt;'PlayerGrades+'!$AB$17,"E",IF(F195&lt;'PlayerGrades+'!$AB$16,"E+",IF(F195&lt;'PlayerGrades+'!$AB$15,"D-",IF(F195&lt;'PlayerGrades+'!$AB$14,"D",IF(F195&lt;'PlayerGrades+'!$AB$13,"D+",IF(F195&lt;'PlayerGrades+'!$AB$12,"C-",IF(F195&lt;'PlayerGrades+'!$AB$11,"C",IF(F195&lt;'PlayerGrades+'!$AB$10,"C+",IF(F195&lt;'PlayerGrades+'!$AB$9,"B-",IF(F195&lt;'PlayerGrades+'!$AB$8,"B",IF(F195&lt;'PlayerGrades+'!$AB$7,"B+",IF(F195&lt;'PlayerGrades+'!$AB$6,"A-",IF(F195&lt;'PlayerGrades+'!$AB$5,"A",IF(F195&lt;'PlayerGrades+'!$AB$4,"A+",IF(F195&lt;'PlayerGrades+'!$AB$3,"S-",IF(F195&lt;'PlayerGrades+'!$AB$2,"S","S+"))))))))))))))))))))</f>
        <v>B+</v>
      </c>
      <c r="H195" s="937">
        <f t="shared" si="3"/>
        <v>0</v>
      </c>
      <c r="I195" s="937" t="str">
        <f>IF(H195&lt;'PlayerGrades+'!$AC$21,"F-",IF(H195&lt;'PlayerGrades+'!$AC$20,"F",IF(H195&lt;'PlayerGrades+'!$AC$19,"F+",IF(H195&lt;'PlayerGrades+'!$AC$18,"E-",IF(H195&lt;'PlayerGrades+'!$AC$17,"E",IF(H195&lt;'PlayerGrades+'!$AC$16,"E+",IF(H195&lt;'PlayerGrades+'!$AC$15,"D-",IF(H195&lt;'PlayerGrades+'!$AC$14,"D",IF(H195&lt;'PlayerGrades+'!$AC$13,"D+",IF(H195&lt;'PlayerGrades+'!$AC$12,"C-",IF(H195&lt;'PlayerGrades+'!$AC$11,"C",IF(H195&lt;'PlayerGrades+'!$AC$10,"C+",IF(H195&lt;'PlayerGrades+'!$AC$9,"B-",IF(H195&lt;'PlayerGrades+'!$AC$8,"B",IF(H195&lt;'PlayerGrades+'!$AC$7,"B+",IF(H195&lt;'PlayerGrades+'!$AC$6,"A-",IF(H195&lt;'PlayerGrades+'!$AC$5,"A",IF(H195&lt;'PlayerGrades+'!$AC$4,"A+",IF(H195&lt;'PlayerGrades+'!$AC$3,"S-",IF(H195&lt;'PlayerGrades+'!$AC$2,"S","S+"))))))))))))))))))))</f>
        <v>F-</v>
      </c>
      <c r="J195" s="937">
        <f t="shared" si="4"/>
        <v>0.1611459266</v>
      </c>
      <c r="K195" s="937" t="str">
        <f>IF(J195&lt;'PlayerGrades+'!$AD$21,"F-",IF(J195&lt;'PlayerGrades+'!$AD$20,"F",IF(J195&lt;'PlayerGrades+'!$AD$19,"F+",IF(J195&lt;'PlayerGrades+'!$AD$18,"E-",IF(J195&lt;'PlayerGrades+'!$AD$17,"E",IF(J195&lt;'PlayerGrades+'!$AD$16,"E+",IF(J195&lt;'PlayerGrades+'!$AD$15,"D-",IF(J195&lt;'PlayerGrades+'!$AD$14,"D",IF(J195&lt;'PlayerGrades+'!$AD$13,"D+",IF(J195&lt;'PlayerGrades+'!$AD$12,"C-",IF(J195&lt;'PlayerGrades+'!$AD$11,"C",IF(J195&lt;'PlayerGrades+'!$AD$10,"C+",IF(J195&lt;'PlayerGrades+'!$AD$9,"B-",IF(J195&lt;'PlayerGrades+'!$AD$8,"B",IF(J195&lt;'PlayerGrades+'!$AD$7,"B+",IF(J195&lt;'PlayerGrades+'!$AD$6,"A-",IF(J195&lt;'PlayerGrades+'!$AD$5,"A",IF(J195&lt;'PlayerGrades+'!$AD$4,"A+",IF(J195&lt;'PlayerGrades+'!$AD$3,"S-",IF(J195&lt;'PlayerGrades+'!$AD$2,"S","S+"))))))))))))))))))))</f>
        <v>S+</v>
      </c>
      <c r="L195" s="677">
        <f t="shared" si="5"/>
        <v>0.376007162</v>
      </c>
      <c r="M195" s="938" t="str">
        <f>IF(L195&lt;'PlayerGrades+'!$AE$21,"F-",IF(L195&lt;'PlayerGrades+'!$AE$20,"F",IF(L195&lt;'PlayerGrades+'!$AE$19,"F+",IF(L195&lt;'PlayerGrades+'!$AE$18,"E-",IF(L195&lt;'PlayerGrades+'!$AE$17,"E",IF(L195&lt;'PlayerGrades+'!$AE$16,"E+",IF(L195&lt;'PlayerGrades+'!$AE$15,"D-",IF(L195&lt;'PlayerGrades+'!$AE$14,"D",IF(L195&lt;'PlayerGrades+'!$AE$13,"D+",IF(L195&lt;'PlayerGrades+'!$AE$12,"C-",IF(L195&lt;'PlayerGrades+'!$AE$11,"C",IF(L195&lt;'PlayerGrades+'!$AE$10,"C+",IF(L195&lt;'PlayerGrades+'!$AE$9,"B-",IF(L195&lt;'PlayerGrades+'!$AE$8,"B",IF(L195&lt;'PlayerGrades+'!$AE$7,"B+",IF(L195&lt;'PlayerGrades+'!$AE$6,"A-",IF(L195&lt;'PlayerGrades+'!$AE$5,"A",IF(L195&lt;'PlayerGrades+'!$AE$4,"A+",IF(L195&lt;'PlayerGrades+'!$AE$3,"S-",IF(L195&lt;'PlayerGrades+'!$AE$2,"S","S+"))))))))))))))))))))</f>
        <v>C-</v>
      </c>
      <c r="N195" s="937">
        <f t="shared" si="6"/>
        <v>0.1074306177</v>
      </c>
      <c r="O195" s="937" t="str">
        <f>IF(N195&lt;'PlayerGrades+'!$AF$21,"F-",IF(N195&lt;'PlayerGrades+'!$AF$20,"F",IF(N195&lt;'PlayerGrades+'!$AF$19,"F+",IF(N195&lt;'PlayerGrades+'!$AF$18,"E-",IF(N195&lt;'PlayerGrades+'!$AF$17,"E",IF(N195&lt;'PlayerGrades+'!$AF$16,"E+",IF(N195&lt;'PlayerGrades+'!$AF$15,"D-",IF(N195&lt;'PlayerGrades+'!$AF$14,"D",IF(N195&lt;'PlayerGrades+'!$AF$13,"D+",IF(N195&lt;'PlayerGrades+'!$AF$12,"C-",IF(N195&lt;'PlayerGrades+'!$AF$11,"C",IF(N195&lt;'PlayerGrades+'!$AF$10,"C+",IF(N195&lt;'PlayerGrades+'!$AF$9,"B-",IF(N195&lt;'PlayerGrades+'!$AF$8,"B",IF(N195&lt;'PlayerGrades+'!$AF$7,"B+",IF(N195&lt;'PlayerGrades+'!$AF$6,"A-",IF(N195&lt;'PlayerGrades+'!$AF$5,"A",IF(N195&lt;'PlayerGrades+'!$AF$4,"A+",IF(N195&lt;'PlayerGrades+'!$AF$3,"S-",IF(N195&lt;'PlayerGrades+'!$AF$2,"S","S+"))))))))))))))))))))</f>
        <v>S-</v>
      </c>
      <c r="P195" s="937">
        <f t="shared" si="7"/>
        <v>0.1611459266</v>
      </c>
      <c r="Q195" s="937" t="str">
        <f>IF(P195&lt;'PlayerGrades+'!$AG$21,"F-",IF(P195&lt;'PlayerGrades+'!$AG$20,"F",IF(P195&lt;'PlayerGrades+'!$AG$19,"F+",IF(P195&lt;'PlayerGrades+'!$AG$18,"E-",IF(P195&lt;'PlayerGrades+'!$AG$17,"E",IF(P195&lt;'PlayerGrades+'!$AG$16,"E+",IF(P195&lt;'PlayerGrades+'!$AG$15,"D-",IF(P195&lt;'PlayerGrades+'!$AG$14,"D",IF(P195&lt;'PlayerGrades+'!$AG$13,"D+",IF(P195&lt;'PlayerGrades+'!$AG$12,"C-",IF(P195&lt;'PlayerGrades+'!$AG$11,"C",IF(P195&lt;'PlayerGrades+'!$AG$10,"C+",IF(P195&lt;'PlayerGrades+'!$AG$9,"B-",IF(P195&lt;'PlayerGrades+'!$AG$8,"B",IF(P195&lt;'PlayerGrades+'!$AG$7,"B+",IF(P195&lt;'PlayerGrades+'!$AG$6,"A-",IF(P195&lt;'PlayerGrades+'!$AG$5,"A",IF(P195&lt;'PlayerGrades+'!$AG$4,"A+",IF(P195&lt;'PlayerGrades+'!$AG$3,"S-",IF(P195&lt;'PlayerGrades+'!$AG$2,"S","S+"))))))))))))))))))))</f>
        <v>S+</v>
      </c>
      <c r="R195" s="937">
        <f t="shared" si="8"/>
        <v>0.4834377798</v>
      </c>
      <c r="S195" s="937" t="str">
        <f>IF(R195&lt;'PlayerGrades+'!$AH$21,"F-",IF(R195&lt;'PlayerGrades+'!$AH$20,"F",IF(R195&lt;'PlayerGrades+'!$AH$19,"F+",IF(R195&lt;'PlayerGrades+'!$AH$18,"E-",IF(R195&lt;'PlayerGrades+'!$AH$17,"E",IF(R195&lt;'PlayerGrades+'!$AH$16,"E+",IF(R195&lt;'PlayerGrades+'!$AH$15,"D-",IF(R195&lt;'PlayerGrades+'!$AH$14,"D",IF(R195&lt;'PlayerGrades+'!$AH$13,"D+",IF(R195&lt;'PlayerGrades+'!$AH$12,"C-",IF(R195&lt;'PlayerGrades+'!$AH$11,"C",IF(R195&lt;'PlayerGrades+'!$AH$10,"C+",IF(R195&lt;'PlayerGrades+'!$AH$9,"B-",IF(R195&lt;'PlayerGrades+'!$AH$8,"B",IF(R195&lt;'PlayerGrades+'!$AH$7,"B+",IF(R195&lt;'PlayerGrades+'!$AH$6,"A-",IF(R195&lt;'PlayerGrades+'!$AH$5,"A",IF(R195&lt;'PlayerGrades+'!$AH$4,"A+",IF(R195&lt;'PlayerGrades+'!$AH$3,"S-",IF(R195&lt;'PlayerGrades+'!$AH$2,"S","S+"))))))))))))))))))))</f>
        <v>E+</v>
      </c>
      <c r="T195" s="937">
        <f t="shared" si="9"/>
        <v>0.3222918532</v>
      </c>
      <c r="U195" s="937" t="str">
        <f>IF(T195&lt;'PlayerGrades+'!$AI$21,"F-",IF(T195&lt;'PlayerGrades+'!$AI$20,"F",IF(T195&lt;'PlayerGrades+'!$AI$19,"F+",IF(T195&lt;'PlayerGrades+'!$AI$18,"E-",IF(T195&lt;'PlayerGrades+'!$AI$17,"E",IF(T195&lt;'PlayerGrades+'!$AI$16,"E+",IF(T195&lt;'PlayerGrades+'!$AI$15,"D-",IF(T195&lt;'PlayerGrades+'!$AI$14,"D",IF(T195&lt;'PlayerGrades+'!$AI$13,"D+",IF(T195&lt;'PlayerGrades+'!$AI$12,"C-",IF(T195&lt;'PlayerGrades+'!$AI$11,"C",IF(T195&lt;'PlayerGrades+'!$AI$10,"C+",IF(T195&lt;'PlayerGrades+'!$AI$9,"B-",IF(T195&lt;'PlayerGrades+'!$AI$8,"B",IF(T195&lt;'PlayerGrades+'!$AI$7,"B+",IF(T195&lt;'PlayerGrades+'!$AI$6,"A-",IF(T195&lt;'PlayerGrades+'!$AI$5,"A",IF(T195&lt;'PlayerGrades+'!$AI$4,"A+",IF(T195&lt;'PlayerGrades+'!$AI$3,"S-",IF(T195&lt;'PlayerGrades+'!$AI$2,"S","S+"))))))))))))))))))))</f>
        <v>F-</v>
      </c>
      <c r="V195" s="941">
        <v>1.0</v>
      </c>
      <c r="W195" s="941">
        <v>1.0</v>
      </c>
      <c r="X195" s="941">
        <v>0.0</v>
      </c>
      <c r="Y195" s="941">
        <v>2.0</v>
      </c>
      <c r="Z195" s="941">
        <v>2.0</v>
      </c>
      <c r="AA195" s="941">
        <v>57.0</v>
      </c>
      <c r="AB195" s="941">
        <v>53.0</v>
      </c>
      <c r="AC195" s="941">
        <v>4.0</v>
      </c>
      <c r="AD195" s="941">
        <v>2.0</v>
      </c>
      <c r="AE195" s="941">
        <v>9.0</v>
      </c>
      <c r="AF195" s="941">
        <v>1.0</v>
      </c>
      <c r="AG195" s="941">
        <v>861.0</v>
      </c>
      <c r="AH195" s="941">
        <v>1117.0</v>
      </c>
      <c r="AI195" s="941">
        <v>16.0</v>
      </c>
      <c r="AJ195" s="941">
        <v>117.0</v>
      </c>
      <c r="AK195" s="941">
        <v>0.0</v>
      </c>
      <c r="AL195" s="941">
        <v>3.0</v>
      </c>
      <c r="AM195" s="941">
        <v>0.0</v>
      </c>
      <c r="AN195" s="941">
        <v>0.0</v>
      </c>
      <c r="AO195" s="941">
        <v>0.0</v>
      </c>
      <c r="AP195" s="941">
        <v>3.0</v>
      </c>
      <c r="AQ195" s="941">
        <v>0.0</v>
      </c>
      <c r="AR195" s="941">
        <v>7.0</v>
      </c>
      <c r="AS195" s="941">
        <v>2.0</v>
      </c>
      <c r="AT195" s="941">
        <v>2.0</v>
      </c>
      <c r="AU195" s="941">
        <v>2.0</v>
      </c>
      <c r="AV195" s="941">
        <v>1.0</v>
      </c>
      <c r="AW195" s="941">
        <v>0.0</v>
      </c>
      <c r="AX195" s="941">
        <v>0.0</v>
      </c>
      <c r="AY195" s="941">
        <v>0.0</v>
      </c>
      <c r="AZ195" s="941">
        <v>0.0</v>
      </c>
      <c r="BA195" s="941">
        <v>0.0</v>
      </c>
      <c r="BB195" s="941">
        <v>0.0</v>
      </c>
      <c r="BC195" s="941">
        <v>0.0</v>
      </c>
      <c r="BD195" s="941">
        <v>7.0</v>
      </c>
      <c r="BE195" s="941">
        <v>6.0</v>
      </c>
      <c r="BF195" s="941">
        <v>0.0</v>
      </c>
      <c r="BG195" s="942">
        <v>1.0</v>
      </c>
    </row>
    <row r="196">
      <c r="A196" s="935" t="s">
        <v>128</v>
      </c>
      <c r="B196" s="16" t="str">
        <f>IF(C196&lt;'PlayerGrades+'!$Y$44,"F-",IF(C196&lt;'PlayerGrades+'!$Y$43,"F",IF(C196&lt;'PlayerGrades+'!$Y$42,"F+",IF(C196&lt;'PlayerGrades+'!$Y$41,"E-",IF(C196&lt;'PlayerGrades+'!$Y$40,"E",IF(C196&lt;'PlayerGrades+'!$Y$39,"E+",IF(C196&lt;'PlayerGrades+'!$Y$38,"D-",IF(C196&lt;'PlayerGrades+'!$Y$37,"D",IF(C196&lt;'PlayerGrades+'!$Y$36,"D+",IF(C196&lt;'PlayerGrades+'!$Y$35,"C-",IF(C196&lt;'PlayerGrades+'!$Y$34,"C",IF(C196&lt;'PlayerGrades+'!$Y$33,"C+",IF(C196&lt;'PlayerGrades+'!$Y$32,"B-",IF(C196&lt;'PlayerGrades+'!$Y$31,"B",IF(C196&lt;'PlayerGrades+'!$Y$30,"B+",IF(C196&lt;'PlayerGrades+'!$Y$29,"A-",IF(C196&lt;'PlayerGrades+'!$Y$28,"A",IF(C196&lt;'PlayerGrades+'!$Y$27,"A+",IF(C196&lt;'PlayerGrades+'!$Y$26,"S-",IF(C196&lt;'PlayerGrades+'!$Y$25,"S","S+"))))))))))))))))))))</f>
        <v>A-</v>
      </c>
      <c r="C196" s="936">
        <f>('PlayerGrades+'!$Y$47*(VLOOKUP(E196, 'PlayerGrades+'!$X$3:$Y$23, 2, FALSE)))+('PlayerGrades+'!$Y$48*(VLOOKUP(G196, 'PlayerGrades+'!$X$3:$Y$23, 2, FALSE)))+('PlayerGrades+'!$Y$49*(VLOOKUP(I196, 'PlayerGrades+'!$X$3:$Y$23, 2, FALSE)))+('PlayerGrades+'!$Y$50*(VLOOKUP(K196, 'PlayerGrades+'!$X$3:$Y$23, 2, FALSE)))+('PlayerGrades+'!$Y$51*(VLOOKUP(M196, 'PlayerGrades+'!$X$3:$Y$23, 2, FALSE)))+('PlayerGrades+'!$Y$52*(VLOOKUP(O196, 'PlayerGrades+'!$X$3:$Y$23, 2, FALSE)))+('PlayerGrades+'!$Y$53*(VLOOKUP(Q196, 'PlayerGrades+'!$X$3:$Y$23, 2, FALSE)))+('PlayerGrades+'!$Y$54*(VLOOKUP(S196, 'PlayerGrades+'!$X$3:$Y$23, 2, FALSE)))+('PlayerGrades+'!$Y$55*(VLOOKUP(U196, 'PlayerGrades+'!$X$3:$Y$23, 2, FALSE)))</f>
        <v>24.5</v>
      </c>
      <c r="D196" s="937">
        <f t="shared" si="1"/>
        <v>0.1074306177</v>
      </c>
      <c r="E196" s="937" t="str">
        <f>IF(D196&lt;'PlayerGrades+'!$AA$21,"F-",IF(D196&lt;'PlayerGrades+'!$AA$20,"F",IF(D196&lt;'PlayerGrades+'!$AA$19,"F+",IF(D196&lt;'PlayerGrades+'!$AA$18,"E-",IF(D196&lt;'PlayerGrades+'!$AA$17,"E",IF(D196&lt;'PlayerGrades+'!$AA$16,"E+",IF(D196&lt;'PlayerGrades+'!$AA$15,"D-",IF(D196&lt;'PlayerGrades+'!$AA$14,"D",IF(D196&lt;'PlayerGrades+'!$AA$13,"D+",IF(D196&lt;'PlayerGrades+'!$AA$12,"C-",IF(D196&lt;'PlayerGrades+'!$AA$11,"C",IF(D196&lt;'PlayerGrades+'!$AA$10,"C+",IF(D196&lt;'PlayerGrades+'!$AA$9,"B-",IF(D196&lt;'PlayerGrades+'!$AA$8,"B",IF(D196&lt;'PlayerGrades+'!$AA$7,"B+",IF(D196&lt;'PlayerGrades+'!$AA$6,"A-",IF(D196&lt;'PlayerGrades+'!$AA$5,"A",IF(D196&lt;'PlayerGrades+'!$AA$4,"A+",IF(D196&lt;'PlayerGrades+'!$AA$3,"S-",IF(D196&lt;'PlayerGrades+'!$AA$2,"S","S+"))))))))))))))))))))</f>
        <v>B</v>
      </c>
      <c r="F196" s="937">
        <f t="shared" si="2"/>
        <v>0.6982990152</v>
      </c>
      <c r="G196" s="937" t="str">
        <f>IF(F196&lt;'PlayerGrades+'!$AB$21,"F-",IF(F196&lt;'PlayerGrades+'!$AB$20,"F",IF(F196&lt;'PlayerGrades+'!$AB$19,"F+",IF(F196&lt;'PlayerGrades+'!$AB$18,"E-",IF(F196&lt;'PlayerGrades+'!$AB$17,"E",IF(F196&lt;'PlayerGrades+'!$AB$16,"E+",IF(F196&lt;'PlayerGrades+'!$AB$15,"D-",IF(F196&lt;'PlayerGrades+'!$AB$14,"D",IF(F196&lt;'PlayerGrades+'!$AB$13,"D+",IF(F196&lt;'PlayerGrades+'!$AB$12,"C-",IF(F196&lt;'PlayerGrades+'!$AB$11,"C",IF(F196&lt;'PlayerGrades+'!$AB$10,"C+",IF(F196&lt;'PlayerGrades+'!$AB$9,"B-",IF(F196&lt;'PlayerGrades+'!$AB$8,"B",IF(F196&lt;'PlayerGrades+'!$AB$7,"B+",IF(F196&lt;'PlayerGrades+'!$AB$6,"A-",IF(F196&lt;'PlayerGrades+'!$AB$5,"A",IF(F196&lt;'PlayerGrades+'!$AB$4,"A+",IF(F196&lt;'PlayerGrades+'!$AB$3,"S-",IF(F196&lt;'PlayerGrades+'!$AB$2,"S","S+"))))))))))))))))))))</f>
        <v>S-</v>
      </c>
      <c r="H196" s="937">
        <f t="shared" si="3"/>
        <v>0.05371530886</v>
      </c>
      <c r="I196" s="937" t="str">
        <f>IF(H196&lt;'PlayerGrades+'!$AC$21,"F-",IF(H196&lt;'PlayerGrades+'!$AC$20,"F",IF(H196&lt;'PlayerGrades+'!$AC$19,"F+",IF(H196&lt;'PlayerGrades+'!$AC$18,"E-",IF(H196&lt;'PlayerGrades+'!$AC$17,"E",IF(H196&lt;'PlayerGrades+'!$AC$16,"E+",IF(H196&lt;'PlayerGrades+'!$AC$15,"D-",IF(H196&lt;'PlayerGrades+'!$AC$14,"D",IF(H196&lt;'PlayerGrades+'!$AC$13,"D+",IF(H196&lt;'PlayerGrades+'!$AC$12,"C-",IF(H196&lt;'PlayerGrades+'!$AC$11,"C",IF(H196&lt;'PlayerGrades+'!$AC$10,"C+",IF(H196&lt;'PlayerGrades+'!$AC$9,"B-",IF(H196&lt;'PlayerGrades+'!$AC$8,"B",IF(H196&lt;'PlayerGrades+'!$AC$7,"B+",IF(H196&lt;'PlayerGrades+'!$AC$6,"A-",IF(H196&lt;'PlayerGrades+'!$AC$5,"A",IF(H196&lt;'PlayerGrades+'!$AC$4,"A+",IF(H196&lt;'PlayerGrades+'!$AC$3,"S-",IF(H196&lt;'PlayerGrades+'!$AC$2,"S","S+"))))))))))))))))))))</f>
        <v>F+</v>
      </c>
      <c r="J196" s="937">
        <f t="shared" si="4"/>
        <v>0.05371530886</v>
      </c>
      <c r="K196" s="937" t="str">
        <f>IF(J196&lt;'PlayerGrades+'!$AD$21,"F-",IF(J196&lt;'PlayerGrades+'!$AD$20,"F",IF(J196&lt;'PlayerGrades+'!$AD$19,"F+",IF(J196&lt;'PlayerGrades+'!$AD$18,"E-",IF(J196&lt;'PlayerGrades+'!$AD$17,"E",IF(J196&lt;'PlayerGrades+'!$AD$16,"E+",IF(J196&lt;'PlayerGrades+'!$AD$15,"D-",IF(J196&lt;'PlayerGrades+'!$AD$14,"D",IF(J196&lt;'PlayerGrades+'!$AD$13,"D+",IF(J196&lt;'PlayerGrades+'!$AD$12,"C-",IF(J196&lt;'PlayerGrades+'!$AD$11,"C",IF(J196&lt;'PlayerGrades+'!$AD$10,"C+",IF(J196&lt;'PlayerGrades+'!$AD$9,"B-",IF(J196&lt;'PlayerGrades+'!$AD$8,"B",IF(J196&lt;'PlayerGrades+'!$AD$7,"B+",IF(J196&lt;'PlayerGrades+'!$AD$6,"A-",IF(J196&lt;'PlayerGrades+'!$AD$5,"A",IF(J196&lt;'PlayerGrades+'!$AD$4,"A+",IF(J196&lt;'PlayerGrades+'!$AD$3,"S-",IF(J196&lt;'PlayerGrades+'!$AD$2,"S","S+"))))))))))))))))))))</f>
        <v>B+</v>
      </c>
      <c r="L196" s="677">
        <f t="shared" si="5"/>
        <v>0.4297224709</v>
      </c>
      <c r="M196" s="938" t="str">
        <f>IF(L196&lt;'PlayerGrades+'!$AE$21,"F-",IF(L196&lt;'PlayerGrades+'!$AE$20,"F",IF(L196&lt;'PlayerGrades+'!$AE$19,"F+",IF(L196&lt;'PlayerGrades+'!$AE$18,"E-",IF(L196&lt;'PlayerGrades+'!$AE$17,"E",IF(L196&lt;'PlayerGrades+'!$AE$16,"E+",IF(L196&lt;'PlayerGrades+'!$AE$15,"D-",IF(L196&lt;'PlayerGrades+'!$AE$14,"D",IF(L196&lt;'PlayerGrades+'!$AE$13,"D+",IF(L196&lt;'PlayerGrades+'!$AE$12,"C-",IF(L196&lt;'PlayerGrades+'!$AE$11,"C",IF(L196&lt;'PlayerGrades+'!$AE$10,"C+",IF(L196&lt;'PlayerGrades+'!$AE$9,"B-",IF(L196&lt;'PlayerGrades+'!$AE$8,"B",IF(L196&lt;'PlayerGrades+'!$AE$7,"B+",IF(L196&lt;'PlayerGrades+'!$AE$6,"A-",IF(L196&lt;'PlayerGrades+'!$AE$5,"A",IF(L196&lt;'PlayerGrades+'!$AE$4,"A+",IF(L196&lt;'PlayerGrades+'!$AE$3,"S-",IF(L196&lt;'PlayerGrades+'!$AE$2,"S","S+"))))))))))))))))))))</f>
        <v>B-</v>
      </c>
      <c r="N196" s="937">
        <f t="shared" si="6"/>
        <v>0.05371530886</v>
      </c>
      <c r="O196" s="937" t="str">
        <f>IF(N196&lt;'PlayerGrades+'!$AF$21,"F-",IF(N196&lt;'PlayerGrades+'!$AF$20,"F",IF(N196&lt;'PlayerGrades+'!$AF$19,"F+",IF(N196&lt;'PlayerGrades+'!$AF$18,"E-",IF(N196&lt;'PlayerGrades+'!$AF$17,"E",IF(N196&lt;'PlayerGrades+'!$AF$16,"E+",IF(N196&lt;'PlayerGrades+'!$AF$15,"D-",IF(N196&lt;'PlayerGrades+'!$AF$14,"D",IF(N196&lt;'PlayerGrades+'!$AF$13,"D+",IF(N196&lt;'PlayerGrades+'!$AF$12,"C-",IF(N196&lt;'PlayerGrades+'!$AF$11,"C",IF(N196&lt;'PlayerGrades+'!$AF$10,"C+",IF(N196&lt;'PlayerGrades+'!$AF$9,"B-",IF(N196&lt;'PlayerGrades+'!$AF$8,"B",IF(N196&lt;'PlayerGrades+'!$AF$7,"B+",IF(N196&lt;'PlayerGrades+'!$AF$6,"A-",IF(N196&lt;'PlayerGrades+'!$AF$5,"A",IF(N196&lt;'PlayerGrades+'!$AF$4,"A+",IF(N196&lt;'PlayerGrades+'!$AF$3,"S-",IF(N196&lt;'PlayerGrades+'!$AF$2,"S","S+"))))))))))))))))))))</f>
        <v>D</v>
      </c>
      <c r="P196" s="937">
        <f t="shared" si="7"/>
        <v>0.05371530886</v>
      </c>
      <c r="Q196" s="937" t="str">
        <f>IF(P196&lt;'PlayerGrades+'!$AG$21,"F-",IF(P196&lt;'PlayerGrades+'!$AG$20,"F",IF(P196&lt;'PlayerGrades+'!$AG$19,"F+",IF(P196&lt;'PlayerGrades+'!$AG$18,"E-",IF(P196&lt;'PlayerGrades+'!$AG$17,"E",IF(P196&lt;'PlayerGrades+'!$AG$16,"E+",IF(P196&lt;'PlayerGrades+'!$AG$15,"D-",IF(P196&lt;'PlayerGrades+'!$AG$14,"D",IF(P196&lt;'PlayerGrades+'!$AG$13,"D+",IF(P196&lt;'PlayerGrades+'!$AG$12,"C-",IF(P196&lt;'PlayerGrades+'!$AG$11,"C",IF(P196&lt;'PlayerGrades+'!$AG$10,"C+",IF(P196&lt;'PlayerGrades+'!$AG$9,"B-",IF(P196&lt;'PlayerGrades+'!$AG$8,"B",IF(P196&lt;'PlayerGrades+'!$AG$7,"B+",IF(P196&lt;'PlayerGrades+'!$AG$6,"A-",IF(P196&lt;'PlayerGrades+'!$AG$5,"A",IF(P196&lt;'PlayerGrades+'!$AG$4,"A+",IF(P196&lt;'PlayerGrades+'!$AG$3,"S-",IF(P196&lt;'PlayerGrades+'!$AG$2,"S","S+"))))))))))))))))))))</f>
        <v>A</v>
      </c>
      <c r="R196" s="937">
        <f t="shared" si="8"/>
        <v>0.8057296329</v>
      </c>
      <c r="S196" s="937" t="str">
        <f>IF(R196&lt;'PlayerGrades+'!$AH$21,"F-",IF(R196&lt;'PlayerGrades+'!$AH$20,"F",IF(R196&lt;'PlayerGrades+'!$AH$19,"F+",IF(R196&lt;'PlayerGrades+'!$AH$18,"E-",IF(R196&lt;'PlayerGrades+'!$AH$17,"E",IF(R196&lt;'PlayerGrades+'!$AH$16,"E+",IF(R196&lt;'PlayerGrades+'!$AH$15,"D-",IF(R196&lt;'PlayerGrades+'!$AH$14,"D",IF(R196&lt;'PlayerGrades+'!$AH$13,"D+",IF(R196&lt;'PlayerGrades+'!$AH$12,"C-",IF(R196&lt;'PlayerGrades+'!$AH$11,"C",IF(R196&lt;'PlayerGrades+'!$AH$10,"C+",IF(R196&lt;'PlayerGrades+'!$AH$9,"B-",IF(R196&lt;'PlayerGrades+'!$AH$8,"B",IF(R196&lt;'PlayerGrades+'!$AH$7,"B+",IF(R196&lt;'PlayerGrades+'!$AH$6,"A-",IF(R196&lt;'PlayerGrades+'!$AH$5,"A",IF(R196&lt;'PlayerGrades+'!$AH$4,"A+",IF(R196&lt;'PlayerGrades+'!$AH$3,"S-",IF(R196&lt;'PlayerGrades+'!$AH$2,"S","S+"))))))))))))))))))))</f>
        <v>S+</v>
      </c>
      <c r="T196" s="937">
        <f t="shared" si="9"/>
        <v>1.322291853</v>
      </c>
      <c r="U196" s="937" t="str">
        <f>IF(T196&lt;'PlayerGrades+'!$AI$21,"F-",IF(T196&lt;'PlayerGrades+'!$AI$20,"F",IF(T196&lt;'PlayerGrades+'!$AI$19,"F+",IF(T196&lt;'PlayerGrades+'!$AI$18,"E-",IF(T196&lt;'PlayerGrades+'!$AI$17,"E",IF(T196&lt;'PlayerGrades+'!$AI$16,"E+",IF(T196&lt;'PlayerGrades+'!$AI$15,"D-",IF(T196&lt;'PlayerGrades+'!$AI$14,"D",IF(T196&lt;'PlayerGrades+'!$AI$13,"D+",IF(T196&lt;'PlayerGrades+'!$AI$12,"C-",IF(T196&lt;'PlayerGrades+'!$AI$11,"C",IF(T196&lt;'PlayerGrades+'!$AI$10,"C+",IF(T196&lt;'PlayerGrades+'!$AI$9,"B-",IF(T196&lt;'PlayerGrades+'!$AI$8,"B",IF(T196&lt;'PlayerGrades+'!$AI$7,"B+",IF(T196&lt;'PlayerGrades+'!$AI$6,"A-",IF(T196&lt;'PlayerGrades+'!$AI$5,"A",IF(T196&lt;'PlayerGrades+'!$AI$4,"A+",IF(T196&lt;'PlayerGrades+'!$AI$3,"S-",IF(T196&lt;'PlayerGrades+'!$AI$2,"S","S+"))))))))))))))))))))</f>
        <v>C+</v>
      </c>
      <c r="V196" s="941">
        <v>1.0</v>
      </c>
      <c r="W196" s="941">
        <v>1.0</v>
      </c>
      <c r="X196" s="941">
        <v>0.0</v>
      </c>
      <c r="Y196" s="941">
        <v>1.0</v>
      </c>
      <c r="Z196" s="941">
        <v>1.0</v>
      </c>
      <c r="AA196" s="941">
        <v>76.0</v>
      </c>
      <c r="AB196" s="941">
        <v>63.0</v>
      </c>
      <c r="AC196" s="941">
        <v>13.0</v>
      </c>
      <c r="AD196" s="941">
        <v>10.0</v>
      </c>
      <c r="AE196" s="941">
        <v>6.0</v>
      </c>
      <c r="AF196" s="941">
        <v>1.0</v>
      </c>
      <c r="AG196" s="941">
        <v>836.0</v>
      </c>
      <c r="AH196" s="941">
        <v>1117.0</v>
      </c>
      <c r="AI196" s="941">
        <v>13.0</v>
      </c>
      <c r="AJ196" s="941">
        <v>10.0</v>
      </c>
      <c r="AK196" s="941">
        <v>0.0</v>
      </c>
      <c r="AL196" s="941">
        <v>1.0</v>
      </c>
      <c r="AM196" s="941">
        <v>0.0</v>
      </c>
      <c r="AN196" s="941">
        <v>0.0</v>
      </c>
      <c r="AO196" s="941">
        <v>0.0</v>
      </c>
      <c r="AP196" s="941">
        <v>1.0</v>
      </c>
      <c r="AQ196" s="941">
        <v>0.0</v>
      </c>
      <c r="AR196" s="941">
        <v>8.0</v>
      </c>
      <c r="AS196" s="941">
        <v>1.0</v>
      </c>
      <c r="AT196" s="941">
        <v>0.0</v>
      </c>
      <c r="AU196" s="941">
        <v>0.0</v>
      </c>
      <c r="AV196" s="941">
        <v>0.0</v>
      </c>
      <c r="AW196" s="941">
        <v>0.0</v>
      </c>
      <c r="AX196" s="941">
        <v>0.0</v>
      </c>
      <c r="AY196" s="941">
        <v>0.0</v>
      </c>
      <c r="AZ196" s="941">
        <v>0.0</v>
      </c>
      <c r="BA196" s="941">
        <v>0.0</v>
      </c>
      <c r="BB196" s="941">
        <v>1.0</v>
      </c>
      <c r="BC196" s="941">
        <v>0.0</v>
      </c>
      <c r="BD196" s="941">
        <v>5.0</v>
      </c>
      <c r="BE196" s="941">
        <v>6.0</v>
      </c>
      <c r="BF196" s="941">
        <v>1.0</v>
      </c>
      <c r="BG196" s="942">
        <v>1.0</v>
      </c>
    </row>
    <row r="197">
      <c r="A197" s="935" t="s">
        <v>117</v>
      </c>
      <c r="B197" s="16" t="str">
        <f>IF(C197&lt;'PlayerGrades+'!$Y$44,"F-",IF(C197&lt;'PlayerGrades+'!$Y$43,"F",IF(C197&lt;'PlayerGrades+'!$Y$42,"F+",IF(C197&lt;'PlayerGrades+'!$Y$41,"E-",IF(C197&lt;'PlayerGrades+'!$Y$40,"E",IF(C197&lt;'PlayerGrades+'!$Y$39,"E+",IF(C197&lt;'PlayerGrades+'!$Y$38,"D-",IF(C197&lt;'PlayerGrades+'!$Y$37,"D",IF(C197&lt;'PlayerGrades+'!$Y$36,"D+",IF(C197&lt;'PlayerGrades+'!$Y$35,"C-",IF(C197&lt;'PlayerGrades+'!$Y$34,"C",IF(C197&lt;'PlayerGrades+'!$Y$33,"C+",IF(C197&lt;'PlayerGrades+'!$Y$32,"B-",IF(C197&lt;'PlayerGrades+'!$Y$31,"B",IF(C197&lt;'PlayerGrades+'!$Y$30,"B+",IF(C197&lt;'PlayerGrades+'!$Y$29,"A-",IF(C197&lt;'PlayerGrades+'!$Y$28,"A",IF(C197&lt;'PlayerGrades+'!$Y$27,"A+",IF(C197&lt;'PlayerGrades+'!$Y$26,"S-",IF(C197&lt;'PlayerGrades+'!$Y$25,"S","S+"))))))))))))))))))))</f>
        <v>C-</v>
      </c>
      <c r="C197" s="936">
        <f>('PlayerGrades+'!$Y$47*(VLOOKUP(E197, 'PlayerGrades+'!$X$3:$Y$23, 2, FALSE)))+('PlayerGrades+'!$Y$48*(VLOOKUP(G197, 'PlayerGrades+'!$X$3:$Y$23, 2, FALSE)))+('PlayerGrades+'!$Y$49*(VLOOKUP(I197, 'PlayerGrades+'!$X$3:$Y$23, 2, FALSE)))+('PlayerGrades+'!$Y$50*(VLOOKUP(K197, 'PlayerGrades+'!$X$3:$Y$23, 2, FALSE)))+('PlayerGrades+'!$Y$51*(VLOOKUP(M197, 'PlayerGrades+'!$X$3:$Y$23, 2, FALSE)))+('PlayerGrades+'!$Y$52*(VLOOKUP(O197, 'PlayerGrades+'!$X$3:$Y$23, 2, FALSE)))+('PlayerGrades+'!$Y$53*(VLOOKUP(Q197, 'PlayerGrades+'!$X$3:$Y$23, 2, FALSE)))+('PlayerGrades+'!$Y$54*(VLOOKUP(S197, 'PlayerGrades+'!$X$3:$Y$23, 2, FALSE)))+('PlayerGrades+'!$Y$55*(VLOOKUP(U197, 'PlayerGrades+'!$X$3:$Y$23, 2, FALSE)))</f>
        <v>19.4</v>
      </c>
      <c r="D197" s="937">
        <f t="shared" si="1"/>
        <v>0.1611459266</v>
      </c>
      <c r="E197" s="937" t="str">
        <f>IF(D197&lt;'PlayerGrades+'!$AA$21,"F-",IF(D197&lt;'PlayerGrades+'!$AA$20,"F",IF(D197&lt;'PlayerGrades+'!$AA$19,"F+",IF(D197&lt;'PlayerGrades+'!$AA$18,"E-",IF(D197&lt;'PlayerGrades+'!$AA$17,"E",IF(D197&lt;'PlayerGrades+'!$AA$16,"E+",IF(D197&lt;'PlayerGrades+'!$AA$15,"D-",IF(D197&lt;'PlayerGrades+'!$AA$14,"D",IF(D197&lt;'PlayerGrades+'!$AA$13,"D+",IF(D197&lt;'PlayerGrades+'!$AA$12,"C-",IF(D197&lt;'PlayerGrades+'!$AA$11,"C",IF(D197&lt;'PlayerGrades+'!$AA$10,"C+",IF(D197&lt;'PlayerGrades+'!$AA$9,"B-",IF(D197&lt;'PlayerGrades+'!$AA$8,"B",IF(D197&lt;'PlayerGrades+'!$AA$7,"B+",IF(D197&lt;'PlayerGrades+'!$AA$6,"A-",IF(D197&lt;'PlayerGrades+'!$AA$5,"A",IF(D197&lt;'PlayerGrades+'!$AA$4,"A+",IF(D197&lt;'PlayerGrades+'!$AA$3,"S-",IF(D197&lt;'PlayerGrades+'!$AA$2,"S","S+"))))))))))))))))))))</f>
        <v>B+</v>
      </c>
      <c r="F197" s="937">
        <f t="shared" si="2"/>
        <v>-0.2685765443</v>
      </c>
      <c r="G197" s="937" t="str">
        <f>IF(F197&lt;'PlayerGrades+'!$AB$21,"F-",IF(F197&lt;'PlayerGrades+'!$AB$20,"F",IF(F197&lt;'PlayerGrades+'!$AB$19,"F+",IF(F197&lt;'PlayerGrades+'!$AB$18,"E-",IF(F197&lt;'PlayerGrades+'!$AB$17,"E",IF(F197&lt;'PlayerGrades+'!$AB$16,"E+",IF(F197&lt;'PlayerGrades+'!$AB$15,"D-",IF(F197&lt;'PlayerGrades+'!$AB$14,"D",IF(F197&lt;'PlayerGrades+'!$AB$13,"D+",IF(F197&lt;'PlayerGrades+'!$AB$12,"C-",IF(F197&lt;'PlayerGrades+'!$AB$11,"C",IF(F197&lt;'PlayerGrades+'!$AB$10,"C+",IF(F197&lt;'PlayerGrades+'!$AB$9,"B-",IF(F197&lt;'PlayerGrades+'!$AB$8,"B",IF(F197&lt;'PlayerGrades+'!$AB$7,"B+",IF(F197&lt;'PlayerGrades+'!$AB$6,"A-",IF(F197&lt;'PlayerGrades+'!$AB$5,"A",IF(F197&lt;'PlayerGrades+'!$AB$4,"A+",IF(F197&lt;'PlayerGrades+'!$AB$3,"S-",IF(F197&lt;'PlayerGrades+'!$AB$2,"S","S+"))))))))))))))))))))</f>
        <v>C</v>
      </c>
      <c r="H197" s="937">
        <f t="shared" si="3"/>
        <v>0.2148612355</v>
      </c>
      <c r="I197" s="937" t="str">
        <f>IF(H197&lt;'PlayerGrades+'!$AC$21,"F-",IF(H197&lt;'PlayerGrades+'!$AC$20,"F",IF(H197&lt;'PlayerGrades+'!$AC$19,"F+",IF(H197&lt;'PlayerGrades+'!$AC$18,"E-",IF(H197&lt;'PlayerGrades+'!$AC$17,"E",IF(H197&lt;'PlayerGrades+'!$AC$16,"E+",IF(H197&lt;'PlayerGrades+'!$AC$15,"D-",IF(H197&lt;'PlayerGrades+'!$AC$14,"D",IF(H197&lt;'PlayerGrades+'!$AC$13,"D+",IF(H197&lt;'PlayerGrades+'!$AC$12,"C-",IF(H197&lt;'PlayerGrades+'!$AC$11,"C",IF(H197&lt;'PlayerGrades+'!$AC$10,"C+",IF(H197&lt;'PlayerGrades+'!$AC$9,"B-",IF(H197&lt;'PlayerGrades+'!$AC$8,"B",IF(H197&lt;'PlayerGrades+'!$AC$7,"B+",IF(H197&lt;'PlayerGrades+'!$AC$6,"A-",IF(H197&lt;'PlayerGrades+'!$AC$5,"A",IF(H197&lt;'PlayerGrades+'!$AC$4,"A+",IF(H197&lt;'PlayerGrades+'!$AC$3,"S-",IF(H197&lt;'PlayerGrades+'!$AC$2,"S","S+"))))))))))))))))))))</f>
        <v>S</v>
      </c>
      <c r="J197" s="937">
        <f t="shared" si="4"/>
        <v>0</v>
      </c>
      <c r="K197" s="937" t="str">
        <f>IF(J197&lt;'PlayerGrades+'!$AD$21,"F-",IF(J197&lt;'PlayerGrades+'!$AD$20,"F",IF(J197&lt;'PlayerGrades+'!$AD$19,"F+",IF(J197&lt;'PlayerGrades+'!$AD$18,"E-",IF(J197&lt;'PlayerGrades+'!$AD$17,"E",IF(J197&lt;'PlayerGrades+'!$AD$16,"E+",IF(J197&lt;'PlayerGrades+'!$AD$15,"D-",IF(J197&lt;'PlayerGrades+'!$AD$14,"D",IF(J197&lt;'PlayerGrades+'!$AD$13,"D+",IF(J197&lt;'PlayerGrades+'!$AD$12,"C-",IF(J197&lt;'PlayerGrades+'!$AD$11,"C",IF(J197&lt;'PlayerGrades+'!$AD$10,"C+",IF(J197&lt;'PlayerGrades+'!$AD$9,"B-",IF(J197&lt;'PlayerGrades+'!$AD$8,"B",IF(J197&lt;'PlayerGrades+'!$AD$7,"B+",IF(J197&lt;'PlayerGrades+'!$AD$6,"A-",IF(J197&lt;'PlayerGrades+'!$AD$5,"A",IF(J197&lt;'PlayerGrades+'!$AD$4,"A+",IF(J197&lt;'PlayerGrades+'!$AD$3,"S-",IF(J197&lt;'PlayerGrades+'!$AD$2,"S","S+"))))))))))))))))))))</f>
        <v>F-</v>
      </c>
      <c r="L197" s="677">
        <f t="shared" si="5"/>
        <v>0.2685765443</v>
      </c>
      <c r="M197" s="938" t="str">
        <f>IF(L197&lt;'PlayerGrades+'!$AE$21,"F-",IF(L197&lt;'PlayerGrades+'!$AE$20,"F",IF(L197&lt;'PlayerGrades+'!$AE$19,"F+",IF(L197&lt;'PlayerGrades+'!$AE$18,"E-",IF(L197&lt;'PlayerGrades+'!$AE$17,"E",IF(L197&lt;'PlayerGrades+'!$AE$16,"E+",IF(L197&lt;'PlayerGrades+'!$AE$15,"D-",IF(L197&lt;'PlayerGrades+'!$AE$14,"D",IF(L197&lt;'PlayerGrades+'!$AE$13,"D+",IF(L197&lt;'PlayerGrades+'!$AE$12,"C-",IF(L197&lt;'PlayerGrades+'!$AE$11,"C",IF(L197&lt;'PlayerGrades+'!$AE$10,"C+",IF(L197&lt;'PlayerGrades+'!$AE$9,"B-",IF(L197&lt;'PlayerGrades+'!$AE$8,"B",IF(L197&lt;'PlayerGrades+'!$AE$7,"B+",IF(L197&lt;'PlayerGrades+'!$AE$6,"A-",IF(L197&lt;'PlayerGrades+'!$AE$5,"A",IF(L197&lt;'PlayerGrades+'!$AE$4,"A+",IF(L197&lt;'PlayerGrades+'!$AE$3,"S-",IF(L197&lt;'PlayerGrades+'!$AE$2,"S","S+"))))))))))))))))))))</f>
        <v>F</v>
      </c>
      <c r="N197" s="937">
        <f t="shared" si="6"/>
        <v>0.05371530886</v>
      </c>
      <c r="O197" s="937" t="str">
        <f>IF(N197&lt;'PlayerGrades+'!$AF$21,"F-",IF(N197&lt;'PlayerGrades+'!$AF$20,"F",IF(N197&lt;'PlayerGrades+'!$AF$19,"F+",IF(N197&lt;'PlayerGrades+'!$AF$18,"E-",IF(N197&lt;'PlayerGrades+'!$AF$17,"E",IF(N197&lt;'PlayerGrades+'!$AF$16,"E+",IF(N197&lt;'PlayerGrades+'!$AF$15,"D-",IF(N197&lt;'PlayerGrades+'!$AF$14,"D",IF(N197&lt;'PlayerGrades+'!$AF$13,"D+",IF(N197&lt;'PlayerGrades+'!$AF$12,"C-",IF(N197&lt;'PlayerGrades+'!$AF$11,"C",IF(N197&lt;'PlayerGrades+'!$AF$10,"C+",IF(N197&lt;'PlayerGrades+'!$AF$9,"B-",IF(N197&lt;'PlayerGrades+'!$AF$8,"B",IF(N197&lt;'PlayerGrades+'!$AF$7,"B+",IF(N197&lt;'PlayerGrades+'!$AF$6,"A-",IF(N197&lt;'PlayerGrades+'!$AF$5,"A",IF(N197&lt;'PlayerGrades+'!$AF$4,"A+",IF(N197&lt;'PlayerGrades+'!$AF$3,"S-",IF(N197&lt;'PlayerGrades+'!$AF$2,"S","S+"))))))))))))))))))))</f>
        <v>D</v>
      </c>
      <c r="P197" s="937">
        <f t="shared" si="7"/>
        <v>0</v>
      </c>
      <c r="Q197" s="937" t="str">
        <f>IF(P197&lt;'PlayerGrades+'!$AG$21,"F-",IF(P197&lt;'PlayerGrades+'!$AG$20,"F",IF(P197&lt;'PlayerGrades+'!$AG$19,"F+",IF(P197&lt;'PlayerGrades+'!$AG$18,"E-",IF(P197&lt;'PlayerGrades+'!$AG$17,"E",IF(P197&lt;'PlayerGrades+'!$AG$16,"E+",IF(P197&lt;'PlayerGrades+'!$AG$15,"D-",IF(P197&lt;'PlayerGrades+'!$AG$14,"D",IF(P197&lt;'PlayerGrades+'!$AG$13,"D+",IF(P197&lt;'PlayerGrades+'!$AG$12,"C-",IF(P197&lt;'PlayerGrades+'!$AG$11,"C",IF(P197&lt;'PlayerGrades+'!$AG$10,"C+",IF(P197&lt;'PlayerGrades+'!$AG$9,"B-",IF(P197&lt;'PlayerGrades+'!$AG$8,"B",IF(P197&lt;'PlayerGrades+'!$AG$7,"B+",IF(P197&lt;'PlayerGrades+'!$AG$6,"A-",IF(P197&lt;'PlayerGrades+'!$AG$5,"A",IF(P197&lt;'PlayerGrades+'!$AG$4,"A+",IF(P197&lt;'PlayerGrades+'!$AG$3,"S-",IF(P197&lt;'PlayerGrades+'!$AG$2,"S","S+"))))))))))))))))))))</f>
        <v>F</v>
      </c>
      <c r="R197" s="937">
        <f t="shared" si="8"/>
        <v>0.6982990152</v>
      </c>
      <c r="S197" s="937" t="str">
        <f>IF(R197&lt;'PlayerGrades+'!$AH$21,"F-",IF(R197&lt;'PlayerGrades+'!$AH$20,"F",IF(R197&lt;'PlayerGrades+'!$AH$19,"F+",IF(R197&lt;'PlayerGrades+'!$AH$18,"E-",IF(R197&lt;'PlayerGrades+'!$AH$17,"E",IF(R197&lt;'PlayerGrades+'!$AH$16,"E+",IF(R197&lt;'PlayerGrades+'!$AH$15,"D-",IF(R197&lt;'PlayerGrades+'!$AH$14,"D",IF(R197&lt;'PlayerGrades+'!$AH$13,"D+",IF(R197&lt;'PlayerGrades+'!$AH$12,"C-",IF(R197&lt;'PlayerGrades+'!$AH$11,"C",IF(R197&lt;'PlayerGrades+'!$AH$10,"C+",IF(R197&lt;'PlayerGrades+'!$AH$9,"B-",IF(R197&lt;'PlayerGrades+'!$AH$8,"B",IF(R197&lt;'PlayerGrades+'!$AH$7,"B+",IF(R197&lt;'PlayerGrades+'!$AH$6,"A-",IF(R197&lt;'PlayerGrades+'!$AH$5,"A",IF(R197&lt;'PlayerGrades+'!$AH$4,"A+",IF(R197&lt;'PlayerGrades+'!$AH$3,"S-",IF(R197&lt;'PlayerGrades+'!$AH$2,"S","S+"))))))))))))))))))))</f>
        <v>S-</v>
      </c>
      <c r="T197" s="937">
        <f t="shared" si="9"/>
        <v>0.376007162</v>
      </c>
      <c r="U197" s="937" t="str">
        <f>IF(T197&lt;'PlayerGrades+'!$AI$21,"F-",IF(T197&lt;'PlayerGrades+'!$AI$20,"F",IF(T197&lt;'PlayerGrades+'!$AI$19,"F+",IF(T197&lt;'PlayerGrades+'!$AI$18,"E-",IF(T197&lt;'PlayerGrades+'!$AI$17,"E",IF(T197&lt;'PlayerGrades+'!$AI$16,"E+",IF(T197&lt;'PlayerGrades+'!$AI$15,"D-",IF(T197&lt;'PlayerGrades+'!$AI$14,"D",IF(T197&lt;'PlayerGrades+'!$AI$13,"D+",IF(T197&lt;'PlayerGrades+'!$AI$12,"C-",IF(T197&lt;'PlayerGrades+'!$AI$11,"C",IF(T197&lt;'PlayerGrades+'!$AI$10,"C+",IF(T197&lt;'PlayerGrades+'!$AI$9,"B-",IF(T197&lt;'PlayerGrades+'!$AI$8,"B",IF(T197&lt;'PlayerGrades+'!$AI$7,"B+",IF(T197&lt;'PlayerGrades+'!$AI$6,"A-",IF(T197&lt;'PlayerGrades+'!$AI$5,"A",IF(T197&lt;'PlayerGrades+'!$AI$4,"A+",IF(T197&lt;'PlayerGrades+'!$AI$3,"S-",IF(T197&lt;'PlayerGrades+'!$AI$2,"S","S+"))))))))))))))))))))</f>
        <v>F-</v>
      </c>
      <c r="V197" s="941">
        <v>1.0</v>
      </c>
      <c r="W197" s="941">
        <v>1.0</v>
      </c>
      <c r="X197" s="941">
        <v>0.0</v>
      </c>
      <c r="Y197" s="941">
        <v>0.0</v>
      </c>
      <c r="Z197" s="941">
        <v>3.0</v>
      </c>
      <c r="AA197" s="941">
        <v>46.0</v>
      </c>
      <c r="AB197" s="941">
        <v>51.0</v>
      </c>
      <c r="AC197" s="941">
        <v>-5.0</v>
      </c>
      <c r="AD197" s="941">
        <v>5.0</v>
      </c>
      <c r="AE197" s="941">
        <v>4.0</v>
      </c>
      <c r="AF197" s="941">
        <v>3.0</v>
      </c>
      <c r="AG197" s="941">
        <v>864.0</v>
      </c>
      <c r="AH197" s="941">
        <v>1117.0</v>
      </c>
      <c r="AI197" s="941">
        <v>16.0</v>
      </c>
      <c r="AJ197" s="941">
        <v>153.0</v>
      </c>
      <c r="AK197" s="941">
        <v>0.0</v>
      </c>
      <c r="AL197" s="941">
        <v>0.0</v>
      </c>
      <c r="AM197" s="941">
        <v>0.0</v>
      </c>
      <c r="AN197" s="941">
        <v>0.0</v>
      </c>
      <c r="AO197" s="941">
        <v>0.0</v>
      </c>
      <c r="AP197" s="941">
        <v>0.0</v>
      </c>
      <c r="AQ197" s="941">
        <v>0.0</v>
      </c>
      <c r="AR197" s="941">
        <v>5.0</v>
      </c>
      <c r="AS197" s="941">
        <v>1.0</v>
      </c>
      <c r="AT197" s="941">
        <v>0.0</v>
      </c>
      <c r="AU197" s="941">
        <v>0.0</v>
      </c>
      <c r="AV197" s="941">
        <v>0.0</v>
      </c>
      <c r="AW197" s="941">
        <v>0.0</v>
      </c>
      <c r="AX197" s="941">
        <v>0.0</v>
      </c>
      <c r="AY197" s="941">
        <v>0.0</v>
      </c>
      <c r="AZ197" s="941">
        <v>0.0</v>
      </c>
      <c r="BA197" s="941">
        <v>0.0</v>
      </c>
      <c r="BB197" s="941">
        <v>4.0</v>
      </c>
      <c r="BC197" s="941">
        <v>0.0</v>
      </c>
      <c r="BD197" s="941">
        <v>8.0</v>
      </c>
      <c r="BE197" s="941">
        <v>7.0</v>
      </c>
      <c r="BF197" s="941">
        <v>0.0</v>
      </c>
      <c r="BG197" s="942">
        <v>1.0</v>
      </c>
    </row>
    <row r="198">
      <c r="A198" s="935" t="s">
        <v>420</v>
      </c>
      <c r="B198" s="16" t="str">
        <f>IF(C198&lt;'PlayerGrades+'!$Y$44,"F-",IF(C198&lt;'PlayerGrades+'!$Y$43,"F",IF(C198&lt;'PlayerGrades+'!$Y$42,"F+",IF(C198&lt;'PlayerGrades+'!$Y$41,"E-",IF(C198&lt;'PlayerGrades+'!$Y$40,"E",IF(C198&lt;'PlayerGrades+'!$Y$39,"E+",IF(C198&lt;'PlayerGrades+'!$Y$38,"D-",IF(C198&lt;'PlayerGrades+'!$Y$37,"D",IF(C198&lt;'PlayerGrades+'!$Y$36,"D+",IF(C198&lt;'PlayerGrades+'!$Y$35,"C-",IF(C198&lt;'PlayerGrades+'!$Y$34,"C",IF(C198&lt;'PlayerGrades+'!$Y$33,"C+",IF(C198&lt;'PlayerGrades+'!$Y$32,"B-",IF(C198&lt;'PlayerGrades+'!$Y$31,"B",IF(C198&lt;'PlayerGrades+'!$Y$30,"B+",IF(C198&lt;'PlayerGrades+'!$Y$29,"A-",IF(C198&lt;'PlayerGrades+'!$Y$28,"A",IF(C198&lt;'PlayerGrades+'!$Y$27,"A+",IF(C198&lt;'PlayerGrades+'!$Y$26,"S-",IF(C198&lt;'PlayerGrades+'!$Y$25,"S","S+"))))))))))))))))))))</f>
        <v>E-</v>
      </c>
      <c r="C198" s="936">
        <f>('PlayerGrades+'!$Y$47*(VLOOKUP(E198, 'PlayerGrades+'!$X$3:$Y$23, 2, FALSE)))+('PlayerGrades+'!$Y$48*(VLOOKUP(G198, 'PlayerGrades+'!$X$3:$Y$23, 2, FALSE)))+('PlayerGrades+'!$Y$49*(VLOOKUP(I198, 'PlayerGrades+'!$X$3:$Y$23, 2, FALSE)))+('PlayerGrades+'!$Y$50*(VLOOKUP(K198, 'PlayerGrades+'!$X$3:$Y$23, 2, FALSE)))+('PlayerGrades+'!$Y$51*(VLOOKUP(M198, 'PlayerGrades+'!$X$3:$Y$23, 2, FALSE)))+('PlayerGrades+'!$Y$52*(VLOOKUP(O198, 'PlayerGrades+'!$X$3:$Y$23, 2, FALSE)))+('PlayerGrades+'!$Y$53*(VLOOKUP(Q198, 'PlayerGrades+'!$X$3:$Y$23, 2, FALSE)))+('PlayerGrades+'!$Y$54*(VLOOKUP(S198, 'PlayerGrades+'!$X$3:$Y$23, 2, FALSE)))+('PlayerGrades+'!$Y$55*(VLOOKUP(U198, 'PlayerGrades+'!$X$3:$Y$23, 2, FALSE)))</f>
        <v>11.85</v>
      </c>
      <c r="D198" s="937">
        <f t="shared" si="1"/>
        <v>0.6982990152</v>
      </c>
      <c r="E198" s="937" t="str">
        <f>IF(D198&lt;'PlayerGrades+'!$AA$21,"F-",IF(D198&lt;'PlayerGrades+'!$AA$20,"F",IF(D198&lt;'PlayerGrades+'!$AA$19,"F+",IF(D198&lt;'PlayerGrades+'!$AA$18,"E-",IF(D198&lt;'PlayerGrades+'!$AA$17,"E",IF(D198&lt;'PlayerGrades+'!$AA$16,"E+",IF(D198&lt;'PlayerGrades+'!$AA$15,"D-",IF(D198&lt;'PlayerGrades+'!$AA$14,"D",IF(D198&lt;'PlayerGrades+'!$AA$13,"D+",IF(D198&lt;'PlayerGrades+'!$AA$12,"C-",IF(D198&lt;'PlayerGrades+'!$AA$11,"C",IF(D198&lt;'PlayerGrades+'!$AA$10,"C+",IF(D198&lt;'PlayerGrades+'!$AA$9,"B-",IF(D198&lt;'PlayerGrades+'!$AA$8,"B",IF(D198&lt;'PlayerGrades+'!$AA$7,"B+",IF(D198&lt;'PlayerGrades+'!$AA$6,"A-",IF(D198&lt;'PlayerGrades+'!$AA$5,"A",IF(D198&lt;'PlayerGrades+'!$AA$4,"A+",IF(D198&lt;'PlayerGrades+'!$AA$3,"S-",IF(D198&lt;'PlayerGrades+'!$AA$2,"S","S+"))))))))))))))))))))</f>
        <v>S</v>
      </c>
      <c r="F198" s="937">
        <f t="shared" si="2"/>
        <v>-0.5908683975</v>
      </c>
      <c r="G198" s="937" t="str">
        <f>IF(F198&lt;'PlayerGrades+'!$AB$21,"F-",IF(F198&lt;'PlayerGrades+'!$AB$20,"F",IF(F198&lt;'PlayerGrades+'!$AB$19,"F+",IF(F198&lt;'PlayerGrades+'!$AB$18,"E-",IF(F198&lt;'PlayerGrades+'!$AB$17,"E",IF(F198&lt;'PlayerGrades+'!$AB$16,"E+",IF(F198&lt;'PlayerGrades+'!$AB$15,"D-",IF(F198&lt;'PlayerGrades+'!$AB$14,"D",IF(F198&lt;'PlayerGrades+'!$AB$13,"D+",IF(F198&lt;'PlayerGrades+'!$AB$12,"C-",IF(F198&lt;'PlayerGrades+'!$AB$11,"C",IF(F198&lt;'PlayerGrades+'!$AB$10,"C+",IF(F198&lt;'PlayerGrades+'!$AB$9,"B-",IF(F198&lt;'PlayerGrades+'!$AB$8,"B",IF(F198&lt;'PlayerGrades+'!$AB$7,"B+",IF(F198&lt;'PlayerGrades+'!$AB$6,"A-",IF(F198&lt;'PlayerGrades+'!$AB$5,"A",IF(F198&lt;'PlayerGrades+'!$AB$4,"A+",IF(F198&lt;'PlayerGrades+'!$AB$3,"S-",IF(F198&lt;'PlayerGrades+'!$AB$2,"S","S+"))))))))))))))))))))</f>
        <v>D</v>
      </c>
      <c r="H198" s="937">
        <f t="shared" si="3"/>
        <v>0.05371530886</v>
      </c>
      <c r="I198" s="937" t="str">
        <f>IF(H198&lt;'PlayerGrades+'!$AC$21,"F-",IF(H198&lt;'PlayerGrades+'!$AC$20,"F",IF(H198&lt;'PlayerGrades+'!$AC$19,"F+",IF(H198&lt;'PlayerGrades+'!$AC$18,"E-",IF(H198&lt;'PlayerGrades+'!$AC$17,"E",IF(H198&lt;'PlayerGrades+'!$AC$16,"E+",IF(H198&lt;'PlayerGrades+'!$AC$15,"D-",IF(H198&lt;'PlayerGrades+'!$AC$14,"D",IF(H198&lt;'PlayerGrades+'!$AC$13,"D+",IF(H198&lt;'PlayerGrades+'!$AC$12,"C-",IF(H198&lt;'PlayerGrades+'!$AC$11,"C",IF(H198&lt;'PlayerGrades+'!$AC$10,"C+",IF(H198&lt;'PlayerGrades+'!$AC$9,"B-",IF(H198&lt;'PlayerGrades+'!$AC$8,"B",IF(H198&lt;'PlayerGrades+'!$AC$7,"B+",IF(H198&lt;'PlayerGrades+'!$AC$6,"A-",IF(H198&lt;'PlayerGrades+'!$AC$5,"A",IF(H198&lt;'PlayerGrades+'!$AC$4,"A+",IF(H198&lt;'PlayerGrades+'!$AC$3,"S-",IF(H198&lt;'PlayerGrades+'!$AC$2,"S","S+"))))))))))))))))))))</f>
        <v>F+</v>
      </c>
      <c r="J198" s="937">
        <f t="shared" si="4"/>
        <v>0.05371530886</v>
      </c>
      <c r="K198" s="937" t="str">
        <f>IF(J198&lt;'PlayerGrades+'!$AD$21,"F-",IF(J198&lt;'PlayerGrades+'!$AD$20,"F",IF(J198&lt;'PlayerGrades+'!$AD$19,"F+",IF(J198&lt;'PlayerGrades+'!$AD$18,"E-",IF(J198&lt;'PlayerGrades+'!$AD$17,"E",IF(J198&lt;'PlayerGrades+'!$AD$16,"E+",IF(J198&lt;'PlayerGrades+'!$AD$15,"D-",IF(J198&lt;'PlayerGrades+'!$AD$14,"D",IF(J198&lt;'PlayerGrades+'!$AD$13,"D+",IF(J198&lt;'PlayerGrades+'!$AD$12,"C-",IF(J198&lt;'PlayerGrades+'!$AD$11,"C",IF(J198&lt;'PlayerGrades+'!$AD$10,"C+",IF(J198&lt;'PlayerGrades+'!$AD$9,"B-",IF(J198&lt;'PlayerGrades+'!$AD$8,"B",IF(J198&lt;'PlayerGrades+'!$AD$7,"B+",IF(J198&lt;'PlayerGrades+'!$AD$6,"A-",IF(J198&lt;'PlayerGrades+'!$AD$5,"A",IF(J198&lt;'PlayerGrades+'!$AD$4,"A+",IF(J198&lt;'PlayerGrades+'!$AD$3,"S-",IF(J198&lt;'PlayerGrades+'!$AD$2,"S","S+"))))))))))))))))))))</f>
        <v>B+</v>
      </c>
      <c r="L198" s="677">
        <f t="shared" si="5"/>
        <v>0.1611459266</v>
      </c>
      <c r="M198" s="938" t="str">
        <f>IF(L198&lt;'PlayerGrades+'!$AE$21,"F-",IF(L198&lt;'PlayerGrades+'!$AE$20,"F",IF(L198&lt;'PlayerGrades+'!$AE$19,"F+",IF(L198&lt;'PlayerGrades+'!$AE$18,"E-",IF(L198&lt;'PlayerGrades+'!$AE$17,"E",IF(L198&lt;'PlayerGrades+'!$AE$16,"E+",IF(L198&lt;'PlayerGrades+'!$AE$15,"D-",IF(L198&lt;'PlayerGrades+'!$AE$14,"D",IF(L198&lt;'PlayerGrades+'!$AE$13,"D+",IF(L198&lt;'PlayerGrades+'!$AE$12,"C-",IF(L198&lt;'PlayerGrades+'!$AE$11,"C",IF(L198&lt;'PlayerGrades+'!$AE$10,"C+",IF(L198&lt;'PlayerGrades+'!$AE$9,"B-",IF(L198&lt;'PlayerGrades+'!$AE$8,"B",IF(L198&lt;'PlayerGrades+'!$AE$7,"B+",IF(L198&lt;'PlayerGrades+'!$AE$6,"A-",IF(L198&lt;'PlayerGrades+'!$AE$5,"A",IF(L198&lt;'PlayerGrades+'!$AE$4,"A+",IF(L198&lt;'PlayerGrades+'!$AE$3,"S-",IF(L198&lt;'PlayerGrades+'!$AE$2,"S","S+"))))))))))))))))))))</f>
        <v>F-</v>
      </c>
      <c r="N198" s="937">
        <f t="shared" si="6"/>
        <v>0</v>
      </c>
      <c r="O198" s="937" t="str">
        <f>IF(N198&lt;'PlayerGrades+'!$AF$21,"F-",IF(N198&lt;'PlayerGrades+'!$AF$20,"F",IF(N198&lt;'PlayerGrades+'!$AF$19,"F+",IF(N198&lt;'PlayerGrades+'!$AF$18,"E-",IF(N198&lt;'PlayerGrades+'!$AF$17,"E",IF(N198&lt;'PlayerGrades+'!$AF$16,"E+",IF(N198&lt;'PlayerGrades+'!$AF$15,"D-",IF(N198&lt;'PlayerGrades+'!$AF$14,"D",IF(N198&lt;'PlayerGrades+'!$AF$13,"D+",IF(N198&lt;'PlayerGrades+'!$AF$12,"C-",IF(N198&lt;'PlayerGrades+'!$AF$11,"C",IF(N198&lt;'PlayerGrades+'!$AF$10,"C+",IF(N198&lt;'PlayerGrades+'!$AF$9,"B-",IF(N198&lt;'PlayerGrades+'!$AF$8,"B",IF(N198&lt;'PlayerGrades+'!$AF$7,"B+",IF(N198&lt;'PlayerGrades+'!$AF$6,"A-",IF(N198&lt;'PlayerGrades+'!$AF$5,"A",IF(N198&lt;'PlayerGrades+'!$AF$4,"A+",IF(N198&lt;'PlayerGrades+'!$AF$3,"S-",IF(N198&lt;'PlayerGrades+'!$AF$2,"S","S+"))))))))))))))))))))</f>
        <v>F-</v>
      </c>
      <c r="P198" s="937">
        <f t="shared" si="7"/>
        <v>0</v>
      </c>
      <c r="Q198" s="937" t="str">
        <f>IF(P198&lt;'PlayerGrades+'!$AG$21,"F-",IF(P198&lt;'PlayerGrades+'!$AG$20,"F",IF(P198&lt;'PlayerGrades+'!$AG$19,"F+",IF(P198&lt;'PlayerGrades+'!$AG$18,"E-",IF(P198&lt;'PlayerGrades+'!$AG$17,"E",IF(P198&lt;'PlayerGrades+'!$AG$16,"E+",IF(P198&lt;'PlayerGrades+'!$AG$15,"D-",IF(P198&lt;'PlayerGrades+'!$AG$14,"D",IF(P198&lt;'PlayerGrades+'!$AG$13,"D+",IF(P198&lt;'PlayerGrades+'!$AG$12,"C-",IF(P198&lt;'PlayerGrades+'!$AG$11,"C",IF(P198&lt;'PlayerGrades+'!$AG$10,"C+",IF(P198&lt;'PlayerGrades+'!$AG$9,"B-",IF(P198&lt;'PlayerGrades+'!$AG$8,"B",IF(P198&lt;'PlayerGrades+'!$AG$7,"B+",IF(P198&lt;'PlayerGrades+'!$AG$6,"A-",IF(P198&lt;'PlayerGrades+'!$AG$5,"A",IF(P198&lt;'PlayerGrades+'!$AG$4,"A+",IF(P198&lt;'PlayerGrades+'!$AG$3,"S-",IF(P198&lt;'PlayerGrades+'!$AG$2,"S","S+"))))))))))))))))))))</f>
        <v>F</v>
      </c>
      <c r="R198" s="937">
        <f t="shared" si="8"/>
        <v>0.4297224709</v>
      </c>
      <c r="S198" s="937" t="str">
        <f>IF(R198&lt;'PlayerGrades+'!$AH$21,"F-",IF(R198&lt;'PlayerGrades+'!$AH$20,"F",IF(R198&lt;'PlayerGrades+'!$AH$19,"F+",IF(R198&lt;'PlayerGrades+'!$AH$18,"E-",IF(R198&lt;'PlayerGrades+'!$AH$17,"E",IF(R198&lt;'PlayerGrades+'!$AH$16,"E+",IF(R198&lt;'PlayerGrades+'!$AH$15,"D-",IF(R198&lt;'PlayerGrades+'!$AH$14,"D",IF(R198&lt;'PlayerGrades+'!$AH$13,"D+",IF(R198&lt;'PlayerGrades+'!$AH$12,"C-",IF(R198&lt;'PlayerGrades+'!$AH$11,"C",IF(R198&lt;'PlayerGrades+'!$AH$10,"C+",IF(R198&lt;'PlayerGrades+'!$AH$9,"B-",IF(R198&lt;'PlayerGrades+'!$AH$8,"B",IF(R198&lt;'PlayerGrades+'!$AH$7,"B+",IF(R198&lt;'PlayerGrades+'!$AH$6,"A-",IF(R198&lt;'PlayerGrades+'!$AH$5,"A",IF(R198&lt;'PlayerGrades+'!$AH$4,"A+",IF(R198&lt;'PlayerGrades+'!$AH$3,"S-",IF(R198&lt;'PlayerGrades+'!$AH$2,"S","S+"))))))))))))))))))))</f>
        <v>F+</v>
      </c>
      <c r="T198" s="937">
        <f t="shared" si="9"/>
        <v>1</v>
      </c>
      <c r="U198" s="937" t="str">
        <f>IF(T198&lt;'PlayerGrades+'!$AI$21,"F-",IF(T198&lt;'PlayerGrades+'!$AI$20,"F",IF(T198&lt;'PlayerGrades+'!$AI$19,"F+",IF(T198&lt;'PlayerGrades+'!$AI$18,"E-",IF(T198&lt;'PlayerGrades+'!$AI$17,"E",IF(T198&lt;'PlayerGrades+'!$AI$16,"E+",IF(T198&lt;'PlayerGrades+'!$AI$15,"D-",IF(T198&lt;'PlayerGrades+'!$AI$14,"D",IF(T198&lt;'PlayerGrades+'!$AI$13,"D+",IF(T198&lt;'PlayerGrades+'!$AI$12,"C-",IF(T198&lt;'PlayerGrades+'!$AI$11,"C",IF(T198&lt;'PlayerGrades+'!$AI$10,"C+",IF(T198&lt;'PlayerGrades+'!$AI$9,"B-",IF(T198&lt;'PlayerGrades+'!$AI$8,"B",IF(T198&lt;'PlayerGrades+'!$AI$7,"B+",IF(T198&lt;'PlayerGrades+'!$AI$6,"A-",IF(T198&lt;'PlayerGrades+'!$AI$5,"A",IF(T198&lt;'PlayerGrades+'!$AI$4,"A+",IF(T198&lt;'PlayerGrades+'!$AI$3,"S-",IF(T198&lt;'PlayerGrades+'!$AI$2,"S","S+"))))))))))))))))))))</f>
        <v>E+</v>
      </c>
      <c r="V198" s="941">
        <v>1.0</v>
      </c>
      <c r="W198" s="941">
        <v>0.0</v>
      </c>
      <c r="X198" s="941">
        <v>1.0</v>
      </c>
      <c r="Y198" s="941">
        <v>2.0</v>
      </c>
      <c r="Z198" s="941">
        <v>11.0</v>
      </c>
      <c r="AA198" s="941">
        <v>26.0</v>
      </c>
      <c r="AB198" s="941">
        <v>37.0</v>
      </c>
      <c r="AC198" s="941">
        <v>-11.0</v>
      </c>
      <c r="AD198" s="941">
        <v>1.0</v>
      </c>
      <c r="AE198" s="941">
        <v>7.0</v>
      </c>
      <c r="AF198" s="941">
        <v>1.0</v>
      </c>
      <c r="AG198" s="941">
        <v>915.0</v>
      </c>
      <c r="AH198" s="941">
        <v>1117.0</v>
      </c>
      <c r="AI198" s="941">
        <v>24.0</v>
      </c>
      <c r="AJ198" s="941">
        <v>589.0</v>
      </c>
      <c r="AK198" s="941">
        <v>0.0</v>
      </c>
      <c r="AL198" s="941">
        <v>1.0</v>
      </c>
      <c r="AM198" s="941">
        <v>0.0</v>
      </c>
      <c r="AN198" s="941">
        <v>0.0</v>
      </c>
      <c r="AO198" s="941">
        <v>0.0</v>
      </c>
      <c r="AP198" s="941">
        <v>0.0</v>
      </c>
      <c r="AQ198" s="941">
        <v>0.0</v>
      </c>
      <c r="AR198" s="941">
        <v>3.0</v>
      </c>
      <c r="AS198" s="941">
        <v>0.0</v>
      </c>
      <c r="AT198" s="941">
        <v>0.0</v>
      </c>
      <c r="AU198" s="941">
        <v>0.0</v>
      </c>
      <c r="AV198" s="941">
        <v>0.0</v>
      </c>
      <c r="AW198" s="941">
        <v>0.0</v>
      </c>
      <c r="AX198" s="941">
        <v>0.0</v>
      </c>
      <c r="AY198" s="941">
        <v>0.0</v>
      </c>
      <c r="AZ198" s="941">
        <v>0.0</v>
      </c>
      <c r="BA198" s="941">
        <v>0.0</v>
      </c>
      <c r="BB198" s="941">
        <v>1.0</v>
      </c>
      <c r="BC198" s="941">
        <v>0.0</v>
      </c>
      <c r="BD198" s="941">
        <v>7.0</v>
      </c>
      <c r="BE198" s="941">
        <v>0.0</v>
      </c>
      <c r="BF198" s="941">
        <v>1.0</v>
      </c>
      <c r="BG198" s="942">
        <v>0.0</v>
      </c>
    </row>
    <row r="199">
      <c r="A199" s="935" t="s">
        <v>137</v>
      </c>
      <c r="B199" s="16" t="str">
        <f>IF(C199&lt;'PlayerGrades+'!$Y$44,"F-",IF(C199&lt;'PlayerGrades+'!$Y$43,"F",IF(C199&lt;'PlayerGrades+'!$Y$42,"F+",IF(C199&lt;'PlayerGrades+'!$Y$41,"E-",IF(C199&lt;'PlayerGrades+'!$Y$40,"E",IF(C199&lt;'PlayerGrades+'!$Y$39,"E+",IF(C199&lt;'PlayerGrades+'!$Y$38,"D-",IF(C199&lt;'PlayerGrades+'!$Y$37,"D",IF(C199&lt;'PlayerGrades+'!$Y$36,"D+",IF(C199&lt;'PlayerGrades+'!$Y$35,"C-",IF(C199&lt;'PlayerGrades+'!$Y$34,"C",IF(C199&lt;'PlayerGrades+'!$Y$33,"C+",IF(C199&lt;'PlayerGrades+'!$Y$32,"B-",IF(C199&lt;'PlayerGrades+'!$Y$31,"B",IF(C199&lt;'PlayerGrades+'!$Y$30,"B+",IF(C199&lt;'PlayerGrades+'!$Y$29,"A-",IF(C199&lt;'PlayerGrades+'!$Y$28,"A",IF(C199&lt;'PlayerGrades+'!$Y$27,"A+",IF(C199&lt;'PlayerGrades+'!$Y$26,"S-",IF(C199&lt;'PlayerGrades+'!$Y$25,"S","S+"))))))))))))))))))))</f>
        <v>C</v>
      </c>
      <c r="C199" s="936">
        <f>('PlayerGrades+'!$Y$47*(VLOOKUP(E199, 'PlayerGrades+'!$X$3:$Y$23, 2, FALSE)))+('PlayerGrades+'!$Y$48*(VLOOKUP(G199, 'PlayerGrades+'!$X$3:$Y$23, 2, FALSE)))+('PlayerGrades+'!$Y$49*(VLOOKUP(I199, 'PlayerGrades+'!$X$3:$Y$23, 2, FALSE)))+('PlayerGrades+'!$Y$50*(VLOOKUP(K199, 'PlayerGrades+'!$X$3:$Y$23, 2, FALSE)))+('PlayerGrades+'!$Y$51*(VLOOKUP(M199, 'PlayerGrades+'!$X$3:$Y$23, 2, FALSE)))+('PlayerGrades+'!$Y$52*(VLOOKUP(O199, 'PlayerGrades+'!$X$3:$Y$23, 2, FALSE)))+('PlayerGrades+'!$Y$53*(VLOOKUP(Q199, 'PlayerGrades+'!$X$3:$Y$23, 2, FALSE)))+('PlayerGrades+'!$Y$54*(VLOOKUP(S199, 'PlayerGrades+'!$X$3:$Y$23, 2, FALSE)))+('PlayerGrades+'!$Y$55*(VLOOKUP(U199, 'PlayerGrades+'!$X$3:$Y$23, 2, FALSE)))</f>
        <v>20.5</v>
      </c>
      <c r="D199" s="937">
        <f t="shared" si="1"/>
        <v>0.05371530886</v>
      </c>
      <c r="E199" s="937" t="str">
        <f>IF(D199&lt;'PlayerGrades+'!$AA$21,"F-",IF(D199&lt;'PlayerGrades+'!$AA$20,"F",IF(D199&lt;'PlayerGrades+'!$AA$19,"F+",IF(D199&lt;'PlayerGrades+'!$AA$18,"E-",IF(D199&lt;'PlayerGrades+'!$AA$17,"E",IF(D199&lt;'PlayerGrades+'!$AA$16,"E+",IF(D199&lt;'PlayerGrades+'!$AA$15,"D-",IF(D199&lt;'PlayerGrades+'!$AA$14,"D",IF(D199&lt;'PlayerGrades+'!$AA$13,"D+",IF(D199&lt;'PlayerGrades+'!$AA$12,"C-",IF(D199&lt;'PlayerGrades+'!$AA$11,"C",IF(D199&lt;'PlayerGrades+'!$AA$10,"C+",IF(D199&lt;'PlayerGrades+'!$AA$9,"B-",IF(D199&lt;'PlayerGrades+'!$AA$8,"B",IF(D199&lt;'PlayerGrades+'!$AA$7,"B+",IF(D199&lt;'PlayerGrades+'!$AA$6,"A-",IF(D199&lt;'PlayerGrades+'!$AA$5,"A",IF(D199&lt;'PlayerGrades+'!$AA$4,"A+",IF(D199&lt;'PlayerGrades+'!$AA$3,"S-",IF(D199&lt;'PlayerGrades+'!$AA$2,"S","S+"))))))))))))))))))))</f>
        <v>B-</v>
      </c>
      <c r="F199" s="937">
        <f t="shared" si="2"/>
        <v>-0.05371530886</v>
      </c>
      <c r="G199" s="937" t="str">
        <f>IF(F199&lt;'PlayerGrades+'!$AB$21,"F-",IF(F199&lt;'PlayerGrades+'!$AB$20,"F",IF(F199&lt;'PlayerGrades+'!$AB$19,"F+",IF(F199&lt;'PlayerGrades+'!$AB$18,"E-",IF(F199&lt;'PlayerGrades+'!$AB$17,"E",IF(F199&lt;'PlayerGrades+'!$AB$16,"E+",IF(F199&lt;'PlayerGrades+'!$AB$15,"D-",IF(F199&lt;'PlayerGrades+'!$AB$14,"D",IF(F199&lt;'PlayerGrades+'!$AB$13,"D+",IF(F199&lt;'PlayerGrades+'!$AB$12,"C-",IF(F199&lt;'PlayerGrades+'!$AB$11,"C",IF(F199&lt;'PlayerGrades+'!$AB$10,"C+",IF(F199&lt;'PlayerGrades+'!$AB$9,"B-",IF(F199&lt;'PlayerGrades+'!$AB$8,"B",IF(F199&lt;'PlayerGrades+'!$AB$7,"B+",IF(F199&lt;'PlayerGrades+'!$AB$6,"A-",IF(F199&lt;'PlayerGrades+'!$AB$5,"A",IF(F199&lt;'PlayerGrades+'!$AB$4,"A+",IF(F199&lt;'PlayerGrades+'!$AB$3,"S-",IF(F199&lt;'PlayerGrades+'!$AB$2,"S","S+"))))))))))))))))))))</f>
        <v>B-</v>
      </c>
      <c r="H199" s="937">
        <f t="shared" si="3"/>
        <v>0.1611459266</v>
      </c>
      <c r="I199" s="937" t="str">
        <f>IF(H199&lt;'PlayerGrades+'!$AC$21,"F-",IF(H199&lt;'PlayerGrades+'!$AC$20,"F",IF(H199&lt;'PlayerGrades+'!$AC$19,"F+",IF(H199&lt;'PlayerGrades+'!$AC$18,"E-",IF(H199&lt;'PlayerGrades+'!$AC$17,"E",IF(H199&lt;'PlayerGrades+'!$AC$16,"E+",IF(H199&lt;'PlayerGrades+'!$AC$15,"D-",IF(H199&lt;'PlayerGrades+'!$AC$14,"D",IF(H199&lt;'PlayerGrades+'!$AC$13,"D+",IF(H199&lt;'PlayerGrades+'!$AC$12,"C-",IF(H199&lt;'PlayerGrades+'!$AC$11,"C",IF(H199&lt;'PlayerGrades+'!$AC$10,"C+",IF(H199&lt;'PlayerGrades+'!$AC$9,"B-",IF(H199&lt;'PlayerGrades+'!$AC$8,"B",IF(H199&lt;'PlayerGrades+'!$AC$7,"B+",IF(H199&lt;'PlayerGrades+'!$AC$6,"A-",IF(H199&lt;'PlayerGrades+'!$AC$5,"A",IF(H199&lt;'PlayerGrades+'!$AC$4,"A+",IF(H199&lt;'PlayerGrades+'!$AC$3,"S-",IF(H199&lt;'PlayerGrades+'!$AC$2,"S","S+"))))))))))))))))))))</f>
        <v>A+</v>
      </c>
      <c r="J199" s="937">
        <f t="shared" si="4"/>
        <v>0</v>
      </c>
      <c r="K199" s="937" t="str">
        <f>IF(J199&lt;'PlayerGrades+'!$AD$21,"F-",IF(J199&lt;'PlayerGrades+'!$AD$20,"F",IF(J199&lt;'PlayerGrades+'!$AD$19,"F+",IF(J199&lt;'PlayerGrades+'!$AD$18,"E-",IF(J199&lt;'PlayerGrades+'!$AD$17,"E",IF(J199&lt;'PlayerGrades+'!$AD$16,"E+",IF(J199&lt;'PlayerGrades+'!$AD$15,"D-",IF(J199&lt;'PlayerGrades+'!$AD$14,"D",IF(J199&lt;'PlayerGrades+'!$AD$13,"D+",IF(J199&lt;'PlayerGrades+'!$AD$12,"C-",IF(J199&lt;'PlayerGrades+'!$AD$11,"C",IF(J199&lt;'PlayerGrades+'!$AD$10,"C+",IF(J199&lt;'PlayerGrades+'!$AD$9,"B-",IF(J199&lt;'PlayerGrades+'!$AD$8,"B",IF(J199&lt;'PlayerGrades+'!$AD$7,"B+",IF(J199&lt;'PlayerGrades+'!$AD$6,"A-",IF(J199&lt;'PlayerGrades+'!$AD$5,"A",IF(J199&lt;'PlayerGrades+'!$AD$4,"A+",IF(J199&lt;'PlayerGrades+'!$AD$3,"S-",IF(J199&lt;'PlayerGrades+'!$AD$2,"S","S+"))))))))))))))))))))</f>
        <v>F-</v>
      </c>
      <c r="L199" s="677">
        <f t="shared" si="5"/>
        <v>0.6445837064</v>
      </c>
      <c r="M199" s="938" t="str">
        <f>IF(L199&lt;'PlayerGrades+'!$AE$21,"F-",IF(L199&lt;'PlayerGrades+'!$AE$20,"F",IF(L199&lt;'PlayerGrades+'!$AE$19,"F+",IF(L199&lt;'PlayerGrades+'!$AE$18,"E-",IF(L199&lt;'PlayerGrades+'!$AE$17,"E",IF(L199&lt;'PlayerGrades+'!$AE$16,"E+",IF(L199&lt;'PlayerGrades+'!$AE$15,"D-",IF(L199&lt;'PlayerGrades+'!$AE$14,"D",IF(L199&lt;'PlayerGrades+'!$AE$13,"D+",IF(L199&lt;'PlayerGrades+'!$AE$12,"C-",IF(L199&lt;'PlayerGrades+'!$AE$11,"C",IF(L199&lt;'PlayerGrades+'!$AE$10,"C+",IF(L199&lt;'PlayerGrades+'!$AE$9,"B-",IF(L199&lt;'PlayerGrades+'!$AE$8,"B",IF(L199&lt;'PlayerGrades+'!$AE$7,"B+",IF(L199&lt;'PlayerGrades+'!$AE$6,"A-",IF(L199&lt;'PlayerGrades+'!$AE$5,"A",IF(L199&lt;'PlayerGrades+'!$AE$4,"A+",IF(L199&lt;'PlayerGrades+'!$AE$3,"S-",IF(L199&lt;'PlayerGrades+'!$AE$2,"S","S+"))))))))))))))))))))</f>
        <v>S</v>
      </c>
      <c r="N199" s="937">
        <f t="shared" si="6"/>
        <v>0.05371530886</v>
      </c>
      <c r="O199" s="937" t="str">
        <f>IF(N199&lt;'PlayerGrades+'!$AF$21,"F-",IF(N199&lt;'PlayerGrades+'!$AF$20,"F",IF(N199&lt;'PlayerGrades+'!$AF$19,"F+",IF(N199&lt;'PlayerGrades+'!$AF$18,"E-",IF(N199&lt;'PlayerGrades+'!$AF$17,"E",IF(N199&lt;'PlayerGrades+'!$AF$16,"E+",IF(N199&lt;'PlayerGrades+'!$AF$15,"D-",IF(N199&lt;'PlayerGrades+'!$AF$14,"D",IF(N199&lt;'PlayerGrades+'!$AF$13,"D+",IF(N199&lt;'PlayerGrades+'!$AF$12,"C-",IF(N199&lt;'PlayerGrades+'!$AF$11,"C",IF(N199&lt;'PlayerGrades+'!$AF$10,"C+",IF(N199&lt;'PlayerGrades+'!$AF$9,"B-",IF(N199&lt;'PlayerGrades+'!$AF$8,"B",IF(N199&lt;'PlayerGrades+'!$AF$7,"B+",IF(N199&lt;'PlayerGrades+'!$AF$6,"A-",IF(N199&lt;'PlayerGrades+'!$AF$5,"A",IF(N199&lt;'PlayerGrades+'!$AF$4,"A+",IF(N199&lt;'PlayerGrades+'!$AF$3,"S-",IF(N199&lt;'PlayerGrades+'!$AF$2,"S","S+"))))))))))))))))))))</f>
        <v>D</v>
      </c>
      <c r="P199" s="937">
        <f t="shared" si="7"/>
        <v>0</v>
      </c>
      <c r="Q199" s="937" t="str">
        <f>IF(P199&lt;'PlayerGrades+'!$AG$21,"F-",IF(P199&lt;'PlayerGrades+'!$AG$20,"F",IF(P199&lt;'PlayerGrades+'!$AG$19,"F+",IF(P199&lt;'PlayerGrades+'!$AG$18,"E-",IF(P199&lt;'PlayerGrades+'!$AG$17,"E",IF(P199&lt;'PlayerGrades+'!$AG$16,"E+",IF(P199&lt;'PlayerGrades+'!$AG$15,"D-",IF(P199&lt;'PlayerGrades+'!$AG$14,"D",IF(P199&lt;'PlayerGrades+'!$AG$13,"D+",IF(P199&lt;'PlayerGrades+'!$AG$12,"C-",IF(P199&lt;'PlayerGrades+'!$AG$11,"C",IF(P199&lt;'PlayerGrades+'!$AG$10,"C+",IF(P199&lt;'PlayerGrades+'!$AG$9,"B-",IF(P199&lt;'PlayerGrades+'!$AG$8,"B",IF(P199&lt;'PlayerGrades+'!$AG$7,"B+",IF(P199&lt;'PlayerGrades+'!$AG$6,"A-",IF(P199&lt;'PlayerGrades+'!$AG$5,"A",IF(P199&lt;'PlayerGrades+'!$AG$4,"A+",IF(P199&lt;'PlayerGrades+'!$AG$3,"S-",IF(P199&lt;'PlayerGrades+'!$AG$2,"S","S+"))))))))))))))))))))</f>
        <v>F</v>
      </c>
      <c r="R199" s="937">
        <f t="shared" si="8"/>
        <v>0.4297224709</v>
      </c>
      <c r="S199" s="937" t="str">
        <f>IF(R199&lt;'PlayerGrades+'!$AH$21,"F-",IF(R199&lt;'PlayerGrades+'!$AH$20,"F",IF(R199&lt;'PlayerGrades+'!$AH$19,"F+",IF(R199&lt;'PlayerGrades+'!$AH$18,"E-",IF(R199&lt;'PlayerGrades+'!$AH$17,"E",IF(R199&lt;'PlayerGrades+'!$AH$16,"E+",IF(R199&lt;'PlayerGrades+'!$AH$15,"D-",IF(R199&lt;'PlayerGrades+'!$AH$14,"D",IF(R199&lt;'PlayerGrades+'!$AH$13,"D+",IF(R199&lt;'PlayerGrades+'!$AH$12,"C-",IF(R199&lt;'PlayerGrades+'!$AH$11,"C",IF(R199&lt;'PlayerGrades+'!$AH$10,"C+",IF(R199&lt;'PlayerGrades+'!$AH$9,"B-",IF(R199&lt;'PlayerGrades+'!$AH$8,"B",IF(R199&lt;'PlayerGrades+'!$AH$7,"B+",IF(R199&lt;'PlayerGrades+'!$AH$6,"A-",IF(R199&lt;'PlayerGrades+'!$AH$5,"A",IF(R199&lt;'PlayerGrades+'!$AH$4,"A+",IF(R199&lt;'PlayerGrades+'!$AH$3,"S-",IF(R199&lt;'PlayerGrades+'!$AH$2,"S","S+"))))))))))))))))))))</f>
        <v>F+</v>
      </c>
      <c r="T199" s="937">
        <f t="shared" si="9"/>
        <v>1.590868397</v>
      </c>
      <c r="U199" s="937" t="str">
        <f>IF(T199&lt;'PlayerGrades+'!$AI$21,"F-",IF(T199&lt;'PlayerGrades+'!$AI$20,"F",IF(T199&lt;'PlayerGrades+'!$AI$19,"F+",IF(T199&lt;'PlayerGrades+'!$AI$18,"E-",IF(T199&lt;'PlayerGrades+'!$AI$17,"E",IF(T199&lt;'PlayerGrades+'!$AI$16,"E+",IF(T199&lt;'PlayerGrades+'!$AI$15,"D-",IF(T199&lt;'PlayerGrades+'!$AI$14,"D",IF(T199&lt;'PlayerGrades+'!$AI$13,"D+",IF(T199&lt;'PlayerGrades+'!$AI$12,"C-",IF(T199&lt;'PlayerGrades+'!$AI$11,"C",IF(T199&lt;'PlayerGrades+'!$AI$10,"C+",IF(T199&lt;'PlayerGrades+'!$AI$9,"B-",IF(T199&lt;'PlayerGrades+'!$AI$8,"B",IF(T199&lt;'PlayerGrades+'!$AI$7,"B+",IF(T199&lt;'PlayerGrades+'!$AI$6,"A-",IF(T199&lt;'PlayerGrades+'!$AI$5,"A",IF(T199&lt;'PlayerGrades+'!$AI$4,"A+",IF(T199&lt;'PlayerGrades+'!$AI$3,"S-",IF(T199&lt;'PlayerGrades+'!$AI$2,"S","S+"))))))))))))))))))))</f>
        <v>S-</v>
      </c>
      <c r="V199" s="941">
        <v>1.0</v>
      </c>
      <c r="W199" s="941">
        <v>0.0</v>
      </c>
      <c r="X199" s="941">
        <v>1.0</v>
      </c>
      <c r="Y199" s="941">
        <v>0.0</v>
      </c>
      <c r="Z199" s="941">
        <v>1.0</v>
      </c>
      <c r="AA199" s="941">
        <v>71.0</v>
      </c>
      <c r="AB199" s="941">
        <v>72.0</v>
      </c>
      <c r="AC199" s="941">
        <v>-1.0</v>
      </c>
      <c r="AD199" s="941">
        <v>2.0</v>
      </c>
      <c r="AE199" s="941">
        <v>4.0</v>
      </c>
      <c r="AF199" s="941">
        <v>2.0</v>
      </c>
      <c r="AG199" s="941">
        <v>802.0</v>
      </c>
      <c r="AH199" s="941">
        <v>1117.0</v>
      </c>
      <c r="AI199" s="941">
        <v>11.0</v>
      </c>
      <c r="AJ199" s="941">
        <v>10.0</v>
      </c>
      <c r="AK199" s="941">
        <v>0.0</v>
      </c>
      <c r="AL199" s="941">
        <v>0.0</v>
      </c>
      <c r="AM199" s="941">
        <v>0.0</v>
      </c>
      <c r="AN199" s="941">
        <v>0.0</v>
      </c>
      <c r="AO199" s="941">
        <v>0.0</v>
      </c>
      <c r="AP199" s="941">
        <v>0.0</v>
      </c>
      <c r="AQ199" s="941">
        <v>0.0</v>
      </c>
      <c r="AR199" s="941">
        <v>12.0</v>
      </c>
      <c r="AS199" s="941">
        <v>1.0</v>
      </c>
      <c r="AT199" s="941">
        <v>0.0</v>
      </c>
      <c r="AU199" s="941">
        <v>0.0</v>
      </c>
      <c r="AV199" s="941">
        <v>0.0</v>
      </c>
      <c r="AW199" s="941">
        <v>0.0</v>
      </c>
      <c r="AX199" s="941">
        <v>0.0</v>
      </c>
      <c r="AY199" s="941">
        <v>0.0</v>
      </c>
      <c r="AZ199" s="941">
        <v>0.0</v>
      </c>
      <c r="BA199" s="941">
        <v>0.0</v>
      </c>
      <c r="BB199" s="941">
        <v>3.0</v>
      </c>
      <c r="BC199" s="941">
        <v>0.0</v>
      </c>
      <c r="BD199" s="941">
        <v>6.0</v>
      </c>
      <c r="BE199" s="941">
        <v>11.0</v>
      </c>
      <c r="BF199" s="941">
        <v>1.0</v>
      </c>
      <c r="BG199" s="942">
        <v>0.0</v>
      </c>
    </row>
    <row r="200">
      <c r="A200" s="935" t="s">
        <v>126</v>
      </c>
      <c r="B200" s="16" t="str">
        <f>IF(C200&lt;'PlayerGrades+'!$Y$44,"F-",IF(C200&lt;'PlayerGrades+'!$Y$43,"F",IF(C200&lt;'PlayerGrades+'!$Y$42,"F+",IF(C200&lt;'PlayerGrades+'!$Y$41,"E-",IF(C200&lt;'PlayerGrades+'!$Y$40,"E",IF(C200&lt;'PlayerGrades+'!$Y$39,"E+",IF(C200&lt;'PlayerGrades+'!$Y$38,"D-",IF(C200&lt;'PlayerGrades+'!$Y$37,"D",IF(C200&lt;'PlayerGrades+'!$Y$36,"D+",IF(C200&lt;'PlayerGrades+'!$Y$35,"C-",IF(C200&lt;'PlayerGrades+'!$Y$34,"C",IF(C200&lt;'PlayerGrades+'!$Y$33,"C+",IF(C200&lt;'PlayerGrades+'!$Y$32,"B-",IF(C200&lt;'PlayerGrades+'!$Y$31,"B",IF(C200&lt;'PlayerGrades+'!$Y$30,"B+",IF(C200&lt;'PlayerGrades+'!$Y$29,"A-",IF(C200&lt;'PlayerGrades+'!$Y$28,"A",IF(C200&lt;'PlayerGrades+'!$Y$27,"A+",IF(C200&lt;'PlayerGrades+'!$Y$26,"S-",IF(C200&lt;'PlayerGrades+'!$Y$25,"S","S+"))))))))))))))))))))</f>
        <v>E</v>
      </c>
      <c r="C200" s="936">
        <f>('PlayerGrades+'!$Y$47*(VLOOKUP(E200, 'PlayerGrades+'!$X$3:$Y$23, 2, FALSE)))+('PlayerGrades+'!$Y$48*(VLOOKUP(G200, 'PlayerGrades+'!$X$3:$Y$23, 2, FALSE)))+('PlayerGrades+'!$Y$49*(VLOOKUP(I200, 'PlayerGrades+'!$X$3:$Y$23, 2, FALSE)))+('PlayerGrades+'!$Y$50*(VLOOKUP(K200, 'PlayerGrades+'!$X$3:$Y$23, 2, FALSE)))+('PlayerGrades+'!$Y$51*(VLOOKUP(M200, 'PlayerGrades+'!$X$3:$Y$23, 2, FALSE)))+('PlayerGrades+'!$Y$52*(VLOOKUP(O200, 'PlayerGrades+'!$X$3:$Y$23, 2, FALSE)))+('PlayerGrades+'!$Y$53*(VLOOKUP(Q200, 'PlayerGrades+'!$X$3:$Y$23, 2, FALSE)))+('PlayerGrades+'!$Y$54*(VLOOKUP(S200, 'PlayerGrades+'!$X$3:$Y$23, 2, FALSE)))+('PlayerGrades+'!$Y$55*(VLOOKUP(U200, 'PlayerGrades+'!$X$3:$Y$23, 2, FALSE)))</f>
        <v>13.1</v>
      </c>
      <c r="D200" s="937">
        <f t="shared" si="1"/>
        <v>0.05371530886</v>
      </c>
      <c r="E200" s="937" t="str">
        <f>IF(D200&lt;'PlayerGrades+'!$AA$21,"F-",IF(D200&lt;'PlayerGrades+'!$AA$20,"F",IF(D200&lt;'PlayerGrades+'!$AA$19,"F+",IF(D200&lt;'PlayerGrades+'!$AA$18,"E-",IF(D200&lt;'PlayerGrades+'!$AA$17,"E",IF(D200&lt;'PlayerGrades+'!$AA$16,"E+",IF(D200&lt;'PlayerGrades+'!$AA$15,"D-",IF(D200&lt;'PlayerGrades+'!$AA$14,"D",IF(D200&lt;'PlayerGrades+'!$AA$13,"D+",IF(D200&lt;'PlayerGrades+'!$AA$12,"C-",IF(D200&lt;'PlayerGrades+'!$AA$11,"C",IF(D200&lt;'PlayerGrades+'!$AA$10,"C+",IF(D200&lt;'PlayerGrades+'!$AA$9,"B-",IF(D200&lt;'PlayerGrades+'!$AA$8,"B",IF(D200&lt;'PlayerGrades+'!$AA$7,"B+",IF(D200&lt;'PlayerGrades+'!$AA$6,"A-",IF(D200&lt;'PlayerGrades+'!$AA$5,"A",IF(D200&lt;'PlayerGrades+'!$AA$4,"A+",IF(D200&lt;'PlayerGrades+'!$AA$3,"S-",IF(D200&lt;'PlayerGrades+'!$AA$2,"S","S+"))))))))))))))))))))</f>
        <v>B-</v>
      </c>
      <c r="F200" s="937">
        <f t="shared" si="2"/>
        <v>-1.342882722</v>
      </c>
      <c r="G200" s="937" t="str">
        <f>IF(F200&lt;'PlayerGrades+'!$AB$21,"F-",IF(F200&lt;'PlayerGrades+'!$AB$20,"F",IF(F200&lt;'PlayerGrades+'!$AB$19,"F+",IF(F200&lt;'PlayerGrades+'!$AB$18,"E-",IF(F200&lt;'PlayerGrades+'!$AB$17,"E",IF(F200&lt;'PlayerGrades+'!$AB$16,"E+",IF(F200&lt;'PlayerGrades+'!$AB$15,"D-",IF(F200&lt;'PlayerGrades+'!$AB$14,"D",IF(F200&lt;'PlayerGrades+'!$AB$13,"D+",IF(F200&lt;'PlayerGrades+'!$AB$12,"C-",IF(F200&lt;'PlayerGrades+'!$AB$11,"C",IF(F200&lt;'PlayerGrades+'!$AB$10,"C+",IF(F200&lt;'PlayerGrades+'!$AB$9,"B-",IF(F200&lt;'PlayerGrades+'!$AB$8,"B",IF(F200&lt;'PlayerGrades+'!$AB$7,"B+",IF(F200&lt;'PlayerGrades+'!$AB$6,"A-",IF(F200&lt;'PlayerGrades+'!$AB$5,"A",IF(F200&lt;'PlayerGrades+'!$AB$4,"A+",IF(F200&lt;'PlayerGrades+'!$AB$3,"S-",IF(F200&lt;'PlayerGrades+'!$AB$2,"S","S+"))))))))))))))))))))</f>
        <v>F-</v>
      </c>
      <c r="H200" s="937">
        <f t="shared" si="3"/>
        <v>0.05371530886</v>
      </c>
      <c r="I200" s="937" t="str">
        <f>IF(H200&lt;'PlayerGrades+'!$AC$21,"F-",IF(H200&lt;'PlayerGrades+'!$AC$20,"F",IF(H200&lt;'PlayerGrades+'!$AC$19,"F+",IF(H200&lt;'PlayerGrades+'!$AC$18,"E-",IF(H200&lt;'PlayerGrades+'!$AC$17,"E",IF(H200&lt;'PlayerGrades+'!$AC$16,"E+",IF(H200&lt;'PlayerGrades+'!$AC$15,"D-",IF(H200&lt;'PlayerGrades+'!$AC$14,"D",IF(H200&lt;'PlayerGrades+'!$AC$13,"D+",IF(H200&lt;'PlayerGrades+'!$AC$12,"C-",IF(H200&lt;'PlayerGrades+'!$AC$11,"C",IF(H200&lt;'PlayerGrades+'!$AC$10,"C+",IF(H200&lt;'PlayerGrades+'!$AC$9,"B-",IF(H200&lt;'PlayerGrades+'!$AC$8,"B",IF(H200&lt;'PlayerGrades+'!$AC$7,"B+",IF(H200&lt;'PlayerGrades+'!$AC$6,"A-",IF(H200&lt;'PlayerGrades+'!$AC$5,"A",IF(H200&lt;'PlayerGrades+'!$AC$4,"A+",IF(H200&lt;'PlayerGrades+'!$AC$3,"S-",IF(H200&lt;'PlayerGrades+'!$AC$2,"S","S+"))))))))))))))))))))</f>
        <v>F+</v>
      </c>
      <c r="J200" s="937">
        <f t="shared" si="4"/>
        <v>0</v>
      </c>
      <c r="K200" s="937" t="str">
        <f>IF(J200&lt;'PlayerGrades+'!$AD$21,"F-",IF(J200&lt;'PlayerGrades+'!$AD$20,"F",IF(J200&lt;'PlayerGrades+'!$AD$19,"F+",IF(J200&lt;'PlayerGrades+'!$AD$18,"E-",IF(J200&lt;'PlayerGrades+'!$AD$17,"E",IF(J200&lt;'PlayerGrades+'!$AD$16,"E+",IF(J200&lt;'PlayerGrades+'!$AD$15,"D-",IF(J200&lt;'PlayerGrades+'!$AD$14,"D",IF(J200&lt;'PlayerGrades+'!$AD$13,"D+",IF(J200&lt;'PlayerGrades+'!$AD$12,"C-",IF(J200&lt;'PlayerGrades+'!$AD$11,"C",IF(J200&lt;'PlayerGrades+'!$AD$10,"C+",IF(J200&lt;'PlayerGrades+'!$AD$9,"B-",IF(J200&lt;'PlayerGrades+'!$AD$8,"B",IF(J200&lt;'PlayerGrades+'!$AD$7,"B+",IF(J200&lt;'PlayerGrades+'!$AD$6,"A-",IF(J200&lt;'PlayerGrades+'!$AD$5,"A",IF(J200&lt;'PlayerGrades+'!$AD$4,"A+",IF(J200&lt;'PlayerGrades+'!$AD$3,"S-",IF(J200&lt;'PlayerGrades+'!$AD$2,"S","S+"))))))))))))))))))))</f>
        <v>F-</v>
      </c>
      <c r="L200" s="677">
        <f t="shared" si="5"/>
        <v>0.3222918532</v>
      </c>
      <c r="M200" s="938" t="str">
        <f>IF(L200&lt;'PlayerGrades+'!$AE$21,"F-",IF(L200&lt;'PlayerGrades+'!$AE$20,"F",IF(L200&lt;'PlayerGrades+'!$AE$19,"F+",IF(L200&lt;'PlayerGrades+'!$AE$18,"E-",IF(L200&lt;'PlayerGrades+'!$AE$17,"E",IF(L200&lt;'PlayerGrades+'!$AE$16,"E+",IF(L200&lt;'PlayerGrades+'!$AE$15,"D-",IF(L200&lt;'PlayerGrades+'!$AE$14,"D",IF(L200&lt;'PlayerGrades+'!$AE$13,"D+",IF(L200&lt;'PlayerGrades+'!$AE$12,"C-",IF(L200&lt;'PlayerGrades+'!$AE$11,"C",IF(L200&lt;'PlayerGrades+'!$AE$10,"C+",IF(L200&lt;'PlayerGrades+'!$AE$9,"B-",IF(L200&lt;'PlayerGrades+'!$AE$8,"B",IF(L200&lt;'PlayerGrades+'!$AE$7,"B+",IF(L200&lt;'PlayerGrades+'!$AE$6,"A-",IF(L200&lt;'PlayerGrades+'!$AE$5,"A",IF(L200&lt;'PlayerGrades+'!$AE$4,"A+",IF(L200&lt;'PlayerGrades+'!$AE$3,"S-",IF(L200&lt;'PlayerGrades+'!$AE$2,"S","S+"))))))))))))))))))))</f>
        <v>E</v>
      </c>
      <c r="N200" s="937">
        <f t="shared" si="6"/>
        <v>0</v>
      </c>
      <c r="O200" s="937" t="str">
        <f>IF(N200&lt;'PlayerGrades+'!$AF$21,"F-",IF(N200&lt;'PlayerGrades+'!$AF$20,"F",IF(N200&lt;'PlayerGrades+'!$AF$19,"F+",IF(N200&lt;'PlayerGrades+'!$AF$18,"E-",IF(N200&lt;'PlayerGrades+'!$AF$17,"E",IF(N200&lt;'PlayerGrades+'!$AF$16,"E+",IF(N200&lt;'PlayerGrades+'!$AF$15,"D-",IF(N200&lt;'PlayerGrades+'!$AF$14,"D",IF(N200&lt;'PlayerGrades+'!$AF$13,"D+",IF(N200&lt;'PlayerGrades+'!$AF$12,"C-",IF(N200&lt;'PlayerGrades+'!$AF$11,"C",IF(N200&lt;'PlayerGrades+'!$AF$10,"C+",IF(N200&lt;'PlayerGrades+'!$AF$9,"B-",IF(N200&lt;'PlayerGrades+'!$AF$8,"B",IF(N200&lt;'PlayerGrades+'!$AF$7,"B+",IF(N200&lt;'PlayerGrades+'!$AF$6,"A-",IF(N200&lt;'PlayerGrades+'!$AF$5,"A",IF(N200&lt;'PlayerGrades+'!$AF$4,"A+",IF(N200&lt;'PlayerGrades+'!$AF$3,"S-",IF(N200&lt;'PlayerGrades+'!$AF$2,"S","S+"))))))))))))))))))))</f>
        <v>F-</v>
      </c>
      <c r="P200" s="937">
        <f t="shared" si="7"/>
        <v>0</v>
      </c>
      <c r="Q200" s="937" t="str">
        <f>IF(P200&lt;'PlayerGrades+'!$AG$21,"F-",IF(P200&lt;'PlayerGrades+'!$AG$20,"F",IF(P200&lt;'PlayerGrades+'!$AG$19,"F+",IF(P200&lt;'PlayerGrades+'!$AG$18,"E-",IF(P200&lt;'PlayerGrades+'!$AG$17,"E",IF(P200&lt;'PlayerGrades+'!$AG$16,"E+",IF(P200&lt;'PlayerGrades+'!$AG$15,"D-",IF(P200&lt;'PlayerGrades+'!$AG$14,"D",IF(P200&lt;'PlayerGrades+'!$AG$13,"D+",IF(P200&lt;'PlayerGrades+'!$AG$12,"C-",IF(P200&lt;'PlayerGrades+'!$AG$11,"C",IF(P200&lt;'PlayerGrades+'!$AG$10,"C+",IF(P200&lt;'PlayerGrades+'!$AG$9,"B-",IF(P200&lt;'PlayerGrades+'!$AG$8,"B",IF(P200&lt;'PlayerGrades+'!$AG$7,"B+",IF(P200&lt;'PlayerGrades+'!$AG$6,"A-",IF(P200&lt;'PlayerGrades+'!$AG$5,"A",IF(P200&lt;'PlayerGrades+'!$AG$4,"A+",IF(P200&lt;'PlayerGrades+'!$AG$3,"S-",IF(P200&lt;'PlayerGrades+'!$AG$2,"S","S+"))))))))))))))))))))</f>
        <v>F</v>
      </c>
      <c r="R200" s="937">
        <f t="shared" si="8"/>
        <v>0.6982990152</v>
      </c>
      <c r="S200" s="937" t="str">
        <f>IF(R200&lt;'PlayerGrades+'!$AH$21,"F-",IF(R200&lt;'PlayerGrades+'!$AH$20,"F",IF(R200&lt;'PlayerGrades+'!$AH$19,"F+",IF(R200&lt;'PlayerGrades+'!$AH$18,"E-",IF(R200&lt;'PlayerGrades+'!$AH$17,"E",IF(R200&lt;'PlayerGrades+'!$AH$16,"E+",IF(R200&lt;'PlayerGrades+'!$AH$15,"D-",IF(R200&lt;'PlayerGrades+'!$AH$14,"D",IF(R200&lt;'PlayerGrades+'!$AH$13,"D+",IF(R200&lt;'PlayerGrades+'!$AH$12,"C-",IF(R200&lt;'PlayerGrades+'!$AH$11,"C",IF(R200&lt;'PlayerGrades+'!$AH$10,"C+",IF(R200&lt;'PlayerGrades+'!$AH$9,"B-",IF(R200&lt;'PlayerGrades+'!$AH$8,"B",IF(R200&lt;'PlayerGrades+'!$AH$7,"B+",IF(R200&lt;'PlayerGrades+'!$AH$6,"A-",IF(R200&lt;'PlayerGrades+'!$AH$5,"A",IF(R200&lt;'PlayerGrades+'!$AH$4,"A+",IF(R200&lt;'PlayerGrades+'!$AH$3,"S-",IF(R200&lt;'PlayerGrades+'!$AH$2,"S","S+"))))))))))))))))))))</f>
        <v>S-</v>
      </c>
      <c r="T200" s="937">
        <f t="shared" si="9"/>
        <v>1.48343778</v>
      </c>
      <c r="U200" s="937" t="str">
        <f>IF(T200&lt;'PlayerGrades+'!$AI$21,"F-",IF(T200&lt;'PlayerGrades+'!$AI$20,"F",IF(T200&lt;'PlayerGrades+'!$AI$19,"F+",IF(T200&lt;'PlayerGrades+'!$AI$18,"E-",IF(T200&lt;'PlayerGrades+'!$AI$17,"E",IF(T200&lt;'PlayerGrades+'!$AI$16,"E+",IF(T200&lt;'PlayerGrades+'!$AI$15,"D-",IF(T200&lt;'PlayerGrades+'!$AI$14,"D",IF(T200&lt;'PlayerGrades+'!$AI$13,"D+",IF(T200&lt;'PlayerGrades+'!$AI$12,"C-",IF(T200&lt;'PlayerGrades+'!$AI$11,"C",IF(T200&lt;'PlayerGrades+'!$AI$10,"C+",IF(T200&lt;'PlayerGrades+'!$AI$9,"B-",IF(T200&lt;'PlayerGrades+'!$AI$8,"B",IF(T200&lt;'PlayerGrades+'!$AI$7,"B+",IF(T200&lt;'PlayerGrades+'!$AI$6,"A-",IF(T200&lt;'PlayerGrades+'!$AI$5,"A",IF(T200&lt;'PlayerGrades+'!$AI$4,"A+",IF(T200&lt;'PlayerGrades+'!$AI$3,"S-",IF(T200&lt;'PlayerGrades+'!$AI$2,"S","S+"))))))))))))))))))))</f>
        <v>A-</v>
      </c>
      <c r="V200" s="941">
        <v>1.0</v>
      </c>
      <c r="W200" s="941">
        <v>0.0</v>
      </c>
      <c r="X200" s="941">
        <v>1.0</v>
      </c>
      <c r="Y200" s="941">
        <v>0.0</v>
      </c>
      <c r="Z200" s="941">
        <v>1.0</v>
      </c>
      <c r="AA200" s="941">
        <v>54.0</v>
      </c>
      <c r="AB200" s="941">
        <v>79.0</v>
      </c>
      <c r="AC200" s="941">
        <v>-25.0</v>
      </c>
      <c r="AD200" s="941">
        <v>6.0</v>
      </c>
      <c r="AE200" s="941">
        <v>3.0</v>
      </c>
      <c r="AF200" s="941">
        <v>5.0</v>
      </c>
      <c r="AG200" s="941">
        <v>788.0</v>
      </c>
      <c r="AH200" s="941">
        <v>1117.0</v>
      </c>
      <c r="AI200" s="941">
        <v>9.0</v>
      </c>
      <c r="AJ200" s="941">
        <v>10.0</v>
      </c>
      <c r="AK200" s="941">
        <v>0.0</v>
      </c>
      <c r="AL200" s="941">
        <v>0.0</v>
      </c>
      <c r="AM200" s="941">
        <v>0.0</v>
      </c>
      <c r="AN200" s="941">
        <v>0.0</v>
      </c>
      <c r="AO200" s="941">
        <v>0.0</v>
      </c>
      <c r="AP200" s="941">
        <v>0.0</v>
      </c>
      <c r="AQ200" s="941">
        <v>0.0</v>
      </c>
      <c r="AR200" s="941">
        <v>6.0</v>
      </c>
      <c r="AS200" s="941">
        <v>0.0</v>
      </c>
      <c r="AT200" s="941">
        <v>0.0</v>
      </c>
      <c r="AU200" s="941">
        <v>0.0</v>
      </c>
      <c r="AV200" s="941">
        <v>0.0</v>
      </c>
      <c r="AW200" s="941">
        <v>0.0</v>
      </c>
      <c r="AX200" s="941">
        <v>0.0</v>
      </c>
      <c r="AY200" s="941">
        <v>0.0</v>
      </c>
      <c r="AZ200" s="941">
        <v>0.0</v>
      </c>
      <c r="BA200" s="941">
        <v>0.0</v>
      </c>
      <c r="BB200" s="941">
        <v>1.0</v>
      </c>
      <c r="BC200" s="941">
        <v>0.0</v>
      </c>
      <c r="BD200" s="941">
        <v>7.0</v>
      </c>
      <c r="BE200" s="941">
        <v>9.0</v>
      </c>
      <c r="BF200" s="941">
        <v>1.0</v>
      </c>
      <c r="BG200" s="942">
        <v>0.0</v>
      </c>
    </row>
    <row r="201">
      <c r="A201" s="943" t="s">
        <v>115</v>
      </c>
      <c r="B201" s="16" t="str">
        <f>IF(C201&lt;'PlayerGrades+'!$Y$44,"F-",IF(C201&lt;'PlayerGrades+'!$Y$43,"F",IF(C201&lt;'PlayerGrades+'!$Y$42,"F+",IF(C201&lt;'PlayerGrades+'!$Y$41,"E-",IF(C201&lt;'PlayerGrades+'!$Y$40,"E",IF(C201&lt;'PlayerGrades+'!$Y$39,"E+",IF(C201&lt;'PlayerGrades+'!$Y$38,"D-",IF(C201&lt;'PlayerGrades+'!$Y$37,"D",IF(C201&lt;'PlayerGrades+'!$Y$36,"D+",IF(C201&lt;'PlayerGrades+'!$Y$35,"C-",IF(C201&lt;'PlayerGrades+'!$Y$34,"C",IF(C201&lt;'PlayerGrades+'!$Y$33,"C+",IF(C201&lt;'PlayerGrades+'!$Y$32,"B-",IF(C201&lt;'PlayerGrades+'!$Y$31,"B",IF(C201&lt;'PlayerGrades+'!$Y$30,"B+",IF(C201&lt;'PlayerGrades+'!$Y$29,"A-",IF(C201&lt;'PlayerGrades+'!$Y$28,"A",IF(C201&lt;'PlayerGrades+'!$Y$27,"A+",IF(C201&lt;'PlayerGrades+'!$Y$26,"S-",IF(C201&lt;'PlayerGrades+'!$Y$25,"S","S+"))))))))))))))))))))</f>
        <v>C-</v>
      </c>
      <c r="C201" s="936">
        <f>('PlayerGrades+'!$Y$47*(VLOOKUP(E201, 'PlayerGrades+'!$X$3:$Y$23, 2, FALSE)))+('PlayerGrades+'!$Y$48*(VLOOKUP(G201, 'PlayerGrades+'!$X$3:$Y$23, 2, FALSE)))+('PlayerGrades+'!$Y$49*(VLOOKUP(I201, 'PlayerGrades+'!$X$3:$Y$23, 2, FALSE)))+('PlayerGrades+'!$Y$50*(VLOOKUP(K201, 'PlayerGrades+'!$X$3:$Y$23, 2, FALSE)))+('PlayerGrades+'!$Y$51*(VLOOKUP(M201, 'PlayerGrades+'!$X$3:$Y$23, 2, FALSE)))+('PlayerGrades+'!$Y$52*(VLOOKUP(O201, 'PlayerGrades+'!$X$3:$Y$23, 2, FALSE)))+('PlayerGrades+'!$Y$53*(VLOOKUP(Q201, 'PlayerGrades+'!$X$3:$Y$23, 2, FALSE)))+('PlayerGrades+'!$Y$54*(VLOOKUP(S201, 'PlayerGrades+'!$X$3:$Y$23, 2, FALSE)))+('PlayerGrades+'!$Y$55*(VLOOKUP(U201, 'PlayerGrades+'!$X$3:$Y$23, 2, FALSE)))</f>
        <v>18.35</v>
      </c>
      <c r="D201" s="937">
        <f t="shared" si="1"/>
        <v>0.05371530886</v>
      </c>
      <c r="E201" s="937" t="str">
        <f>IF(D201&lt;'PlayerGrades+'!$AA$21,"F-",IF(D201&lt;'PlayerGrades+'!$AA$20,"F",IF(D201&lt;'PlayerGrades+'!$AA$19,"F+",IF(D201&lt;'PlayerGrades+'!$AA$18,"E-",IF(D201&lt;'PlayerGrades+'!$AA$17,"E",IF(D201&lt;'PlayerGrades+'!$AA$16,"E+",IF(D201&lt;'PlayerGrades+'!$AA$15,"D-",IF(D201&lt;'PlayerGrades+'!$AA$14,"D",IF(D201&lt;'PlayerGrades+'!$AA$13,"D+",IF(D201&lt;'PlayerGrades+'!$AA$12,"C-",IF(D201&lt;'PlayerGrades+'!$AA$11,"C",IF(D201&lt;'PlayerGrades+'!$AA$10,"C+",IF(D201&lt;'PlayerGrades+'!$AA$9,"B-",IF(D201&lt;'PlayerGrades+'!$AA$8,"B",IF(D201&lt;'PlayerGrades+'!$AA$7,"B+",IF(D201&lt;'PlayerGrades+'!$AA$6,"A-",IF(D201&lt;'PlayerGrades+'!$AA$5,"A",IF(D201&lt;'PlayerGrades+'!$AA$4,"A+",IF(D201&lt;'PlayerGrades+'!$AA$3,"S-",IF(D201&lt;'PlayerGrades+'!$AA$2,"S","S+"))))))))))))))))))))</f>
        <v>B-</v>
      </c>
      <c r="F201" s="937">
        <f t="shared" si="2"/>
        <v>-0.8594449418</v>
      </c>
      <c r="G201" s="937" t="str">
        <f>IF(F201&lt;'PlayerGrades+'!$AB$21,"F-",IF(F201&lt;'PlayerGrades+'!$AB$20,"F",IF(F201&lt;'PlayerGrades+'!$AB$19,"F+",IF(F201&lt;'PlayerGrades+'!$AB$18,"E-",IF(F201&lt;'PlayerGrades+'!$AB$17,"E",IF(F201&lt;'PlayerGrades+'!$AB$16,"E+",IF(F201&lt;'PlayerGrades+'!$AB$15,"D-",IF(F201&lt;'PlayerGrades+'!$AB$14,"D",IF(F201&lt;'PlayerGrades+'!$AB$13,"D+",IF(F201&lt;'PlayerGrades+'!$AB$12,"C-",IF(F201&lt;'PlayerGrades+'!$AB$11,"C",IF(F201&lt;'PlayerGrades+'!$AB$10,"C+",IF(F201&lt;'PlayerGrades+'!$AB$9,"B-",IF(F201&lt;'PlayerGrades+'!$AB$8,"B",IF(F201&lt;'PlayerGrades+'!$AB$7,"B+",IF(F201&lt;'PlayerGrades+'!$AB$6,"A-",IF(F201&lt;'PlayerGrades+'!$AB$5,"A",IF(F201&lt;'PlayerGrades+'!$AB$4,"A+",IF(F201&lt;'PlayerGrades+'!$AB$3,"S-",IF(F201&lt;'PlayerGrades+'!$AB$2,"S","S+"))))))))))))))))))))</f>
        <v>E</v>
      </c>
      <c r="H201" s="937">
        <f t="shared" si="3"/>
        <v>0.05371530886</v>
      </c>
      <c r="I201" s="937" t="str">
        <f>IF(H201&lt;'PlayerGrades+'!$AC$21,"F-",IF(H201&lt;'PlayerGrades+'!$AC$20,"F",IF(H201&lt;'PlayerGrades+'!$AC$19,"F+",IF(H201&lt;'PlayerGrades+'!$AC$18,"E-",IF(H201&lt;'PlayerGrades+'!$AC$17,"E",IF(H201&lt;'PlayerGrades+'!$AC$16,"E+",IF(H201&lt;'PlayerGrades+'!$AC$15,"D-",IF(H201&lt;'PlayerGrades+'!$AC$14,"D",IF(H201&lt;'PlayerGrades+'!$AC$13,"D+",IF(H201&lt;'PlayerGrades+'!$AC$12,"C-",IF(H201&lt;'PlayerGrades+'!$AC$11,"C",IF(H201&lt;'PlayerGrades+'!$AC$10,"C+",IF(H201&lt;'PlayerGrades+'!$AC$9,"B-",IF(H201&lt;'PlayerGrades+'!$AC$8,"B",IF(H201&lt;'PlayerGrades+'!$AC$7,"B+",IF(H201&lt;'PlayerGrades+'!$AC$6,"A-",IF(H201&lt;'PlayerGrades+'!$AC$5,"A",IF(H201&lt;'PlayerGrades+'!$AC$4,"A+",IF(H201&lt;'PlayerGrades+'!$AC$3,"S-",IF(H201&lt;'PlayerGrades+'!$AC$2,"S","S+"))))))))))))))))))))</f>
        <v>F+</v>
      </c>
      <c r="J201" s="937">
        <f t="shared" si="4"/>
        <v>0</v>
      </c>
      <c r="K201" s="937" t="str">
        <f>IF(J201&lt;'PlayerGrades+'!$AD$21,"F-",IF(J201&lt;'PlayerGrades+'!$AD$20,"F",IF(J201&lt;'PlayerGrades+'!$AD$19,"F+",IF(J201&lt;'PlayerGrades+'!$AD$18,"E-",IF(J201&lt;'PlayerGrades+'!$AD$17,"E",IF(J201&lt;'PlayerGrades+'!$AD$16,"E+",IF(J201&lt;'PlayerGrades+'!$AD$15,"D-",IF(J201&lt;'PlayerGrades+'!$AD$14,"D",IF(J201&lt;'PlayerGrades+'!$AD$13,"D+",IF(J201&lt;'PlayerGrades+'!$AD$12,"C-",IF(J201&lt;'PlayerGrades+'!$AD$11,"C",IF(J201&lt;'PlayerGrades+'!$AD$10,"C+",IF(J201&lt;'PlayerGrades+'!$AD$9,"B-",IF(J201&lt;'PlayerGrades+'!$AD$8,"B",IF(J201&lt;'PlayerGrades+'!$AD$7,"B+",IF(J201&lt;'PlayerGrades+'!$AD$6,"A-",IF(J201&lt;'PlayerGrades+'!$AD$5,"A",IF(J201&lt;'PlayerGrades+'!$AD$4,"A+",IF(J201&lt;'PlayerGrades+'!$AD$3,"S-",IF(J201&lt;'PlayerGrades+'!$AD$2,"S","S+"))))))))))))))))))))</f>
        <v>F-</v>
      </c>
      <c r="L201" s="677">
        <f t="shared" si="5"/>
        <v>0.5908683975</v>
      </c>
      <c r="M201" s="938" t="str">
        <f>IF(L201&lt;'PlayerGrades+'!$AE$21,"F-",IF(L201&lt;'PlayerGrades+'!$AE$20,"F",IF(L201&lt;'PlayerGrades+'!$AE$19,"F+",IF(L201&lt;'PlayerGrades+'!$AE$18,"E-",IF(L201&lt;'PlayerGrades+'!$AE$17,"E",IF(L201&lt;'PlayerGrades+'!$AE$16,"E+",IF(L201&lt;'PlayerGrades+'!$AE$15,"D-",IF(L201&lt;'PlayerGrades+'!$AE$14,"D",IF(L201&lt;'PlayerGrades+'!$AE$13,"D+",IF(L201&lt;'PlayerGrades+'!$AE$12,"C-",IF(L201&lt;'PlayerGrades+'!$AE$11,"C",IF(L201&lt;'PlayerGrades+'!$AE$10,"C+",IF(L201&lt;'PlayerGrades+'!$AE$9,"B-",IF(L201&lt;'PlayerGrades+'!$AE$8,"B",IF(L201&lt;'PlayerGrades+'!$AE$7,"B+",IF(L201&lt;'PlayerGrades+'!$AE$6,"A-",IF(L201&lt;'PlayerGrades+'!$AE$5,"A",IF(L201&lt;'PlayerGrades+'!$AE$4,"A+",IF(L201&lt;'PlayerGrades+'!$AE$3,"S-",IF(L201&lt;'PlayerGrades+'!$AE$2,"S","S+"))))))))))))))))))))</f>
        <v>A+</v>
      </c>
      <c r="N201" s="937">
        <f t="shared" si="6"/>
        <v>0.1074306177</v>
      </c>
      <c r="O201" s="937" t="str">
        <f>IF(N201&lt;'PlayerGrades+'!$AF$21,"F-",IF(N201&lt;'PlayerGrades+'!$AF$20,"F",IF(N201&lt;'PlayerGrades+'!$AF$19,"F+",IF(N201&lt;'PlayerGrades+'!$AF$18,"E-",IF(N201&lt;'PlayerGrades+'!$AF$17,"E",IF(N201&lt;'PlayerGrades+'!$AF$16,"E+",IF(N201&lt;'PlayerGrades+'!$AF$15,"D-",IF(N201&lt;'PlayerGrades+'!$AF$14,"D",IF(N201&lt;'PlayerGrades+'!$AF$13,"D+",IF(N201&lt;'PlayerGrades+'!$AF$12,"C-",IF(N201&lt;'PlayerGrades+'!$AF$11,"C",IF(N201&lt;'PlayerGrades+'!$AF$10,"C+",IF(N201&lt;'PlayerGrades+'!$AF$9,"B-",IF(N201&lt;'PlayerGrades+'!$AF$8,"B",IF(N201&lt;'PlayerGrades+'!$AF$7,"B+",IF(N201&lt;'PlayerGrades+'!$AF$6,"A-",IF(N201&lt;'PlayerGrades+'!$AF$5,"A",IF(N201&lt;'PlayerGrades+'!$AF$4,"A+",IF(N201&lt;'PlayerGrades+'!$AF$3,"S-",IF(N201&lt;'PlayerGrades+'!$AF$2,"S","S+"))))))))))))))))))))</f>
        <v>S-</v>
      </c>
      <c r="P201" s="937">
        <f t="shared" si="7"/>
        <v>0</v>
      </c>
      <c r="Q201" s="937" t="str">
        <f>IF(P201&lt;'PlayerGrades+'!$AG$21,"F-",IF(P201&lt;'PlayerGrades+'!$AG$20,"F",IF(P201&lt;'PlayerGrades+'!$AG$19,"F+",IF(P201&lt;'PlayerGrades+'!$AG$18,"E-",IF(P201&lt;'PlayerGrades+'!$AG$17,"E",IF(P201&lt;'PlayerGrades+'!$AG$16,"E+",IF(P201&lt;'PlayerGrades+'!$AG$15,"D-",IF(P201&lt;'PlayerGrades+'!$AG$14,"D",IF(P201&lt;'PlayerGrades+'!$AG$13,"D+",IF(P201&lt;'PlayerGrades+'!$AG$12,"C-",IF(P201&lt;'PlayerGrades+'!$AG$11,"C",IF(P201&lt;'PlayerGrades+'!$AG$10,"C+",IF(P201&lt;'PlayerGrades+'!$AG$9,"B-",IF(P201&lt;'PlayerGrades+'!$AG$8,"B",IF(P201&lt;'PlayerGrades+'!$AG$7,"B+",IF(P201&lt;'PlayerGrades+'!$AG$6,"A-",IF(P201&lt;'PlayerGrades+'!$AG$5,"A",IF(P201&lt;'PlayerGrades+'!$AG$4,"A+",IF(P201&lt;'PlayerGrades+'!$AG$3,"S-",IF(P201&lt;'PlayerGrades+'!$AG$2,"S","S+"))))))))))))))))))))</f>
        <v>F</v>
      </c>
      <c r="R201" s="937">
        <f t="shared" si="8"/>
        <v>0.3222918532</v>
      </c>
      <c r="S201" s="937" t="str">
        <f>IF(R201&lt;'PlayerGrades+'!$AH$21,"F-",IF(R201&lt;'PlayerGrades+'!$AH$20,"F",IF(R201&lt;'PlayerGrades+'!$AH$19,"F+",IF(R201&lt;'PlayerGrades+'!$AH$18,"E-",IF(R201&lt;'PlayerGrades+'!$AH$17,"E",IF(R201&lt;'PlayerGrades+'!$AH$16,"E+",IF(R201&lt;'PlayerGrades+'!$AH$15,"D-",IF(R201&lt;'PlayerGrades+'!$AH$14,"D",IF(R201&lt;'PlayerGrades+'!$AH$13,"D+",IF(R201&lt;'PlayerGrades+'!$AH$12,"C-",IF(R201&lt;'PlayerGrades+'!$AH$11,"C",IF(R201&lt;'PlayerGrades+'!$AH$10,"C+",IF(R201&lt;'PlayerGrades+'!$AH$9,"B-",IF(R201&lt;'PlayerGrades+'!$AH$8,"B",IF(R201&lt;'PlayerGrades+'!$AH$7,"B+",IF(R201&lt;'PlayerGrades+'!$AH$6,"A-",IF(R201&lt;'PlayerGrades+'!$AH$5,"A",IF(R201&lt;'PlayerGrades+'!$AH$4,"A+",IF(R201&lt;'PlayerGrades+'!$AH$3,"S-",IF(R201&lt;'PlayerGrades+'!$AH$2,"S","S+"))))))))))))))))))))</f>
        <v>F</v>
      </c>
      <c r="T201" s="937">
        <f t="shared" si="9"/>
        <v>2.752014324</v>
      </c>
      <c r="U201" s="937" t="str">
        <f>IF(T201&lt;'PlayerGrades+'!$AI$21,"F-",IF(T201&lt;'PlayerGrades+'!$AI$20,"F",IF(T201&lt;'PlayerGrades+'!$AI$19,"F+",IF(T201&lt;'PlayerGrades+'!$AI$18,"E-",IF(T201&lt;'PlayerGrades+'!$AI$17,"E",IF(T201&lt;'PlayerGrades+'!$AI$16,"E+",IF(T201&lt;'PlayerGrades+'!$AI$15,"D-",IF(T201&lt;'PlayerGrades+'!$AI$14,"D",IF(T201&lt;'PlayerGrades+'!$AI$13,"D+",IF(T201&lt;'PlayerGrades+'!$AI$12,"C-",IF(T201&lt;'PlayerGrades+'!$AI$11,"C",IF(T201&lt;'PlayerGrades+'!$AI$10,"C+",IF(T201&lt;'PlayerGrades+'!$AI$9,"B-",IF(T201&lt;'PlayerGrades+'!$AI$8,"B",IF(T201&lt;'PlayerGrades+'!$AI$7,"B+",IF(T201&lt;'PlayerGrades+'!$AI$6,"A-",IF(T201&lt;'PlayerGrades+'!$AI$5,"A",IF(T201&lt;'PlayerGrades+'!$AI$4,"A+",IF(T201&lt;'PlayerGrades+'!$AI$3,"S-",IF(T201&lt;'PlayerGrades+'!$AI$2,"S","S+"))))))))))))))))))))</f>
        <v>S+</v>
      </c>
      <c r="V201" s="944">
        <v>1.0</v>
      </c>
      <c r="W201" s="944">
        <v>0.0</v>
      </c>
      <c r="X201" s="944">
        <v>1.0</v>
      </c>
      <c r="Y201" s="944">
        <v>0.0</v>
      </c>
      <c r="Z201" s="944">
        <v>1.0</v>
      </c>
      <c r="AA201" s="944">
        <v>70.0</v>
      </c>
      <c r="AB201" s="944">
        <v>86.0</v>
      </c>
      <c r="AC201" s="944">
        <v>-16.0</v>
      </c>
      <c r="AD201" s="944">
        <v>3.0</v>
      </c>
      <c r="AE201" s="944">
        <v>4.0</v>
      </c>
      <c r="AF201" s="944">
        <v>0.0</v>
      </c>
      <c r="AG201" s="944">
        <v>767.0</v>
      </c>
      <c r="AH201" s="944">
        <v>1117.0</v>
      </c>
      <c r="AI201" s="944">
        <v>8.0</v>
      </c>
      <c r="AJ201" s="944">
        <v>0.0</v>
      </c>
      <c r="AK201" s="944">
        <v>0.0</v>
      </c>
      <c r="AL201" s="944">
        <v>0.0</v>
      </c>
      <c r="AM201" s="944">
        <v>0.0</v>
      </c>
      <c r="AN201" s="944">
        <v>0.0</v>
      </c>
      <c r="AO201" s="944">
        <v>0.0</v>
      </c>
      <c r="AP201" s="944">
        <v>0.0</v>
      </c>
      <c r="AQ201" s="944">
        <v>0.0</v>
      </c>
      <c r="AR201" s="944">
        <v>11.0</v>
      </c>
      <c r="AS201" s="944">
        <v>2.0</v>
      </c>
      <c r="AT201" s="944">
        <v>0.0</v>
      </c>
      <c r="AU201" s="944">
        <v>0.0</v>
      </c>
      <c r="AV201" s="944">
        <v>0.0</v>
      </c>
      <c r="AW201" s="944">
        <v>0.0</v>
      </c>
      <c r="AX201" s="944">
        <v>0.0</v>
      </c>
      <c r="AY201" s="944">
        <v>0.0</v>
      </c>
      <c r="AZ201" s="944">
        <v>0.0</v>
      </c>
      <c r="BA201" s="944">
        <v>0.0</v>
      </c>
      <c r="BB201" s="944">
        <v>1.0</v>
      </c>
      <c r="BC201" s="944">
        <v>0.0</v>
      </c>
      <c r="BD201" s="944">
        <v>3.0</v>
      </c>
      <c r="BE201" s="944">
        <v>14.0</v>
      </c>
      <c r="BF201" s="944">
        <v>2.0</v>
      </c>
      <c r="BG201" s="945">
        <v>0.0</v>
      </c>
    </row>
    <row r="202">
      <c r="A202" s="946" t="s">
        <v>149</v>
      </c>
      <c r="B202" s="16" t="str">
        <f>IF(C202&lt;'PlayerGrades+'!$Y$44,"F-",IF(C202&lt;'PlayerGrades+'!$Y$43,"F",IF(C202&lt;'PlayerGrades+'!$Y$42,"F+",IF(C202&lt;'PlayerGrades+'!$Y$41,"E-",IF(C202&lt;'PlayerGrades+'!$Y$40,"E",IF(C202&lt;'PlayerGrades+'!$Y$39,"E+",IF(C202&lt;'PlayerGrades+'!$Y$38,"D-",IF(C202&lt;'PlayerGrades+'!$Y$37,"D",IF(C202&lt;'PlayerGrades+'!$Y$36,"D+",IF(C202&lt;'PlayerGrades+'!$Y$35,"C-",IF(C202&lt;'PlayerGrades+'!$Y$34,"C",IF(C202&lt;'PlayerGrades+'!$Y$33,"C+",IF(C202&lt;'PlayerGrades+'!$Y$32,"B-",IF(C202&lt;'PlayerGrades+'!$Y$31,"B",IF(C202&lt;'PlayerGrades+'!$Y$30,"B+",IF(C202&lt;'PlayerGrades+'!$Y$29,"A-",IF(C202&lt;'PlayerGrades+'!$Y$28,"A",IF(C202&lt;'PlayerGrades+'!$Y$27,"A+",IF(C202&lt;'PlayerGrades+'!$Y$26,"S-",IF(C202&lt;'PlayerGrades+'!$Y$25,"S","S+"))))))))))))))))))))</f>
        <v>A</v>
      </c>
      <c r="C202" s="936">
        <f>('PlayerGrades+'!$Y$47*(VLOOKUP(E202, 'PlayerGrades+'!$X$3:$Y$23, 2, FALSE)))+('PlayerGrades+'!$Y$48*(VLOOKUP(G202, 'PlayerGrades+'!$X$3:$Y$23, 2, FALSE)))+('PlayerGrades+'!$Y$49*(VLOOKUP(I202, 'PlayerGrades+'!$X$3:$Y$23, 2, FALSE)))+('PlayerGrades+'!$Y$50*(VLOOKUP(K202, 'PlayerGrades+'!$X$3:$Y$23, 2, FALSE)))+('PlayerGrades+'!$Y$51*(VLOOKUP(M202, 'PlayerGrades+'!$X$3:$Y$23, 2, FALSE)))+('PlayerGrades+'!$Y$52*(VLOOKUP(O202, 'PlayerGrades+'!$X$3:$Y$23, 2, FALSE)))+('PlayerGrades+'!$Y$53*(VLOOKUP(Q202, 'PlayerGrades+'!$X$3:$Y$23, 2, FALSE)))+('PlayerGrades+'!$Y$54*(VLOOKUP(S202, 'PlayerGrades+'!$X$3:$Y$23, 2, FALSE)))+('PlayerGrades+'!$Y$55*(VLOOKUP(U202, 'PlayerGrades+'!$X$3:$Y$23, 2, FALSE)))</f>
        <v>26.9</v>
      </c>
      <c r="D202" s="937">
        <f t="shared" si="1"/>
        <v>0.4421052632</v>
      </c>
      <c r="E202" s="937" t="str">
        <f>IF(D202&lt;'PlayerGrades+'!$AA$21,"F-",IF(D202&lt;'PlayerGrades+'!$AA$20,"F",IF(D202&lt;'PlayerGrades+'!$AA$19,"F+",IF(D202&lt;'PlayerGrades+'!$AA$18,"E-",IF(D202&lt;'PlayerGrades+'!$AA$17,"E",IF(D202&lt;'PlayerGrades+'!$AA$16,"E+",IF(D202&lt;'PlayerGrades+'!$AA$15,"D-",IF(D202&lt;'PlayerGrades+'!$AA$14,"D",IF(D202&lt;'PlayerGrades+'!$AA$13,"D+",IF(D202&lt;'PlayerGrades+'!$AA$12,"C-",IF(D202&lt;'PlayerGrades+'!$AA$11,"C",IF(D202&lt;'PlayerGrades+'!$AA$10,"C+",IF(D202&lt;'PlayerGrades+'!$AA$9,"B-",IF(D202&lt;'PlayerGrades+'!$AA$8,"B",IF(D202&lt;'PlayerGrades+'!$AA$7,"B+",IF(D202&lt;'PlayerGrades+'!$AA$6,"A-",IF(D202&lt;'PlayerGrades+'!$AA$5,"A",IF(D202&lt;'PlayerGrades+'!$AA$4,"A+",IF(D202&lt;'PlayerGrades+'!$AA$3,"S-",IF(D202&lt;'PlayerGrades+'!$AA$2,"S","S+"))))))))))))))))))))</f>
        <v>A+</v>
      </c>
      <c r="F202" s="937">
        <f t="shared" si="2"/>
        <v>0.9473684211</v>
      </c>
      <c r="G202" s="937" t="str">
        <f>IF(F202&lt;'PlayerGrades+'!$AB$21,"F-",IF(F202&lt;'PlayerGrades+'!$AB$20,"F",IF(F202&lt;'PlayerGrades+'!$AB$19,"F+",IF(F202&lt;'PlayerGrades+'!$AB$18,"E-",IF(F202&lt;'PlayerGrades+'!$AB$17,"E",IF(F202&lt;'PlayerGrades+'!$AB$16,"E+",IF(F202&lt;'PlayerGrades+'!$AB$15,"D-",IF(F202&lt;'PlayerGrades+'!$AB$14,"D",IF(F202&lt;'PlayerGrades+'!$AB$13,"D+",IF(F202&lt;'PlayerGrades+'!$AB$12,"C-",IF(F202&lt;'PlayerGrades+'!$AB$11,"C",IF(F202&lt;'PlayerGrades+'!$AB$10,"C+",IF(F202&lt;'PlayerGrades+'!$AB$9,"B-",IF(F202&lt;'PlayerGrades+'!$AB$8,"B",IF(F202&lt;'PlayerGrades+'!$AB$7,"B+",IF(F202&lt;'PlayerGrades+'!$AB$6,"A-",IF(F202&lt;'PlayerGrades+'!$AB$5,"A",IF(F202&lt;'PlayerGrades+'!$AB$4,"A+",IF(F202&lt;'PlayerGrades+'!$AB$3,"S-",IF(F202&lt;'PlayerGrades+'!$AB$2,"S","S+"))))))))))))))))))))</f>
        <v>S+</v>
      </c>
      <c r="H202" s="937">
        <f t="shared" si="3"/>
        <v>0</v>
      </c>
      <c r="I202" s="937" t="str">
        <f>IF(H202&lt;'PlayerGrades+'!$AC$21,"F-",IF(H202&lt;'PlayerGrades+'!$AC$20,"F",IF(H202&lt;'PlayerGrades+'!$AC$19,"F+",IF(H202&lt;'PlayerGrades+'!$AC$18,"E-",IF(H202&lt;'PlayerGrades+'!$AC$17,"E",IF(H202&lt;'PlayerGrades+'!$AC$16,"E+",IF(H202&lt;'PlayerGrades+'!$AC$15,"D-",IF(H202&lt;'PlayerGrades+'!$AC$14,"D",IF(H202&lt;'PlayerGrades+'!$AC$13,"D+",IF(H202&lt;'PlayerGrades+'!$AC$12,"C-",IF(H202&lt;'PlayerGrades+'!$AC$11,"C",IF(H202&lt;'PlayerGrades+'!$AC$10,"C+",IF(H202&lt;'PlayerGrades+'!$AC$9,"B-",IF(H202&lt;'PlayerGrades+'!$AC$8,"B",IF(H202&lt;'PlayerGrades+'!$AC$7,"B+",IF(H202&lt;'PlayerGrades+'!$AC$6,"A-",IF(H202&lt;'PlayerGrades+'!$AC$5,"A",IF(H202&lt;'PlayerGrades+'!$AC$4,"A+",IF(H202&lt;'PlayerGrades+'!$AC$3,"S-",IF(H202&lt;'PlayerGrades+'!$AC$2,"S","S+"))))))))))))))))))))</f>
        <v>F-</v>
      </c>
      <c r="J202" s="937">
        <f t="shared" si="4"/>
        <v>0.1894736842</v>
      </c>
      <c r="K202" s="937" t="str">
        <f>IF(J202&lt;'PlayerGrades+'!$AD$21,"F-",IF(J202&lt;'PlayerGrades+'!$AD$20,"F",IF(J202&lt;'PlayerGrades+'!$AD$19,"F+",IF(J202&lt;'PlayerGrades+'!$AD$18,"E-",IF(J202&lt;'PlayerGrades+'!$AD$17,"E",IF(J202&lt;'PlayerGrades+'!$AD$16,"E+",IF(J202&lt;'PlayerGrades+'!$AD$15,"D-",IF(J202&lt;'PlayerGrades+'!$AD$14,"D",IF(J202&lt;'PlayerGrades+'!$AD$13,"D+",IF(J202&lt;'PlayerGrades+'!$AD$12,"C-",IF(J202&lt;'PlayerGrades+'!$AD$11,"C",IF(J202&lt;'PlayerGrades+'!$AD$10,"C+",IF(J202&lt;'PlayerGrades+'!$AD$9,"B-",IF(J202&lt;'PlayerGrades+'!$AD$8,"B",IF(J202&lt;'PlayerGrades+'!$AD$7,"B+",IF(J202&lt;'PlayerGrades+'!$AD$6,"A-",IF(J202&lt;'PlayerGrades+'!$AD$5,"A",IF(J202&lt;'PlayerGrades+'!$AD$4,"A+",IF(J202&lt;'PlayerGrades+'!$AD$3,"S-",IF(J202&lt;'PlayerGrades+'!$AD$2,"S","S+"))))))))))))))))))))</f>
        <v>S+</v>
      </c>
      <c r="L202" s="677">
        <f t="shared" si="5"/>
        <v>0.3157894737</v>
      </c>
      <c r="M202" s="938" t="str">
        <f>IF(L202&lt;'PlayerGrades+'!$AE$21,"F-",IF(L202&lt;'PlayerGrades+'!$AE$20,"F",IF(L202&lt;'PlayerGrades+'!$AE$19,"F+",IF(L202&lt;'PlayerGrades+'!$AE$18,"E-",IF(L202&lt;'PlayerGrades+'!$AE$17,"E",IF(L202&lt;'PlayerGrades+'!$AE$16,"E+",IF(L202&lt;'PlayerGrades+'!$AE$15,"D-",IF(L202&lt;'PlayerGrades+'!$AE$14,"D",IF(L202&lt;'PlayerGrades+'!$AE$13,"D+",IF(L202&lt;'PlayerGrades+'!$AE$12,"C-",IF(L202&lt;'PlayerGrades+'!$AE$11,"C",IF(L202&lt;'PlayerGrades+'!$AE$10,"C+",IF(L202&lt;'PlayerGrades+'!$AE$9,"B-",IF(L202&lt;'PlayerGrades+'!$AE$8,"B",IF(L202&lt;'PlayerGrades+'!$AE$7,"B+",IF(L202&lt;'PlayerGrades+'!$AE$6,"A-",IF(L202&lt;'PlayerGrades+'!$AE$5,"A",IF(L202&lt;'PlayerGrades+'!$AE$4,"A+",IF(L202&lt;'PlayerGrades+'!$AE$3,"S-",IF(L202&lt;'PlayerGrades+'!$AE$2,"S","S+"))))))))))))))))))))</f>
        <v>E</v>
      </c>
      <c r="N202" s="937">
        <f t="shared" si="6"/>
        <v>0.1263157895</v>
      </c>
      <c r="O202" s="937" t="str">
        <f>IF(N202&lt;'PlayerGrades+'!$AF$21,"F-",IF(N202&lt;'PlayerGrades+'!$AF$20,"F",IF(N202&lt;'PlayerGrades+'!$AF$19,"F+",IF(N202&lt;'PlayerGrades+'!$AF$18,"E-",IF(N202&lt;'PlayerGrades+'!$AF$17,"E",IF(N202&lt;'PlayerGrades+'!$AF$16,"E+",IF(N202&lt;'PlayerGrades+'!$AF$15,"D-",IF(N202&lt;'PlayerGrades+'!$AF$14,"D",IF(N202&lt;'PlayerGrades+'!$AF$13,"D+",IF(N202&lt;'PlayerGrades+'!$AF$12,"C-",IF(N202&lt;'PlayerGrades+'!$AF$11,"C",IF(N202&lt;'PlayerGrades+'!$AF$10,"C+",IF(N202&lt;'PlayerGrades+'!$AF$9,"B-",IF(N202&lt;'PlayerGrades+'!$AF$8,"B",IF(N202&lt;'PlayerGrades+'!$AF$7,"B+",IF(N202&lt;'PlayerGrades+'!$AF$6,"A-",IF(N202&lt;'PlayerGrades+'!$AF$5,"A",IF(N202&lt;'PlayerGrades+'!$AF$4,"A+",IF(N202&lt;'PlayerGrades+'!$AF$3,"S-",IF(N202&lt;'PlayerGrades+'!$AF$2,"S","S+"))))))))))))))))))))</f>
        <v>S</v>
      </c>
      <c r="P202" s="937">
        <f t="shared" si="7"/>
        <v>0.1894736842</v>
      </c>
      <c r="Q202" s="937" t="str">
        <f>IF(P202&lt;'PlayerGrades+'!$AG$21,"F-",IF(P202&lt;'PlayerGrades+'!$AG$20,"F",IF(P202&lt;'PlayerGrades+'!$AG$19,"F+",IF(P202&lt;'PlayerGrades+'!$AG$18,"E-",IF(P202&lt;'PlayerGrades+'!$AG$17,"E",IF(P202&lt;'PlayerGrades+'!$AG$16,"E+",IF(P202&lt;'PlayerGrades+'!$AG$15,"D-",IF(P202&lt;'PlayerGrades+'!$AG$14,"D",IF(P202&lt;'PlayerGrades+'!$AG$13,"D+",IF(P202&lt;'PlayerGrades+'!$AG$12,"C-",IF(P202&lt;'PlayerGrades+'!$AG$11,"C",IF(P202&lt;'PlayerGrades+'!$AG$10,"C+",IF(P202&lt;'PlayerGrades+'!$AG$9,"B-",IF(P202&lt;'PlayerGrades+'!$AG$8,"B",IF(P202&lt;'PlayerGrades+'!$AG$7,"B+",IF(P202&lt;'PlayerGrades+'!$AG$6,"A-",IF(P202&lt;'PlayerGrades+'!$AG$5,"A",IF(P202&lt;'PlayerGrades+'!$AG$4,"A+",IF(P202&lt;'PlayerGrades+'!$AG$3,"S-",IF(P202&lt;'PlayerGrades+'!$AG$2,"S","S+"))))))))))))))))))))</f>
        <v>S+</v>
      </c>
      <c r="R202" s="937">
        <f t="shared" si="8"/>
        <v>0.5684210526</v>
      </c>
      <c r="S202" s="937" t="str">
        <f>IF(R202&lt;'PlayerGrades+'!$AH$21,"F-",IF(R202&lt;'PlayerGrades+'!$AH$20,"F",IF(R202&lt;'PlayerGrades+'!$AH$19,"F+",IF(R202&lt;'PlayerGrades+'!$AH$18,"E-",IF(R202&lt;'PlayerGrades+'!$AH$17,"E",IF(R202&lt;'PlayerGrades+'!$AH$16,"E+",IF(R202&lt;'PlayerGrades+'!$AH$15,"D-",IF(R202&lt;'PlayerGrades+'!$AH$14,"D",IF(R202&lt;'PlayerGrades+'!$AH$13,"D+",IF(R202&lt;'PlayerGrades+'!$AH$12,"C-",IF(R202&lt;'PlayerGrades+'!$AH$11,"C",IF(R202&lt;'PlayerGrades+'!$AH$10,"C+",IF(R202&lt;'PlayerGrades+'!$AH$9,"B-",IF(R202&lt;'PlayerGrades+'!$AH$8,"B",IF(R202&lt;'PlayerGrades+'!$AH$7,"B+",IF(R202&lt;'PlayerGrades+'!$AH$6,"A-",IF(R202&lt;'PlayerGrades+'!$AH$5,"A",IF(R202&lt;'PlayerGrades+'!$AH$4,"A+",IF(R202&lt;'PlayerGrades+'!$AH$3,"S-",IF(R202&lt;'PlayerGrades+'!$AH$2,"S","S+"))))))))))))))))))))</f>
        <v>B-</v>
      </c>
      <c r="T202" s="937">
        <f t="shared" si="9"/>
        <v>1.505263158</v>
      </c>
      <c r="U202" s="937" t="str">
        <f>IF(T202&lt;'PlayerGrades+'!$AI$21,"F-",IF(T202&lt;'PlayerGrades+'!$AI$20,"F",IF(T202&lt;'PlayerGrades+'!$AI$19,"F+",IF(T202&lt;'PlayerGrades+'!$AI$18,"E-",IF(T202&lt;'PlayerGrades+'!$AI$17,"E",IF(T202&lt;'PlayerGrades+'!$AI$16,"E+",IF(T202&lt;'PlayerGrades+'!$AI$15,"D-",IF(T202&lt;'PlayerGrades+'!$AI$14,"D",IF(T202&lt;'PlayerGrades+'!$AI$13,"D+",IF(T202&lt;'PlayerGrades+'!$AI$12,"C-",IF(T202&lt;'PlayerGrades+'!$AI$11,"C",IF(T202&lt;'PlayerGrades+'!$AI$10,"C+",IF(T202&lt;'PlayerGrades+'!$AI$9,"B-",IF(T202&lt;'PlayerGrades+'!$AI$8,"B",IF(T202&lt;'PlayerGrades+'!$AI$7,"B+",IF(T202&lt;'PlayerGrades+'!$AI$6,"A-",IF(T202&lt;'PlayerGrades+'!$AI$5,"A",IF(T202&lt;'PlayerGrades+'!$AI$4,"A+",IF(T202&lt;'PlayerGrades+'!$AI$3,"S-",IF(T202&lt;'PlayerGrades+'!$AI$2,"S","S+"))))))))))))))))))))</f>
        <v>A</v>
      </c>
      <c r="V202" s="939">
        <v>1.0</v>
      </c>
      <c r="W202" s="939">
        <v>1.0</v>
      </c>
      <c r="X202" s="939">
        <v>0.0</v>
      </c>
      <c r="Y202" s="939">
        <v>4.0</v>
      </c>
      <c r="Z202" s="939">
        <v>3.0</v>
      </c>
      <c r="AA202" s="939">
        <v>41.0</v>
      </c>
      <c r="AB202" s="939">
        <v>26.0</v>
      </c>
      <c r="AC202" s="939">
        <v>15.0</v>
      </c>
      <c r="AD202" s="939">
        <v>0.0</v>
      </c>
      <c r="AE202" s="939">
        <v>6.0</v>
      </c>
      <c r="AF202" s="939">
        <v>0.0</v>
      </c>
      <c r="AG202" s="939">
        <v>775.0</v>
      </c>
      <c r="AH202" s="939">
        <v>950.0</v>
      </c>
      <c r="AI202" s="939">
        <v>29.0</v>
      </c>
      <c r="AJ202" s="939">
        <v>261.0</v>
      </c>
      <c r="AK202" s="939">
        <v>0.0</v>
      </c>
      <c r="AL202" s="939">
        <v>3.0</v>
      </c>
      <c r="AM202" s="939">
        <v>0.0</v>
      </c>
      <c r="AN202" s="939">
        <v>0.0</v>
      </c>
      <c r="AO202" s="939">
        <v>0.0</v>
      </c>
      <c r="AP202" s="939">
        <v>3.0</v>
      </c>
      <c r="AQ202" s="939">
        <v>0.0</v>
      </c>
      <c r="AR202" s="939">
        <v>5.0</v>
      </c>
      <c r="AS202" s="939">
        <v>2.0</v>
      </c>
      <c r="AT202" s="939">
        <v>1.0</v>
      </c>
      <c r="AU202" s="939">
        <v>0.0</v>
      </c>
      <c r="AV202" s="939">
        <v>0.0</v>
      </c>
      <c r="AW202" s="939">
        <v>0.0</v>
      </c>
      <c r="AX202" s="939">
        <v>0.0</v>
      </c>
      <c r="AY202" s="939">
        <v>0.0</v>
      </c>
      <c r="AZ202" s="939">
        <v>0.0</v>
      </c>
      <c r="BA202" s="939">
        <v>0.0</v>
      </c>
      <c r="BB202" s="939">
        <v>0.0</v>
      </c>
      <c r="BC202" s="939">
        <v>0.0</v>
      </c>
      <c r="BD202" s="939">
        <v>9.0</v>
      </c>
      <c r="BE202" s="939">
        <v>8.0</v>
      </c>
      <c r="BF202" s="939">
        <v>1.0</v>
      </c>
      <c r="BG202" s="940">
        <v>1.0</v>
      </c>
    </row>
    <row r="203">
      <c r="A203" s="935" t="s">
        <v>138</v>
      </c>
      <c r="B203" s="16" t="str">
        <f>IF(C203&lt;'PlayerGrades+'!$Y$44,"F-",IF(C203&lt;'PlayerGrades+'!$Y$43,"F",IF(C203&lt;'PlayerGrades+'!$Y$42,"F+",IF(C203&lt;'PlayerGrades+'!$Y$41,"E-",IF(C203&lt;'PlayerGrades+'!$Y$40,"E",IF(C203&lt;'PlayerGrades+'!$Y$39,"E+",IF(C203&lt;'PlayerGrades+'!$Y$38,"D-",IF(C203&lt;'PlayerGrades+'!$Y$37,"D",IF(C203&lt;'PlayerGrades+'!$Y$36,"D+",IF(C203&lt;'PlayerGrades+'!$Y$35,"C-",IF(C203&lt;'PlayerGrades+'!$Y$34,"C",IF(C203&lt;'PlayerGrades+'!$Y$33,"C+",IF(C203&lt;'PlayerGrades+'!$Y$32,"B-",IF(C203&lt;'PlayerGrades+'!$Y$31,"B",IF(C203&lt;'PlayerGrades+'!$Y$30,"B+",IF(C203&lt;'PlayerGrades+'!$Y$29,"A-",IF(C203&lt;'PlayerGrades+'!$Y$28,"A",IF(C203&lt;'PlayerGrades+'!$Y$27,"A+",IF(C203&lt;'PlayerGrades+'!$Y$26,"S-",IF(C203&lt;'PlayerGrades+'!$Y$25,"S","S+"))))))))))))))))))))</f>
        <v>S</v>
      </c>
      <c r="C203" s="936">
        <f>('PlayerGrades+'!$Y$47*(VLOOKUP(E203, 'PlayerGrades+'!$X$3:$Y$23, 2, FALSE)))+('PlayerGrades+'!$Y$48*(VLOOKUP(G203, 'PlayerGrades+'!$X$3:$Y$23, 2, FALSE)))+('PlayerGrades+'!$Y$49*(VLOOKUP(I203, 'PlayerGrades+'!$X$3:$Y$23, 2, FALSE)))+('PlayerGrades+'!$Y$50*(VLOOKUP(K203, 'PlayerGrades+'!$X$3:$Y$23, 2, FALSE)))+('PlayerGrades+'!$Y$51*(VLOOKUP(M203, 'PlayerGrades+'!$X$3:$Y$23, 2, FALSE)))+('PlayerGrades+'!$Y$52*(VLOOKUP(O203, 'PlayerGrades+'!$X$3:$Y$23, 2, FALSE)))+('PlayerGrades+'!$Y$53*(VLOOKUP(Q203, 'PlayerGrades+'!$X$3:$Y$23, 2, FALSE)))+('PlayerGrades+'!$Y$54*(VLOOKUP(S203, 'PlayerGrades+'!$X$3:$Y$23, 2, FALSE)))+('PlayerGrades+'!$Y$55*(VLOOKUP(U203, 'PlayerGrades+'!$X$3:$Y$23, 2, FALSE)))</f>
        <v>31.75</v>
      </c>
      <c r="D203" s="937">
        <f t="shared" si="1"/>
        <v>0.1263157895</v>
      </c>
      <c r="E203" s="937" t="str">
        <f>IF(D203&lt;'PlayerGrades+'!$AA$21,"F-",IF(D203&lt;'PlayerGrades+'!$AA$20,"F",IF(D203&lt;'PlayerGrades+'!$AA$19,"F+",IF(D203&lt;'PlayerGrades+'!$AA$18,"E-",IF(D203&lt;'PlayerGrades+'!$AA$17,"E",IF(D203&lt;'PlayerGrades+'!$AA$16,"E+",IF(D203&lt;'PlayerGrades+'!$AA$15,"D-",IF(D203&lt;'PlayerGrades+'!$AA$14,"D",IF(D203&lt;'PlayerGrades+'!$AA$13,"D+",IF(D203&lt;'PlayerGrades+'!$AA$12,"C-",IF(D203&lt;'PlayerGrades+'!$AA$11,"C",IF(D203&lt;'PlayerGrades+'!$AA$10,"C+",IF(D203&lt;'PlayerGrades+'!$AA$9,"B-",IF(D203&lt;'PlayerGrades+'!$AA$8,"B",IF(D203&lt;'PlayerGrades+'!$AA$7,"B+",IF(D203&lt;'PlayerGrades+'!$AA$6,"A-",IF(D203&lt;'PlayerGrades+'!$AA$5,"A",IF(D203&lt;'PlayerGrades+'!$AA$4,"A+",IF(D203&lt;'PlayerGrades+'!$AA$3,"S-",IF(D203&lt;'PlayerGrades+'!$AA$2,"S","S+"))))))))))))))))))))</f>
        <v>B</v>
      </c>
      <c r="F203" s="937">
        <f t="shared" si="2"/>
        <v>0.8210526316</v>
      </c>
      <c r="G203" s="937" t="str">
        <f>IF(F203&lt;'PlayerGrades+'!$AB$21,"F-",IF(F203&lt;'PlayerGrades+'!$AB$20,"F",IF(F203&lt;'PlayerGrades+'!$AB$19,"F+",IF(F203&lt;'PlayerGrades+'!$AB$18,"E-",IF(F203&lt;'PlayerGrades+'!$AB$17,"E",IF(F203&lt;'PlayerGrades+'!$AB$16,"E+",IF(F203&lt;'PlayerGrades+'!$AB$15,"D-",IF(F203&lt;'PlayerGrades+'!$AB$14,"D",IF(F203&lt;'PlayerGrades+'!$AB$13,"D+",IF(F203&lt;'PlayerGrades+'!$AB$12,"C-",IF(F203&lt;'PlayerGrades+'!$AB$11,"C",IF(F203&lt;'PlayerGrades+'!$AB$10,"C+",IF(F203&lt;'PlayerGrades+'!$AB$9,"B-",IF(F203&lt;'PlayerGrades+'!$AB$8,"B",IF(F203&lt;'PlayerGrades+'!$AB$7,"B+",IF(F203&lt;'PlayerGrades+'!$AB$6,"A-",IF(F203&lt;'PlayerGrades+'!$AB$5,"A",IF(F203&lt;'PlayerGrades+'!$AB$4,"A+",IF(F203&lt;'PlayerGrades+'!$AB$3,"S-",IF(F203&lt;'PlayerGrades+'!$AB$2,"S","S+"))))))))))))))))))))</f>
        <v>S</v>
      </c>
      <c r="H203" s="937">
        <f t="shared" si="3"/>
        <v>0.2526315789</v>
      </c>
      <c r="I203" s="937" t="str">
        <f>IF(H203&lt;'PlayerGrades+'!$AC$21,"F-",IF(H203&lt;'PlayerGrades+'!$AC$20,"F",IF(H203&lt;'PlayerGrades+'!$AC$19,"F+",IF(H203&lt;'PlayerGrades+'!$AC$18,"E-",IF(H203&lt;'PlayerGrades+'!$AC$17,"E",IF(H203&lt;'PlayerGrades+'!$AC$16,"E+",IF(H203&lt;'PlayerGrades+'!$AC$15,"D-",IF(H203&lt;'PlayerGrades+'!$AC$14,"D",IF(H203&lt;'PlayerGrades+'!$AC$13,"D+",IF(H203&lt;'PlayerGrades+'!$AC$12,"C-",IF(H203&lt;'PlayerGrades+'!$AC$11,"C",IF(H203&lt;'PlayerGrades+'!$AC$10,"C+",IF(H203&lt;'PlayerGrades+'!$AC$9,"B-",IF(H203&lt;'PlayerGrades+'!$AC$8,"B",IF(H203&lt;'PlayerGrades+'!$AC$7,"B+",IF(H203&lt;'PlayerGrades+'!$AC$6,"A-",IF(H203&lt;'PlayerGrades+'!$AC$5,"A",IF(H203&lt;'PlayerGrades+'!$AC$4,"A+",IF(H203&lt;'PlayerGrades+'!$AC$3,"S-",IF(H203&lt;'PlayerGrades+'!$AC$2,"S","S+"))))))))))))))))))))</f>
        <v>S</v>
      </c>
      <c r="J203" s="937">
        <f t="shared" si="4"/>
        <v>0.06315789474</v>
      </c>
      <c r="K203" s="937" t="str">
        <f>IF(J203&lt;'PlayerGrades+'!$AD$21,"F-",IF(J203&lt;'PlayerGrades+'!$AD$20,"F",IF(J203&lt;'PlayerGrades+'!$AD$19,"F+",IF(J203&lt;'PlayerGrades+'!$AD$18,"E-",IF(J203&lt;'PlayerGrades+'!$AD$17,"E",IF(J203&lt;'PlayerGrades+'!$AD$16,"E+",IF(J203&lt;'PlayerGrades+'!$AD$15,"D-",IF(J203&lt;'PlayerGrades+'!$AD$14,"D",IF(J203&lt;'PlayerGrades+'!$AD$13,"D+",IF(J203&lt;'PlayerGrades+'!$AD$12,"C-",IF(J203&lt;'PlayerGrades+'!$AD$11,"C",IF(J203&lt;'PlayerGrades+'!$AD$10,"C+",IF(J203&lt;'PlayerGrades+'!$AD$9,"B-",IF(J203&lt;'PlayerGrades+'!$AD$8,"B",IF(J203&lt;'PlayerGrades+'!$AD$7,"B+",IF(J203&lt;'PlayerGrades+'!$AD$6,"A-",IF(J203&lt;'PlayerGrades+'!$AD$5,"A",IF(J203&lt;'PlayerGrades+'!$AD$4,"A+",IF(J203&lt;'PlayerGrades+'!$AD$3,"S-",IF(J203&lt;'PlayerGrades+'!$AD$2,"S","S+"))))))))))))))))))))</f>
        <v>A-</v>
      </c>
      <c r="L203" s="677">
        <f t="shared" si="5"/>
        <v>0.7578947368</v>
      </c>
      <c r="M203" s="938" t="str">
        <f>IF(L203&lt;'PlayerGrades+'!$AE$21,"F-",IF(L203&lt;'PlayerGrades+'!$AE$20,"F",IF(L203&lt;'PlayerGrades+'!$AE$19,"F+",IF(L203&lt;'PlayerGrades+'!$AE$18,"E-",IF(L203&lt;'PlayerGrades+'!$AE$17,"E",IF(L203&lt;'PlayerGrades+'!$AE$16,"E+",IF(L203&lt;'PlayerGrades+'!$AE$15,"D-",IF(L203&lt;'PlayerGrades+'!$AE$14,"D",IF(L203&lt;'PlayerGrades+'!$AE$13,"D+",IF(L203&lt;'PlayerGrades+'!$AE$12,"C-",IF(L203&lt;'PlayerGrades+'!$AE$11,"C",IF(L203&lt;'PlayerGrades+'!$AE$10,"C+",IF(L203&lt;'PlayerGrades+'!$AE$9,"B-",IF(L203&lt;'PlayerGrades+'!$AE$8,"B",IF(L203&lt;'PlayerGrades+'!$AE$7,"B+",IF(L203&lt;'PlayerGrades+'!$AE$6,"A-",IF(L203&lt;'PlayerGrades+'!$AE$5,"A",IF(L203&lt;'PlayerGrades+'!$AE$4,"A+",IF(L203&lt;'PlayerGrades+'!$AE$3,"S-",IF(L203&lt;'PlayerGrades+'!$AE$2,"S","S+"))))))))))))))))))))</f>
        <v>S+</v>
      </c>
      <c r="N203" s="937">
        <f t="shared" si="6"/>
        <v>0.1894736842</v>
      </c>
      <c r="O203" s="937" t="str">
        <f>IF(N203&lt;'PlayerGrades+'!$AF$21,"F-",IF(N203&lt;'PlayerGrades+'!$AF$20,"F",IF(N203&lt;'PlayerGrades+'!$AF$19,"F+",IF(N203&lt;'PlayerGrades+'!$AF$18,"E-",IF(N203&lt;'PlayerGrades+'!$AF$17,"E",IF(N203&lt;'PlayerGrades+'!$AF$16,"E+",IF(N203&lt;'PlayerGrades+'!$AF$15,"D-",IF(N203&lt;'PlayerGrades+'!$AF$14,"D",IF(N203&lt;'PlayerGrades+'!$AF$13,"D+",IF(N203&lt;'PlayerGrades+'!$AF$12,"C-",IF(N203&lt;'PlayerGrades+'!$AF$11,"C",IF(N203&lt;'PlayerGrades+'!$AF$10,"C+",IF(N203&lt;'PlayerGrades+'!$AF$9,"B-",IF(N203&lt;'PlayerGrades+'!$AF$8,"B",IF(N203&lt;'PlayerGrades+'!$AF$7,"B+",IF(N203&lt;'PlayerGrades+'!$AF$6,"A-",IF(N203&lt;'PlayerGrades+'!$AF$5,"A",IF(N203&lt;'PlayerGrades+'!$AF$4,"A+",IF(N203&lt;'PlayerGrades+'!$AF$3,"S-",IF(N203&lt;'PlayerGrades+'!$AF$2,"S","S+"))))))))))))))))))))</f>
        <v>S+</v>
      </c>
      <c r="P203" s="937">
        <f t="shared" si="7"/>
        <v>0</v>
      </c>
      <c r="Q203" s="937" t="str">
        <f>IF(P203&lt;'PlayerGrades+'!$AG$21,"F-",IF(P203&lt;'PlayerGrades+'!$AG$20,"F",IF(P203&lt;'PlayerGrades+'!$AG$19,"F+",IF(P203&lt;'PlayerGrades+'!$AG$18,"E-",IF(P203&lt;'PlayerGrades+'!$AG$17,"E",IF(P203&lt;'PlayerGrades+'!$AG$16,"E+",IF(P203&lt;'PlayerGrades+'!$AG$15,"D-",IF(P203&lt;'PlayerGrades+'!$AG$14,"D",IF(P203&lt;'PlayerGrades+'!$AG$13,"D+",IF(P203&lt;'PlayerGrades+'!$AG$12,"C-",IF(P203&lt;'PlayerGrades+'!$AG$11,"C",IF(P203&lt;'PlayerGrades+'!$AG$10,"C+",IF(P203&lt;'PlayerGrades+'!$AG$9,"B-",IF(P203&lt;'PlayerGrades+'!$AG$8,"B",IF(P203&lt;'PlayerGrades+'!$AG$7,"B+",IF(P203&lt;'PlayerGrades+'!$AG$6,"A-",IF(P203&lt;'PlayerGrades+'!$AG$5,"A",IF(P203&lt;'PlayerGrades+'!$AG$4,"A+",IF(P203&lt;'PlayerGrades+'!$AG$3,"S-",IF(P203&lt;'PlayerGrades+'!$AG$2,"S","S+"))))))))))))))))))))</f>
        <v>F</v>
      </c>
      <c r="R203" s="937">
        <f t="shared" si="8"/>
        <v>0.6947368421</v>
      </c>
      <c r="S203" s="937" t="str">
        <f>IF(R203&lt;'PlayerGrades+'!$AH$21,"F-",IF(R203&lt;'PlayerGrades+'!$AH$20,"F",IF(R203&lt;'PlayerGrades+'!$AH$19,"F+",IF(R203&lt;'PlayerGrades+'!$AH$18,"E-",IF(R203&lt;'PlayerGrades+'!$AH$17,"E",IF(R203&lt;'PlayerGrades+'!$AH$16,"E+",IF(R203&lt;'PlayerGrades+'!$AH$15,"D-",IF(R203&lt;'PlayerGrades+'!$AH$14,"D",IF(R203&lt;'PlayerGrades+'!$AH$13,"D+",IF(R203&lt;'PlayerGrades+'!$AH$12,"C-",IF(R203&lt;'PlayerGrades+'!$AH$11,"C",IF(R203&lt;'PlayerGrades+'!$AH$10,"C+",IF(R203&lt;'PlayerGrades+'!$AH$9,"B-",IF(R203&lt;'PlayerGrades+'!$AH$8,"B",IF(R203&lt;'PlayerGrades+'!$AH$7,"B+",IF(R203&lt;'PlayerGrades+'!$AH$6,"A-",IF(R203&lt;'PlayerGrades+'!$AH$5,"A",IF(R203&lt;'PlayerGrades+'!$AH$4,"A+",IF(R203&lt;'PlayerGrades+'!$AH$3,"S-",IF(R203&lt;'PlayerGrades+'!$AH$2,"S","S+"))))))))))))))))))))</f>
        <v>S-</v>
      </c>
      <c r="T203" s="937">
        <f t="shared" si="9"/>
        <v>1.315789474</v>
      </c>
      <c r="U203" s="937" t="str">
        <f>IF(T203&lt;'PlayerGrades+'!$AI$21,"F-",IF(T203&lt;'PlayerGrades+'!$AI$20,"F",IF(T203&lt;'PlayerGrades+'!$AI$19,"F+",IF(T203&lt;'PlayerGrades+'!$AI$18,"E-",IF(T203&lt;'PlayerGrades+'!$AI$17,"E",IF(T203&lt;'PlayerGrades+'!$AI$16,"E+",IF(T203&lt;'PlayerGrades+'!$AI$15,"D-",IF(T203&lt;'PlayerGrades+'!$AI$14,"D",IF(T203&lt;'PlayerGrades+'!$AI$13,"D+",IF(T203&lt;'PlayerGrades+'!$AI$12,"C-",IF(T203&lt;'PlayerGrades+'!$AI$11,"C",IF(T203&lt;'PlayerGrades+'!$AI$10,"C+",IF(T203&lt;'PlayerGrades+'!$AI$9,"B-",IF(T203&lt;'PlayerGrades+'!$AI$8,"B",IF(T203&lt;'PlayerGrades+'!$AI$7,"B+",IF(T203&lt;'PlayerGrades+'!$AI$6,"A-",IF(T203&lt;'PlayerGrades+'!$AI$5,"A",IF(T203&lt;'PlayerGrades+'!$AI$4,"A+",IF(T203&lt;'PlayerGrades+'!$AI$3,"S-",IF(T203&lt;'PlayerGrades+'!$AI$2,"S","S+"))))))))))))))))))))</f>
        <v>C+</v>
      </c>
      <c r="V203" s="941">
        <v>1.0</v>
      </c>
      <c r="W203" s="941">
        <v>1.0</v>
      </c>
      <c r="X203" s="941">
        <v>0.0</v>
      </c>
      <c r="Y203" s="941">
        <v>1.0</v>
      </c>
      <c r="Z203" s="941">
        <v>1.0</v>
      </c>
      <c r="AA203" s="941">
        <v>55.0</v>
      </c>
      <c r="AB203" s="941">
        <v>42.0</v>
      </c>
      <c r="AC203" s="941">
        <v>13.0</v>
      </c>
      <c r="AD203" s="941">
        <v>7.0</v>
      </c>
      <c r="AE203" s="941">
        <v>5.0</v>
      </c>
      <c r="AF203" s="941">
        <v>1.0</v>
      </c>
      <c r="AG203" s="941">
        <v>725.0</v>
      </c>
      <c r="AH203" s="941">
        <v>950.0</v>
      </c>
      <c r="AI203" s="941">
        <v>17.0</v>
      </c>
      <c r="AJ203" s="941">
        <v>5.0</v>
      </c>
      <c r="AK203" s="941">
        <v>0.0</v>
      </c>
      <c r="AL203" s="941">
        <v>1.0</v>
      </c>
      <c r="AM203" s="941">
        <v>0.0</v>
      </c>
      <c r="AN203" s="941">
        <v>0.0</v>
      </c>
      <c r="AO203" s="941">
        <v>0.0</v>
      </c>
      <c r="AP203" s="941">
        <v>0.0</v>
      </c>
      <c r="AQ203" s="941">
        <v>0.0</v>
      </c>
      <c r="AR203" s="941">
        <v>12.0</v>
      </c>
      <c r="AS203" s="941">
        <v>3.0</v>
      </c>
      <c r="AT203" s="941">
        <v>2.0</v>
      </c>
      <c r="AU203" s="941">
        <v>0.0</v>
      </c>
      <c r="AV203" s="941">
        <v>0.0</v>
      </c>
      <c r="AW203" s="941">
        <v>0.0</v>
      </c>
      <c r="AX203" s="941">
        <v>0.0</v>
      </c>
      <c r="AY203" s="941">
        <v>0.0</v>
      </c>
      <c r="AZ203" s="941">
        <v>0.0</v>
      </c>
      <c r="BA203" s="941">
        <v>0.0</v>
      </c>
      <c r="BB203" s="941">
        <v>4.0</v>
      </c>
      <c r="BC203" s="941">
        <v>0.0</v>
      </c>
      <c r="BD203" s="941">
        <v>4.0</v>
      </c>
      <c r="BE203" s="941">
        <v>5.0</v>
      </c>
      <c r="BF203" s="941">
        <v>1.0</v>
      </c>
      <c r="BG203" s="942">
        <v>1.0</v>
      </c>
    </row>
    <row r="204">
      <c r="A204" s="935" t="s">
        <v>418</v>
      </c>
      <c r="B204" s="16" t="str">
        <f>IF(C204&lt;'PlayerGrades+'!$Y$44,"F-",IF(C204&lt;'PlayerGrades+'!$Y$43,"F",IF(C204&lt;'PlayerGrades+'!$Y$42,"F+",IF(C204&lt;'PlayerGrades+'!$Y$41,"E-",IF(C204&lt;'PlayerGrades+'!$Y$40,"E",IF(C204&lt;'PlayerGrades+'!$Y$39,"E+",IF(C204&lt;'PlayerGrades+'!$Y$38,"D-",IF(C204&lt;'PlayerGrades+'!$Y$37,"D",IF(C204&lt;'PlayerGrades+'!$Y$36,"D+",IF(C204&lt;'PlayerGrades+'!$Y$35,"C-",IF(C204&lt;'PlayerGrades+'!$Y$34,"C",IF(C204&lt;'PlayerGrades+'!$Y$33,"C+",IF(C204&lt;'PlayerGrades+'!$Y$32,"B-",IF(C204&lt;'PlayerGrades+'!$Y$31,"B",IF(C204&lt;'PlayerGrades+'!$Y$30,"B+",IF(C204&lt;'PlayerGrades+'!$Y$29,"A-",IF(C204&lt;'PlayerGrades+'!$Y$28,"A",IF(C204&lt;'PlayerGrades+'!$Y$27,"A+",IF(C204&lt;'PlayerGrades+'!$Y$26,"S-",IF(C204&lt;'PlayerGrades+'!$Y$25,"S","S+"))))))))))))))))))))</f>
        <v>A-</v>
      </c>
      <c r="C204" s="936">
        <f>('PlayerGrades+'!$Y$47*(VLOOKUP(E204, 'PlayerGrades+'!$X$3:$Y$23, 2, FALSE)))+('PlayerGrades+'!$Y$48*(VLOOKUP(G204, 'PlayerGrades+'!$X$3:$Y$23, 2, FALSE)))+('PlayerGrades+'!$Y$49*(VLOOKUP(I204, 'PlayerGrades+'!$X$3:$Y$23, 2, FALSE)))+('PlayerGrades+'!$Y$50*(VLOOKUP(K204, 'PlayerGrades+'!$X$3:$Y$23, 2, FALSE)))+('PlayerGrades+'!$Y$51*(VLOOKUP(M204, 'PlayerGrades+'!$X$3:$Y$23, 2, FALSE)))+('PlayerGrades+'!$Y$52*(VLOOKUP(O204, 'PlayerGrades+'!$X$3:$Y$23, 2, FALSE)))+('PlayerGrades+'!$Y$53*(VLOOKUP(Q204, 'PlayerGrades+'!$X$3:$Y$23, 2, FALSE)))+('PlayerGrades+'!$Y$54*(VLOOKUP(S204, 'PlayerGrades+'!$X$3:$Y$23, 2, FALSE)))+('PlayerGrades+'!$Y$55*(VLOOKUP(U204, 'PlayerGrades+'!$X$3:$Y$23, 2, FALSE)))</f>
        <v>24.85</v>
      </c>
      <c r="D204" s="937">
        <f t="shared" si="1"/>
        <v>0</v>
      </c>
      <c r="E204" s="937" t="str">
        <f>IF(D204&lt;'PlayerGrades+'!$AA$21,"F-",IF(D204&lt;'PlayerGrades+'!$AA$20,"F",IF(D204&lt;'PlayerGrades+'!$AA$19,"F+",IF(D204&lt;'PlayerGrades+'!$AA$18,"E-",IF(D204&lt;'PlayerGrades+'!$AA$17,"E",IF(D204&lt;'PlayerGrades+'!$AA$16,"E+",IF(D204&lt;'PlayerGrades+'!$AA$15,"D-",IF(D204&lt;'PlayerGrades+'!$AA$14,"D",IF(D204&lt;'PlayerGrades+'!$AA$13,"D+",IF(D204&lt;'PlayerGrades+'!$AA$12,"C-",IF(D204&lt;'PlayerGrades+'!$AA$11,"C",IF(D204&lt;'PlayerGrades+'!$AA$10,"C+",IF(D204&lt;'PlayerGrades+'!$AA$9,"B-",IF(D204&lt;'PlayerGrades+'!$AA$8,"B",IF(D204&lt;'PlayerGrades+'!$AA$7,"B+",IF(D204&lt;'PlayerGrades+'!$AA$6,"A-",IF(D204&lt;'PlayerGrades+'!$AA$5,"A",IF(D204&lt;'PlayerGrades+'!$AA$4,"A+",IF(D204&lt;'PlayerGrades+'!$AA$3,"S-",IF(D204&lt;'PlayerGrades+'!$AA$2,"S","S+"))))))))))))))))))))</f>
        <v>F-</v>
      </c>
      <c r="F204" s="937">
        <f t="shared" si="2"/>
        <v>0.5052631579</v>
      </c>
      <c r="G204" s="937" t="str">
        <f>IF(F204&lt;'PlayerGrades+'!$AB$21,"F-",IF(F204&lt;'PlayerGrades+'!$AB$20,"F",IF(F204&lt;'PlayerGrades+'!$AB$19,"F+",IF(F204&lt;'PlayerGrades+'!$AB$18,"E-",IF(F204&lt;'PlayerGrades+'!$AB$17,"E",IF(F204&lt;'PlayerGrades+'!$AB$16,"E+",IF(F204&lt;'PlayerGrades+'!$AB$15,"D-",IF(F204&lt;'PlayerGrades+'!$AB$14,"D",IF(F204&lt;'PlayerGrades+'!$AB$13,"D+",IF(F204&lt;'PlayerGrades+'!$AB$12,"C-",IF(F204&lt;'PlayerGrades+'!$AB$11,"C",IF(F204&lt;'PlayerGrades+'!$AB$10,"C+",IF(F204&lt;'PlayerGrades+'!$AB$9,"B-",IF(F204&lt;'PlayerGrades+'!$AB$8,"B",IF(F204&lt;'PlayerGrades+'!$AB$7,"B+",IF(F204&lt;'PlayerGrades+'!$AB$6,"A-",IF(F204&lt;'PlayerGrades+'!$AB$5,"A",IF(F204&lt;'PlayerGrades+'!$AB$4,"A+",IF(F204&lt;'PlayerGrades+'!$AB$3,"S-",IF(F204&lt;'PlayerGrades+'!$AB$2,"S","S+"))))))))))))))))))))</f>
        <v>A+</v>
      </c>
      <c r="H204" s="937">
        <f t="shared" si="3"/>
        <v>0.1263157895</v>
      </c>
      <c r="I204" s="937" t="str">
        <f>IF(H204&lt;'PlayerGrades+'!$AC$21,"F-",IF(H204&lt;'PlayerGrades+'!$AC$20,"F",IF(H204&lt;'PlayerGrades+'!$AC$19,"F+",IF(H204&lt;'PlayerGrades+'!$AC$18,"E-",IF(H204&lt;'PlayerGrades+'!$AC$17,"E",IF(H204&lt;'PlayerGrades+'!$AC$16,"E+",IF(H204&lt;'PlayerGrades+'!$AC$15,"D-",IF(H204&lt;'PlayerGrades+'!$AC$14,"D",IF(H204&lt;'PlayerGrades+'!$AC$13,"D+",IF(H204&lt;'PlayerGrades+'!$AC$12,"C-",IF(H204&lt;'PlayerGrades+'!$AC$11,"C",IF(H204&lt;'PlayerGrades+'!$AC$10,"C+",IF(H204&lt;'PlayerGrades+'!$AC$9,"B-",IF(H204&lt;'PlayerGrades+'!$AC$8,"B",IF(H204&lt;'PlayerGrades+'!$AC$7,"B+",IF(H204&lt;'PlayerGrades+'!$AC$6,"A-",IF(H204&lt;'PlayerGrades+'!$AC$5,"A",IF(H204&lt;'PlayerGrades+'!$AC$4,"A+",IF(H204&lt;'PlayerGrades+'!$AC$3,"S-",IF(H204&lt;'PlayerGrades+'!$AC$2,"S","S+"))))))))))))))))))))</f>
        <v>B-</v>
      </c>
      <c r="J204" s="937">
        <f t="shared" si="4"/>
        <v>0.1263157895</v>
      </c>
      <c r="K204" s="937" t="str">
        <f>IF(J204&lt;'PlayerGrades+'!$AD$21,"F-",IF(J204&lt;'PlayerGrades+'!$AD$20,"F",IF(J204&lt;'PlayerGrades+'!$AD$19,"F+",IF(J204&lt;'PlayerGrades+'!$AD$18,"E-",IF(J204&lt;'PlayerGrades+'!$AD$17,"E",IF(J204&lt;'PlayerGrades+'!$AD$16,"E+",IF(J204&lt;'PlayerGrades+'!$AD$15,"D-",IF(J204&lt;'PlayerGrades+'!$AD$14,"D",IF(J204&lt;'PlayerGrades+'!$AD$13,"D+",IF(J204&lt;'PlayerGrades+'!$AD$12,"C-",IF(J204&lt;'PlayerGrades+'!$AD$11,"C",IF(J204&lt;'PlayerGrades+'!$AD$10,"C+",IF(J204&lt;'PlayerGrades+'!$AD$9,"B-",IF(J204&lt;'PlayerGrades+'!$AD$8,"B",IF(J204&lt;'PlayerGrades+'!$AD$7,"B+",IF(J204&lt;'PlayerGrades+'!$AD$6,"A-",IF(J204&lt;'PlayerGrades+'!$AD$5,"A",IF(J204&lt;'PlayerGrades+'!$AD$4,"A+",IF(J204&lt;'PlayerGrades+'!$AD$3,"S-",IF(J204&lt;'PlayerGrades+'!$AD$2,"S","S+"))))))))))))))))))))</f>
        <v>S+</v>
      </c>
      <c r="L204" s="677">
        <f t="shared" si="5"/>
        <v>0.6315789474</v>
      </c>
      <c r="M204" s="938" t="str">
        <f>IF(L204&lt;'PlayerGrades+'!$AE$21,"F-",IF(L204&lt;'PlayerGrades+'!$AE$20,"F",IF(L204&lt;'PlayerGrades+'!$AE$19,"F+",IF(L204&lt;'PlayerGrades+'!$AE$18,"E-",IF(L204&lt;'PlayerGrades+'!$AE$17,"E",IF(L204&lt;'PlayerGrades+'!$AE$16,"E+",IF(L204&lt;'PlayerGrades+'!$AE$15,"D-",IF(L204&lt;'PlayerGrades+'!$AE$14,"D",IF(L204&lt;'PlayerGrades+'!$AE$13,"D+",IF(L204&lt;'PlayerGrades+'!$AE$12,"C-",IF(L204&lt;'PlayerGrades+'!$AE$11,"C",IF(L204&lt;'PlayerGrades+'!$AE$10,"C+",IF(L204&lt;'PlayerGrades+'!$AE$9,"B-",IF(L204&lt;'PlayerGrades+'!$AE$8,"B",IF(L204&lt;'PlayerGrades+'!$AE$7,"B+",IF(L204&lt;'PlayerGrades+'!$AE$6,"A-",IF(L204&lt;'PlayerGrades+'!$AE$5,"A",IF(L204&lt;'PlayerGrades+'!$AE$4,"A+",IF(L204&lt;'PlayerGrades+'!$AE$3,"S-",IF(L204&lt;'PlayerGrades+'!$AE$2,"S","S+"))))))))))))))))))))</f>
        <v>S-</v>
      </c>
      <c r="N204" s="937">
        <f t="shared" si="6"/>
        <v>0.1263157895</v>
      </c>
      <c r="O204" s="937" t="str">
        <f>IF(N204&lt;'PlayerGrades+'!$AF$21,"F-",IF(N204&lt;'PlayerGrades+'!$AF$20,"F",IF(N204&lt;'PlayerGrades+'!$AF$19,"F+",IF(N204&lt;'PlayerGrades+'!$AF$18,"E-",IF(N204&lt;'PlayerGrades+'!$AF$17,"E",IF(N204&lt;'PlayerGrades+'!$AF$16,"E+",IF(N204&lt;'PlayerGrades+'!$AF$15,"D-",IF(N204&lt;'PlayerGrades+'!$AF$14,"D",IF(N204&lt;'PlayerGrades+'!$AF$13,"D+",IF(N204&lt;'PlayerGrades+'!$AF$12,"C-",IF(N204&lt;'PlayerGrades+'!$AF$11,"C",IF(N204&lt;'PlayerGrades+'!$AF$10,"C+",IF(N204&lt;'PlayerGrades+'!$AF$9,"B-",IF(N204&lt;'PlayerGrades+'!$AF$8,"B",IF(N204&lt;'PlayerGrades+'!$AF$7,"B+",IF(N204&lt;'PlayerGrades+'!$AF$6,"A-",IF(N204&lt;'PlayerGrades+'!$AF$5,"A",IF(N204&lt;'PlayerGrades+'!$AF$4,"A+",IF(N204&lt;'PlayerGrades+'!$AF$3,"S-",IF(N204&lt;'PlayerGrades+'!$AF$2,"S","S+"))))))))))))))))))))</f>
        <v>S</v>
      </c>
      <c r="P204" s="937">
        <f t="shared" si="7"/>
        <v>0.1263157895</v>
      </c>
      <c r="Q204" s="937" t="str">
        <f>IF(P204&lt;'PlayerGrades+'!$AG$21,"F-",IF(P204&lt;'PlayerGrades+'!$AG$20,"F",IF(P204&lt;'PlayerGrades+'!$AG$19,"F+",IF(P204&lt;'PlayerGrades+'!$AG$18,"E-",IF(P204&lt;'PlayerGrades+'!$AG$17,"E",IF(P204&lt;'PlayerGrades+'!$AG$16,"E+",IF(P204&lt;'PlayerGrades+'!$AG$15,"D-",IF(P204&lt;'PlayerGrades+'!$AG$14,"D",IF(P204&lt;'PlayerGrades+'!$AG$13,"D+",IF(P204&lt;'PlayerGrades+'!$AG$12,"C-",IF(P204&lt;'PlayerGrades+'!$AG$11,"C",IF(P204&lt;'PlayerGrades+'!$AG$10,"C+",IF(P204&lt;'PlayerGrades+'!$AG$9,"B-",IF(P204&lt;'PlayerGrades+'!$AG$8,"B",IF(P204&lt;'PlayerGrades+'!$AG$7,"B+",IF(P204&lt;'PlayerGrades+'!$AG$6,"A-",IF(P204&lt;'PlayerGrades+'!$AG$5,"A",IF(P204&lt;'PlayerGrades+'!$AG$4,"A+",IF(P204&lt;'PlayerGrades+'!$AG$3,"S-",IF(P204&lt;'PlayerGrades+'!$AG$2,"S","S+"))))))))))))))))))))</f>
        <v>S+</v>
      </c>
      <c r="R204" s="937">
        <f t="shared" si="8"/>
        <v>0.5052631579</v>
      </c>
      <c r="S204" s="937" t="str">
        <f>IF(R204&lt;'PlayerGrades+'!$AH$21,"F-",IF(R204&lt;'PlayerGrades+'!$AH$20,"F",IF(R204&lt;'PlayerGrades+'!$AH$19,"F+",IF(R204&lt;'PlayerGrades+'!$AH$18,"E-",IF(R204&lt;'PlayerGrades+'!$AH$17,"E",IF(R204&lt;'PlayerGrades+'!$AH$16,"E+",IF(R204&lt;'PlayerGrades+'!$AH$15,"D-",IF(R204&lt;'PlayerGrades+'!$AH$14,"D",IF(R204&lt;'PlayerGrades+'!$AH$13,"D+",IF(R204&lt;'PlayerGrades+'!$AH$12,"C-",IF(R204&lt;'PlayerGrades+'!$AH$11,"C",IF(R204&lt;'PlayerGrades+'!$AH$10,"C+",IF(R204&lt;'PlayerGrades+'!$AH$9,"B-",IF(R204&lt;'PlayerGrades+'!$AH$8,"B",IF(R204&lt;'PlayerGrades+'!$AH$7,"B+",IF(R204&lt;'PlayerGrades+'!$AH$6,"A-",IF(R204&lt;'PlayerGrades+'!$AH$5,"A",IF(R204&lt;'PlayerGrades+'!$AH$4,"A+",IF(R204&lt;'PlayerGrades+'!$AH$3,"S-",IF(R204&lt;'PlayerGrades+'!$AH$2,"S","S+"))))))))))))))))))))</f>
        <v>D-</v>
      </c>
      <c r="T204" s="937">
        <f t="shared" si="9"/>
        <v>0.5684210526</v>
      </c>
      <c r="U204" s="937" t="str">
        <f>IF(T204&lt;'PlayerGrades+'!$AI$21,"F-",IF(T204&lt;'PlayerGrades+'!$AI$20,"F",IF(T204&lt;'PlayerGrades+'!$AI$19,"F+",IF(T204&lt;'PlayerGrades+'!$AI$18,"E-",IF(T204&lt;'PlayerGrades+'!$AI$17,"E",IF(T204&lt;'PlayerGrades+'!$AI$16,"E+",IF(T204&lt;'PlayerGrades+'!$AI$15,"D-",IF(T204&lt;'PlayerGrades+'!$AI$14,"D",IF(T204&lt;'PlayerGrades+'!$AI$13,"D+",IF(T204&lt;'PlayerGrades+'!$AI$12,"C-",IF(T204&lt;'PlayerGrades+'!$AI$11,"C",IF(T204&lt;'PlayerGrades+'!$AI$10,"C+",IF(T204&lt;'PlayerGrades+'!$AI$9,"B-",IF(T204&lt;'PlayerGrades+'!$AI$8,"B",IF(T204&lt;'PlayerGrades+'!$AI$7,"B+",IF(T204&lt;'PlayerGrades+'!$AI$6,"A-",IF(T204&lt;'PlayerGrades+'!$AI$5,"A",IF(T204&lt;'PlayerGrades+'!$AI$4,"A+",IF(T204&lt;'PlayerGrades+'!$AI$3,"S-",IF(T204&lt;'PlayerGrades+'!$AI$2,"S","S+"))))))))))))))))))))</f>
        <v>F-</v>
      </c>
      <c r="V204" s="941">
        <v>1.0</v>
      </c>
      <c r="W204" s="941">
        <v>1.0</v>
      </c>
      <c r="X204" s="941">
        <v>0.0</v>
      </c>
      <c r="Y204" s="941">
        <v>0.0</v>
      </c>
      <c r="Z204" s="941">
        <v>0.0</v>
      </c>
      <c r="AA204" s="941">
        <v>45.0</v>
      </c>
      <c r="AB204" s="941">
        <v>37.0</v>
      </c>
      <c r="AC204" s="941">
        <v>8.0</v>
      </c>
      <c r="AD204" s="941">
        <v>5.0</v>
      </c>
      <c r="AE204" s="941">
        <v>8.0</v>
      </c>
      <c r="AF204" s="941">
        <v>2.0</v>
      </c>
      <c r="AG204" s="941">
        <v>745.0</v>
      </c>
      <c r="AH204" s="941">
        <v>950.0</v>
      </c>
      <c r="AI204" s="941">
        <v>20.0</v>
      </c>
      <c r="AJ204" s="941">
        <v>12.0</v>
      </c>
      <c r="AK204" s="941">
        <v>0.0</v>
      </c>
      <c r="AL204" s="941">
        <v>2.0</v>
      </c>
      <c r="AM204" s="941">
        <v>0.0</v>
      </c>
      <c r="AN204" s="941">
        <v>0.0</v>
      </c>
      <c r="AO204" s="941">
        <v>0.0</v>
      </c>
      <c r="AP204" s="941">
        <v>2.0</v>
      </c>
      <c r="AQ204" s="941">
        <v>0.0</v>
      </c>
      <c r="AR204" s="941">
        <v>10.0</v>
      </c>
      <c r="AS204" s="941">
        <v>2.0</v>
      </c>
      <c r="AT204" s="941">
        <v>1.0</v>
      </c>
      <c r="AU204" s="941">
        <v>0.0</v>
      </c>
      <c r="AV204" s="941">
        <v>0.0</v>
      </c>
      <c r="AW204" s="941">
        <v>0.0</v>
      </c>
      <c r="AX204" s="941">
        <v>0.0</v>
      </c>
      <c r="AY204" s="941">
        <v>0.0</v>
      </c>
      <c r="AZ204" s="941">
        <v>0.0</v>
      </c>
      <c r="BA204" s="941">
        <v>0.0</v>
      </c>
      <c r="BB204" s="941">
        <v>2.0</v>
      </c>
      <c r="BC204" s="941">
        <v>0.0</v>
      </c>
      <c r="BD204" s="941">
        <v>3.0</v>
      </c>
      <c r="BE204" s="941">
        <v>9.0</v>
      </c>
      <c r="BF204" s="941">
        <v>0.0</v>
      </c>
      <c r="BG204" s="942">
        <v>1.0</v>
      </c>
    </row>
    <row r="205">
      <c r="A205" s="935" t="s">
        <v>392</v>
      </c>
      <c r="B205" s="16" t="str">
        <f>IF(C205&lt;'PlayerGrades+'!$Y$44,"F-",IF(C205&lt;'PlayerGrades+'!$Y$43,"F",IF(C205&lt;'PlayerGrades+'!$Y$42,"F+",IF(C205&lt;'PlayerGrades+'!$Y$41,"E-",IF(C205&lt;'PlayerGrades+'!$Y$40,"E",IF(C205&lt;'PlayerGrades+'!$Y$39,"E+",IF(C205&lt;'PlayerGrades+'!$Y$38,"D-",IF(C205&lt;'PlayerGrades+'!$Y$37,"D",IF(C205&lt;'PlayerGrades+'!$Y$36,"D+",IF(C205&lt;'PlayerGrades+'!$Y$35,"C-",IF(C205&lt;'PlayerGrades+'!$Y$34,"C",IF(C205&lt;'PlayerGrades+'!$Y$33,"C+",IF(C205&lt;'PlayerGrades+'!$Y$32,"B-",IF(C205&lt;'PlayerGrades+'!$Y$31,"B",IF(C205&lt;'PlayerGrades+'!$Y$30,"B+",IF(C205&lt;'PlayerGrades+'!$Y$29,"A-",IF(C205&lt;'PlayerGrades+'!$Y$28,"A",IF(C205&lt;'PlayerGrades+'!$Y$27,"A+",IF(C205&lt;'PlayerGrades+'!$Y$26,"S-",IF(C205&lt;'PlayerGrades+'!$Y$25,"S","S+"))))))))))))))))))))</f>
        <v>C+</v>
      </c>
      <c r="C205" s="936">
        <f>('PlayerGrades+'!$Y$47*(VLOOKUP(E205, 'PlayerGrades+'!$X$3:$Y$23, 2, FALSE)))+('PlayerGrades+'!$Y$48*(VLOOKUP(G205, 'PlayerGrades+'!$X$3:$Y$23, 2, FALSE)))+('PlayerGrades+'!$Y$49*(VLOOKUP(I205, 'PlayerGrades+'!$X$3:$Y$23, 2, FALSE)))+('PlayerGrades+'!$Y$50*(VLOOKUP(K205, 'PlayerGrades+'!$X$3:$Y$23, 2, FALSE)))+('PlayerGrades+'!$Y$51*(VLOOKUP(M205, 'PlayerGrades+'!$X$3:$Y$23, 2, FALSE)))+('PlayerGrades+'!$Y$52*(VLOOKUP(O205, 'PlayerGrades+'!$X$3:$Y$23, 2, FALSE)))+('PlayerGrades+'!$Y$53*(VLOOKUP(Q205, 'PlayerGrades+'!$X$3:$Y$23, 2, FALSE)))+('PlayerGrades+'!$Y$54*(VLOOKUP(S205, 'PlayerGrades+'!$X$3:$Y$23, 2, FALSE)))+('PlayerGrades+'!$Y$55*(VLOOKUP(U205, 'PlayerGrades+'!$X$3:$Y$23, 2, FALSE)))</f>
        <v>20.8</v>
      </c>
      <c r="D205" s="937">
        <f t="shared" si="1"/>
        <v>0</v>
      </c>
      <c r="E205" s="937" t="str">
        <f>IF(D205&lt;'PlayerGrades+'!$AA$21,"F-",IF(D205&lt;'PlayerGrades+'!$AA$20,"F",IF(D205&lt;'PlayerGrades+'!$AA$19,"F+",IF(D205&lt;'PlayerGrades+'!$AA$18,"E-",IF(D205&lt;'PlayerGrades+'!$AA$17,"E",IF(D205&lt;'PlayerGrades+'!$AA$16,"E+",IF(D205&lt;'PlayerGrades+'!$AA$15,"D-",IF(D205&lt;'PlayerGrades+'!$AA$14,"D",IF(D205&lt;'PlayerGrades+'!$AA$13,"D+",IF(D205&lt;'PlayerGrades+'!$AA$12,"C-",IF(D205&lt;'PlayerGrades+'!$AA$11,"C",IF(D205&lt;'PlayerGrades+'!$AA$10,"C+",IF(D205&lt;'PlayerGrades+'!$AA$9,"B-",IF(D205&lt;'PlayerGrades+'!$AA$8,"B",IF(D205&lt;'PlayerGrades+'!$AA$7,"B+",IF(D205&lt;'PlayerGrades+'!$AA$6,"A-",IF(D205&lt;'PlayerGrades+'!$AA$5,"A",IF(D205&lt;'PlayerGrades+'!$AA$4,"A+",IF(D205&lt;'PlayerGrades+'!$AA$3,"S-",IF(D205&lt;'PlayerGrades+'!$AA$2,"S","S+"))))))))))))))))))))</f>
        <v>F-</v>
      </c>
      <c r="F205" s="937">
        <f t="shared" si="2"/>
        <v>-1.2</v>
      </c>
      <c r="G205" s="937" t="str">
        <f>IF(F205&lt;'PlayerGrades+'!$AB$21,"F-",IF(F205&lt;'PlayerGrades+'!$AB$20,"F",IF(F205&lt;'PlayerGrades+'!$AB$19,"F+",IF(F205&lt;'PlayerGrades+'!$AB$18,"E-",IF(F205&lt;'PlayerGrades+'!$AB$17,"E",IF(F205&lt;'PlayerGrades+'!$AB$16,"E+",IF(F205&lt;'PlayerGrades+'!$AB$15,"D-",IF(F205&lt;'PlayerGrades+'!$AB$14,"D",IF(F205&lt;'PlayerGrades+'!$AB$13,"D+",IF(F205&lt;'PlayerGrades+'!$AB$12,"C-",IF(F205&lt;'PlayerGrades+'!$AB$11,"C",IF(F205&lt;'PlayerGrades+'!$AB$10,"C+",IF(F205&lt;'PlayerGrades+'!$AB$9,"B-",IF(F205&lt;'PlayerGrades+'!$AB$8,"B",IF(F205&lt;'PlayerGrades+'!$AB$7,"B+",IF(F205&lt;'PlayerGrades+'!$AB$6,"A-",IF(F205&lt;'PlayerGrades+'!$AB$5,"A",IF(F205&lt;'PlayerGrades+'!$AB$4,"A+",IF(F205&lt;'PlayerGrades+'!$AB$3,"S-",IF(F205&lt;'PlayerGrades+'!$AB$2,"S","S+"))))))))))))))))))))</f>
        <v>F-</v>
      </c>
      <c r="H205" s="937">
        <f t="shared" si="3"/>
        <v>0.2526315789</v>
      </c>
      <c r="I205" s="937" t="str">
        <f>IF(H205&lt;'PlayerGrades+'!$AC$21,"F-",IF(H205&lt;'PlayerGrades+'!$AC$20,"F",IF(H205&lt;'PlayerGrades+'!$AC$19,"F+",IF(H205&lt;'PlayerGrades+'!$AC$18,"E-",IF(H205&lt;'PlayerGrades+'!$AC$17,"E",IF(H205&lt;'PlayerGrades+'!$AC$16,"E+",IF(H205&lt;'PlayerGrades+'!$AC$15,"D-",IF(H205&lt;'PlayerGrades+'!$AC$14,"D",IF(H205&lt;'PlayerGrades+'!$AC$13,"D+",IF(H205&lt;'PlayerGrades+'!$AC$12,"C-",IF(H205&lt;'PlayerGrades+'!$AC$11,"C",IF(H205&lt;'PlayerGrades+'!$AC$10,"C+",IF(H205&lt;'PlayerGrades+'!$AC$9,"B-",IF(H205&lt;'PlayerGrades+'!$AC$8,"B",IF(H205&lt;'PlayerGrades+'!$AC$7,"B+",IF(H205&lt;'PlayerGrades+'!$AC$6,"A-",IF(H205&lt;'PlayerGrades+'!$AC$5,"A",IF(H205&lt;'PlayerGrades+'!$AC$4,"A+",IF(H205&lt;'PlayerGrades+'!$AC$3,"S-",IF(H205&lt;'PlayerGrades+'!$AC$2,"S","S+"))))))))))))))))))))</f>
        <v>S</v>
      </c>
      <c r="J205" s="937">
        <f t="shared" si="4"/>
        <v>0</v>
      </c>
      <c r="K205" s="937" t="str">
        <f>IF(J205&lt;'PlayerGrades+'!$AD$21,"F-",IF(J205&lt;'PlayerGrades+'!$AD$20,"F",IF(J205&lt;'PlayerGrades+'!$AD$19,"F+",IF(J205&lt;'PlayerGrades+'!$AD$18,"E-",IF(J205&lt;'PlayerGrades+'!$AD$17,"E",IF(J205&lt;'PlayerGrades+'!$AD$16,"E+",IF(J205&lt;'PlayerGrades+'!$AD$15,"D-",IF(J205&lt;'PlayerGrades+'!$AD$14,"D",IF(J205&lt;'PlayerGrades+'!$AD$13,"D+",IF(J205&lt;'PlayerGrades+'!$AD$12,"C-",IF(J205&lt;'PlayerGrades+'!$AD$11,"C",IF(J205&lt;'PlayerGrades+'!$AD$10,"C+",IF(J205&lt;'PlayerGrades+'!$AD$9,"B-",IF(J205&lt;'PlayerGrades+'!$AD$8,"B",IF(J205&lt;'PlayerGrades+'!$AD$7,"B+",IF(J205&lt;'PlayerGrades+'!$AD$6,"A-",IF(J205&lt;'PlayerGrades+'!$AD$5,"A",IF(J205&lt;'PlayerGrades+'!$AD$4,"A+",IF(J205&lt;'PlayerGrades+'!$AD$3,"S-",IF(J205&lt;'PlayerGrades+'!$AD$2,"S","S+"))))))))))))))))))))</f>
        <v>F-</v>
      </c>
      <c r="L205" s="677">
        <f t="shared" si="5"/>
        <v>0.5052631579</v>
      </c>
      <c r="M205" s="938" t="str">
        <f>IF(L205&lt;'PlayerGrades+'!$AE$21,"F-",IF(L205&lt;'PlayerGrades+'!$AE$20,"F",IF(L205&lt;'PlayerGrades+'!$AE$19,"F+",IF(L205&lt;'PlayerGrades+'!$AE$18,"E-",IF(L205&lt;'PlayerGrades+'!$AE$17,"E",IF(L205&lt;'PlayerGrades+'!$AE$16,"E+",IF(L205&lt;'PlayerGrades+'!$AE$15,"D-",IF(L205&lt;'PlayerGrades+'!$AE$14,"D",IF(L205&lt;'PlayerGrades+'!$AE$13,"D+",IF(L205&lt;'PlayerGrades+'!$AE$12,"C-",IF(L205&lt;'PlayerGrades+'!$AE$11,"C",IF(L205&lt;'PlayerGrades+'!$AE$10,"C+",IF(L205&lt;'PlayerGrades+'!$AE$9,"B-",IF(L205&lt;'PlayerGrades+'!$AE$8,"B",IF(L205&lt;'PlayerGrades+'!$AE$7,"B+",IF(L205&lt;'PlayerGrades+'!$AE$6,"A-",IF(L205&lt;'PlayerGrades+'!$AE$5,"A",IF(L205&lt;'PlayerGrades+'!$AE$4,"A+",IF(L205&lt;'PlayerGrades+'!$AE$3,"S-",IF(L205&lt;'PlayerGrades+'!$AE$2,"S","S+"))))))))))))))))))))</f>
        <v>A-</v>
      </c>
      <c r="N205" s="937">
        <f t="shared" si="6"/>
        <v>0.1894736842</v>
      </c>
      <c r="O205" s="937" t="str">
        <f>IF(N205&lt;'PlayerGrades+'!$AF$21,"F-",IF(N205&lt;'PlayerGrades+'!$AF$20,"F",IF(N205&lt;'PlayerGrades+'!$AF$19,"F+",IF(N205&lt;'PlayerGrades+'!$AF$18,"E-",IF(N205&lt;'PlayerGrades+'!$AF$17,"E",IF(N205&lt;'PlayerGrades+'!$AF$16,"E+",IF(N205&lt;'PlayerGrades+'!$AF$15,"D-",IF(N205&lt;'PlayerGrades+'!$AF$14,"D",IF(N205&lt;'PlayerGrades+'!$AF$13,"D+",IF(N205&lt;'PlayerGrades+'!$AF$12,"C-",IF(N205&lt;'PlayerGrades+'!$AF$11,"C",IF(N205&lt;'PlayerGrades+'!$AF$10,"C+",IF(N205&lt;'PlayerGrades+'!$AF$9,"B-",IF(N205&lt;'PlayerGrades+'!$AF$8,"B",IF(N205&lt;'PlayerGrades+'!$AF$7,"B+",IF(N205&lt;'PlayerGrades+'!$AF$6,"A-",IF(N205&lt;'PlayerGrades+'!$AF$5,"A",IF(N205&lt;'PlayerGrades+'!$AF$4,"A+",IF(N205&lt;'PlayerGrades+'!$AF$3,"S-",IF(N205&lt;'PlayerGrades+'!$AF$2,"S","S+"))))))))))))))))))))</f>
        <v>S+</v>
      </c>
      <c r="P205" s="937">
        <f t="shared" si="7"/>
        <v>0</v>
      </c>
      <c r="Q205" s="937" t="str">
        <f>IF(P205&lt;'PlayerGrades+'!$AG$21,"F-",IF(P205&lt;'PlayerGrades+'!$AG$20,"F",IF(P205&lt;'PlayerGrades+'!$AG$19,"F+",IF(P205&lt;'PlayerGrades+'!$AG$18,"E-",IF(P205&lt;'PlayerGrades+'!$AG$17,"E",IF(P205&lt;'PlayerGrades+'!$AG$16,"E+",IF(P205&lt;'PlayerGrades+'!$AG$15,"D-",IF(P205&lt;'PlayerGrades+'!$AG$14,"D",IF(P205&lt;'PlayerGrades+'!$AG$13,"D+",IF(P205&lt;'PlayerGrades+'!$AG$12,"C-",IF(P205&lt;'PlayerGrades+'!$AG$11,"C",IF(P205&lt;'PlayerGrades+'!$AG$10,"C+",IF(P205&lt;'PlayerGrades+'!$AG$9,"B-",IF(P205&lt;'PlayerGrades+'!$AG$8,"B",IF(P205&lt;'PlayerGrades+'!$AG$7,"B+",IF(P205&lt;'PlayerGrades+'!$AG$6,"A-",IF(P205&lt;'PlayerGrades+'!$AG$5,"A",IF(P205&lt;'PlayerGrades+'!$AG$4,"A+",IF(P205&lt;'PlayerGrades+'!$AG$3,"S-",IF(P205&lt;'PlayerGrades+'!$AG$2,"S","S+"))))))))))))))))))))</f>
        <v>F</v>
      </c>
      <c r="R205" s="937">
        <f t="shared" si="8"/>
        <v>0.6947368421</v>
      </c>
      <c r="S205" s="937" t="str">
        <f>IF(R205&lt;'PlayerGrades+'!$AH$21,"F-",IF(R205&lt;'PlayerGrades+'!$AH$20,"F",IF(R205&lt;'PlayerGrades+'!$AH$19,"F+",IF(R205&lt;'PlayerGrades+'!$AH$18,"E-",IF(R205&lt;'PlayerGrades+'!$AH$17,"E",IF(R205&lt;'PlayerGrades+'!$AH$16,"E+",IF(R205&lt;'PlayerGrades+'!$AH$15,"D-",IF(R205&lt;'PlayerGrades+'!$AH$14,"D",IF(R205&lt;'PlayerGrades+'!$AH$13,"D+",IF(R205&lt;'PlayerGrades+'!$AH$12,"C-",IF(R205&lt;'PlayerGrades+'!$AH$11,"C",IF(R205&lt;'PlayerGrades+'!$AH$10,"C+",IF(R205&lt;'PlayerGrades+'!$AH$9,"B-",IF(R205&lt;'PlayerGrades+'!$AH$8,"B",IF(R205&lt;'PlayerGrades+'!$AH$7,"B+",IF(R205&lt;'PlayerGrades+'!$AH$6,"A-",IF(R205&lt;'PlayerGrades+'!$AH$5,"A",IF(R205&lt;'PlayerGrades+'!$AH$4,"A+",IF(R205&lt;'PlayerGrades+'!$AH$3,"S-",IF(R205&lt;'PlayerGrades+'!$AH$2,"S","S+"))))))))))))))))))))</f>
        <v>S-</v>
      </c>
      <c r="T205" s="937">
        <f t="shared" si="9"/>
        <v>0.5052631579</v>
      </c>
      <c r="U205" s="937" t="str">
        <f>IF(T205&lt;'PlayerGrades+'!$AI$21,"F-",IF(T205&lt;'PlayerGrades+'!$AI$20,"F",IF(T205&lt;'PlayerGrades+'!$AI$19,"F+",IF(T205&lt;'PlayerGrades+'!$AI$18,"E-",IF(T205&lt;'PlayerGrades+'!$AI$17,"E",IF(T205&lt;'PlayerGrades+'!$AI$16,"E+",IF(T205&lt;'PlayerGrades+'!$AI$15,"D-",IF(T205&lt;'PlayerGrades+'!$AI$14,"D",IF(T205&lt;'PlayerGrades+'!$AI$13,"D+",IF(T205&lt;'PlayerGrades+'!$AI$12,"C-",IF(T205&lt;'PlayerGrades+'!$AI$11,"C",IF(T205&lt;'PlayerGrades+'!$AI$10,"C+",IF(T205&lt;'PlayerGrades+'!$AI$9,"B-",IF(T205&lt;'PlayerGrades+'!$AI$8,"B",IF(T205&lt;'PlayerGrades+'!$AI$7,"B+",IF(T205&lt;'PlayerGrades+'!$AI$6,"A-",IF(T205&lt;'PlayerGrades+'!$AI$5,"A",IF(T205&lt;'PlayerGrades+'!$AI$4,"A+",IF(T205&lt;'PlayerGrades+'!$AI$3,"S-",IF(T205&lt;'PlayerGrades+'!$AI$2,"S","S+"))))))))))))))))))))</f>
        <v>F-</v>
      </c>
      <c r="V205" s="941">
        <v>1.0</v>
      </c>
      <c r="W205" s="941">
        <v>1.0</v>
      </c>
      <c r="X205" s="941">
        <v>0.0</v>
      </c>
      <c r="Y205" s="941">
        <v>0.0</v>
      </c>
      <c r="Z205" s="941">
        <v>0.0</v>
      </c>
      <c r="AA205" s="941">
        <v>49.0</v>
      </c>
      <c r="AB205" s="941">
        <v>68.0</v>
      </c>
      <c r="AC205" s="941">
        <v>-19.0</v>
      </c>
      <c r="AD205" s="941">
        <v>5.0</v>
      </c>
      <c r="AE205" s="941">
        <v>3.0</v>
      </c>
      <c r="AF205" s="941">
        <v>1.0</v>
      </c>
      <c r="AG205" s="941">
        <v>654.0</v>
      </c>
      <c r="AH205" s="941">
        <v>950.0</v>
      </c>
      <c r="AI205" s="941">
        <v>9.0</v>
      </c>
      <c r="AJ205" s="941">
        <v>0.0</v>
      </c>
      <c r="AK205" s="941">
        <v>0.0</v>
      </c>
      <c r="AL205" s="941">
        <v>0.0</v>
      </c>
      <c r="AM205" s="941">
        <v>0.0</v>
      </c>
      <c r="AN205" s="941">
        <v>0.0</v>
      </c>
      <c r="AO205" s="941">
        <v>0.0</v>
      </c>
      <c r="AP205" s="941">
        <v>0.0</v>
      </c>
      <c r="AQ205" s="941">
        <v>0.0</v>
      </c>
      <c r="AR205" s="941">
        <v>8.0</v>
      </c>
      <c r="AS205" s="941">
        <v>3.0</v>
      </c>
      <c r="AT205" s="941">
        <v>0.0</v>
      </c>
      <c r="AU205" s="941">
        <v>0.0</v>
      </c>
      <c r="AV205" s="941">
        <v>0.0</v>
      </c>
      <c r="AW205" s="941">
        <v>0.0</v>
      </c>
      <c r="AX205" s="941">
        <v>0.0</v>
      </c>
      <c r="AY205" s="941">
        <v>0.0</v>
      </c>
      <c r="AZ205" s="941">
        <v>0.0</v>
      </c>
      <c r="BA205" s="941">
        <v>0.0</v>
      </c>
      <c r="BB205" s="941">
        <v>4.0</v>
      </c>
      <c r="BC205" s="941">
        <v>0.0</v>
      </c>
      <c r="BD205" s="941">
        <v>6.0</v>
      </c>
      <c r="BE205" s="941">
        <v>8.0</v>
      </c>
      <c r="BF205" s="941">
        <v>0.0</v>
      </c>
      <c r="BG205" s="942">
        <v>1.0</v>
      </c>
    </row>
    <row r="206">
      <c r="A206" s="935" t="s">
        <v>153</v>
      </c>
      <c r="B206" s="16" t="str">
        <f>IF(C206&lt;'PlayerGrades+'!$Y$44,"F-",IF(C206&lt;'PlayerGrades+'!$Y$43,"F",IF(C206&lt;'PlayerGrades+'!$Y$42,"F+",IF(C206&lt;'PlayerGrades+'!$Y$41,"E-",IF(C206&lt;'PlayerGrades+'!$Y$40,"E",IF(C206&lt;'PlayerGrades+'!$Y$39,"E+",IF(C206&lt;'PlayerGrades+'!$Y$38,"D-",IF(C206&lt;'PlayerGrades+'!$Y$37,"D",IF(C206&lt;'PlayerGrades+'!$Y$36,"D+",IF(C206&lt;'PlayerGrades+'!$Y$35,"C-",IF(C206&lt;'PlayerGrades+'!$Y$34,"C",IF(C206&lt;'PlayerGrades+'!$Y$33,"C+",IF(C206&lt;'PlayerGrades+'!$Y$32,"B-",IF(C206&lt;'PlayerGrades+'!$Y$31,"B",IF(C206&lt;'PlayerGrades+'!$Y$30,"B+",IF(C206&lt;'PlayerGrades+'!$Y$29,"A-",IF(C206&lt;'PlayerGrades+'!$Y$28,"A",IF(C206&lt;'PlayerGrades+'!$Y$27,"A+",IF(C206&lt;'PlayerGrades+'!$Y$26,"S-",IF(C206&lt;'PlayerGrades+'!$Y$25,"S","S+"))))))))))))))))))))</f>
        <v>D+</v>
      </c>
      <c r="C206" s="936">
        <f>('PlayerGrades+'!$Y$47*(VLOOKUP(E206, 'PlayerGrades+'!$X$3:$Y$23, 2, FALSE)))+('PlayerGrades+'!$Y$48*(VLOOKUP(G206, 'PlayerGrades+'!$X$3:$Y$23, 2, FALSE)))+('PlayerGrades+'!$Y$49*(VLOOKUP(I206, 'PlayerGrades+'!$X$3:$Y$23, 2, FALSE)))+('PlayerGrades+'!$Y$50*(VLOOKUP(K206, 'PlayerGrades+'!$X$3:$Y$23, 2, FALSE)))+('PlayerGrades+'!$Y$51*(VLOOKUP(M206, 'PlayerGrades+'!$X$3:$Y$23, 2, FALSE)))+('PlayerGrades+'!$Y$52*(VLOOKUP(O206, 'PlayerGrades+'!$X$3:$Y$23, 2, FALSE)))+('PlayerGrades+'!$Y$53*(VLOOKUP(Q206, 'PlayerGrades+'!$X$3:$Y$23, 2, FALSE)))+('PlayerGrades+'!$Y$54*(VLOOKUP(S206, 'PlayerGrades+'!$X$3:$Y$23, 2, FALSE)))+('PlayerGrades+'!$Y$55*(VLOOKUP(U206, 'PlayerGrades+'!$X$3:$Y$23, 2, FALSE)))</f>
        <v>18</v>
      </c>
      <c r="D206" s="937">
        <f t="shared" si="1"/>
        <v>0.5684210526</v>
      </c>
      <c r="E206" s="937" t="str">
        <f>IF(D206&lt;'PlayerGrades+'!$AA$21,"F-",IF(D206&lt;'PlayerGrades+'!$AA$20,"F",IF(D206&lt;'PlayerGrades+'!$AA$19,"F+",IF(D206&lt;'PlayerGrades+'!$AA$18,"E-",IF(D206&lt;'PlayerGrades+'!$AA$17,"E",IF(D206&lt;'PlayerGrades+'!$AA$16,"E+",IF(D206&lt;'PlayerGrades+'!$AA$15,"D-",IF(D206&lt;'PlayerGrades+'!$AA$14,"D",IF(D206&lt;'PlayerGrades+'!$AA$13,"D+",IF(D206&lt;'PlayerGrades+'!$AA$12,"C-",IF(D206&lt;'PlayerGrades+'!$AA$11,"C",IF(D206&lt;'PlayerGrades+'!$AA$10,"C+",IF(D206&lt;'PlayerGrades+'!$AA$9,"B-",IF(D206&lt;'PlayerGrades+'!$AA$8,"B",IF(D206&lt;'PlayerGrades+'!$AA$7,"B+",IF(D206&lt;'PlayerGrades+'!$AA$6,"A-",IF(D206&lt;'PlayerGrades+'!$AA$5,"A",IF(D206&lt;'PlayerGrades+'!$AA$4,"A+",IF(D206&lt;'PlayerGrades+'!$AA$3,"S-",IF(D206&lt;'PlayerGrades+'!$AA$2,"S","S+"))))))))))))))))))))</f>
        <v>S-</v>
      </c>
      <c r="F206" s="937">
        <f t="shared" si="2"/>
        <v>-0.4421052632</v>
      </c>
      <c r="G206" s="937" t="str">
        <f>IF(F206&lt;'PlayerGrades+'!$AB$21,"F-",IF(F206&lt;'PlayerGrades+'!$AB$20,"F",IF(F206&lt;'PlayerGrades+'!$AB$19,"F+",IF(F206&lt;'PlayerGrades+'!$AB$18,"E-",IF(F206&lt;'PlayerGrades+'!$AB$17,"E",IF(F206&lt;'PlayerGrades+'!$AB$16,"E+",IF(F206&lt;'PlayerGrades+'!$AB$15,"D-",IF(F206&lt;'PlayerGrades+'!$AB$14,"D",IF(F206&lt;'PlayerGrades+'!$AB$13,"D+",IF(F206&lt;'PlayerGrades+'!$AB$12,"C-",IF(F206&lt;'PlayerGrades+'!$AB$11,"C",IF(F206&lt;'PlayerGrades+'!$AB$10,"C+",IF(F206&lt;'PlayerGrades+'!$AB$9,"B-",IF(F206&lt;'PlayerGrades+'!$AB$8,"B",IF(F206&lt;'PlayerGrades+'!$AB$7,"B+",IF(F206&lt;'PlayerGrades+'!$AB$6,"A-",IF(F206&lt;'PlayerGrades+'!$AB$5,"A",IF(F206&lt;'PlayerGrades+'!$AB$4,"A+",IF(F206&lt;'PlayerGrades+'!$AB$3,"S-",IF(F206&lt;'PlayerGrades+'!$AB$2,"S","S+"))))))))))))))))))))</f>
        <v>D</v>
      </c>
      <c r="H206" s="937">
        <f t="shared" si="3"/>
        <v>0.06315789474</v>
      </c>
      <c r="I206" s="937" t="str">
        <f>IF(H206&lt;'PlayerGrades+'!$AC$21,"F-",IF(H206&lt;'PlayerGrades+'!$AC$20,"F",IF(H206&lt;'PlayerGrades+'!$AC$19,"F+",IF(H206&lt;'PlayerGrades+'!$AC$18,"E-",IF(H206&lt;'PlayerGrades+'!$AC$17,"E",IF(H206&lt;'PlayerGrades+'!$AC$16,"E+",IF(H206&lt;'PlayerGrades+'!$AC$15,"D-",IF(H206&lt;'PlayerGrades+'!$AC$14,"D",IF(H206&lt;'PlayerGrades+'!$AC$13,"D+",IF(H206&lt;'PlayerGrades+'!$AC$12,"C-",IF(H206&lt;'PlayerGrades+'!$AC$11,"C",IF(H206&lt;'PlayerGrades+'!$AC$10,"C+",IF(H206&lt;'PlayerGrades+'!$AC$9,"B-",IF(H206&lt;'PlayerGrades+'!$AC$8,"B",IF(H206&lt;'PlayerGrades+'!$AC$7,"B+",IF(H206&lt;'PlayerGrades+'!$AC$6,"A-",IF(H206&lt;'PlayerGrades+'!$AC$5,"A",IF(H206&lt;'PlayerGrades+'!$AC$4,"A+",IF(H206&lt;'PlayerGrades+'!$AC$3,"S-",IF(H206&lt;'PlayerGrades+'!$AC$2,"S","S+"))))))))))))))))))))</f>
        <v>E-</v>
      </c>
      <c r="J206" s="937">
        <f t="shared" si="4"/>
        <v>0.06315789474</v>
      </c>
      <c r="K206" s="937" t="str">
        <f>IF(J206&lt;'PlayerGrades+'!$AD$21,"F-",IF(J206&lt;'PlayerGrades+'!$AD$20,"F",IF(J206&lt;'PlayerGrades+'!$AD$19,"F+",IF(J206&lt;'PlayerGrades+'!$AD$18,"E-",IF(J206&lt;'PlayerGrades+'!$AD$17,"E",IF(J206&lt;'PlayerGrades+'!$AD$16,"E+",IF(J206&lt;'PlayerGrades+'!$AD$15,"D-",IF(J206&lt;'PlayerGrades+'!$AD$14,"D",IF(J206&lt;'PlayerGrades+'!$AD$13,"D+",IF(J206&lt;'PlayerGrades+'!$AD$12,"C-",IF(J206&lt;'PlayerGrades+'!$AD$11,"C",IF(J206&lt;'PlayerGrades+'!$AD$10,"C+",IF(J206&lt;'PlayerGrades+'!$AD$9,"B-",IF(J206&lt;'PlayerGrades+'!$AD$8,"B",IF(J206&lt;'PlayerGrades+'!$AD$7,"B+",IF(J206&lt;'PlayerGrades+'!$AD$6,"A-",IF(J206&lt;'PlayerGrades+'!$AD$5,"A",IF(J206&lt;'PlayerGrades+'!$AD$4,"A+",IF(J206&lt;'PlayerGrades+'!$AD$3,"S-",IF(J206&lt;'PlayerGrades+'!$AD$2,"S","S+"))))))))))))))))))))</f>
        <v>A-</v>
      </c>
      <c r="L206" s="677">
        <f t="shared" si="5"/>
        <v>0.1263157895</v>
      </c>
      <c r="M206" s="938" t="str">
        <f>IF(L206&lt;'PlayerGrades+'!$AE$21,"F-",IF(L206&lt;'PlayerGrades+'!$AE$20,"F",IF(L206&lt;'PlayerGrades+'!$AE$19,"F+",IF(L206&lt;'PlayerGrades+'!$AE$18,"E-",IF(L206&lt;'PlayerGrades+'!$AE$17,"E",IF(L206&lt;'PlayerGrades+'!$AE$16,"E+",IF(L206&lt;'PlayerGrades+'!$AE$15,"D-",IF(L206&lt;'PlayerGrades+'!$AE$14,"D",IF(L206&lt;'PlayerGrades+'!$AE$13,"D+",IF(L206&lt;'PlayerGrades+'!$AE$12,"C-",IF(L206&lt;'PlayerGrades+'!$AE$11,"C",IF(L206&lt;'PlayerGrades+'!$AE$10,"C+",IF(L206&lt;'PlayerGrades+'!$AE$9,"B-",IF(L206&lt;'PlayerGrades+'!$AE$8,"B",IF(L206&lt;'PlayerGrades+'!$AE$7,"B+",IF(L206&lt;'PlayerGrades+'!$AE$6,"A-",IF(L206&lt;'PlayerGrades+'!$AE$5,"A",IF(L206&lt;'PlayerGrades+'!$AE$4,"A+",IF(L206&lt;'PlayerGrades+'!$AE$3,"S-",IF(L206&lt;'PlayerGrades+'!$AE$2,"S","S+"))))))))))))))))))))</f>
        <v>F-</v>
      </c>
      <c r="N206" s="937">
        <f t="shared" si="6"/>
        <v>0.1263157895</v>
      </c>
      <c r="O206" s="937" t="str">
        <f>IF(N206&lt;'PlayerGrades+'!$AF$21,"F-",IF(N206&lt;'PlayerGrades+'!$AF$20,"F",IF(N206&lt;'PlayerGrades+'!$AF$19,"F+",IF(N206&lt;'PlayerGrades+'!$AF$18,"E-",IF(N206&lt;'PlayerGrades+'!$AF$17,"E",IF(N206&lt;'PlayerGrades+'!$AF$16,"E+",IF(N206&lt;'PlayerGrades+'!$AF$15,"D-",IF(N206&lt;'PlayerGrades+'!$AF$14,"D",IF(N206&lt;'PlayerGrades+'!$AF$13,"D+",IF(N206&lt;'PlayerGrades+'!$AF$12,"C-",IF(N206&lt;'PlayerGrades+'!$AF$11,"C",IF(N206&lt;'PlayerGrades+'!$AF$10,"C+",IF(N206&lt;'PlayerGrades+'!$AF$9,"B-",IF(N206&lt;'PlayerGrades+'!$AF$8,"B",IF(N206&lt;'PlayerGrades+'!$AF$7,"B+",IF(N206&lt;'PlayerGrades+'!$AF$6,"A-",IF(N206&lt;'PlayerGrades+'!$AF$5,"A",IF(N206&lt;'PlayerGrades+'!$AF$4,"A+",IF(N206&lt;'PlayerGrades+'!$AF$3,"S-",IF(N206&lt;'PlayerGrades+'!$AF$2,"S","S+"))))))))))))))))))))</f>
        <v>S</v>
      </c>
      <c r="P206" s="937">
        <f t="shared" si="7"/>
        <v>0</v>
      </c>
      <c r="Q206" s="937" t="str">
        <f>IF(P206&lt;'PlayerGrades+'!$AG$21,"F-",IF(P206&lt;'PlayerGrades+'!$AG$20,"F",IF(P206&lt;'PlayerGrades+'!$AG$19,"F+",IF(P206&lt;'PlayerGrades+'!$AG$18,"E-",IF(P206&lt;'PlayerGrades+'!$AG$17,"E",IF(P206&lt;'PlayerGrades+'!$AG$16,"E+",IF(P206&lt;'PlayerGrades+'!$AG$15,"D-",IF(P206&lt;'PlayerGrades+'!$AG$14,"D",IF(P206&lt;'PlayerGrades+'!$AG$13,"D+",IF(P206&lt;'PlayerGrades+'!$AG$12,"C-",IF(P206&lt;'PlayerGrades+'!$AG$11,"C",IF(P206&lt;'PlayerGrades+'!$AG$10,"C+",IF(P206&lt;'PlayerGrades+'!$AG$9,"B-",IF(P206&lt;'PlayerGrades+'!$AG$8,"B",IF(P206&lt;'PlayerGrades+'!$AG$7,"B+",IF(P206&lt;'PlayerGrades+'!$AG$6,"A-",IF(P206&lt;'PlayerGrades+'!$AG$5,"A",IF(P206&lt;'PlayerGrades+'!$AG$4,"A+",IF(P206&lt;'PlayerGrades+'!$AG$3,"S-",IF(P206&lt;'PlayerGrades+'!$AG$2,"S","S+"))))))))))))))))))))</f>
        <v>F</v>
      </c>
      <c r="R206" s="937">
        <f t="shared" si="8"/>
        <v>0.3789473684</v>
      </c>
      <c r="S206" s="937" t="str">
        <f>IF(R206&lt;'PlayerGrades+'!$AH$21,"F-",IF(R206&lt;'PlayerGrades+'!$AH$20,"F",IF(R206&lt;'PlayerGrades+'!$AH$19,"F+",IF(R206&lt;'PlayerGrades+'!$AH$18,"E-",IF(R206&lt;'PlayerGrades+'!$AH$17,"E",IF(R206&lt;'PlayerGrades+'!$AH$16,"E+",IF(R206&lt;'PlayerGrades+'!$AH$15,"D-",IF(R206&lt;'PlayerGrades+'!$AH$14,"D",IF(R206&lt;'PlayerGrades+'!$AH$13,"D+",IF(R206&lt;'PlayerGrades+'!$AH$12,"C-",IF(R206&lt;'PlayerGrades+'!$AH$11,"C",IF(R206&lt;'PlayerGrades+'!$AH$10,"C+",IF(R206&lt;'PlayerGrades+'!$AH$9,"B-",IF(R206&lt;'PlayerGrades+'!$AH$8,"B",IF(R206&lt;'PlayerGrades+'!$AH$7,"B+",IF(R206&lt;'PlayerGrades+'!$AH$6,"A-",IF(R206&lt;'PlayerGrades+'!$AH$5,"A",IF(R206&lt;'PlayerGrades+'!$AH$4,"A+",IF(R206&lt;'PlayerGrades+'!$AH$3,"S-",IF(R206&lt;'PlayerGrades+'!$AH$2,"S","S+"))))))))))))))))))))</f>
        <v>F</v>
      </c>
      <c r="T206" s="937">
        <f t="shared" si="9"/>
        <v>1.315789474</v>
      </c>
      <c r="U206" s="937" t="str">
        <f>IF(T206&lt;'PlayerGrades+'!$AI$21,"F-",IF(T206&lt;'PlayerGrades+'!$AI$20,"F",IF(T206&lt;'PlayerGrades+'!$AI$19,"F+",IF(T206&lt;'PlayerGrades+'!$AI$18,"E-",IF(T206&lt;'PlayerGrades+'!$AI$17,"E",IF(T206&lt;'PlayerGrades+'!$AI$16,"E+",IF(T206&lt;'PlayerGrades+'!$AI$15,"D-",IF(T206&lt;'PlayerGrades+'!$AI$14,"D",IF(T206&lt;'PlayerGrades+'!$AI$13,"D+",IF(T206&lt;'PlayerGrades+'!$AI$12,"C-",IF(T206&lt;'PlayerGrades+'!$AI$11,"C",IF(T206&lt;'PlayerGrades+'!$AI$10,"C+",IF(T206&lt;'PlayerGrades+'!$AI$9,"B-",IF(T206&lt;'PlayerGrades+'!$AI$8,"B",IF(T206&lt;'PlayerGrades+'!$AI$7,"B+",IF(T206&lt;'PlayerGrades+'!$AI$6,"A-",IF(T206&lt;'PlayerGrades+'!$AI$5,"A",IF(T206&lt;'PlayerGrades+'!$AI$4,"A+",IF(T206&lt;'PlayerGrades+'!$AI$3,"S-",IF(T206&lt;'PlayerGrades+'!$AI$2,"S","S+"))))))))))))))))))))</f>
        <v>C+</v>
      </c>
      <c r="V206" s="941">
        <v>1.0</v>
      </c>
      <c r="W206" s="941">
        <v>0.0</v>
      </c>
      <c r="X206" s="941">
        <v>1.0</v>
      </c>
      <c r="Y206" s="941">
        <v>2.0</v>
      </c>
      <c r="Z206" s="941">
        <v>7.0</v>
      </c>
      <c r="AA206" s="941">
        <v>33.0</v>
      </c>
      <c r="AB206" s="941">
        <v>40.0</v>
      </c>
      <c r="AC206" s="941">
        <v>-7.0</v>
      </c>
      <c r="AD206" s="941">
        <v>2.0</v>
      </c>
      <c r="AE206" s="941">
        <v>5.0</v>
      </c>
      <c r="AF206" s="941">
        <v>1.0</v>
      </c>
      <c r="AG206" s="941">
        <v>738.0</v>
      </c>
      <c r="AH206" s="941">
        <v>950.0</v>
      </c>
      <c r="AI206" s="941">
        <v>18.0</v>
      </c>
      <c r="AJ206" s="941">
        <v>451.0</v>
      </c>
      <c r="AK206" s="941">
        <v>0.0</v>
      </c>
      <c r="AL206" s="941">
        <v>1.0</v>
      </c>
      <c r="AM206" s="941">
        <v>0.0</v>
      </c>
      <c r="AN206" s="941">
        <v>0.0</v>
      </c>
      <c r="AO206" s="941">
        <v>0.0</v>
      </c>
      <c r="AP206" s="941">
        <v>0.0</v>
      </c>
      <c r="AQ206" s="941">
        <v>0.0</v>
      </c>
      <c r="AR206" s="941">
        <v>2.0</v>
      </c>
      <c r="AS206" s="941">
        <v>2.0</v>
      </c>
      <c r="AT206" s="941">
        <v>1.0</v>
      </c>
      <c r="AU206" s="941">
        <v>1.0</v>
      </c>
      <c r="AV206" s="941">
        <v>0.0</v>
      </c>
      <c r="AW206" s="941">
        <v>0.0</v>
      </c>
      <c r="AX206" s="941">
        <v>0.0</v>
      </c>
      <c r="AY206" s="941">
        <v>0.0</v>
      </c>
      <c r="AZ206" s="941">
        <v>0.0</v>
      </c>
      <c r="BA206" s="941">
        <v>0.0</v>
      </c>
      <c r="BB206" s="941">
        <v>1.0</v>
      </c>
      <c r="BC206" s="941">
        <v>0.0</v>
      </c>
      <c r="BD206" s="941">
        <v>4.0</v>
      </c>
      <c r="BE206" s="941">
        <v>5.0</v>
      </c>
      <c r="BF206" s="941">
        <v>1.0</v>
      </c>
      <c r="BG206" s="942">
        <v>0.0</v>
      </c>
    </row>
    <row r="207">
      <c r="A207" s="935" t="s">
        <v>120</v>
      </c>
      <c r="B207" s="16" t="str">
        <f>IF(C207&lt;'PlayerGrades+'!$Y$44,"F-",IF(C207&lt;'PlayerGrades+'!$Y$43,"F",IF(C207&lt;'PlayerGrades+'!$Y$42,"F+",IF(C207&lt;'PlayerGrades+'!$Y$41,"E-",IF(C207&lt;'PlayerGrades+'!$Y$40,"E",IF(C207&lt;'PlayerGrades+'!$Y$39,"E+",IF(C207&lt;'PlayerGrades+'!$Y$38,"D-",IF(C207&lt;'PlayerGrades+'!$Y$37,"D",IF(C207&lt;'PlayerGrades+'!$Y$36,"D+",IF(C207&lt;'PlayerGrades+'!$Y$35,"C-",IF(C207&lt;'PlayerGrades+'!$Y$34,"C",IF(C207&lt;'PlayerGrades+'!$Y$33,"C+",IF(C207&lt;'PlayerGrades+'!$Y$32,"B-",IF(C207&lt;'PlayerGrades+'!$Y$31,"B",IF(C207&lt;'PlayerGrades+'!$Y$30,"B+",IF(C207&lt;'PlayerGrades+'!$Y$29,"A-",IF(C207&lt;'PlayerGrades+'!$Y$28,"A",IF(C207&lt;'PlayerGrades+'!$Y$27,"A+",IF(C207&lt;'PlayerGrades+'!$Y$26,"S-",IF(C207&lt;'PlayerGrades+'!$Y$25,"S","S+"))))))))))))))))))))</f>
        <v>E</v>
      </c>
      <c r="C207" s="936">
        <f>('PlayerGrades+'!$Y$47*(VLOOKUP(E207, 'PlayerGrades+'!$X$3:$Y$23, 2, FALSE)))+('PlayerGrades+'!$Y$48*(VLOOKUP(G207, 'PlayerGrades+'!$X$3:$Y$23, 2, FALSE)))+('PlayerGrades+'!$Y$49*(VLOOKUP(I207, 'PlayerGrades+'!$X$3:$Y$23, 2, FALSE)))+('PlayerGrades+'!$Y$50*(VLOOKUP(K207, 'PlayerGrades+'!$X$3:$Y$23, 2, FALSE)))+('PlayerGrades+'!$Y$51*(VLOOKUP(M207, 'PlayerGrades+'!$X$3:$Y$23, 2, FALSE)))+('PlayerGrades+'!$Y$52*(VLOOKUP(O207, 'PlayerGrades+'!$X$3:$Y$23, 2, FALSE)))+('PlayerGrades+'!$Y$53*(VLOOKUP(Q207, 'PlayerGrades+'!$X$3:$Y$23, 2, FALSE)))+('PlayerGrades+'!$Y$54*(VLOOKUP(S207, 'PlayerGrades+'!$X$3:$Y$23, 2, FALSE)))+('PlayerGrades+'!$Y$55*(VLOOKUP(U207, 'PlayerGrades+'!$X$3:$Y$23, 2, FALSE)))</f>
        <v>12.65</v>
      </c>
      <c r="D207" s="937">
        <f t="shared" si="1"/>
        <v>0</v>
      </c>
      <c r="E207" s="937" t="str">
        <f>IF(D207&lt;'PlayerGrades+'!$AA$21,"F-",IF(D207&lt;'PlayerGrades+'!$AA$20,"F",IF(D207&lt;'PlayerGrades+'!$AA$19,"F+",IF(D207&lt;'PlayerGrades+'!$AA$18,"E-",IF(D207&lt;'PlayerGrades+'!$AA$17,"E",IF(D207&lt;'PlayerGrades+'!$AA$16,"E+",IF(D207&lt;'PlayerGrades+'!$AA$15,"D-",IF(D207&lt;'PlayerGrades+'!$AA$14,"D",IF(D207&lt;'PlayerGrades+'!$AA$13,"D+",IF(D207&lt;'PlayerGrades+'!$AA$12,"C-",IF(D207&lt;'PlayerGrades+'!$AA$11,"C",IF(D207&lt;'PlayerGrades+'!$AA$10,"C+",IF(D207&lt;'PlayerGrades+'!$AA$9,"B-",IF(D207&lt;'PlayerGrades+'!$AA$8,"B",IF(D207&lt;'PlayerGrades+'!$AA$7,"B+",IF(D207&lt;'PlayerGrades+'!$AA$6,"A-",IF(D207&lt;'PlayerGrades+'!$AA$5,"A",IF(D207&lt;'PlayerGrades+'!$AA$4,"A+",IF(D207&lt;'PlayerGrades+'!$AA$3,"S-",IF(D207&lt;'PlayerGrades+'!$AA$2,"S","S+"))))))))))))))))))))</f>
        <v>F-</v>
      </c>
      <c r="F207" s="937">
        <f t="shared" si="2"/>
        <v>-0.3789473684</v>
      </c>
      <c r="G207" s="937" t="str">
        <f>IF(F207&lt;'PlayerGrades+'!$AB$21,"F-",IF(F207&lt;'PlayerGrades+'!$AB$20,"F",IF(F207&lt;'PlayerGrades+'!$AB$19,"F+",IF(F207&lt;'PlayerGrades+'!$AB$18,"E-",IF(F207&lt;'PlayerGrades+'!$AB$17,"E",IF(F207&lt;'PlayerGrades+'!$AB$16,"E+",IF(F207&lt;'PlayerGrades+'!$AB$15,"D-",IF(F207&lt;'PlayerGrades+'!$AB$14,"D",IF(F207&lt;'PlayerGrades+'!$AB$13,"D+",IF(F207&lt;'PlayerGrades+'!$AB$12,"C-",IF(F207&lt;'PlayerGrades+'!$AB$11,"C",IF(F207&lt;'PlayerGrades+'!$AB$10,"C+",IF(F207&lt;'PlayerGrades+'!$AB$9,"B-",IF(F207&lt;'PlayerGrades+'!$AB$8,"B",IF(F207&lt;'PlayerGrades+'!$AB$7,"B+",IF(F207&lt;'PlayerGrades+'!$AB$6,"A-",IF(F207&lt;'PlayerGrades+'!$AB$5,"A",IF(F207&lt;'PlayerGrades+'!$AB$4,"A+",IF(F207&lt;'PlayerGrades+'!$AB$3,"S-",IF(F207&lt;'PlayerGrades+'!$AB$2,"S","S+"))))))))))))))))))))</f>
        <v>C-</v>
      </c>
      <c r="H207" s="937">
        <f t="shared" si="3"/>
        <v>0</v>
      </c>
      <c r="I207" s="937" t="str">
        <f>IF(H207&lt;'PlayerGrades+'!$AC$21,"F-",IF(H207&lt;'PlayerGrades+'!$AC$20,"F",IF(H207&lt;'PlayerGrades+'!$AC$19,"F+",IF(H207&lt;'PlayerGrades+'!$AC$18,"E-",IF(H207&lt;'PlayerGrades+'!$AC$17,"E",IF(H207&lt;'PlayerGrades+'!$AC$16,"E+",IF(H207&lt;'PlayerGrades+'!$AC$15,"D-",IF(H207&lt;'PlayerGrades+'!$AC$14,"D",IF(H207&lt;'PlayerGrades+'!$AC$13,"D+",IF(H207&lt;'PlayerGrades+'!$AC$12,"C-",IF(H207&lt;'PlayerGrades+'!$AC$11,"C",IF(H207&lt;'PlayerGrades+'!$AC$10,"C+",IF(H207&lt;'PlayerGrades+'!$AC$9,"B-",IF(H207&lt;'PlayerGrades+'!$AC$8,"B",IF(H207&lt;'PlayerGrades+'!$AC$7,"B+",IF(H207&lt;'PlayerGrades+'!$AC$6,"A-",IF(H207&lt;'PlayerGrades+'!$AC$5,"A",IF(H207&lt;'PlayerGrades+'!$AC$4,"A+",IF(H207&lt;'PlayerGrades+'!$AC$3,"S-",IF(H207&lt;'PlayerGrades+'!$AC$2,"S","S+"))))))))))))))))))))</f>
        <v>F-</v>
      </c>
      <c r="J207" s="937">
        <f t="shared" si="4"/>
        <v>0.06315789474</v>
      </c>
      <c r="K207" s="937" t="str">
        <f>IF(J207&lt;'PlayerGrades+'!$AD$21,"F-",IF(J207&lt;'PlayerGrades+'!$AD$20,"F",IF(J207&lt;'PlayerGrades+'!$AD$19,"F+",IF(J207&lt;'PlayerGrades+'!$AD$18,"E-",IF(J207&lt;'PlayerGrades+'!$AD$17,"E",IF(J207&lt;'PlayerGrades+'!$AD$16,"E+",IF(J207&lt;'PlayerGrades+'!$AD$15,"D-",IF(J207&lt;'PlayerGrades+'!$AD$14,"D",IF(J207&lt;'PlayerGrades+'!$AD$13,"D+",IF(J207&lt;'PlayerGrades+'!$AD$12,"C-",IF(J207&lt;'PlayerGrades+'!$AD$11,"C",IF(J207&lt;'PlayerGrades+'!$AD$10,"C+",IF(J207&lt;'PlayerGrades+'!$AD$9,"B-",IF(J207&lt;'PlayerGrades+'!$AD$8,"B",IF(J207&lt;'PlayerGrades+'!$AD$7,"B+",IF(J207&lt;'PlayerGrades+'!$AD$6,"A-",IF(J207&lt;'PlayerGrades+'!$AD$5,"A",IF(J207&lt;'PlayerGrades+'!$AD$4,"A+",IF(J207&lt;'PlayerGrades+'!$AD$3,"S-",IF(J207&lt;'PlayerGrades+'!$AD$2,"S","S+"))))))))))))))))))))</f>
        <v>A-</v>
      </c>
      <c r="L207" s="677">
        <f t="shared" si="5"/>
        <v>0.3789473684</v>
      </c>
      <c r="M207" s="938" t="str">
        <f>IF(L207&lt;'PlayerGrades+'!$AE$21,"F-",IF(L207&lt;'PlayerGrades+'!$AE$20,"F",IF(L207&lt;'PlayerGrades+'!$AE$19,"F+",IF(L207&lt;'PlayerGrades+'!$AE$18,"E-",IF(L207&lt;'PlayerGrades+'!$AE$17,"E",IF(L207&lt;'PlayerGrades+'!$AE$16,"E+",IF(L207&lt;'PlayerGrades+'!$AE$15,"D-",IF(L207&lt;'PlayerGrades+'!$AE$14,"D",IF(L207&lt;'PlayerGrades+'!$AE$13,"D+",IF(L207&lt;'PlayerGrades+'!$AE$12,"C-",IF(L207&lt;'PlayerGrades+'!$AE$11,"C",IF(L207&lt;'PlayerGrades+'!$AE$10,"C+",IF(L207&lt;'PlayerGrades+'!$AE$9,"B-",IF(L207&lt;'PlayerGrades+'!$AE$8,"B",IF(L207&lt;'PlayerGrades+'!$AE$7,"B+",IF(L207&lt;'PlayerGrades+'!$AE$6,"A-",IF(L207&lt;'PlayerGrades+'!$AE$5,"A",IF(L207&lt;'PlayerGrades+'!$AE$4,"A+",IF(L207&lt;'PlayerGrades+'!$AE$3,"S-",IF(L207&lt;'PlayerGrades+'!$AE$2,"S","S+"))))))))))))))))))))</f>
        <v>C-</v>
      </c>
      <c r="N207" s="937">
        <f t="shared" si="6"/>
        <v>0</v>
      </c>
      <c r="O207" s="937" t="str">
        <f>IF(N207&lt;'PlayerGrades+'!$AF$21,"F-",IF(N207&lt;'PlayerGrades+'!$AF$20,"F",IF(N207&lt;'PlayerGrades+'!$AF$19,"F+",IF(N207&lt;'PlayerGrades+'!$AF$18,"E-",IF(N207&lt;'PlayerGrades+'!$AF$17,"E",IF(N207&lt;'PlayerGrades+'!$AF$16,"E+",IF(N207&lt;'PlayerGrades+'!$AF$15,"D-",IF(N207&lt;'PlayerGrades+'!$AF$14,"D",IF(N207&lt;'PlayerGrades+'!$AF$13,"D+",IF(N207&lt;'PlayerGrades+'!$AF$12,"C-",IF(N207&lt;'PlayerGrades+'!$AF$11,"C",IF(N207&lt;'PlayerGrades+'!$AF$10,"C+",IF(N207&lt;'PlayerGrades+'!$AF$9,"B-",IF(N207&lt;'PlayerGrades+'!$AF$8,"B",IF(N207&lt;'PlayerGrades+'!$AF$7,"B+",IF(N207&lt;'PlayerGrades+'!$AF$6,"A-",IF(N207&lt;'PlayerGrades+'!$AF$5,"A",IF(N207&lt;'PlayerGrades+'!$AF$4,"A+",IF(N207&lt;'PlayerGrades+'!$AF$3,"S-",IF(N207&lt;'PlayerGrades+'!$AF$2,"S","S+"))))))))))))))))))))</f>
        <v>F-</v>
      </c>
      <c r="P207" s="937">
        <f t="shared" si="7"/>
        <v>0.06315789474</v>
      </c>
      <c r="Q207" s="937" t="str">
        <f>IF(P207&lt;'PlayerGrades+'!$AG$21,"F-",IF(P207&lt;'PlayerGrades+'!$AG$20,"F",IF(P207&lt;'PlayerGrades+'!$AG$19,"F+",IF(P207&lt;'PlayerGrades+'!$AG$18,"E-",IF(P207&lt;'PlayerGrades+'!$AG$17,"E",IF(P207&lt;'PlayerGrades+'!$AG$16,"E+",IF(P207&lt;'PlayerGrades+'!$AG$15,"D-",IF(P207&lt;'PlayerGrades+'!$AG$14,"D",IF(P207&lt;'PlayerGrades+'!$AG$13,"D+",IF(P207&lt;'PlayerGrades+'!$AG$12,"C-",IF(P207&lt;'PlayerGrades+'!$AG$11,"C",IF(P207&lt;'PlayerGrades+'!$AG$10,"C+",IF(P207&lt;'PlayerGrades+'!$AG$9,"B-",IF(P207&lt;'PlayerGrades+'!$AG$8,"B",IF(P207&lt;'PlayerGrades+'!$AG$7,"B+",IF(P207&lt;'PlayerGrades+'!$AG$6,"A-",IF(P207&lt;'PlayerGrades+'!$AG$5,"A",IF(P207&lt;'PlayerGrades+'!$AG$4,"A+",IF(P207&lt;'PlayerGrades+'!$AG$3,"S-",IF(P207&lt;'PlayerGrades+'!$AG$2,"S","S+"))))))))))))))))))))</f>
        <v>A+</v>
      </c>
      <c r="R207" s="937">
        <f t="shared" si="8"/>
        <v>0.2526315789</v>
      </c>
      <c r="S207" s="937" t="str">
        <f>IF(R207&lt;'PlayerGrades+'!$AH$21,"F-",IF(R207&lt;'PlayerGrades+'!$AH$20,"F",IF(R207&lt;'PlayerGrades+'!$AH$19,"F+",IF(R207&lt;'PlayerGrades+'!$AH$18,"E-",IF(R207&lt;'PlayerGrades+'!$AH$17,"E",IF(R207&lt;'PlayerGrades+'!$AH$16,"E+",IF(R207&lt;'PlayerGrades+'!$AH$15,"D-",IF(R207&lt;'PlayerGrades+'!$AH$14,"D",IF(R207&lt;'PlayerGrades+'!$AH$13,"D+",IF(R207&lt;'PlayerGrades+'!$AH$12,"C-",IF(R207&lt;'PlayerGrades+'!$AH$11,"C",IF(R207&lt;'PlayerGrades+'!$AH$10,"C+",IF(R207&lt;'PlayerGrades+'!$AH$9,"B-",IF(R207&lt;'PlayerGrades+'!$AH$8,"B",IF(R207&lt;'PlayerGrades+'!$AH$7,"B+",IF(R207&lt;'PlayerGrades+'!$AH$6,"A-",IF(R207&lt;'PlayerGrades+'!$AH$5,"A",IF(R207&lt;'PlayerGrades+'!$AH$4,"A+",IF(R207&lt;'PlayerGrades+'!$AH$3,"S-",IF(R207&lt;'PlayerGrades+'!$AH$2,"S","S+"))))))))))))))))))))</f>
        <v>F-</v>
      </c>
      <c r="T207" s="937">
        <f t="shared" si="9"/>
        <v>2.568421053</v>
      </c>
      <c r="U207" s="937" t="str">
        <f>IF(T207&lt;'PlayerGrades+'!$AI$21,"F-",IF(T207&lt;'PlayerGrades+'!$AI$20,"F",IF(T207&lt;'PlayerGrades+'!$AI$19,"F+",IF(T207&lt;'PlayerGrades+'!$AI$18,"E-",IF(T207&lt;'PlayerGrades+'!$AI$17,"E",IF(T207&lt;'PlayerGrades+'!$AI$16,"E+",IF(T207&lt;'PlayerGrades+'!$AI$15,"D-",IF(T207&lt;'PlayerGrades+'!$AI$14,"D",IF(T207&lt;'PlayerGrades+'!$AI$13,"D+",IF(T207&lt;'PlayerGrades+'!$AI$12,"C-",IF(T207&lt;'PlayerGrades+'!$AI$11,"C",IF(T207&lt;'PlayerGrades+'!$AI$10,"C+",IF(T207&lt;'PlayerGrades+'!$AI$9,"B-",IF(T207&lt;'PlayerGrades+'!$AI$8,"B",IF(T207&lt;'PlayerGrades+'!$AI$7,"B+",IF(T207&lt;'PlayerGrades+'!$AI$6,"A-",IF(T207&lt;'PlayerGrades+'!$AI$5,"A",IF(T207&lt;'PlayerGrades+'!$AI$4,"A+",IF(T207&lt;'PlayerGrades+'!$AI$3,"S-",IF(T207&lt;'PlayerGrades+'!$AI$2,"S","S+"))))))))))))))))))))</f>
        <v>S+</v>
      </c>
      <c r="V207" s="941">
        <v>1.0</v>
      </c>
      <c r="W207" s="941">
        <v>0.0</v>
      </c>
      <c r="X207" s="941">
        <v>1.0</v>
      </c>
      <c r="Y207" s="941">
        <v>0.0</v>
      </c>
      <c r="Z207" s="941">
        <v>0.0</v>
      </c>
      <c r="AA207" s="941">
        <v>44.0</v>
      </c>
      <c r="AB207" s="941">
        <v>50.0</v>
      </c>
      <c r="AC207" s="941">
        <v>-6.0</v>
      </c>
      <c r="AD207" s="941">
        <v>1.0</v>
      </c>
      <c r="AE207" s="941">
        <v>6.0</v>
      </c>
      <c r="AF207" s="941">
        <v>1.0</v>
      </c>
      <c r="AG207" s="941">
        <v>700.0</v>
      </c>
      <c r="AH207" s="941">
        <v>950.0</v>
      </c>
      <c r="AI207" s="941">
        <v>14.0</v>
      </c>
      <c r="AJ207" s="941">
        <v>0.0</v>
      </c>
      <c r="AK207" s="941">
        <v>0.0</v>
      </c>
      <c r="AL207" s="941">
        <v>1.0</v>
      </c>
      <c r="AM207" s="941">
        <v>0.0</v>
      </c>
      <c r="AN207" s="941">
        <v>0.0</v>
      </c>
      <c r="AO207" s="941">
        <v>0.0</v>
      </c>
      <c r="AP207" s="941">
        <v>1.0</v>
      </c>
      <c r="AQ207" s="941">
        <v>0.0</v>
      </c>
      <c r="AR207" s="941">
        <v>6.0</v>
      </c>
      <c r="AS207" s="941">
        <v>0.0</v>
      </c>
      <c r="AT207" s="941">
        <v>0.0</v>
      </c>
      <c r="AU207" s="941">
        <v>0.0</v>
      </c>
      <c r="AV207" s="941">
        <v>0.0</v>
      </c>
      <c r="AW207" s="941">
        <v>0.0</v>
      </c>
      <c r="AX207" s="941">
        <v>0.0</v>
      </c>
      <c r="AY207" s="941">
        <v>0.0</v>
      </c>
      <c r="AZ207" s="941">
        <v>0.0</v>
      </c>
      <c r="BA207" s="941">
        <v>0.0</v>
      </c>
      <c r="BB207" s="941">
        <v>0.0</v>
      </c>
      <c r="BC207" s="941">
        <v>0.0</v>
      </c>
      <c r="BD207" s="941">
        <v>3.0</v>
      </c>
      <c r="BE207" s="941">
        <v>9.0</v>
      </c>
      <c r="BF207" s="941">
        <v>2.0</v>
      </c>
      <c r="BG207" s="942">
        <v>0.0</v>
      </c>
    </row>
    <row r="208">
      <c r="A208" s="935" t="s">
        <v>142</v>
      </c>
      <c r="B208" s="16" t="str">
        <f>IF(C208&lt;'PlayerGrades+'!$Y$44,"F-",IF(C208&lt;'PlayerGrades+'!$Y$43,"F",IF(C208&lt;'PlayerGrades+'!$Y$42,"F+",IF(C208&lt;'PlayerGrades+'!$Y$41,"E-",IF(C208&lt;'PlayerGrades+'!$Y$40,"E",IF(C208&lt;'PlayerGrades+'!$Y$39,"E+",IF(C208&lt;'PlayerGrades+'!$Y$38,"D-",IF(C208&lt;'PlayerGrades+'!$Y$37,"D",IF(C208&lt;'PlayerGrades+'!$Y$36,"D+",IF(C208&lt;'PlayerGrades+'!$Y$35,"C-",IF(C208&lt;'PlayerGrades+'!$Y$34,"C",IF(C208&lt;'PlayerGrades+'!$Y$33,"C+",IF(C208&lt;'PlayerGrades+'!$Y$32,"B-",IF(C208&lt;'PlayerGrades+'!$Y$31,"B",IF(C208&lt;'PlayerGrades+'!$Y$30,"B+",IF(C208&lt;'PlayerGrades+'!$Y$29,"A-",IF(C208&lt;'PlayerGrades+'!$Y$28,"A",IF(C208&lt;'PlayerGrades+'!$Y$27,"A+",IF(C208&lt;'PlayerGrades+'!$Y$26,"S-",IF(C208&lt;'PlayerGrades+'!$Y$25,"S","S+"))))))))))))))))))))</f>
        <v>C</v>
      </c>
      <c r="C208" s="936">
        <f>('PlayerGrades+'!$Y$47*(VLOOKUP(E208, 'PlayerGrades+'!$X$3:$Y$23, 2, FALSE)))+('PlayerGrades+'!$Y$48*(VLOOKUP(G208, 'PlayerGrades+'!$X$3:$Y$23, 2, FALSE)))+('PlayerGrades+'!$Y$49*(VLOOKUP(I208, 'PlayerGrades+'!$X$3:$Y$23, 2, FALSE)))+('PlayerGrades+'!$Y$50*(VLOOKUP(K208, 'PlayerGrades+'!$X$3:$Y$23, 2, FALSE)))+('PlayerGrades+'!$Y$51*(VLOOKUP(M208, 'PlayerGrades+'!$X$3:$Y$23, 2, FALSE)))+('PlayerGrades+'!$Y$52*(VLOOKUP(O208, 'PlayerGrades+'!$X$3:$Y$23, 2, FALSE)))+('PlayerGrades+'!$Y$53*(VLOOKUP(Q208, 'PlayerGrades+'!$X$3:$Y$23, 2, FALSE)))+('PlayerGrades+'!$Y$54*(VLOOKUP(S208, 'PlayerGrades+'!$X$3:$Y$23, 2, FALSE)))+('PlayerGrades+'!$Y$55*(VLOOKUP(U208, 'PlayerGrades+'!$X$3:$Y$23, 2, FALSE)))</f>
        <v>20</v>
      </c>
      <c r="D208" s="937">
        <f t="shared" si="1"/>
        <v>0.06315789474</v>
      </c>
      <c r="E208" s="937" t="str">
        <f>IF(D208&lt;'PlayerGrades+'!$AA$21,"F-",IF(D208&lt;'PlayerGrades+'!$AA$20,"F",IF(D208&lt;'PlayerGrades+'!$AA$19,"F+",IF(D208&lt;'PlayerGrades+'!$AA$18,"E-",IF(D208&lt;'PlayerGrades+'!$AA$17,"E",IF(D208&lt;'PlayerGrades+'!$AA$16,"E+",IF(D208&lt;'PlayerGrades+'!$AA$15,"D-",IF(D208&lt;'PlayerGrades+'!$AA$14,"D",IF(D208&lt;'PlayerGrades+'!$AA$13,"D+",IF(D208&lt;'PlayerGrades+'!$AA$12,"C-",IF(D208&lt;'PlayerGrades+'!$AA$11,"C",IF(D208&lt;'PlayerGrades+'!$AA$10,"C+",IF(D208&lt;'PlayerGrades+'!$AA$9,"B-",IF(D208&lt;'PlayerGrades+'!$AA$8,"B",IF(D208&lt;'PlayerGrades+'!$AA$7,"B+",IF(D208&lt;'PlayerGrades+'!$AA$6,"A-",IF(D208&lt;'PlayerGrades+'!$AA$5,"A",IF(D208&lt;'PlayerGrades+'!$AA$4,"A+",IF(D208&lt;'PlayerGrades+'!$AA$3,"S-",IF(D208&lt;'PlayerGrades+'!$AA$2,"S","S+"))))))))))))))))))))</f>
        <v>B-</v>
      </c>
      <c r="F208" s="937">
        <f t="shared" si="2"/>
        <v>-0.6315789474</v>
      </c>
      <c r="G208" s="937" t="str">
        <f>IF(F208&lt;'PlayerGrades+'!$AB$21,"F-",IF(F208&lt;'PlayerGrades+'!$AB$20,"F",IF(F208&lt;'PlayerGrades+'!$AB$19,"F+",IF(F208&lt;'PlayerGrades+'!$AB$18,"E-",IF(F208&lt;'PlayerGrades+'!$AB$17,"E",IF(F208&lt;'PlayerGrades+'!$AB$16,"E+",IF(F208&lt;'PlayerGrades+'!$AB$15,"D-",IF(F208&lt;'PlayerGrades+'!$AB$14,"D",IF(F208&lt;'PlayerGrades+'!$AB$13,"D+",IF(F208&lt;'PlayerGrades+'!$AB$12,"C-",IF(F208&lt;'PlayerGrades+'!$AB$11,"C",IF(F208&lt;'PlayerGrades+'!$AB$10,"C+",IF(F208&lt;'PlayerGrades+'!$AB$9,"B-",IF(F208&lt;'PlayerGrades+'!$AB$8,"B",IF(F208&lt;'PlayerGrades+'!$AB$7,"B+",IF(F208&lt;'PlayerGrades+'!$AB$6,"A-",IF(F208&lt;'PlayerGrades+'!$AB$5,"A",IF(F208&lt;'PlayerGrades+'!$AB$4,"A+",IF(F208&lt;'PlayerGrades+'!$AB$3,"S-",IF(F208&lt;'PlayerGrades+'!$AB$2,"S","S+"))))))))))))))))))))</f>
        <v>D-</v>
      </c>
      <c r="H208" s="937">
        <f t="shared" si="3"/>
        <v>0</v>
      </c>
      <c r="I208" s="937" t="str">
        <f>IF(H208&lt;'PlayerGrades+'!$AC$21,"F-",IF(H208&lt;'PlayerGrades+'!$AC$20,"F",IF(H208&lt;'PlayerGrades+'!$AC$19,"F+",IF(H208&lt;'PlayerGrades+'!$AC$18,"E-",IF(H208&lt;'PlayerGrades+'!$AC$17,"E",IF(H208&lt;'PlayerGrades+'!$AC$16,"E+",IF(H208&lt;'PlayerGrades+'!$AC$15,"D-",IF(H208&lt;'PlayerGrades+'!$AC$14,"D",IF(H208&lt;'PlayerGrades+'!$AC$13,"D+",IF(H208&lt;'PlayerGrades+'!$AC$12,"C-",IF(H208&lt;'PlayerGrades+'!$AC$11,"C",IF(H208&lt;'PlayerGrades+'!$AC$10,"C+",IF(H208&lt;'PlayerGrades+'!$AC$9,"B-",IF(H208&lt;'PlayerGrades+'!$AC$8,"B",IF(H208&lt;'PlayerGrades+'!$AC$7,"B+",IF(H208&lt;'PlayerGrades+'!$AC$6,"A-",IF(H208&lt;'PlayerGrades+'!$AC$5,"A",IF(H208&lt;'PlayerGrades+'!$AC$4,"A+",IF(H208&lt;'PlayerGrades+'!$AC$3,"S-",IF(H208&lt;'PlayerGrades+'!$AC$2,"S","S+"))))))))))))))))))))</f>
        <v>F-</v>
      </c>
      <c r="J208" s="937">
        <f t="shared" si="4"/>
        <v>0.06315789474</v>
      </c>
      <c r="K208" s="937" t="str">
        <f>IF(J208&lt;'PlayerGrades+'!$AD$21,"F-",IF(J208&lt;'PlayerGrades+'!$AD$20,"F",IF(J208&lt;'PlayerGrades+'!$AD$19,"F+",IF(J208&lt;'PlayerGrades+'!$AD$18,"E-",IF(J208&lt;'PlayerGrades+'!$AD$17,"E",IF(J208&lt;'PlayerGrades+'!$AD$16,"E+",IF(J208&lt;'PlayerGrades+'!$AD$15,"D-",IF(J208&lt;'PlayerGrades+'!$AD$14,"D",IF(J208&lt;'PlayerGrades+'!$AD$13,"D+",IF(J208&lt;'PlayerGrades+'!$AD$12,"C-",IF(J208&lt;'PlayerGrades+'!$AD$11,"C",IF(J208&lt;'PlayerGrades+'!$AD$10,"C+",IF(J208&lt;'PlayerGrades+'!$AD$9,"B-",IF(J208&lt;'PlayerGrades+'!$AD$8,"B",IF(J208&lt;'PlayerGrades+'!$AD$7,"B+",IF(J208&lt;'PlayerGrades+'!$AD$6,"A-",IF(J208&lt;'PlayerGrades+'!$AD$5,"A",IF(J208&lt;'PlayerGrades+'!$AD$4,"A+",IF(J208&lt;'PlayerGrades+'!$AD$3,"S-",IF(J208&lt;'PlayerGrades+'!$AD$2,"S","S+"))))))))))))))))))))</f>
        <v>A-</v>
      </c>
      <c r="L208" s="677">
        <f t="shared" si="5"/>
        <v>0.3157894737</v>
      </c>
      <c r="M208" s="938" t="str">
        <f>IF(L208&lt;'PlayerGrades+'!$AE$21,"F-",IF(L208&lt;'PlayerGrades+'!$AE$20,"F",IF(L208&lt;'PlayerGrades+'!$AE$19,"F+",IF(L208&lt;'PlayerGrades+'!$AE$18,"E-",IF(L208&lt;'PlayerGrades+'!$AE$17,"E",IF(L208&lt;'PlayerGrades+'!$AE$16,"E+",IF(L208&lt;'PlayerGrades+'!$AE$15,"D-",IF(L208&lt;'PlayerGrades+'!$AE$14,"D",IF(L208&lt;'PlayerGrades+'!$AE$13,"D+",IF(L208&lt;'PlayerGrades+'!$AE$12,"C-",IF(L208&lt;'PlayerGrades+'!$AE$11,"C",IF(L208&lt;'PlayerGrades+'!$AE$10,"C+",IF(L208&lt;'PlayerGrades+'!$AE$9,"B-",IF(L208&lt;'PlayerGrades+'!$AE$8,"B",IF(L208&lt;'PlayerGrades+'!$AE$7,"B+",IF(L208&lt;'PlayerGrades+'!$AE$6,"A-",IF(L208&lt;'PlayerGrades+'!$AE$5,"A",IF(L208&lt;'PlayerGrades+'!$AE$4,"A+",IF(L208&lt;'PlayerGrades+'!$AE$3,"S-",IF(L208&lt;'PlayerGrades+'!$AE$2,"S","S+"))))))))))))))))))))</f>
        <v>E</v>
      </c>
      <c r="N208" s="937">
        <f t="shared" si="6"/>
        <v>0.06315789474</v>
      </c>
      <c r="O208" s="937" t="str">
        <f>IF(N208&lt;'PlayerGrades+'!$AF$21,"F-",IF(N208&lt;'PlayerGrades+'!$AF$20,"F",IF(N208&lt;'PlayerGrades+'!$AF$19,"F+",IF(N208&lt;'PlayerGrades+'!$AF$18,"E-",IF(N208&lt;'PlayerGrades+'!$AF$17,"E",IF(N208&lt;'PlayerGrades+'!$AF$16,"E+",IF(N208&lt;'PlayerGrades+'!$AF$15,"D-",IF(N208&lt;'PlayerGrades+'!$AF$14,"D",IF(N208&lt;'PlayerGrades+'!$AF$13,"D+",IF(N208&lt;'PlayerGrades+'!$AF$12,"C-",IF(N208&lt;'PlayerGrades+'!$AF$11,"C",IF(N208&lt;'PlayerGrades+'!$AF$10,"C+",IF(N208&lt;'PlayerGrades+'!$AF$9,"B-",IF(N208&lt;'PlayerGrades+'!$AF$8,"B",IF(N208&lt;'PlayerGrades+'!$AF$7,"B+",IF(N208&lt;'PlayerGrades+'!$AF$6,"A-",IF(N208&lt;'PlayerGrades+'!$AF$5,"A",IF(N208&lt;'PlayerGrades+'!$AF$4,"A+",IF(N208&lt;'PlayerGrades+'!$AF$3,"S-",IF(N208&lt;'PlayerGrades+'!$AF$2,"S","S+"))))))))))))))))))))</f>
        <v>C-</v>
      </c>
      <c r="P208" s="937">
        <f t="shared" si="7"/>
        <v>0.06315789474</v>
      </c>
      <c r="Q208" s="937" t="str">
        <f>IF(P208&lt;'PlayerGrades+'!$AG$21,"F-",IF(P208&lt;'PlayerGrades+'!$AG$20,"F",IF(P208&lt;'PlayerGrades+'!$AG$19,"F+",IF(P208&lt;'PlayerGrades+'!$AG$18,"E-",IF(P208&lt;'PlayerGrades+'!$AG$17,"E",IF(P208&lt;'PlayerGrades+'!$AG$16,"E+",IF(P208&lt;'PlayerGrades+'!$AG$15,"D-",IF(P208&lt;'PlayerGrades+'!$AG$14,"D",IF(P208&lt;'PlayerGrades+'!$AG$13,"D+",IF(P208&lt;'PlayerGrades+'!$AG$12,"C-",IF(P208&lt;'PlayerGrades+'!$AG$11,"C",IF(P208&lt;'PlayerGrades+'!$AG$10,"C+",IF(P208&lt;'PlayerGrades+'!$AG$9,"B-",IF(P208&lt;'PlayerGrades+'!$AG$8,"B",IF(P208&lt;'PlayerGrades+'!$AG$7,"B+",IF(P208&lt;'PlayerGrades+'!$AG$6,"A-",IF(P208&lt;'PlayerGrades+'!$AG$5,"A",IF(P208&lt;'PlayerGrades+'!$AG$4,"A+",IF(P208&lt;'PlayerGrades+'!$AG$3,"S-",IF(P208&lt;'PlayerGrades+'!$AG$2,"S","S+"))))))))))))))))))))</f>
        <v>A+</v>
      </c>
      <c r="R208" s="937">
        <f t="shared" si="8"/>
        <v>0.6315789474</v>
      </c>
      <c r="S208" s="937" t="str">
        <f>IF(R208&lt;'PlayerGrades+'!$AH$21,"F-",IF(R208&lt;'PlayerGrades+'!$AH$20,"F",IF(R208&lt;'PlayerGrades+'!$AH$19,"F+",IF(R208&lt;'PlayerGrades+'!$AH$18,"E-",IF(R208&lt;'PlayerGrades+'!$AH$17,"E",IF(R208&lt;'PlayerGrades+'!$AH$16,"E+",IF(R208&lt;'PlayerGrades+'!$AH$15,"D-",IF(R208&lt;'PlayerGrades+'!$AH$14,"D",IF(R208&lt;'PlayerGrades+'!$AH$13,"D+",IF(R208&lt;'PlayerGrades+'!$AH$12,"C-",IF(R208&lt;'PlayerGrades+'!$AH$11,"C",IF(R208&lt;'PlayerGrades+'!$AH$10,"C+",IF(R208&lt;'PlayerGrades+'!$AH$9,"B-",IF(R208&lt;'PlayerGrades+'!$AH$8,"B",IF(R208&lt;'PlayerGrades+'!$AH$7,"B+",IF(R208&lt;'PlayerGrades+'!$AH$6,"A-",IF(R208&lt;'PlayerGrades+'!$AH$5,"A",IF(R208&lt;'PlayerGrades+'!$AH$4,"A+",IF(R208&lt;'PlayerGrades+'!$AH$3,"S-",IF(R208&lt;'PlayerGrades+'!$AH$2,"S","S+"))))))))))))))))))))</f>
        <v>A</v>
      </c>
      <c r="T208" s="937">
        <f t="shared" si="9"/>
        <v>2.442105263</v>
      </c>
      <c r="U208" s="937" t="str">
        <f>IF(T208&lt;'PlayerGrades+'!$AI$21,"F-",IF(T208&lt;'PlayerGrades+'!$AI$20,"F",IF(T208&lt;'PlayerGrades+'!$AI$19,"F+",IF(T208&lt;'PlayerGrades+'!$AI$18,"E-",IF(T208&lt;'PlayerGrades+'!$AI$17,"E",IF(T208&lt;'PlayerGrades+'!$AI$16,"E+",IF(T208&lt;'PlayerGrades+'!$AI$15,"D-",IF(T208&lt;'PlayerGrades+'!$AI$14,"D",IF(T208&lt;'PlayerGrades+'!$AI$13,"D+",IF(T208&lt;'PlayerGrades+'!$AI$12,"C-",IF(T208&lt;'PlayerGrades+'!$AI$11,"C",IF(T208&lt;'PlayerGrades+'!$AI$10,"C+",IF(T208&lt;'PlayerGrades+'!$AI$9,"B-",IF(T208&lt;'PlayerGrades+'!$AI$8,"B",IF(T208&lt;'PlayerGrades+'!$AI$7,"B+",IF(T208&lt;'PlayerGrades+'!$AI$6,"A-",IF(T208&lt;'PlayerGrades+'!$AI$5,"A",IF(T208&lt;'PlayerGrades+'!$AI$4,"A+",IF(T208&lt;'PlayerGrades+'!$AI$3,"S-",IF(T208&lt;'PlayerGrades+'!$AI$2,"S","S+"))))))))))))))))))))</f>
        <v>S+</v>
      </c>
      <c r="V208" s="941">
        <v>1.0</v>
      </c>
      <c r="W208" s="941">
        <v>0.0</v>
      </c>
      <c r="X208" s="941">
        <v>1.0</v>
      </c>
      <c r="Y208" s="941">
        <v>0.0</v>
      </c>
      <c r="Z208" s="941">
        <v>1.0</v>
      </c>
      <c r="AA208" s="941">
        <v>48.0</v>
      </c>
      <c r="AB208" s="941">
        <v>58.0</v>
      </c>
      <c r="AC208" s="941">
        <v>-10.0</v>
      </c>
      <c r="AD208" s="941">
        <v>2.0</v>
      </c>
      <c r="AE208" s="941">
        <v>5.0</v>
      </c>
      <c r="AF208" s="941">
        <v>1.0</v>
      </c>
      <c r="AG208" s="941">
        <v>683.0</v>
      </c>
      <c r="AH208" s="941">
        <v>950.0</v>
      </c>
      <c r="AI208" s="941">
        <v>11.0</v>
      </c>
      <c r="AJ208" s="941">
        <v>4.0</v>
      </c>
      <c r="AK208" s="941">
        <v>0.0</v>
      </c>
      <c r="AL208" s="941">
        <v>1.0</v>
      </c>
      <c r="AM208" s="941">
        <v>0.0</v>
      </c>
      <c r="AN208" s="941">
        <v>0.0</v>
      </c>
      <c r="AO208" s="941">
        <v>0.0</v>
      </c>
      <c r="AP208" s="941">
        <v>1.0</v>
      </c>
      <c r="AQ208" s="941">
        <v>0.0</v>
      </c>
      <c r="AR208" s="941">
        <v>5.0</v>
      </c>
      <c r="AS208" s="941">
        <v>1.0</v>
      </c>
      <c r="AT208" s="941">
        <v>0.0</v>
      </c>
      <c r="AU208" s="941">
        <v>0.0</v>
      </c>
      <c r="AV208" s="941">
        <v>0.0</v>
      </c>
      <c r="AW208" s="941">
        <v>0.0</v>
      </c>
      <c r="AX208" s="941">
        <v>0.0</v>
      </c>
      <c r="AY208" s="941">
        <v>0.0</v>
      </c>
      <c r="AZ208" s="941">
        <v>0.0</v>
      </c>
      <c r="BA208" s="941">
        <v>0.0</v>
      </c>
      <c r="BB208" s="941">
        <v>0.0</v>
      </c>
      <c r="BC208" s="941">
        <v>0.0</v>
      </c>
      <c r="BD208" s="941">
        <v>8.0</v>
      </c>
      <c r="BE208" s="941">
        <v>7.0</v>
      </c>
      <c r="BF208" s="941">
        <v>2.0</v>
      </c>
      <c r="BG208" s="942">
        <v>0.0</v>
      </c>
    </row>
    <row r="209">
      <c r="A209" s="943" t="s">
        <v>131</v>
      </c>
      <c r="B209" s="16" t="str">
        <f>IF(C209&lt;'PlayerGrades+'!$Y$44,"F-",IF(C209&lt;'PlayerGrades+'!$Y$43,"F",IF(C209&lt;'PlayerGrades+'!$Y$42,"F+",IF(C209&lt;'PlayerGrades+'!$Y$41,"E-",IF(C209&lt;'PlayerGrades+'!$Y$40,"E",IF(C209&lt;'PlayerGrades+'!$Y$39,"E+",IF(C209&lt;'PlayerGrades+'!$Y$38,"D-",IF(C209&lt;'PlayerGrades+'!$Y$37,"D",IF(C209&lt;'PlayerGrades+'!$Y$36,"D+",IF(C209&lt;'PlayerGrades+'!$Y$35,"C-",IF(C209&lt;'PlayerGrades+'!$Y$34,"C",IF(C209&lt;'PlayerGrades+'!$Y$33,"C+",IF(C209&lt;'PlayerGrades+'!$Y$32,"B-",IF(C209&lt;'PlayerGrades+'!$Y$31,"B",IF(C209&lt;'PlayerGrades+'!$Y$30,"B+",IF(C209&lt;'PlayerGrades+'!$Y$29,"A-",IF(C209&lt;'PlayerGrades+'!$Y$28,"A",IF(C209&lt;'PlayerGrades+'!$Y$27,"A+",IF(C209&lt;'PlayerGrades+'!$Y$26,"S-",IF(C209&lt;'PlayerGrades+'!$Y$25,"S","S+"))))))))))))))))))))</f>
        <v>E-</v>
      </c>
      <c r="C209" s="936">
        <f>('PlayerGrades+'!$Y$47*(VLOOKUP(E209, 'PlayerGrades+'!$X$3:$Y$23, 2, FALSE)))+('PlayerGrades+'!$Y$48*(VLOOKUP(G209, 'PlayerGrades+'!$X$3:$Y$23, 2, FALSE)))+('PlayerGrades+'!$Y$49*(VLOOKUP(I209, 'PlayerGrades+'!$X$3:$Y$23, 2, FALSE)))+('PlayerGrades+'!$Y$50*(VLOOKUP(K209, 'PlayerGrades+'!$X$3:$Y$23, 2, FALSE)))+('PlayerGrades+'!$Y$51*(VLOOKUP(M209, 'PlayerGrades+'!$X$3:$Y$23, 2, FALSE)))+('PlayerGrades+'!$Y$52*(VLOOKUP(O209, 'PlayerGrades+'!$X$3:$Y$23, 2, FALSE)))+('PlayerGrades+'!$Y$53*(VLOOKUP(Q209, 'PlayerGrades+'!$X$3:$Y$23, 2, FALSE)))+('PlayerGrades+'!$Y$54*(VLOOKUP(S209, 'PlayerGrades+'!$X$3:$Y$23, 2, FALSE)))+('PlayerGrades+'!$Y$55*(VLOOKUP(U209, 'PlayerGrades+'!$X$3:$Y$23, 2, FALSE)))</f>
        <v>11.65</v>
      </c>
      <c r="D209" s="937">
        <f t="shared" si="1"/>
        <v>0</v>
      </c>
      <c r="E209" s="937" t="str">
        <f>IF(D209&lt;'PlayerGrades+'!$AA$21,"F-",IF(D209&lt;'PlayerGrades+'!$AA$20,"F",IF(D209&lt;'PlayerGrades+'!$AA$19,"F+",IF(D209&lt;'PlayerGrades+'!$AA$18,"E-",IF(D209&lt;'PlayerGrades+'!$AA$17,"E",IF(D209&lt;'PlayerGrades+'!$AA$16,"E+",IF(D209&lt;'PlayerGrades+'!$AA$15,"D-",IF(D209&lt;'PlayerGrades+'!$AA$14,"D",IF(D209&lt;'PlayerGrades+'!$AA$13,"D+",IF(D209&lt;'PlayerGrades+'!$AA$12,"C-",IF(D209&lt;'PlayerGrades+'!$AA$11,"C",IF(D209&lt;'PlayerGrades+'!$AA$10,"C+",IF(D209&lt;'PlayerGrades+'!$AA$9,"B-",IF(D209&lt;'PlayerGrades+'!$AA$8,"B",IF(D209&lt;'PlayerGrades+'!$AA$7,"B+",IF(D209&lt;'PlayerGrades+'!$AA$6,"A-",IF(D209&lt;'PlayerGrades+'!$AA$5,"A",IF(D209&lt;'PlayerGrades+'!$AA$4,"A+",IF(D209&lt;'PlayerGrades+'!$AA$3,"S-",IF(D209&lt;'PlayerGrades+'!$AA$2,"S","S+"))))))))))))))))))))</f>
        <v>F-</v>
      </c>
      <c r="F209" s="937">
        <f t="shared" si="2"/>
        <v>-1.073684211</v>
      </c>
      <c r="G209" s="937" t="str">
        <f>IF(F209&lt;'PlayerGrades+'!$AB$21,"F-",IF(F209&lt;'PlayerGrades+'!$AB$20,"F",IF(F209&lt;'PlayerGrades+'!$AB$19,"F+",IF(F209&lt;'PlayerGrades+'!$AB$18,"E-",IF(F209&lt;'PlayerGrades+'!$AB$17,"E",IF(F209&lt;'PlayerGrades+'!$AB$16,"E+",IF(F209&lt;'PlayerGrades+'!$AB$15,"D-",IF(F209&lt;'PlayerGrades+'!$AB$14,"D",IF(F209&lt;'PlayerGrades+'!$AB$13,"D+",IF(F209&lt;'PlayerGrades+'!$AB$12,"C-",IF(F209&lt;'PlayerGrades+'!$AB$11,"C",IF(F209&lt;'PlayerGrades+'!$AB$10,"C+",IF(F209&lt;'PlayerGrades+'!$AB$9,"B-",IF(F209&lt;'PlayerGrades+'!$AB$8,"B",IF(F209&lt;'PlayerGrades+'!$AB$7,"B+",IF(F209&lt;'PlayerGrades+'!$AB$6,"A-",IF(F209&lt;'PlayerGrades+'!$AB$5,"A",IF(F209&lt;'PlayerGrades+'!$AB$4,"A+",IF(F209&lt;'PlayerGrades+'!$AB$3,"S-",IF(F209&lt;'PlayerGrades+'!$AB$2,"S","S+"))))))))))))))))))))</f>
        <v>F</v>
      </c>
      <c r="H209" s="937">
        <f t="shared" si="3"/>
        <v>0.06315789474</v>
      </c>
      <c r="I209" s="937" t="str">
        <f>IF(H209&lt;'PlayerGrades+'!$AC$21,"F-",IF(H209&lt;'PlayerGrades+'!$AC$20,"F",IF(H209&lt;'PlayerGrades+'!$AC$19,"F+",IF(H209&lt;'PlayerGrades+'!$AC$18,"E-",IF(H209&lt;'PlayerGrades+'!$AC$17,"E",IF(H209&lt;'PlayerGrades+'!$AC$16,"E+",IF(H209&lt;'PlayerGrades+'!$AC$15,"D-",IF(H209&lt;'PlayerGrades+'!$AC$14,"D",IF(H209&lt;'PlayerGrades+'!$AC$13,"D+",IF(H209&lt;'PlayerGrades+'!$AC$12,"C-",IF(H209&lt;'PlayerGrades+'!$AC$11,"C",IF(H209&lt;'PlayerGrades+'!$AC$10,"C+",IF(H209&lt;'PlayerGrades+'!$AC$9,"B-",IF(H209&lt;'PlayerGrades+'!$AC$8,"B",IF(H209&lt;'PlayerGrades+'!$AC$7,"B+",IF(H209&lt;'PlayerGrades+'!$AC$6,"A-",IF(H209&lt;'PlayerGrades+'!$AC$5,"A",IF(H209&lt;'PlayerGrades+'!$AC$4,"A+",IF(H209&lt;'PlayerGrades+'!$AC$3,"S-",IF(H209&lt;'PlayerGrades+'!$AC$2,"S","S+"))))))))))))))))))))</f>
        <v>E-</v>
      </c>
      <c r="J209" s="937">
        <f t="shared" si="4"/>
        <v>0.06315789474</v>
      </c>
      <c r="K209" s="937" t="str">
        <f>IF(J209&lt;'PlayerGrades+'!$AD$21,"F-",IF(J209&lt;'PlayerGrades+'!$AD$20,"F",IF(J209&lt;'PlayerGrades+'!$AD$19,"F+",IF(J209&lt;'PlayerGrades+'!$AD$18,"E-",IF(J209&lt;'PlayerGrades+'!$AD$17,"E",IF(J209&lt;'PlayerGrades+'!$AD$16,"E+",IF(J209&lt;'PlayerGrades+'!$AD$15,"D-",IF(J209&lt;'PlayerGrades+'!$AD$14,"D",IF(J209&lt;'PlayerGrades+'!$AD$13,"D+",IF(J209&lt;'PlayerGrades+'!$AD$12,"C-",IF(J209&lt;'PlayerGrades+'!$AD$11,"C",IF(J209&lt;'PlayerGrades+'!$AD$10,"C+",IF(J209&lt;'PlayerGrades+'!$AD$9,"B-",IF(J209&lt;'PlayerGrades+'!$AD$8,"B",IF(J209&lt;'PlayerGrades+'!$AD$7,"B+",IF(J209&lt;'PlayerGrades+'!$AD$6,"A-",IF(J209&lt;'PlayerGrades+'!$AD$5,"A",IF(J209&lt;'PlayerGrades+'!$AD$4,"A+",IF(J209&lt;'PlayerGrades+'!$AD$3,"S-",IF(J209&lt;'PlayerGrades+'!$AD$2,"S","S+"))))))))))))))))))))</f>
        <v>A-</v>
      </c>
      <c r="L209" s="677">
        <f t="shared" si="5"/>
        <v>0.2526315789</v>
      </c>
      <c r="M209" s="938" t="str">
        <f>IF(L209&lt;'PlayerGrades+'!$AE$21,"F-",IF(L209&lt;'PlayerGrades+'!$AE$20,"F",IF(L209&lt;'PlayerGrades+'!$AE$19,"F+",IF(L209&lt;'PlayerGrades+'!$AE$18,"E-",IF(L209&lt;'PlayerGrades+'!$AE$17,"E",IF(L209&lt;'PlayerGrades+'!$AE$16,"E+",IF(L209&lt;'PlayerGrades+'!$AE$15,"D-",IF(L209&lt;'PlayerGrades+'!$AE$14,"D",IF(L209&lt;'PlayerGrades+'!$AE$13,"D+",IF(L209&lt;'PlayerGrades+'!$AE$12,"C-",IF(L209&lt;'PlayerGrades+'!$AE$11,"C",IF(L209&lt;'PlayerGrades+'!$AE$10,"C+",IF(L209&lt;'PlayerGrades+'!$AE$9,"B-",IF(L209&lt;'PlayerGrades+'!$AE$8,"B",IF(L209&lt;'PlayerGrades+'!$AE$7,"B+",IF(L209&lt;'PlayerGrades+'!$AE$6,"A-",IF(L209&lt;'PlayerGrades+'!$AE$5,"A",IF(L209&lt;'PlayerGrades+'!$AE$4,"A+",IF(L209&lt;'PlayerGrades+'!$AE$3,"S-",IF(L209&lt;'PlayerGrades+'!$AE$2,"S","S+"))))))))))))))))))))</f>
        <v>F</v>
      </c>
      <c r="N209" s="937">
        <f t="shared" si="6"/>
        <v>0</v>
      </c>
      <c r="O209" s="937" t="str">
        <f>IF(N209&lt;'PlayerGrades+'!$AF$21,"F-",IF(N209&lt;'PlayerGrades+'!$AF$20,"F",IF(N209&lt;'PlayerGrades+'!$AF$19,"F+",IF(N209&lt;'PlayerGrades+'!$AF$18,"E-",IF(N209&lt;'PlayerGrades+'!$AF$17,"E",IF(N209&lt;'PlayerGrades+'!$AF$16,"E+",IF(N209&lt;'PlayerGrades+'!$AF$15,"D-",IF(N209&lt;'PlayerGrades+'!$AF$14,"D",IF(N209&lt;'PlayerGrades+'!$AF$13,"D+",IF(N209&lt;'PlayerGrades+'!$AF$12,"C-",IF(N209&lt;'PlayerGrades+'!$AF$11,"C",IF(N209&lt;'PlayerGrades+'!$AF$10,"C+",IF(N209&lt;'PlayerGrades+'!$AF$9,"B-",IF(N209&lt;'PlayerGrades+'!$AF$8,"B",IF(N209&lt;'PlayerGrades+'!$AF$7,"B+",IF(N209&lt;'PlayerGrades+'!$AF$6,"A-",IF(N209&lt;'PlayerGrades+'!$AF$5,"A",IF(N209&lt;'PlayerGrades+'!$AF$4,"A+",IF(N209&lt;'PlayerGrades+'!$AF$3,"S-",IF(N209&lt;'PlayerGrades+'!$AF$2,"S","S+"))))))))))))))))))))</f>
        <v>F-</v>
      </c>
      <c r="P209" s="937">
        <f t="shared" si="7"/>
        <v>0.06315789474</v>
      </c>
      <c r="Q209" s="937" t="str">
        <f>IF(P209&lt;'PlayerGrades+'!$AG$21,"F-",IF(P209&lt;'PlayerGrades+'!$AG$20,"F",IF(P209&lt;'PlayerGrades+'!$AG$19,"F+",IF(P209&lt;'PlayerGrades+'!$AG$18,"E-",IF(P209&lt;'PlayerGrades+'!$AG$17,"E",IF(P209&lt;'PlayerGrades+'!$AG$16,"E+",IF(P209&lt;'PlayerGrades+'!$AG$15,"D-",IF(P209&lt;'PlayerGrades+'!$AG$14,"D",IF(P209&lt;'PlayerGrades+'!$AG$13,"D+",IF(P209&lt;'PlayerGrades+'!$AG$12,"C-",IF(P209&lt;'PlayerGrades+'!$AG$11,"C",IF(P209&lt;'PlayerGrades+'!$AG$10,"C+",IF(P209&lt;'PlayerGrades+'!$AG$9,"B-",IF(P209&lt;'PlayerGrades+'!$AG$8,"B",IF(P209&lt;'PlayerGrades+'!$AG$7,"B+",IF(P209&lt;'PlayerGrades+'!$AG$6,"A-",IF(P209&lt;'PlayerGrades+'!$AG$5,"A",IF(P209&lt;'PlayerGrades+'!$AG$4,"A+",IF(P209&lt;'PlayerGrades+'!$AG$3,"S-",IF(P209&lt;'PlayerGrades+'!$AG$2,"S","S+"))))))))))))))))))))</f>
        <v>A+</v>
      </c>
      <c r="R209" s="937">
        <f t="shared" si="8"/>
        <v>0.6315789474</v>
      </c>
      <c r="S209" s="937" t="str">
        <f>IF(R209&lt;'PlayerGrades+'!$AH$21,"F-",IF(R209&lt;'PlayerGrades+'!$AH$20,"F",IF(R209&lt;'PlayerGrades+'!$AH$19,"F+",IF(R209&lt;'PlayerGrades+'!$AH$18,"E-",IF(R209&lt;'PlayerGrades+'!$AH$17,"E",IF(R209&lt;'PlayerGrades+'!$AH$16,"E+",IF(R209&lt;'PlayerGrades+'!$AH$15,"D-",IF(R209&lt;'PlayerGrades+'!$AH$14,"D",IF(R209&lt;'PlayerGrades+'!$AH$13,"D+",IF(R209&lt;'PlayerGrades+'!$AH$12,"C-",IF(R209&lt;'PlayerGrades+'!$AH$11,"C",IF(R209&lt;'PlayerGrades+'!$AH$10,"C+",IF(R209&lt;'PlayerGrades+'!$AH$9,"B-",IF(R209&lt;'PlayerGrades+'!$AH$8,"B",IF(R209&lt;'PlayerGrades+'!$AH$7,"B+",IF(R209&lt;'PlayerGrades+'!$AH$6,"A-",IF(R209&lt;'PlayerGrades+'!$AH$5,"A",IF(R209&lt;'PlayerGrades+'!$AH$4,"A+",IF(R209&lt;'PlayerGrades+'!$AH$3,"S-",IF(R209&lt;'PlayerGrades+'!$AH$2,"S","S+"))))))))))))))))))))</f>
        <v>A</v>
      </c>
      <c r="T209" s="937">
        <f t="shared" si="9"/>
        <v>0.3157894737</v>
      </c>
      <c r="U209" s="937" t="str">
        <f>IF(T209&lt;'PlayerGrades+'!$AI$21,"F-",IF(T209&lt;'PlayerGrades+'!$AI$20,"F",IF(T209&lt;'PlayerGrades+'!$AI$19,"F+",IF(T209&lt;'PlayerGrades+'!$AI$18,"E-",IF(T209&lt;'PlayerGrades+'!$AI$17,"E",IF(T209&lt;'PlayerGrades+'!$AI$16,"E+",IF(T209&lt;'PlayerGrades+'!$AI$15,"D-",IF(T209&lt;'PlayerGrades+'!$AI$14,"D",IF(T209&lt;'PlayerGrades+'!$AI$13,"D+",IF(T209&lt;'PlayerGrades+'!$AI$12,"C-",IF(T209&lt;'PlayerGrades+'!$AI$11,"C",IF(T209&lt;'PlayerGrades+'!$AI$10,"C+",IF(T209&lt;'PlayerGrades+'!$AI$9,"B-",IF(T209&lt;'PlayerGrades+'!$AI$8,"B",IF(T209&lt;'PlayerGrades+'!$AI$7,"B+",IF(T209&lt;'PlayerGrades+'!$AI$6,"A-",IF(T209&lt;'PlayerGrades+'!$AI$5,"A",IF(T209&lt;'PlayerGrades+'!$AI$4,"A+",IF(T209&lt;'PlayerGrades+'!$AI$3,"S-",IF(T209&lt;'PlayerGrades+'!$AI$2,"S","S+"))))))))))))))))))))</f>
        <v>F-</v>
      </c>
      <c r="V209" s="944">
        <v>1.0</v>
      </c>
      <c r="W209" s="944">
        <v>0.0</v>
      </c>
      <c r="X209" s="944">
        <v>1.0</v>
      </c>
      <c r="Y209" s="944">
        <v>0.0</v>
      </c>
      <c r="Z209" s="944">
        <v>0.0</v>
      </c>
      <c r="AA209" s="944">
        <v>34.0</v>
      </c>
      <c r="AB209" s="944">
        <v>51.0</v>
      </c>
      <c r="AC209" s="944">
        <v>-17.0</v>
      </c>
      <c r="AD209" s="944">
        <v>7.0</v>
      </c>
      <c r="AE209" s="944">
        <v>5.0</v>
      </c>
      <c r="AF209" s="944">
        <v>0.0</v>
      </c>
      <c r="AG209" s="944">
        <v>699.0</v>
      </c>
      <c r="AH209" s="944">
        <v>950.0</v>
      </c>
      <c r="AI209" s="944">
        <v>13.0</v>
      </c>
      <c r="AJ209" s="944">
        <v>20.0</v>
      </c>
      <c r="AK209" s="944">
        <v>0.0</v>
      </c>
      <c r="AL209" s="944">
        <v>1.0</v>
      </c>
      <c r="AM209" s="944">
        <v>0.0</v>
      </c>
      <c r="AN209" s="944">
        <v>0.0</v>
      </c>
      <c r="AO209" s="944">
        <v>0.0</v>
      </c>
      <c r="AP209" s="944">
        <v>1.0</v>
      </c>
      <c r="AQ209" s="944">
        <v>0.0</v>
      </c>
      <c r="AR209" s="944">
        <v>4.0</v>
      </c>
      <c r="AS209" s="944">
        <v>0.0</v>
      </c>
      <c r="AT209" s="944">
        <v>0.0</v>
      </c>
      <c r="AU209" s="944">
        <v>0.0</v>
      </c>
      <c r="AV209" s="944">
        <v>0.0</v>
      </c>
      <c r="AW209" s="944">
        <v>0.0</v>
      </c>
      <c r="AX209" s="944">
        <v>0.0</v>
      </c>
      <c r="AY209" s="944">
        <v>0.0</v>
      </c>
      <c r="AZ209" s="944">
        <v>0.0</v>
      </c>
      <c r="BA209" s="944">
        <v>0.0</v>
      </c>
      <c r="BB209" s="944">
        <v>1.0</v>
      </c>
      <c r="BC209" s="944">
        <v>0.0</v>
      </c>
      <c r="BD209" s="944">
        <v>3.0</v>
      </c>
      <c r="BE209" s="944">
        <v>5.0</v>
      </c>
      <c r="BF209" s="944">
        <v>0.0</v>
      </c>
      <c r="BG209" s="945">
        <v>0.0</v>
      </c>
    </row>
    <row r="210">
      <c r="A210" s="946" t="s">
        <v>114</v>
      </c>
      <c r="B210" s="16" t="str">
        <f>IF(C210&lt;'PlayerGrades+'!$Y$44,"F-",IF(C210&lt;'PlayerGrades+'!$Y$43,"F",IF(C210&lt;'PlayerGrades+'!$Y$42,"F+",IF(C210&lt;'PlayerGrades+'!$Y$41,"E-",IF(C210&lt;'PlayerGrades+'!$Y$40,"E",IF(C210&lt;'PlayerGrades+'!$Y$39,"E+",IF(C210&lt;'PlayerGrades+'!$Y$38,"D-",IF(C210&lt;'PlayerGrades+'!$Y$37,"D",IF(C210&lt;'PlayerGrades+'!$Y$36,"D+",IF(C210&lt;'PlayerGrades+'!$Y$35,"C-",IF(C210&lt;'PlayerGrades+'!$Y$34,"C",IF(C210&lt;'PlayerGrades+'!$Y$33,"C+",IF(C210&lt;'PlayerGrades+'!$Y$32,"B-",IF(C210&lt;'PlayerGrades+'!$Y$31,"B",IF(C210&lt;'PlayerGrades+'!$Y$30,"B+",IF(C210&lt;'PlayerGrades+'!$Y$29,"A-",IF(C210&lt;'PlayerGrades+'!$Y$28,"A",IF(C210&lt;'PlayerGrades+'!$Y$27,"A+",IF(C210&lt;'PlayerGrades+'!$Y$26,"S-",IF(C210&lt;'PlayerGrades+'!$Y$25,"S","S+"))))))))))))))))))))</f>
        <v>C</v>
      </c>
      <c r="C210" s="936">
        <f>('PlayerGrades+'!$Y$47*(VLOOKUP(E210, 'PlayerGrades+'!$X$3:$Y$23, 2, FALSE)))+('PlayerGrades+'!$Y$48*(VLOOKUP(G210, 'PlayerGrades+'!$X$3:$Y$23, 2, FALSE)))+('PlayerGrades+'!$Y$49*(VLOOKUP(I210, 'PlayerGrades+'!$X$3:$Y$23, 2, FALSE)))+('PlayerGrades+'!$Y$50*(VLOOKUP(K210, 'PlayerGrades+'!$X$3:$Y$23, 2, FALSE)))+('PlayerGrades+'!$Y$51*(VLOOKUP(M210, 'PlayerGrades+'!$X$3:$Y$23, 2, FALSE)))+('PlayerGrades+'!$Y$52*(VLOOKUP(O210, 'PlayerGrades+'!$X$3:$Y$23, 2, FALSE)))+('PlayerGrades+'!$Y$53*(VLOOKUP(Q210, 'PlayerGrades+'!$X$3:$Y$23, 2, FALSE)))+('PlayerGrades+'!$Y$54*(VLOOKUP(S210, 'PlayerGrades+'!$X$3:$Y$23, 2, FALSE)))+('PlayerGrades+'!$Y$55*(VLOOKUP(U210, 'PlayerGrades+'!$X$3:$Y$23, 2, FALSE)))</f>
        <v>20.3</v>
      </c>
      <c r="D210" s="937">
        <f t="shared" si="1"/>
        <v>1.05775076</v>
      </c>
      <c r="E210" s="937" t="str">
        <f>IF(D210&lt;'PlayerGrades+'!$AA$21,"F-",IF(D210&lt;'PlayerGrades+'!$AA$20,"F",IF(D210&lt;'PlayerGrades+'!$AA$19,"F+",IF(D210&lt;'PlayerGrades+'!$AA$18,"E-",IF(D210&lt;'PlayerGrades+'!$AA$17,"E",IF(D210&lt;'PlayerGrades+'!$AA$16,"E+",IF(D210&lt;'PlayerGrades+'!$AA$15,"D-",IF(D210&lt;'PlayerGrades+'!$AA$14,"D",IF(D210&lt;'PlayerGrades+'!$AA$13,"D+",IF(D210&lt;'PlayerGrades+'!$AA$12,"C-",IF(D210&lt;'PlayerGrades+'!$AA$11,"C",IF(D210&lt;'PlayerGrades+'!$AA$10,"C+",IF(D210&lt;'PlayerGrades+'!$AA$9,"B-",IF(D210&lt;'PlayerGrades+'!$AA$8,"B",IF(D210&lt;'PlayerGrades+'!$AA$7,"B+",IF(D210&lt;'PlayerGrades+'!$AA$6,"A-",IF(D210&lt;'PlayerGrades+'!$AA$5,"A",IF(D210&lt;'PlayerGrades+'!$AA$4,"A+",IF(D210&lt;'PlayerGrades+'!$AA$3,"S-",IF(D210&lt;'PlayerGrades+'!$AA$2,"S","S+"))))))))))))))))))))</f>
        <v>S+</v>
      </c>
      <c r="F210" s="937">
        <f t="shared" si="2"/>
        <v>0.5106382979</v>
      </c>
      <c r="G210" s="937" t="str">
        <f>IF(F210&lt;'PlayerGrades+'!$AB$21,"F-",IF(F210&lt;'PlayerGrades+'!$AB$20,"F",IF(F210&lt;'PlayerGrades+'!$AB$19,"F+",IF(F210&lt;'PlayerGrades+'!$AB$18,"E-",IF(F210&lt;'PlayerGrades+'!$AB$17,"E",IF(F210&lt;'PlayerGrades+'!$AB$16,"E+",IF(F210&lt;'PlayerGrades+'!$AB$15,"D-",IF(F210&lt;'PlayerGrades+'!$AB$14,"D",IF(F210&lt;'PlayerGrades+'!$AB$13,"D+",IF(F210&lt;'PlayerGrades+'!$AB$12,"C-",IF(F210&lt;'PlayerGrades+'!$AB$11,"C",IF(F210&lt;'PlayerGrades+'!$AB$10,"C+",IF(F210&lt;'PlayerGrades+'!$AB$9,"B-",IF(F210&lt;'PlayerGrades+'!$AB$8,"B",IF(F210&lt;'PlayerGrades+'!$AB$7,"B+",IF(F210&lt;'PlayerGrades+'!$AB$6,"A-",IF(F210&lt;'PlayerGrades+'!$AB$5,"A",IF(F210&lt;'PlayerGrades+'!$AB$4,"A+",IF(F210&lt;'PlayerGrades+'!$AB$3,"S-",IF(F210&lt;'PlayerGrades+'!$AB$2,"S","S+"))))))))))))))))))))</f>
        <v>A+</v>
      </c>
      <c r="H210" s="937">
        <f t="shared" si="3"/>
        <v>0.03647416413</v>
      </c>
      <c r="I210" s="937" t="str">
        <f>IF(H210&lt;'PlayerGrades+'!$AC$21,"F-",IF(H210&lt;'PlayerGrades+'!$AC$20,"F",IF(H210&lt;'PlayerGrades+'!$AC$19,"F+",IF(H210&lt;'PlayerGrades+'!$AC$18,"E-",IF(H210&lt;'PlayerGrades+'!$AC$17,"E",IF(H210&lt;'PlayerGrades+'!$AC$16,"E+",IF(H210&lt;'PlayerGrades+'!$AC$15,"D-",IF(H210&lt;'PlayerGrades+'!$AC$14,"D",IF(H210&lt;'PlayerGrades+'!$AC$13,"D+",IF(H210&lt;'PlayerGrades+'!$AC$12,"C-",IF(H210&lt;'PlayerGrades+'!$AC$11,"C",IF(H210&lt;'PlayerGrades+'!$AC$10,"C+",IF(H210&lt;'PlayerGrades+'!$AC$9,"B-",IF(H210&lt;'PlayerGrades+'!$AC$8,"B",IF(H210&lt;'PlayerGrades+'!$AC$7,"B+",IF(H210&lt;'PlayerGrades+'!$AC$6,"A-",IF(H210&lt;'PlayerGrades+'!$AC$5,"A",IF(H210&lt;'PlayerGrades+'!$AC$4,"A+",IF(H210&lt;'PlayerGrades+'!$AC$3,"S-",IF(H210&lt;'PlayerGrades+'!$AC$2,"S","S+"))))))))))))))))))))</f>
        <v>F</v>
      </c>
      <c r="J210" s="937">
        <f t="shared" si="4"/>
        <v>0.1094224924</v>
      </c>
      <c r="K210" s="937" t="str">
        <f>IF(J210&lt;'PlayerGrades+'!$AD$21,"F-",IF(J210&lt;'PlayerGrades+'!$AD$20,"F",IF(J210&lt;'PlayerGrades+'!$AD$19,"F+",IF(J210&lt;'PlayerGrades+'!$AD$18,"E-",IF(J210&lt;'PlayerGrades+'!$AD$17,"E",IF(J210&lt;'PlayerGrades+'!$AD$16,"E+",IF(J210&lt;'PlayerGrades+'!$AD$15,"D-",IF(J210&lt;'PlayerGrades+'!$AD$14,"D",IF(J210&lt;'PlayerGrades+'!$AD$13,"D+",IF(J210&lt;'PlayerGrades+'!$AD$12,"C-",IF(J210&lt;'PlayerGrades+'!$AD$11,"C",IF(J210&lt;'PlayerGrades+'!$AD$10,"C+",IF(J210&lt;'PlayerGrades+'!$AD$9,"B-",IF(J210&lt;'PlayerGrades+'!$AD$8,"B",IF(J210&lt;'PlayerGrades+'!$AD$7,"B+",IF(J210&lt;'PlayerGrades+'!$AD$6,"A-",IF(J210&lt;'PlayerGrades+'!$AD$5,"A",IF(J210&lt;'PlayerGrades+'!$AD$4,"A+",IF(J210&lt;'PlayerGrades+'!$AD$3,"S-",IF(J210&lt;'PlayerGrades+'!$AD$2,"S","S+"))))))))))))))))))))</f>
        <v>S+</v>
      </c>
      <c r="L210" s="677">
        <f t="shared" si="5"/>
        <v>0.3282674772</v>
      </c>
      <c r="M210" s="938" t="str">
        <f>IF(L210&lt;'PlayerGrades+'!$AE$21,"F-",IF(L210&lt;'PlayerGrades+'!$AE$20,"F",IF(L210&lt;'PlayerGrades+'!$AE$19,"F+",IF(L210&lt;'PlayerGrades+'!$AE$18,"E-",IF(L210&lt;'PlayerGrades+'!$AE$17,"E",IF(L210&lt;'PlayerGrades+'!$AE$16,"E+",IF(L210&lt;'PlayerGrades+'!$AE$15,"D-",IF(L210&lt;'PlayerGrades+'!$AE$14,"D",IF(L210&lt;'PlayerGrades+'!$AE$13,"D+",IF(L210&lt;'PlayerGrades+'!$AE$12,"C-",IF(L210&lt;'PlayerGrades+'!$AE$11,"C",IF(L210&lt;'PlayerGrades+'!$AE$10,"C+",IF(L210&lt;'PlayerGrades+'!$AE$9,"B-",IF(L210&lt;'PlayerGrades+'!$AE$8,"B",IF(L210&lt;'PlayerGrades+'!$AE$7,"B+",IF(L210&lt;'PlayerGrades+'!$AE$6,"A-",IF(L210&lt;'PlayerGrades+'!$AE$5,"A",IF(L210&lt;'PlayerGrades+'!$AE$4,"A+",IF(L210&lt;'PlayerGrades+'!$AE$3,"S-",IF(L210&lt;'PlayerGrades+'!$AE$2,"S","S+"))))))))))))))))))))</f>
        <v>E+</v>
      </c>
      <c r="N210" s="937">
        <f t="shared" si="6"/>
        <v>0.03647416413</v>
      </c>
      <c r="O210" s="937" t="str">
        <f>IF(N210&lt;'PlayerGrades+'!$AF$21,"F-",IF(N210&lt;'PlayerGrades+'!$AF$20,"F",IF(N210&lt;'PlayerGrades+'!$AF$19,"F+",IF(N210&lt;'PlayerGrades+'!$AF$18,"E-",IF(N210&lt;'PlayerGrades+'!$AF$17,"E",IF(N210&lt;'PlayerGrades+'!$AF$16,"E+",IF(N210&lt;'PlayerGrades+'!$AF$15,"D-",IF(N210&lt;'PlayerGrades+'!$AF$14,"D",IF(N210&lt;'PlayerGrades+'!$AF$13,"D+",IF(N210&lt;'PlayerGrades+'!$AF$12,"C-",IF(N210&lt;'PlayerGrades+'!$AF$11,"C",IF(N210&lt;'PlayerGrades+'!$AF$10,"C+",IF(N210&lt;'PlayerGrades+'!$AF$9,"B-",IF(N210&lt;'PlayerGrades+'!$AF$8,"B",IF(N210&lt;'PlayerGrades+'!$AF$7,"B+",IF(N210&lt;'PlayerGrades+'!$AF$6,"A-",IF(N210&lt;'PlayerGrades+'!$AF$5,"A",IF(N210&lt;'PlayerGrades+'!$AF$4,"A+",IF(N210&lt;'PlayerGrades+'!$AF$3,"S-",IF(N210&lt;'PlayerGrades+'!$AF$2,"S","S+"))))))))))))))))))))</f>
        <v>F+</v>
      </c>
      <c r="P210" s="937">
        <f t="shared" si="7"/>
        <v>0</v>
      </c>
      <c r="Q210" s="937" t="str">
        <f>IF(P210&lt;'PlayerGrades+'!$AG$21,"F-",IF(P210&lt;'PlayerGrades+'!$AG$20,"F",IF(P210&lt;'PlayerGrades+'!$AG$19,"F+",IF(P210&lt;'PlayerGrades+'!$AG$18,"E-",IF(P210&lt;'PlayerGrades+'!$AG$17,"E",IF(P210&lt;'PlayerGrades+'!$AG$16,"E+",IF(P210&lt;'PlayerGrades+'!$AG$15,"D-",IF(P210&lt;'PlayerGrades+'!$AG$14,"D",IF(P210&lt;'PlayerGrades+'!$AG$13,"D+",IF(P210&lt;'PlayerGrades+'!$AG$12,"C-",IF(P210&lt;'PlayerGrades+'!$AG$11,"C",IF(P210&lt;'PlayerGrades+'!$AG$10,"C+",IF(P210&lt;'PlayerGrades+'!$AG$9,"B-",IF(P210&lt;'PlayerGrades+'!$AG$8,"B",IF(P210&lt;'PlayerGrades+'!$AG$7,"B+",IF(P210&lt;'PlayerGrades+'!$AG$6,"A-",IF(P210&lt;'PlayerGrades+'!$AG$5,"A",IF(P210&lt;'PlayerGrades+'!$AG$4,"A+",IF(P210&lt;'PlayerGrades+'!$AG$3,"S-",IF(P210&lt;'PlayerGrades+'!$AG$2,"S","S+"))))))))))))))))))))</f>
        <v>F</v>
      </c>
      <c r="R210" s="937">
        <f t="shared" si="8"/>
        <v>0.7294832827</v>
      </c>
      <c r="S210" s="937" t="str">
        <f>IF(R210&lt;'PlayerGrades+'!$AH$21,"F-",IF(R210&lt;'PlayerGrades+'!$AH$20,"F",IF(R210&lt;'PlayerGrades+'!$AH$19,"F+",IF(R210&lt;'PlayerGrades+'!$AH$18,"E-",IF(R210&lt;'PlayerGrades+'!$AH$17,"E",IF(R210&lt;'PlayerGrades+'!$AH$16,"E+",IF(R210&lt;'PlayerGrades+'!$AH$15,"D-",IF(R210&lt;'PlayerGrades+'!$AH$14,"D",IF(R210&lt;'PlayerGrades+'!$AH$13,"D+",IF(R210&lt;'PlayerGrades+'!$AH$12,"C-",IF(R210&lt;'PlayerGrades+'!$AH$11,"C",IF(R210&lt;'PlayerGrades+'!$AH$10,"C+",IF(R210&lt;'PlayerGrades+'!$AH$9,"B-",IF(R210&lt;'PlayerGrades+'!$AH$8,"B",IF(R210&lt;'PlayerGrades+'!$AH$7,"B+",IF(R210&lt;'PlayerGrades+'!$AH$6,"A-",IF(R210&lt;'PlayerGrades+'!$AH$5,"A",IF(R210&lt;'PlayerGrades+'!$AH$4,"A+",IF(R210&lt;'PlayerGrades+'!$AH$3,"S-",IF(R210&lt;'PlayerGrades+'!$AH$2,"S","S+"))))))))))))))))))))</f>
        <v>S</v>
      </c>
      <c r="T210" s="937">
        <f t="shared" si="9"/>
        <v>0.2553191489</v>
      </c>
      <c r="U210" s="937" t="str">
        <f>IF(T210&lt;'PlayerGrades+'!$AI$21,"F-",IF(T210&lt;'PlayerGrades+'!$AI$20,"F",IF(T210&lt;'PlayerGrades+'!$AI$19,"F+",IF(T210&lt;'PlayerGrades+'!$AI$18,"E-",IF(T210&lt;'PlayerGrades+'!$AI$17,"E",IF(T210&lt;'PlayerGrades+'!$AI$16,"E+",IF(T210&lt;'PlayerGrades+'!$AI$15,"D-",IF(T210&lt;'PlayerGrades+'!$AI$14,"D",IF(T210&lt;'PlayerGrades+'!$AI$13,"D+",IF(T210&lt;'PlayerGrades+'!$AI$12,"C-",IF(T210&lt;'PlayerGrades+'!$AI$11,"C",IF(T210&lt;'PlayerGrades+'!$AI$10,"C+",IF(T210&lt;'PlayerGrades+'!$AI$9,"B-",IF(T210&lt;'PlayerGrades+'!$AI$8,"B",IF(T210&lt;'PlayerGrades+'!$AI$7,"B+",IF(T210&lt;'PlayerGrades+'!$AI$6,"A-",IF(T210&lt;'PlayerGrades+'!$AI$5,"A",IF(T210&lt;'PlayerGrades+'!$AI$4,"A+",IF(T210&lt;'PlayerGrades+'!$AI$3,"S-",IF(T210&lt;'PlayerGrades+'!$AI$2,"S","S+"))))))))))))))))))))</f>
        <v>F-</v>
      </c>
      <c r="V210" s="939">
        <v>1.0</v>
      </c>
      <c r="W210" s="939">
        <v>1.0</v>
      </c>
      <c r="X210" s="939">
        <v>0.0</v>
      </c>
      <c r="Y210" s="939">
        <v>5.0</v>
      </c>
      <c r="Z210" s="939">
        <v>24.0</v>
      </c>
      <c r="AA210" s="939">
        <v>63.0</v>
      </c>
      <c r="AB210" s="939">
        <v>49.0</v>
      </c>
      <c r="AC210" s="939">
        <v>14.0</v>
      </c>
      <c r="AD210" s="939">
        <v>5.0</v>
      </c>
      <c r="AE210" s="939">
        <v>12.0</v>
      </c>
      <c r="AF210" s="939">
        <v>1.0</v>
      </c>
      <c r="AG210" s="939">
        <v>1400.0</v>
      </c>
      <c r="AH210" s="939">
        <v>1645.0</v>
      </c>
      <c r="AI210" s="939">
        <v>28.0</v>
      </c>
      <c r="AJ210" s="939">
        <v>807.0</v>
      </c>
      <c r="AK210" s="939">
        <v>0.0</v>
      </c>
      <c r="AL210" s="939">
        <v>3.0</v>
      </c>
      <c r="AM210" s="939">
        <v>1.0</v>
      </c>
      <c r="AN210" s="939">
        <v>0.0</v>
      </c>
      <c r="AO210" s="939">
        <v>0.0</v>
      </c>
      <c r="AP210" s="939">
        <v>0.0</v>
      </c>
      <c r="AQ210" s="939">
        <v>0.0</v>
      </c>
      <c r="AR210" s="939">
        <v>9.0</v>
      </c>
      <c r="AS210" s="939">
        <v>1.0</v>
      </c>
      <c r="AT210" s="939">
        <v>0.0</v>
      </c>
      <c r="AU210" s="939">
        <v>0.0</v>
      </c>
      <c r="AV210" s="939">
        <v>0.0</v>
      </c>
      <c r="AW210" s="939">
        <v>0.0</v>
      </c>
      <c r="AX210" s="939">
        <v>0.0</v>
      </c>
      <c r="AY210" s="939">
        <v>0.0</v>
      </c>
      <c r="AZ210" s="939">
        <v>0.0</v>
      </c>
      <c r="BA210" s="939">
        <v>0.0</v>
      </c>
      <c r="BB210" s="939">
        <v>1.0</v>
      </c>
      <c r="BC210" s="939">
        <v>0.0</v>
      </c>
      <c r="BD210" s="939">
        <v>15.0</v>
      </c>
      <c r="BE210" s="939">
        <v>7.0</v>
      </c>
      <c r="BF210" s="939">
        <v>0.0</v>
      </c>
      <c r="BG210" s="940">
        <v>1.0</v>
      </c>
    </row>
    <row r="211">
      <c r="A211" s="935" t="s">
        <v>147</v>
      </c>
      <c r="B211" s="16" t="str">
        <f>IF(C211&lt;'PlayerGrades+'!$Y$44,"F-",IF(C211&lt;'PlayerGrades+'!$Y$43,"F",IF(C211&lt;'PlayerGrades+'!$Y$42,"F+",IF(C211&lt;'PlayerGrades+'!$Y$41,"E-",IF(C211&lt;'PlayerGrades+'!$Y$40,"E",IF(C211&lt;'PlayerGrades+'!$Y$39,"E+",IF(C211&lt;'PlayerGrades+'!$Y$38,"D-",IF(C211&lt;'PlayerGrades+'!$Y$37,"D",IF(C211&lt;'PlayerGrades+'!$Y$36,"D+",IF(C211&lt;'PlayerGrades+'!$Y$35,"C-",IF(C211&lt;'PlayerGrades+'!$Y$34,"C",IF(C211&lt;'PlayerGrades+'!$Y$33,"C+",IF(C211&lt;'PlayerGrades+'!$Y$32,"B-",IF(C211&lt;'PlayerGrades+'!$Y$31,"B",IF(C211&lt;'PlayerGrades+'!$Y$30,"B+",IF(C211&lt;'PlayerGrades+'!$Y$29,"A-",IF(C211&lt;'PlayerGrades+'!$Y$28,"A",IF(C211&lt;'PlayerGrades+'!$Y$27,"A+",IF(C211&lt;'PlayerGrades+'!$Y$26,"S-",IF(C211&lt;'PlayerGrades+'!$Y$25,"S","S+"))))))))))))))))))))</f>
        <v>F</v>
      </c>
      <c r="C211" s="936">
        <f>('PlayerGrades+'!$Y$47*(VLOOKUP(E211, 'PlayerGrades+'!$X$3:$Y$23, 2, FALSE)))+('PlayerGrades+'!$Y$48*(VLOOKUP(G211, 'PlayerGrades+'!$X$3:$Y$23, 2, FALSE)))+('PlayerGrades+'!$Y$49*(VLOOKUP(I211, 'PlayerGrades+'!$X$3:$Y$23, 2, FALSE)))+('PlayerGrades+'!$Y$50*(VLOOKUP(K211, 'PlayerGrades+'!$X$3:$Y$23, 2, FALSE)))+('PlayerGrades+'!$Y$51*(VLOOKUP(M211, 'PlayerGrades+'!$X$3:$Y$23, 2, FALSE)))+('PlayerGrades+'!$Y$52*(VLOOKUP(O211, 'PlayerGrades+'!$X$3:$Y$23, 2, FALSE)))+('PlayerGrades+'!$Y$53*(VLOOKUP(Q211, 'PlayerGrades+'!$X$3:$Y$23, 2, FALSE)))+('PlayerGrades+'!$Y$54*(VLOOKUP(S211, 'PlayerGrades+'!$X$3:$Y$23, 2, FALSE)))+('PlayerGrades+'!$Y$55*(VLOOKUP(U211, 'PlayerGrades+'!$X$3:$Y$23, 2, FALSE)))</f>
        <v>9.6</v>
      </c>
      <c r="D211" s="937">
        <f t="shared" si="1"/>
        <v>0</v>
      </c>
      <c r="E211" s="937" t="str">
        <f>IF(D211&lt;'PlayerGrades+'!$AA$21,"F-",IF(D211&lt;'PlayerGrades+'!$AA$20,"F",IF(D211&lt;'PlayerGrades+'!$AA$19,"F+",IF(D211&lt;'PlayerGrades+'!$AA$18,"E-",IF(D211&lt;'PlayerGrades+'!$AA$17,"E",IF(D211&lt;'PlayerGrades+'!$AA$16,"E+",IF(D211&lt;'PlayerGrades+'!$AA$15,"D-",IF(D211&lt;'PlayerGrades+'!$AA$14,"D",IF(D211&lt;'PlayerGrades+'!$AA$13,"D+",IF(D211&lt;'PlayerGrades+'!$AA$12,"C-",IF(D211&lt;'PlayerGrades+'!$AA$11,"C",IF(D211&lt;'PlayerGrades+'!$AA$10,"C+",IF(D211&lt;'PlayerGrades+'!$AA$9,"B-",IF(D211&lt;'PlayerGrades+'!$AA$8,"B",IF(D211&lt;'PlayerGrades+'!$AA$7,"B+",IF(D211&lt;'PlayerGrades+'!$AA$6,"A-",IF(D211&lt;'PlayerGrades+'!$AA$5,"A",IF(D211&lt;'PlayerGrades+'!$AA$4,"A+",IF(D211&lt;'PlayerGrades+'!$AA$3,"S-",IF(D211&lt;'PlayerGrades+'!$AA$2,"S","S+"))))))))))))))))))))</f>
        <v>F-</v>
      </c>
      <c r="F211" s="937">
        <f t="shared" si="2"/>
        <v>-0.8753799392</v>
      </c>
      <c r="G211" s="937" t="str">
        <f>IF(F211&lt;'PlayerGrades+'!$AB$21,"F-",IF(F211&lt;'PlayerGrades+'!$AB$20,"F",IF(F211&lt;'PlayerGrades+'!$AB$19,"F+",IF(F211&lt;'PlayerGrades+'!$AB$18,"E-",IF(F211&lt;'PlayerGrades+'!$AB$17,"E",IF(F211&lt;'PlayerGrades+'!$AB$16,"E+",IF(F211&lt;'PlayerGrades+'!$AB$15,"D-",IF(F211&lt;'PlayerGrades+'!$AB$14,"D",IF(F211&lt;'PlayerGrades+'!$AB$13,"D+",IF(F211&lt;'PlayerGrades+'!$AB$12,"C-",IF(F211&lt;'PlayerGrades+'!$AB$11,"C",IF(F211&lt;'PlayerGrades+'!$AB$10,"C+",IF(F211&lt;'PlayerGrades+'!$AB$9,"B-",IF(F211&lt;'PlayerGrades+'!$AB$8,"B",IF(F211&lt;'PlayerGrades+'!$AB$7,"B+",IF(F211&lt;'PlayerGrades+'!$AB$6,"A-",IF(F211&lt;'PlayerGrades+'!$AB$5,"A",IF(F211&lt;'PlayerGrades+'!$AB$4,"A+",IF(F211&lt;'PlayerGrades+'!$AB$3,"S-",IF(F211&lt;'PlayerGrades+'!$AB$2,"S","S+"))))))))))))))))))))</f>
        <v>E-</v>
      </c>
      <c r="H211" s="937">
        <f t="shared" si="3"/>
        <v>0.1458966565</v>
      </c>
      <c r="I211" s="937" t="str">
        <f>IF(H211&lt;'PlayerGrades+'!$AC$21,"F-",IF(H211&lt;'PlayerGrades+'!$AC$20,"F",IF(H211&lt;'PlayerGrades+'!$AC$19,"F+",IF(H211&lt;'PlayerGrades+'!$AC$18,"E-",IF(H211&lt;'PlayerGrades+'!$AC$17,"E",IF(H211&lt;'PlayerGrades+'!$AC$16,"E+",IF(H211&lt;'PlayerGrades+'!$AC$15,"D-",IF(H211&lt;'PlayerGrades+'!$AC$14,"D",IF(H211&lt;'PlayerGrades+'!$AC$13,"D+",IF(H211&lt;'PlayerGrades+'!$AC$12,"C-",IF(H211&lt;'PlayerGrades+'!$AC$11,"C",IF(H211&lt;'PlayerGrades+'!$AC$10,"C+",IF(H211&lt;'PlayerGrades+'!$AC$9,"B-",IF(H211&lt;'PlayerGrades+'!$AC$8,"B",IF(H211&lt;'PlayerGrades+'!$AC$7,"B+",IF(H211&lt;'PlayerGrades+'!$AC$6,"A-",IF(H211&lt;'PlayerGrades+'!$AC$5,"A",IF(H211&lt;'PlayerGrades+'!$AC$4,"A+",IF(H211&lt;'PlayerGrades+'!$AC$3,"S-",IF(H211&lt;'PlayerGrades+'!$AC$2,"S","S+"))))))))))))))))))))</f>
        <v>A</v>
      </c>
      <c r="J211" s="937">
        <f t="shared" si="4"/>
        <v>0</v>
      </c>
      <c r="K211" s="937" t="str">
        <f>IF(J211&lt;'PlayerGrades+'!$AD$21,"F-",IF(J211&lt;'PlayerGrades+'!$AD$20,"F",IF(J211&lt;'PlayerGrades+'!$AD$19,"F+",IF(J211&lt;'PlayerGrades+'!$AD$18,"E-",IF(J211&lt;'PlayerGrades+'!$AD$17,"E",IF(J211&lt;'PlayerGrades+'!$AD$16,"E+",IF(J211&lt;'PlayerGrades+'!$AD$15,"D-",IF(J211&lt;'PlayerGrades+'!$AD$14,"D",IF(J211&lt;'PlayerGrades+'!$AD$13,"D+",IF(J211&lt;'PlayerGrades+'!$AD$12,"C-",IF(J211&lt;'PlayerGrades+'!$AD$11,"C",IF(J211&lt;'PlayerGrades+'!$AD$10,"C+",IF(J211&lt;'PlayerGrades+'!$AD$9,"B-",IF(J211&lt;'PlayerGrades+'!$AD$8,"B",IF(J211&lt;'PlayerGrades+'!$AD$7,"B+",IF(J211&lt;'PlayerGrades+'!$AD$6,"A-",IF(J211&lt;'PlayerGrades+'!$AD$5,"A",IF(J211&lt;'PlayerGrades+'!$AD$4,"A+",IF(J211&lt;'PlayerGrades+'!$AD$3,"S-",IF(J211&lt;'PlayerGrades+'!$AD$2,"S","S+"))))))))))))))))))))</f>
        <v>F-</v>
      </c>
      <c r="L211" s="677">
        <f t="shared" si="5"/>
        <v>0.2917933131</v>
      </c>
      <c r="M211" s="938" t="str">
        <f>IF(L211&lt;'PlayerGrades+'!$AE$21,"F-",IF(L211&lt;'PlayerGrades+'!$AE$20,"F",IF(L211&lt;'PlayerGrades+'!$AE$19,"F+",IF(L211&lt;'PlayerGrades+'!$AE$18,"E-",IF(L211&lt;'PlayerGrades+'!$AE$17,"E",IF(L211&lt;'PlayerGrades+'!$AE$16,"E+",IF(L211&lt;'PlayerGrades+'!$AE$15,"D-",IF(L211&lt;'PlayerGrades+'!$AE$14,"D",IF(L211&lt;'PlayerGrades+'!$AE$13,"D+",IF(L211&lt;'PlayerGrades+'!$AE$12,"C-",IF(L211&lt;'PlayerGrades+'!$AE$11,"C",IF(L211&lt;'PlayerGrades+'!$AE$10,"C+",IF(L211&lt;'PlayerGrades+'!$AE$9,"B-",IF(L211&lt;'PlayerGrades+'!$AE$8,"B",IF(L211&lt;'PlayerGrades+'!$AE$7,"B+",IF(L211&lt;'PlayerGrades+'!$AE$6,"A-",IF(L211&lt;'PlayerGrades+'!$AE$5,"A",IF(L211&lt;'PlayerGrades+'!$AE$4,"A+",IF(L211&lt;'PlayerGrades+'!$AE$3,"S-",IF(L211&lt;'PlayerGrades+'!$AE$2,"S","S+"))))))))))))))))))))</f>
        <v>F+</v>
      </c>
      <c r="N211" s="937">
        <f t="shared" si="6"/>
        <v>0</v>
      </c>
      <c r="O211" s="937" t="str">
        <f>IF(N211&lt;'PlayerGrades+'!$AF$21,"F-",IF(N211&lt;'PlayerGrades+'!$AF$20,"F",IF(N211&lt;'PlayerGrades+'!$AF$19,"F+",IF(N211&lt;'PlayerGrades+'!$AF$18,"E-",IF(N211&lt;'PlayerGrades+'!$AF$17,"E",IF(N211&lt;'PlayerGrades+'!$AF$16,"E+",IF(N211&lt;'PlayerGrades+'!$AF$15,"D-",IF(N211&lt;'PlayerGrades+'!$AF$14,"D",IF(N211&lt;'PlayerGrades+'!$AF$13,"D+",IF(N211&lt;'PlayerGrades+'!$AF$12,"C-",IF(N211&lt;'PlayerGrades+'!$AF$11,"C",IF(N211&lt;'PlayerGrades+'!$AF$10,"C+",IF(N211&lt;'PlayerGrades+'!$AF$9,"B-",IF(N211&lt;'PlayerGrades+'!$AF$8,"B",IF(N211&lt;'PlayerGrades+'!$AF$7,"B+",IF(N211&lt;'PlayerGrades+'!$AF$6,"A-",IF(N211&lt;'PlayerGrades+'!$AF$5,"A",IF(N211&lt;'PlayerGrades+'!$AF$4,"A+",IF(N211&lt;'PlayerGrades+'!$AF$3,"S-",IF(N211&lt;'PlayerGrades+'!$AF$2,"S","S+"))))))))))))))))))))</f>
        <v>F-</v>
      </c>
      <c r="P211" s="937">
        <f t="shared" si="7"/>
        <v>0</v>
      </c>
      <c r="Q211" s="937" t="str">
        <f>IF(P211&lt;'PlayerGrades+'!$AG$21,"F-",IF(P211&lt;'PlayerGrades+'!$AG$20,"F",IF(P211&lt;'PlayerGrades+'!$AG$19,"F+",IF(P211&lt;'PlayerGrades+'!$AG$18,"E-",IF(P211&lt;'PlayerGrades+'!$AG$17,"E",IF(P211&lt;'PlayerGrades+'!$AG$16,"E+",IF(P211&lt;'PlayerGrades+'!$AG$15,"D-",IF(P211&lt;'PlayerGrades+'!$AG$14,"D",IF(P211&lt;'PlayerGrades+'!$AG$13,"D+",IF(P211&lt;'PlayerGrades+'!$AG$12,"C-",IF(P211&lt;'PlayerGrades+'!$AG$11,"C",IF(P211&lt;'PlayerGrades+'!$AG$10,"C+",IF(P211&lt;'PlayerGrades+'!$AG$9,"B-",IF(P211&lt;'PlayerGrades+'!$AG$8,"B",IF(P211&lt;'PlayerGrades+'!$AG$7,"B+",IF(P211&lt;'PlayerGrades+'!$AG$6,"A-",IF(P211&lt;'PlayerGrades+'!$AG$5,"A",IF(P211&lt;'PlayerGrades+'!$AG$4,"A+",IF(P211&lt;'PlayerGrades+'!$AG$3,"S-",IF(P211&lt;'PlayerGrades+'!$AG$2,"S","S+"))))))))))))))))))))</f>
        <v>F</v>
      </c>
      <c r="R211" s="937">
        <f t="shared" si="8"/>
        <v>0.4376899696</v>
      </c>
      <c r="S211" s="937" t="str">
        <f>IF(R211&lt;'PlayerGrades+'!$AH$21,"F-",IF(R211&lt;'PlayerGrades+'!$AH$20,"F",IF(R211&lt;'PlayerGrades+'!$AH$19,"F+",IF(R211&lt;'PlayerGrades+'!$AH$18,"E-",IF(R211&lt;'PlayerGrades+'!$AH$17,"E",IF(R211&lt;'PlayerGrades+'!$AH$16,"E+",IF(R211&lt;'PlayerGrades+'!$AH$15,"D-",IF(R211&lt;'PlayerGrades+'!$AH$14,"D",IF(R211&lt;'PlayerGrades+'!$AH$13,"D+",IF(R211&lt;'PlayerGrades+'!$AH$12,"C-",IF(R211&lt;'PlayerGrades+'!$AH$11,"C",IF(R211&lt;'PlayerGrades+'!$AH$10,"C+",IF(R211&lt;'PlayerGrades+'!$AH$9,"B-",IF(R211&lt;'PlayerGrades+'!$AH$8,"B",IF(R211&lt;'PlayerGrades+'!$AH$7,"B+",IF(R211&lt;'PlayerGrades+'!$AH$6,"A-",IF(R211&lt;'PlayerGrades+'!$AH$5,"A",IF(R211&lt;'PlayerGrades+'!$AH$4,"A+",IF(R211&lt;'PlayerGrades+'!$AH$3,"S-",IF(R211&lt;'PlayerGrades+'!$AH$2,"S","S+"))))))))))))))))))))</f>
        <v>E-</v>
      </c>
      <c r="T211" s="937">
        <f t="shared" si="9"/>
        <v>1.255319149</v>
      </c>
      <c r="U211" s="937" t="str">
        <f>IF(T211&lt;'PlayerGrades+'!$AI$21,"F-",IF(T211&lt;'PlayerGrades+'!$AI$20,"F",IF(T211&lt;'PlayerGrades+'!$AI$19,"F+",IF(T211&lt;'PlayerGrades+'!$AI$18,"E-",IF(T211&lt;'PlayerGrades+'!$AI$17,"E",IF(T211&lt;'PlayerGrades+'!$AI$16,"E+",IF(T211&lt;'PlayerGrades+'!$AI$15,"D-",IF(T211&lt;'PlayerGrades+'!$AI$14,"D",IF(T211&lt;'PlayerGrades+'!$AI$13,"D+",IF(T211&lt;'PlayerGrades+'!$AI$12,"C-",IF(T211&lt;'PlayerGrades+'!$AI$11,"C",IF(T211&lt;'PlayerGrades+'!$AI$10,"C+",IF(T211&lt;'PlayerGrades+'!$AI$9,"B-",IF(T211&lt;'PlayerGrades+'!$AI$8,"B",IF(T211&lt;'PlayerGrades+'!$AI$7,"B+",IF(T211&lt;'PlayerGrades+'!$AI$6,"A-",IF(T211&lt;'PlayerGrades+'!$AI$5,"A",IF(T211&lt;'PlayerGrades+'!$AI$4,"A+",IF(T211&lt;'PlayerGrades+'!$AI$3,"S-",IF(T211&lt;'PlayerGrades+'!$AI$2,"S","S+"))))))))))))))))))))</f>
        <v>C</v>
      </c>
      <c r="V211" s="941">
        <v>1.0</v>
      </c>
      <c r="W211" s="941">
        <v>1.0</v>
      </c>
      <c r="X211" s="941">
        <v>0.0</v>
      </c>
      <c r="Y211" s="941">
        <v>0.0</v>
      </c>
      <c r="Z211" s="941">
        <v>0.0</v>
      </c>
      <c r="AA211" s="941">
        <v>74.0</v>
      </c>
      <c r="AB211" s="941">
        <v>98.0</v>
      </c>
      <c r="AC211" s="941">
        <v>-24.0</v>
      </c>
      <c r="AD211" s="941">
        <v>2.0</v>
      </c>
      <c r="AE211" s="941">
        <v>4.0</v>
      </c>
      <c r="AF211" s="941">
        <v>0.0</v>
      </c>
      <c r="AG211" s="941">
        <v>1262.0</v>
      </c>
      <c r="AH211" s="941">
        <v>1645.0</v>
      </c>
      <c r="AI211" s="941">
        <v>12.0</v>
      </c>
      <c r="AJ211" s="941">
        <v>2.0</v>
      </c>
      <c r="AK211" s="941">
        <v>0.0</v>
      </c>
      <c r="AL211" s="941">
        <v>0.0</v>
      </c>
      <c r="AM211" s="941">
        <v>0.0</v>
      </c>
      <c r="AN211" s="941">
        <v>0.0</v>
      </c>
      <c r="AO211" s="941">
        <v>0.0</v>
      </c>
      <c r="AP211" s="941">
        <v>0.0</v>
      </c>
      <c r="AQ211" s="941">
        <v>0.0</v>
      </c>
      <c r="AR211" s="941">
        <v>8.0</v>
      </c>
      <c r="AS211" s="941">
        <v>0.0</v>
      </c>
      <c r="AT211" s="941">
        <v>0.0</v>
      </c>
      <c r="AU211" s="941">
        <v>0.0</v>
      </c>
      <c r="AV211" s="941">
        <v>0.0</v>
      </c>
      <c r="AW211" s="941">
        <v>0.0</v>
      </c>
      <c r="AX211" s="941">
        <v>0.0</v>
      </c>
      <c r="AY211" s="941">
        <v>0.0</v>
      </c>
      <c r="AZ211" s="941">
        <v>0.0</v>
      </c>
      <c r="BA211" s="941">
        <v>0.0</v>
      </c>
      <c r="BB211" s="941">
        <v>4.0</v>
      </c>
      <c r="BC211" s="941">
        <v>0.0</v>
      </c>
      <c r="BD211" s="941">
        <v>10.0</v>
      </c>
      <c r="BE211" s="941">
        <v>7.0</v>
      </c>
      <c r="BF211" s="941">
        <v>1.0</v>
      </c>
      <c r="BG211" s="942">
        <v>1.0</v>
      </c>
    </row>
    <row r="212">
      <c r="A212" s="935" t="s">
        <v>136</v>
      </c>
      <c r="B212" s="16" t="str">
        <f>IF(C212&lt;'PlayerGrades+'!$Y$44,"F-",IF(C212&lt;'PlayerGrades+'!$Y$43,"F",IF(C212&lt;'PlayerGrades+'!$Y$42,"F+",IF(C212&lt;'PlayerGrades+'!$Y$41,"E-",IF(C212&lt;'PlayerGrades+'!$Y$40,"E",IF(C212&lt;'PlayerGrades+'!$Y$39,"E+",IF(C212&lt;'PlayerGrades+'!$Y$38,"D-",IF(C212&lt;'PlayerGrades+'!$Y$37,"D",IF(C212&lt;'PlayerGrades+'!$Y$36,"D+",IF(C212&lt;'PlayerGrades+'!$Y$35,"C-",IF(C212&lt;'PlayerGrades+'!$Y$34,"C",IF(C212&lt;'PlayerGrades+'!$Y$33,"C+",IF(C212&lt;'PlayerGrades+'!$Y$32,"B-",IF(C212&lt;'PlayerGrades+'!$Y$31,"B",IF(C212&lt;'PlayerGrades+'!$Y$30,"B+",IF(C212&lt;'PlayerGrades+'!$Y$29,"A-",IF(C212&lt;'PlayerGrades+'!$Y$28,"A",IF(C212&lt;'PlayerGrades+'!$Y$27,"A+",IF(C212&lt;'PlayerGrades+'!$Y$26,"S-",IF(C212&lt;'PlayerGrades+'!$Y$25,"S","S+"))))))))))))))))))))</f>
        <v>C</v>
      </c>
      <c r="C212" s="936">
        <f>('PlayerGrades+'!$Y$47*(VLOOKUP(E212, 'PlayerGrades+'!$X$3:$Y$23, 2, FALSE)))+('PlayerGrades+'!$Y$48*(VLOOKUP(G212, 'PlayerGrades+'!$X$3:$Y$23, 2, FALSE)))+('PlayerGrades+'!$Y$49*(VLOOKUP(I212, 'PlayerGrades+'!$X$3:$Y$23, 2, FALSE)))+('PlayerGrades+'!$Y$50*(VLOOKUP(K212, 'PlayerGrades+'!$X$3:$Y$23, 2, FALSE)))+('PlayerGrades+'!$Y$51*(VLOOKUP(M212, 'PlayerGrades+'!$X$3:$Y$23, 2, FALSE)))+('PlayerGrades+'!$Y$52*(VLOOKUP(O212, 'PlayerGrades+'!$X$3:$Y$23, 2, FALSE)))+('PlayerGrades+'!$Y$53*(VLOOKUP(Q212, 'PlayerGrades+'!$X$3:$Y$23, 2, FALSE)))+('PlayerGrades+'!$Y$54*(VLOOKUP(S212, 'PlayerGrades+'!$X$3:$Y$23, 2, FALSE)))+('PlayerGrades+'!$Y$55*(VLOOKUP(U212, 'PlayerGrades+'!$X$3:$Y$23, 2, FALSE)))</f>
        <v>20.35</v>
      </c>
      <c r="D212" s="937">
        <f t="shared" si="1"/>
        <v>0.03647416413</v>
      </c>
      <c r="E212" s="937" t="str">
        <f>IF(D212&lt;'PlayerGrades+'!$AA$21,"F-",IF(D212&lt;'PlayerGrades+'!$AA$20,"F",IF(D212&lt;'PlayerGrades+'!$AA$19,"F+",IF(D212&lt;'PlayerGrades+'!$AA$18,"E-",IF(D212&lt;'PlayerGrades+'!$AA$17,"E",IF(D212&lt;'PlayerGrades+'!$AA$16,"E+",IF(D212&lt;'PlayerGrades+'!$AA$15,"D-",IF(D212&lt;'PlayerGrades+'!$AA$14,"D",IF(D212&lt;'PlayerGrades+'!$AA$13,"D+",IF(D212&lt;'PlayerGrades+'!$AA$12,"C-",IF(D212&lt;'PlayerGrades+'!$AA$11,"C",IF(D212&lt;'PlayerGrades+'!$AA$10,"C+",IF(D212&lt;'PlayerGrades+'!$AA$9,"B-",IF(D212&lt;'PlayerGrades+'!$AA$8,"B",IF(D212&lt;'PlayerGrades+'!$AA$7,"B+",IF(D212&lt;'PlayerGrades+'!$AA$6,"A-",IF(D212&lt;'PlayerGrades+'!$AA$5,"A",IF(D212&lt;'PlayerGrades+'!$AA$4,"A+",IF(D212&lt;'PlayerGrades+'!$AA$3,"S-",IF(D212&lt;'PlayerGrades+'!$AA$2,"S","S+"))))))))))))))))))))</f>
        <v>C</v>
      </c>
      <c r="F212" s="937">
        <f t="shared" si="2"/>
        <v>-0.6930091185</v>
      </c>
      <c r="G212" s="937" t="str">
        <f>IF(F212&lt;'PlayerGrades+'!$AB$21,"F-",IF(F212&lt;'PlayerGrades+'!$AB$20,"F",IF(F212&lt;'PlayerGrades+'!$AB$19,"F+",IF(F212&lt;'PlayerGrades+'!$AB$18,"E-",IF(F212&lt;'PlayerGrades+'!$AB$17,"E",IF(F212&lt;'PlayerGrades+'!$AB$16,"E+",IF(F212&lt;'PlayerGrades+'!$AB$15,"D-",IF(F212&lt;'PlayerGrades+'!$AB$14,"D",IF(F212&lt;'PlayerGrades+'!$AB$13,"D+",IF(F212&lt;'PlayerGrades+'!$AB$12,"C-",IF(F212&lt;'PlayerGrades+'!$AB$11,"C",IF(F212&lt;'PlayerGrades+'!$AB$10,"C+",IF(F212&lt;'PlayerGrades+'!$AB$9,"B-",IF(F212&lt;'PlayerGrades+'!$AB$8,"B",IF(F212&lt;'PlayerGrades+'!$AB$7,"B+",IF(F212&lt;'PlayerGrades+'!$AB$6,"A-",IF(F212&lt;'PlayerGrades+'!$AB$5,"A",IF(F212&lt;'PlayerGrades+'!$AB$4,"A+",IF(F212&lt;'PlayerGrades+'!$AB$3,"S-",IF(F212&lt;'PlayerGrades+'!$AB$2,"S","S+"))))))))))))))))))))</f>
        <v>E+</v>
      </c>
      <c r="H212" s="937">
        <f t="shared" si="3"/>
        <v>0.07294832827</v>
      </c>
      <c r="I212" s="937" t="str">
        <f>IF(H212&lt;'PlayerGrades+'!$AC$21,"F-",IF(H212&lt;'PlayerGrades+'!$AC$20,"F",IF(H212&lt;'PlayerGrades+'!$AC$19,"F+",IF(H212&lt;'PlayerGrades+'!$AC$18,"E-",IF(H212&lt;'PlayerGrades+'!$AC$17,"E",IF(H212&lt;'PlayerGrades+'!$AC$16,"E+",IF(H212&lt;'PlayerGrades+'!$AC$15,"D-",IF(H212&lt;'PlayerGrades+'!$AC$14,"D",IF(H212&lt;'PlayerGrades+'!$AC$13,"D+",IF(H212&lt;'PlayerGrades+'!$AC$12,"C-",IF(H212&lt;'PlayerGrades+'!$AC$11,"C",IF(H212&lt;'PlayerGrades+'!$AC$10,"C+",IF(H212&lt;'PlayerGrades+'!$AC$9,"B-",IF(H212&lt;'PlayerGrades+'!$AC$8,"B",IF(H212&lt;'PlayerGrades+'!$AC$7,"B+",IF(H212&lt;'PlayerGrades+'!$AC$6,"A-",IF(H212&lt;'PlayerGrades+'!$AC$5,"A",IF(H212&lt;'PlayerGrades+'!$AC$4,"A+",IF(H212&lt;'PlayerGrades+'!$AC$3,"S-",IF(H212&lt;'PlayerGrades+'!$AC$2,"S","S+"))))))))))))))))))))</f>
        <v>E</v>
      </c>
      <c r="J212" s="937">
        <f t="shared" si="4"/>
        <v>0.07294832827</v>
      </c>
      <c r="K212" s="937" t="str">
        <f>IF(J212&lt;'PlayerGrades+'!$AD$21,"F-",IF(J212&lt;'PlayerGrades+'!$AD$20,"F",IF(J212&lt;'PlayerGrades+'!$AD$19,"F+",IF(J212&lt;'PlayerGrades+'!$AD$18,"E-",IF(J212&lt;'PlayerGrades+'!$AD$17,"E",IF(J212&lt;'PlayerGrades+'!$AD$16,"E+",IF(J212&lt;'PlayerGrades+'!$AD$15,"D-",IF(J212&lt;'PlayerGrades+'!$AD$14,"D",IF(J212&lt;'PlayerGrades+'!$AD$13,"D+",IF(J212&lt;'PlayerGrades+'!$AD$12,"C-",IF(J212&lt;'PlayerGrades+'!$AD$11,"C",IF(J212&lt;'PlayerGrades+'!$AD$10,"C+",IF(J212&lt;'PlayerGrades+'!$AD$9,"B-",IF(J212&lt;'PlayerGrades+'!$AD$8,"B",IF(J212&lt;'PlayerGrades+'!$AD$7,"B+",IF(J212&lt;'PlayerGrades+'!$AD$6,"A-",IF(J212&lt;'PlayerGrades+'!$AD$5,"A",IF(J212&lt;'PlayerGrades+'!$AD$4,"A+",IF(J212&lt;'PlayerGrades+'!$AD$3,"S-",IF(J212&lt;'PlayerGrades+'!$AD$2,"S","S+"))))))))))))))))))))</f>
        <v>A</v>
      </c>
      <c r="L212" s="677">
        <f t="shared" si="5"/>
        <v>0.5106382979</v>
      </c>
      <c r="M212" s="938" t="str">
        <f>IF(L212&lt;'PlayerGrades+'!$AE$21,"F-",IF(L212&lt;'PlayerGrades+'!$AE$20,"F",IF(L212&lt;'PlayerGrades+'!$AE$19,"F+",IF(L212&lt;'PlayerGrades+'!$AE$18,"E-",IF(L212&lt;'PlayerGrades+'!$AE$17,"E",IF(L212&lt;'PlayerGrades+'!$AE$16,"E+",IF(L212&lt;'PlayerGrades+'!$AE$15,"D-",IF(L212&lt;'PlayerGrades+'!$AE$14,"D",IF(L212&lt;'PlayerGrades+'!$AE$13,"D+",IF(L212&lt;'PlayerGrades+'!$AE$12,"C-",IF(L212&lt;'PlayerGrades+'!$AE$11,"C",IF(L212&lt;'PlayerGrades+'!$AE$10,"C+",IF(L212&lt;'PlayerGrades+'!$AE$9,"B-",IF(L212&lt;'PlayerGrades+'!$AE$8,"B",IF(L212&lt;'PlayerGrades+'!$AE$7,"B+",IF(L212&lt;'PlayerGrades+'!$AE$6,"A-",IF(L212&lt;'PlayerGrades+'!$AE$5,"A",IF(L212&lt;'PlayerGrades+'!$AE$4,"A+",IF(L212&lt;'PlayerGrades+'!$AE$3,"S-",IF(L212&lt;'PlayerGrades+'!$AE$2,"S","S+"))))))))))))))))))))</f>
        <v>A-</v>
      </c>
      <c r="N212" s="937">
        <f t="shared" si="6"/>
        <v>0.1823708207</v>
      </c>
      <c r="O212" s="937" t="str">
        <f>IF(N212&lt;'PlayerGrades+'!$AF$21,"F-",IF(N212&lt;'PlayerGrades+'!$AF$20,"F",IF(N212&lt;'PlayerGrades+'!$AF$19,"F+",IF(N212&lt;'PlayerGrades+'!$AF$18,"E-",IF(N212&lt;'PlayerGrades+'!$AF$17,"E",IF(N212&lt;'PlayerGrades+'!$AF$16,"E+",IF(N212&lt;'PlayerGrades+'!$AF$15,"D-",IF(N212&lt;'PlayerGrades+'!$AF$14,"D",IF(N212&lt;'PlayerGrades+'!$AF$13,"D+",IF(N212&lt;'PlayerGrades+'!$AF$12,"C-",IF(N212&lt;'PlayerGrades+'!$AF$11,"C",IF(N212&lt;'PlayerGrades+'!$AF$10,"C+",IF(N212&lt;'PlayerGrades+'!$AF$9,"B-",IF(N212&lt;'PlayerGrades+'!$AF$8,"B",IF(N212&lt;'PlayerGrades+'!$AF$7,"B+",IF(N212&lt;'PlayerGrades+'!$AF$6,"A-",IF(N212&lt;'PlayerGrades+'!$AF$5,"A",IF(N212&lt;'PlayerGrades+'!$AF$4,"A+",IF(N212&lt;'PlayerGrades+'!$AF$3,"S-",IF(N212&lt;'PlayerGrades+'!$AF$2,"S","S+"))))))))))))))))))))</f>
        <v>S+</v>
      </c>
      <c r="P212" s="937">
        <f t="shared" si="7"/>
        <v>0.07294832827</v>
      </c>
      <c r="Q212" s="937" t="str">
        <f>IF(P212&lt;'PlayerGrades+'!$AG$21,"F-",IF(P212&lt;'PlayerGrades+'!$AG$20,"F",IF(P212&lt;'PlayerGrades+'!$AG$19,"F+",IF(P212&lt;'PlayerGrades+'!$AG$18,"E-",IF(P212&lt;'PlayerGrades+'!$AG$17,"E",IF(P212&lt;'PlayerGrades+'!$AG$16,"E+",IF(P212&lt;'PlayerGrades+'!$AG$15,"D-",IF(P212&lt;'PlayerGrades+'!$AG$14,"D",IF(P212&lt;'PlayerGrades+'!$AG$13,"D+",IF(P212&lt;'PlayerGrades+'!$AG$12,"C-",IF(P212&lt;'PlayerGrades+'!$AG$11,"C",IF(P212&lt;'PlayerGrades+'!$AG$10,"C+",IF(P212&lt;'PlayerGrades+'!$AG$9,"B-",IF(P212&lt;'PlayerGrades+'!$AG$8,"B",IF(P212&lt;'PlayerGrades+'!$AG$7,"B+",IF(P212&lt;'PlayerGrades+'!$AG$6,"A-",IF(P212&lt;'PlayerGrades+'!$AG$5,"A",IF(P212&lt;'PlayerGrades+'!$AG$4,"A+",IF(P212&lt;'PlayerGrades+'!$AG$3,"S-",IF(P212&lt;'PlayerGrades+'!$AG$2,"S","S+"))))))))))))))))))))</f>
        <v>S-</v>
      </c>
      <c r="R212" s="937">
        <f t="shared" si="8"/>
        <v>0.4012158055</v>
      </c>
      <c r="S212" s="937" t="str">
        <f>IF(R212&lt;'PlayerGrades+'!$AH$21,"F-",IF(R212&lt;'PlayerGrades+'!$AH$20,"F",IF(R212&lt;'PlayerGrades+'!$AH$19,"F+",IF(R212&lt;'PlayerGrades+'!$AH$18,"E-",IF(R212&lt;'PlayerGrades+'!$AH$17,"E",IF(R212&lt;'PlayerGrades+'!$AH$16,"E+",IF(R212&lt;'PlayerGrades+'!$AH$15,"D-",IF(R212&lt;'PlayerGrades+'!$AH$14,"D",IF(R212&lt;'PlayerGrades+'!$AH$13,"D+",IF(R212&lt;'PlayerGrades+'!$AH$12,"C-",IF(R212&lt;'PlayerGrades+'!$AH$11,"C",IF(R212&lt;'PlayerGrades+'!$AH$10,"C+",IF(R212&lt;'PlayerGrades+'!$AH$9,"B-",IF(R212&lt;'PlayerGrades+'!$AH$8,"B",IF(R212&lt;'PlayerGrades+'!$AH$7,"B+",IF(R212&lt;'PlayerGrades+'!$AH$6,"A-",IF(R212&lt;'PlayerGrades+'!$AH$5,"A",IF(R212&lt;'PlayerGrades+'!$AH$4,"A+",IF(R212&lt;'PlayerGrades+'!$AH$3,"S-",IF(R212&lt;'PlayerGrades+'!$AH$2,"S","S+"))))))))))))))))))))</f>
        <v>F+</v>
      </c>
      <c r="T212" s="937">
        <f t="shared" si="9"/>
        <v>0.2917933131</v>
      </c>
      <c r="U212" s="937" t="str">
        <f>IF(T212&lt;'PlayerGrades+'!$AI$21,"F-",IF(T212&lt;'PlayerGrades+'!$AI$20,"F",IF(T212&lt;'PlayerGrades+'!$AI$19,"F+",IF(T212&lt;'PlayerGrades+'!$AI$18,"E-",IF(T212&lt;'PlayerGrades+'!$AI$17,"E",IF(T212&lt;'PlayerGrades+'!$AI$16,"E+",IF(T212&lt;'PlayerGrades+'!$AI$15,"D-",IF(T212&lt;'PlayerGrades+'!$AI$14,"D",IF(T212&lt;'PlayerGrades+'!$AI$13,"D+",IF(T212&lt;'PlayerGrades+'!$AI$12,"C-",IF(T212&lt;'PlayerGrades+'!$AI$11,"C",IF(T212&lt;'PlayerGrades+'!$AI$10,"C+",IF(T212&lt;'PlayerGrades+'!$AI$9,"B-",IF(T212&lt;'PlayerGrades+'!$AI$8,"B",IF(T212&lt;'PlayerGrades+'!$AI$7,"B+",IF(T212&lt;'PlayerGrades+'!$AI$6,"A-",IF(T212&lt;'PlayerGrades+'!$AI$5,"A",IF(T212&lt;'PlayerGrades+'!$AI$4,"A+",IF(T212&lt;'PlayerGrades+'!$AI$3,"S-",IF(T212&lt;'PlayerGrades+'!$AI$2,"S","S+"))))))))))))))))))))</f>
        <v>F-</v>
      </c>
      <c r="V212" s="941">
        <v>1.0</v>
      </c>
      <c r="W212" s="941">
        <v>1.0</v>
      </c>
      <c r="X212" s="941">
        <v>0.0</v>
      </c>
      <c r="Y212" s="941">
        <v>0.0</v>
      </c>
      <c r="Z212" s="941">
        <v>1.0</v>
      </c>
      <c r="AA212" s="941">
        <v>101.0</v>
      </c>
      <c r="AB212" s="941">
        <v>120.0</v>
      </c>
      <c r="AC212" s="941">
        <v>-19.0</v>
      </c>
      <c r="AD212" s="941">
        <v>4.0</v>
      </c>
      <c r="AE212" s="941">
        <v>6.0</v>
      </c>
      <c r="AF212" s="941">
        <v>0.0</v>
      </c>
      <c r="AG212" s="941">
        <v>1182.0</v>
      </c>
      <c r="AH212" s="941">
        <v>1645.0</v>
      </c>
      <c r="AI212" s="941">
        <v>9.0</v>
      </c>
      <c r="AJ212" s="941">
        <v>25.0</v>
      </c>
      <c r="AK212" s="941">
        <v>0.0</v>
      </c>
      <c r="AL212" s="941">
        <v>2.0</v>
      </c>
      <c r="AM212" s="941">
        <v>0.0</v>
      </c>
      <c r="AN212" s="941">
        <v>0.0</v>
      </c>
      <c r="AO212" s="941">
        <v>0.0</v>
      </c>
      <c r="AP212" s="941">
        <v>2.0</v>
      </c>
      <c r="AQ212" s="941">
        <v>0.0</v>
      </c>
      <c r="AR212" s="941">
        <v>14.0</v>
      </c>
      <c r="AS212" s="941">
        <v>5.0</v>
      </c>
      <c r="AT212" s="941">
        <v>2.0</v>
      </c>
      <c r="AU212" s="941">
        <v>0.0</v>
      </c>
      <c r="AV212" s="941">
        <v>0.0</v>
      </c>
      <c r="AW212" s="941">
        <v>0.0</v>
      </c>
      <c r="AX212" s="941">
        <v>0.0</v>
      </c>
      <c r="AY212" s="941">
        <v>0.0</v>
      </c>
      <c r="AZ212" s="941">
        <v>0.0</v>
      </c>
      <c r="BA212" s="941">
        <v>0.0</v>
      </c>
      <c r="BB212" s="941">
        <v>2.0</v>
      </c>
      <c r="BC212" s="941">
        <v>0.0</v>
      </c>
      <c r="BD212" s="941">
        <v>7.0</v>
      </c>
      <c r="BE212" s="941">
        <v>8.0</v>
      </c>
      <c r="BF212" s="941">
        <v>0.0</v>
      </c>
      <c r="BG212" s="942">
        <v>1.0</v>
      </c>
    </row>
    <row r="213">
      <c r="A213" s="935" t="s">
        <v>418</v>
      </c>
      <c r="B213" s="16" t="str">
        <f>IF(C213&lt;'PlayerGrades+'!$Y$44,"F-",IF(C213&lt;'PlayerGrades+'!$Y$43,"F",IF(C213&lt;'PlayerGrades+'!$Y$42,"F+",IF(C213&lt;'PlayerGrades+'!$Y$41,"E-",IF(C213&lt;'PlayerGrades+'!$Y$40,"E",IF(C213&lt;'PlayerGrades+'!$Y$39,"E+",IF(C213&lt;'PlayerGrades+'!$Y$38,"D-",IF(C213&lt;'PlayerGrades+'!$Y$37,"D",IF(C213&lt;'PlayerGrades+'!$Y$36,"D+",IF(C213&lt;'PlayerGrades+'!$Y$35,"C-",IF(C213&lt;'PlayerGrades+'!$Y$34,"C",IF(C213&lt;'PlayerGrades+'!$Y$33,"C+",IF(C213&lt;'PlayerGrades+'!$Y$32,"B-",IF(C213&lt;'PlayerGrades+'!$Y$31,"B",IF(C213&lt;'PlayerGrades+'!$Y$30,"B+",IF(C213&lt;'PlayerGrades+'!$Y$29,"A-",IF(C213&lt;'PlayerGrades+'!$Y$28,"A",IF(C213&lt;'PlayerGrades+'!$Y$27,"A+",IF(C213&lt;'PlayerGrades+'!$Y$26,"S-",IF(C213&lt;'PlayerGrades+'!$Y$25,"S","S+"))))))))))))))))))))</f>
        <v>S-</v>
      </c>
      <c r="C213" s="936">
        <f>('PlayerGrades+'!$Y$47*(VLOOKUP(E213, 'PlayerGrades+'!$X$3:$Y$23, 2, FALSE)))+('PlayerGrades+'!$Y$48*(VLOOKUP(G213, 'PlayerGrades+'!$X$3:$Y$23, 2, FALSE)))+('PlayerGrades+'!$Y$49*(VLOOKUP(I213, 'PlayerGrades+'!$X$3:$Y$23, 2, FALSE)))+('PlayerGrades+'!$Y$50*(VLOOKUP(K213, 'PlayerGrades+'!$X$3:$Y$23, 2, FALSE)))+('PlayerGrades+'!$Y$51*(VLOOKUP(M213, 'PlayerGrades+'!$X$3:$Y$23, 2, FALSE)))+('PlayerGrades+'!$Y$52*(VLOOKUP(O213, 'PlayerGrades+'!$X$3:$Y$23, 2, FALSE)))+('PlayerGrades+'!$Y$53*(VLOOKUP(Q213, 'PlayerGrades+'!$X$3:$Y$23, 2, FALSE)))+('PlayerGrades+'!$Y$54*(VLOOKUP(S213, 'PlayerGrades+'!$X$3:$Y$23, 2, FALSE)))+('PlayerGrades+'!$Y$55*(VLOOKUP(U213, 'PlayerGrades+'!$X$3:$Y$23, 2, FALSE)))</f>
        <v>30.55</v>
      </c>
      <c r="D213" s="937">
        <f t="shared" si="1"/>
        <v>0.03647416413</v>
      </c>
      <c r="E213" s="937" t="str">
        <f>IF(D213&lt;'PlayerGrades+'!$AA$21,"F-",IF(D213&lt;'PlayerGrades+'!$AA$20,"F",IF(D213&lt;'PlayerGrades+'!$AA$19,"F+",IF(D213&lt;'PlayerGrades+'!$AA$18,"E-",IF(D213&lt;'PlayerGrades+'!$AA$17,"E",IF(D213&lt;'PlayerGrades+'!$AA$16,"E+",IF(D213&lt;'PlayerGrades+'!$AA$15,"D-",IF(D213&lt;'PlayerGrades+'!$AA$14,"D",IF(D213&lt;'PlayerGrades+'!$AA$13,"D+",IF(D213&lt;'PlayerGrades+'!$AA$12,"C-",IF(D213&lt;'PlayerGrades+'!$AA$11,"C",IF(D213&lt;'PlayerGrades+'!$AA$10,"C+",IF(D213&lt;'PlayerGrades+'!$AA$9,"B-",IF(D213&lt;'PlayerGrades+'!$AA$8,"B",IF(D213&lt;'PlayerGrades+'!$AA$7,"B+",IF(D213&lt;'PlayerGrades+'!$AA$6,"A-",IF(D213&lt;'PlayerGrades+'!$AA$5,"A",IF(D213&lt;'PlayerGrades+'!$AA$4,"A+",IF(D213&lt;'PlayerGrades+'!$AA$3,"S-",IF(D213&lt;'PlayerGrades+'!$AA$2,"S","S+"))))))))))))))))))))</f>
        <v>C</v>
      </c>
      <c r="F213" s="937">
        <f t="shared" si="2"/>
        <v>0.5835866261</v>
      </c>
      <c r="G213" s="937" t="str">
        <f>IF(F213&lt;'PlayerGrades+'!$AB$21,"F-",IF(F213&lt;'PlayerGrades+'!$AB$20,"F",IF(F213&lt;'PlayerGrades+'!$AB$19,"F+",IF(F213&lt;'PlayerGrades+'!$AB$18,"E-",IF(F213&lt;'PlayerGrades+'!$AB$17,"E",IF(F213&lt;'PlayerGrades+'!$AB$16,"E+",IF(F213&lt;'PlayerGrades+'!$AB$15,"D-",IF(F213&lt;'PlayerGrades+'!$AB$14,"D",IF(F213&lt;'PlayerGrades+'!$AB$13,"D+",IF(F213&lt;'PlayerGrades+'!$AB$12,"C-",IF(F213&lt;'PlayerGrades+'!$AB$11,"C",IF(F213&lt;'PlayerGrades+'!$AB$10,"C+",IF(F213&lt;'PlayerGrades+'!$AB$9,"B-",IF(F213&lt;'PlayerGrades+'!$AB$8,"B",IF(F213&lt;'PlayerGrades+'!$AB$7,"B+",IF(F213&lt;'PlayerGrades+'!$AB$6,"A-",IF(F213&lt;'PlayerGrades+'!$AB$5,"A",IF(F213&lt;'PlayerGrades+'!$AB$4,"A+",IF(F213&lt;'PlayerGrades+'!$AB$3,"S-",IF(F213&lt;'PlayerGrades+'!$AB$2,"S","S+"))))))))))))))))))))</f>
        <v>S-</v>
      </c>
      <c r="H213" s="937">
        <f t="shared" si="3"/>
        <v>0.1823708207</v>
      </c>
      <c r="I213" s="937" t="str">
        <f>IF(H213&lt;'PlayerGrades+'!$AC$21,"F-",IF(H213&lt;'PlayerGrades+'!$AC$20,"F",IF(H213&lt;'PlayerGrades+'!$AC$19,"F+",IF(H213&lt;'PlayerGrades+'!$AC$18,"E-",IF(H213&lt;'PlayerGrades+'!$AC$17,"E",IF(H213&lt;'PlayerGrades+'!$AC$16,"E+",IF(H213&lt;'PlayerGrades+'!$AC$15,"D-",IF(H213&lt;'PlayerGrades+'!$AC$14,"D",IF(H213&lt;'PlayerGrades+'!$AC$13,"D+",IF(H213&lt;'PlayerGrades+'!$AC$12,"C-",IF(H213&lt;'PlayerGrades+'!$AC$11,"C",IF(H213&lt;'PlayerGrades+'!$AC$10,"C+",IF(H213&lt;'PlayerGrades+'!$AC$9,"B-",IF(H213&lt;'PlayerGrades+'!$AC$8,"B",IF(H213&lt;'PlayerGrades+'!$AC$7,"B+",IF(H213&lt;'PlayerGrades+'!$AC$6,"A-",IF(H213&lt;'PlayerGrades+'!$AC$5,"A",IF(H213&lt;'PlayerGrades+'!$AC$4,"A+",IF(H213&lt;'PlayerGrades+'!$AC$3,"S-",IF(H213&lt;'PlayerGrades+'!$AC$2,"S","S+"))))))))))))))))))))</f>
        <v>S-</v>
      </c>
      <c r="J213" s="937">
        <f t="shared" si="4"/>
        <v>0.03647416413</v>
      </c>
      <c r="K213" s="937" t="str">
        <f>IF(J213&lt;'PlayerGrades+'!$AD$21,"F-",IF(J213&lt;'PlayerGrades+'!$AD$20,"F",IF(J213&lt;'PlayerGrades+'!$AD$19,"F+",IF(J213&lt;'PlayerGrades+'!$AD$18,"E-",IF(J213&lt;'PlayerGrades+'!$AD$17,"E",IF(J213&lt;'PlayerGrades+'!$AD$16,"E+",IF(J213&lt;'PlayerGrades+'!$AD$15,"D-",IF(J213&lt;'PlayerGrades+'!$AD$14,"D",IF(J213&lt;'PlayerGrades+'!$AD$13,"D+",IF(J213&lt;'PlayerGrades+'!$AD$12,"C-",IF(J213&lt;'PlayerGrades+'!$AD$11,"C",IF(J213&lt;'PlayerGrades+'!$AD$10,"C+",IF(J213&lt;'PlayerGrades+'!$AD$9,"B-",IF(J213&lt;'PlayerGrades+'!$AD$8,"B",IF(J213&lt;'PlayerGrades+'!$AD$7,"B+",IF(J213&lt;'PlayerGrades+'!$AD$6,"A-",IF(J213&lt;'PlayerGrades+'!$AD$5,"A",IF(J213&lt;'PlayerGrades+'!$AD$4,"A+",IF(J213&lt;'PlayerGrades+'!$AD$3,"S-",IF(J213&lt;'PlayerGrades+'!$AD$2,"S","S+"))))))))))))))))))))</f>
        <v>C</v>
      </c>
      <c r="L213" s="677">
        <f t="shared" si="5"/>
        <v>0.6200607903</v>
      </c>
      <c r="M213" s="938" t="str">
        <f>IF(L213&lt;'PlayerGrades+'!$AE$21,"F-",IF(L213&lt;'PlayerGrades+'!$AE$20,"F",IF(L213&lt;'PlayerGrades+'!$AE$19,"F+",IF(L213&lt;'PlayerGrades+'!$AE$18,"E-",IF(L213&lt;'PlayerGrades+'!$AE$17,"E",IF(L213&lt;'PlayerGrades+'!$AE$16,"E+",IF(L213&lt;'PlayerGrades+'!$AE$15,"D-",IF(L213&lt;'PlayerGrades+'!$AE$14,"D",IF(L213&lt;'PlayerGrades+'!$AE$13,"D+",IF(L213&lt;'PlayerGrades+'!$AE$12,"C-",IF(L213&lt;'PlayerGrades+'!$AE$11,"C",IF(L213&lt;'PlayerGrades+'!$AE$10,"C+",IF(L213&lt;'PlayerGrades+'!$AE$9,"B-",IF(L213&lt;'PlayerGrades+'!$AE$8,"B",IF(L213&lt;'PlayerGrades+'!$AE$7,"B+",IF(L213&lt;'PlayerGrades+'!$AE$6,"A-",IF(L213&lt;'PlayerGrades+'!$AE$5,"A",IF(L213&lt;'PlayerGrades+'!$AE$4,"A+",IF(L213&lt;'PlayerGrades+'!$AE$3,"S-",IF(L213&lt;'PlayerGrades+'!$AE$2,"S","S+"))))))))))))))))))))</f>
        <v>S-</v>
      </c>
      <c r="N213" s="937">
        <f t="shared" si="6"/>
        <v>0.1458966565</v>
      </c>
      <c r="O213" s="937" t="str">
        <f>IF(N213&lt;'PlayerGrades+'!$AF$21,"F-",IF(N213&lt;'PlayerGrades+'!$AF$20,"F",IF(N213&lt;'PlayerGrades+'!$AF$19,"F+",IF(N213&lt;'PlayerGrades+'!$AF$18,"E-",IF(N213&lt;'PlayerGrades+'!$AF$17,"E",IF(N213&lt;'PlayerGrades+'!$AF$16,"E+",IF(N213&lt;'PlayerGrades+'!$AF$15,"D-",IF(N213&lt;'PlayerGrades+'!$AF$14,"D",IF(N213&lt;'PlayerGrades+'!$AF$13,"D+",IF(N213&lt;'PlayerGrades+'!$AF$12,"C-",IF(N213&lt;'PlayerGrades+'!$AF$11,"C",IF(N213&lt;'PlayerGrades+'!$AF$10,"C+",IF(N213&lt;'PlayerGrades+'!$AF$9,"B-",IF(N213&lt;'PlayerGrades+'!$AF$8,"B",IF(N213&lt;'PlayerGrades+'!$AF$7,"B+",IF(N213&lt;'PlayerGrades+'!$AF$6,"A-",IF(N213&lt;'PlayerGrades+'!$AF$5,"A",IF(N213&lt;'PlayerGrades+'!$AF$4,"A+",IF(N213&lt;'PlayerGrades+'!$AF$3,"S-",IF(N213&lt;'PlayerGrades+'!$AF$2,"S","S+"))))))))))))))))))))</f>
        <v>S</v>
      </c>
      <c r="P213" s="937">
        <f t="shared" si="7"/>
        <v>0.03647416413</v>
      </c>
      <c r="Q213" s="937" t="str">
        <f>IF(P213&lt;'PlayerGrades+'!$AG$21,"F-",IF(P213&lt;'PlayerGrades+'!$AG$20,"F",IF(P213&lt;'PlayerGrades+'!$AG$19,"F+",IF(P213&lt;'PlayerGrades+'!$AG$18,"E-",IF(P213&lt;'PlayerGrades+'!$AG$17,"E",IF(P213&lt;'PlayerGrades+'!$AG$16,"E+",IF(P213&lt;'PlayerGrades+'!$AG$15,"D-",IF(P213&lt;'PlayerGrades+'!$AG$14,"D",IF(P213&lt;'PlayerGrades+'!$AG$13,"D+",IF(P213&lt;'PlayerGrades+'!$AG$12,"C-",IF(P213&lt;'PlayerGrades+'!$AG$11,"C",IF(P213&lt;'PlayerGrades+'!$AG$10,"C+",IF(P213&lt;'PlayerGrades+'!$AG$9,"B-",IF(P213&lt;'PlayerGrades+'!$AG$8,"B",IF(P213&lt;'PlayerGrades+'!$AG$7,"B+",IF(P213&lt;'PlayerGrades+'!$AG$6,"A-",IF(P213&lt;'PlayerGrades+'!$AG$5,"A",IF(P213&lt;'PlayerGrades+'!$AG$4,"A+",IF(P213&lt;'PlayerGrades+'!$AG$3,"S-",IF(P213&lt;'PlayerGrades+'!$AG$2,"S","S+"))))))))))))))))))))</f>
        <v>B+</v>
      </c>
      <c r="R213" s="937">
        <f t="shared" si="8"/>
        <v>0.6565349544</v>
      </c>
      <c r="S213" s="937" t="str">
        <f>IF(R213&lt;'PlayerGrades+'!$AH$21,"F-",IF(R213&lt;'PlayerGrades+'!$AH$20,"F",IF(R213&lt;'PlayerGrades+'!$AH$19,"F+",IF(R213&lt;'PlayerGrades+'!$AH$18,"E-",IF(R213&lt;'PlayerGrades+'!$AH$17,"E",IF(R213&lt;'PlayerGrades+'!$AH$16,"E+",IF(R213&lt;'PlayerGrades+'!$AH$15,"D-",IF(R213&lt;'PlayerGrades+'!$AH$14,"D",IF(R213&lt;'PlayerGrades+'!$AH$13,"D+",IF(R213&lt;'PlayerGrades+'!$AH$12,"C-",IF(R213&lt;'PlayerGrades+'!$AH$11,"C",IF(R213&lt;'PlayerGrades+'!$AH$10,"C+",IF(R213&lt;'PlayerGrades+'!$AH$9,"B-",IF(R213&lt;'PlayerGrades+'!$AH$8,"B",IF(R213&lt;'PlayerGrades+'!$AH$7,"B+",IF(R213&lt;'PlayerGrades+'!$AH$6,"A-",IF(R213&lt;'PlayerGrades+'!$AH$5,"A",IF(R213&lt;'PlayerGrades+'!$AH$4,"A+",IF(R213&lt;'PlayerGrades+'!$AH$3,"S-",IF(R213&lt;'PlayerGrades+'!$AH$2,"S","S+"))))))))))))))))))))</f>
        <v>A+</v>
      </c>
      <c r="T213" s="937">
        <f t="shared" si="9"/>
        <v>1.291793313</v>
      </c>
      <c r="U213" s="937" t="str">
        <f>IF(T213&lt;'PlayerGrades+'!$AI$21,"F-",IF(T213&lt;'PlayerGrades+'!$AI$20,"F",IF(T213&lt;'PlayerGrades+'!$AI$19,"F+",IF(T213&lt;'PlayerGrades+'!$AI$18,"E-",IF(T213&lt;'PlayerGrades+'!$AI$17,"E",IF(T213&lt;'PlayerGrades+'!$AI$16,"E+",IF(T213&lt;'PlayerGrades+'!$AI$15,"D-",IF(T213&lt;'PlayerGrades+'!$AI$14,"D",IF(T213&lt;'PlayerGrades+'!$AI$13,"D+",IF(T213&lt;'PlayerGrades+'!$AI$12,"C-",IF(T213&lt;'PlayerGrades+'!$AI$11,"C",IF(T213&lt;'PlayerGrades+'!$AI$10,"C+",IF(T213&lt;'PlayerGrades+'!$AI$9,"B-",IF(T213&lt;'PlayerGrades+'!$AI$8,"B",IF(T213&lt;'PlayerGrades+'!$AI$7,"B+",IF(T213&lt;'PlayerGrades+'!$AI$6,"A-",IF(T213&lt;'PlayerGrades+'!$AI$5,"A",IF(T213&lt;'PlayerGrades+'!$AI$4,"A+",IF(T213&lt;'PlayerGrades+'!$AI$3,"S-",IF(T213&lt;'PlayerGrades+'!$AI$2,"S","S+"))))))))))))))))))))</f>
        <v>C+</v>
      </c>
      <c r="V213" s="941">
        <v>1.0</v>
      </c>
      <c r="W213" s="941">
        <v>1.0</v>
      </c>
      <c r="X213" s="941">
        <v>0.0</v>
      </c>
      <c r="Y213" s="941">
        <v>0.0</v>
      </c>
      <c r="Z213" s="941">
        <v>1.0</v>
      </c>
      <c r="AA213" s="941">
        <v>100.0</v>
      </c>
      <c r="AB213" s="941">
        <v>84.0</v>
      </c>
      <c r="AC213" s="941">
        <v>16.0</v>
      </c>
      <c r="AD213" s="941">
        <v>9.0</v>
      </c>
      <c r="AE213" s="941">
        <v>5.0</v>
      </c>
      <c r="AF213" s="941">
        <v>2.0</v>
      </c>
      <c r="AG213" s="941">
        <v>1299.0</v>
      </c>
      <c r="AH213" s="941">
        <v>1645.0</v>
      </c>
      <c r="AI213" s="941">
        <v>15.0</v>
      </c>
      <c r="AJ213" s="941">
        <v>0.0</v>
      </c>
      <c r="AK213" s="941">
        <v>0.0</v>
      </c>
      <c r="AL213" s="941">
        <v>1.0</v>
      </c>
      <c r="AM213" s="941">
        <v>0.0</v>
      </c>
      <c r="AN213" s="941">
        <v>0.0</v>
      </c>
      <c r="AO213" s="941">
        <v>0.0</v>
      </c>
      <c r="AP213" s="941">
        <v>1.0</v>
      </c>
      <c r="AQ213" s="941">
        <v>0.0</v>
      </c>
      <c r="AR213" s="941">
        <v>17.0</v>
      </c>
      <c r="AS213" s="941">
        <v>4.0</v>
      </c>
      <c r="AT213" s="941">
        <v>0.0</v>
      </c>
      <c r="AU213" s="941">
        <v>0.0</v>
      </c>
      <c r="AV213" s="941">
        <v>0.0</v>
      </c>
      <c r="AW213" s="941">
        <v>0.0</v>
      </c>
      <c r="AX213" s="941">
        <v>0.0</v>
      </c>
      <c r="AY213" s="941">
        <v>0.0</v>
      </c>
      <c r="AZ213" s="941">
        <v>0.0</v>
      </c>
      <c r="BA213" s="941">
        <v>0.0</v>
      </c>
      <c r="BB213" s="941">
        <v>5.0</v>
      </c>
      <c r="BC213" s="941">
        <v>0.0</v>
      </c>
      <c r="BD213" s="941">
        <v>9.0</v>
      </c>
      <c r="BE213" s="941">
        <v>8.0</v>
      </c>
      <c r="BF213" s="941">
        <v>1.0</v>
      </c>
      <c r="BG213" s="942">
        <v>1.0</v>
      </c>
    </row>
    <row r="214">
      <c r="A214" s="935" t="s">
        <v>137</v>
      </c>
      <c r="B214" s="16" t="str">
        <f>IF(C214&lt;'PlayerGrades+'!$Y$44,"F-",IF(C214&lt;'PlayerGrades+'!$Y$43,"F",IF(C214&lt;'PlayerGrades+'!$Y$42,"F+",IF(C214&lt;'PlayerGrades+'!$Y$41,"E-",IF(C214&lt;'PlayerGrades+'!$Y$40,"E",IF(C214&lt;'PlayerGrades+'!$Y$39,"E+",IF(C214&lt;'PlayerGrades+'!$Y$38,"D-",IF(C214&lt;'PlayerGrades+'!$Y$37,"D",IF(C214&lt;'PlayerGrades+'!$Y$36,"D+",IF(C214&lt;'PlayerGrades+'!$Y$35,"C-",IF(C214&lt;'PlayerGrades+'!$Y$34,"C",IF(C214&lt;'PlayerGrades+'!$Y$33,"C+",IF(C214&lt;'PlayerGrades+'!$Y$32,"B-",IF(C214&lt;'PlayerGrades+'!$Y$31,"B",IF(C214&lt;'PlayerGrades+'!$Y$30,"B+",IF(C214&lt;'PlayerGrades+'!$Y$29,"A-",IF(C214&lt;'PlayerGrades+'!$Y$28,"A",IF(C214&lt;'PlayerGrades+'!$Y$27,"A+",IF(C214&lt;'PlayerGrades+'!$Y$26,"S-",IF(C214&lt;'PlayerGrades+'!$Y$25,"S","S+"))))))))))))))))))))</f>
        <v>D</v>
      </c>
      <c r="C214" s="936">
        <f>('PlayerGrades+'!$Y$47*(VLOOKUP(E214, 'PlayerGrades+'!$X$3:$Y$23, 2, FALSE)))+('PlayerGrades+'!$Y$48*(VLOOKUP(G214, 'PlayerGrades+'!$X$3:$Y$23, 2, FALSE)))+('PlayerGrades+'!$Y$49*(VLOOKUP(I214, 'PlayerGrades+'!$X$3:$Y$23, 2, FALSE)))+('PlayerGrades+'!$Y$50*(VLOOKUP(K214, 'PlayerGrades+'!$X$3:$Y$23, 2, FALSE)))+('PlayerGrades+'!$Y$51*(VLOOKUP(M214, 'PlayerGrades+'!$X$3:$Y$23, 2, FALSE)))+('PlayerGrades+'!$Y$52*(VLOOKUP(O214, 'PlayerGrades+'!$X$3:$Y$23, 2, FALSE)))+('PlayerGrades+'!$Y$53*(VLOOKUP(Q214, 'PlayerGrades+'!$X$3:$Y$23, 2, FALSE)))+('PlayerGrades+'!$Y$54*(VLOOKUP(S214, 'PlayerGrades+'!$X$3:$Y$23, 2, FALSE)))+('PlayerGrades+'!$Y$55*(VLOOKUP(U214, 'PlayerGrades+'!$X$3:$Y$23, 2, FALSE)))</f>
        <v>15.95</v>
      </c>
      <c r="D214" s="937">
        <f t="shared" si="1"/>
        <v>0.1094224924</v>
      </c>
      <c r="E214" s="937" t="str">
        <f>IF(D214&lt;'PlayerGrades+'!$AA$21,"F-",IF(D214&lt;'PlayerGrades+'!$AA$20,"F",IF(D214&lt;'PlayerGrades+'!$AA$19,"F+",IF(D214&lt;'PlayerGrades+'!$AA$18,"E-",IF(D214&lt;'PlayerGrades+'!$AA$17,"E",IF(D214&lt;'PlayerGrades+'!$AA$16,"E+",IF(D214&lt;'PlayerGrades+'!$AA$15,"D-",IF(D214&lt;'PlayerGrades+'!$AA$14,"D",IF(D214&lt;'PlayerGrades+'!$AA$13,"D+",IF(D214&lt;'PlayerGrades+'!$AA$12,"C-",IF(D214&lt;'PlayerGrades+'!$AA$11,"C",IF(D214&lt;'PlayerGrades+'!$AA$10,"C+",IF(D214&lt;'PlayerGrades+'!$AA$9,"B-",IF(D214&lt;'PlayerGrades+'!$AA$8,"B",IF(D214&lt;'PlayerGrades+'!$AA$7,"B+",IF(D214&lt;'PlayerGrades+'!$AA$6,"A-",IF(D214&lt;'PlayerGrades+'!$AA$5,"A",IF(D214&lt;'PlayerGrades+'!$AA$4,"A+",IF(D214&lt;'PlayerGrades+'!$AA$3,"S-",IF(D214&lt;'PlayerGrades+'!$AA$2,"S","S+"))))))))))))))))))))</f>
        <v>B</v>
      </c>
      <c r="F214" s="937">
        <f t="shared" si="2"/>
        <v>-0.5106382979</v>
      </c>
      <c r="G214" s="937" t="str">
        <f>IF(F214&lt;'PlayerGrades+'!$AB$21,"F-",IF(F214&lt;'PlayerGrades+'!$AB$20,"F",IF(F214&lt;'PlayerGrades+'!$AB$19,"F+",IF(F214&lt;'PlayerGrades+'!$AB$18,"E-",IF(F214&lt;'PlayerGrades+'!$AB$17,"E",IF(F214&lt;'PlayerGrades+'!$AB$16,"E+",IF(F214&lt;'PlayerGrades+'!$AB$15,"D-",IF(F214&lt;'PlayerGrades+'!$AB$14,"D",IF(F214&lt;'PlayerGrades+'!$AB$13,"D+",IF(F214&lt;'PlayerGrades+'!$AB$12,"C-",IF(F214&lt;'PlayerGrades+'!$AB$11,"C",IF(F214&lt;'PlayerGrades+'!$AB$10,"C+",IF(F214&lt;'PlayerGrades+'!$AB$9,"B-",IF(F214&lt;'PlayerGrades+'!$AB$8,"B",IF(F214&lt;'PlayerGrades+'!$AB$7,"B+",IF(F214&lt;'PlayerGrades+'!$AB$6,"A-",IF(F214&lt;'PlayerGrades+'!$AB$5,"A",IF(F214&lt;'PlayerGrades+'!$AB$4,"A+",IF(F214&lt;'PlayerGrades+'!$AB$3,"S-",IF(F214&lt;'PlayerGrades+'!$AB$2,"S","S+"))))))))))))))))))))</f>
        <v>D</v>
      </c>
      <c r="H214" s="937">
        <f t="shared" si="3"/>
        <v>0.03647416413</v>
      </c>
      <c r="I214" s="937" t="str">
        <f>IF(H214&lt;'PlayerGrades+'!$AC$21,"F-",IF(H214&lt;'PlayerGrades+'!$AC$20,"F",IF(H214&lt;'PlayerGrades+'!$AC$19,"F+",IF(H214&lt;'PlayerGrades+'!$AC$18,"E-",IF(H214&lt;'PlayerGrades+'!$AC$17,"E",IF(H214&lt;'PlayerGrades+'!$AC$16,"E+",IF(H214&lt;'PlayerGrades+'!$AC$15,"D-",IF(H214&lt;'PlayerGrades+'!$AC$14,"D",IF(H214&lt;'PlayerGrades+'!$AC$13,"D+",IF(H214&lt;'PlayerGrades+'!$AC$12,"C-",IF(H214&lt;'PlayerGrades+'!$AC$11,"C",IF(H214&lt;'PlayerGrades+'!$AC$10,"C+",IF(H214&lt;'PlayerGrades+'!$AC$9,"B-",IF(H214&lt;'PlayerGrades+'!$AC$8,"B",IF(H214&lt;'PlayerGrades+'!$AC$7,"B+",IF(H214&lt;'PlayerGrades+'!$AC$6,"A-",IF(H214&lt;'PlayerGrades+'!$AC$5,"A",IF(H214&lt;'PlayerGrades+'!$AC$4,"A+",IF(H214&lt;'PlayerGrades+'!$AC$3,"S-",IF(H214&lt;'PlayerGrades+'!$AC$2,"S","S+"))))))))))))))))))))</f>
        <v>F</v>
      </c>
      <c r="J214" s="937">
        <f t="shared" si="4"/>
        <v>0.03647416413</v>
      </c>
      <c r="K214" s="937" t="str">
        <f>IF(J214&lt;'PlayerGrades+'!$AD$21,"F-",IF(J214&lt;'PlayerGrades+'!$AD$20,"F",IF(J214&lt;'PlayerGrades+'!$AD$19,"F+",IF(J214&lt;'PlayerGrades+'!$AD$18,"E-",IF(J214&lt;'PlayerGrades+'!$AD$17,"E",IF(J214&lt;'PlayerGrades+'!$AD$16,"E+",IF(J214&lt;'PlayerGrades+'!$AD$15,"D-",IF(J214&lt;'PlayerGrades+'!$AD$14,"D",IF(J214&lt;'PlayerGrades+'!$AD$13,"D+",IF(J214&lt;'PlayerGrades+'!$AD$12,"C-",IF(J214&lt;'PlayerGrades+'!$AD$11,"C",IF(J214&lt;'PlayerGrades+'!$AD$10,"C+",IF(J214&lt;'PlayerGrades+'!$AD$9,"B-",IF(J214&lt;'PlayerGrades+'!$AD$8,"B",IF(J214&lt;'PlayerGrades+'!$AD$7,"B+",IF(J214&lt;'PlayerGrades+'!$AD$6,"A-",IF(J214&lt;'PlayerGrades+'!$AD$5,"A",IF(J214&lt;'PlayerGrades+'!$AD$4,"A+",IF(J214&lt;'PlayerGrades+'!$AD$3,"S-",IF(J214&lt;'PlayerGrades+'!$AD$2,"S","S+"))))))))))))))))))))</f>
        <v>C</v>
      </c>
      <c r="L214" s="677">
        <f t="shared" si="5"/>
        <v>0.4012158055</v>
      </c>
      <c r="M214" s="938" t="str">
        <f>IF(L214&lt;'PlayerGrades+'!$AE$21,"F-",IF(L214&lt;'PlayerGrades+'!$AE$20,"F",IF(L214&lt;'PlayerGrades+'!$AE$19,"F+",IF(L214&lt;'PlayerGrades+'!$AE$18,"E-",IF(L214&lt;'PlayerGrades+'!$AE$17,"E",IF(L214&lt;'PlayerGrades+'!$AE$16,"E+",IF(L214&lt;'PlayerGrades+'!$AE$15,"D-",IF(L214&lt;'PlayerGrades+'!$AE$14,"D",IF(L214&lt;'PlayerGrades+'!$AE$13,"D+",IF(L214&lt;'PlayerGrades+'!$AE$12,"C-",IF(L214&lt;'PlayerGrades+'!$AE$11,"C",IF(L214&lt;'PlayerGrades+'!$AE$10,"C+",IF(L214&lt;'PlayerGrades+'!$AE$9,"B-",IF(L214&lt;'PlayerGrades+'!$AE$8,"B",IF(L214&lt;'PlayerGrades+'!$AE$7,"B+",IF(L214&lt;'PlayerGrades+'!$AE$6,"A-",IF(L214&lt;'PlayerGrades+'!$AE$5,"A",IF(L214&lt;'PlayerGrades+'!$AE$4,"A+",IF(L214&lt;'PlayerGrades+'!$AE$3,"S-",IF(L214&lt;'PlayerGrades+'!$AE$2,"S","S+"))))))))))))))))))))</f>
        <v>C</v>
      </c>
      <c r="N214" s="937">
        <f t="shared" si="6"/>
        <v>0.03647416413</v>
      </c>
      <c r="O214" s="937" t="str">
        <f>IF(N214&lt;'PlayerGrades+'!$AF$21,"F-",IF(N214&lt;'PlayerGrades+'!$AF$20,"F",IF(N214&lt;'PlayerGrades+'!$AF$19,"F+",IF(N214&lt;'PlayerGrades+'!$AF$18,"E-",IF(N214&lt;'PlayerGrades+'!$AF$17,"E",IF(N214&lt;'PlayerGrades+'!$AF$16,"E+",IF(N214&lt;'PlayerGrades+'!$AF$15,"D-",IF(N214&lt;'PlayerGrades+'!$AF$14,"D",IF(N214&lt;'PlayerGrades+'!$AF$13,"D+",IF(N214&lt;'PlayerGrades+'!$AF$12,"C-",IF(N214&lt;'PlayerGrades+'!$AF$11,"C",IF(N214&lt;'PlayerGrades+'!$AF$10,"C+",IF(N214&lt;'PlayerGrades+'!$AF$9,"B-",IF(N214&lt;'PlayerGrades+'!$AF$8,"B",IF(N214&lt;'PlayerGrades+'!$AF$7,"B+",IF(N214&lt;'PlayerGrades+'!$AF$6,"A-",IF(N214&lt;'PlayerGrades+'!$AF$5,"A",IF(N214&lt;'PlayerGrades+'!$AF$4,"A+",IF(N214&lt;'PlayerGrades+'!$AF$3,"S-",IF(N214&lt;'PlayerGrades+'!$AF$2,"S","S+"))))))))))))))))))))</f>
        <v>F+</v>
      </c>
      <c r="P214" s="937">
        <f t="shared" si="7"/>
        <v>0.03647416413</v>
      </c>
      <c r="Q214" s="937" t="str">
        <f>IF(P214&lt;'PlayerGrades+'!$AG$21,"F-",IF(P214&lt;'PlayerGrades+'!$AG$20,"F",IF(P214&lt;'PlayerGrades+'!$AG$19,"F+",IF(P214&lt;'PlayerGrades+'!$AG$18,"E-",IF(P214&lt;'PlayerGrades+'!$AG$17,"E",IF(P214&lt;'PlayerGrades+'!$AG$16,"E+",IF(P214&lt;'PlayerGrades+'!$AG$15,"D-",IF(P214&lt;'PlayerGrades+'!$AG$14,"D",IF(P214&lt;'PlayerGrades+'!$AG$13,"D+",IF(P214&lt;'PlayerGrades+'!$AG$12,"C-",IF(P214&lt;'PlayerGrades+'!$AG$11,"C",IF(P214&lt;'PlayerGrades+'!$AG$10,"C+",IF(P214&lt;'PlayerGrades+'!$AG$9,"B-",IF(P214&lt;'PlayerGrades+'!$AG$8,"B",IF(P214&lt;'PlayerGrades+'!$AG$7,"B+",IF(P214&lt;'PlayerGrades+'!$AG$6,"A-",IF(P214&lt;'PlayerGrades+'!$AG$5,"A",IF(P214&lt;'PlayerGrades+'!$AG$4,"A+",IF(P214&lt;'PlayerGrades+'!$AG$3,"S-",IF(P214&lt;'PlayerGrades+'!$AG$2,"S","S+"))))))))))))))))))))</f>
        <v>B+</v>
      </c>
      <c r="R214" s="937">
        <f t="shared" si="8"/>
        <v>0.547112462</v>
      </c>
      <c r="S214" s="937" t="str">
        <f>IF(R214&lt;'PlayerGrades+'!$AH$21,"F-",IF(R214&lt;'PlayerGrades+'!$AH$20,"F",IF(R214&lt;'PlayerGrades+'!$AH$19,"F+",IF(R214&lt;'PlayerGrades+'!$AH$18,"E-",IF(R214&lt;'PlayerGrades+'!$AH$17,"E",IF(R214&lt;'PlayerGrades+'!$AH$16,"E+",IF(R214&lt;'PlayerGrades+'!$AH$15,"D-",IF(R214&lt;'PlayerGrades+'!$AH$14,"D",IF(R214&lt;'PlayerGrades+'!$AH$13,"D+",IF(R214&lt;'PlayerGrades+'!$AH$12,"C-",IF(R214&lt;'PlayerGrades+'!$AH$11,"C",IF(R214&lt;'PlayerGrades+'!$AH$10,"C+",IF(R214&lt;'PlayerGrades+'!$AH$9,"B-",IF(R214&lt;'PlayerGrades+'!$AH$8,"B",IF(R214&lt;'PlayerGrades+'!$AH$7,"B+",IF(R214&lt;'PlayerGrades+'!$AH$6,"A-",IF(R214&lt;'PlayerGrades+'!$AH$5,"A",IF(R214&lt;'PlayerGrades+'!$AH$4,"A+",IF(R214&lt;'PlayerGrades+'!$AH$3,"S-",IF(R214&lt;'PlayerGrades+'!$AH$2,"S","S+"))))))))))))))))))))</f>
        <v>B-</v>
      </c>
      <c r="T214" s="937">
        <f t="shared" si="9"/>
        <v>0.2553191489</v>
      </c>
      <c r="U214" s="937" t="str">
        <f>IF(T214&lt;'PlayerGrades+'!$AI$21,"F-",IF(T214&lt;'PlayerGrades+'!$AI$20,"F",IF(T214&lt;'PlayerGrades+'!$AI$19,"F+",IF(T214&lt;'PlayerGrades+'!$AI$18,"E-",IF(T214&lt;'PlayerGrades+'!$AI$17,"E",IF(T214&lt;'PlayerGrades+'!$AI$16,"E+",IF(T214&lt;'PlayerGrades+'!$AI$15,"D-",IF(T214&lt;'PlayerGrades+'!$AI$14,"D",IF(T214&lt;'PlayerGrades+'!$AI$13,"D+",IF(T214&lt;'PlayerGrades+'!$AI$12,"C-",IF(T214&lt;'PlayerGrades+'!$AI$11,"C",IF(T214&lt;'PlayerGrades+'!$AI$10,"C+",IF(T214&lt;'PlayerGrades+'!$AI$9,"B-",IF(T214&lt;'PlayerGrades+'!$AI$8,"B",IF(T214&lt;'PlayerGrades+'!$AI$7,"B+",IF(T214&lt;'PlayerGrades+'!$AI$6,"A-",IF(T214&lt;'PlayerGrades+'!$AI$5,"A",IF(T214&lt;'PlayerGrades+'!$AI$4,"A+",IF(T214&lt;'PlayerGrades+'!$AI$3,"S-",IF(T214&lt;'PlayerGrades+'!$AI$2,"S","S+"))))))))))))))))))))</f>
        <v>F-</v>
      </c>
      <c r="V214" s="941">
        <v>1.0</v>
      </c>
      <c r="W214" s="941">
        <v>0.0</v>
      </c>
      <c r="X214" s="941">
        <v>1.0</v>
      </c>
      <c r="Y214" s="941">
        <v>1.0</v>
      </c>
      <c r="Z214" s="941">
        <v>2.0</v>
      </c>
      <c r="AA214" s="941">
        <v>82.0</v>
      </c>
      <c r="AB214" s="941">
        <v>96.0</v>
      </c>
      <c r="AC214" s="941">
        <v>-14.0</v>
      </c>
      <c r="AD214" s="941">
        <v>4.0</v>
      </c>
      <c r="AE214" s="941">
        <v>6.0</v>
      </c>
      <c r="AF214" s="941">
        <v>1.0</v>
      </c>
      <c r="AG214" s="941">
        <v>1272.0</v>
      </c>
      <c r="AH214" s="941">
        <v>1645.0</v>
      </c>
      <c r="AI214" s="941">
        <v>13.0</v>
      </c>
      <c r="AJ214" s="941">
        <v>33.0</v>
      </c>
      <c r="AK214" s="941">
        <v>0.0</v>
      </c>
      <c r="AL214" s="941">
        <v>1.0</v>
      </c>
      <c r="AM214" s="941">
        <v>0.0</v>
      </c>
      <c r="AN214" s="941">
        <v>0.0</v>
      </c>
      <c r="AO214" s="941">
        <v>0.0</v>
      </c>
      <c r="AP214" s="941">
        <v>1.0</v>
      </c>
      <c r="AQ214" s="941">
        <v>0.0</v>
      </c>
      <c r="AR214" s="941">
        <v>11.0</v>
      </c>
      <c r="AS214" s="941">
        <v>1.0</v>
      </c>
      <c r="AT214" s="941">
        <v>0.0</v>
      </c>
      <c r="AU214" s="941">
        <v>0.0</v>
      </c>
      <c r="AV214" s="941">
        <v>0.0</v>
      </c>
      <c r="AW214" s="941">
        <v>0.0</v>
      </c>
      <c r="AX214" s="941">
        <v>0.0</v>
      </c>
      <c r="AY214" s="941">
        <v>0.0</v>
      </c>
      <c r="AZ214" s="941">
        <v>0.0</v>
      </c>
      <c r="BA214" s="941">
        <v>0.0</v>
      </c>
      <c r="BB214" s="941">
        <v>1.0</v>
      </c>
      <c r="BC214" s="941">
        <v>0.0</v>
      </c>
      <c r="BD214" s="941">
        <v>11.0</v>
      </c>
      <c r="BE214" s="941">
        <v>7.0</v>
      </c>
      <c r="BF214" s="941">
        <v>0.0</v>
      </c>
      <c r="BG214" s="942">
        <v>0.0</v>
      </c>
    </row>
    <row r="215">
      <c r="A215" s="935" t="s">
        <v>420</v>
      </c>
      <c r="B215" s="16" t="str">
        <f>IF(C215&lt;'PlayerGrades+'!$Y$44,"F-",IF(C215&lt;'PlayerGrades+'!$Y$43,"F",IF(C215&lt;'PlayerGrades+'!$Y$42,"F+",IF(C215&lt;'PlayerGrades+'!$Y$41,"E-",IF(C215&lt;'PlayerGrades+'!$Y$40,"E",IF(C215&lt;'PlayerGrades+'!$Y$39,"E+",IF(C215&lt;'PlayerGrades+'!$Y$38,"D-",IF(C215&lt;'PlayerGrades+'!$Y$37,"D",IF(C215&lt;'PlayerGrades+'!$Y$36,"D+",IF(C215&lt;'PlayerGrades+'!$Y$35,"C-",IF(C215&lt;'PlayerGrades+'!$Y$34,"C",IF(C215&lt;'PlayerGrades+'!$Y$33,"C+",IF(C215&lt;'PlayerGrades+'!$Y$32,"B-",IF(C215&lt;'PlayerGrades+'!$Y$31,"B",IF(C215&lt;'PlayerGrades+'!$Y$30,"B+",IF(C215&lt;'PlayerGrades+'!$Y$29,"A-",IF(C215&lt;'PlayerGrades+'!$Y$28,"A",IF(C215&lt;'PlayerGrades+'!$Y$27,"A+",IF(C215&lt;'PlayerGrades+'!$Y$26,"S-",IF(C215&lt;'PlayerGrades+'!$Y$25,"S","S+"))))))))))))))))))))</f>
        <v>D-</v>
      </c>
      <c r="C215" s="936">
        <f>('PlayerGrades+'!$Y$47*(VLOOKUP(E215, 'PlayerGrades+'!$X$3:$Y$23, 2, FALSE)))+('PlayerGrades+'!$Y$48*(VLOOKUP(G215, 'PlayerGrades+'!$X$3:$Y$23, 2, FALSE)))+('PlayerGrades+'!$Y$49*(VLOOKUP(I215, 'PlayerGrades+'!$X$3:$Y$23, 2, FALSE)))+('PlayerGrades+'!$Y$50*(VLOOKUP(K215, 'PlayerGrades+'!$X$3:$Y$23, 2, FALSE)))+('PlayerGrades+'!$Y$51*(VLOOKUP(M215, 'PlayerGrades+'!$X$3:$Y$23, 2, FALSE)))+('PlayerGrades+'!$Y$52*(VLOOKUP(O215, 'PlayerGrades+'!$X$3:$Y$23, 2, FALSE)))+('PlayerGrades+'!$Y$53*(VLOOKUP(Q215, 'PlayerGrades+'!$X$3:$Y$23, 2, FALSE)))+('PlayerGrades+'!$Y$54*(VLOOKUP(S215, 'PlayerGrades+'!$X$3:$Y$23, 2, FALSE)))+('PlayerGrades+'!$Y$55*(VLOOKUP(U215, 'PlayerGrades+'!$X$3:$Y$23, 2, FALSE)))</f>
        <v>14.75</v>
      </c>
      <c r="D215" s="937">
        <f t="shared" si="1"/>
        <v>0.2553191489</v>
      </c>
      <c r="E215" s="937" t="str">
        <f>IF(D215&lt;'PlayerGrades+'!$AA$21,"F-",IF(D215&lt;'PlayerGrades+'!$AA$20,"F",IF(D215&lt;'PlayerGrades+'!$AA$19,"F+",IF(D215&lt;'PlayerGrades+'!$AA$18,"E-",IF(D215&lt;'PlayerGrades+'!$AA$17,"E",IF(D215&lt;'PlayerGrades+'!$AA$16,"E+",IF(D215&lt;'PlayerGrades+'!$AA$15,"D-",IF(D215&lt;'PlayerGrades+'!$AA$14,"D",IF(D215&lt;'PlayerGrades+'!$AA$13,"D+",IF(D215&lt;'PlayerGrades+'!$AA$12,"C-",IF(D215&lt;'PlayerGrades+'!$AA$11,"C",IF(D215&lt;'PlayerGrades+'!$AA$10,"C+",IF(D215&lt;'PlayerGrades+'!$AA$9,"B-",IF(D215&lt;'PlayerGrades+'!$AA$8,"B",IF(D215&lt;'PlayerGrades+'!$AA$7,"B+",IF(D215&lt;'PlayerGrades+'!$AA$6,"A-",IF(D215&lt;'PlayerGrades+'!$AA$5,"A",IF(D215&lt;'PlayerGrades+'!$AA$4,"A+",IF(D215&lt;'PlayerGrades+'!$AA$3,"S-",IF(D215&lt;'PlayerGrades+'!$AA$2,"S","S+"))))))))))))))))))))</f>
        <v>A-</v>
      </c>
      <c r="F215" s="937">
        <f t="shared" si="2"/>
        <v>0.2188449848</v>
      </c>
      <c r="G215" s="937" t="str">
        <f>IF(F215&lt;'PlayerGrades+'!$AB$21,"F-",IF(F215&lt;'PlayerGrades+'!$AB$20,"F",IF(F215&lt;'PlayerGrades+'!$AB$19,"F+",IF(F215&lt;'PlayerGrades+'!$AB$18,"E-",IF(F215&lt;'PlayerGrades+'!$AB$17,"E",IF(F215&lt;'PlayerGrades+'!$AB$16,"E+",IF(F215&lt;'PlayerGrades+'!$AB$15,"D-",IF(F215&lt;'PlayerGrades+'!$AB$14,"D",IF(F215&lt;'PlayerGrades+'!$AB$13,"D+",IF(F215&lt;'PlayerGrades+'!$AB$12,"C-",IF(F215&lt;'PlayerGrades+'!$AB$11,"C",IF(F215&lt;'PlayerGrades+'!$AB$10,"C+",IF(F215&lt;'PlayerGrades+'!$AB$9,"B-",IF(F215&lt;'PlayerGrades+'!$AB$8,"B",IF(F215&lt;'PlayerGrades+'!$AB$7,"B+",IF(F215&lt;'PlayerGrades+'!$AB$6,"A-",IF(F215&lt;'PlayerGrades+'!$AB$5,"A",IF(F215&lt;'PlayerGrades+'!$AB$4,"A+",IF(F215&lt;'PlayerGrades+'!$AB$3,"S-",IF(F215&lt;'PlayerGrades+'!$AB$2,"S","S+"))))))))))))))))))))</f>
        <v>B+</v>
      </c>
      <c r="H215" s="937">
        <f t="shared" si="3"/>
        <v>0</v>
      </c>
      <c r="I215" s="937" t="str">
        <f>IF(H215&lt;'PlayerGrades+'!$AC$21,"F-",IF(H215&lt;'PlayerGrades+'!$AC$20,"F",IF(H215&lt;'PlayerGrades+'!$AC$19,"F+",IF(H215&lt;'PlayerGrades+'!$AC$18,"E-",IF(H215&lt;'PlayerGrades+'!$AC$17,"E",IF(H215&lt;'PlayerGrades+'!$AC$16,"E+",IF(H215&lt;'PlayerGrades+'!$AC$15,"D-",IF(H215&lt;'PlayerGrades+'!$AC$14,"D",IF(H215&lt;'PlayerGrades+'!$AC$13,"D+",IF(H215&lt;'PlayerGrades+'!$AC$12,"C-",IF(H215&lt;'PlayerGrades+'!$AC$11,"C",IF(H215&lt;'PlayerGrades+'!$AC$10,"C+",IF(H215&lt;'PlayerGrades+'!$AC$9,"B-",IF(H215&lt;'PlayerGrades+'!$AC$8,"B",IF(H215&lt;'PlayerGrades+'!$AC$7,"B+",IF(H215&lt;'PlayerGrades+'!$AC$6,"A-",IF(H215&lt;'PlayerGrades+'!$AC$5,"A",IF(H215&lt;'PlayerGrades+'!$AC$4,"A+",IF(H215&lt;'PlayerGrades+'!$AC$3,"S-",IF(H215&lt;'PlayerGrades+'!$AC$2,"S","S+"))))))))))))))))))))</f>
        <v>F-</v>
      </c>
      <c r="J215" s="937">
        <f t="shared" si="4"/>
        <v>0.03647416413</v>
      </c>
      <c r="K215" s="937" t="str">
        <f>IF(J215&lt;'PlayerGrades+'!$AD$21,"F-",IF(J215&lt;'PlayerGrades+'!$AD$20,"F",IF(J215&lt;'PlayerGrades+'!$AD$19,"F+",IF(J215&lt;'PlayerGrades+'!$AD$18,"E-",IF(J215&lt;'PlayerGrades+'!$AD$17,"E",IF(J215&lt;'PlayerGrades+'!$AD$16,"E+",IF(J215&lt;'PlayerGrades+'!$AD$15,"D-",IF(J215&lt;'PlayerGrades+'!$AD$14,"D",IF(J215&lt;'PlayerGrades+'!$AD$13,"D+",IF(J215&lt;'PlayerGrades+'!$AD$12,"C-",IF(J215&lt;'PlayerGrades+'!$AD$11,"C",IF(J215&lt;'PlayerGrades+'!$AD$10,"C+",IF(J215&lt;'PlayerGrades+'!$AD$9,"B-",IF(J215&lt;'PlayerGrades+'!$AD$8,"B",IF(J215&lt;'PlayerGrades+'!$AD$7,"B+",IF(J215&lt;'PlayerGrades+'!$AD$6,"A-",IF(J215&lt;'PlayerGrades+'!$AD$5,"A",IF(J215&lt;'PlayerGrades+'!$AD$4,"A+",IF(J215&lt;'PlayerGrades+'!$AD$3,"S-",IF(J215&lt;'PlayerGrades+'!$AD$2,"S","S+"))))))))))))))))))))</f>
        <v>C</v>
      </c>
      <c r="L215" s="677">
        <f t="shared" si="5"/>
        <v>0.2188449848</v>
      </c>
      <c r="M215" s="938" t="str">
        <f>IF(L215&lt;'PlayerGrades+'!$AE$21,"F-",IF(L215&lt;'PlayerGrades+'!$AE$20,"F",IF(L215&lt;'PlayerGrades+'!$AE$19,"F+",IF(L215&lt;'PlayerGrades+'!$AE$18,"E-",IF(L215&lt;'PlayerGrades+'!$AE$17,"E",IF(L215&lt;'PlayerGrades+'!$AE$16,"E+",IF(L215&lt;'PlayerGrades+'!$AE$15,"D-",IF(L215&lt;'PlayerGrades+'!$AE$14,"D",IF(L215&lt;'PlayerGrades+'!$AE$13,"D+",IF(L215&lt;'PlayerGrades+'!$AE$12,"C-",IF(L215&lt;'PlayerGrades+'!$AE$11,"C",IF(L215&lt;'PlayerGrades+'!$AE$10,"C+",IF(L215&lt;'PlayerGrades+'!$AE$9,"B-",IF(L215&lt;'PlayerGrades+'!$AE$8,"B",IF(L215&lt;'PlayerGrades+'!$AE$7,"B+",IF(L215&lt;'PlayerGrades+'!$AE$6,"A-",IF(L215&lt;'PlayerGrades+'!$AE$5,"A",IF(L215&lt;'PlayerGrades+'!$AE$4,"A+",IF(L215&lt;'PlayerGrades+'!$AE$3,"S-",IF(L215&lt;'PlayerGrades+'!$AE$2,"S","S+"))))))))))))))))))))</f>
        <v>F</v>
      </c>
      <c r="N215" s="937">
        <f t="shared" si="6"/>
        <v>0</v>
      </c>
      <c r="O215" s="937" t="str">
        <f>IF(N215&lt;'PlayerGrades+'!$AF$21,"F-",IF(N215&lt;'PlayerGrades+'!$AF$20,"F",IF(N215&lt;'PlayerGrades+'!$AF$19,"F+",IF(N215&lt;'PlayerGrades+'!$AF$18,"E-",IF(N215&lt;'PlayerGrades+'!$AF$17,"E",IF(N215&lt;'PlayerGrades+'!$AF$16,"E+",IF(N215&lt;'PlayerGrades+'!$AF$15,"D-",IF(N215&lt;'PlayerGrades+'!$AF$14,"D",IF(N215&lt;'PlayerGrades+'!$AF$13,"D+",IF(N215&lt;'PlayerGrades+'!$AF$12,"C-",IF(N215&lt;'PlayerGrades+'!$AF$11,"C",IF(N215&lt;'PlayerGrades+'!$AF$10,"C+",IF(N215&lt;'PlayerGrades+'!$AF$9,"B-",IF(N215&lt;'PlayerGrades+'!$AF$8,"B",IF(N215&lt;'PlayerGrades+'!$AF$7,"B+",IF(N215&lt;'PlayerGrades+'!$AF$6,"A-",IF(N215&lt;'PlayerGrades+'!$AF$5,"A",IF(N215&lt;'PlayerGrades+'!$AF$4,"A+",IF(N215&lt;'PlayerGrades+'!$AF$3,"S-",IF(N215&lt;'PlayerGrades+'!$AF$2,"S","S+"))))))))))))))))))))</f>
        <v>F-</v>
      </c>
      <c r="P215" s="937">
        <f t="shared" si="7"/>
        <v>0.03647416413</v>
      </c>
      <c r="Q215" s="937" t="str">
        <f>IF(P215&lt;'PlayerGrades+'!$AG$21,"F-",IF(P215&lt;'PlayerGrades+'!$AG$20,"F",IF(P215&lt;'PlayerGrades+'!$AG$19,"F+",IF(P215&lt;'PlayerGrades+'!$AG$18,"E-",IF(P215&lt;'PlayerGrades+'!$AG$17,"E",IF(P215&lt;'PlayerGrades+'!$AG$16,"E+",IF(P215&lt;'PlayerGrades+'!$AG$15,"D-",IF(P215&lt;'PlayerGrades+'!$AG$14,"D",IF(P215&lt;'PlayerGrades+'!$AG$13,"D+",IF(P215&lt;'PlayerGrades+'!$AG$12,"C-",IF(P215&lt;'PlayerGrades+'!$AG$11,"C",IF(P215&lt;'PlayerGrades+'!$AG$10,"C+",IF(P215&lt;'PlayerGrades+'!$AG$9,"B-",IF(P215&lt;'PlayerGrades+'!$AG$8,"B",IF(P215&lt;'PlayerGrades+'!$AG$7,"B+",IF(P215&lt;'PlayerGrades+'!$AG$6,"A-",IF(P215&lt;'PlayerGrades+'!$AG$5,"A",IF(P215&lt;'PlayerGrades+'!$AG$4,"A+",IF(P215&lt;'PlayerGrades+'!$AG$3,"S-",IF(P215&lt;'PlayerGrades+'!$AG$2,"S","S+"))))))))))))))))))))</f>
        <v>B+</v>
      </c>
      <c r="R215" s="937">
        <f t="shared" si="8"/>
        <v>0.3647416413</v>
      </c>
      <c r="S215" s="937" t="str">
        <f>IF(R215&lt;'PlayerGrades+'!$AH$21,"F-",IF(R215&lt;'PlayerGrades+'!$AH$20,"F",IF(R215&lt;'PlayerGrades+'!$AH$19,"F+",IF(R215&lt;'PlayerGrades+'!$AH$18,"E-",IF(R215&lt;'PlayerGrades+'!$AH$17,"E",IF(R215&lt;'PlayerGrades+'!$AH$16,"E+",IF(R215&lt;'PlayerGrades+'!$AH$15,"D-",IF(R215&lt;'PlayerGrades+'!$AH$14,"D",IF(R215&lt;'PlayerGrades+'!$AH$13,"D+",IF(R215&lt;'PlayerGrades+'!$AH$12,"C-",IF(R215&lt;'PlayerGrades+'!$AH$11,"C",IF(R215&lt;'PlayerGrades+'!$AH$10,"C+",IF(R215&lt;'PlayerGrades+'!$AH$9,"B-",IF(R215&lt;'PlayerGrades+'!$AH$8,"B",IF(R215&lt;'PlayerGrades+'!$AH$7,"B+",IF(R215&lt;'PlayerGrades+'!$AH$6,"A-",IF(R215&lt;'PlayerGrades+'!$AH$5,"A",IF(R215&lt;'PlayerGrades+'!$AH$4,"A+",IF(R215&lt;'PlayerGrades+'!$AH$3,"S-",IF(R215&lt;'PlayerGrades+'!$AH$2,"S","S+"))))))))))))))))))))</f>
        <v>F</v>
      </c>
      <c r="T215" s="937">
        <f t="shared" si="9"/>
        <v>3.328267477</v>
      </c>
      <c r="U215" s="937" t="str">
        <f>IF(T215&lt;'PlayerGrades+'!$AI$21,"F-",IF(T215&lt;'PlayerGrades+'!$AI$20,"F",IF(T215&lt;'PlayerGrades+'!$AI$19,"F+",IF(T215&lt;'PlayerGrades+'!$AI$18,"E-",IF(T215&lt;'PlayerGrades+'!$AI$17,"E",IF(T215&lt;'PlayerGrades+'!$AI$16,"E+",IF(T215&lt;'PlayerGrades+'!$AI$15,"D-",IF(T215&lt;'PlayerGrades+'!$AI$14,"D",IF(T215&lt;'PlayerGrades+'!$AI$13,"D+",IF(T215&lt;'PlayerGrades+'!$AI$12,"C-",IF(T215&lt;'PlayerGrades+'!$AI$11,"C",IF(T215&lt;'PlayerGrades+'!$AI$10,"C+",IF(T215&lt;'PlayerGrades+'!$AI$9,"B-",IF(T215&lt;'PlayerGrades+'!$AI$8,"B",IF(T215&lt;'PlayerGrades+'!$AI$7,"B+",IF(T215&lt;'PlayerGrades+'!$AI$6,"A-",IF(T215&lt;'PlayerGrades+'!$AI$5,"A",IF(T215&lt;'PlayerGrades+'!$AI$4,"A+",IF(T215&lt;'PlayerGrades+'!$AI$3,"S-",IF(T215&lt;'PlayerGrades+'!$AI$2,"S","S+"))))))))))))))))))))</f>
        <v>S+</v>
      </c>
      <c r="V215" s="941">
        <v>1.0</v>
      </c>
      <c r="W215" s="941">
        <v>0.0</v>
      </c>
      <c r="X215" s="941">
        <v>1.0</v>
      </c>
      <c r="Y215" s="941">
        <v>1.0</v>
      </c>
      <c r="Z215" s="941">
        <v>6.0</v>
      </c>
      <c r="AA215" s="941">
        <v>59.0</v>
      </c>
      <c r="AB215" s="941">
        <v>53.0</v>
      </c>
      <c r="AC215" s="941">
        <v>6.0</v>
      </c>
      <c r="AD215" s="941">
        <v>1.0</v>
      </c>
      <c r="AE215" s="941">
        <v>9.0</v>
      </c>
      <c r="AF215" s="941">
        <v>0.0</v>
      </c>
      <c r="AG215" s="941">
        <v>1391.0</v>
      </c>
      <c r="AH215" s="941">
        <v>1645.0</v>
      </c>
      <c r="AI215" s="941">
        <v>26.0</v>
      </c>
      <c r="AJ215" s="941">
        <v>577.0</v>
      </c>
      <c r="AK215" s="941">
        <v>0.0</v>
      </c>
      <c r="AL215" s="941">
        <v>1.0</v>
      </c>
      <c r="AM215" s="941">
        <v>0.0</v>
      </c>
      <c r="AN215" s="941">
        <v>0.0</v>
      </c>
      <c r="AO215" s="941">
        <v>0.0</v>
      </c>
      <c r="AP215" s="941">
        <v>1.0</v>
      </c>
      <c r="AQ215" s="941">
        <v>0.0</v>
      </c>
      <c r="AR215" s="941">
        <v>6.0</v>
      </c>
      <c r="AS215" s="941">
        <v>0.0</v>
      </c>
      <c r="AT215" s="941">
        <v>0.0</v>
      </c>
      <c r="AU215" s="941">
        <v>0.0</v>
      </c>
      <c r="AV215" s="941">
        <v>0.0</v>
      </c>
      <c r="AW215" s="941">
        <v>0.0</v>
      </c>
      <c r="AX215" s="941">
        <v>0.0</v>
      </c>
      <c r="AY215" s="941">
        <v>0.0</v>
      </c>
      <c r="AZ215" s="941">
        <v>0.0</v>
      </c>
      <c r="BA215" s="941">
        <v>0.0</v>
      </c>
      <c r="BB215" s="941">
        <v>0.0</v>
      </c>
      <c r="BC215" s="941">
        <v>0.0</v>
      </c>
      <c r="BD215" s="941">
        <v>9.0</v>
      </c>
      <c r="BE215" s="941">
        <v>9.0</v>
      </c>
      <c r="BF215" s="941">
        <v>3.0</v>
      </c>
      <c r="BG215" s="942">
        <v>0.0</v>
      </c>
    </row>
    <row r="216">
      <c r="A216" s="935" t="s">
        <v>129</v>
      </c>
      <c r="B216" s="16" t="str">
        <f>IF(C216&lt;'PlayerGrades+'!$Y$44,"F-",IF(C216&lt;'PlayerGrades+'!$Y$43,"F",IF(C216&lt;'PlayerGrades+'!$Y$42,"F+",IF(C216&lt;'PlayerGrades+'!$Y$41,"E-",IF(C216&lt;'PlayerGrades+'!$Y$40,"E",IF(C216&lt;'PlayerGrades+'!$Y$39,"E+",IF(C216&lt;'PlayerGrades+'!$Y$38,"D-",IF(C216&lt;'PlayerGrades+'!$Y$37,"D",IF(C216&lt;'PlayerGrades+'!$Y$36,"D+",IF(C216&lt;'PlayerGrades+'!$Y$35,"C-",IF(C216&lt;'PlayerGrades+'!$Y$34,"C",IF(C216&lt;'PlayerGrades+'!$Y$33,"C+",IF(C216&lt;'PlayerGrades+'!$Y$32,"B-",IF(C216&lt;'PlayerGrades+'!$Y$31,"B",IF(C216&lt;'PlayerGrades+'!$Y$30,"B+",IF(C216&lt;'PlayerGrades+'!$Y$29,"A-",IF(C216&lt;'PlayerGrades+'!$Y$28,"A",IF(C216&lt;'PlayerGrades+'!$Y$27,"A+",IF(C216&lt;'PlayerGrades+'!$Y$26,"S-",IF(C216&lt;'PlayerGrades+'!$Y$25,"S","S+"))))))))))))))))))))</f>
        <v>A+</v>
      </c>
      <c r="C216" s="936">
        <f>('PlayerGrades+'!$Y$47*(VLOOKUP(E216, 'PlayerGrades+'!$X$3:$Y$23, 2, FALSE)))+('PlayerGrades+'!$Y$48*(VLOOKUP(G216, 'PlayerGrades+'!$X$3:$Y$23, 2, FALSE)))+('PlayerGrades+'!$Y$49*(VLOOKUP(I216, 'PlayerGrades+'!$X$3:$Y$23, 2, FALSE)))+('PlayerGrades+'!$Y$50*(VLOOKUP(K216, 'PlayerGrades+'!$X$3:$Y$23, 2, FALSE)))+('PlayerGrades+'!$Y$51*(VLOOKUP(M216, 'PlayerGrades+'!$X$3:$Y$23, 2, FALSE)))+('PlayerGrades+'!$Y$52*(VLOOKUP(O216, 'PlayerGrades+'!$X$3:$Y$23, 2, FALSE)))+('PlayerGrades+'!$Y$53*(VLOOKUP(Q216, 'PlayerGrades+'!$X$3:$Y$23, 2, FALSE)))+('PlayerGrades+'!$Y$54*(VLOOKUP(S216, 'PlayerGrades+'!$X$3:$Y$23, 2, FALSE)))+('PlayerGrades+'!$Y$55*(VLOOKUP(U216, 'PlayerGrades+'!$X$3:$Y$23, 2, FALSE)))</f>
        <v>29.1</v>
      </c>
      <c r="D216" s="937">
        <f t="shared" si="1"/>
        <v>0</v>
      </c>
      <c r="E216" s="937" t="str">
        <f>IF(D216&lt;'PlayerGrades+'!$AA$21,"F-",IF(D216&lt;'PlayerGrades+'!$AA$20,"F",IF(D216&lt;'PlayerGrades+'!$AA$19,"F+",IF(D216&lt;'PlayerGrades+'!$AA$18,"E-",IF(D216&lt;'PlayerGrades+'!$AA$17,"E",IF(D216&lt;'PlayerGrades+'!$AA$16,"E+",IF(D216&lt;'PlayerGrades+'!$AA$15,"D-",IF(D216&lt;'PlayerGrades+'!$AA$14,"D",IF(D216&lt;'PlayerGrades+'!$AA$13,"D+",IF(D216&lt;'PlayerGrades+'!$AA$12,"C-",IF(D216&lt;'PlayerGrades+'!$AA$11,"C",IF(D216&lt;'PlayerGrades+'!$AA$10,"C+",IF(D216&lt;'PlayerGrades+'!$AA$9,"B-",IF(D216&lt;'PlayerGrades+'!$AA$8,"B",IF(D216&lt;'PlayerGrades+'!$AA$7,"B+",IF(D216&lt;'PlayerGrades+'!$AA$6,"A-",IF(D216&lt;'PlayerGrades+'!$AA$5,"A",IF(D216&lt;'PlayerGrades+'!$AA$4,"A+",IF(D216&lt;'PlayerGrades+'!$AA$3,"S-",IF(D216&lt;'PlayerGrades+'!$AA$2,"S","S+"))))))))))))))))))))</f>
        <v>F-</v>
      </c>
      <c r="F216" s="937">
        <f t="shared" si="2"/>
        <v>0.9118541033</v>
      </c>
      <c r="G216" s="937" t="str">
        <f>IF(F216&lt;'PlayerGrades+'!$AB$21,"F-",IF(F216&lt;'PlayerGrades+'!$AB$20,"F",IF(F216&lt;'PlayerGrades+'!$AB$19,"F+",IF(F216&lt;'PlayerGrades+'!$AB$18,"E-",IF(F216&lt;'PlayerGrades+'!$AB$17,"E",IF(F216&lt;'PlayerGrades+'!$AB$16,"E+",IF(F216&lt;'PlayerGrades+'!$AB$15,"D-",IF(F216&lt;'PlayerGrades+'!$AB$14,"D",IF(F216&lt;'PlayerGrades+'!$AB$13,"D+",IF(F216&lt;'PlayerGrades+'!$AB$12,"C-",IF(F216&lt;'PlayerGrades+'!$AB$11,"C",IF(F216&lt;'PlayerGrades+'!$AB$10,"C+",IF(F216&lt;'PlayerGrades+'!$AB$9,"B-",IF(F216&lt;'PlayerGrades+'!$AB$8,"B",IF(F216&lt;'PlayerGrades+'!$AB$7,"B+",IF(F216&lt;'PlayerGrades+'!$AB$6,"A-",IF(F216&lt;'PlayerGrades+'!$AB$5,"A",IF(F216&lt;'PlayerGrades+'!$AB$4,"A+",IF(F216&lt;'PlayerGrades+'!$AB$3,"S-",IF(F216&lt;'PlayerGrades+'!$AB$2,"S","S+"))))))))))))))))))))</f>
        <v>S</v>
      </c>
      <c r="H216" s="937">
        <f t="shared" si="3"/>
        <v>0.1458966565</v>
      </c>
      <c r="I216" s="937" t="str">
        <f>IF(H216&lt;'PlayerGrades+'!$AC$21,"F-",IF(H216&lt;'PlayerGrades+'!$AC$20,"F",IF(H216&lt;'PlayerGrades+'!$AC$19,"F+",IF(H216&lt;'PlayerGrades+'!$AC$18,"E-",IF(H216&lt;'PlayerGrades+'!$AC$17,"E",IF(H216&lt;'PlayerGrades+'!$AC$16,"E+",IF(H216&lt;'PlayerGrades+'!$AC$15,"D-",IF(H216&lt;'PlayerGrades+'!$AC$14,"D",IF(H216&lt;'PlayerGrades+'!$AC$13,"D+",IF(H216&lt;'PlayerGrades+'!$AC$12,"C-",IF(H216&lt;'PlayerGrades+'!$AC$11,"C",IF(H216&lt;'PlayerGrades+'!$AC$10,"C+",IF(H216&lt;'PlayerGrades+'!$AC$9,"B-",IF(H216&lt;'PlayerGrades+'!$AC$8,"B",IF(H216&lt;'PlayerGrades+'!$AC$7,"B+",IF(H216&lt;'PlayerGrades+'!$AC$6,"A-",IF(H216&lt;'PlayerGrades+'!$AC$5,"A",IF(H216&lt;'PlayerGrades+'!$AC$4,"A+",IF(H216&lt;'PlayerGrades+'!$AC$3,"S-",IF(H216&lt;'PlayerGrades+'!$AC$2,"S","S+"))))))))))))))))))))</f>
        <v>A</v>
      </c>
      <c r="J216" s="937">
        <f t="shared" si="4"/>
        <v>0.1094224924</v>
      </c>
      <c r="K216" s="937" t="str">
        <f>IF(J216&lt;'PlayerGrades+'!$AD$21,"F-",IF(J216&lt;'PlayerGrades+'!$AD$20,"F",IF(J216&lt;'PlayerGrades+'!$AD$19,"F+",IF(J216&lt;'PlayerGrades+'!$AD$18,"E-",IF(J216&lt;'PlayerGrades+'!$AD$17,"E",IF(J216&lt;'PlayerGrades+'!$AD$16,"E+",IF(J216&lt;'PlayerGrades+'!$AD$15,"D-",IF(J216&lt;'PlayerGrades+'!$AD$14,"D",IF(J216&lt;'PlayerGrades+'!$AD$13,"D+",IF(J216&lt;'PlayerGrades+'!$AD$12,"C-",IF(J216&lt;'PlayerGrades+'!$AD$11,"C",IF(J216&lt;'PlayerGrades+'!$AD$10,"C+",IF(J216&lt;'PlayerGrades+'!$AD$9,"B-",IF(J216&lt;'PlayerGrades+'!$AD$8,"B",IF(J216&lt;'PlayerGrades+'!$AD$7,"B+",IF(J216&lt;'PlayerGrades+'!$AD$6,"A-",IF(J216&lt;'PlayerGrades+'!$AD$5,"A",IF(J216&lt;'PlayerGrades+'!$AD$4,"A+",IF(J216&lt;'PlayerGrades+'!$AD$3,"S-",IF(J216&lt;'PlayerGrades+'!$AD$2,"S","S+"))))))))))))))))))))</f>
        <v>S+</v>
      </c>
      <c r="L216" s="677">
        <f t="shared" si="5"/>
        <v>0.9848024316</v>
      </c>
      <c r="M216" s="938" t="str">
        <f>IF(L216&lt;'PlayerGrades+'!$AE$21,"F-",IF(L216&lt;'PlayerGrades+'!$AE$20,"F",IF(L216&lt;'PlayerGrades+'!$AE$19,"F+",IF(L216&lt;'PlayerGrades+'!$AE$18,"E-",IF(L216&lt;'PlayerGrades+'!$AE$17,"E",IF(L216&lt;'PlayerGrades+'!$AE$16,"E+",IF(L216&lt;'PlayerGrades+'!$AE$15,"D-",IF(L216&lt;'PlayerGrades+'!$AE$14,"D",IF(L216&lt;'PlayerGrades+'!$AE$13,"D+",IF(L216&lt;'PlayerGrades+'!$AE$12,"C-",IF(L216&lt;'PlayerGrades+'!$AE$11,"C",IF(L216&lt;'PlayerGrades+'!$AE$10,"C+",IF(L216&lt;'PlayerGrades+'!$AE$9,"B-",IF(L216&lt;'PlayerGrades+'!$AE$8,"B",IF(L216&lt;'PlayerGrades+'!$AE$7,"B+",IF(L216&lt;'PlayerGrades+'!$AE$6,"A-",IF(L216&lt;'PlayerGrades+'!$AE$5,"A",IF(L216&lt;'PlayerGrades+'!$AE$4,"A+",IF(L216&lt;'PlayerGrades+'!$AE$3,"S-",IF(L216&lt;'PlayerGrades+'!$AE$2,"S","S+"))))))))))))))))))))</f>
        <v>S+</v>
      </c>
      <c r="N216" s="937">
        <f t="shared" si="6"/>
        <v>0.2553191489</v>
      </c>
      <c r="O216" s="937" t="str">
        <f>IF(N216&lt;'PlayerGrades+'!$AF$21,"F-",IF(N216&lt;'PlayerGrades+'!$AF$20,"F",IF(N216&lt;'PlayerGrades+'!$AF$19,"F+",IF(N216&lt;'PlayerGrades+'!$AF$18,"E-",IF(N216&lt;'PlayerGrades+'!$AF$17,"E",IF(N216&lt;'PlayerGrades+'!$AF$16,"E+",IF(N216&lt;'PlayerGrades+'!$AF$15,"D-",IF(N216&lt;'PlayerGrades+'!$AF$14,"D",IF(N216&lt;'PlayerGrades+'!$AF$13,"D+",IF(N216&lt;'PlayerGrades+'!$AF$12,"C-",IF(N216&lt;'PlayerGrades+'!$AF$11,"C",IF(N216&lt;'PlayerGrades+'!$AF$10,"C+",IF(N216&lt;'PlayerGrades+'!$AF$9,"B-",IF(N216&lt;'PlayerGrades+'!$AF$8,"B",IF(N216&lt;'PlayerGrades+'!$AF$7,"B+",IF(N216&lt;'PlayerGrades+'!$AF$6,"A-",IF(N216&lt;'PlayerGrades+'!$AF$5,"A",IF(N216&lt;'PlayerGrades+'!$AF$4,"A+",IF(N216&lt;'PlayerGrades+'!$AF$3,"S-",IF(N216&lt;'PlayerGrades+'!$AF$2,"S","S+"))))))))))))))))))))</f>
        <v>S+</v>
      </c>
      <c r="P216" s="937">
        <f t="shared" si="7"/>
        <v>0.1094224924</v>
      </c>
      <c r="Q216" s="937" t="str">
        <f>IF(P216&lt;'PlayerGrades+'!$AG$21,"F-",IF(P216&lt;'PlayerGrades+'!$AG$20,"F",IF(P216&lt;'PlayerGrades+'!$AG$19,"F+",IF(P216&lt;'PlayerGrades+'!$AG$18,"E-",IF(P216&lt;'PlayerGrades+'!$AG$17,"E",IF(P216&lt;'PlayerGrades+'!$AG$16,"E+",IF(P216&lt;'PlayerGrades+'!$AG$15,"D-",IF(P216&lt;'PlayerGrades+'!$AG$14,"D",IF(P216&lt;'PlayerGrades+'!$AG$13,"D+",IF(P216&lt;'PlayerGrades+'!$AG$12,"C-",IF(P216&lt;'PlayerGrades+'!$AG$11,"C",IF(P216&lt;'PlayerGrades+'!$AG$10,"C+",IF(P216&lt;'PlayerGrades+'!$AG$9,"B-",IF(P216&lt;'PlayerGrades+'!$AG$8,"B",IF(P216&lt;'PlayerGrades+'!$AG$7,"B+",IF(P216&lt;'PlayerGrades+'!$AG$6,"A-",IF(P216&lt;'PlayerGrades+'!$AG$5,"A",IF(P216&lt;'PlayerGrades+'!$AG$4,"A+",IF(P216&lt;'PlayerGrades+'!$AG$3,"S-",IF(P216&lt;'PlayerGrades+'!$AG$2,"S","S+"))))))))))))))))))))</f>
        <v>S+</v>
      </c>
      <c r="R216" s="937">
        <f t="shared" si="8"/>
        <v>0.6200607903</v>
      </c>
      <c r="S216" s="937" t="str">
        <f>IF(R216&lt;'PlayerGrades+'!$AH$21,"F-",IF(R216&lt;'PlayerGrades+'!$AH$20,"F",IF(R216&lt;'PlayerGrades+'!$AH$19,"F+",IF(R216&lt;'PlayerGrades+'!$AH$18,"E-",IF(R216&lt;'PlayerGrades+'!$AH$17,"E",IF(R216&lt;'PlayerGrades+'!$AH$16,"E+",IF(R216&lt;'PlayerGrades+'!$AH$15,"D-",IF(R216&lt;'PlayerGrades+'!$AH$14,"D",IF(R216&lt;'PlayerGrades+'!$AH$13,"D+",IF(R216&lt;'PlayerGrades+'!$AH$12,"C-",IF(R216&lt;'PlayerGrades+'!$AH$11,"C",IF(R216&lt;'PlayerGrades+'!$AH$10,"C+",IF(R216&lt;'PlayerGrades+'!$AH$9,"B-",IF(R216&lt;'PlayerGrades+'!$AH$8,"B",IF(R216&lt;'PlayerGrades+'!$AH$7,"B+",IF(R216&lt;'PlayerGrades+'!$AH$6,"A-",IF(R216&lt;'PlayerGrades+'!$AH$5,"A",IF(R216&lt;'PlayerGrades+'!$AH$4,"A+",IF(R216&lt;'PlayerGrades+'!$AH$3,"S-",IF(R216&lt;'PlayerGrades+'!$AH$2,"S","S+"))))))))))))))))))))</f>
        <v>A-</v>
      </c>
      <c r="T216" s="937">
        <f t="shared" si="9"/>
        <v>0.6200607903</v>
      </c>
      <c r="U216" s="937" t="str">
        <f>IF(T216&lt;'PlayerGrades+'!$AI$21,"F-",IF(T216&lt;'PlayerGrades+'!$AI$20,"F",IF(T216&lt;'PlayerGrades+'!$AI$19,"F+",IF(T216&lt;'PlayerGrades+'!$AI$18,"E-",IF(T216&lt;'PlayerGrades+'!$AI$17,"E",IF(T216&lt;'PlayerGrades+'!$AI$16,"E+",IF(T216&lt;'PlayerGrades+'!$AI$15,"D-",IF(T216&lt;'PlayerGrades+'!$AI$14,"D",IF(T216&lt;'PlayerGrades+'!$AI$13,"D+",IF(T216&lt;'PlayerGrades+'!$AI$12,"C-",IF(T216&lt;'PlayerGrades+'!$AI$11,"C",IF(T216&lt;'PlayerGrades+'!$AI$10,"C+",IF(T216&lt;'PlayerGrades+'!$AI$9,"B-",IF(T216&lt;'PlayerGrades+'!$AI$8,"B",IF(T216&lt;'PlayerGrades+'!$AI$7,"B+",IF(T216&lt;'PlayerGrades+'!$AI$6,"A-",IF(T216&lt;'PlayerGrades+'!$AI$5,"A",IF(T216&lt;'PlayerGrades+'!$AI$4,"A+",IF(T216&lt;'PlayerGrades+'!$AI$3,"S-",IF(T216&lt;'PlayerGrades+'!$AI$2,"S","S+"))))))))))))))))))))</f>
        <v>F-</v>
      </c>
      <c r="V216" s="941">
        <v>1.0</v>
      </c>
      <c r="W216" s="941">
        <v>0.0</v>
      </c>
      <c r="X216" s="941">
        <v>1.0</v>
      </c>
      <c r="Y216" s="941">
        <v>0.0</v>
      </c>
      <c r="Z216" s="941">
        <v>0.0</v>
      </c>
      <c r="AA216" s="941">
        <v>118.0</v>
      </c>
      <c r="AB216" s="941">
        <v>93.0</v>
      </c>
      <c r="AC216" s="941">
        <v>25.0</v>
      </c>
      <c r="AD216" s="941">
        <v>7.0</v>
      </c>
      <c r="AE216" s="941">
        <v>6.0</v>
      </c>
      <c r="AF216" s="941">
        <v>3.0</v>
      </c>
      <c r="AG216" s="941">
        <v>1277.0</v>
      </c>
      <c r="AH216" s="941">
        <v>1645.0</v>
      </c>
      <c r="AI216" s="941">
        <v>13.0</v>
      </c>
      <c r="AJ216" s="941">
        <v>7.0</v>
      </c>
      <c r="AK216" s="941">
        <v>0.0</v>
      </c>
      <c r="AL216" s="941">
        <v>3.0</v>
      </c>
      <c r="AM216" s="941">
        <v>0.0</v>
      </c>
      <c r="AN216" s="941">
        <v>0.0</v>
      </c>
      <c r="AO216" s="941">
        <v>0.0</v>
      </c>
      <c r="AP216" s="941">
        <v>3.0</v>
      </c>
      <c r="AQ216" s="941">
        <v>0.0</v>
      </c>
      <c r="AR216" s="941">
        <v>27.0</v>
      </c>
      <c r="AS216" s="941">
        <v>7.0</v>
      </c>
      <c r="AT216" s="941">
        <v>2.0</v>
      </c>
      <c r="AU216" s="941">
        <v>2.0</v>
      </c>
      <c r="AV216" s="941">
        <v>0.0</v>
      </c>
      <c r="AW216" s="941">
        <v>0.0</v>
      </c>
      <c r="AX216" s="941">
        <v>0.0</v>
      </c>
      <c r="AY216" s="941">
        <v>0.0</v>
      </c>
      <c r="AZ216" s="941">
        <v>0.0</v>
      </c>
      <c r="BA216" s="941">
        <v>0.0</v>
      </c>
      <c r="BB216" s="941">
        <v>4.0</v>
      </c>
      <c r="BC216" s="941">
        <v>0.0</v>
      </c>
      <c r="BD216" s="941">
        <v>10.0</v>
      </c>
      <c r="BE216" s="941">
        <v>17.0</v>
      </c>
      <c r="BF216" s="941">
        <v>0.0</v>
      </c>
      <c r="BG216" s="942">
        <v>0.0</v>
      </c>
    </row>
    <row r="217">
      <c r="A217" s="943" t="s">
        <v>115</v>
      </c>
      <c r="B217" s="16" t="str">
        <f>IF(C217&lt;'PlayerGrades+'!$Y$44,"F-",IF(C217&lt;'PlayerGrades+'!$Y$43,"F",IF(C217&lt;'PlayerGrades+'!$Y$42,"F+",IF(C217&lt;'PlayerGrades+'!$Y$41,"E-",IF(C217&lt;'PlayerGrades+'!$Y$40,"E",IF(C217&lt;'PlayerGrades+'!$Y$39,"E+",IF(C217&lt;'PlayerGrades+'!$Y$38,"D-",IF(C217&lt;'PlayerGrades+'!$Y$37,"D",IF(C217&lt;'PlayerGrades+'!$Y$36,"D+",IF(C217&lt;'PlayerGrades+'!$Y$35,"C-",IF(C217&lt;'PlayerGrades+'!$Y$34,"C",IF(C217&lt;'PlayerGrades+'!$Y$33,"C+",IF(C217&lt;'PlayerGrades+'!$Y$32,"B-",IF(C217&lt;'PlayerGrades+'!$Y$31,"B",IF(C217&lt;'PlayerGrades+'!$Y$30,"B+",IF(C217&lt;'PlayerGrades+'!$Y$29,"A-",IF(C217&lt;'PlayerGrades+'!$Y$28,"A",IF(C217&lt;'PlayerGrades+'!$Y$27,"A+",IF(C217&lt;'PlayerGrades+'!$Y$26,"S-",IF(C217&lt;'PlayerGrades+'!$Y$25,"S","S+"))))))))))))))))))))</f>
        <v>E-</v>
      </c>
      <c r="C217" s="936">
        <f>('PlayerGrades+'!$Y$47*(VLOOKUP(E217, 'PlayerGrades+'!$X$3:$Y$23, 2, FALSE)))+('PlayerGrades+'!$Y$48*(VLOOKUP(G217, 'PlayerGrades+'!$X$3:$Y$23, 2, FALSE)))+('PlayerGrades+'!$Y$49*(VLOOKUP(I217, 'PlayerGrades+'!$X$3:$Y$23, 2, FALSE)))+('PlayerGrades+'!$Y$50*(VLOOKUP(K217, 'PlayerGrades+'!$X$3:$Y$23, 2, FALSE)))+('PlayerGrades+'!$Y$51*(VLOOKUP(M217, 'PlayerGrades+'!$X$3:$Y$23, 2, FALSE)))+('PlayerGrades+'!$Y$52*(VLOOKUP(O217, 'PlayerGrades+'!$X$3:$Y$23, 2, FALSE)))+('PlayerGrades+'!$Y$53*(VLOOKUP(Q217, 'PlayerGrades+'!$X$3:$Y$23, 2, FALSE)))+('PlayerGrades+'!$Y$54*(VLOOKUP(S217, 'PlayerGrades+'!$X$3:$Y$23, 2, FALSE)))+('PlayerGrades+'!$Y$55*(VLOOKUP(U217, 'PlayerGrades+'!$X$3:$Y$23, 2, FALSE)))</f>
        <v>11.55</v>
      </c>
      <c r="D217" s="937">
        <f t="shared" si="1"/>
        <v>0</v>
      </c>
      <c r="E217" s="937" t="str">
        <f>IF(D217&lt;'PlayerGrades+'!$AA$21,"F-",IF(D217&lt;'PlayerGrades+'!$AA$20,"F",IF(D217&lt;'PlayerGrades+'!$AA$19,"F+",IF(D217&lt;'PlayerGrades+'!$AA$18,"E-",IF(D217&lt;'PlayerGrades+'!$AA$17,"E",IF(D217&lt;'PlayerGrades+'!$AA$16,"E+",IF(D217&lt;'PlayerGrades+'!$AA$15,"D-",IF(D217&lt;'PlayerGrades+'!$AA$14,"D",IF(D217&lt;'PlayerGrades+'!$AA$13,"D+",IF(D217&lt;'PlayerGrades+'!$AA$12,"C-",IF(D217&lt;'PlayerGrades+'!$AA$11,"C",IF(D217&lt;'PlayerGrades+'!$AA$10,"C+",IF(D217&lt;'PlayerGrades+'!$AA$9,"B-",IF(D217&lt;'PlayerGrades+'!$AA$8,"B",IF(D217&lt;'PlayerGrades+'!$AA$7,"B+",IF(D217&lt;'PlayerGrades+'!$AA$6,"A-",IF(D217&lt;'PlayerGrades+'!$AA$5,"A",IF(D217&lt;'PlayerGrades+'!$AA$4,"A+",IF(D217&lt;'PlayerGrades+'!$AA$3,"S-",IF(D217&lt;'PlayerGrades+'!$AA$2,"S","S+"))))))))))))))))))))</f>
        <v>F-</v>
      </c>
      <c r="F217" s="937">
        <f t="shared" si="2"/>
        <v>-1.167173252</v>
      </c>
      <c r="G217" s="937" t="str">
        <f>IF(F217&lt;'PlayerGrades+'!$AB$21,"F-",IF(F217&lt;'PlayerGrades+'!$AB$20,"F",IF(F217&lt;'PlayerGrades+'!$AB$19,"F+",IF(F217&lt;'PlayerGrades+'!$AB$18,"E-",IF(F217&lt;'PlayerGrades+'!$AB$17,"E",IF(F217&lt;'PlayerGrades+'!$AB$16,"E+",IF(F217&lt;'PlayerGrades+'!$AB$15,"D-",IF(F217&lt;'PlayerGrades+'!$AB$14,"D",IF(F217&lt;'PlayerGrades+'!$AB$13,"D+",IF(F217&lt;'PlayerGrades+'!$AB$12,"C-",IF(F217&lt;'PlayerGrades+'!$AB$11,"C",IF(F217&lt;'PlayerGrades+'!$AB$10,"C+",IF(F217&lt;'PlayerGrades+'!$AB$9,"B-",IF(F217&lt;'PlayerGrades+'!$AB$8,"B",IF(F217&lt;'PlayerGrades+'!$AB$7,"B+",IF(F217&lt;'PlayerGrades+'!$AB$6,"A-",IF(F217&lt;'PlayerGrades+'!$AB$5,"A",IF(F217&lt;'PlayerGrades+'!$AB$4,"A+",IF(F217&lt;'PlayerGrades+'!$AB$3,"S-",IF(F217&lt;'PlayerGrades+'!$AB$2,"S","S+"))))))))))))))))))))</f>
        <v>F-</v>
      </c>
      <c r="H217" s="937">
        <f t="shared" si="3"/>
        <v>0</v>
      </c>
      <c r="I217" s="937" t="str">
        <f>IF(H217&lt;'PlayerGrades+'!$AC$21,"F-",IF(H217&lt;'PlayerGrades+'!$AC$20,"F",IF(H217&lt;'PlayerGrades+'!$AC$19,"F+",IF(H217&lt;'PlayerGrades+'!$AC$18,"E-",IF(H217&lt;'PlayerGrades+'!$AC$17,"E",IF(H217&lt;'PlayerGrades+'!$AC$16,"E+",IF(H217&lt;'PlayerGrades+'!$AC$15,"D-",IF(H217&lt;'PlayerGrades+'!$AC$14,"D",IF(H217&lt;'PlayerGrades+'!$AC$13,"D+",IF(H217&lt;'PlayerGrades+'!$AC$12,"C-",IF(H217&lt;'PlayerGrades+'!$AC$11,"C",IF(H217&lt;'PlayerGrades+'!$AC$10,"C+",IF(H217&lt;'PlayerGrades+'!$AC$9,"B-",IF(H217&lt;'PlayerGrades+'!$AC$8,"B",IF(H217&lt;'PlayerGrades+'!$AC$7,"B+",IF(H217&lt;'PlayerGrades+'!$AC$6,"A-",IF(H217&lt;'PlayerGrades+'!$AC$5,"A",IF(H217&lt;'PlayerGrades+'!$AC$4,"A+",IF(H217&lt;'PlayerGrades+'!$AC$3,"S-",IF(H217&lt;'PlayerGrades+'!$AC$2,"S","S+"))))))))))))))))))))</f>
        <v>F-</v>
      </c>
      <c r="J217" s="937">
        <f t="shared" si="4"/>
        <v>0</v>
      </c>
      <c r="K217" s="937" t="str">
        <f>IF(J217&lt;'PlayerGrades+'!$AD$21,"F-",IF(J217&lt;'PlayerGrades+'!$AD$20,"F",IF(J217&lt;'PlayerGrades+'!$AD$19,"F+",IF(J217&lt;'PlayerGrades+'!$AD$18,"E-",IF(J217&lt;'PlayerGrades+'!$AD$17,"E",IF(J217&lt;'PlayerGrades+'!$AD$16,"E+",IF(J217&lt;'PlayerGrades+'!$AD$15,"D-",IF(J217&lt;'PlayerGrades+'!$AD$14,"D",IF(J217&lt;'PlayerGrades+'!$AD$13,"D+",IF(J217&lt;'PlayerGrades+'!$AD$12,"C-",IF(J217&lt;'PlayerGrades+'!$AD$11,"C",IF(J217&lt;'PlayerGrades+'!$AD$10,"C+",IF(J217&lt;'PlayerGrades+'!$AD$9,"B-",IF(J217&lt;'PlayerGrades+'!$AD$8,"B",IF(J217&lt;'PlayerGrades+'!$AD$7,"B+",IF(J217&lt;'PlayerGrades+'!$AD$6,"A-",IF(J217&lt;'PlayerGrades+'!$AD$5,"A",IF(J217&lt;'PlayerGrades+'!$AD$4,"A+",IF(J217&lt;'PlayerGrades+'!$AD$3,"S-",IF(J217&lt;'PlayerGrades+'!$AD$2,"S","S+"))))))))))))))))))))</f>
        <v>F-</v>
      </c>
      <c r="L217" s="677">
        <f t="shared" si="5"/>
        <v>0.4012158055</v>
      </c>
      <c r="M217" s="938" t="str">
        <f>IF(L217&lt;'PlayerGrades+'!$AE$21,"F-",IF(L217&lt;'PlayerGrades+'!$AE$20,"F",IF(L217&lt;'PlayerGrades+'!$AE$19,"F+",IF(L217&lt;'PlayerGrades+'!$AE$18,"E-",IF(L217&lt;'PlayerGrades+'!$AE$17,"E",IF(L217&lt;'PlayerGrades+'!$AE$16,"E+",IF(L217&lt;'PlayerGrades+'!$AE$15,"D-",IF(L217&lt;'PlayerGrades+'!$AE$14,"D",IF(L217&lt;'PlayerGrades+'!$AE$13,"D+",IF(L217&lt;'PlayerGrades+'!$AE$12,"C-",IF(L217&lt;'PlayerGrades+'!$AE$11,"C",IF(L217&lt;'PlayerGrades+'!$AE$10,"C+",IF(L217&lt;'PlayerGrades+'!$AE$9,"B-",IF(L217&lt;'PlayerGrades+'!$AE$8,"B",IF(L217&lt;'PlayerGrades+'!$AE$7,"B+",IF(L217&lt;'PlayerGrades+'!$AE$6,"A-",IF(L217&lt;'PlayerGrades+'!$AE$5,"A",IF(L217&lt;'PlayerGrades+'!$AE$4,"A+",IF(L217&lt;'PlayerGrades+'!$AE$3,"S-",IF(L217&lt;'PlayerGrades+'!$AE$2,"S","S+"))))))))))))))))))))</f>
        <v>C</v>
      </c>
      <c r="N217" s="937">
        <f t="shared" si="6"/>
        <v>0.07294832827</v>
      </c>
      <c r="O217" s="937" t="str">
        <f>IF(N217&lt;'PlayerGrades+'!$AF$21,"F-",IF(N217&lt;'PlayerGrades+'!$AF$20,"F",IF(N217&lt;'PlayerGrades+'!$AF$19,"F+",IF(N217&lt;'PlayerGrades+'!$AF$18,"E-",IF(N217&lt;'PlayerGrades+'!$AF$17,"E",IF(N217&lt;'PlayerGrades+'!$AF$16,"E+",IF(N217&lt;'PlayerGrades+'!$AF$15,"D-",IF(N217&lt;'PlayerGrades+'!$AF$14,"D",IF(N217&lt;'PlayerGrades+'!$AF$13,"D+",IF(N217&lt;'PlayerGrades+'!$AF$12,"C-",IF(N217&lt;'PlayerGrades+'!$AF$11,"C",IF(N217&lt;'PlayerGrades+'!$AF$10,"C+",IF(N217&lt;'PlayerGrades+'!$AF$9,"B-",IF(N217&lt;'PlayerGrades+'!$AF$8,"B",IF(N217&lt;'PlayerGrades+'!$AF$7,"B+",IF(N217&lt;'PlayerGrades+'!$AF$6,"A-",IF(N217&lt;'PlayerGrades+'!$AF$5,"A",IF(N217&lt;'PlayerGrades+'!$AF$4,"A+",IF(N217&lt;'PlayerGrades+'!$AF$3,"S-",IF(N217&lt;'PlayerGrades+'!$AF$2,"S","S+"))))))))))))))))))))</f>
        <v>C+</v>
      </c>
      <c r="P217" s="937">
        <f t="shared" si="7"/>
        <v>0</v>
      </c>
      <c r="Q217" s="937" t="str">
        <f>IF(P217&lt;'PlayerGrades+'!$AG$21,"F-",IF(P217&lt;'PlayerGrades+'!$AG$20,"F",IF(P217&lt;'PlayerGrades+'!$AG$19,"F+",IF(P217&lt;'PlayerGrades+'!$AG$18,"E-",IF(P217&lt;'PlayerGrades+'!$AG$17,"E",IF(P217&lt;'PlayerGrades+'!$AG$16,"E+",IF(P217&lt;'PlayerGrades+'!$AG$15,"D-",IF(P217&lt;'PlayerGrades+'!$AG$14,"D",IF(P217&lt;'PlayerGrades+'!$AG$13,"D+",IF(P217&lt;'PlayerGrades+'!$AG$12,"C-",IF(P217&lt;'PlayerGrades+'!$AG$11,"C",IF(P217&lt;'PlayerGrades+'!$AG$10,"C+",IF(P217&lt;'PlayerGrades+'!$AG$9,"B-",IF(P217&lt;'PlayerGrades+'!$AG$8,"B",IF(P217&lt;'PlayerGrades+'!$AG$7,"B+",IF(P217&lt;'PlayerGrades+'!$AG$6,"A-",IF(P217&lt;'PlayerGrades+'!$AG$5,"A",IF(P217&lt;'PlayerGrades+'!$AG$4,"A+",IF(P217&lt;'PlayerGrades+'!$AG$3,"S-",IF(P217&lt;'PlayerGrades+'!$AG$2,"S","S+"))))))))))))))))))))</f>
        <v>F</v>
      </c>
      <c r="R217" s="937">
        <f t="shared" si="8"/>
        <v>0.4376899696</v>
      </c>
      <c r="S217" s="937" t="str">
        <f>IF(R217&lt;'PlayerGrades+'!$AH$21,"F-",IF(R217&lt;'PlayerGrades+'!$AH$20,"F",IF(R217&lt;'PlayerGrades+'!$AH$19,"F+",IF(R217&lt;'PlayerGrades+'!$AH$18,"E-",IF(R217&lt;'PlayerGrades+'!$AH$17,"E",IF(R217&lt;'PlayerGrades+'!$AH$16,"E+",IF(R217&lt;'PlayerGrades+'!$AH$15,"D-",IF(R217&lt;'PlayerGrades+'!$AH$14,"D",IF(R217&lt;'PlayerGrades+'!$AH$13,"D+",IF(R217&lt;'PlayerGrades+'!$AH$12,"C-",IF(R217&lt;'PlayerGrades+'!$AH$11,"C",IF(R217&lt;'PlayerGrades+'!$AH$10,"C+",IF(R217&lt;'PlayerGrades+'!$AH$9,"B-",IF(R217&lt;'PlayerGrades+'!$AH$8,"B",IF(R217&lt;'PlayerGrades+'!$AH$7,"B+",IF(R217&lt;'PlayerGrades+'!$AH$6,"A-",IF(R217&lt;'PlayerGrades+'!$AH$5,"A",IF(R217&lt;'PlayerGrades+'!$AH$4,"A+",IF(R217&lt;'PlayerGrades+'!$AH$3,"S-",IF(R217&lt;'PlayerGrades+'!$AH$2,"S","S+"))))))))))))))))))))</f>
        <v>E-</v>
      </c>
      <c r="T217" s="937">
        <f t="shared" si="9"/>
        <v>2.401215805</v>
      </c>
      <c r="U217" s="937" t="str">
        <f>IF(T217&lt;'PlayerGrades+'!$AI$21,"F-",IF(T217&lt;'PlayerGrades+'!$AI$20,"F",IF(T217&lt;'PlayerGrades+'!$AI$19,"F+",IF(T217&lt;'PlayerGrades+'!$AI$18,"E-",IF(T217&lt;'PlayerGrades+'!$AI$17,"E",IF(T217&lt;'PlayerGrades+'!$AI$16,"E+",IF(T217&lt;'PlayerGrades+'!$AI$15,"D-",IF(T217&lt;'PlayerGrades+'!$AI$14,"D",IF(T217&lt;'PlayerGrades+'!$AI$13,"D+",IF(T217&lt;'PlayerGrades+'!$AI$12,"C-",IF(T217&lt;'PlayerGrades+'!$AI$11,"C",IF(T217&lt;'PlayerGrades+'!$AI$10,"C+",IF(T217&lt;'PlayerGrades+'!$AI$9,"B-",IF(T217&lt;'PlayerGrades+'!$AI$8,"B",IF(T217&lt;'PlayerGrades+'!$AI$7,"B+",IF(T217&lt;'PlayerGrades+'!$AI$6,"A-",IF(T217&lt;'PlayerGrades+'!$AI$5,"A",IF(T217&lt;'PlayerGrades+'!$AI$4,"A+",IF(T217&lt;'PlayerGrades+'!$AI$3,"S-",IF(T217&lt;'PlayerGrades+'!$AI$2,"S","S+"))))))))))))))))))))</f>
        <v>S+</v>
      </c>
      <c r="V217" s="944">
        <v>1.0</v>
      </c>
      <c r="W217" s="944">
        <v>0.0</v>
      </c>
      <c r="X217" s="944">
        <v>1.0</v>
      </c>
      <c r="Y217" s="944">
        <v>0.0</v>
      </c>
      <c r="Z217" s="944">
        <v>0.0</v>
      </c>
      <c r="AA217" s="944">
        <v>82.0</v>
      </c>
      <c r="AB217" s="944">
        <v>114.0</v>
      </c>
      <c r="AC217" s="944">
        <v>-32.0</v>
      </c>
      <c r="AD217" s="944">
        <v>5.0</v>
      </c>
      <c r="AE217" s="944">
        <v>4.0</v>
      </c>
      <c r="AF217" s="944">
        <v>2.0</v>
      </c>
      <c r="AG217" s="944">
        <v>1207.0</v>
      </c>
      <c r="AH217" s="944">
        <v>1645.0</v>
      </c>
      <c r="AI217" s="944">
        <v>10.0</v>
      </c>
      <c r="AJ217" s="944">
        <v>0.0</v>
      </c>
      <c r="AK217" s="944">
        <v>0.0</v>
      </c>
      <c r="AL217" s="944">
        <v>0.0</v>
      </c>
      <c r="AM217" s="944">
        <v>0.0</v>
      </c>
      <c r="AN217" s="944">
        <v>0.0</v>
      </c>
      <c r="AO217" s="944">
        <v>0.0</v>
      </c>
      <c r="AP217" s="944">
        <v>0.0</v>
      </c>
      <c r="AQ217" s="944">
        <v>0.0</v>
      </c>
      <c r="AR217" s="944">
        <v>11.0</v>
      </c>
      <c r="AS217" s="944">
        <v>2.0</v>
      </c>
      <c r="AT217" s="944">
        <v>0.0</v>
      </c>
      <c r="AU217" s="944">
        <v>0.0</v>
      </c>
      <c r="AV217" s="944">
        <v>0.0</v>
      </c>
      <c r="AW217" s="944">
        <v>0.0</v>
      </c>
      <c r="AX217" s="944">
        <v>0.0</v>
      </c>
      <c r="AY217" s="944">
        <v>0.0</v>
      </c>
      <c r="AZ217" s="944">
        <v>0.0</v>
      </c>
      <c r="BA217" s="944">
        <v>0.0</v>
      </c>
      <c r="BB217" s="944">
        <v>0.0</v>
      </c>
      <c r="BC217" s="944">
        <v>0.0</v>
      </c>
      <c r="BD217" s="944">
        <v>7.0</v>
      </c>
      <c r="BE217" s="944">
        <v>11.0</v>
      </c>
      <c r="BF217" s="944">
        <v>2.0</v>
      </c>
      <c r="BG217" s="945">
        <v>0.0</v>
      </c>
    </row>
    <row r="218">
      <c r="A218" s="946" t="s">
        <v>154</v>
      </c>
      <c r="B218" s="16" t="str">
        <f>IF(C218&lt;'PlayerGrades+'!$Y$44,"F-",IF(C218&lt;'PlayerGrades+'!$Y$43,"F",IF(C218&lt;'PlayerGrades+'!$Y$42,"F+",IF(C218&lt;'PlayerGrades+'!$Y$41,"E-",IF(C218&lt;'PlayerGrades+'!$Y$40,"E",IF(C218&lt;'PlayerGrades+'!$Y$39,"E+",IF(C218&lt;'PlayerGrades+'!$Y$38,"D-",IF(C218&lt;'PlayerGrades+'!$Y$37,"D",IF(C218&lt;'PlayerGrades+'!$Y$36,"D+",IF(C218&lt;'PlayerGrades+'!$Y$35,"C-",IF(C218&lt;'PlayerGrades+'!$Y$34,"C",IF(C218&lt;'PlayerGrades+'!$Y$33,"C+",IF(C218&lt;'PlayerGrades+'!$Y$32,"B-",IF(C218&lt;'PlayerGrades+'!$Y$31,"B",IF(C218&lt;'PlayerGrades+'!$Y$30,"B+",IF(C218&lt;'PlayerGrades+'!$Y$29,"A-",IF(C218&lt;'PlayerGrades+'!$Y$28,"A",IF(C218&lt;'PlayerGrades+'!$Y$27,"A+",IF(C218&lt;'PlayerGrades+'!$Y$26,"S-",IF(C218&lt;'PlayerGrades+'!$Y$25,"S","S+"))))))))))))))))))))</f>
        <v>F</v>
      </c>
      <c r="C218" s="936">
        <f>('PlayerGrades+'!$Y$47*(VLOOKUP(E218, 'PlayerGrades+'!$X$3:$Y$23, 2, FALSE)))+('PlayerGrades+'!$Y$48*(VLOOKUP(G218, 'PlayerGrades+'!$X$3:$Y$23, 2, FALSE)))+('PlayerGrades+'!$Y$49*(VLOOKUP(I218, 'PlayerGrades+'!$X$3:$Y$23, 2, FALSE)))+('PlayerGrades+'!$Y$50*(VLOOKUP(K218, 'PlayerGrades+'!$X$3:$Y$23, 2, FALSE)))+('PlayerGrades+'!$Y$51*(VLOOKUP(M218, 'PlayerGrades+'!$X$3:$Y$23, 2, FALSE)))+('PlayerGrades+'!$Y$52*(VLOOKUP(O218, 'PlayerGrades+'!$X$3:$Y$23, 2, FALSE)))+('PlayerGrades+'!$Y$53*(VLOOKUP(Q218, 'PlayerGrades+'!$X$3:$Y$23, 2, FALSE)))+('PlayerGrades+'!$Y$54*(VLOOKUP(S218, 'PlayerGrades+'!$X$3:$Y$23, 2, FALSE)))+('PlayerGrades+'!$Y$55*(VLOOKUP(U218, 'PlayerGrades+'!$X$3:$Y$23, 2, FALSE)))</f>
        <v>8.45</v>
      </c>
      <c r="D218" s="937">
        <f t="shared" si="1"/>
        <v>0.3423236515</v>
      </c>
      <c r="E218" s="937" t="str">
        <f>IF(D218&lt;'PlayerGrades+'!$AA$21,"F-",IF(D218&lt;'PlayerGrades+'!$AA$20,"F",IF(D218&lt;'PlayerGrades+'!$AA$19,"F+",IF(D218&lt;'PlayerGrades+'!$AA$18,"E-",IF(D218&lt;'PlayerGrades+'!$AA$17,"E",IF(D218&lt;'PlayerGrades+'!$AA$16,"E+",IF(D218&lt;'PlayerGrades+'!$AA$15,"D-",IF(D218&lt;'PlayerGrades+'!$AA$14,"D",IF(D218&lt;'PlayerGrades+'!$AA$13,"D+",IF(D218&lt;'PlayerGrades+'!$AA$12,"C-",IF(D218&lt;'PlayerGrades+'!$AA$11,"C",IF(D218&lt;'PlayerGrades+'!$AA$10,"C+",IF(D218&lt;'PlayerGrades+'!$AA$9,"B-",IF(D218&lt;'PlayerGrades+'!$AA$8,"B",IF(D218&lt;'PlayerGrades+'!$AA$7,"B+",IF(D218&lt;'PlayerGrades+'!$AA$6,"A-",IF(D218&lt;'PlayerGrades+'!$AA$5,"A",IF(D218&lt;'PlayerGrades+'!$AA$4,"A+",IF(D218&lt;'PlayerGrades+'!$AA$3,"S-",IF(D218&lt;'PlayerGrades+'!$AA$2,"S","S+"))))))))))))))))))))</f>
        <v>A</v>
      </c>
      <c r="F218" s="937">
        <f t="shared" si="2"/>
        <v>-0.4356846473</v>
      </c>
      <c r="G218" s="937" t="str">
        <f>IF(F218&lt;'PlayerGrades+'!$AB$21,"F-",IF(F218&lt;'PlayerGrades+'!$AB$20,"F",IF(F218&lt;'PlayerGrades+'!$AB$19,"F+",IF(F218&lt;'PlayerGrades+'!$AB$18,"E-",IF(F218&lt;'PlayerGrades+'!$AB$17,"E",IF(F218&lt;'PlayerGrades+'!$AB$16,"E+",IF(F218&lt;'PlayerGrades+'!$AB$15,"D-",IF(F218&lt;'PlayerGrades+'!$AB$14,"D",IF(F218&lt;'PlayerGrades+'!$AB$13,"D+",IF(F218&lt;'PlayerGrades+'!$AB$12,"C-",IF(F218&lt;'PlayerGrades+'!$AB$11,"C",IF(F218&lt;'PlayerGrades+'!$AB$10,"C+",IF(F218&lt;'PlayerGrades+'!$AB$9,"B-",IF(F218&lt;'PlayerGrades+'!$AB$8,"B",IF(F218&lt;'PlayerGrades+'!$AB$7,"B+",IF(F218&lt;'PlayerGrades+'!$AB$6,"A-",IF(F218&lt;'PlayerGrades+'!$AB$5,"A",IF(F218&lt;'PlayerGrades+'!$AB$4,"A+",IF(F218&lt;'PlayerGrades+'!$AB$3,"S-",IF(F218&lt;'PlayerGrades+'!$AB$2,"S","S+"))))))))))))))))))))</f>
        <v>D</v>
      </c>
      <c r="H218" s="937">
        <f t="shared" si="3"/>
        <v>0</v>
      </c>
      <c r="I218" s="937" t="str">
        <f>IF(H218&lt;'PlayerGrades+'!$AC$21,"F-",IF(H218&lt;'PlayerGrades+'!$AC$20,"F",IF(H218&lt;'PlayerGrades+'!$AC$19,"F+",IF(H218&lt;'PlayerGrades+'!$AC$18,"E-",IF(H218&lt;'PlayerGrades+'!$AC$17,"E",IF(H218&lt;'PlayerGrades+'!$AC$16,"E+",IF(H218&lt;'PlayerGrades+'!$AC$15,"D-",IF(H218&lt;'PlayerGrades+'!$AC$14,"D",IF(H218&lt;'PlayerGrades+'!$AC$13,"D+",IF(H218&lt;'PlayerGrades+'!$AC$12,"C-",IF(H218&lt;'PlayerGrades+'!$AC$11,"C",IF(H218&lt;'PlayerGrades+'!$AC$10,"C+",IF(H218&lt;'PlayerGrades+'!$AC$9,"B-",IF(H218&lt;'PlayerGrades+'!$AC$8,"B",IF(H218&lt;'PlayerGrades+'!$AC$7,"B+",IF(H218&lt;'PlayerGrades+'!$AC$6,"A-",IF(H218&lt;'PlayerGrades+'!$AC$5,"A",IF(H218&lt;'PlayerGrades+'!$AC$4,"A+",IF(H218&lt;'PlayerGrades+'!$AC$3,"S-",IF(H218&lt;'PlayerGrades+'!$AC$2,"S","S+"))))))))))))))))))))</f>
        <v>F-</v>
      </c>
      <c r="J218" s="937">
        <f t="shared" si="4"/>
        <v>0</v>
      </c>
      <c r="K218" s="937" t="str">
        <f>IF(J218&lt;'PlayerGrades+'!$AD$21,"F-",IF(J218&lt;'PlayerGrades+'!$AD$20,"F",IF(J218&lt;'PlayerGrades+'!$AD$19,"F+",IF(J218&lt;'PlayerGrades+'!$AD$18,"E-",IF(J218&lt;'PlayerGrades+'!$AD$17,"E",IF(J218&lt;'PlayerGrades+'!$AD$16,"E+",IF(J218&lt;'PlayerGrades+'!$AD$15,"D-",IF(J218&lt;'PlayerGrades+'!$AD$14,"D",IF(J218&lt;'PlayerGrades+'!$AD$13,"D+",IF(J218&lt;'PlayerGrades+'!$AD$12,"C-",IF(J218&lt;'PlayerGrades+'!$AD$11,"C",IF(J218&lt;'PlayerGrades+'!$AD$10,"C+",IF(J218&lt;'PlayerGrades+'!$AD$9,"B-",IF(J218&lt;'PlayerGrades+'!$AD$8,"B",IF(J218&lt;'PlayerGrades+'!$AD$7,"B+",IF(J218&lt;'PlayerGrades+'!$AD$6,"A-",IF(J218&lt;'PlayerGrades+'!$AD$5,"A",IF(J218&lt;'PlayerGrades+'!$AD$4,"A+",IF(J218&lt;'PlayerGrades+'!$AD$3,"S-",IF(J218&lt;'PlayerGrades+'!$AD$2,"S","S+"))))))))))))))))))))</f>
        <v>F-</v>
      </c>
      <c r="L218" s="677">
        <f t="shared" si="5"/>
        <v>0.03112033195</v>
      </c>
      <c r="M218" s="938" t="str">
        <f>IF(L218&lt;'PlayerGrades+'!$AE$21,"F-",IF(L218&lt;'PlayerGrades+'!$AE$20,"F",IF(L218&lt;'PlayerGrades+'!$AE$19,"F+",IF(L218&lt;'PlayerGrades+'!$AE$18,"E-",IF(L218&lt;'PlayerGrades+'!$AE$17,"E",IF(L218&lt;'PlayerGrades+'!$AE$16,"E+",IF(L218&lt;'PlayerGrades+'!$AE$15,"D-",IF(L218&lt;'PlayerGrades+'!$AE$14,"D",IF(L218&lt;'PlayerGrades+'!$AE$13,"D+",IF(L218&lt;'PlayerGrades+'!$AE$12,"C-",IF(L218&lt;'PlayerGrades+'!$AE$11,"C",IF(L218&lt;'PlayerGrades+'!$AE$10,"C+",IF(L218&lt;'PlayerGrades+'!$AE$9,"B-",IF(L218&lt;'PlayerGrades+'!$AE$8,"B",IF(L218&lt;'PlayerGrades+'!$AE$7,"B+",IF(L218&lt;'PlayerGrades+'!$AE$6,"A-",IF(L218&lt;'PlayerGrades+'!$AE$5,"A",IF(L218&lt;'PlayerGrades+'!$AE$4,"A+",IF(L218&lt;'PlayerGrades+'!$AE$3,"S-",IF(L218&lt;'PlayerGrades+'!$AE$2,"S","S+"))))))))))))))))))))</f>
        <v>F-</v>
      </c>
      <c r="N218" s="937">
        <f t="shared" si="6"/>
        <v>0</v>
      </c>
      <c r="O218" s="937" t="str">
        <f>IF(N218&lt;'PlayerGrades+'!$AF$21,"F-",IF(N218&lt;'PlayerGrades+'!$AF$20,"F",IF(N218&lt;'PlayerGrades+'!$AF$19,"F+",IF(N218&lt;'PlayerGrades+'!$AF$18,"E-",IF(N218&lt;'PlayerGrades+'!$AF$17,"E",IF(N218&lt;'PlayerGrades+'!$AF$16,"E+",IF(N218&lt;'PlayerGrades+'!$AF$15,"D-",IF(N218&lt;'PlayerGrades+'!$AF$14,"D",IF(N218&lt;'PlayerGrades+'!$AF$13,"D+",IF(N218&lt;'PlayerGrades+'!$AF$12,"C-",IF(N218&lt;'PlayerGrades+'!$AF$11,"C",IF(N218&lt;'PlayerGrades+'!$AF$10,"C+",IF(N218&lt;'PlayerGrades+'!$AF$9,"B-",IF(N218&lt;'PlayerGrades+'!$AF$8,"B",IF(N218&lt;'PlayerGrades+'!$AF$7,"B+",IF(N218&lt;'PlayerGrades+'!$AF$6,"A-",IF(N218&lt;'PlayerGrades+'!$AF$5,"A",IF(N218&lt;'PlayerGrades+'!$AF$4,"A+",IF(N218&lt;'PlayerGrades+'!$AF$3,"S-",IF(N218&lt;'PlayerGrades+'!$AF$2,"S","S+"))))))))))))))))))))</f>
        <v>F-</v>
      </c>
      <c r="P218" s="937">
        <f t="shared" si="7"/>
        <v>0</v>
      </c>
      <c r="Q218" s="937" t="str">
        <f>IF(P218&lt;'PlayerGrades+'!$AG$21,"F-",IF(P218&lt;'PlayerGrades+'!$AG$20,"F",IF(P218&lt;'PlayerGrades+'!$AG$19,"F+",IF(P218&lt;'PlayerGrades+'!$AG$18,"E-",IF(P218&lt;'PlayerGrades+'!$AG$17,"E",IF(P218&lt;'PlayerGrades+'!$AG$16,"E+",IF(P218&lt;'PlayerGrades+'!$AG$15,"D-",IF(P218&lt;'PlayerGrades+'!$AG$14,"D",IF(P218&lt;'PlayerGrades+'!$AG$13,"D+",IF(P218&lt;'PlayerGrades+'!$AG$12,"C-",IF(P218&lt;'PlayerGrades+'!$AG$11,"C",IF(P218&lt;'PlayerGrades+'!$AG$10,"C+",IF(P218&lt;'PlayerGrades+'!$AG$9,"B-",IF(P218&lt;'PlayerGrades+'!$AG$8,"B",IF(P218&lt;'PlayerGrades+'!$AG$7,"B+",IF(P218&lt;'PlayerGrades+'!$AG$6,"A-",IF(P218&lt;'PlayerGrades+'!$AG$5,"A",IF(P218&lt;'PlayerGrades+'!$AG$4,"A+",IF(P218&lt;'PlayerGrades+'!$AG$3,"S-",IF(P218&lt;'PlayerGrades+'!$AG$2,"S","S+"))))))))))))))))))))</f>
        <v>F</v>
      </c>
      <c r="R218" s="937">
        <f t="shared" si="8"/>
        <v>0.1867219917</v>
      </c>
      <c r="S218" s="937" t="str">
        <f>IF(R218&lt;'PlayerGrades+'!$AH$21,"F-",IF(R218&lt;'PlayerGrades+'!$AH$20,"F",IF(R218&lt;'PlayerGrades+'!$AH$19,"F+",IF(R218&lt;'PlayerGrades+'!$AH$18,"E-",IF(R218&lt;'PlayerGrades+'!$AH$17,"E",IF(R218&lt;'PlayerGrades+'!$AH$16,"E+",IF(R218&lt;'PlayerGrades+'!$AH$15,"D-",IF(R218&lt;'PlayerGrades+'!$AH$14,"D",IF(R218&lt;'PlayerGrades+'!$AH$13,"D+",IF(R218&lt;'PlayerGrades+'!$AH$12,"C-",IF(R218&lt;'PlayerGrades+'!$AH$11,"C",IF(R218&lt;'PlayerGrades+'!$AH$10,"C+",IF(R218&lt;'PlayerGrades+'!$AH$9,"B-",IF(R218&lt;'PlayerGrades+'!$AH$8,"B",IF(R218&lt;'PlayerGrades+'!$AH$7,"B+",IF(R218&lt;'PlayerGrades+'!$AH$6,"A-",IF(R218&lt;'PlayerGrades+'!$AH$5,"A",IF(R218&lt;'PlayerGrades+'!$AH$4,"A+",IF(R218&lt;'PlayerGrades+'!$AH$3,"S-",IF(R218&lt;'PlayerGrades+'!$AH$2,"S","S+"))))))))))))))))))))</f>
        <v>F-</v>
      </c>
      <c r="T218" s="937">
        <f t="shared" si="9"/>
        <v>0.1867219917</v>
      </c>
      <c r="U218" s="937" t="str">
        <f>IF(T218&lt;'PlayerGrades+'!$AI$21,"F-",IF(T218&lt;'PlayerGrades+'!$AI$20,"F",IF(T218&lt;'PlayerGrades+'!$AI$19,"F+",IF(T218&lt;'PlayerGrades+'!$AI$18,"E-",IF(T218&lt;'PlayerGrades+'!$AI$17,"E",IF(T218&lt;'PlayerGrades+'!$AI$16,"E+",IF(T218&lt;'PlayerGrades+'!$AI$15,"D-",IF(T218&lt;'PlayerGrades+'!$AI$14,"D",IF(T218&lt;'PlayerGrades+'!$AI$13,"D+",IF(T218&lt;'PlayerGrades+'!$AI$12,"C-",IF(T218&lt;'PlayerGrades+'!$AI$11,"C",IF(T218&lt;'PlayerGrades+'!$AI$10,"C+",IF(T218&lt;'PlayerGrades+'!$AI$9,"B-",IF(T218&lt;'PlayerGrades+'!$AI$8,"B",IF(T218&lt;'PlayerGrades+'!$AI$7,"B+",IF(T218&lt;'PlayerGrades+'!$AI$6,"A-",IF(T218&lt;'PlayerGrades+'!$AI$5,"A",IF(T218&lt;'PlayerGrades+'!$AI$4,"A+",IF(T218&lt;'PlayerGrades+'!$AI$3,"S-",IF(T218&lt;'PlayerGrades+'!$AI$2,"S","S+"))))))))))))))))))))</f>
        <v>F-</v>
      </c>
      <c r="V218" s="939">
        <v>1.0</v>
      </c>
      <c r="W218" s="939">
        <v>1.0</v>
      </c>
      <c r="X218" s="939">
        <v>0.0</v>
      </c>
      <c r="Y218" s="939">
        <v>3.0</v>
      </c>
      <c r="Z218" s="939">
        <v>8.0</v>
      </c>
      <c r="AA218" s="939">
        <v>35.0</v>
      </c>
      <c r="AB218" s="939">
        <v>49.0</v>
      </c>
      <c r="AC218" s="939">
        <v>-14.0</v>
      </c>
      <c r="AD218" s="939">
        <v>2.0</v>
      </c>
      <c r="AE218" s="939">
        <v>3.0</v>
      </c>
      <c r="AF218" s="939">
        <v>2.0</v>
      </c>
      <c r="AG218" s="939">
        <v>1685.0</v>
      </c>
      <c r="AH218" s="939">
        <v>1928.0</v>
      </c>
      <c r="AI218" s="939">
        <v>34.0</v>
      </c>
      <c r="AJ218" s="939">
        <v>1136.0</v>
      </c>
      <c r="AK218" s="939">
        <v>0.0</v>
      </c>
      <c r="AL218" s="939">
        <v>0.0</v>
      </c>
      <c r="AM218" s="939">
        <v>0.0</v>
      </c>
      <c r="AN218" s="939">
        <v>0.0</v>
      </c>
      <c r="AO218" s="939">
        <v>0.0</v>
      </c>
      <c r="AP218" s="939">
        <v>0.0</v>
      </c>
      <c r="AQ218" s="939">
        <v>0.0</v>
      </c>
      <c r="AR218" s="939">
        <v>1.0</v>
      </c>
      <c r="AS218" s="939">
        <v>0.0</v>
      </c>
      <c r="AT218" s="939">
        <v>0.0</v>
      </c>
      <c r="AU218" s="939">
        <v>0.0</v>
      </c>
      <c r="AV218" s="939">
        <v>0.0</v>
      </c>
      <c r="AW218" s="939">
        <v>0.0</v>
      </c>
      <c r="AX218" s="939">
        <v>0.0</v>
      </c>
      <c r="AY218" s="939">
        <v>0.0</v>
      </c>
      <c r="AZ218" s="939">
        <v>0.0</v>
      </c>
      <c r="BA218" s="939">
        <v>0.0</v>
      </c>
      <c r="BB218" s="939">
        <v>0.0</v>
      </c>
      <c r="BC218" s="939">
        <v>0.0</v>
      </c>
      <c r="BD218" s="939">
        <v>4.0</v>
      </c>
      <c r="BE218" s="939">
        <v>6.0</v>
      </c>
      <c r="BF218" s="939">
        <v>0.0</v>
      </c>
      <c r="BG218" s="940">
        <v>1.0</v>
      </c>
    </row>
    <row r="219">
      <c r="A219" s="935" t="s">
        <v>132</v>
      </c>
      <c r="B219" s="16" t="str">
        <f>IF(C219&lt;'PlayerGrades+'!$Y$44,"F-",IF(C219&lt;'PlayerGrades+'!$Y$43,"F",IF(C219&lt;'PlayerGrades+'!$Y$42,"F+",IF(C219&lt;'PlayerGrades+'!$Y$41,"E-",IF(C219&lt;'PlayerGrades+'!$Y$40,"E",IF(C219&lt;'PlayerGrades+'!$Y$39,"E+",IF(C219&lt;'PlayerGrades+'!$Y$38,"D-",IF(C219&lt;'PlayerGrades+'!$Y$37,"D",IF(C219&lt;'PlayerGrades+'!$Y$36,"D+",IF(C219&lt;'PlayerGrades+'!$Y$35,"C-",IF(C219&lt;'PlayerGrades+'!$Y$34,"C",IF(C219&lt;'PlayerGrades+'!$Y$33,"C+",IF(C219&lt;'PlayerGrades+'!$Y$32,"B-",IF(C219&lt;'PlayerGrades+'!$Y$31,"B",IF(C219&lt;'PlayerGrades+'!$Y$30,"B+",IF(C219&lt;'PlayerGrades+'!$Y$29,"A-",IF(C219&lt;'PlayerGrades+'!$Y$28,"A",IF(C219&lt;'PlayerGrades+'!$Y$27,"A+",IF(C219&lt;'PlayerGrades+'!$Y$26,"S-",IF(C219&lt;'PlayerGrades+'!$Y$25,"S","S+"))))))))))))))))))))</f>
        <v>C+</v>
      </c>
      <c r="C219" s="936">
        <f>('PlayerGrades+'!$Y$47*(VLOOKUP(E219, 'PlayerGrades+'!$X$3:$Y$23, 2, FALSE)))+('PlayerGrades+'!$Y$48*(VLOOKUP(G219, 'PlayerGrades+'!$X$3:$Y$23, 2, FALSE)))+('PlayerGrades+'!$Y$49*(VLOOKUP(I219, 'PlayerGrades+'!$X$3:$Y$23, 2, FALSE)))+('PlayerGrades+'!$Y$50*(VLOOKUP(K219, 'PlayerGrades+'!$X$3:$Y$23, 2, FALSE)))+('PlayerGrades+'!$Y$51*(VLOOKUP(M219, 'PlayerGrades+'!$X$3:$Y$23, 2, FALSE)))+('PlayerGrades+'!$Y$52*(VLOOKUP(O219, 'PlayerGrades+'!$X$3:$Y$23, 2, FALSE)))+('PlayerGrades+'!$Y$53*(VLOOKUP(Q219, 'PlayerGrades+'!$X$3:$Y$23, 2, FALSE)))+('PlayerGrades+'!$Y$54*(VLOOKUP(S219, 'PlayerGrades+'!$X$3:$Y$23, 2, FALSE)))+('PlayerGrades+'!$Y$55*(VLOOKUP(U219, 'PlayerGrades+'!$X$3:$Y$23, 2, FALSE)))</f>
        <v>21.5</v>
      </c>
      <c r="D219" s="937">
        <f t="shared" si="1"/>
        <v>0.0622406639</v>
      </c>
      <c r="E219" s="937" t="str">
        <f>IF(D219&lt;'PlayerGrades+'!$AA$21,"F-",IF(D219&lt;'PlayerGrades+'!$AA$20,"F",IF(D219&lt;'PlayerGrades+'!$AA$19,"F+",IF(D219&lt;'PlayerGrades+'!$AA$18,"E-",IF(D219&lt;'PlayerGrades+'!$AA$17,"E",IF(D219&lt;'PlayerGrades+'!$AA$16,"E+",IF(D219&lt;'PlayerGrades+'!$AA$15,"D-",IF(D219&lt;'PlayerGrades+'!$AA$14,"D",IF(D219&lt;'PlayerGrades+'!$AA$13,"D+",IF(D219&lt;'PlayerGrades+'!$AA$12,"C-",IF(D219&lt;'PlayerGrades+'!$AA$11,"C",IF(D219&lt;'PlayerGrades+'!$AA$10,"C+",IF(D219&lt;'PlayerGrades+'!$AA$9,"B-",IF(D219&lt;'PlayerGrades+'!$AA$8,"B",IF(D219&lt;'PlayerGrades+'!$AA$7,"B+",IF(D219&lt;'PlayerGrades+'!$AA$6,"A-",IF(D219&lt;'PlayerGrades+'!$AA$5,"A",IF(D219&lt;'PlayerGrades+'!$AA$4,"A+",IF(D219&lt;'PlayerGrades+'!$AA$3,"S-",IF(D219&lt;'PlayerGrades+'!$AA$2,"S","S+"))))))))))))))))))))</f>
        <v>B-</v>
      </c>
      <c r="F219" s="937">
        <f t="shared" si="2"/>
        <v>0.3423236515</v>
      </c>
      <c r="G219" s="937" t="str">
        <f>IF(F219&lt;'PlayerGrades+'!$AB$21,"F-",IF(F219&lt;'PlayerGrades+'!$AB$20,"F",IF(F219&lt;'PlayerGrades+'!$AB$19,"F+",IF(F219&lt;'PlayerGrades+'!$AB$18,"E-",IF(F219&lt;'PlayerGrades+'!$AB$17,"E",IF(F219&lt;'PlayerGrades+'!$AB$16,"E+",IF(F219&lt;'PlayerGrades+'!$AB$15,"D-",IF(F219&lt;'PlayerGrades+'!$AB$14,"D",IF(F219&lt;'PlayerGrades+'!$AB$13,"D+",IF(F219&lt;'PlayerGrades+'!$AB$12,"C-",IF(F219&lt;'PlayerGrades+'!$AB$11,"C",IF(F219&lt;'PlayerGrades+'!$AB$10,"C+",IF(F219&lt;'PlayerGrades+'!$AB$9,"B-",IF(F219&lt;'PlayerGrades+'!$AB$8,"B",IF(F219&lt;'PlayerGrades+'!$AB$7,"B+",IF(F219&lt;'PlayerGrades+'!$AB$6,"A-",IF(F219&lt;'PlayerGrades+'!$AB$5,"A",IF(F219&lt;'PlayerGrades+'!$AB$4,"A+",IF(F219&lt;'PlayerGrades+'!$AB$3,"S-",IF(F219&lt;'PlayerGrades+'!$AB$2,"S","S+"))))))))))))))))))))</f>
        <v>A-</v>
      </c>
      <c r="H219" s="937">
        <f t="shared" si="3"/>
        <v>0.0622406639</v>
      </c>
      <c r="I219" s="937" t="str">
        <f>IF(H219&lt;'PlayerGrades+'!$AC$21,"F-",IF(H219&lt;'PlayerGrades+'!$AC$20,"F",IF(H219&lt;'PlayerGrades+'!$AC$19,"F+",IF(H219&lt;'PlayerGrades+'!$AC$18,"E-",IF(H219&lt;'PlayerGrades+'!$AC$17,"E",IF(H219&lt;'PlayerGrades+'!$AC$16,"E+",IF(H219&lt;'PlayerGrades+'!$AC$15,"D-",IF(H219&lt;'PlayerGrades+'!$AC$14,"D",IF(H219&lt;'PlayerGrades+'!$AC$13,"D+",IF(H219&lt;'PlayerGrades+'!$AC$12,"C-",IF(H219&lt;'PlayerGrades+'!$AC$11,"C",IF(H219&lt;'PlayerGrades+'!$AC$10,"C+",IF(H219&lt;'PlayerGrades+'!$AC$9,"B-",IF(H219&lt;'PlayerGrades+'!$AC$8,"B",IF(H219&lt;'PlayerGrades+'!$AC$7,"B+",IF(H219&lt;'PlayerGrades+'!$AC$6,"A-",IF(H219&lt;'PlayerGrades+'!$AC$5,"A",IF(H219&lt;'PlayerGrades+'!$AC$4,"A+",IF(H219&lt;'PlayerGrades+'!$AC$3,"S-",IF(H219&lt;'PlayerGrades+'!$AC$2,"S","S+"))))))))))))))))))))</f>
        <v>E-</v>
      </c>
      <c r="J219" s="937">
        <f t="shared" si="4"/>
        <v>0.03112033195</v>
      </c>
      <c r="K219" s="937" t="str">
        <f>IF(J219&lt;'PlayerGrades+'!$AD$21,"F-",IF(J219&lt;'PlayerGrades+'!$AD$20,"F",IF(J219&lt;'PlayerGrades+'!$AD$19,"F+",IF(J219&lt;'PlayerGrades+'!$AD$18,"E-",IF(J219&lt;'PlayerGrades+'!$AD$17,"E",IF(J219&lt;'PlayerGrades+'!$AD$16,"E+",IF(J219&lt;'PlayerGrades+'!$AD$15,"D-",IF(J219&lt;'PlayerGrades+'!$AD$14,"D",IF(J219&lt;'PlayerGrades+'!$AD$13,"D+",IF(J219&lt;'PlayerGrades+'!$AD$12,"C-",IF(J219&lt;'PlayerGrades+'!$AD$11,"C",IF(J219&lt;'PlayerGrades+'!$AD$10,"C+",IF(J219&lt;'PlayerGrades+'!$AD$9,"B-",IF(J219&lt;'PlayerGrades+'!$AD$8,"B",IF(J219&lt;'PlayerGrades+'!$AD$7,"B+",IF(J219&lt;'PlayerGrades+'!$AD$6,"A-",IF(J219&lt;'PlayerGrades+'!$AD$5,"A",IF(J219&lt;'PlayerGrades+'!$AD$4,"A+",IF(J219&lt;'PlayerGrades+'!$AD$3,"S-",IF(J219&lt;'PlayerGrades+'!$AD$2,"S","S+"))))))))))))))))))))</f>
        <v>C</v>
      </c>
      <c r="L219" s="677">
        <f t="shared" si="5"/>
        <v>0.622406639</v>
      </c>
      <c r="M219" s="938" t="str">
        <f>IF(L219&lt;'PlayerGrades+'!$AE$21,"F-",IF(L219&lt;'PlayerGrades+'!$AE$20,"F",IF(L219&lt;'PlayerGrades+'!$AE$19,"F+",IF(L219&lt;'PlayerGrades+'!$AE$18,"E-",IF(L219&lt;'PlayerGrades+'!$AE$17,"E",IF(L219&lt;'PlayerGrades+'!$AE$16,"E+",IF(L219&lt;'PlayerGrades+'!$AE$15,"D-",IF(L219&lt;'PlayerGrades+'!$AE$14,"D",IF(L219&lt;'PlayerGrades+'!$AE$13,"D+",IF(L219&lt;'PlayerGrades+'!$AE$12,"C-",IF(L219&lt;'PlayerGrades+'!$AE$11,"C",IF(L219&lt;'PlayerGrades+'!$AE$10,"C+",IF(L219&lt;'PlayerGrades+'!$AE$9,"B-",IF(L219&lt;'PlayerGrades+'!$AE$8,"B",IF(L219&lt;'PlayerGrades+'!$AE$7,"B+",IF(L219&lt;'PlayerGrades+'!$AE$6,"A-",IF(L219&lt;'PlayerGrades+'!$AE$5,"A",IF(L219&lt;'PlayerGrades+'!$AE$4,"A+",IF(L219&lt;'PlayerGrades+'!$AE$3,"S-",IF(L219&lt;'PlayerGrades+'!$AE$2,"S","S+"))))))))))))))))))))</f>
        <v>S-</v>
      </c>
      <c r="N219" s="937">
        <f t="shared" si="6"/>
        <v>0.0622406639</v>
      </c>
      <c r="O219" s="937" t="str">
        <f>IF(N219&lt;'PlayerGrades+'!$AF$21,"F-",IF(N219&lt;'PlayerGrades+'!$AF$20,"F",IF(N219&lt;'PlayerGrades+'!$AF$19,"F+",IF(N219&lt;'PlayerGrades+'!$AF$18,"E-",IF(N219&lt;'PlayerGrades+'!$AF$17,"E",IF(N219&lt;'PlayerGrades+'!$AF$16,"E+",IF(N219&lt;'PlayerGrades+'!$AF$15,"D-",IF(N219&lt;'PlayerGrades+'!$AF$14,"D",IF(N219&lt;'PlayerGrades+'!$AF$13,"D+",IF(N219&lt;'PlayerGrades+'!$AF$12,"C-",IF(N219&lt;'PlayerGrades+'!$AF$11,"C",IF(N219&lt;'PlayerGrades+'!$AF$10,"C+",IF(N219&lt;'PlayerGrades+'!$AF$9,"B-",IF(N219&lt;'PlayerGrades+'!$AF$8,"B",IF(N219&lt;'PlayerGrades+'!$AF$7,"B+",IF(N219&lt;'PlayerGrades+'!$AF$6,"A-",IF(N219&lt;'PlayerGrades+'!$AF$5,"A",IF(N219&lt;'PlayerGrades+'!$AF$4,"A+",IF(N219&lt;'PlayerGrades+'!$AF$3,"S-",IF(N219&lt;'PlayerGrades+'!$AF$2,"S","S+"))))))))))))))))))))</f>
        <v>C-</v>
      </c>
      <c r="P219" s="937">
        <f t="shared" si="7"/>
        <v>0.03112033195</v>
      </c>
      <c r="Q219" s="937" t="str">
        <f>IF(P219&lt;'PlayerGrades+'!$AG$21,"F-",IF(P219&lt;'PlayerGrades+'!$AG$20,"F",IF(P219&lt;'PlayerGrades+'!$AG$19,"F+",IF(P219&lt;'PlayerGrades+'!$AG$18,"E-",IF(P219&lt;'PlayerGrades+'!$AG$17,"E",IF(P219&lt;'PlayerGrades+'!$AG$16,"E+",IF(P219&lt;'PlayerGrades+'!$AG$15,"D-",IF(P219&lt;'PlayerGrades+'!$AG$14,"D",IF(P219&lt;'PlayerGrades+'!$AG$13,"D+",IF(P219&lt;'PlayerGrades+'!$AG$12,"C-",IF(P219&lt;'PlayerGrades+'!$AG$11,"C",IF(P219&lt;'PlayerGrades+'!$AG$10,"C+",IF(P219&lt;'PlayerGrades+'!$AG$9,"B-",IF(P219&lt;'PlayerGrades+'!$AG$8,"B",IF(P219&lt;'PlayerGrades+'!$AG$7,"B+",IF(P219&lt;'PlayerGrades+'!$AG$6,"A-",IF(P219&lt;'PlayerGrades+'!$AG$5,"A",IF(P219&lt;'PlayerGrades+'!$AG$4,"A+",IF(P219&lt;'PlayerGrades+'!$AG$3,"S-",IF(P219&lt;'PlayerGrades+'!$AG$2,"S","S+"))))))))))))))))))))</f>
        <v>B</v>
      </c>
      <c r="R219" s="937">
        <f t="shared" si="8"/>
        <v>0.4356846473</v>
      </c>
      <c r="S219" s="937" t="str">
        <f>IF(R219&lt;'PlayerGrades+'!$AH$21,"F-",IF(R219&lt;'PlayerGrades+'!$AH$20,"F",IF(R219&lt;'PlayerGrades+'!$AH$19,"F+",IF(R219&lt;'PlayerGrades+'!$AH$18,"E-",IF(R219&lt;'PlayerGrades+'!$AH$17,"E",IF(R219&lt;'PlayerGrades+'!$AH$16,"E+",IF(R219&lt;'PlayerGrades+'!$AH$15,"D-",IF(R219&lt;'PlayerGrades+'!$AH$14,"D",IF(R219&lt;'PlayerGrades+'!$AH$13,"D+",IF(R219&lt;'PlayerGrades+'!$AH$12,"C-",IF(R219&lt;'PlayerGrades+'!$AH$11,"C",IF(R219&lt;'PlayerGrades+'!$AH$10,"C+",IF(R219&lt;'PlayerGrades+'!$AH$9,"B-",IF(R219&lt;'PlayerGrades+'!$AH$8,"B",IF(R219&lt;'PlayerGrades+'!$AH$7,"B+",IF(R219&lt;'PlayerGrades+'!$AH$6,"A-",IF(R219&lt;'PlayerGrades+'!$AH$5,"A",IF(R219&lt;'PlayerGrades+'!$AH$4,"A+",IF(R219&lt;'PlayerGrades+'!$AH$3,"S-",IF(R219&lt;'PlayerGrades+'!$AH$2,"S","S+"))))))))))))))))))))</f>
        <v>E-</v>
      </c>
      <c r="T219" s="937">
        <f t="shared" si="9"/>
        <v>3.373443983</v>
      </c>
      <c r="U219" s="937" t="str">
        <f>IF(T219&lt;'PlayerGrades+'!$AI$21,"F-",IF(T219&lt;'PlayerGrades+'!$AI$20,"F",IF(T219&lt;'PlayerGrades+'!$AI$19,"F+",IF(T219&lt;'PlayerGrades+'!$AI$18,"E-",IF(T219&lt;'PlayerGrades+'!$AI$17,"E",IF(T219&lt;'PlayerGrades+'!$AI$16,"E+",IF(T219&lt;'PlayerGrades+'!$AI$15,"D-",IF(T219&lt;'PlayerGrades+'!$AI$14,"D",IF(T219&lt;'PlayerGrades+'!$AI$13,"D+",IF(T219&lt;'PlayerGrades+'!$AI$12,"C-",IF(T219&lt;'PlayerGrades+'!$AI$11,"C",IF(T219&lt;'PlayerGrades+'!$AI$10,"C+",IF(T219&lt;'PlayerGrades+'!$AI$9,"B-",IF(T219&lt;'PlayerGrades+'!$AI$8,"B",IF(T219&lt;'PlayerGrades+'!$AI$7,"B+",IF(T219&lt;'PlayerGrades+'!$AI$6,"A-",IF(T219&lt;'PlayerGrades+'!$AI$5,"A",IF(T219&lt;'PlayerGrades+'!$AI$4,"A+",IF(T219&lt;'PlayerGrades+'!$AI$3,"S-",IF(T219&lt;'PlayerGrades+'!$AI$2,"S","S+"))))))))))))))))))))</f>
        <v>S+</v>
      </c>
      <c r="V219" s="941">
        <v>1.0</v>
      </c>
      <c r="W219" s="941">
        <v>1.0</v>
      </c>
      <c r="X219" s="941">
        <v>0.0</v>
      </c>
      <c r="Y219" s="941">
        <v>1.0</v>
      </c>
      <c r="Z219" s="941">
        <v>1.0</v>
      </c>
      <c r="AA219" s="941">
        <v>123.0</v>
      </c>
      <c r="AB219" s="941">
        <v>112.0</v>
      </c>
      <c r="AC219" s="941">
        <v>11.0</v>
      </c>
      <c r="AD219" s="941">
        <v>9.0</v>
      </c>
      <c r="AE219" s="941">
        <v>6.0</v>
      </c>
      <c r="AF219" s="941">
        <v>6.0</v>
      </c>
      <c r="AG219" s="941">
        <v>1499.0</v>
      </c>
      <c r="AH219" s="941">
        <v>1928.0</v>
      </c>
      <c r="AI219" s="941">
        <v>13.0</v>
      </c>
      <c r="AJ219" s="941">
        <v>36.0</v>
      </c>
      <c r="AK219" s="941">
        <v>0.0</v>
      </c>
      <c r="AL219" s="941">
        <v>1.0</v>
      </c>
      <c r="AM219" s="941">
        <v>0.0</v>
      </c>
      <c r="AN219" s="941">
        <v>0.0</v>
      </c>
      <c r="AO219" s="941">
        <v>0.0</v>
      </c>
      <c r="AP219" s="941">
        <v>1.0</v>
      </c>
      <c r="AQ219" s="941">
        <v>0.0</v>
      </c>
      <c r="AR219" s="941">
        <v>20.0</v>
      </c>
      <c r="AS219" s="941">
        <v>2.0</v>
      </c>
      <c r="AT219" s="941">
        <v>1.0</v>
      </c>
      <c r="AU219" s="941">
        <v>0.0</v>
      </c>
      <c r="AV219" s="941">
        <v>0.0</v>
      </c>
      <c r="AW219" s="941">
        <v>0.0</v>
      </c>
      <c r="AX219" s="941">
        <v>0.0</v>
      </c>
      <c r="AY219" s="941">
        <v>0.0</v>
      </c>
      <c r="AZ219" s="941">
        <v>0.0</v>
      </c>
      <c r="BA219" s="941">
        <v>0.0</v>
      </c>
      <c r="BB219" s="941">
        <v>2.0</v>
      </c>
      <c r="BC219" s="941">
        <v>0.0</v>
      </c>
      <c r="BD219" s="941">
        <v>5.0</v>
      </c>
      <c r="BE219" s="941">
        <v>12.0</v>
      </c>
      <c r="BF219" s="941">
        <v>3.0</v>
      </c>
      <c r="BG219" s="942">
        <v>1.0</v>
      </c>
    </row>
    <row r="220">
      <c r="A220" s="935" t="s">
        <v>514</v>
      </c>
      <c r="B220" s="16" t="str">
        <f>IF(C220&lt;'PlayerGrades+'!$Y$44,"F-",IF(C220&lt;'PlayerGrades+'!$Y$43,"F",IF(C220&lt;'PlayerGrades+'!$Y$42,"F+",IF(C220&lt;'PlayerGrades+'!$Y$41,"E-",IF(C220&lt;'PlayerGrades+'!$Y$40,"E",IF(C220&lt;'PlayerGrades+'!$Y$39,"E+",IF(C220&lt;'PlayerGrades+'!$Y$38,"D-",IF(C220&lt;'PlayerGrades+'!$Y$37,"D",IF(C220&lt;'PlayerGrades+'!$Y$36,"D+",IF(C220&lt;'PlayerGrades+'!$Y$35,"C-",IF(C220&lt;'PlayerGrades+'!$Y$34,"C",IF(C220&lt;'PlayerGrades+'!$Y$33,"C+",IF(C220&lt;'PlayerGrades+'!$Y$32,"B-",IF(C220&lt;'PlayerGrades+'!$Y$31,"B",IF(C220&lt;'PlayerGrades+'!$Y$30,"B+",IF(C220&lt;'PlayerGrades+'!$Y$29,"A-",IF(C220&lt;'PlayerGrades+'!$Y$28,"A",IF(C220&lt;'PlayerGrades+'!$Y$27,"A+",IF(C220&lt;'PlayerGrades+'!$Y$26,"S-",IF(C220&lt;'PlayerGrades+'!$Y$25,"S","S+"))))))))))))))))))))</f>
        <v>D-</v>
      </c>
      <c r="C220" s="936">
        <f>('PlayerGrades+'!$Y$47*(VLOOKUP(E220, 'PlayerGrades+'!$X$3:$Y$23, 2, FALSE)))+('PlayerGrades+'!$Y$48*(VLOOKUP(G220, 'PlayerGrades+'!$X$3:$Y$23, 2, FALSE)))+('PlayerGrades+'!$Y$49*(VLOOKUP(I220, 'PlayerGrades+'!$X$3:$Y$23, 2, FALSE)))+('PlayerGrades+'!$Y$50*(VLOOKUP(K220, 'PlayerGrades+'!$X$3:$Y$23, 2, FALSE)))+('PlayerGrades+'!$Y$51*(VLOOKUP(M220, 'PlayerGrades+'!$X$3:$Y$23, 2, FALSE)))+('PlayerGrades+'!$Y$52*(VLOOKUP(O220, 'PlayerGrades+'!$X$3:$Y$23, 2, FALSE)))+('PlayerGrades+'!$Y$53*(VLOOKUP(Q220, 'PlayerGrades+'!$X$3:$Y$23, 2, FALSE)))+('PlayerGrades+'!$Y$54*(VLOOKUP(S220, 'PlayerGrades+'!$X$3:$Y$23, 2, FALSE)))+('PlayerGrades+'!$Y$55*(VLOOKUP(U220, 'PlayerGrades+'!$X$3:$Y$23, 2, FALSE)))</f>
        <v>14</v>
      </c>
      <c r="D220" s="937">
        <f t="shared" si="1"/>
        <v>0.03112033195</v>
      </c>
      <c r="E220" s="937" t="str">
        <f>IF(D220&lt;'PlayerGrades+'!$AA$21,"F-",IF(D220&lt;'PlayerGrades+'!$AA$20,"F",IF(D220&lt;'PlayerGrades+'!$AA$19,"F+",IF(D220&lt;'PlayerGrades+'!$AA$18,"E-",IF(D220&lt;'PlayerGrades+'!$AA$17,"E",IF(D220&lt;'PlayerGrades+'!$AA$16,"E+",IF(D220&lt;'PlayerGrades+'!$AA$15,"D-",IF(D220&lt;'PlayerGrades+'!$AA$14,"D",IF(D220&lt;'PlayerGrades+'!$AA$13,"D+",IF(D220&lt;'PlayerGrades+'!$AA$12,"C-",IF(D220&lt;'PlayerGrades+'!$AA$11,"C",IF(D220&lt;'PlayerGrades+'!$AA$10,"C+",IF(D220&lt;'PlayerGrades+'!$AA$9,"B-",IF(D220&lt;'PlayerGrades+'!$AA$8,"B",IF(D220&lt;'PlayerGrades+'!$AA$7,"B+",IF(D220&lt;'PlayerGrades+'!$AA$6,"A-",IF(D220&lt;'PlayerGrades+'!$AA$5,"A",IF(D220&lt;'PlayerGrades+'!$AA$4,"A+",IF(D220&lt;'PlayerGrades+'!$AA$3,"S-",IF(D220&lt;'PlayerGrades+'!$AA$2,"S","S+"))))))))))))))))))))</f>
        <v>D+</v>
      </c>
      <c r="F220" s="937">
        <f t="shared" si="2"/>
        <v>-0.622406639</v>
      </c>
      <c r="G220" s="937" t="str">
        <f>IF(F220&lt;'PlayerGrades+'!$AB$21,"F-",IF(F220&lt;'PlayerGrades+'!$AB$20,"F",IF(F220&lt;'PlayerGrades+'!$AB$19,"F+",IF(F220&lt;'PlayerGrades+'!$AB$18,"E-",IF(F220&lt;'PlayerGrades+'!$AB$17,"E",IF(F220&lt;'PlayerGrades+'!$AB$16,"E+",IF(F220&lt;'PlayerGrades+'!$AB$15,"D-",IF(F220&lt;'PlayerGrades+'!$AB$14,"D",IF(F220&lt;'PlayerGrades+'!$AB$13,"D+",IF(F220&lt;'PlayerGrades+'!$AB$12,"C-",IF(F220&lt;'PlayerGrades+'!$AB$11,"C",IF(F220&lt;'PlayerGrades+'!$AB$10,"C+",IF(F220&lt;'PlayerGrades+'!$AB$9,"B-",IF(F220&lt;'PlayerGrades+'!$AB$8,"B",IF(F220&lt;'PlayerGrades+'!$AB$7,"B+",IF(F220&lt;'PlayerGrades+'!$AB$6,"A-",IF(F220&lt;'PlayerGrades+'!$AB$5,"A",IF(F220&lt;'PlayerGrades+'!$AB$4,"A+",IF(F220&lt;'PlayerGrades+'!$AB$3,"S-",IF(F220&lt;'PlayerGrades+'!$AB$2,"S","S+"))))))))))))))))))))</f>
        <v>D-</v>
      </c>
      <c r="H220" s="937">
        <f t="shared" si="3"/>
        <v>0.09336099585</v>
      </c>
      <c r="I220" s="937" t="str">
        <f>IF(H220&lt;'PlayerGrades+'!$AC$21,"F-",IF(H220&lt;'PlayerGrades+'!$AC$20,"F",IF(H220&lt;'PlayerGrades+'!$AC$19,"F+",IF(H220&lt;'PlayerGrades+'!$AC$18,"E-",IF(H220&lt;'PlayerGrades+'!$AC$17,"E",IF(H220&lt;'PlayerGrades+'!$AC$16,"E+",IF(H220&lt;'PlayerGrades+'!$AC$15,"D-",IF(H220&lt;'PlayerGrades+'!$AC$14,"D",IF(H220&lt;'PlayerGrades+'!$AC$13,"D+",IF(H220&lt;'PlayerGrades+'!$AC$12,"C-",IF(H220&lt;'PlayerGrades+'!$AC$11,"C",IF(H220&lt;'PlayerGrades+'!$AC$10,"C+",IF(H220&lt;'PlayerGrades+'!$AC$9,"B-",IF(H220&lt;'PlayerGrades+'!$AC$8,"B",IF(H220&lt;'PlayerGrades+'!$AC$7,"B+",IF(H220&lt;'PlayerGrades+'!$AC$6,"A-",IF(H220&lt;'PlayerGrades+'!$AC$5,"A",IF(H220&lt;'PlayerGrades+'!$AC$4,"A+",IF(H220&lt;'PlayerGrades+'!$AC$3,"S-",IF(H220&lt;'PlayerGrades+'!$AC$2,"S","S+"))))))))))))))))))))</f>
        <v>D+</v>
      </c>
      <c r="J220" s="937">
        <f t="shared" si="4"/>
        <v>0</v>
      </c>
      <c r="K220" s="937" t="str">
        <f>IF(J220&lt;'PlayerGrades+'!$AD$21,"F-",IF(J220&lt;'PlayerGrades+'!$AD$20,"F",IF(J220&lt;'PlayerGrades+'!$AD$19,"F+",IF(J220&lt;'PlayerGrades+'!$AD$18,"E-",IF(J220&lt;'PlayerGrades+'!$AD$17,"E",IF(J220&lt;'PlayerGrades+'!$AD$16,"E+",IF(J220&lt;'PlayerGrades+'!$AD$15,"D-",IF(J220&lt;'PlayerGrades+'!$AD$14,"D",IF(J220&lt;'PlayerGrades+'!$AD$13,"D+",IF(J220&lt;'PlayerGrades+'!$AD$12,"C-",IF(J220&lt;'PlayerGrades+'!$AD$11,"C",IF(J220&lt;'PlayerGrades+'!$AD$10,"C+",IF(J220&lt;'PlayerGrades+'!$AD$9,"B-",IF(J220&lt;'PlayerGrades+'!$AD$8,"B",IF(J220&lt;'PlayerGrades+'!$AD$7,"B+",IF(J220&lt;'PlayerGrades+'!$AD$6,"A-",IF(J220&lt;'PlayerGrades+'!$AD$5,"A",IF(J220&lt;'PlayerGrades+'!$AD$4,"A+",IF(J220&lt;'PlayerGrades+'!$AD$3,"S-",IF(J220&lt;'PlayerGrades+'!$AD$2,"S","S+"))))))))))))))))))))</f>
        <v>F-</v>
      </c>
      <c r="L220" s="677">
        <f t="shared" si="5"/>
        <v>0.5290456432</v>
      </c>
      <c r="M220" s="938" t="str">
        <f>IF(L220&lt;'PlayerGrades+'!$AE$21,"F-",IF(L220&lt;'PlayerGrades+'!$AE$20,"F",IF(L220&lt;'PlayerGrades+'!$AE$19,"F+",IF(L220&lt;'PlayerGrades+'!$AE$18,"E-",IF(L220&lt;'PlayerGrades+'!$AE$17,"E",IF(L220&lt;'PlayerGrades+'!$AE$16,"E+",IF(L220&lt;'PlayerGrades+'!$AE$15,"D-",IF(L220&lt;'PlayerGrades+'!$AE$14,"D",IF(L220&lt;'PlayerGrades+'!$AE$13,"D+",IF(L220&lt;'PlayerGrades+'!$AE$12,"C-",IF(L220&lt;'PlayerGrades+'!$AE$11,"C",IF(L220&lt;'PlayerGrades+'!$AE$10,"C+",IF(L220&lt;'PlayerGrades+'!$AE$9,"B-",IF(L220&lt;'PlayerGrades+'!$AE$8,"B",IF(L220&lt;'PlayerGrades+'!$AE$7,"B+",IF(L220&lt;'PlayerGrades+'!$AE$6,"A-",IF(L220&lt;'PlayerGrades+'!$AE$5,"A",IF(L220&lt;'PlayerGrades+'!$AE$4,"A+",IF(L220&lt;'PlayerGrades+'!$AE$3,"S-",IF(L220&lt;'PlayerGrades+'!$AE$2,"S","S+"))))))))))))))))))))</f>
        <v>A-</v>
      </c>
      <c r="N220" s="937">
        <f t="shared" si="6"/>
        <v>0.03112033195</v>
      </c>
      <c r="O220" s="937" t="str">
        <f>IF(N220&lt;'PlayerGrades+'!$AF$21,"F-",IF(N220&lt;'PlayerGrades+'!$AF$20,"F",IF(N220&lt;'PlayerGrades+'!$AF$19,"F+",IF(N220&lt;'PlayerGrades+'!$AF$18,"E-",IF(N220&lt;'PlayerGrades+'!$AF$17,"E",IF(N220&lt;'PlayerGrades+'!$AF$16,"E+",IF(N220&lt;'PlayerGrades+'!$AF$15,"D-",IF(N220&lt;'PlayerGrades+'!$AF$14,"D",IF(N220&lt;'PlayerGrades+'!$AF$13,"D+",IF(N220&lt;'PlayerGrades+'!$AF$12,"C-",IF(N220&lt;'PlayerGrades+'!$AF$11,"C",IF(N220&lt;'PlayerGrades+'!$AF$10,"C+",IF(N220&lt;'PlayerGrades+'!$AF$9,"B-",IF(N220&lt;'PlayerGrades+'!$AF$8,"B",IF(N220&lt;'PlayerGrades+'!$AF$7,"B+",IF(N220&lt;'PlayerGrades+'!$AF$6,"A-",IF(N220&lt;'PlayerGrades+'!$AF$5,"A",IF(N220&lt;'PlayerGrades+'!$AF$4,"A+",IF(N220&lt;'PlayerGrades+'!$AF$3,"S-",IF(N220&lt;'PlayerGrades+'!$AF$2,"S","S+"))))))))))))))))))))</f>
        <v>F</v>
      </c>
      <c r="P220" s="937">
        <f t="shared" si="7"/>
        <v>0</v>
      </c>
      <c r="Q220" s="937" t="str">
        <f>IF(P220&lt;'PlayerGrades+'!$AG$21,"F-",IF(P220&lt;'PlayerGrades+'!$AG$20,"F",IF(P220&lt;'PlayerGrades+'!$AG$19,"F+",IF(P220&lt;'PlayerGrades+'!$AG$18,"E-",IF(P220&lt;'PlayerGrades+'!$AG$17,"E",IF(P220&lt;'PlayerGrades+'!$AG$16,"E+",IF(P220&lt;'PlayerGrades+'!$AG$15,"D-",IF(P220&lt;'PlayerGrades+'!$AG$14,"D",IF(P220&lt;'PlayerGrades+'!$AG$13,"D+",IF(P220&lt;'PlayerGrades+'!$AG$12,"C-",IF(P220&lt;'PlayerGrades+'!$AG$11,"C",IF(P220&lt;'PlayerGrades+'!$AG$10,"C+",IF(P220&lt;'PlayerGrades+'!$AG$9,"B-",IF(P220&lt;'PlayerGrades+'!$AG$8,"B",IF(P220&lt;'PlayerGrades+'!$AG$7,"B+",IF(P220&lt;'PlayerGrades+'!$AG$6,"A-",IF(P220&lt;'PlayerGrades+'!$AG$5,"A",IF(P220&lt;'PlayerGrades+'!$AG$4,"A+",IF(P220&lt;'PlayerGrades+'!$AG$3,"S-",IF(P220&lt;'PlayerGrades+'!$AG$2,"S","S+"))))))))))))))))))))</f>
        <v>F</v>
      </c>
      <c r="R220" s="937">
        <f t="shared" si="8"/>
        <v>0.5290456432</v>
      </c>
      <c r="S220" s="937" t="str">
        <f>IF(R220&lt;'PlayerGrades+'!$AH$21,"F-",IF(R220&lt;'PlayerGrades+'!$AH$20,"F",IF(R220&lt;'PlayerGrades+'!$AH$19,"F+",IF(R220&lt;'PlayerGrades+'!$AH$18,"E-",IF(R220&lt;'PlayerGrades+'!$AH$17,"E",IF(R220&lt;'PlayerGrades+'!$AH$16,"E+",IF(R220&lt;'PlayerGrades+'!$AH$15,"D-",IF(R220&lt;'PlayerGrades+'!$AH$14,"D",IF(R220&lt;'PlayerGrades+'!$AH$13,"D+",IF(R220&lt;'PlayerGrades+'!$AH$12,"C-",IF(R220&lt;'PlayerGrades+'!$AH$11,"C",IF(R220&lt;'PlayerGrades+'!$AH$10,"C+",IF(R220&lt;'PlayerGrades+'!$AH$9,"B-",IF(R220&lt;'PlayerGrades+'!$AH$8,"B",IF(R220&lt;'PlayerGrades+'!$AH$7,"B+",IF(R220&lt;'PlayerGrades+'!$AH$6,"A-",IF(R220&lt;'PlayerGrades+'!$AH$5,"A",IF(R220&lt;'PlayerGrades+'!$AH$4,"A+",IF(R220&lt;'PlayerGrades+'!$AH$3,"S-",IF(R220&lt;'PlayerGrades+'!$AH$2,"S","S+"))))))))))))))))))))</f>
        <v>C</v>
      </c>
      <c r="T220" s="937">
        <f t="shared" si="9"/>
        <v>0.4668049793</v>
      </c>
      <c r="U220" s="937" t="str">
        <f>IF(T220&lt;'PlayerGrades+'!$AI$21,"F-",IF(T220&lt;'PlayerGrades+'!$AI$20,"F",IF(T220&lt;'PlayerGrades+'!$AI$19,"F+",IF(T220&lt;'PlayerGrades+'!$AI$18,"E-",IF(T220&lt;'PlayerGrades+'!$AI$17,"E",IF(T220&lt;'PlayerGrades+'!$AI$16,"E+",IF(T220&lt;'PlayerGrades+'!$AI$15,"D-",IF(T220&lt;'PlayerGrades+'!$AI$14,"D",IF(T220&lt;'PlayerGrades+'!$AI$13,"D+",IF(T220&lt;'PlayerGrades+'!$AI$12,"C-",IF(T220&lt;'PlayerGrades+'!$AI$11,"C",IF(T220&lt;'PlayerGrades+'!$AI$10,"C+",IF(T220&lt;'PlayerGrades+'!$AI$9,"B-",IF(T220&lt;'PlayerGrades+'!$AI$8,"B",IF(T220&lt;'PlayerGrades+'!$AI$7,"B+",IF(T220&lt;'PlayerGrades+'!$AI$6,"A-",IF(T220&lt;'PlayerGrades+'!$AI$5,"A",IF(T220&lt;'PlayerGrades+'!$AI$4,"A+",IF(T220&lt;'PlayerGrades+'!$AI$3,"S-",IF(T220&lt;'PlayerGrades+'!$AI$2,"S","S+"))))))))))))))))))))</f>
        <v>F-</v>
      </c>
      <c r="V220" s="941">
        <v>1.0</v>
      </c>
      <c r="W220" s="941">
        <v>1.0</v>
      </c>
      <c r="X220" s="941">
        <v>0.0</v>
      </c>
      <c r="Y220" s="941">
        <v>1.0</v>
      </c>
      <c r="Z220" s="941">
        <v>0.0</v>
      </c>
      <c r="AA220" s="941">
        <v>110.0</v>
      </c>
      <c r="AB220" s="941">
        <v>130.0</v>
      </c>
      <c r="AC220" s="941">
        <v>-20.0</v>
      </c>
      <c r="AD220" s="941">
        <v>5.0</v>
      </c>
      <c r="AE220" s="941">
        <v>4.0</v>
      </c>
      <c r="AF220" s="941">
        <v>0.0</v>
      </c>
      <c r="AG220" s="941">
        <v>1444.0</v>
      </c>
      <c r="AH220" s="941">
        <v>1928.0</v>
      </c>
      <c r="AI220" s="941">
        <v>11.0</v>
      </c>
      <c r="AJ220" s="941">
        <v>54.0</v>
      </c>
      <c r="AK220" s="941">
        <v>0.0</v>
      </c>
      <c r="AL220" s="941">
        <v>0.0</v>
      </c>
      <c r="AM220" s="941">
        <v>0.0</v>
      </c>
      <c r="AN220" s="941">
        <v>0.0</v>
      </c>
      <c r="AO220" s="941">
        <v>0.0</v>
      </c>
      <c r="AP220" s="941">
        <v>0.0</v>
      </c>
      <c r="AQ220" s="941">
        <v>0.0</v>
      </c>
      <c r="AR220" s="941">
        <v>17.0</v>
      </c>
      <c r="AS220" s="941">
        <v>1.0</v>
      </c>
      <c r="AT220" s="941">
        <v>0.0</v>
      </c>
      <c r="AU220" s="941">
        <v>0.0</v>
      </c>
      <c r="AV220" s="941">
        <v>0.0</v>
      </c>
      <c r="AW220" s="941">
        <v>0.0</v>
      </c>
      <c r="AX220" s="941">
        <v>0.0</v>
      </c>
      <c r="AY220" s="941">
        <v>0.0</v>
      </c>
      <c r="AZ220" s="941">
        <v>0.0</v>
      </c>
      <c r="BA220" s="941">
        <v>0.0</v>
      </c>
      <c r="BB220" s="941">
        <v>3.0</v>
      </c>
      <c r="BC220" s="941">
        <v>0.0</v>
      </c>
      <c r="BD220" s="941">
        <v>12.0</v>
      </c>
      <c r="BE220" s="941">
        <v>15.0</v>
      </c>
      <c r="BF220" s="941">
        <v>0.0</v>
      </c>
      <c r="BG220" s="942">
        <v>1.0</v>
      </c>
    </row>
    <row r="221">
      <c r="A221" s="935" t="s">
        <v>121</v>
      </c>
      <c r="B221" s="16" t="str">
        <f>IF(C221&lt;'PlayerGrades+'!$Y$44,"F-",IF(C221&lt;'PlayerGrades+'!$Y$43,"F",IF(C221&lt;'PlayerGrades+'!$Y$42,"F+",IF(C221&lt;'PlayerGrades+'!$Y$41,"E-",IF(C221&lt;'PlayerGrades+'!$Y$40,"E",IF(C221&lt;'PlayerGrades+'!$Y$39,"E+",IF(C221&lt;'PlayerGrades+'!$Y$38,"D-",IF(C221&lt;'PlayerGrades+'!$Y$37,"D",IF(C221&lt;'PlayerGrades+'!$Y$36,"D+",IF(C221&lt;'PlayerGrades+'!$Y$35,"C-",IF(C221&lt;'PlayerGrades+'!$Y$34,"C",IF(C221&lt;'PlayerGrades+'!$Y$33,"C+",IF(C221&lt;'PlayerGrades+'!$Y$32,"B-",IF(C221&lt;'PlayerGrades+'!$Y$31,"B",IF(C221&lt;'PlayerGrades+'!$Y$30,"B+",IF(C221&lt;'PlayerGrades+'!$Y$29,"A-",IF(C221&lt;'PlayerGrades+'!$Y$28,"A",IF(C221&lt;'PlayerGrades+'!$Y$27,"A+",IF(C221&lt;'PlayerGrades+'!$Y$26,"S-",IF(C221&lt;'PlayerGrades+'!$Y$25,"S","S+"))))))))))))))))))))</f>
        <v>A</v>
      </c>
      <c r="C221" s="936">
        <f>('PlayerGrades+'!$Y$47*(VLOOKUP(E221, 'PlayerGrades+'!$X$3:$Y$23, 2, FALSE)))+('PlayerGrades+'!$Y$48*(VLOOKUP(G221, 'PlayerGrades+'!$X$3:$Y$23, 2, FALSE)))+('PlayerGrades+'!$Y$49*(VLOOKUP(I221, 'PlayerGrades+'!$X$3:$Y$23, 2, FALSE)))+('PlayerGrades+'!$Y$50*(VLOOKUP(K221, 'PlayerGrades+'!$X$3:$Y$23, 2, FALSE)))+('PlayerGrades+'!$Y$51*(VLOOKUP(M221, 'PlayerGrades+'!$X$3:$Y$23, 2, FALSE)))+('PlayerGrades+'!$Y$52*(VLOOKUP(O221, 'PlayerGrades+'!$X$3:$Y$23, 2, FALSE)))+('PlayerGrades+'!$Y$53*(VLOOKUP(Q221, 'PlayerGrades+'!$X$3:$Y$23, 2, FALSE)))+('PlayerGrades+'!$Y$54*(VLOOKUP(S221, 'PlayerGrades+'!$X$3:$Y$23, 2, FALSE)))+('PlayerGrades+'!$Y$55*(VLOOKUP(U221, 'PlayerGrades+'!$X$3:$Y$23, 2, FALSE)))</f>
        <v>26.6</v>
      </c>
      <c r="D221" s="937">
        <f t="shared" si="1"/>
        <v>0</v>
      </c>
      <c r="E221" s="937" t="str">
        <f>IF(D221&lt;'PlayerGrades+'!$AA$21,"F-",IF(D221&lt;'PlayerGrades+'!$AA$20,"F",IF(D221&lt;'PlayerGrades+'!$AA$19,"F+",IF(D221&lt;'PlayerGrades+'!$AA$18,"E-",IF(D221&lt;'PlayerGrades+'!$AA$17,"E",IF(D221&lt;'PlayerGrades+'!$AA$16,"E+",IF(D221&lt;'PlayerGrades+'!$AA$15,"D-",IF(D221&lt;'PlayerGrades+'!$AA$14,"D",IF(D221&lt;'PlayerGrades+'!$AA$13,"D+",IF(D221&lt;'PlayerGrades+'!$AA$12,"C-",IF(D221&lt;'PlayerGrades+'!$AA$11,"C",IF(D221&lt;'PlayerGrades+'!$AA$10,"C+",IF(D221&lt;'PlayerGrades+'!$AA$9,"B-",IF(D221&lt;'PlayerGrades+'!$AA$8,"B",IF(D221&lt;'PlayerGrades+'!$AA$7,"B+",IF(D221&lt;'PlayerGrades+'!$AA$6,"A-",IF(D221&lt;'PlayerGrades+'!$AA$5,"A",IF(D221&lt;'PlayerGrades+'!$AA$4,"A+",IF(D221&lt;'PlayerGrades+'!$AA$3,"S-",IF(D221&lt;'PlayerGrades+'!$AA$2,"S","S+"))))))))))))))))))))</f>
        <v>F-</v>
      </c>
      <c r="F221" s="937">
        <f t="shared" si="2"/>
        <v>1.213692946</v>
      </c>
      <c r="G221" s="937" t="str">
        <f>IF(F221&lt;'PlayerGrades+'!$AB$21,"F-",IF(F221&lt;'PlayerGrades+'!$AB$20,"F",IF(F221&lt;'PlayerGrades+'!$AB$19,"F+",IF(F221&lt;'PlayerGrades+'!$AB$18,"E-",IF(F221&lt;'PlayerGrades+'!$AB$17,"E",IF(F221&lt;'PlayerGrades+'!$AB$16,"E+",IF(F221&lt;'PlayerGrades+'!$AB$15,"D-",IF(F221&lt;'PlayerGrades+'!$AB$14,"D",IF(F221&lt;'PlayerGrades+'!$AB$13,"D+",IF(F221&lt;'PlayerGrades+'!$AB$12,"C-",IF(F221&lt;'PlayerGrades+'!$AB$11,"C",IF(F221&lt;'PlayerGrades+'!$AB$10,"C+",IF(F221&lt;'PlayerGrades+'!$AB$9,"B-",IF(F221&lt;'PlayerGrades+'!$AB$8,"B",IF(F221&lt;'PlayerGrades+'!$AB$7,"B+",IF(F221&lt;'PlayerGrades+'!$AB$6,"A-",IF(F221&lt;'PlayerGrades+'!$AB$5,"A",IF(F221&lt;'PlayerGrades+'!$AB$4,"A+",IF(F221&lt;'PlayerGrades+'!$AB$3,"S-",IF(F221&lt;'PlayerGrades+'!$AB$2,"S","S+"))))))))))))))))))))</f>
        <v>S+</v>
      </c>
      <c r="H221" s="937">
        <f t="shared" si="3"/>
        <v>0.0622406639</v>
      </c>
      <c r="I221" s="937" t="str">
        <f>IF(H221&lt;'PlayerGrades+'!$AC$21,"F-",IF(H221&lt;'PlayerGrades+'!$AC$20,"F",IF(H221&lt;'PlayerGrades+'!$AC$19,"F+",IF(H221&lt;'PlayerGrades+'!$AC$18,"E-",IF(H221&lt;'PlayerGrades+'!$AC$17,"E",IF(H221&lt;'PlayerGrades+'!$AC$16,"E+",IF(H221&lt;'PlayerGrades+'!$AC$15,"D-",IF(H221&lt;'PlayerGrades+'!$AC$14,"D",IF(H221&lt;'PlayerGrades+'!$AC$13,"D+",IF(H221&lt;'PlayerGrades+'!$AC$12,"C-",IF(H221&lt;'PlayerGrades+'!$AC$11,"C",IF(H221&lt;'PlayerGrades+'!$AC$10,"C+",IF(H221&lt;'PlayerGrades+'!$AC$9,"B-",IF(H221&lt;'PlayerGrades+'!$AC$8,"B",IF(H221&lt;'PlayerGrades+'!$AC$7,"B+",IF(H221&lt;'PlayerGrades+'!$AC$6,"A-",IF(H221&lt;'PlayerGrades+'!$AC$5,"A",IF(H221&lt;'PlayerGrades+'!$AC$4,"A+",IF(H221&lt;'PlayerGrades+'!$AC$3,"S-",IF(H221&lt;'PlayerGrades+'!$AC$2,"S","S+"))))))))))))))))))))</f>
        <v>E-</v>
      </c>
      <c r="J221" s="937">
        <f t="shared" si="4"/>
        <v>0.0622406639</v>
      </c>
      <c r="K221" s="937" t="str">
        <f>IF(J221&lt;'PlayerGrades+'!$AD$21,"F-",IF(J221&lt;'PlayerGrades+'!$AD$20,"F",IF(J221&lt;'PlayerGrades+'!$AD$19,"F+",IF(J221&lt;'PlayerGrades+'!$AD$18,"E-",IF(J221&lt;'PlayerGrades+'!$AD$17,"E",IF(J221&lt;'PlayerGrades+'!$AD$16,"E+",IF(J221&lt;'PlayerGrades+'!$AD$15,"D-",IF(J221&lt;'PlayerGrades+'!$AD$14,"D",IF(J221&lt;'PlayerGrades+'!$AD$13,"D+",IF(J221&lt;'PlayerGrades+'!$AD$12,"C-",IF(J221&lt;'PlayerGrades+'!$AD$11,"C",IF(J221&lt;'PlayerGrades+'!$AD$10,"C+",IF(J221&lt;'PlayerGrades+'!$AD$9,"B-",IF(J221&lt;'PlayerGrades+'!$AD$8,"B",IF(J221&lt;'PlayerGrades+'!$AD$7,"B+",IF(J221&lt;'PlayerGrades+'!$AD$6,"A-",IF(J221&lt;'PlayerGrades+'!$AD$5,"A",IF(J221&lt;'PlayerGrades+'!$AD$4,"A+",IF(J221&lt;'PlayerGrades+'!$AD$3,"S-",IF(J221&lt;'PlayerGrades+'!$AD$2,"S","S+"))))))))))))))))))))</f>
        <v>A-</v>
      </c>
      <c r="L221" s="677">
        <f t="shared" si="5"/>
        <v>0.653526971</v>
      </c>
      <c r="M221" s="938" t="str">
        <f>IF(L221&lt;'PlayerGrades+'!$AE$21,"F-",IF(L221&lt;'PlayerGrades+'!$AE$20,"F",IF(L221&lt;'PlayerGrades+'!$AE$19,"F+",IF(L221&lt;'PlayerGrades+'!$AE$18,"E-",IF(L221&lt;'PlayerGrades+'!$AE$17,"E",IF(L221&lt;'PlayerGrades+'!$AE$16,"E+",IF(L221&lt;'PlayerGrades+'!$AE$15,"D-",IF(L221&lt;'PlayerGrades+'!$AE$14,"D",IF(L221&lt;'PlayerGrades+'!$AE$13,"D+",IF(L221&lt;'PlayerGrades+'!$AE$12,"C-",IF(L221&lt;'PlayerGrades+'!$AE$11,"C",IF(L221&lt;'PlayerGrades+'!$AE$10,"C+",IF(L221&lt;'PlayerGrades+'!$AE$9,"B-",IF(L221&lt;'PlayerGrades+'!$AE$8,"B",IF(L221&lt;'PlayerGrades+'!$AE$7,"B+",IF(L221&lt;'PlayerGrades+'!$AE$6,"A-",IF(L221&lt;'PlayerGrades+'!$AE$5,"A",IF(L221&lt;'PlayerGrades+'!$AE$4,"A+",IF(L221&lt;'PlayerGrades+'!$AE$3,"S-",IF(L221&lt;'PlayerGrades+'!$AE$2,"S","S+"))))))))))))))))))))</f>
        <v>S</v>
      </c>
      <c r="N221" s="937">
        <f t="shared" si="6"/>
        <v>0.1556016598</v>
      </c>
      <c r="O221" s="937" t="str">
        <f>IF(N221&lt;'PlayerGrades+'!$AF$21,"F-",IF(N221&lt;'PlayerGrades+'!$AF$20,"F",IF(N221&lt;'PlayerGrades+'!$AF$19,"F+",IF(N221&lt;'PlayerGrades+'!$AF$18,"E-",IF(N221&lt;'PlayerGrades+'!$AF$17,"E",IF(N221&lt;'PlayerGrades+'!$AF$16,"E+",IF(N221&lt;'PlayerGrades+'!$AF$15,"D-",IF(N221&lt;'PlayerGrades+'!$AF$14,"D",IF(N221&lt;'PlayerGrades+'!$AF$13,"D+",IF(N221&lt;'PlayerGrades+'!$AF$12,"C-",IF(N221&lt;'PlayerGrades+'!$AF$11,"C",IF(N221&lt;'PlayerGrades+'!$AF$10,"C+",IF(N221&lt;'PlayerGrades+'!$AF$9,"B-",IF(N221&lt;'PlayerGrades+'!$AF$8,"B",IF(N221&lt;'PlayerGrades+'!$AF$7,"B+",IF(N221&lt;'PlayerGrades+'!$AF$6,"A-",IF(N221&lt;'PlayerGrades+'!$AF$5,"A",IF(N221&lt;'PlayerGrades+'!$AF$4,"A+",IF(N221&lt;'PlayerGrades+'!$AF$3,"S-",IF(N221&lt;'PlayerGrades+'!$AF$2,"S","S+"))))))))))))))))))))</f>
        <v>S+</v>
      </c>
      <c r="P221" s="937">
        <f t="shared" si="7"/>
        <v>0.0622406639</v>
      </c>
      <c r="Q221" s="937" t="str">
        <f>IF(P221&lt;'PlayerGrades+'!$AG$21,"F-",IF(P221&lt;'PlayerGrades+'!$AG$20,"F",IF(P221&lt;'PlayerGrades+'!$AG$19,"F+",IF(P221&lt;'PlayerGrades+'!$AG$18,"E-",IF(P221&lt;'PlayerGrades+'!$AG$17,"E",IF(P221&lt;'PlayerGrades+'!$AG$16,"E+",IF(P221&lt;'PlayerGrades+'!$AG$15,"D-",IF(P221&lt;'PlayerGrades+'!$AG$14,"D",IF(P221&lt;'PlayerGrades+'!$AG$13,"D+",IF(P221&lt;'PlayerGrades+'!$AG$12,"C-",IF(P221&lt;'PlayerGrades+'!$AG$11,"C",IF(P221&lt;'PlayerGrades+'!$AG$10,"C+",IF(P221&lt;'PlayerGrades+'!$AG$9,"B-",IF(P221&lt;'PlayerGrades+'!$AG$8,"B",IF(P221&lt;'PlayerGrades+'!$AG$7,"B+",IF(P221&lt;'PlayerGrades+'!$AG$6,"A-",IF(P221&lt;'PlayerGrades+'!$AG$5,"A",IF(P221&lt;'PlayerGrades+'!$AG$4,"A+",IF(P221&lt;'PlayerGrades+'!$AG$3,"S-",IF(P221&lt;'PlayerGrades+'!$AG$2,"S","S+"))))))))))))))))))))</f>
        <v>A+</v>
      </c>
      <c r="R221" s="937">
        <f t="shared" si="8"/>
        <v>0.5912863071</v>
      </c>
      <c r="S221" s="937" t="str">
        <f>IF(R221&lt;'PlayerGrades+'!$AH$21,"F-",IF(R221&lt;'PlayerGrades+'!$AH$20,"F",IF(R221&lt;'PlayerGrades+'!$AH$19,"F+",IF(R221&lt;'PlayerGrades+'!$AH$18,"E-",IF(R221&lt;'PlayerGrades+'!$AH$17,"E",IF(R221&lt;'PlayerGrades+'!$AH$16,"E+",IF(R221&lt;'PlayerGrades+'!$AH$15,"D-",IF(R221&lt;'PlayerGrades+'!$AH$14,"D",IF(R221&lt;'PlayerGrades+'!$AH$13,"D+",IF(R221&lt;'PlayerGrades+'!$AH$12,"C-",IF(R221&lt;'PlayerGrades+'!$AH$11,"C",IF(R221&lt;'PlayerGrades+'!$AH$10,"C+",IF(R221&lt;'PlayerGrades+'!$AH$9,"B-",IF(R221&lt;'PlayerGrades+'!$AH$8,"B",IF(R221&lt;'PlayerGrades+'!$AH$7,"B+",IF(R221&lt;'PlayerGrades+'!$AH$6,"A-",IF(R221&lt;'PlayerGrades+'!$AH$5,"A",IF(R221&lt;'PlayerGrades+'!$AH$4,"A+",IF(R221&lt;'PlayerGrades+'!$AH$3,"S-",IF(R221&lt;'PlayerGrades+'!$AH$2,"S","S+"))))))))))))))))))))</f>
        <v>B+</v>
      </c>
      <c r="T221" s="937">
        <f t="shared" si="9"/>
        <v>1.31120332</v>
      </c>
      <c r="U221" s="937" t="str">
        <f>IF(T221&lt;'PlayerGrades+'!$AI$21,"F-",IF(T221&lt;'PlayerGrades+'!$AI$20,"F",IF(T221&lt;'PlayerGrades+'!$AI$19,"F+",IF(T221&lt;'PlayerGrades+'!$AI$18,"E-",IF(T221&lt;'PlayerGrades+'!$AI$17,"E",IF(T221&lt;'PlayerGrades+'!$AI$16,"E+",IF(T221&lt;'PlayerGrades+'!$AI$15,"D-",IF(T221&lt;'PlayerGrades+'!$AI$14,"D",IF(T221&lt;'PlayerGrades+'!$AI$13,"D+",IF(T221&lt;'PlayerGrades+'!$AI$12,"C-",IF(T221&lt;'PlayerGrades+'!$AI$11,"C",IF(T221&lt;'PlayerGrades+'!$AI$10,"C+",IF(T221&lt;'PlayerGrades+'!$AI$9,"B-",IF(T221&lt;'PlayerGrades+'!$AI$8,"B",IF(T221&lt;'PlayerGrades+'!$AI$7,"B+",IF(T221&lt;'PlayerGrades+'!$AI$6,"A-",IF(T221&lt;'PlayerGrades+'!$AI$5,"A",IF(T221&lt;'PlayerGrades+'!$AI$4,"A+",IF(T221&lt;'PlayerGrades+'!$AI$3,"S-",IF(T221&lt;'PlayerGrades+'!$AI$2,"S","S+"))))))))))))))))))))</f>
        <v>C+</v>
      </c>
      <c r="V221" s="941">
        <v>1.0</v>
      </c>
      <c r="W221" s="941">
        <v>1.0</v>
      </c>
      <c r="X221" s="941">
        <v>0.0</v>
      </c>
      <c r="Y221" s="941">
        <v>0.0</v>
      </c>
      <c r="Z221" s="941">
        <v>0.0</v>
      </c>
      <c r="AA221" s="941">
        <v>130.0</v>
      </c>
      <c r="AB221" s="941">
        <v>91.0</v>
      </c>
      <c r="AC221" s="941">
        <v>39.0</v>
      </c>
      <c r="AD221" s="941">
        <v>9.0</v>
      </c>
      <c r="AE221" s="941">
        <v>5.0</v>
      </c>
      <c r="AF221" s="941">
        <v>2.0</v>
      </c>
      <c r="AG221" s="941">
        <v>1558.0</v>
      </c>
      <c r="AH221" s="941">
        <v>1928.0</v>
      </c>
      <c r="AI221" s="941">
        <v>17.0</v>
      </c>
      <c r="AJ221" s="941">
        <v>35.0</v>
      </c>
      <c r="AK221" s="941">
        <v>0.0</v>
      </c>
      <c r="AL221" s="941">
        <v>2.0</v>
      </c>
      <c r="AM221" s="941">
        <v>0.0</v>
      </c>
      <c r="AN221" s="941">
        <v>0.0</v>
      </c>
      <c r="AO221" s="941">
        <v>0.0</v>
      </c>
      <c r="AP221" s="941">
        <v>2.0</v>
      </c>
      <c r="AQ221" s="941">
        <v>0.0</v>
      </c>
      <c r="AR221" s="941">
        <v>21.0</v>
      </c>
      <c r="AS221" s="941">
        <v>5.0</v>
      </c>
      <c r="AT221" s="941">
        <v>2.0</v>
      </c>
      <c r="AU221" s="941">
        <v>0.0</v>
      </c>
      <c r="AV221" s="941">
        <v>0.0</v>
      </c>
      <c r="AW221" s="941">
        <v>0.0</v>
      </c>
      <c r="AX221" s="941">
        <v>0.0</v>
      </c>
      <c r="AY221" s="941">
        <v>0.0</v>
      </c>
      <c r="AZ221" s="941">
        <v>0.0</v>
      </c>
      <c r="BA221" s="941">
        <v>0.0</v>
      </c>
      <c r="BB221" s="941">
        <v>2.0</v>
      </c>
      <c r="BC221" s="941">
        <v>0.0</v>
      </c>
      <c r="BD221" s="941">
        <v>10.0</v>
      </c>
      <c r="BE221" s="941">
        <v>10.0</v>
      </c>
      <c r="BF221" s="941">
        <v>1.0</v>
      </c>
      <c r="BG221" s="942">
        <v>1.0</v>
      </c>
    </row>
    <row r="222">
      <c r="A222" s="935" t="s">
        <v>420</v>
      </c>
      <c r="B222" s="16" t="str">
        <f>IF(C222&lt;'PlayerGrades+'!$Y$44,"F-",IF(C222&lt;'PlayerGrades+'!$Y$43,"F",IF(C222&lt;'PlayerGrades+'!$Y$42,"F+",IF(C222&lt;'PlayerGrades+'!$Y$41,"E-",IF(C222&lt;'PlayerGrades+'!$Y$40,"E",IF(C222&lt;'PlayerGrades+'!$Y$39,"E+",IF(C222&lt;'PlayerGrades+'!$Y$38,"D-",IF(C222&lt;'PlayerGrades+'!$Y$37,"D",IF(C222&lt;'PlayerGrades+'!$Y$36,"D+",IF(C222&lt;'PlayerGrades+'!$Y$35,"C-",IF(C222&lt;'PlayerGrades+'!$Y$34,"C",IF(C222&lt;'PlayerGrades+'!$Y$33,"C+",IF(C222&lt;'PlayerGrades+'!$Y$32,"B-",IF(C222&lt;'PlayerGrades+'!$Y$31,"B",IF(C222&lt;'PlayerGrades+'!$Y$30,"B+",IF(C222&lt;'PlayerGrades+'!$Y$29,"A-",IF(C222&lt;'PlayerGrades+'!$Y$28,"A",IF(C222&lt;'PlayerGrades+'!$Y$27,"A+",IF(C222&lt;'PlayerGrades+'!$Y$26,"S-",IF(C222&lt;'PlayerGrades+'!$Y$25,"S","S+"))))))))))))))))))))</f>
        <v>D-</v>
      </c>
      <c r="C222" s="936">
        <f>('PlayerGrades+'!$Y$47*(VLOOKUP(E222, 'PlayerGrades+'!$X$3:$Y$23, 2, FALSE)))+('PlayerGrades+'!$Y$48*(VLOOKUP(G222, 'PlayerGrades+'!$X$3:$Y$23, 2, FALSE)))+('PlayerGrades+'!$Y$49*(VLOOKUP(I222, 'PlayerGrades+'!$X$3:$Y$23, 2, FALSE)))+('PlayerGrades+'!$Y$50*(VLOOKUP(K222, 'PlayerGrades+'!$X$3:$Y$23, 2, FALSE)))+('PlayerGrades+'!$Y$51*(VLOOKUP(M222, 'PlayerGrades+'!$X$3:$Y$23, 2, FALSE)))+('PlayerGrades+'!$Y$52*(VLOOKUP(O222, 'PlayerGrades+'!$X$3:$Y$23, 2, FALSE)))+('PlayerGrades+'!$Y$53*(VLOOKUP(Q222, 'PlayerGrades+'!$X$3:$Y$23, 2, FALSE)))+('PlayerGrades+'!$Y$54*(VLOOKUP(S222, 'PlayerGrades+'!$X$3:$Y$23, 2, FALSE)))+('PlayerGrades+'!$Y$55*(VLOOKUP(U222, 'PlayerGrades+'!$X$3:$Y$23, 2, FALSE)))</f>
        <v>15.15</v>
      </c>
      <c r="D222" s="937">
        <f t="shared" si="1"/>
        <v>0.09336099585</v>
      </c>
      <c r="E222" s="937" t="str">
        <f>IF(D222&lt;'PlayerGrades+'!$AA$21,"F-",IF(D222&lt;'PlayerGrades+'!$AA$20,"F",IF(D222&lt;'PlayerGrades+'!$AA$19,"F+",IF(D222&lt;'PlayerGrades+'!$AA$18,"E-",IF(D222&lt;'PlayerGrades+'!$AA$17,"E",IF(D222&lt;'PlayerGrades+'!$AA$16,"E+",IF(D222&lt;'PlayerGrades+'!$AA$15,"D-",IF(D222&lt;'PlayerGrades+'!$AA$14,"D",IF(D222&lt;'PlayerGrades+'!$AA$13,"D+",IF(D222&lt;'PlayerGrades+'!$AA$12,"C-",IF(D222&lt;'PlayerGrades+'!$AA$11,"C",IF(D222&lt;'PlayerGrades+'!$AA$10,"C+",IF(D222&lt;'PlayerGrades+'!$AA$9,"B-",IF(D222&lt;'PlayerGrades+'!$AA$8,"B",IF(D222&lt;'PlayerGrades+'!$AA$7,"B+",IF(D222&lt;'PlayerGrades+'!$AA$6,"A-",IF(D222&lt;'PlayerGrades+'!$AA$5,"A",IF(D222&lt;'PlayerGrades+'!$AA$4,"A+",IF(D222&lt;'PlayerGrades+'!$AA$3,"S-",IF(D222&lt;'PlayerGrades+'!$AA$2,"S","S+"))))))))))))))))))))</f>
        <v>B</v>
      </c>
      <c r="F222" s="937">
        <f t="shared" si="2"/>
        <v>-0.0622406639</v>
      </c>
      <c r="G222" s="937" t="str">
        <f>IF(F222&lt;'PlayerGrades+'!$AB$21,"F-",IF(F222&lt;'PlayerGrades+'!$AB$20,"F",IF(F222&lt;'PlayerGrades+'!$AB$19,"F+",IF(F222&lt;'PlayerGrades+'!$AB$18,"E-",IF(F222&lt;'PlayerGrades+'!$AB$17,"E",IF(F222&lt;'PlayerGrades+'!$AB$16,"E+",IF(F222&lt;'PlayerGrades+'!$AB$15,"D-",IF(F222&lt;'PlayerGrades+'!$AB$14,"D",IF(F222&lt;'PlayerGrades+'!$AB$13,"D+",IF(F222&lt;'PlayerGrades+'!$AB$12,"C-",IF(F222&lt;'PlayerGrades+'!$AB$11,"C",IF(F222&lt;'PlayerGrades+'!$AB$10,"C+",IF(F222&lt;'PlayerGrades+'!$AB$9,"B-",IF(F222&lt;'PlayerGrades+'!$AB$8,"B",IF(F222&lt;'PlayerGrades+'!$AB$7,"B+",IF(F222&lt;'PlayerGrades+'!$AB$6,"A-",IF(F222&lt;'PlayerGrades+'!$AB$5,"A",IF(F222&lt;'PlayerGrades+'!$AB$4,"A+",IF(F222&lt;'PlayerGrades+'!$AB$3,"S-",IF(F222&lt;'PlayerGrades+'!$AB$2,"S","S+"))))))))))))))))))))</f>
        <v>B-</v>
      </c>
      <c r="H222" s="937">
        <f t="shared" si="3"/>
        <v>0</v>
      </c>
      <c r="I222" s="937" t="str">
        <f>IF(H222&lt;'PlayerGrades+'!$AC$21,"F-",IF(H222&lt;'PlayerGrades+'!$AC$20,"F",IF(H222&lt;'PlayerGrades+'!$AC$19,"F+",IF(H222&lt;'PlayerGrades+'!$AC$18,"E-",IF(H222&lt;'PlayerGrades+'!$AC$17,"E",IF(H222&lt;'PlayerGrades+'!$AC$16,"E+",IF(H222&lt;'PlayerGrades+'!$AC$15,"D-",IF(H222&lt;'PlayerGrades+'!$AC$14,"D",IF(H222&lt;'PlayerGrades+'!$AC$13,"D+",IF(H222&lt;'PlayerGrades+'!$AC$12,"C-",IF(H222&lt;'PlayerGrades+'!$AC$11,"C",IF(H222&lt;'PlayerGrades+'!$AC$10,"C+",IF(H222&lt;'PlayerGrades+'!$AC$9,"B-",IF(H222&lt;'PlayerGrades+'!$AC$8,"B",IF(H222&lt;'PlayerGrades+'!$AC$7,"B+",IF(H222&lt;'PlayerGrades+'!$AC$6,"A-",IF(H222&lt;'PlayerGrades+'!$AC$5,"A",IF(H222&lt;'PlayerGrades+'!$AC$4,"A+",IF(H222&lt;'PlayerGrades+'!$AC$3,"S-",IF(H222&lt;'PlayerGrades+'!$AC$2,"S","S+"))))))))))))))))))))</f>
        <v>F-</v>
      </c>
      <c r="J222" s="937">
        <f t="shared" si="4"/>
        <v>0</v>
      </c>
      <c r="K222" s="937" t="str">
        <f>IF(J222&lt;'PlayerGrades+'!$AD$21,"F-",IF(J222&lt;'PlayerGrades+'!$AD$20,"F",IF(J222&lt;'PlayerGrades+'!$AD$19,"F+",IF(J222&lt;'PlayerGrades+'!$AD$18,"E-",IF(J222&lt;'PlayerGrades+'!$AD$17,"E",IF(J222&lt;'PlayerGrades+'!$AD$16,"E+",IF(J222&lt;'PlayerGrades+'!$AD$15,"D-",IF(J222&lt;'PlayerGrades+'!$AD$14,"D",IF(J222&lt;'PlayerGrades+'!$AD$13,"D+",IF(J222&lt;'PlayerGrades+'!$AD$12,"C-",IF(J222&lt;'PlayerGrades+'!$AD$11,"C",IF(J222&lt;'PlayerGrades+'!$AD$10,"C+",IF(J222&lt;'PlayerGrades+'!$AD$9,"B-",IF(J222&lt;'PlayerGrades+'!$AD$8,"B",IF(J222&lt;'PlayerGrades+'!$AD$7,"B+",IF(J222&lt;'PlayerGrades+'!$AD$6,"A-",IF(J222&lt;'PlayerGrades+'!$AD$5,"A",IF(J222&lt;'PlayerGrades+'!$AD$4,"A+",IF(J222&lt;'PlayerGrades+'!$AD$3,"S-",IF(J222&lt;'PlayerGrades+'!$AD$2,"S","S+"))))))))))))))))))))</f>
        <v>F-</v>
      </c>
      <c r="L222" s="677">
        <f t="shared" si="5"/>
        <v>0.1244813278</v>
      </c>
      <c r="M222" s="938" t="str">
        <f>IF(L222&lt;'PlayerGrades+'!$AE$21,"F-",IF(L222&lt;'PlayerGrades+'!$AE$20,"F",IF(L222&lt;'PlayerGrades+'!$AE$19,"F+",IF(L222&lt;'PlayerGrades+'!$AE$18,"E-",IF(L222&lt;'PlayerGrades+'!$AE$17,"E",IF(L222&lt;'PlayerGrades+'!$AE$16,"E+",IF(L222&lt;'PlayerGrades+'!$AE$15,"D-",IF(L222&lt;'PlayerGrades+'!$AE$14,"D",IF(L222&lt;'PlayerGrades+'!$AE$13,"D+",IF(L222&lt;'PlayerGrades+'!$AE$12,"C-",IF(L222&lt;'PlayerGrades+'!$AE$11,"C",IF(L222&lt;'PlayerGrades+'!$AE$10,"C+",IF(L222&lt;'PlayerGrades+'!$AE$9,"B-",IF(L222&lt;'PlayerGrades+'!$AE$8,"B",IF(L222&lt;'PlayerGrades+'!$AE$7,"B+",IF(L222&lt;'PlayerGrades+'!$AE$6,"A-",IF(L222&lt;'PlayerGrades+'!$AE$5,"A",IF(L222&lt;'PlayerGrades+'!$AE$4,"A+",IF(L222&lt;'PlayerGrades+'!$AE$3,"S-",IF(L222&lt;'PlayerGrades+'!$AE$2,"S","S+"))))))))))))))))))))</f>
        <v>F-</v>
      </c>
      <c r="N222" s="937">
        <f t="shared" si="6"/>
        <v>0.03112033195</v>
      </c>
      <c r="O222" s="937" t="str">
        <f>IF(N222&lt;'PlayerGrades+'!$AF$21,"F-",IF(N222&lt;'PlayerGrades+'!$AF$20,"F",IF(N222&lt;'PlayerGrades+'!$AF$19,"F+",IF(N222&lt;'PlayerGrades+'!$AF$18,"E-",IF(N222&lt;'PlayerGrades+'!$AF$17,"E",IF(N222&lt;'PlayerGrades+'!$AF$16,"E+",IF(N222&lt;'PlayerGrades+'!$AF$15,"D-",IF(N222&lt;'PlayerGrades+'!$AF$14,"D",IF(N222&lt;'PlayerGrades+'!$AF$13,"D+",IF(N222&lt;'PlayerGrades+'!$AF$12,"C-",IF(N222&lt;'PlayerGrades+'!$AF$11,"C",IF(N222&lt;'PlayerGrades+'!$AF$10,"C+",IF(N222&lt;'PlayerGrades+'!$AF$9,"B-",IF(N222&lt;'PlayerGrades+'!$AF$8,"B",IF(N222&lt;'PlayerGrades+'!$AF$7,"B+",IF(N222&lt;'PlayerGrades+'!$AF$6,"A-",IF(N222&lt;'PlayerGrades+'!$AF$5,"A",IF(N222&lt;'PlayerGrades+'!$AF$4,"A+",IF(N222&lt;'PlayerGrades+'!$AF$3,"S-",IF(N222&lt;'PlayerGrades+'!$AF$2,"S","S+"))))))))))))))))))))</f>
        <v>F</v>
      </c>
      <c r="P222" s="937">
        <f t="shared" si="7"/>
        <v>0</v>
      </c>
      <c r="Q222" s="937" t="str">
        <f>IF(P222&lt;'PlayerGrades+'!$AG$21,"F-",IF(P222&lt;'PlayerGrades+'!$AG$20,"F",IF(P222&lt;'PlayerGrades+'!$AG$19,"F+",IF(P222&lt;'PlayerGrades+'!$AG$18,"E-",IF(P222&lt;'PlayerGrades+'!$AG$17,"E",IF(P222&lt;'PlayerGrades+'!$AG$16,"E+",IF(P222&lt;'PlayerGrades+'!$AG$15,"D-",IF(P222&lt;'PlayerGrades+'!$AG$14,"D",IF(P222&lt;'PlayerGrades+'!$AG$13,"D+",IF(P222&lt;'PlayerGrades+'!$AG$12,"C-",IF(P222&lt;'PlayerGrades+'!$AG$11,"C",IF(P222&lt;'PlayerGrades+'!$AG$10,"C+",IF(P222&lt;'PlayerGrades+'!$AG$9,"B-",IF(P222&lt;'PlayerGrades+'!$AG$8,"B",IF(P222&lt;'PlayerGrades+'!$AG$7,"B+",IF(P222&lt;'PlayerGrades+'!$AG$6,"A-",IF(P222&lt;'PlayerGrades+'!$AG$5,"A",IF(P222&lt;'PlayerGrades+'!$AG$4,"A+",IF(P222&lt;'PlayerGrades+'!$AG$3,"S-",IF(P222&lt;'PlayerGrades+'!$AG$2,"S","S+"))))))))))))))))))))</f>
        <v>F</v>
      </c>
      <c r="R222" s="937">
        <f t="shared" si="8"/>
        <v>0.622406639</v>
      </c>
      <c r="S222" s="937" t="str">
        <f>IF(R222&lt;'PlayerGrades+'!$AH$21,"F-",IF(R222&lt;'PlayerGrades+'!$AH$20,"F",IF(R222&lt;'PlayerGrades+'!$AH$19,"F+",IF(R222&lt;'PlayerGrades+'!$AH$18,"E-",IF(R222&lt;'PlayerGrades+'!$AH$17,"E",IF(R222&lt;'PlayerGrades+'!$AH$16,"E+",IF(R222&lt;'PlayerGrades+'!$AH$15,"D-",IF(R222&lt;'PlayerGrades+'!$AH$14,"D",IF(R222&lt;'PlayerGrades+'!$AH$13,"D+",IF(R222&lt;'PlayerGrades+'!$AH$12,"C-",IF(R222&lt;'PlayerGrades+'!$AH$11,"C",IF(R222&lt;'PlayerGrades+'!$AH$10,"C+",IF(R222&lt;'PlayerGrades+'!$AH$9,"B-",IF(R222&lt;'PlayerGrades+'!$AH$8,"B",IF(R222&lt;'PlayerGrades+'!$AH$7,"B+",IF(R222&lt;'PlayerGrades+'!$AH$6,"A-",IF(R222&lt;'PlayerGrades+'!$AH$5,"A",IF(R222&lt;'PlayerGrades+'!$AH$4,"A+",IF(R222&lt;'PlayerGrades+'!$AH$3,"S-",IF(R222&lt;'PlayerGrades+'!$AH$2,"S","S+"))))))))))))))))))))</f>
        <v>A-</v>
      </c>
      <c r="T222" s="937">
        <f t="shared" si="9"/>
        <v>2.435684647</v>
      </c>
      <c r="U222" s="937" t="str">
        <f>IF(T222&lt;'PlayerGrades+'!$AI$21,"F-",IF(T222&lt;'PlayerGrades+'!$AI$20,"F",IF(T222&lt;'PlayerGrades+'!$AI$19,"F+",IF(T222&lt;'PlayerGrades+'!$AI$18,"E-",IF(T222&lt;'PlayerGrades+'!$AI$17,"E",IF(T222&lt;'PlayerGrades+'!$AI$16,"E+",IF(T222&lt;'PlayerGrades+'!$AI$15,"D-",IF(T222&lt;'PlayerGrades+'!$AI$14,"D",IF(T222&lt;'PlayerGrades+'!$AI$13,"D+",IF(T222&lt;'PlayerGrades+'!$AI$12,"C-",IF(T222&lt;'PlayerGrades+'!$AI$11,"C",IF(T222&lt;'PlayerGrades+'!$AI$10,"C+",IF(T222&lt;'PlayerGrades+'!$AI$9,"B-",IF(T222&lt;'PlayerGrades+'!$AI$8,"B",IF(T222&lt;'PlayerGrades+'!$AI$7,"B+",IF(T222&lt;'PlayerGrades+'!$AI$6,"A-",IF(T222&lt;'PlayerGrades+'!$AI$5,"A",IF(T222&lt;'PlayerGrades+'!$AI$4,"A+",IF(T222&lt;'PlayerGrades+'!$AI$3,"S-",IF(T222&lt;'PlayerGrades+'!$AI$2,"S","S+"))))))))))))))))))))</f>
        <v>S+</v>
      </c>
      <c r="V222" s="941">
        <v>1.0</v>
      </c>
      <c r="W222" s="941">
        <v>0.0</v>
      </c>
      <c r="X222" s="941">
        <v>1.0</v>
      </c>
      <c r="Y222" s="941">
        <v>2.0</v>
      </c>
      <c r="Z222" s="941">
        <v>1.0</v>
      </c>
      <c r="AA222" s="941">
        <v>70.0</v>
      </c>
      <c r="AB222" s="941">
        <v>72.0</v>
      </c>
      <c r="AC222" s="941">
        <v>-2.0</v>
      </c>
      <c r="AD222" s="941">
        <v>2.0</v>
      </c>
      <c r="AE222" s="941">
        <v>4.0</v>
      </c>
      <c r="AF222" s="941">
        <v>2.0</v>
      </c>
      <c r="AG222" s="941">
        <v>1617.0</v>
      </c>
      <c r="AH222" s="941">
        <v>1928.0</v>
      </c>
      <c r="AI222" s="941">
        <v>22.0</v>
      </c>
      <c r="AJ222" s="941">
        <v>453.0</v>
      </c>
      <c r="AK222" s="941">
        <v>0.0</v>
      </c>
      <c r="AL222" s="941">
        <v>0.0</v>
      </c>
      <c r="AM222" s="941">
        <v>0.0</v>
      </c>
      <c r="AN222" s="941">
        <v>0.0</v>
      </c>
      <c r="AO222" s="941">
        <v>0.0</v>
      </c>
      <c r="AP222" s="941">
        <v>0.0</v>
      </c>
      <c r="AQ222" s="941">
        <v>0.0</v>
      </c>
      <c r="AR222" s="941">
        <v>4.0</v>
      </c>
      <c r="AS222" s="941">
        <v>1.0</v>
      </c>
      <c r="AT222" s="941">
        <v>0.0</v>
      </c>
      <c r="AU222" s="941">
        <v>0.0</v>
      </c>
      <c r="AV222" s="941">
        <v>0.0</v>
      </c>
      <c r="AW222" s="941">
        <v>0.0</v>
      </c>
      <c r="AX222" s="941">
        <v>0.0</v>
      </c>
      <c r="AY222" s="941">
        <v>0.0</v>
      </c>
      <c r="AZ222" s="941">
        <v>0.0</v>
      </c>
      <c r="BA222" s="941">
        <v>0.0</v>
      </c>
      <c r="BB222" s="941">
        <v>0.0</v>
      </c>
      <c r="BC222" s="941">
        <v>0.0</v>
      </c>
      <c r="BD222" s="941">
        <v>18.0</v>
      </c>
      <c r="BE222" s="941">
        <v>14.0</v>
      </c>
      <c r="BF222" s="941">
        <v>2.0</v>
      </c>
      <c r="BG222" s="942">
        <v>0.0</v>
      </c>
    </row>
    <row r="223">
      <c r="A223" s="935" t="s">
        <v>137</v>
      </c>
      <c r="B223" s="16" t="str">
        <f>IF(C223&lt;'PlayerGrades+'!$Y$44,"F-",IF(C223&lt;'PlayerGrades+'!$Y$43,"F",IF(C223&lt;'PlayerGrades+'!$Y$42,"F+",IF(C223&lt;'PlayerGrades+'!$Y$41,"E-",IF(C223&lt;'PlayerGrades+'!$Y$40,"E",IF(C223&lt;'PlayerGrades+'!$Y$39,"E+",IF(C223&lt;'PlayerGrades+'!$Y$38,"D-",IF(C223&lt;'PlayerGrades+'!$Y$37,"D",IF(C223&lt;'PlayerGrades+'!$Y$36,"D+",IF(C223&lt;'PlayerGrades+'!$Y$35,"C-",IF(C223&lt;'PlayerGrades+'!$Y$34,"C",IF(C223&lt;'PlayerGrades+'!$Y$33,"C+",IF(C223&lt;'PlayerGrades+'!$Y$32,"B-",IF(C223&lt;'PlayerGrades+'!$Y$31,"B",IF(C223&lt;'PlayerGrades+'!$Y$30,"B+",IF(C223&lt;'PlayerGrades+'!$Y$29,"A-",IF(C223&lt;'PlayerGrades+'!$Y$28,"A",IF(C223&lt;'PlayerGrades+'!$Y$27,"A+",IF(C223&lt;'PlayerGrades+'!$Y$26,"S-",IF(C223&lt;'PlayerGrades+'!$Y$25,"S","S+"))))))))))))))))))))</f>
        <v>C+</v>
      </c>
      <c r="C223" s="936">
        <f>('PlayerGrades+'!$Y$47*(VLOOKUP(E223, 'PlayerGrades+'!$X$3:$Y$23, 2, FALSE)))+('PlayerGrades+'!$Y$48*(VLOOKUP(G223, 'PlayerGrades+'!$X$3:$Y$23, 2, FALSE)))+('PlayerGrades+'!$Y$49*(VLOOKUP(I223, 'PlayerGrades+'!$X$3:$Y$23, 2, FALSE)))+('PlayerGrades+'!$Y$50*(VLOOKUP(K223, 'PlayerGrades+'!$X$3:$Y$23, 2, FALSE)))+('PlayerGrades+'!$Y$51*(VLOOKUP(M223, 'PlayerGrades+'!$X$3:$Y$23, 2, FALSE)))+('PlayerGrades+'!$Y$52*(VLOOKUP(O223, 'PlayerGrades+'!$X$3:$Y$23, 2, FALSE)))+('PlayerGrades+'!$Y$53*(VLOOKUP(Q223, 'PlayerGrades+'!$X$3:$Y$23, 2, FALSE)))+('PlayerGrades+'!$Y$54*(VLOOKUP(S223, 'PlayerGrades+'!$X$3:$Y$23, 2, FALSE)))+('PlayerGrades+'!$Y$55*(VLOOKUP(U223, 'PlayerGrades+'!$X$3:$Y$23, 2, FALSE)))</f>
        <v>20.6</v>
      </c>
      <c r="D223" s="937">
        <f t="shared" si="1"/>
        <v>0</v>
      </c>
      <c r="E223" s="937" t="str">
        <f>IF(D223&lt;'PlayerGrades+'!$AA$21,"F-",IF(D223&lt;'PlayerGrades+'!$AA$20,"F",IF(D223&lt;'PlayerGrades+'!$AA$19,"F+",IF(D223&lt;'PlayerGrades+'!$AA$18,"E-",IF(D223&lt;'PlayerGrades+'!$AA$17,"E",IF(D223&lt;'PlayerGrades+'!$AA$16,"E+",IF(D223&lt;'PlayerGrades+'!$AA$15,"D-",IF(D223&lt;'PlayerGrades+'!$AA$14,"D",IF(D223&lt;'PlayerGrades+'!$AA$13,"D+",IF(D223&lt;'PlayerGrades+'!$AA$12,"C-",IF(D223&lt;'PlayerGrades+'!$AA$11,"C",IF(D223&lt;'PlayerGrades+'!$AA$10,"C+",IF(D223&lt;'PlayerGrades+'!$AA$9,"B-",IF(D223&lt;'PlayerGrades+'!$AA$8,"B",IF(D223&lt;'PlayerGrades+'!$AA$7,"B+",IF(D223&lt;'PlayerGrades+'!$AA$6,"A-",IF(D223&lt;'PlayerGrades+'!$AA$5,"A",IF(D223&lt;'PlayerGrades+'!$AA$4,"A+",IF(D223&lt;'PlayerGrades+'!$AA$3,"S-",IF(D223&lt;'PlayerGrades+'!$AA$2,"S","S+"))))))))))))))))))))</f>
        <v>F-</v>
      </c>
      <c r="F223" s="937">
        <f t="shared" si="2"/>
        <v>-0.3423236515</v>
      </c>
      <c r="G223" s="937" t="str">
        <f>IF(F223&lt;'PlayerGrades+'!$AB$21,"F-",IF(F223&lt;'PlayerGrades+'!$AB$20,"F",IF(F223&lt;'PlayerGrades+'!$AB$19,"F+",IF(F223&lt;'PlayerGrades+'!$AB$18,"E-",IF(F223&lt;'PlayerGrades+'!$AB$17,"E",IF(F223&lt;'PlayerGrades+'!$AB$16,"E+",IF(F223&lt;'PlayerGrades+'!$AB$15,"D-",IF(F223&lt;'PlayerGrades+'!$AB$14,"D",IF(F223&lt;'PlayerGrades+'!$AB$13,"D+",IF(F223&lt;'PlayerGrades+'!$AB$12,"C-",IF(F223&lt;'PlayerGrades+'!$AB$11,"C",IF(F223&lt;'PlayerGrades+'!$AB$10,"C+",IF(F223&lt;'PlayerGrades+'!$AB$9,"B-",IF(F223&lt;'PlayerGrades+'!$AB$8,"B",IF(F223&lt;'PlayerGrades+'!$AB$7,"B+",IF(F223&lt;'PlayerGrades+'!$AB$6,"A-",IF(F223&lt;'PlayerGrades+'!$AB$5,"A",IF(F223&lt;'PlayerGrades+'!$AB$4,"A+",IF(F223&lt;'PlayerGrades+'!$AB$3,"S-",IF(F223&lt;'PlayerGrades+'!$AB$2,"S","S+"))))))))))))))))))))</f>
        <v>C-</v>
      </c>
      <c r="H223" s="937">
        <f t="shared" si="3"/>
        <v>0.1244813278</v>
      </c>
      <c r="I223" s="937" t="str">
        <f>IF(H223&lt;'PlayerGrades+'!$AC$21,"F-",IF(H223&lt;'PlayerGrades+'!$AC$20,"F",IF(H223&lt;'PlayerGrades+'!$AC$19,"F+",IF(H223&lt;'PlayerGrades+'!$AC$18,"E-",IF(H223&lt;'PlayerGrades+'!$AC$17,"E",IF(H223&lt;'PlayerGrades+'!$AC$16,"E+",IF(H223&lt;'PlayerGrades+'!$AC$15,"D-",IF(H223&lt;'PlayerGrades+'!$AC$14,"D",IF(H223&lt;'PlayerGrades+'!$AC$13,"D+",IF(H223&lt;'PlayerGrades+'!$AC$12,"C-",IF(H223&lt;'PlayerGrades+'!$AC$11,"C",IF(H223&lt;'PlayerGrades+'!$AC$10,"C+",IF(H223&lt;'PlayerGrades+'!$AC$9,"B-",IF(H223&lt;'PlayerGrades+'!$AC$8,"B",IF(H223&lt;'PlayerGrades+'!$AC$7,"B+",IF(H223&lt;'PlayerGrades+'!$AC$6,"A-",IF(H223&lt;'PlayerGrades+'!$AC$5,"A",IF(H223&lt;'PlayerGrades+'!$AC$4,"A+",IF(H223&lt;'PlayerGrades+'!$AC$3,"S-",IF(H223&lt;'PlayerGrades+'!$AC$2,"S","S+"))))))))))))))))))))</f>
        <v>B-</v>
      </c>
      <c r="J223" s="937">
        <f t="shared" si="4"/>
        <v>0.03112033195</v>
      </c>
      <c r="K223" s="937" t="str">
        <f>IF(J223&lt;'PlayerGrades+'!$AD$21,"F-",IF(J223&lt;'PlayerGrades+'!$AD$20,"F",IF(J223&lt;'PlayerGrades+'!$AD$19,"F+",IF(J223&lt;'PlayerGrades+'!$AD$18,"E-",IF(J223&lt;'PlayerGrades+'!$AD$17,"E",IF(J223&lt;'PlayerGrades+'!$AD$16,"E+",IF(J223&lt;'PlayerGrades+'!$AD$15,"D-",IF(J223&lt;'PlayerGrades+'!$AD$14,"D",IF(J223&lt;'PlayerGrades+'!$AD$13,"D+",IF(J223&lt;'PlayerGrades+'!$AD$12,"C-",IF(J223&lt;'PlayerGrades+'!$AD$11,"C",IF(J223&lt;'PlayerGrades+'!$AD$10,"C+",IF(J223&lt;'PlayerGrades+'!$AD$9,"B-",IF(J223&lt;'PlayerGrades+'!$AD$8,"B",IF(J223&lt;'PlayerGrades+'!$AD$7,"B+",IF(J223&lt;'PlayerGrades+'!$AD$6,"A-",IF(J223&lt;'PlayerGrades+'!$AD$5,"A",IF(J223&lt;'PlayerGrades+'!$AD$4,"A+",IF(J223&lt;'PlayerGrades+'!$AD$3,"S-",IF(J223&lt;'PlayerGrades+'!$AD$2,"S","S+"))))))))))))))))))))</f>
        <v>C</v>
      </c>
      <c r="L223" s="677">
        <f t="shared" si="5"/>
        <v>0.3112033195</v>
      </c>
      <c r="M223" s="938" t="str">
        <f>IF(L223&lt;'PlayerGrades+'!$AE$21,"F-",IF(L223&lt;'PlayerGrades+'!$AE$20,"F",IF(L223&lt;'PlayerGrades+'!$AE$19,"F+",IF(L223&lt;'PlayerGrades+'!$AE$18,"E-",IF(L223&lt;'PlayerGrades+'!$AE$17,"E",IF(L223&lt;'PlayerGrades+'!$AE$16,"E+",IF(L223&lt;'PlayerGrades+'!$AE$15,"D-",IF(L223&lt;'PlayerGrades+'!$AE$14,"D",IF(L223&lt;'PlayerGrades+'!$AE$13,"D+",IF(L223&lt;'PlayerGrades+'!$AE$12,"C-",IF(L223&lt;'PlayerGrades+'!$AE$11,"C",IF(L223&lt;'PlayerGrades+'!$AE$10,"C+",IF(L223&lt;'PlayerGrades+'!$AE$9,"B-",IF(L223&lt;'PlayerGrades+'!$AE$8,"B",IF(L223&lt;'PlayerGrades+'!$AE$7,"B+",IF(L223&lt;'PlayerGrades+'!$AE$6,"A-",IF(L223&lt;'PlayerGrades+'!$AE$5,"A",IF(L223&lt;'PlayerGrades+'!$AE$4,"A+",IF(L223&lt;'PlayerGrades+'!$AE$3,"S-",IF(L223&lt;'PlayerGrades+'!$AE$2,"S","S+"))))))))))))))))))))</f>
        <v>E</v>
      </c>
      <c r="N223" s="937">
        <f t="shared" si="6"/>
        <v>0.1244813278</v>
      </c>
      <c r="O223" s="937" t="str">
        <f>IF(N223&lt;'PlayerGrades+'!$AF$21,"F-",IF(N223&lt;'PlayerGrades+'!$AF$20,"F",IF(N223&lt;'PlayerGrades+'!$AF$19,"F+",IF(N223&lt;'PlayerGrades+'!$AF$18,"E-",IF(N223&lt;'PlayerGrades+'!$AF$17,"E",IF(N223&lt;'PlayerGrades+'!$AF$16,"E+",IF(N223&lt;'PlayerGrades+'!$AF$15,"D-",IF(N223&lt;'PlayerGrades+'!$AF$14,"D",IF(N223&lt;'PlayerGrades+'!$AF$13,"D+",IF(N223&lt;'PlayerGrades+'!$AF$12,"C-",IF(N223&lt;'PlayerGrades+'!$AF$11,"C",IF(N223&lt;'PlayerGrades+'!$AF$10,"C+",IF(N223&lt;'PlayerGrades+'!$AF$9,"B-",IF(N223&lt;'PlayerGrades+'!$AF$8,"B",IF(N223&lt;'PlayerGrades+'!$AF$7,"B+",IF(N223&lt;'PlayerGrades+'!$AF$6,"A-",IF(N223&lt;'PlayerGrades+'!$AF$5,"A",IF(N223&lt;'PlayerGrades+'!$AF$4,"A+",IF(N223&lt;'PlayerGrades+'!$AF$3,"S-",IF(N223&lt;'PlayerGrades+'!$AF$2,"S","S+"))))))))))))))))))))</f>
        <v>S</v>
      </c>
      <c r="P223" s="937">
        <f t="shared" si="7"/>
        <v>0.03112033195</v>
      </c>
      <c r="Q223" s="937" t="str">
        <f>IF(P223&lt;'PlayerGrades+'!$AG$21,"F-",IF(P223&lt;'PlayerGrades+'!$AG$20,"F",IF(P223&lt;'PlayerGrades+'!$AG$19,"F+",IF(P223&lt;'PlayerGrades+'!$AG$18,"E-",IF(P223&lt;'PlayerGrades+'!$AG$17,"E",IF(P223&lt;'PlayerGrades+'!$AG$16,"E+",IF(P223&lt;'PlayerGrades+'!$AG$15,"D-",IF(P223&lt;'PlayerGrades+'!$AG$14,"D",IF(P223&lt;'PlayerGrades+'!$AG$13,"D+",IF(P223&lt;'PlayerGrades+'!$AG$12,"C-",IF(P223&lt;'PlayerGrades+'!$AG$11,"C",IF(P223&lt;'PlayerGrades+'!$AG$10,"C+",IF(P223&lt;'PlayerGrades+'!$AG$9,"B-",IF(P223&lt;'PlayerGrades+'!$AG$8,"B",IF(P223&lt;'PlayerGrades+'!$AG$7,"B+",IF(P223&lt;'PlayerGrades+'!$AG$6,"A-",IF(P223&lt;'PlayerGrades+'!$AG$5,"A",IF(P223&lt;'PlayerGrades+'!$AG$4,"A+",IF(P223&lt;'PlayerGrades+'!$AG$3,"S-",IF(P223&lt;'PlayerGrades+'!$AG$2,"S","S+"))))))))))))))))))))</f>
        <v>B</v>
      </c>
      <c r="R223" s="937">
        <f t="shared" si="8"/>
        <v>0.622406639</v>
      </c>
      <c r="S223" s="937" t="str">
        <f>IF(R223&lt;'PlayerGrades+'!$AH$21,"F-",IF(R223&lt;'PlayerGrades+'!$AH$20,"F",IF(R223&lt;'PlayerGrades+'!$AH$19,"F+",IF(R223&lt;'PlayerGrades+'!$AH$18,"E-",IF(R223&lt;'PlayerGrades+'!$AH$17,"E",IF(R223&lt;'PlayerGrades+'!$AH$16,"E+",IF(R223&lt;'PlayerGrades+'!$AH$15,"D-",IF(R223&lt;'PlayerGrades+'!$AH$14,"D",IF(R223&lt;'PlayerGrades+'!$AH$13,"D+",IF(R223&lt;'PlayerGrades+'!$AH$12,"C-",IF(R223&lt;'PlayerGrades+'!$AH$11,"C",IF(R223&lt;'PlayerGrades+'!$AH$10,"C+",IF(R223&lt;'PlayerGrades+'!$AH$9,"B-",IF(R223&lt;'PlayerGrades+'!$AH$8,"B",IF(R223&lt;'PlayerGrades+'!$AH$7,"B+",IF(R223&lt;'PlayerGrades+'!$AH$6,"A-",IF(R223&lt;'PlayerGrades+'!$AH$5,"A",IF(R223&lt;'PlayerGrades+'!$AH$4,"A+",IF(R223&lt;'PlayerGrades+'!$AH$3,"S-",IF(R223&lt;'PlayerGrades+'!$AH$2,"S","S+"))))))))))))))))))))</f>
        <v>A-</v>
      </c>
      <c r="T223" s="937">
        <f t="shared" si="9"/>
        <v>0.4979253112</v>
      </c>
      <c r="U223" s="937" t="str">
        <f>IF(T223&lt;'PlayerGrades+'!$AI$21,"F-",IF(T223&lt;'PlayerGrades+'!$AI$20,"F",IF(T223&lt;'PlayerGrades+'!$AI$19,"F+",IF(T223&lt;'PlayerGrades+'!$AI$18,"E-",IF(T223&lt;'PlayerGrades+'!$AI$17,"E",IF(T223&lt;'PlayerGrades+'!$AI$16,"E+",IF(T223&lt;'PlayerGrades+'!$AI$15,"D-",IF(T223&lt;'PlayerGrades+'!$AI$14,"D",IF(T223&lt;'PlayerGrades+'!$AI$13,"D+",IF(T223&lt;'PlayerGrades+'!$AI$12,"C-",IF(T223&lt;'PlayerGrades+'!$AI$11,"C",IF(T223&lt;'PlayerGrades+'!$AI$10,"C+",IF(T223&lt;'PlayerGrades+'!$AI$9,"B-",IF(T223&lt;'PlayerGrades+'!$AI$8,"B",IF(T223&lt;'PlayerGrades+'!$AI$7,"B+",IF(T223&lt;'PlayerGrades+'!$AI$6,"A-",IF(T223&lt;'PlayerGrades+'!$AI$5,"A",IF(T223&lt;'PlayerGrades+'!$AI$4,"A+",IF(T223&lt;'PlayerGrades+'!$AI$3,"S-",IF(T223&lt;'PlayerGrades+'!$AI$2,"S","S+"))))))))))))))))))))</f>
        <v>F-</v>
      </c>
      <c r="V223" s="941">
        <v>1.0</v>
      </c>
      <c r="W223" s="941">
        <v>0.0</v>
      </c>
      <c r="X223" s="941">
        <v>1.0</v>
      </c>
      <c r="Y223" s="941">
        <v>0.0</v>
      </c>
      <c r="Z223" s="941">
        <v>0.0</v>
      </c>
      <c r="AA223" s="941">
        <v>90.0</v>
      </c>
      <c r="AB223" s="941">
        <v>101.0</v>
      </c>
      <c r="AC223" s="941">
        <v>-11.0</v>
      </c>
      <c r="AD223" s="941">
        <v>9.0</v>
      </c>
      <c r="AE223" s="941">
        <v>5.0</v>
      </c>
      <c r="AF223" s="941">
        <v>2.0</v>
      </c>
      <c r="AG223" s="941">
        <v>1531.0</v>
      </c>
      <c r="AH223" s="941">
        <v>1928.0</v>
      </c>
      <c r="AI223" s="941">
        <v>15.0</v>
      </c>
      <c r="AJ223" s="941">
        <v>27.0</v>
      </c>
      <c r="AK223" s="941">
        <v>0.0</v>
      </c>
      <c r="AL223" s="941">
        <v>1.0</v>
      </c>
      <c r="AM223" s="941">
        <v>0.0</v>
      </c>
      <c r="AN223" s="941">
        <v>0.0</v>
      </c>
      <c r="AO223" s="941">
        <v>0.0</v>
      </c>
      <c r="AP223" s="941">
        <v>1.0</v>
      </c>
      <c r="AQ223" s="941">
        <v>0.0</v>
      </c>
      <c r="AR223" s="941">
        <v>10.0</v>
      </c>
      <c r="AS223" s="941">
        <v>4.0</v>
      </c>
      <c r="AT223" s="941">
        <v>1.0</v>
      </c>
      <c r="AU223" s="941">
        <v>0.0</v>
      </c>
      <c r="AV223" s="941">
        <v>0.0</v>
      </c>
      <c r="AW223" s="941">
        <v>0.0</v>
      </c>
      <c r="AX223" s="941">
        <v>0.0</v>
      </c>
      <c r="AY223" s="941">
        <v>0.0</v>
      </c>
      <c r="AZ223" s="941">
        <v>0.0</v>
      </c>
      <c r="BA223" s="941">
        <v>0.0</v>
      </c>
      <c r="BB223" s="941">
        <v>4.0</v>
      </c>
      <c r="BC223" s="941">
        <v>0.0</v>
      </c>
      <c r="BD223" s="941">
        <v>11.0</v>
      </c>
      <c r="BE223" s="941">
        <v>16.0</v>
      </c>
      <c r="BF223" s="941">
        <v>0.0</v>
      </c>
      <c r="BG223" s="942">
        <v>0.0</v>
      </c>
    </row>
    <row r="224">
      <c r="A224" s="935" t="s">
        <v>418</v>
      </c>
      <c r="B224" s="16" t="str">
        <f>IF(C224&lt;'PlayerGrades+'!$Y$44,"F-",IF(C224&lt;'PlayerGrades+'!$Y$43,"F",IF(C224&lt;'PlayerGrades+'!$Y$42,"F+",IF(C224&lt;'PlayerGrades+'!$Y$41,"E-",IF(C224&lt;'PlayerGrades+'!$Y$40,"E",IF(C224&lt;'PlayerGrades+'!$Y$39,"E+",IF(C224&lt;'PlayerGrades+'!$Y$38,"D-",IF(C224&lt;'PlayerGrades+'!$Y$37,"D",IF(C224&lt;'PlayerGrades+'!$Y$36,"D+",IF(C224&lt;'PlayerGrades+'!$Y$35,"C-",IF(C224&lt;'PlayerGrades+'!$Y$34,"C",IF(C224&lt;'PlayerGrades+'!$Y$33,"C+",IF(C224&lt;'PlayerGrades+'!$Y$32,"B-",IF(C224&lt;'PlayerGrades+'!$Y$31,"B",IF(C224&lt;'PlayerGrades+'!$Y$30,"B+",IF(C224&lt;'PlayerGrades+'!$Y$29,"A-",IF(C224&lt;'PlayerGrades+'!$Y$28,"A",IF(C224&lt;'PlayerGrades+'!$Y$27,"A+",IF(C224&lt;'PlayerGrades+'!$Y$26,"S-",IF(C224&lt;'PlayerGrades+'!$Y$25,"S","S+"))))))))))))))))))))</f>
        <v>C+</v>
      </c>
      <c r="C224" s="936">
        <f>('PlayerGrades+'!$Y$47*(VLOOKUP(E224, 'PlayerGrades+'!$X$3:$Y$23, 2, FALSE)))+('PlayerGrades+'!$Y$48*(VLOOKUP(G224, 'PlayerGrades+'!$X$3:$Y$23, 2, FALSE)))+('PlayerGrades+'!$Y$49*(VLOOKUP(I224, 'PlayerGrades+'!$X$3:$Y$23, 2, FALSE)))+('PlayerGrades+'!$Y$50*(VLOOKUP(K224, 'PlayerGrades+'!$X$3:$Y$23, 2, FALSE)))+('PlayerGrades+'!$Y$51*(VLOOKUP(M224, 'PlayerGrades+'!$X$3:$Y$23, 2, FALSE)))+('PlayerGrades+'!$Y$52*(VLOOKUP(O224, 'PlayerGrades+'!$X$3:$Y$23, 2, FALSE)))+('PlayerGrades+'!$Y$53*(VLOOKUP(Q224, 'PlayerGrades+'!$X$3:$Y$23, 2, FALSE)))+('PlayerGrades+'!$Y$54*(VLOOKUP(S224, 'PlayerGrades+'!$X$3:$Y$23, 2, FALSE)))+('PlayerGrades+'!$Y$55*(VLOOKUP(U224, 'PlayerGrades+'!$X$3:$Y$23, 2, FALSE)))</f>
        <v>21.5</v>
      </c>
      <c r="D224" s="937">
        <f t="shared" si="1"/>
        <v>0.0622406639</v>
      </c>
      <c r="E224" s="937" t="str">
        <f>IF(D224&lt;'PlayerGrades+'!$AA$21,"F-",IF(D224&lt;'PlayerGrades+'!$AA$20,"F",IF(D224&lt;'PlayerGrades+'!$AA$19,"F+",IF(D224&lt;'PlayerGrades+'!$AA$18,"E-",IF(D224&lt;'PlayerGrades+'!$AA$17,"E",IF(D224&lt;'PlayerGrades+'!$AA$16,"E+",IF(D224&lt;'PlayerGrades+'!$AA$15,"D-",IF(D224&lt;'PlayerGrades+'!$AA$14,"D",IF(D224&lt;'PlayerGrades+'!$AA$13,"D+",IF(D224&lt;'PlayerGrades+'!$AA$12,"C-",IF(D224&lt;'PlayerGrades+'!$AA$11,"C",IF(D224&lt;'PlayerGrades+'!$AA$10,"C+",IF(D224&lt;'PlayerGrades+'!$AA$9,"B-",IF(D224&lt;'PlayerGrades+'!$AA$8,"B",IF(D224&lt;'PlayerGrades+'!$AA$7,"B+",IF(D224&lt;'PlayerGrades+'!$AA$6,"A-",IF(D224&lt;'PlayerGrades+'!$AA$5,"A",IF(D224&lt;'PlayerGrades+'!$AA$4,"A+",IF(D224&lt;'PlayerGrades+'!$AA$3,"S-",IF(D224&lt;'PlayerGrades+'!$AA$2,"S","S+"))))))))))))))))))))</f>
        <v>B-</v>
      </c>
      <c r="F224" s="937">
        <f t="shared" si="2"/>
        <v>0.1556016598</v>
      </c>
      <c r="G224" s="937" t="str">
        <f>IF(F224&lt;'PlayerGrades+'!$AB$21,"F-",IF(F224&lt;'PlayerGrades+'!$AB$20,"F",IF(F224&lt;'PlayerGrades+'!$AB$19,"F+",IF(F224&lt;'PlayerGrades+'!$AB$18,"E-",IF(F224&lt;'PlayerGrades+'!$AB$17,"E",IF(F224&lt;'PlayerGrades+'!$AB$16,"E+",IF(F224&lt;'PlayerGrades+'!$AB$15,"D-",IF(F224&lt;'PlayerGrades+'!$AB$14,"D",IF(F224&lt;'PlayerGrades+'!$AB$13,"D+",IF(F224&lt;'PlayerGrades+'!$AB$12,"C-",IF(F224&lt;'PlayerGrades+'!$AB$11,"C",IF(F224&lt;'PlayerGrades+'!$AB$10,"C+",IF(F224&lt;'PlayerGrades+'!$AB$9,"B-",IF(F224&lt;'PlayerGrades+'!$AB$8,"B",IF(F224&lt;'PlayerGrades+'!$AB$7,"B+",IF(F224&lt;'PlayerGrades+'!$AB$6,"A-",IF(F224&lt;'PlayerGrades+'!$AB$5,"A",IF(F224&lt;'PlayerGrades+'!$AB$4,"A+",IF(F224&lt;'PlayerGrades+'!$AB$3,"S-",IF(F224&lt;'PlayerGrades+'!$AB$2,"S","S+"))))))))))))))))))))</f>
        <v>B+</v>
      </c>
      <c r="H224" s="937">
        <f t="shared" si="3"/>
        <v>0.0622406639</v>
      </c>
      <c r="I224" s="937" t="str">
        <f>IF(H224&lt;'PlayerGrades+'!$AC$21,"F-",IF(H224&lt;'PlayerGrades+'!$AC$20,"F",IF(H224&lt;'PlayerGrades+'!$AC$19,"F+",IF(H224&lt;'PlayerGrades+'!$AC$18,"E-",IF(H224&lt;'PlayerGrades+'!$AC$17,"E",IF(H224&lt;'PlayerGrades+'!$AC$16,"E+",IF(H224&lt;'PlayerGrades+'!$AC$15,"D-",IF(H224&lt;'PlayerGrades+'!$AC$14,"D",IF(H224&lt;'PlayerGrades+'!$AC$13,"D+",IF(H224&lt;'PlayerGrades+'!$AC$12,"C-",IF(H224&lt;'PlayerGrades+'!$AC$11,"C",IF(H224&lt;'PlayerGrades+'!$AC$10,"C+",IF(H224&lt;'PlayerGrades+'!$AC$9,"B-",IF(H224&lt;'PlayerGrades+'!$AC$8,"B",IF(H224&lt;'PlayerGrades+'!$AC$7,"B+",IF(H224&lt;'PlayerGrades+'!$AC$6,"A-",IF(H224&lt;'PlayerGrades+'!$AC$5,"A",IF(H224&lt;'PlayerGrades+'!$AC$4,"A+",IF(H224&lt;'PlayerGrades+'!$AC$3,"S-",IF(H224&lt;'PlayerGrades+'!$AC$2,"S","S+"))))))))))))))))))))</f>
        <v>E-</v>
      </c>
      <c r="J224" s="937">
        <f t="shared" si="4"/>
        <v>0.03112033195</v>
      </c>
      <c r="K224" s="937" t="str">
        <f>IF(J224&lt;'PlayerGrades+'!$AD$21,"F-",IF(J224&lt;'PlayerGrades+'!$AD$20,"F",IF(J224&lt;'PlayerGrades+'!$AD$19,"F+",IF(J224&lt;'PlayerGrades+'!$AD$18,"E-",IF(J224&lt;'PlayerGrades+'!$AD$17,"E",IF(J224&lt;'PlayerGrades+'!$AD$16,"E+",IF(J224&lt;'PlayerGrades+'!$AD$15,"D-",IF(J224&lt;'PlayerGrades+'!$AD$14,"D",IF(J224&lt;'PlayerGrades+'!$AD$13,"D+",IF(J224&lt;'PlayerGrades+'!$AD$12,"C-",IF(J224&lt;'PlayerGrades+'!$AD$11,"C",IF(J224&lt;'PlayerGrades+'!$AD$10,"C+",IF(J224&lt;'PlayerGrades+'!$AD$9,"B-",IF(J224&lt;'PlayerGrades+'!$AD$8,"B",IF(J224&lt;'PlayerGrades+'!$AD$7,"B+",IF(J224&lt;'PlayerGrades+'!$AD$6,"A-",IF(J224&lt;'PlayerGrades+'!$AD$5,"A",IF(J224&lt;'PlayerGrades+'!$AD$4,"A+",IF(J224&lt;'PlayerGrades+'!$AD$3,"S-",IF(J224&lt;'PlayerGrades+'!$AD$2,"S","S+"))))))))))))))))))))</f>
        <v>C</v>
      </c>
      <c r="L224" s="677">
        <f t="shared" si="5"/>
        <v>0.5912863071</v>
      </c>
      <c r="M224" s="938" t="str">
        <f>IF(L224&lt;'PlayerGrades+'!$AE$21,"F-",IF(L224&lt;'PlayerGrades+'!$AE$20,"F",IF(L224&lt;'PlayerGrades+'!$AE$19,"F+",IF(L224&lt;'PlayerGrades+'!$AE$18,"E-",IF(L224&lt;'PlayerGrades+'!$AE$17,"E",IF(L224&lt;'PlayerGrades+'!$AE$16,"E+",IF(L224&lt;'PlayerGrades+'!$AE$15,"D-",IF(L224&lt;'PlayerGrades+'!$AE$14,"D",IF(L224&lt;'PlayerGrades+'!$AE$13,"D+",IF(L224&lt;'PlayerGrades+'!$AE$12,"C-",IF(L224&lt;'PlayerGrades+'!$AE$11,"C",IF(L224&lt;'PlayerGrades+'!$AE$10,"C+",IF(L224&lt;'PlayerGrades+'!$AE$9,"B-",IF(L224&lt;'PlayerGrades+'!$AE$8,"B",IF(L224&lt;'PlayerGrades+'!$AE$7,"B+",IF(L224&lt;'PlayerGrades+'!$AE$6,"A-",IF(L224&lt;'PlayerGrades+'!$AE$5,"A",IF(L224&lt;'PlayerGrades+'!$AE$4,"A+",IF(L224&lt;'PlayerGrades+'!$AE$3,"S-",IF(L224&lt;'PlayerGrades+'!$AE$2,"S","S+"))))))))))))))))))))</f>
        <v>A+</v>
      </c>
      <c r="N224" s="937">
        <f t="shared" si="6"/>
        <v>0.0622406639</v>
      </c>
      <c r="O224" s="937" t="str">
        <f>IF(N224&lt;'PlayerGrades+'!$AF$21,"F-",IF(N224&lt;'PlayerGrades+'!$AF$20,"F",IF(N224&lt;'PlayerGrades+'!$AF$19,"F+",IF(N224&lt;'PlayerGrades+'!$AF$18,"E-",IF(N224&lt;'PlayerGrades+'!$AF$17,"E",IF(N224&lt;'PlayerGrades+'!$AF$16,"E+",IF(N224&lt;'PlayerGrades+'!$AF$15,"D-",IF(N224&lt;'PlayerGrades+'!$AF$14,"D",IF(N224&lt;'PlayerGrades+'!$AF$13,"D+",IF(N224&lt;'PlayerGrades+'!$AF$12,"C-",IF(N224&lt;'PlayerGrades+'!$AF$11,"C",IF(N224&lt;'PlayerGrades+'!$AF$10,"C+",IF(N224&lt;'PlayerGrades+'!$AF$9,"B-",IF(N224&lt;'PlayerGrades+'!$AF$8,"B",IF(N224&lt;'PlayerGrades+'!$AF$7,"B+",IF(N224&lt;'PlayerGrades+'!$AF$6,"A-",IF(N224&lt;'PlayerGrades+'!$AF$5,"A",IF(N224&lt;'PlayerGrades+'!$AF$4,"A+",IF(N224&lt;'PlayerGrades+'!$AF$3,"S-",IF(N224&lt;'PlayerGrades+'!$AF$2,"S","S+"))))))))))))))))))))</f>
        <v>C-</v>
      </c>
      <c r="P224" s="937">
        <f t="shared" si="7"/>
        <v>0.03112033195</v>
      </c>
      <c r="Q224" s="937" t="str">
        <f>IF(P224&lt;'PlayerGrades+'!$AG$21,"F-",IF(P224&lt;'PlayerGrades+'!$AG$20,"F",IF(P224&lt;'PlayerGrades+'!$AG$19,"F+",IF(P224&lt;'PlayerGrades+'!$AG$18,"E-",IF(P224&lt;'PlayerGrades+'!$AG$17,"E",IF(P224&lt;'PlayerGrades+'!$AG$16,"E+",IF(P224&lt;'PlayerGrades+'!$AG$15,"D-",IF(P224&lt;'PlayerGrades+'!$AG$14,"D",IF(P224&lt;'PlayerGrades+'!$AG$13,"D+",IF(P224&lt;'PlayerGrades+'!$AG$12,"C-",IF(P224&lt;'PlayerGrades+'!$AG$11,"C",IF(P224&lt;'PlayerGrades+'!$AG$10,"C+",IF(P224&lt;'PlayerGrades+'!$AG$9,"B-",IF(P224&lt;'PlayerGrades+'!$AG$8,"B",IF(P224&lt;'PlayerGrades+'!$AG$7,"B+",IF(P224&lt;'PlayerGrades+'!$AG$6,"A-",IF(P224&lt;'PlayerGrades+'!$AG$5,"A",IF(P224&lt;'PlayerGrades+'!$AG$4,"A+",IF(P224&lt;'PlayerGrades+'!$AG$3,"S-",IF(P224&lt;'PlayerGrades+'!$AG$2,"S","S+"))))))))))))))))))))</f>
        <v>B</v>
      </c>
      <c r="R224" s="937">
        <f t="shared" si="8"/>
        <v>0.4979253112</v>
      </c>
      <c r="S224" s="937" t="str">
        <f>IF(R224&lt;'PlayerGrades+'!$AH$21,"F-",IF(R224&lt;'PlayerGrades+'!$AH$20,"F",IF(R224&lt;'PlayerGrades+'!$AH$19,"F+",IF(R224&lt;'PlayerGrades+'!$AH$18,"E-",IF(R224&lt;'PlayerGrades+'!$AH$17,"E",IF(R224&lt;'PlayerGrades+'!$AH$16,"E+",IF(R224&lt;'PlayerGrades+'!$AH$15,"D-",IF(R224&lt;'PlayerGrades+'!$AH$14,"D",IF(R224&lt;'PlayerGrades+'!$AH$13,"D+",IF(R224&lt;'PlayerGrades+'!$AH$12,"C-",IF(R224&lt;'PlayerGrades+'!$AH$11,"C",IF(R224&lt;'PlayerGrades+'!$AH$10,"C+",IF(R224&lt;'PlayerGrades+'!$AH$9,"B-",IF(R224&lt;'PlayerGrades+'!$AH$8,"B",IF(R224&lt;'PlayerGrades+'!$AH$7,"B+",IF(R224&lt;'PlayerGrades+'!$AH$6,"A-",IF(R224&lt;'PlayerGrades+'!$AH$5,"A",IF(R224&lt;'PlayerGrades+'!$AH$4,"A+",IF(R224&lt;'PlayerGrades+'!$AH$3,"S-",IF(R224&lt;'PlayerGrades+'!$AH$2,"S","S+"))))))))))))))))))))</f>
        <v>D-</v>
      </c>
      <c r="T224" s="937">
        <f t="shared" si="9"/>
        <v>1.560165975</v>
      </c>
      <c r="U224" s="937" t="str">
        <f>IF(T224&lt;'PlayerGrades+'!$AI$21,"F-",IF(T224&lt;'PlayerGrades+'!$AI$20,"F",IF(T224&lt;'PlayerGrades+'!$AI$19,"F+",IF(T224&lt;'PlayerGrades+'!$AI$18,"E-",IF(T224&lt;'PlayerGrades+'!$AI$17,"E",IF(T224&lt;'PlayerGrades+'!$AI$16,"E+",IF(T224&lt;'PlayerGrades+'!$AI$15,"D-",IF(T224&lt;'PlayerGrades+'!$AI$14,"D",IF(T224&lt;'PlayerGrades+'!$AI$13,"D+",IF(T224&lt;'PlayerGrades+'!$AI$12,"C-",IF(T224&lt;'PlayerGrades+'!$AI$11,"C",IF(T224&lt;'PlayerGrades+'!$AI$10,"C+",IF(T224&lt;'PlayerGrades+'!$AI$9,"B-",IF(T224&lt;'PlayerGrades+'!$AI$8,"B",IF(T224&lt;'PlayerGrades+'!$AI$7,"B+",IF(T224&lt;'PlayerGrades+'!$AI$6,"A-",IF(T224&lt;'PlayerGrades+'!$AI$5,"A",IF(T224&lt;'PlayerGrades+'!$AI$4,"A+",IF(T224&lt;'PlayerGrades+'!$AI$3,"S-",IF(T224&lt;'PlayerGrades+'!$AI$2,"S","S+"))))))))))))))))))))</f>
        <v>A+</v>
      </c>
      <c r="V224" s="941">
        <v>1.0</v>
      </c>
      <c r="W224" s="941">
        <v>0.0</v>
      </c>
      <c r="X224" s="941">
        <v>1.0</v>
      </c>
      <c r="Y224" s="941">
        <v>0.0</v>
      </c>
      <c r="Z224" s="941">
        <v>2.0</v>
      </c>
      <c r="AA224" s="941">
        <v>116.0</v>
      </c>
      <c r="AB224" s="941">
        <v>111.0</v>
      </c>
      <c r="AC224" s="941">
        <v>5.0</v>
      </c>
      <c r="AD224" s="941">
        <v>5.0</v>
      </c>
      <c r="AE224" s="941">
        <v>7.0</v>
      </c>
      <c r="AF224" s="941">
        <v>0.0</v>
      </c>
      <c r="AG224" s="941">
        <v>1501.0</v>
      </c>
      <c r="AH224" s="941">
        <v>1928.0</v>
      </c>
      <c r="AI224" s="941">
        <v>13.0</v>
      </c>
      <c r="AJ224" s="941">
        <v>7.0</v>
      </c>
      <c r="AK224" s="941">
        <v>0.0</v>
      </c>
      <c r="AL224" s="941">
        <v>1.0</v>
      </c>
      <c r="AM224" s="941">
        <v>0.0</v>
      </c>
      <c r="AN224" s="941">
        <v>0.0</v>
      </c>
      <c r="AO224" s="941">
        <v>0.0</v>
      </c>
      <c r="AP224" s="941">
        <v>1.0</v>
      </c>
      <c r="AQ224" s="941">
        <v>0.0</v>
      </c>
      <c r="AR224" s="941">
        <v>19.0</v>
      </c>
      <c r="AS224" s="941">
        <v>2.0</v>
      </c>
      <c r="AT224" s="941">
        <v>0.0</v>
      </c>
      <c r="AU224" s="941">
        <v>0.0</v>
      </c>
      <c r="AV224" s="941">
        <v>0.0</v>
      </c>
      <c r="AW224" s="941">
        <v>0.0</v>
      </c>
      <c r="AX224" s="941">
        <v>0.0</v>
      </c>
      <c r="AY224" s="941">
        <v>0.0</v>
      </c>
      <c r="AZ224" s="941">
        <v>0.0</v>
      </c>
      <c r="BA224" s="941">
        <v>0.0</v>
      </c>
      <c r="BB224" s="941">
        <v>2.0</v>
      </c>
      <c r="BC224" s="941">
        <v>0.0</v>
      </c>
      <c r="BD224" s="941">
        <v>11.0</v>
      </c>
      <c r="BE224" s="941">
        <v>18.0</v>
      </c>
      <c r="BF224" s="941">
        <v>1.0</v>
      </c>
      <c r="BG224" s="942">
        <v>0.0</v>
      </c>
    </row>
    <row r="225">
      <c r="A225" s="943" t="s">
        <v>115</v>
      </c>
      <c r="B225" s="16" t="str">
        <f>IF(C225&lt;'PlayerGrades+'!$Y$44,"F-",IF(C225&lt;'PlayerGrades+'!$Y$43,"F",IF(C225&lt;'PlayerGrades+'!$Y$42,"F+",IF(C225&lt;'PlayerGrades+'!$Y$41,"E-",IF(C225&lt;'PlayerGrades+'!$Y$40,"E",IF(C225&lt;'PlayerGrades+'!$Y$39,"E+",IF(C225&lt;'PlayerGrades+'!$Y$38,"D-",IF(C225&lt;'PlayerGrades+'!$Y$37,"D",IF(C225&lt;'PlayerGrades+'!$Y$36,"D+",IF(C225&lt;'PlayerGrades+'!$Y$35,"C-",IF(C225&lt;'PlayerGrades+'!$Y$34,"C",IF(C225&lt;'PlayerGrades+'!$Y$33,"C+",IF(C225&lt;'PlayerGrades+'!$Y$32,"B-",IF(C225&lt;'PlayerGrades+'!$Y$31,"B",IF(C225&lt;'PlayerGrades+'!$Y$30,"B+",IF(C225&lt;'PlayerGrades+'!$Y$29,"A-",IF(C225&lt;'PlayerGrades+'!$Y$28,"A",IF(C225&lt;'PlayerGrades+'!$Y$27,"A+",IF(C225&lt;'PlayerGrades+'!$Y$26,"S-",IF(C225&lt;'PlayerGrades+'!$Y$25,"S","S+"))))))))))))))))))))</f>
        <v>F-</v>
      </c>
      <c r="C225" s="936">
        <f>('PlayerGrades+'!$Y$47*(VLOOKUP(E225, 'PlayerGrades+'!$X$3:$Y$23, 2, FALSE)))+('PlayerGrades+'!$Y$48*(VLOOKUP(G225, 'PlayerGrades+'!$X$3:$Y$23, 2, FALSE)))+('PlayerGrades+'!$Y$49*(VLOOKUP(I225, 'PlayerGrades+'!$X$3:$Y$23, 2, FALSE)))+('PlayerGrades+'!$Y$50*(VLOOKUP(K225, 'PlayerGrades+'!$X$3:$Y$23, 2, FALSE)))+('PlayerGrades+'!$Y$51*(VLOOKUP(M225, 'PlayerGrades+'!$X$3:$Y$23, 2, FALSE)))+('PlayerGrades+'!$Y$52*(VLOOKUP(O225, 'PlayerGrades+'!$X$3:$Y$23, 2, FALSE)))+('PlayerGrades+'!$Y$53*(VLOOKUP(Q225, 'PlayerGrades+'!$X$3:$Y$23, 2, FALSE)))+('PlayerGrades+'!$Y$54*(VLOOKUP(S225, 'PlayerGrades+'!$X$3:$Y$23, 2, FALSE)))+('PlayerGrades+'!$Y$55*(VLOOKUP(U225, 'PlayerGrades+'!$X$3:$Y$23, 2, FALSE)))</f>
        <v>6.95</v>
      </c>
      <c r="D225" s="937">
        <f t="shared" si="1"/>
        <v>0</v>
      </c>
      <c r="E225" s="937" t="str">
        <f>IF(D225&lt;'PlayerGrades+'!$AA$21,"F-",IF(D225&lt;'PlayerGrades+'!$AA$20,"F",IF(D225&lt;'PlayerGrades+'!$AA$19,"F+",IF(D225&lt;'PlayerGrades+'!$AA$18,"E-",IF(D225&lt;'PlayerGrades+'!$AA$17,"E",IF(D225&lt;'PlayerGrades+'!$AA$16,"E+",IF(D225&lt;'PlayerGrades+'!$AA$15,"D-",IF(D225&lt;'PlayerGrades+'!$AA$14,"D",IF(D225&lt;'PlayerGrades+'!$AA$13,"D+",IF(D225&lt;'PlayerGrades+'!$AA$12,"C-",IF(D225&lt;'PlayerGrades+'!$AA$11,"C",IF(D225&lt;'PlayerGrades+'!$AA$10,"C+",IF(D225&lt;'PlayerGrades+'!$AA$9,"B-",IF(D225&lt;'PlayerGrades+'!$AA$8,"B",IF(D225&lt;'PlayerGrades+'!$AA$7,"B+",IF(D225&lt;'PlayerGrades+'!$AA$6,"A-",IF(D225&lt;'PlayerGrades+'!$AA$5,"A",IF(D225&lt;'PlayerGrades+'!$AA$4,"A+",IF(D225&lt;'PlayerGrades+'!$AA$3,"S-",IF(D225&lt;'PlayerGrades+'!$AA$2,"S","S+"))))))))))))))))))))</f>
        <v>F-</v>
      </c>
      <c r="F225" s="937">
        <f t="shared" si="2"/>
        <v>-1.182572614</v>
      </c>
      <c r="G225" s="937" t="str">
        <f>IF(F225&lt;'PlayerGrades+'!$AB$21,"F-",IF(F225&lt;'PlayerGrades+'!$AB$20,"F",IF(F225&lt;'PlayerGrades+'!$AB$19,"F+",IF(F225&lt;'PlayerGrades+'!$AB$18,"E-",IF(F225&lt;'PlayerGrades+'!$AB$17,"E",IF(F225&lt;'PlayerGrades+'!$AB$16,"E+",IF(F225&lt;'PlayerGrades+'!$AB$15,"D-",IF(F225&lt;'PlayerGrades+'!$AB$14,"D",IF(F225&lt;'PlayerGrades+'!$AB$13,"D+",IF(F225&lt;'PlayerGrades+'!$AB$12,"C-",IF(F225&lt;'PlayerGrades+'!$AB$11,"C",IF(F225&lt;'PlayerGrades+'!$AB$10,"C+",IF(F225&lt;'PlayerGrades+'!$AB$9,"B-",IF(F225&lt;'PlayerGrades+'!$AB$8,"B",IF(F225&lt;'PlayerGrades+'!$AB$7,"B+",IF(F225&lt;'PlayerGrades+'!$AB$6,"A-",IF(F225&lt;'PlayerGrades+'!$AB$5,"A",IF(F225&lt;'PlayerGrades+'!$AB$4,"A+",IF(F225&lt;'PlayerGrades+'!$AB$3,"S-",IF(F225&lt;'PlayerGrades+'!$AB$2,"S","S+"))))))))))))))))))))</f>
        <v>F-</v>
      </c>
      <c r="H225" s="937">
        <f t="shared" si="3"/>
        <v>0.09336099585</v>
      </c>
      <c r="I225" s="937" t="str">
        <f>IF(H225&lt;'PlayerGrades+'!$AC$21,"F-",IF(H225&lt;'PlayerGrades+'!$AC$20,"F",IF(H225&lt;'PlayerGrades+'!$AC$19,"F+",IF(H225&lt;'PlayerGrades+'!$AC$18,"E-",IF(H225&lt;'PlayerGrades+'!$AC$17,"E",IF(H225&lt;'PlayerGrades+'!$AC$16,"E+",IF(H225&lt;'PlayerGrades+'!$AC$15,"D-",IF(H225&lt;'PlayerGrades+'!$AC$14,"D",IF(H225&lt;'PlayerGrades+'!$AC$13,"D+",IF(H225&lt;'PlayerGrades+'!$AC$12,"C-",IF(H225&lt;'PlayerGrades+'!$AC$11,"C",IF(H225&lt;'PlayerGrades+'!$AC$10,"C+",IF(H225&lt;'PlayerGrades+'!$AC$9,"B-",IF(H225&lt;'PlayerGrades+'!$AC$8,"B",IF(H225&lt;'PlayerGrades+'!$AC$7,"B+",IF(H225&lt;'PlayerGrades+'!$AC$6,"A-",IF(H225&lt;'PlayerGrades+'!$AC$5,"A",IF(H225&lt;'PlayerGrades+'!$AC$4,"A+",IF(H225&lt;'PlayerGrades+'!$AC$3,"S-",IF(H225&lt;'PlayerGrades+'!$AC$2,"S","S+"))))))))))))))))))))</f>
        <v>D+</v>
      </c>
      <c r="J225" s="937">
        <f t="shared" si="4"/>
        <v>0</v>
      </c>
      <c r="K225" s="937" t="str">
        <f>IF(J225&lt;'PlayerGrades+'!$AD$21,"F-",IF(J225&lt;'PlayerGrades+'!$AD$20,"F",IF(J225&lt;'PlayerGrades+'!$AD$19,"F+",IF(J225&lt;'PlayerGrades+'!$AD$18,"E-",IF(J225&lt;'PlayerGrades+'!$AD$17,"E",IF(J225&lt;'PlayerGrades+'!$AD$16,"E+",IF(J225&lt;'PlayerGrades+'!$AD$15,"D-",IF(J225&lt;'PlayerGrades+'!$AD$14,"D",IF(J225&lt;'PlayerGrades+'!$AD$13,"D+",IF(J225&lt;'PlayerGrades+'!$AD$12,"C-",IF(J225&lt;'PlayerGrades+'!$AD$11,"C",IF(J225&lt;'PlayerGrades+'!$AD$10,"C+",IF(J225&lt;'PlayerGrades+'!$AD$9,"B-",IF(J225&lt;'PlayerGrades+'!$AD$8,"B",IF(J225&lt;'PlayerGrades+'!$AD$7,"B+",IF(J225&lt;'PlayerGrades+'!$AD$6,"A-",IF(J225&lt;'PlayerGrades+'!$AD$5,"A",IF(J225&lt;'PlayerGrades+'!$AD$4,"A+",IF(J225&lt;'PlayerGrades+'!$AD$3,"S-",IF(J225&lt;'PlayerGrades+'!$AD$2,"S","S+"))))))))))))))))))))</f>
        <v>F-</v>
      </c>
      <c r="L225" s="677">
        <f t="shared" si="5"/>
        <v>0.3112033195</v>
      </c>
      <c r="M225" s="938" t="str">
        <f>IF(L225&lt;'PlayerGrades+'!$AE$21,"F-",IF(L225&lt;'PlayerGrades+'!$AE$20,"F",IF(L225&lt;'PlayerGrades+'!$AE$19,"F+",IF(L225&lt;'PlayerGrades+'!$AE$18,"E-",IF(L225&lt;'PlayerGrades+'!$AE$17,"E",IF(L225&lt;'PlayerGrades+'!$AE$16,"E+",IF(L225&lt;'PlayerGrades+'!$AE$15,"D-",IF(L225&lt;'PlayerGrades+'!$AE$14,"D",IF(L225&lt;'PlayerGrades+'!$AE$13,"D+",IF(L225&lt;'PlayerGrades+'!$AE$12,"C-",IF(L225&lt;'PlayerGrades+'!$AE$11,"C",IF(L225&lt;'PlayerGrades+'!$AE$10,"C+",IF(L225&lt;'PlayerGrades+'!$AE$9,"B-",IF(L225&lt;'PlayerGrades+'!$AE$8,"B",IF(L225&lt;'PlayerGrades+'!$AE$7,"B+",IF(L225&lt;'PlayerGrades+'!$AE$6,"A-",IF(L225&lt;'PlayerGrades+'!$AE$5,"A",IF(L225&lt;'PlayerGrades+'!$AE$4,"A+",IF(L225&lt;'PlayerGrades+'!$AE$3,"S-",IF(L225&lt;'PlayerGrades+'!$AE$2,"S","S+"))))))))))))))))))))</f>
        <v>E</v>
      </c>
      <c r="N225" s="937">
        <f t="shared" si="6"/>
        <v>0.03112033195</v>
      </c>
      <c r="O225" s="937" t="str">
        <f>IF(N225&lt;'PlayerGrades+'!$AF$21,"F-",IF(N225&lt;'PlayerGrades+'!$AF$20,"F",IF(N225&lt;'PlayerGrades+'!$AF$19,"F+",IF(N225&lt;'PlayerGrades+'!$AF$18,"E-",IF(N225&lt;'PlayerGrades+'!$AF$17,"E",IF(N225&lt;'PlayerGrades+'!$AF$16,"E+",IF(N225&lt;'PlayerGrades+'!$AF$15,"D-",IF(N225&lt;'PlayerGrades+'!$AF$14,"D",IF(N225&lt;'PlayerGrades+'!$AF$13,"D+",IF(N225&lt;'PlayerGrades+'!$AF$12,"C-",IF(N225&lt;'PlayerGrades+'!$AF$11,"C",IF(N225&lt;'PlayerGrades+'!$AF$10,"C+",IF(N225&lt;'PlayerGrades+'!$AF$9,"B-",IF(N225&lt;'PlayerGrades+'!$AF$8,"B",IF(N225&lt;'PlayerGrades+'!$AF$7,"B+",IF(N225&lt;'PlayerGrades+'!$AF$6,"A-",IF(N225&lt;'PlayerGrades+'!$AF$5,"A",IF(N225&lt;'PlayerGrades+'!$AF$4,"A+",IF(N225&lt;'PlayerGrades+'!$AF$3,"S-",IF(N225&lt;'PlayerGrades+'!$AF$2,"S","S+"))))))))))))))))))))</f>
        <v>F</v>
      </c>
      <c r="P225" s="937">
        <f t="shared" si="7"/>
        <v>0</v>
      </c>
      <c r="Q225" s="937" t="str">
        <f>IF(P225&lt;'PlayerGrades+'!$AG$21,"F-",IF(P225&lt;'PlayerGrades+'!$AG$20,"F",IF(P225&lt;'PlayerGrades+'!$AG$19,"F+",IF(P225&lt;'PlayerGrades+'!$AG$18,"E-",IF(P225&lt;'PlayerGrades+'!$AG$17,"E",IF(P225&lt;'PlayerGrades+'!$AG$16,"E+",IF(P225&lt;'PlayerGrades+'!$AG$15,"D-",IF(P225&lt;'PlayerGrades+'!$AG$14,"D",IF(P225&lt;'PlayerGrades+'!$AG$13,"D+",IF(P225&lt;'PlayerGrades+'!$AG$12,"C-",IF(P225&lt;'PlayerGrades+'!$AG$11,"C",IF(P225&lt;'PlayerGrades+'!$AG$10,"C+",IF(P225&lt;'PlayerGrades+'!$AG$9,"B-",IF(P225&lt;'PlayerGrades+'!$AG$8,"B",IF(P225&lt;'PlayerGrades+'!$AG$7,"B+",IF(P225&lt;'PlayerGrades+'!$AG$6,"A-",IF(P225&lt;'PlayerGrades+'!$AG$5,"A",IF(P225&lt;'PlayerGrades+'!$AG$4,"A+",IF(P225&lt;'PlayerGrades+'!$AG$3,"S-",IF(P225&lt;'PlayerGrades+'!$AG$2,"S","S+"))))))))))))))))))))</f>
        <v>F</v>
      </c>
      <c r="R225" s="937">
        <f t="shared" si="8"/>
        <v>0.4356846473</v>
      </c>
      <c r="S225" s="937" t="str">
        <f>IF(R225&lt;'PlayerGrades+'!$AH$21,"F-",IF(R225&lt;'PlayerGrades+'!$AH$20,"F",IF(R225&lt;'PlayerGrades+'!$AH$19,"F+",IF(R225&lt;'PlayerGrades+'!$AH$18,"E-",IF(R225&lt;'PlayerGrades+'!$AH$17,"E",IF(R225&lt;'PlayerGrades+'!$AH$16,"E+",IF(R225&lt;'PlayerGrades+'!$AH$15,"D-",IF(R225&lt;'PlayerGrades+'!$AH$14,"D",IF(R225&lt;'PlayerGrades+'!$AH$13,"D+",IF(R225&lt;'PlayerGrades+'!$AH$12,"C-",IF(R225&lt;'PlayerGrades+'!$AH$11,"C",IF(R225&lt;'PlayerGrades+'!$AH$10,"C+",IF(R225&lt;'PlayerGrades+'!$AH$9,"B-",IF(R225&lt;'PlayerGrades+'!$AH$8,"B",IF(R225&lt;'PlayerGrades+'!$AH$7,"B+",IF(R225&lt;'PlayerGrades+'!$AH$6,"A-",IF(R225&lt;'PlayerGrades+'!$AH$5,"A",IF(R225&lt;'PlayerGrades+'!$AH$4,"A+",IF(R225&lt;'PlayerGrades+'!$AH$3,"S-",IF(R225&lt;'PlayerGrades+'!$AH$2,"S","S+"))))))))))))))))))))</f>
        <v>E-</v>
      </c>
      <c r="T225" s="937">
        <f t="shared" si="9"/>
        <v>0.4668049793</v>
      </c>
      <c r="U225" s="937" t="str">
        <f>IF(T225&lt;'PlayerGrades+'!$AI$21,"F-",IF(T225&lt;'PlayerGrades+'!$AI$20,"F",IF(T225&lt;'PlayerGrades+'!$AI$19,"F+",IF(T225&lt;'PlayerGrades+'!$AI$18,"E-",IF(T225&lt;'PlayerGrades+'!$AI$17,"E",IF(T225&lt;'PlayerGrades+'!$AI$16,"E+",IF(T225&lt;'PlayerGrades+'!$AI$15,"D-",IF(T225&lt;'PlayerGrades+'!$AI$14,"D",IF(T225&lt;'PlayerGrades+'!$AI$13,"D+",IF(T225&lt;'PlayerGrades+'!$AI$12,"C-",IF(T225&lt;'PlayerGrades+'!$AI$11,"C",IF(T225&lt;'PlayerGrades+'!$AI$10,"C+",IF(T225&lt;'PlayerGrades+'!$AI$9,"B-",IF(T225&lt;'PlayerGrades+'!$AI$8,"B",IF(T225&lt;'PlayerGrades+'!$AI$7,"B+",IF(T225&lt;'PlayerGrades+'!$AI$6,"A-",IF(T225&lt;'PlayerGrades+'!$AI$5,"A",IF(T225&lt;'PlayerGrades+'!$AI$4,"A+",IF(T225&lt;'PlayerGrades+'!$AI$3,"S-",IF(T225&lt;'PlayerGrades+'!$AI$2,"S","S+"))))))))))))))))))))</f>
        <v>F-</v>
      </c>
      <c r="V225" s="944">
        <v>1.0</v>
      </c>
      <c r="W225" s="944">
        <v>0.0</v>
      </c>
      <c r="X225" s="944">
        <v>1.0</v>
      </c>
      <c r="Y225" s="944">
        <v>0.0</v>
      </c>
      <c r="Z225" s="944">
        <v>0.0</v>
      </c>
      <c r="AA225" s="944">
        <v>90.0</v>
      </c>
      <c r="AB225" s="944">
        <v>128.0</v>
      </c>
      <c r="AC225" s="944">
        <v>-38.0</v>
      </c>
      <c r="AD225" s="944">
        <v>4.0</v>
      </c>
      <c r="AE225" s="944">
        <v>3.0</v>
      </c>
      <c r="AF225" s="944">
        <v>2.0</v>
      </c>
      <c r="AG225" s="944">
        <v>1450.0</v>
      </c>
      <c r="AH225" s="944">
        <v>1928.0</v>
      </c>
      <c r="AI225" s="944">
        <v>11.0</v>
      </c>
      <c r="AJ225" s="944">
        <v>0.0</v>
      </c>
      <c r="AK225" s="944">
        <v>0.0</v>
      </c>
      <c r="AL225" s="944">
        <v>0.0</v>
      </c>
      <c r="AM225" s="944">
        <v>0.0</v>
      </c>
      <c r="AN225" s="944">
        <v>0.0</v>
      </c>
      <c r="AO225" s="944">
        <v>0.0</v>
      </c>
      <c r="AP225" s="944">
        <v>0.0</v>
      </c>
      <c r="AQ225" s="944">
        <v>0.0</v>
      </c>
      <c r="AR225" s="944">
        <v>10.0</v>
      </c>
      <c r="AS225" s="944">
        <v>1.0</v>
      </c>
      <c r="AT225" s="944">
        <v>0.0</v>
      </c>
      <c r="AU225" s="944">
        <v>0.0</v>
      </c>
      <c r="AV225" s="944">
        <v>0.0</v>
      </c>
      <c r="AW225" s="944">
        <v>0.0</v>
      </c>
      <c r="AX225" s="944">
        <v>0.0</v>
      </c>
      <c r="AY225" s="944">
        <v>0.0</v>
      </c>
      <c r="AZ225" s="944">
        <v>0.0</v>
      </c>
      <c r="BA225" s="944">
        <v>0.0</v>
      </c>
      <c r="BB225" s="944">
        <v>3.0</v>
      </c>
      <c r="BC225" s="944">
        <v>0.0</v>
      </c>
      <c r="BD225" s="944">
        <v>10.0</v>
      </c>
      <c r="BE225" s="944">
        <v>15.0</v>
      </c>
      <c r="BF225" s="944">
        <v>0.0</v>
      </c>
      <c r="BG225" s="945">
        <v>0.0</v>
      </c>
    </row>
    <row r="226">
      <c r="A226" s="946" t="s">
        <v>154</v>
      </c>
      <c r="B226" s="16" t="str">
        <f>IF(C226&lt;'PlayerGrades+'!$Y$44,"F-",IF(C226&lt;'PlayerGrades+'!$Y$43,"F",IF(C226&lt;'PlayerGrades+'!$Y$42,"F+",IF(C226&lt;'PlayerGrades+'!$Y$41,"E-",IF(C226&lt;'PlayerGrades+'!$Y$40,"E",IF(C226&lt;'PlayerGrades+'!$Y$39,"E+",IF(C226&lt;'PlayerGrades+'!$Y$38,"D-",IF(C226&lt;'PlayerGrades+'!$Y$37,"D",IF(C226&lt;'PlayerGrades+'!$Y$36,"D+",IF(C226&lt;'PlayerGrades+'!$Y$35,"C-",IF(C226&lt;'PlayerGrades+'!$Y$34,"C",IF(C226&lt;'PlayerGrades+'!$Y$33,"C+",IF(C226&lt;'PlayerGrades+'!$Y$32,"B-",IF(C226&lt;'PlayerGrades+'!$Y$31,"B",IF(C226&lt;'PlayerGrades+'!$Y$30,"B+",IF(C226&lt;'PlayerGrades+'!$Y$29,"A-",IF(C226&lt;'PlayerGrades+'!$Y$28,"A",IF(C226&lt;'PlayerGrades+'!$Y$27,"A+",IF(C226&lt;'PlayerGrades+'!$Y$26,"S-",IF(C226&lt;'PlayerGrades+'!$Y$25,"S","S+"))))))))))))))))))))</f>
        <v>D-</v>
      </c>
      <c r="C226" s="936">
        <f>('PlayerGrades+'!$Y$47*(VLOOKUP(E226, 'PlayerGrades+'!$X$3:$Y$23, 2, FALSE)))+('PlayerGrades+'!$Y$48*(VLOOKUP(G226, 'PlayerGrades+'!$X$3:$Y$23, 2, FALSE)))+('PlayerGrades+'!$Y$49*(VLOOKUP(I226, 'PlayerGrades+'!$X$3:$Y$23, 2, FALSE)))+('PlayerGrades+'!$Y$50*(VLOOKUP(K226, 'PlayerGrades+'!$X$3:$Y$23, 2, FALSE)))+('PlayerGrades+'!$Y$51*(VLOOKUP(M226, 'PlayerGrades+'!$X$3:$Y$23, 2, FALSE)))+('PlayerGrades+'!$Y$52*(VLOOKUP(O226, 'PlayerGrades+'!$X$3:$Y$23, 2, FALSE)))+('PlayerGrades+'!$Y$53*(VLOOKUP(Q226, 'PlayerGrades+'!$X$3:$Y$23, 2, FALSE)))+('PlayerGrades+'!$Y$54*(VLOOKUP(S226, 'PlayerGrades+'!$X$3:$Y$23, 2, FALSE)))+('PlayerGrades+'!$Y$55*(VLOOKUP(U226, 'PlayerGrades+'!$X$3:$Y$23, 2, FALSE)))</f>
        <v>13.75</v>
      </c>
      <c r="D226" s="937">
        <f t="shared" si="1"/>
        <v>0.4522613065</v>
      </c>
      <c r="E226" s="937" t="str">
        <f>IF(D226&lt;'PlayerGrades+'!$AA$21,"F-",IF(D226&lt;'PlayerGrades+'!$AA$20,"F",IF(D226&lt;'PlayerGrades+'!$AA$19,"F+",IF(D226&lt;'PlayerGrades+'!$AA$18,"E-",IF(D226&lt;'PlayerGrades+'!$AA$17,"E",IF(D226&lt;'PlayerGrades+'!$AA$16,"E+",IF(D226&lt;'PlayerGrades+'!$AA$15,"D-",IF(D226&lt;'PlayerGrades+'!$AA$14,"D",IF(D226&lt;'PlayerGrades+'!$AA$13,"D+",IF(D226&lt;'PlayerGrades+'!$AA$12,"C-",IF(D226&lt;'PlayerGrades+'!$AA$11,"C",IF(D226&lt;'PlayerGrades+'!$AA$10,"C+",IF(D226&lt;'PlayerGrades+'!$AA$9,"B-",IF(D226&lt;'PlayerGrades+'!$AA$8,"B",IF(D226&lt;'PlayerGrades+'!$AA$7,"B+",IF(D226&lt;'PlayerGrades+'!$AA$6,"A-",IF(D226&lt;'PlayerGrades+'!$AA$5,"A",IF(D226&lt;'PlayerGrades+'!$AA$4,"A+",IF(D226&lt;'PlayerGrades+'!$AA$3,"S-",IF(D226&lt;'PlayerGrades+'!$AA$2,"S","S+"))))))))))))))))))))</f>
        <v>A+</v>
      </c>
      <c r="F226" s="937">
        <f t="shared" si="2"/>
        <v>-0.1507537688</v>
      </c>
      <c r="G226" s="937" t="str">
        <f>IF(F226&lt;'PlayerGrades+'!$AB$21,"F-",IF(F226&lt;'PlayerGrades+'!$AB$20,"F",IF(F226&lt;'PlayerGrades+'!$AB$19,"F+",IF(F226&lt;'PlayerGrades+'!$AB$18,"E-",IF(F226&lt;'PlayerGrades+'!$AB$17,"E",IF(F226&lt;'PlayerGrades+'!$AB$16,"E+",IF(F226&lt;'PlayerGrades+'!$AB$15,"D-",IF(F226&lt;'PlayerGrades+'!$AB$14,"D",IF(F226&lt;'PlayerGrades+'!$AB$13,"D+",IF(F226&lt;'PlayerGrades+'!$AB$12,"C-",IF(F226&lt;'PlayerGrades+'!$AB$11,"C",IF(F226&lt;'PlayerGrades+'!$AB$10,"C+",IF(F226&lt;'PlayerGrades+'!$AB$9,"B-",IF(F226&lt;'PlayerGrades+'!$AB$8,"B",IF(F226&lt;'PlayerGrades+'!$AB$7,"B+",IF(F226&lt;'PlayerGrades+'!$AB$6,"A-",IF(F226&lt;'PlayerGrades+'!$AB$5,"A",IF(F226&lt;'PlayerGrades+'!$AB$4,"A+",IF(F226&lt;'PlayerGrades+'!$AB$3,"S-",IF(F226&lt;'PlayerGrades+'!$AB$2,"S","S+"))))))))))))))))))))</f>
        <v>C+</v>
      </c>
      <c r="H226" s="937">
        <f t="shared" si="3"/>
        <v>0</v>
      </c>
      <c r="I226" s="937" t="str">
        <f>IF(H226&lt;'PlayerGrades+'!$AC$21,"F-",IF(H226&lt;'PlayerGrades+'!$AC$20,"F",IF(H226&lt;'PlayerGrades+'!$AC$19,"F+",IF(H226&lt;'PlayerGrades+'!$AC$18,"E-",IF(H226&lt;'PlayerGrades+'!$AC$17,"E",IF(H226&lt;'PlayerGrades+'!$AC$16,"E+",IF(H226&lt;'PlayerGrades+'!$AC$15,"D-",IF(H226&lt;'PlayerGrades+'!$AC$14,"D",IF(H226&lt;'PlayerGrades+'!$AC$13,"D+",IF(H226&lt;'PlayerGrades+'!$AC$12,"C-",IF(H226&lt;'PlayerGrades+'!$AC$11,"C",IF(H226&lt;'PlayerGrades+'!$AC$10,"C+",IF(H226&lt;'PlayerGrades+'!$AC$9,"B-",IF(H226&lt;'PlayerGrades+'!$AC$8,"B",IF(H226&lt;'PlayerGrades+'!$AC$7,"B+",IF(H226&lt;'PlayerGrades+'!$AC$6,"A-",IF(H226&lt;'PlayerGrades+'!$AC$5,"A",IF(H226&lt;'PlayerGrades+'!$AC$4,"A+",IF(H226&lt;'PlayerGrades+'!$AC$3,"S-",IF(H226&lt;'PlayerGrades+'!$AC$2,"S","S+"))))))))))))))))))))</f>
        <v>F-</v>
      </c>
      <c r="J226" s="937">
        <f t="shared" si="4"/>
        <v>0</v>
      </c>
      <c r="K226" s="937" t="str">
        <f>IF(J226&lt;'PlayerGrades+'!$AD$21,"F-",IF(J226&lt;'PlayerGrades+'!$AD$20,"F",IF(J226&lt;'PlayerGrades+'!$AD$19,"F+",IF(J226&lt;'PlayerGrades+'!$AD$18,"E-",IF(J226&lt;'PlayerGrades+'!$AD$17,"E",IF(J226&lt;'PlayerGrades+'!$AD$16,"E+",IF(J226&lt;'PlayerGrades+'!$AD$15,"D-",IF(J226&lt;'PlayerGrades+'!$AD$14,"D",IF(J226&lt;'PlayerGrades+'!$AD$13,"D+",IF(J226&lt;'PlayerGrades+'!$AD$12,"C-",IF(J226&lt;'PlayerGrades+'!$AD$11,"C",IF(J226&lt;'PlayerGrades+'!$AD$10,"C+",IF(J226&lt;'PlayerGrades+'!$AD$9,"B-",IF(J226&lt;'PlayerGrades+'!$AD$8,"B",IF(J226&lt;'PlayerGrades+'!$AD$7,"B+",IF(J226&lt;'PlayerGrades+'!$AD$6,"A-",IF(J226&lt;'PlayerGrades+'!$AD$5,"A",IF(J226&lt;'PlayerGrades+'!$AD$4,"A+",IF(J226&lt;'PlayerGrades+'!$AD$3,"S-",IF(J226&lt;'PlayerGrades+'!$AD$2,"S","S+"))))))))))))))))))))</f>
        <v>F-</v>
      </c>
      <c r="L226" s="677">
        <f t="shared" si="5"/>
        <v>0.1507537688</v>
      </c>
      <c r="M226" s="938" t="str">
        <f>IF(L226&lt;'PlayerGrades+'!$AE$21,"F-",IF(L226&lt;'PlayerGrades+'!$AE$20,"F",IF(L226&lt;'PlayerGrades+'!$AE$19,"F+",IF(L226&lt;'PlayerGrades+'!$AE$18,"E-",IF(L226&lt;'PlayerGrades+'!$AE$17,"E",IF(L226&lt;'PlayerGrades+'!$AE$16,"E+",IF(L226&lt;'PlayerGrades+'!$AE$15,"D-",IF(L226&lt;'PlayerGrades+'!$AE$14,"D",IF(L226&lt;'PlayerGrades+'!$AE$13,"D+",IF(L226&lt;'PlayerGrades+'!$AE$12,"C-",IF(L226&lt;'PlayerGrades+'!$AE$11,"C",IF(L226&lt;'PlayerGrades+'!$AE$10,"C+",IF(L226&lt;'PlayerGrades+'!$AE$9,"B-",IF(L226&lt;'PlayerGrades+'!$AE$8,"B",IF(L226&lt;'PlayerGrades+'!$AE$7,"B+",IF(L226&lt;'PlayerGrades+'!$AE$6,"A-",IF(L226&lt;'PlayerGrades+'!$AE$5,"A",IF(L226&lt;'PlayerGrades+'!$AE$4,"A+",IF(L226&lt;'PlayerGrades+'!$AE$3,"S-",IF(L226&lt;'PlayerGrades+'!$AE$2,"S","S+"))))))))))))))))))))</f>
        <v>F-</v>
      </c>
      <c r="N226" s="937">
        <f t="shared" si="6"/>
        <v>0.07537688442</v>
      </c>
      <c r="O226" s="937" t="str">
        <f>IF(N226&lt;'PlayerGrades+'!$AF$21,"F-",IF(N226&lt;'PlayerGrades+'!$AF$20,"F",IF(N226&lt;'PlayerGrades+'!$AF$19,"F+",IF(N226&lt;'PlayerGrades+'!$AF$18,"E-",IF(N226&lt;'PlayerGrades+'!$AF$17,"E",IF(N226&lt;'PlayerGrades+'!$AF$16,"E+",IF(N226&lt;'PlayerGrades+'!$AF$15,"D-",IF(N226&lt;'PlayerGrades+'!$AF$14,"D",IF(N226&lt;'PlayerGrades+'!$AF$13,"D+",IF(N226&lt;'PlayerGrades+'!$AF$12,"C-",IF(N226&lt;'PlayerGrades+'!$AF$11,"C",IF(N226&lt;'PlayerGrades+'!$AF$10,"C+",IF(N226&lt;'PlayerGrades+'!$AF$9,"B-",IF(N226&lt;'PlayerGrades+'!$AF$8,"B",IF(N226&lt;'PlayerGrades+'!$AF$7,"B+",IF(N226&lt;'PlayerGrades+'!$AF$6,"A-",IF(N226&lt;'PlayerGrades+'!$AF$5,"A",IF(N226&lt;'PlayerGrades+'!$AF$4,"A+",IF(N226&lt;'PlayerGrades+'!$AF$3,"S-",IF(N226&lt;'PlayerGrades+'!$AF$2,"S","S+"))))))))))))))))))))</f>
        <v>B-</v>
      </c>
      <c r="P226" s="937">
        <f t="shared" si="7"/>
        <v>0</v>
      </c>
      <c r="Q226" s="937" t="str">
        <f>IF(P226&lt;'PlayerGrades+'!$AG$21,"F-",IF(P226&lt;'PlayerGrades+'!$AG$20,"F",IF(P226&lt;'PlayerGrades+'!$AG$19,"F+",IF(P226&lt;'PlayerGrades+'!$AG$18,"E-",IF(P226&lt;'PlayerGrades+'!$AG$17,"E",IF(P226&lt;'PlayerGrades+'!$AG$16,"E+",IF(P226&lt;'PlayerGrades+'!$AG$15,"D-",IF(P226&lt;'PlayerGrades+'!$AG$14,"D",IF(P226&lt;'PlayerGrades+'!$AG$13,"D+",IF(P226&lt;'PlayerGrades+'!$AG$12,"C-",IF(P226&lt;'PlayerGrades+'!$AG$11,"C",IF(P226&lt;'PlayerGrades+'!$AG$10,"C+",IF(P226&lt;'PlayerGrades+'!$AG$9,"B-",IF(P226&lt;'PlayerGrades+'!$AG$8,"B",IF(P226&lt;'PlayerGrades+'!$AG$7,"B+",IF(P226&lt;'PlayerGrades+'!$AG$6,"A-",IF(P226&lt;'PlayerGrades+'!$AG$5,"A",IF(P226&lt;'PlayerGrades+'!$AG$4,"A+",IF(P226&lt;'PlayerGrades+'!$AG$3,"S-",IF(P226&lt;'PlayerGrades+'!$AG$2,"S","S+"))))))))))))))))))))</f>
        <v>F</v>
      </c>
      <c r="R226" s="937">
        <f t="shared" si="8"/>
        <v>0.2261306533</v>
      </c>
      <c r="S226" s="937" t="str">
        <f>IF(R226&lt;'PlayerGrades+'!$AH$21,"F-",IF(R226&lt;'PlayerGrades+'!$AH$20,"F",IF(R226&lt;'PlayerGrades+'!$AH$19,"F+",IF(R226&lt;'PlayerGrades+'!$AH$18,"E-",IF(R226&lt;'PlayerGrades+'!$AH$17,"E",IF(R226&lt;'PlayerGrades+'!$AH$16,"E+",IF(R226&lt;'PlayerGrades+'!$AH$15,"D-",IF(R226&lt;'PlayerGrades+'!$AH$14,"D",IF(R226&lt;'PlayerGrades+'!$AH$13,"D+",IF(R226&lt;'PlayerGrades+'!$AH$12,"C-",IF(R226&lt;'PlayerGrades+'!$AH$11,"C",IF(R226&lt;'PlayerGrades+'!$AH$10,"C+",IF(R226&lt;'PlayerGrades+'!$AH$9,"B-",IF(R226&lt;'PlayerGrades+'!$AH$8,"B",IF(R226&lt;'PlayerGrades+'!$AH$7,"B+",IF(R226&lt;'PlayerGrades+'!$AH$6,"A-",IF(R226&lt;'PlayerGrades+'!$AH$5,"A",IF(R226&lt;'PlayerGrades+'!$AH$4,"A+",IF(R226&lt;'PlayerGrades+'!$AH$3,"S-",IF(R226&lt;'PlayerGrades+'!$AH$2,"S","S+"))))))))))))))))))))</f>
        <v>F-</v>
      </c>
      <c r="T226" s="937">
        <f t="shared" si="9"/>
        <v>1</v>
      </c>
      <c r="U226" s="937" t="str">
        <f>IF(T226&lt;'PlayerGrades+'!$AI$21,"F-",IF(T226&lt;'PlayerGrades+'!$AI$20,"F",IF(T226&lt;'PlayerGrades+'!$AI$19,"F+",IF(T226&lt;'PlayerGrades+'!$AI$18,"E-",IF(T226&lt;'PlayerGrades+'!$AI$17,"E",IF(T226&lt;'PlayerGrades+'!$AI$16,"E+",IF(T226&lt;'PlayerGrades+'!$AI$15,"D-",IF(T226&lt;'PlayerGrades+'!$AI$14,"D",IF(T226&lt;'PlayerGrades+'!$AI$13,"D+",IF(T226&lt;'PlayerGrades+'!$AI$12,"C-",IF(T226&lt;'PlayerGrades+'!$AI$11,"C",IF(T226&lt;'PlayerGrades+'!$AI$10,"C+",IF(T226&lt;'PlayerGrades+'!$AI$9,"B-",IF(T226&lt;'PlayerGrades+'!$AI$8,"B",IF(T226&lt;'PlayerGrades+'!$AI$7,"B+",IF(T226&lt;'PlayerGrades+'!$AI$6,"A-",IF(T226&lt;'PlayerGrades+'!$AI$5,"A",IF(T226&lt;'PlayerGrades+'!$AI$4,"A+",IF(T226&lt;'PlayerGrades+'!$AI$3,"S-",IF(T226&lt;'PlayerGrades+'!$AI$2,"S","S+"))))))))))))))))))))</f>
        <v>E+</v>
      </c>
      <c r="V226" s="939">
        <v>1.0</v>
      </c>
      <c r="W226" s="939">
        <v>1.0</v>
      </c>
      <c r="X226" s="939">
        <v>0.0</v>
      </c>
      <c r="Y226" s="939">
        <v>4.0</v>
      </c>
      <c r="Z226" s="939">
        <v>2.0</v>
      </c>
      <c r="AA226" s="939">
        <v>17.0</v>
      </c>
      <c r="AB226" s="939">
        <v>19.0</v>
      </c>
      <c r="AC226" s="939">
        <v>-2.0</v>
      </c>
      <c r="AD226" s="939">
        <v>0.0</v>
      </c>
      <c r="AE226" s="939">
        <v>3.0</v>
      </c>
      <c r="AF226" s="939">
        <v>1.0</v>
      </c>
      <c r="AG226" s="939">
        <v>653.0</v>
      </c>
      <c r="AH226" s="939">
        <v>796.0</v>
      </c>
      <c r="AI226" s="939">
        <v>34.0</v>
      </c>
      <c r="AJ226" s="939">
        <v>385.0</v>
      </c>
      <c r="AK226" s="939">
        <v>0.0</v>
      </c>
      <c r="AL226" s="939">
        <v>0.0</v>
      </c>
      <c r="AM226" s="939">
        <v>0.0</v>
      </c>
      <c r="AN226" s="939">
        <v>0.0</v>
      </c>
      <c r="AO226" s="939">
        <v>0.0</v>
      </c>
      <c r="AP226" s="939">
        <v>0.0</v>
      </c>
      <c r="AQ226" s="939">
        <v>0.0</v>
      </c>
      <c r="AR226" s="939">
        <v>2.0</v>
      </c>
      <c r="AS226" s="939">
        <v>1.0</v>
      </c>
      <c r="AT226" s="939">
        <v>0.0</v>
      </c>
      <c r="AU226" s="939">
        <v>0.0</v>
      </c>
      <c r="AV226" s="939">
        <v>0.0</v>
      </c>
      <c r="AW226" s="939">
        <v>0.0</v>
      </c>
      <c r="AX226" s="939">
        <v>0.0</v>
      </c>
      <c r="AY226" s="939">
        <v>0.0</v>
      </c>
      <c r="AZ226" s="939">
        <v>0.0</v>
      </c>
      <c r="BA226" s="939">
        <v>0.0</v>
      </c>
      <c r="BB226" s="939">
        <v>0.0</v>
      </c>
      <c r="BC226" s="939">
        <v>0.0</v>
      </c>
      <c r="BD226" s="939">
        <v>3.0</v>
      </c>
      <c r="BE226" s="939">
        <v>0.0</v>
      </c>
      <c r="BF226" s="939">
        <v>1.0</v>
      </c>
      <c r="BG226" s="940">
        <v>1.0</v>
      </c>
    </row>
    <row r="227">
      <c r="A227" s="935" t="s">
        <v>121</v>
      </c>
      <c r="B227" s="16" t="str">
        <f>IF(C227&lt;'PlayerGrades+'!$Y$44,"F-",IF(C227&lt;'PlayerGrades+'!$Y$43,"F",IF(C227&lt;'PlayerGrades+'!$Y$42,"F+",IF(C227&lt;'PlayerGrades+'!$Y$41,"E-",IF(C227&lt;'PlayerGrades+'!$Y$40,"E",IF(C227&lt;'PlayerGrades+'!$Y$39,"E+",IF(C227&lt;'PlayerGrades+'!$Y$38,"D-",IF(C227&lt;'PlayerGrades+'!$Y$37,"D",IF(C227&lt;'PlayerGrades+'!$Y$36,"D+",IF(C227&lt;'PlayerGrades+'!$Y$35,"C-",IF(C227&lt;'PlayerGrades+'!$Y$34,"C",IF(C227&lt;'PlayerGrades+'!$Y$33,"C+",IF(C227&lt;'PlayerGrades+'!$Y$32,"B-",IF(C227&lt;'PlayerGrades+'!$Y$31,"B",IF(C227&lt;'PlayerGrades+'!$Y$30,"B+",IF(C227&lt;'PlayerGrades+'!$Y$29,"A-",IF(C227&lt;'PlayerGrades+'!$Y$28,"A",IF(C227&lt;'PlayerGrades+'!$Y$27,"A+",IF(C227&lt;'PlayerGrades+'!$Y$26,"S-",IF(C227&lt;'PlayerGrades+'!$Y$25,"S","S+"))))))))))))))))))))</f>
        <v>A</v>
      </c>
      <c r="C227" s="936">
        <f>('PlayerGrades+'!$Y$47*(VLOOKUP(E227, 'PlayerGrades+'!$X$3:$Y$23, 2, FALSE)))+('PlayerGrades+'!$Y$48*(VLOOKUP(G227, 'PlayerGrades+'!$X$3:$Y$23, 2, FALSE)))+('PlayerGrades+'!$Y$49*(VLOOKUP(I227, 'PlayerGrades+'!$X$3:$Y$23, 2, FALSE)))+('PlayerGrades+'!$Y$50*(VLOOKUP(K227, 'PlayerGrades+'!$X$3:$Y$23, 2, FALSE)))+('PlayerGrades+'!$Y$51*(VLOOKUP(M227, 'PlayerGrades+'!$X$3:$Y$23, 2, FALSE)))+('PlayerGrades+'!$Y$52*(VLOOKUP(O227, 'PlayerGrades+'!$X$3:$Y$23, 2, FALSE)))+('PlayerGrades+'!$Y$53*(VLOOKUP(Q227, 'PlayerGrades+'!$X$3:$Y$23, 2, FALSE)))+('PlayerGrades+'!$Y$54*(VLOOKUP(S227, 'PlayerGrades+'!$X$3:$Y$23, 2, FALSE)))+('PlayerGrades+'!$Y$55*(VLOOKUP(U227, 'PlayerGrades+'!$X$3:$Y$23, 2, FALSE)))</f>
        <v>26.65</v>
      </c>
      <c r="D227" s="937">
        <f t="shared" si="1"/>
        <v>0.07537688442</v>
      </c>
      <c r="E227" s="937" t="str">
        <f>IF(D227&lt;'PlayerGrades+'!$AA$21,"F-",IF(D227&lt;'PlayerGrades+'!$AA$20,"F",IF(D227&lt;'PlayerGrades+'!$AA$19,"F+",IF(D227&lt;'PlayerGrades+'!$AA$18,"E-",IF(D227&lt;'PlayerGrades+'!$AA$17,"E",IF(D227&lt;'PlayerGrades+'!$AA$16,"E+",IF(D227&lt;'PlayerGrades+'!$AA$15,"D-",IF(D227&lt;'PlayerGrades+'!$AA$14,"D",IF(D227&lt;'PlayerGrades+'!$AA$13,"D+",IF(D227&lt;'PlayerGrades+'!$AA$12,"C-",IF(D227&lt;'PlayerGrades+'!$AA$11,"C",IF(D227&lt;'PlayerGrades+'!$AA$10,"C+",IF(D227&lt;'PlayerGrades+'!$AA$9,"B-",IF(D227&lt;'PlayerGrades+'!$AA$8,"B",IF(D227&lt;'PlayerGrades+'!$AA$7,"B+",IF(D227&lt;'PlayerGrades+'!$AA$6,"A-",IF(D227&lt;'PlayerGrades+'!$AA$5,"A",IF(D227&lt;'PlayerGrades+'!$AA$4,"A+",IF(D227&lt;'PlayerGrades+'!$AA$3,"S-",IF(D227&lt;'PlayerGrades+'!$AA$2,"S","S+"))))))))))))))))))))</f>
        <v>B</v>
      </c>
      <c r="F227" s="937">
        <f t="shared" si="2"/>
        <v>0.6783919598</v>
      </c>
      <c r="G227" s="937" t="str">
        <f>IF(F227&lt;'PlayerGrades+'!$AB$21,"F-",IF(F227&lt;'PlayerGrades+'!$AB$20,"F",IF(F227&lt;'PlayerGrades+'!$AB$19,"F+",IF(F227&lt;'PlayerGrades+'!$AB$18,"E-",IF(F227&lt;'PlayerGrades+'!$AB$17,"E",IF(F227&lt;'PlayerGrades+'!$AB$16,"E+",IF(F227&lt;'PlayerGrades+'!$AB$15,"D-",IF(F227&lt;'PlayerGrades+'!$AB$14,"D",IF(F227&lt;'PlayerGrades+'!$AB$13,"D+",IF(F227&lt;'PlayerGrades+'!$AB$12,"C-",IF(F227&lt;'PlayerGrades+'!$AB$11,"C",IF(F227&lt;'PlayerGrades+'!$AB$10,"C+",IF(F227&lt;'PlayerGrades+'!$AB$9,"B-",IF(F227&lt;'PlayerGrades+'!$AB$8,"B",IF(F227&lt;'PlayerGrades+'!$AB$7,"B+",IF(F227&lt;'PlayerGrades+'!$AB$6,"A-",IF(F227&lt;'PlayerGrades+'!$AB$5,"A",IF(F227&lt;'PlayerGrades+'!$AB$4,"A+",IF(F227&lt;'PlayerGrades+'!$AB$3,"S-",IF(F227&lt;'PlayerGrades+'!$AB$2,"S","S+"))))))))))))))))))))</f>
        <v>S-</v>
      </c>
      <c r="H227" s="937">
        <f t="shared" si="3"/>
        <v>0</v>
      </c>
      <c r="I227" s="937" t="str">
        <f>IF(H227&lt;'PlayerGrades+'!$AC$21,"F-",IF(H227&lt;'PlayerGrades+'!$AC$20,"F",IF(H227&lt;'PlayerGrades+'!$AC$19,"F+",IF(H227&lt;'PlayerGrades+'!$AC$18,"E-",IF(H227&lt;'PlayerGrades+'!$AC$17,"E",IF(H227&lt;'PlayerGrades+'!$AC$16,"E+",IF(H227&lt;'PlayerGrades+'!$AC$15,"D-",IF(H227&lt;'PlayerGrades+'!$AC$14,"D",IF(H227&lt;'PlayerGrades+'!$AC$13,"D+",IF(H227&lt;'PlayerGrades+'!$AC$12,"C-",IF(H227&lt;'PlayerGrades+'!$AC$11,"C",IF(H227&lt;'PlayerGrades+'!$AC$10,"C+",IF(H227&lt;'PlayerGrades+'!$AC$9,"B-",IF(H227&lt;'PlayerGrades+'!$AC$8,"B",IF(H227&lt;'PlayerGrades+'!$AC$7,"B+",IF(H227&lt;'PlayerGrades+'!$AC$6,"A-",IF(H227&lt;'PlayerGrades+'!$AC$5,"A",IF(H227&lt;'PlayerGrades+'!$AC$4,"A+",IF(H227&lt;'PlayerGrades+'!$AC$3,"S-",IF(H227&lt;'PlayerGrades+'!$AC$2,"S","S+"))))))))))))))))))))</f>
        <v>F-</v>
      </c>
      <c r="J227" s="937">
        <f t="shared" si="4"/>
        <v>0</v>
      </c>
      <c r="K227" s="937" t="str">
        <f>IF(J227&lt;'PlayerGrades+'!$AD$21,"F-",IF(J227&lt;'PlayerGrades+'!$AD$20,"F",IF(J227&lt;'PlayerGrades+'!$AD$19,"F+",IF(J227&lt;'PlayerGrades+'!$AD$18,"E-",IF(J227&lt;'PlayerGrades+'!$AD$17,"E",IF(J227&lt;'PlayerGrades+'!$AD$16,"E+",IF(J227&lt;'PlayerGrades+'!$AD$15,"D-",IF(J227&lt;'PlayerGrades+'!$AD$14,"D",IF(J227&lt;'PlayerGrades+'!$AD$13,"D+",IF(J227&lt;'PlayerGrades+'!$AD$12,"C-",IF(J227&lt;'PlayerGrades+'!$AD$11,"C",IF(J227&lt;'PlayerGrades+'!$AD$10,"C+",IF(J227&lt;'PlayerGrades+'!$AD$9,"B-",IF(J227&lt;'PlayerGrades+'!$AD$8,"B",IF(J227&lt;'PlayerGrades+'!$AD$7,"B+",IF(J227&lt;'PlayerGrades+'!$AD$6,"A-",IF(J227&lt;'PlayerGrades+'!$AD$5,"A",IF(J227&lt;'PlayerGrades+'!$AD$4,"A+",IF(J227&lt;'PlayerGrades+'!$AD$3,"S-",IF(J227&lt;'PlayerGrades+'!$AD$2,"S","S+"))))))))))))))))))))</f>
        <v>F-</v>
      </c>
      <c r="L227" s="677">
        <f t="shared" si="5"/>
        <v>0.6030150754</v>
      </c>
      <c r="M227" s="938" t="str">
        <f>IF(L227&lt;'PlayerGrades+'!$AE$21,"F-",IF(L227&lt;'PlayerGrades+'!$AE$20,"F",IF(L227&lt;'PlayerGrades+'!$AE$19,"F+",IF(L227&lt;'PlayerGrades+'!$AE$18,"E-",IF(L227&lt;'PlayerGrades+'!$AE$17,"E",IF(L227&lt;'PlayerGrades+'!$AE$16,"E+",IF(L227&lt;'PlayerGrades+'!$AE$15,"D-",IF(L227&lt;'PlayerGrades+'!$AE$14,"D",IF(L227&lt;'PlayerGrades+'!$AE$13,"D+",IF(L227&lt;'PlayerGrades+'!$AE$12,"C-",IF(L227&lt;'PlayerGrades+'!$AE$11,"C",IF(L227&lt;'PlayerGrades+'!$AE$10,"C+",IF(L227&lt;'PlayerGrades+'!$AE$9,"B-",IF(L227&lt;'PlayerGrades+'!$AE$8,"B",IF(L227&lt;'PlayerGrades+'!$AE$7,"B+",IF(L227&lt;'PlayerGrades+'!$AE$6,"A-",IF(L227&lt;'PlayerGrades+'!$AE$5,"A",IF(L227&lt;'PlayerGrades+'!$AE$4,"A+",IF(L227&lt;'PlayerGrades+'!$AE$3,"S-",IF(L227&lt;'PlayerGrades+'!$AE$2,"S","S+"))))))))))))))))))))</f>
        <v>A+</v>
      </c>
      <c r="N227" s="937">
        <f t="shared" si="6"/>
        <v>0.1507537688</v>
      </c>
      <c r="O227" s="937" t="str">
        <f>IF(N227&lt;'PlayerGrades+'!$AF$21,"F-",IF(N227&lt;'PlayerGrades+'!$AF$20,"F",IF(N227&lt;'PlayerGrades+'!$AF$19,"F+",IF(N227&lt;'PlayerGrades+'!$AF$18,"E-",IF(N227&lt;'PlayerGrades+'!$AF$17,"E",IF(N227&lt;'PlayerGrades+'!$AF$16,"E+",IF(N227&lt;'PlayerGrades+'!$AF$15,"D-",IF(N227&lt;'PlayerGrades+'!$AF$14,"D",IF(N227&lt;'PlayerGrades+'!$AF$13,"D+",IF(N227&lt;'PlayerGrades+'!$AF$12,"C-",IF(N227&lt;'PlayerGrades+'!$AF$11,"C",IF(N227&lt;'PlayerGrades+'!$AF$10,"C+",IF(N227&lt;'PlayerGrades+'!$AF$9,"B-",IF(N227&lt;'PlayerGrades+'!$AF$8,"B",IF(N227&lt;'PlayerGrades+'!$AF$7,"B+",IF(N227&lt;'PlayerGrades+'!$AF$6,"A-",IF(N227&lt;'PlayerGrades+'!$AF$5,"A",IF(N227&lt;'PlayerGrades+'!$AF$4,"A+",IF(N227&lt;'PlayerGrades+'!$AF$3,"S-",IF(N227&lt;'PlayerGrades+'!$AF$2,"S","S+"))))))))))))))))))))</f>
        <v>S+</v>
      </c>
      <c r="P227" s="937">
        <f t="shared" si="7"/>
        <v>0</v>
      </c>
      <c r="Q227" s="937" t="str">
        <f>IF(P227&lt;'PlayerGrades+'!$AG$21,"F-",IF(P227&lt;'PlayerGrades+'!$AG$20,"F",IF(P227&lt;'PlayerGrades+'!$AG$19,"F+",IF(P227&lt;'PlayerGrades+'!$AG$18,"E-",IF(P227&lt;'PlayerGrades+'!$AG$17,"E",IF(P227&lt;'PlayerGrades+'!$AG$16,"E+",IF(P227&lt;'PlayerGrades+'!$AG$15,"D-",IF(P227&lt;'PlayerGrades+'!$AG$14,"D",IF(P227&lt;'PlayerGrades+'!$AG$13,"D+",IF(P227&lt;'PlayerGrades+'!$AG$12,"C-",IF(P227&lt;'PlayerGrades+'!$AG$11,"C",IF(P227&lt;'PlayerGrades+'!$AG$10,"C+",IF(P227&lt;'PlayerGrades+'!$AG$9,"B-",IF(P227&lt;'PlayerGrades+'!$AG$8,"B",IF(P227&lt;'PlayerGrades+'!$AG$7,"B+",IF(P227&lt;'PlayerGrades+'!$AG$6,"A-",IF(P227&lt;'PlayerGrades+'!$AG$5,"A",IF(P227&lt;'PlayerGrades+'!$AG$4,"A+",IF(P227&lt;'PlayerGrades+'!$AG$3,"S-",IF(P227&lt;'PlayerGrades+'!$AG$2,"S","S+"))))))))))))))))))))</f>
        <v>F</v>
      </c>
      <c r="R227" s="937">
        <f t="shared" si="8"/>
        <v>0.7537688442</v>
      </c>
      <c r="S227" s="937" t="str">
        <f>IF(R227&lt;'PlayerGrades+'!$AH$21,"F-",IF(R227&lt;'PlayerGrades+'!$AH$20,"F",IF(R227&lt;'PlayerGrades+'!$AH$19,"F+",IF(R227&lt;'PlayerGrades+'!$AH$18,"E-",IF(R227&lt;'PlayerGrades+'!$AH$17,"E",IF(R227&lt;'PlayerGrades+'!$AH$16,"E+",IF(R227&lt;'PlayerGrades+'!$AH$15,"D-",IF(R227&lt;'PlayerGrades+'!$AH$14,"D",IF(R227&lt;'PlayerGrades+'!$AH$13,"D+",IF(R227&lt;'PlayerGrades+'!$AH$12,"C-",IF(R227&lt;'PlayerGrades+'!$AH$11,"C",IF(R227&lt;'PlayerGrades+'!$AH$10,"C+",IF(R227&lt;'PlayerGrades+'!$AH$9,"B-",IF(R227&lt;'PlayerGrades+'!$AH$8,"B",IF(R227&lt;'PlayerGrades+'!$AH$7,"B+",IF(R227&lt;'PlayerGrades+'!$AH$6,"A-",IF(R227&lt;'PlayerGrades+'!$AH$5,"A",IF(R227&lt;'PlayerGrades+'!$AH$4,"A+",IF(R227&lt;'PlayerGrades+'!$AH$3,"S-",IF(R227&lt;'PlayerGrades+'!$AH$2,"S","S+"))))))))))))))))))))</f>
        <v>S</v>
      </c>
      <c r="T227" s="937">
        <f t="shared" si="9"/>
        <v>1.753768844</v>
      </c>
      <c r="U227" s="937" t="str">
        <f>IF(T227&lt;'PlayerGrades+'!$AI$21,"F-",IF(T227&lt;'PlayerGrades+'!$AI$20,"F",IF(T227&lt;'PlayerGrades+'!$AI$19,"F+",IF(T227&lt;'PlayerGrades+'!$AI$18,"E-",IF(T227&lt;'PlayerGrades+'!$AI$17,"E",IF(T227&lt;'PlayerGrades+'!$AI$16,"E+",IF(T227&lt;'PlayerGrades+'!$AI$15,"D-",IF(T227&lt;'PlayerGrades+'!$AI$14,"D",IF(T227&lt;'PlayerGrades+'!$AI$13,"D+",IF(T227&lt;'PlayerGrades+'!$AI$12,"C-",IF(T227&lt;'PlayerGrades+'!$AI$11,"C",IF(T227&lt;'PlayerGrades+'!$AI$10,"C+",IF(T227&lt;'PlayerGrades+'!$AI$9,"B-",IF(T227&lt;'PlayerGrades+'!$AI$8,"B",IF(T227&lt;'PlayerGrades+'!$AI$7,"B+",IF(T227&lt;'PlayerGrades+'!$AI$6,"A-",IF(T227&lt;'PlayerGrades+'!$AI$5,"A",IF(T227&lt;'PlayerGrades+'!$AI$4,"A+",IF(T227&lt;'PlayerGrades+'!$AI$3,"S-",IF(T227&lt;'PlayerGrades+'!$AI$2,"S","S+"))))))))))))))))))))</f>
        <v>S</v>
      </c>
      <c r="V227" s="941">
        <v>1.0</v>
      </c>
      <c r="W227" s="941">
        <v>1.0</v>
      </c>
      <c r="X227" s="941">
        <v>0.0</v>
      </c>
      <c r="Y227" s="941">
        <v>1.0</v>
      </c>
      <c r="Z227" s="941">
        <v>0.0</v>
      </c>
      <c r="AA227" s="941">
        <v>49.0</v>
      </c>
      <c r="AB227" s="941">
        <v>40.0</v>
      </c>
      <c r="AC227" s="941">
        <v>9.0</v>
      </c>
      <c r="AD227" s="941">
        <v>5.0</v>
      </c>
      <c r="AE227" s="941">
        <v>4.0</v>
      </c>
      <c r="AF227" s="941">
        <v>1.0</v>
      </c>
      <c r="AG227" s="941">
        <v>600.0</v>
      </c>
      <c r="AH227" s="941">
        <v>796.0</v>
      </c>
      <c r="AI227" s="941">
        <v>15.0</v>
      </c>
      <c r="AJ227" s="941">
        <v>4.0</v>
      </c>
      <c r="AK227" s="941">
        <v>0.0</v>
      </c>
      <c r="AL227" s="941">
        <v>0.0</v>
      </c>
      <c r="AM227" s="941">
        <v>0.0</v>
      </c>
      <c r="AN227" s="941">
        <v>0.0</v>
      </c>
      <c r="AO227" s="941">
        <v>0.0</v>
      </c>
      <c r="AP227" s="941">
        <v>0.0</v>
      </c>
      <c r="AQ227" s="941">
        <v>0.0</v>
      </c>
      <c r="AR227" s="941">
        <v>8.0</v>
      </c>
      <c r="AS227" s="941">
        <v>2.0</v>
      </c>
      <c r="AT227" s="941">
        <v>0.0</v>
      </c>
      <c r="AU227" s="941">
        <v>0.0</v>
      </c>
      <c r="AV227" s="941">
        <v>0.0</v>
      </c>
      <c r="AW227" s="941">
        <v>0.0</v>
      </c>
      <c r="AX227" s="941">
        <v>0.0</v>
      </c>
      <c r="AY227" s="941">
        <v>0.0</v>
      </c>
      <c r="AZ227" s="941">
        <v>0.0</v>
      </c>
      <c r="BA227" s="941">
        <v>0.0</v>
      </c>
      <c r="BB227" s="941">
        <v>0.0</v>
      </c>
      <c r="BC227" s="941">
        <v>0.0</v>
      </c>
      <c r="BD227" s="941">
        <v>5.0</v>
      </c>
      <c r="BE227" s="941">
        <v>10.0</v>
      </c>
      <c r="BF227" s="941">
        <v>1.0</v>
      </c>
      <c r="BG227" s="942">
        <v>1.0</v>
      </c>
    </row>
    <row r="228">
      <c r="A228" s="935" t="s">
        <v>132</v>
      </c>
      <c r="B228" s="16" t="str">
        <f>IF(C228&lt;'PlayerGrades+'!$Y$44,"F-",IF(C228&lt;'PlayerGrades+'!$Y$43,"F",IF(C228&lt;'PlayerGrades+'!$Y$42,"F+",IF(C228&lt;'PlayerGrades+'!$Y$41,"E-",IF(C228&lt;'PlayerGrades+'!$Y$40,"E",IF(C228&lt;'PlayerGrades+'!$Y$39,"E+",IF(C228&lt;'PlayerGrades+'!$Y$38,"D-",IF(C228&lt;'PlayerGrades+'!$Y$37,"D",IF(C228&lt;'PlayerGrades+'!$Y$36,"D+",IF(C228&lt;'PlayerGrades+'!$Y$35,"C-",IF(C228&lt;'PlayerGrades+'!$Y$34,"C",IF(C228&lt;'PlayerGrades+'!$Y$33,"C+",IF(C228&lt;'PlayerGrades+'!$Y$32,"B-",IF(C228&lt;'PlayerGrades+'!$Y$31,"B",IF(C228&lt;'PlayerGrades+'!$Y$30,"B+",IF(C228&lt;'PlayerGrades+'!$Y$29,"A-",IF(C228&lt;'PlayerGrades+'!$Y$28,"A",IF(C228&lt;'PlayerGrades+'!$Y$27,"A+",IF(C228&lt;'PlayerGrades+'!$Y$26,"S-",IF(C228&lt;'PlayerGrades+'!$Y$25,"S","S+"))))))))))))))))))))</f>
        <v>A+</v>
      </c>
      <c r="C228" s="936">
        <f>('PlayerGrades+'!$Y$47*(VLOOKUP(E228, 'PlayerGrades+'!$X$3:$Y$23, 2, FALSE)))+('PlayerGrades+'!$Y$48*(VLOOKUP(G228, 'PlayerGrades+'!$X$3:$Y$23, 2, FALSE)))+('PlayerGrades+'!$Y$49*(VLOOKUP(I228, 'PlayerGrades+'!$X$3:$Y$23, 2, FALSE)))+('PlayerGrades+'!$Y$50*(VLOOKUP(K228, 'PlayerGrades+'!$X$3:$Y$23, 2, FALSE)))+('PlayerGrades+'!$Y$51*(VLOOKUP(M228, 'PlayerGrades+'!$X$3:$Y$23, 2, FALSE)))+('PlayerGrades+'!$Y$52*(VLOOKUP(O228, 'PlayerGrades+'!$X$3:$Y$23, 2, FALSE)))+('PlayerGrades+'!$Y$53*(VLOOKUP(Q228, 'PlayerGrades+'!$X$3:$Y$23, 2, FALSE)))+('PlayerGrades+'!$Y$54*(VLOOKUP(S228, 'PlayerGrades+'!$X$3:$Y$23, 2, FALSE)))+('PlayerGrades+'!$Y$55*(VLOOKUP(U228, 'PlayerGrades+'!$X$3:$Y$23, 2, FALSE)))</f>
        <v>29.4</v>
      </c>
      <c r="D228" s="937">
        <f t="shared" si="1"/>
        <v>0</v>
      </c>
      <c r="E228" s="937" t="str">
        <f>IF(D228&lt;'PlayerGrades+'!$AA$21,"F-",IF(D228&lt;'PlayerGrades+'!$AA$20,"F",IF(D228&lt;'PlayerGrades+'!$AA$19,"F+",IF(D228&lt;'PlayerGrades+'!$AA$18,"E-",IF(D228&lt;'PlayerGrades+'!$AA$17,"E",IF(D228&lt;'PlayerGrades+'!$AA$16,"E+",IF(D228&lt;'PlayerGrades+'!$AA$15,"D-",IF(D228&lt;'PlayerGrades+'!$AA$14,"D",IF(D228&lt;'PlayerGrades+'!$AA$13,"D+",IF(D228&lt;'PlayerGrades+'!$AA$12,"C-",IF(D228&lt;'PlayerGrades+'!$AA$11,"C",IF(D228&lt;'PlayerGrades+'!$AA$10,"C+",IF(D228&lt;'PlayerGrades+'!$AA$9,"B-",IF(D228&lt;'PlayerGrades+'!$AA$8,"B",IF(D228&lt;'PlayerGrades+'!$AA$7,"B+",IF(D228&lt;'PlayerGrades+'!$AA$6,"A-",IF(D228&lt;'PlayerGrades+'!$AA$5,"A",IF(D228&lt;'PlayerGrades+'!$AA$4,"A+",IF(D228&lt;'PlayerGrades+'!$AA$3,"S-",IF(D228&lt;'PlayerGrades+'!$AA$2,"S","S+"))))))))))))))))))))</f>
        <v>F-</v>
      </c>
      <c r="F228" s="937">
        <f t="shared" si="2"/>
        <v>1.055276382</v>
      </c>
      <c r="G228" s="937" t="str">
        <f>IF(F228&lt;'PlayerGrades+'!$AB$21,"F-",IF(F228&lt;'PlayerGrades+'!$AB$20,"F",IF(F228&lt;'PlayerGrades+'!$AB$19,"F+",IF(F228&lt;'PlayerGrades+'!$AB$18,"E-",IF(F228&lt;'PlayerGrades+'!$AB$17,"E",IF(F228&lt;'PlayerGrades+'!$AB$16,"E+",IF(F228&lt;'PlayerGrades+'!$AB$15,"D-",IF(F228&lt;'PlayerGrades+'!$AB$14,"D",IF(F228&lt;'PlayerGrades+'!$AB$13,"D+",IF(F228&lt;'PlayerGrades+'!$AB$12,"C-",IF(F228&lt;'PlayerGrades+'!$AB$11,"C",IF(F228&lt;'PlayerGrades+'!$AB$10,"C+",IF(F228&lt;'PlayerGrades+'!$AB$9,"B-",IF(F228&lt;'PlayerGrades+'!$AB$8,"B",IF(F228&lt;'PlayerGrades+'!$AB$7,"B+",IF(F228&lt;'PlayerGrades+'!$AB$6,"A-",IF(F228&lt;'PlayerGrades+'!$AB$5,"A",IF(F228&lt;'PlayerGrades+'!$AB$4,"A+",IF(F228&lt;'PlayerGrades+'!$AB$3,"S-",IF(F228&lt;'PlayerGrades+'!$AB$2,"S","S+"))))))))))))))))))))</f>
        <v>S+</v>
      </c>
      <c r="H228" s="937">
        <f t="shared" si="3"/>
        <v>0.07537688442</v>
      </c>
      <c r="I228" s="937" t="str">
        <f>IF(H228&lt;'PlayerGrades+'!$AC$21,"F-",IF(H228&lt;'PlayerGrades+'!$AC$20,"F",IF(H228&lt;'PlayerGrades+'!$AC$19,"F+",IF(H228&lt;'PlayerGrades+'!$AC$18,"E-",IF(H228&lt;'PlayerGrades+'!$AC$17,"E",IF(H228&lt;'PlayerGrades+'!$AC$16,"E+",IF(H228&lt;'PlayerGrades+'!$AC$15,"D-",IF(H228&lt;'PlayerGrades+'!$AC$14,"D",IF(H228&lt;'PlayerGrades+'!$AC$13,"D+",IF(H228&lt;'PlayerGrades+'!$AC$12,"C-",IF(H228&lt;'PlayerGrades+'!$AC$11,"C",IF(H228&lt;'PlayerGrades+'!$AC$10,"C+",IF(H228&lt;'PlayerGrades+'!$AC$9,"B-",IF(H228&lt;'PlayerGrades+'!$AC$8,"B",IF(H228&lt;'PlayerGrades+'!$AC$7,"B+",IF(H228&lt;'PlayerGrades+'!$AC$6,"A-",IF(H228&lt;'PlayerGrades+'!$AC$5,"A",IF(H228&lt;'PlayerGrades+'!$AC$4,"A+",IF(H228&lt;'PlayerGrades+'!$AC$3,"S-",IF(H228&lt;'PlayerGrades+'!$AC$2,"S","S+"))))))))))))))))))))</f>
        <v>E+</v>
      </c>
      <c r="J228" s="937">
        <f t="shared" si="4"/>
        <v>0.1507537688</v>
      </c>
      <c r="K228" s="937" t="str">
        <f>IF(J228&lt;'PlayerGrades+'!$AD$21,"F-",IF(J228&lt;'PlayerGrades+'!$AD$20,"F",IF(J228&lt;'PlayerGrades+'!$AD$19,"F+",IF(J228&lt;'PlayerGrades+'!$AD$18,"E-",IF(J228&lt;'PlayerGrades+'!$AD$17,"E",IF(J228&lt;'PlayerGrades+'!$AD$16,"E+",IF(J228&lt;'PlayerGrades+'!$AD$15,"D-",IF(J228&lt;'PlayerGrades+'!$AD$14,"D",IF(J228&lt;'PlayerGrades+'!$AD$13,"D+",IF(J228&lt;'PlayerGrades+'!$AD$12,"C-",IF(J228&lt;'PlayerGrades+'!$AD$11,"C",IF(J228&lt;'PlayerGrades+'!$AD$10,"C+",IF(J228&lt;'PlayerGrades+'!$AD$9,"B-",IF(J228&lt;'PlayerGrades+'!$AD$8,"B",IF(J228&lt;'PlayerGrades+'!$AD$7,"B+",IF(J228&lt;'PlayerGrades+'!$AD$6,"A-",IF(J228&lt;'PlayerGrades+'!$AD$5,"A",IF(J228&lt;'PlayerGrades+'!$AD$4,"A+",IF(J228&lt;'PlayerGrades+'!$AD$3,"S-",IF(J228&lt;'PlayerGrades+'!$AD$2,"S","S+"))))))))))))))))))))</f>
        <v>S+</v>
      </c>
      <c r="L228" s="677">
        <f t="shared" si="5"/>
        <v>1.055276382</v>
      </c>
      <c r="M228" s="938" t="str">
        <f>IF(L228&lt;'PlayerGrades+'!$AE$21,"F-",IF(L228&lt;'PlayerGrades+'!$AE$20,"F",IF(L228&lt;'PlayerGrades+'!$AE$19,"F+",IF(L228&lt;'PlayerGrades+'!$AE$18,"E-",IF(L228&lt;'PlayerGrades+'!$AE$17,"E",IF(L228&lt;'PlayerGrades+'!$AE$16,"E+",IF(L228&lt;'PlayerGrades+'!$AE$15,"D-",IF(L228&lt;'PlayerGrades+'!$AE$14,"D",IF(L228&lt;'PlayerGrades+'!$AE$13,"D+",IF(L228&lt;'PlayerGrades+'!$AE$12,"C-",IF(L228&lt;'PlayerGrades+'!$AE$11,"C",IF(L228&lt;'PlayerGrades+'!$AE$10,"C+",IF(L228&lt;'PlayerGrades+'!$AE$9,"B-",IF(L228&lt;'PlayerGrades+'!$AE$8,"B",IF(L228&lt;'PlayerGrades+'!$AE$7,"B+",IF(L228&lt;'PlayerGrades+'!$AE$6,"A-",IF(L228&lt;'PlayerGrades+'!$AE$5,"A",IF(L228&lt;'PlayerGrades+'!$AE$4,"A+",IF(L228&lt;'PlayerGrades+'!$AE$3,"S-",IF(L228&lt;'PlayerGrades+'!$AE$2,"S","S+"))))))))))))))))))))</f>
        <v>S+</v>
      </c>
      <c r="N228" s="937">
        <f t="shared" si="6"/>
        <v>0.3015075377</v>
      </c>
      <c r="O228" s="937" t="str">
        <f>IF(N228&lt;'PlayerGrades+'!$AF$21,"F-",IF(N228&lt;'PlayerGrades+'!$AF$20,"F",IF(N228&lt;'PlayerGrades+'!$AF$19,"F+",IF(N228&lt;'PlayerGrades+'!$AF$18,"E-",IF(N228&lt;'PlayerGrades+'!$AF$17,"E",IF(N228&lt;'PlayerGrades+'!$AF$16,"E+",IF(N228&lt;'PlayerGrades+'!$AF$15,"D-",IF(N228&lt;'PlayerGrades+'!$AF$14,"D",IF(N228&lt;'PlayerGrades+'!$AF$13,"D+",IF(N228&lt;'PlayerGrades+'!$AF$12,"C-",IF(N228&lt;'PlayerGrades+'!$AF$11,"C",IF(N228&lt;'PlayerGrades+'!$AF$10,"C+",IF(N228&lt;'PlayerGrades+'!$AF$9,"B-",IF(N228&lt;'PlayerGrades+'!$AF$8,"B",IF(N228&lt;'PlayerGrades+'!$AF$7,"B+",IF(N228&lt;'PlayerGrades+'!$AF$6,"A-",IF(N228&lt;'PlayerGrades+'!$AF$5,"A",IF(N228&lt;'PlayerGrades+'!$AF$4,"A+",IF(N228&lt;'PlayerGrades+'!$AF$3,"S-",IF(N228&lt;'PlayerGrades+'!$AF$2,"S","S+"))))))))))))))))))))</f>
        <v>S+</v>
      </c>
      <c r="P228" s="937">
        <f t="shared" si="7"/>
        <v>0.1507537688</v>
      </c>
      <c r="Q228" s="937" t="str">
        <f>IF(P228&lt;'PlayerGrades+'!$AG$21,"F-",IF(P228&lt;'PlayerGrades+'!$AG$20,"F",IF(P228&lt;'PlayerGrades+'!$AG$19,"F+",IF(P228&lt;'PlayerGrades+'!$AG$18,"E-",IF(P228&lt;'PlayerGrades+'!$AG$17,"E",IF(P228&lt;'PlayerGrades+'!$AG$16,"E+",IF(P228&lt;'PlayerGrades+'!$AG$15,"D-",IF(P228&lt;'PlayerGrades+'!$AG$14,"D",IF(P228&lt;'PlayerGrades+'!$AG$13,"D+",IF(P228&lt;'PlayerGrades+'!$AG$12,"C-",IF(P228&lt;'PlayerGrades+'!$AG$11,"C",IF(P228&lt;'PlayerGrades+'!$AG$10,"C+",IF(P228&lt;'PlayerGrades+'!$AG$9,"B-",IF(P228&lt;'PlayerGrades+'!$AG$8,"B",IF(P228&lt;'PlayerGrades+'!$AG$7,"B+",IF(P228&lt;'PlayerGrades+'!$AG$6,"A-",IF(P228&lt;'PlayerGrades+'!$AG$5,"A",IF(P228&lt;'PlayerGrades+'!$AG$4,"A+",IF(P228&lt;'PlayerGrades+'!$AG$3,"S-",IF(P228&lt;'PlayerGrades+'!$AG$2,"S","S+"))))))))))))))))))))</f>
        <v>S+</v>
      </c>
      <c r="R228" s="937">
        <f t="shared" si="8"/>
        <v>0.9045226131</v>
      </c>
      <c r="S228" s="937" t="str">
        <f>IF(R228&lt;'PlayerGrades+'!$AH$21,"F-",IF(R228&lt;'PlayerGrades+'!$AH$20,"F",IF(R228&lt;'PlayerGrades+'!$AH$19,"F+",IF(R228&lt;'PlayerGrades+'!$AH$18,"E-",IF(R228&lt;'PlayerGrades+'!$AH$17,"E",IF(R228&lt;'PlayerGrades+'!$AH$16,"E+",IF(R228&lt;'PlayerGrades+'!$AH$15,"D-",IF(R228&lt;'PlayerGrades+'!$AH$14,"D",IF(R228&lt;'PlayerGrades+'!$AH$13,"D+",IF(R228&lt;'PlayerGrades+'!$AH$12,"C-",IF(R228&lt;'PlayerGrades+'!$AH$11,"C",IF(R228&lt;'PlayerGrades+'!$AH$10,"C+",IF(R228&lt;'PlayerGrades+'!$AH$9,"B-",IF(R228&lt;'PlayerGrades+'!$AH$8,"B",IF(R228&lt;'PlayerGrades+'!$AH$7,"B+",IF(R228&lt;'PlayerGrades+'!$AH$6,"A-",IF(R228&lt;'PlayerGrades+'!$AH$5,"A",IF(R228&lt;'PlayerGrades+'!$AH$4,"A+",IF(R228&lt;'PlayerGrades+'!$AH$3,"S-",IF(R228&lt;'PlayerGrades+'!$AH$2,"S","S+"))))))))))))))))))))</f>
        <v>S+</v>
      </c>
      <c r="T228" s="937">
        <f t="shared" si="9"/>
        <v>1.226130653</v>
      </c>
      <c r="U228" s="937" t="str">
        <f>IF(T228&lt;'PlayerGrades+'!$AI$21,"F-",IF(T228&lt;'PlayerGrades+'!$AI$20,"F",IF(T228&lt;'PlayerGrades+'!$AI$19,"F+",IF(T228&lt;'PlayerGrades+'!$AI$18,"E-",IF(T228&lt;'PlayerGrades+'!$AI$17,"E",IF(T228&lt;'PlayerGrades+'!$AI$16,"E+",IF(T228&lt;'PlayerGrades+'!$AI$15,"D-",IF(T228&lt;'PlayerGrades+'!$AI$14,"D",IF(T228&lt;'PlayerGrades+'!$AI$13,"D+",IF(T228&lt;'PlayerGrades+'!$AI$12,"C-",IF(T228&lt;'PlayerGrades+'!$AI$11,"C",IF(T228&lt;'PlayerGrades+'!$AI$10,"C+",IF(T228&lt;'PlayerGrades+'!$AI$9,"B-",IF(T228&lt;'PlayerGrades+'!$AI$8,"B",IF(T228&lt;'PlayerGrades+'!$AI$7,"B+",IF(T228&lt;'PlayerGrades+'!$AI$6,"A-",IF(T228&lt;'PlayerGrades+'!$AI$5,"A",IF(T228&lt;'PlayerGrades+'!$AI$4,"A+",IF(T228&lt;'PlayerGrades+'!$AI$3,"S-",IF(T228&lt;'PlayerGrades+'!$AI$2,"S","S+"))))))))))))))))))))</f>
        <v>C</v>
      </c>
      <c r="V228" s="941">
        <v>1.0</v>
      </c>
      <c r="W228" s="941">
        <v>1.0</v>
      </c>
      <c r="X228" s="941">
        <v>0.0</v>
      </c>
      <c r="Y228" s="941">
        <v>0.0</v>
      </c>
      <c r="Z228" s="941">
        <v>0.0</v>
      </c>
      <c r="AA228" s="941">
        <v>57.0</v>
      </c>
      <c r="AB228" s="941">
        <v>43.0</v>
      </c>
      <c r="AC228" s="941">
        <v>14.0</v>
      </c>
      <c r="AD228" s="941">
        <v>6.0</v>
      </c>
      <c r="AE228" s="941">
        <v>6.0</v>
      </c>
      <c r="AF228" s="941">
        <v>1.0</v>
      </c>
      <c r="AG228" s="941">
        <v>586.0</v>
      </c>
      <c r="AH228" s="941">
        <v>796.0</v>
      </c>
      <c r="AI228" s="941">
        <v>13.0</v>
      </c>
      <c r="AJ228" s="941">
        <v>3.0</v>
      </c>
      <c r="AK228" s="941">
        <v>0.0</v>
      </c>
      <c r="AL228" s="941">
        <v>2.0</v>
      </c>
      <c r="AM228" s="941">
        <v>0.0</v>
      </c>
      <c r="AN228" s="941">
        <v>0.0</v>
      </c>
      <c r="AO228" s="941">
        <v>0.0</v>
      </c>
      <c r="AP228" s="941">
        <v>2.0</v>
      </c>
      <c r="AQ228" s="941">
        <v>0.0</v>
      </c>
      <c r="AR228" s="941">
        <v>14.0</v>
      </c>
      <c r="AS228" s="941">
        <v>4.0</v>
      </c>
      <c r="AT228" s="941">
        <v>0.0</v>
      </c>
      <c r="AU228" s="941">
        <v>0.0</v>
      </c>
      <c r="AV228" s="941">
        <v>0.0</v>
      </c>
      <c r="AW228" s="941">
        <v>0.0</v>
      </c>
      <c r="AX228" s="941">
        <v>0.0</v>
      </c>
      <c r="AY228" s="941">
        <v>0.0</v>
      </c>
      <c r="AZ228" s="941">
        <v>0.0</v>
      </c>
      <c r="BA228" s="941">
        <v>0.0</v>
      </c>
      <c r="BB228" s="941">
        <v>1.0</v>
      </c>
      <c r="BC228" s="941">
        <v>0.0</v>
      </c>
      <c r="BD228" s="941">
        <v>6.0</v>
      </c>
      <c r="BE228" s="941">
        <v>3.0</v>
      </c>
      <c r="BF228" s="941">
        <v>1.0</v>
      </c>
      <c r="BG228" s="942">
        <v>1.0</v>
      </c>
    </row>
    <row r="229">
      <c r="A229" s="935" t="s">
        <v>514</v>
      </c>
      <c r="B229" s="16" t="str">
        <f>IF(C229&lt;'PlayerGrades+'!$Y$44,"F-",IF(C229&lt;'PlayerGrades+'!$Y$43,"F",IF(C229&lt;'PlayerGrades+'!$Y$42,"F+",IF(C229&lt;'PlayerGrades+'!$Y$41,"E-",IF(C229&lt;'PlayerGrades+'!$Y$40,"E",IF(C229&lt;'PlayerGrades+'!$Y$39,"E+",IF(C229&lt;'PlayerGrades+'!$Y$38,"D-",IF(C229&lt;'PlayerGrades+'!$Y$37,"D",IF(C229&lt;'PlayerGrades+'!$Y$36,"D+",IF(C229&lt;'PlayerGrades+'!$Y$35,"C-",IF(C229&lt;'PlayerGrades+'!$Y$34,"C",IF(C229&lt;'PlayerGrades+'!$Y$33,"C+",IF(C229&lt;'PlayerGrades+'!$Y$32,"B-",IF(C229&lt;'PlayerGrades+'!$Y$31,"B",IF(C229&lt;'PlayerGrades+'!$Y$30,"B+",IF(C229&lt;'PlayerGrades+'!$Y$29,"A-",IF(C229&lt;'PlayerGrades+'!$Y$28,"A",IF(C229&lt;'PlayerGrades+'!$Y$27,"A+",IF(C229&lt;'PlayerGrades+'!$Y$26,"S-",IF(C229&lt;'PlayerGrades+'!$Y$25,"S","S+"))))))))))))))))))))</f>
        <v>F-</v>
      </c>
      <c r="C229" s="936">
        <f>('PlayerGrades+'!$Y$47*(VLOOKUP(E229, 'PlayerGrades+'!$X$3:$Y$23, 2, FALSE)))+('PlayerGrades+'!$Y$48*(VLOOKUP(G229, 'PlayerGrades+'!$X$3:$Y$23, 2, FALSE)))+('PlayerGrades+'!$Y$49*(VLOOKUP(I229, 'PlayerGrades+'!$X$3:$Y$23, 2, FALSE)))+('PlayerGrades+'!$Y$50*(VLOOKUP(K229, 'PlayerGrades+'!$X$3:$Y$23, 2, FALSE)))+('PlayerGrades+'!$Y$51*(VLOOKUP(M229, 'PlayerGrades+'!$X$3:$Y$23, 2, FALSE)))+('PlayerGrades+'!$Y$52*(VLOOKUP(O229, 'PlayerGrades+'!$X$3:$Y$23, 2, FALSE)))+('PlayerGrades+'!$Y$53*(VLOOKUP(Q229, 'PlayerGrades+'!$X$3:$Y$23, 2, FALSE)))+('PlayerGrades+'!$Y$54*(VLOOKUP(S229, 'PlayerGrades+'!$X$3:$Y$23, 2, FALSE)))+('PlayerGrades+'!$Y$55*(VLOOKUP(U229, 'PlayerGrades+'!$X$3:$Y$23, 2, FALSE)))</f>
        <v>5.2</v>
      </c>
      <c r="D229" s="937">
        <f t="shared" si="1"/>
        <v>0</v>
      </c>
      <c r="E229" s="937" t="str">
        <f>IF(D229&lt;'PlayerGrades+'!$AA$21,"F-",IF(D229&lt;'PlayerGrades+'!$AA$20,"F",IF(D229&lt;'PlayerGrades+'!$AA$19,"F+",IF(D229&lt;'PlayerGrades+'!$AA$18,"E-",IF(D229&lt;'PlayerGrades+'!$AA$17,"E",IF(D229&lt;'PlayerGrades+'!$AA$16,"E+",IF(D229&lt;'PlayerGrades+'!$AA$15,"D-",IF(D229&lt;'PlayerGrades+'!$AA$14,"D",IF(D229&lt;'PlayerGrades+'!$AA$13,"D+",IF(D229&lt;'PlayerGrades+'!$AA$12,"C-",IF(D229&lt;'PlayerGrades+'!$AA$11,"C",IF(D229&lt;'PlayerGrades+'!$AA$10,"C+",IF(D229&lt;'PlayerGrades+'!$AA$9,"B-",IF(D229&lt;'PlayerGrades+'!$AA$8,"B",IF(D229&lt;'PlayerGrades+'!$AA$7,"B+",IF(D229&lt;'PlayerGrades+'!$AA$6,"A-",IF(D229&lt;'PlayerGrades+'!$AA$5,"A",IF(D229&lt;'PlayerGrades+'!$AA$4,"A+",IF(D229&lt;'PlayerGrades+'!$AA$3,"S-",IF(D229&lt;'PlayerGrades+'!$AA$2,"S","S+"))))))))))))))))))))</f>
        <v>F-</v>
      </c>
      <c r="F229" s="937">
        <f t="shared" si="2"/>
        <v>-1.35678392</v>
      </c>
      <c r="G229" s="937" t="str">
        <f>IF(F229&lt;'PlayerGrades+'!$AB$21,"F-",IF(F229&lt;'PlayerGrades+'!$AB$20,"F",IF(F229&lt;'PlayerGrades+'!$AB$19,"F+",IF(F229&lt;'PlayerGrades+'!$AB$18,"E-",IF(F229&lt;'PlayerGrades+'!$AB$17,"E",IF(F229&lt;'PlayerGrades+'!$AB$16,"E+",IF(F229&lt;'PlayerGrades+'!$AB$15,"D-",IF(F229&lt;'PlayerGrades+'!$AB$14,"D",IF(F229&lt;'PlayerGrades+'!$AB$13,"D+",IF(F229&lt;'PlayerGrades+'!$AB$12,"C-",IF(F229&lt;'PlayerGrades+'!$AB$11,"C",IF(F229&lt;'PlayerGrades+'!$AB$10,"C+",IF(F229&lt;'PlayerGrades+'!$AB$9,"B-",IF(F229&lt;'PlayerGrades+'!$AB$8,"B",IF(F229&lt;'PlayerGrades+'!$AB$7,"B+",IF(F229&lt;'PlayerGrades+'!$AB$6,"A-",IF(F229&lt;'PlayerGrades+'!$AB$5,"A",IF(F229&lt;'PlayerGrades+'!$AB$4,"A+",IF(F229&lt;'PlayerGrades+'!$AB$3,"S-",IF(F229&lt;'PlayerGrades+'!$AB$2,"S","S+"))))))))))))))))))))</f>
        <v>F-</v>
      </c>
      <c r="H229" s="937">
        <f t="shared" si="3"/>
        <v>0</v>
      </c>
      <c r="I229" s="937" t="str">
        <f>IF(H229&lt;'PlayerGrades+'!$AC$21,"F-",IF(H229&lt;'PlayerGrades+'!$AC$20,"F",IF(H229&lt;'PlayerGrades+'!$AC$19,"F+",IF(H229&lt;'PlayerGrades+'!$AC$18,"E-",IF(H229&lt;'PlayerGrades+'!$AC$17,"E",IF(H229&lt;'PlayerGrades+'!$AC$16,"E+",IF(H229&lt;'PlayerGrades+'!$AC$15,"D-",IF(H229&lt;'PlayerGrades+'!$AC$14,"D",IF(H229&lt;'PlayerGrades+'!$AC$13,"D+",IF(H229&lt;'PlayerGrades+'!$AC$12,"C-",IF(H229&lt;'PlayerGrades+'!$AC$11,"C",IF(H229&lt;'PlayerGrades+'!$AC$10,"C+",IF(H229&lt;'PlayerGrades+'!$AC$9,"B-",IF(H229&lt;'PlayerGrades+'!$AC$8,"B",IF(H229&lt;'PlayerGrades+'!$AC$7,"B+",IF(H229&lt;'PlayerGrades+'!$AC$6,"A-",IF(H229&lt;'PlayerGrades+'!$AC$5,"A",IF(H229&lt;'PlayerGrades+'!$AC$4,"A+",IF(H229&lt;'PlayerGrades+'!$AC$3,"S-",IF(H229&lt;'PlayerGrades+'!$AC$2,"S","S+"))))))))))))))))))))</f>
        <v>F-</v>
      </c>
      <c r="J229" s="937">
        <f t="shared" si="4"/>
        <v>0</v>
      </c>
      <c r="K229" s="937" t="str">
        <f>IF(J229&lt;'PlayerGrades+'!$AD$21,"F-",IF(J229&lt;'PlayerGrades+'!$AD$20,"F",IF(J229&lt;'PlayerGrades+'!$AD$19,"F+",IF(J229&lt;'PlayerGrades+'!$AD$18,"E-",IF(J229&lt;'PlayerGrades+'!$AD$17,"E",IF(J229&lt;'PlayerGrades+'!$AD$16,"E+",IF(J229&lt;'PlayerGrades+'!$AD$15,"D-",IF(J229&lt;'PlayerGrades+'!$AD$14,"D",IF(J229&lt;'PlayerGrades+'!$AD$13,"D+",IF(J229&lt;'PlayerGrades+'!$AD$12,"C-",IF(J229&lt;'PlayerGrades+'!$AD$11,"C",IF(J229&lt;'PlayerGrades+'!$AD$10,"C+",IF(J229&lt;'PlayerGrades+'!$AD$9,"B-",IF(J229&lt;'PlayerGrades+'!$AD$8,"B",IF(J229&lt;'PlayerGrades+'!$AD$7,"B+",IF(J229&lt;'PlayerGrades+'!$AD$6,"A-",IF(J229&lt;'PlayerGrades+'!$AD$5,"A",IF(J229&lt;'PlayerGrades+'!$AD$4,"A+",IF(J229&lt;'PlayerGrades+'!$AD$3,"S-",IF(J229&lt;'PlayerGrades+'!$AD$2,"S","S+"))))))))))))))))))))</f>
        <v>F-</v>
      </c>
      <c r="L229" s="677">
        <f t="shared" si="5"/>
        <v>0.3015075377</v>
      </c>
      <c r="M229" s="938" t="str">
        <f>IF(L229&lt;'PlayerGrades+'!$AE$21,"F-",IF(L229&lt;'PlayerGrades+'!$AE$20,"F",IF(L229&lt;'PlayerGrades+'!$AE$19,"F+",IF(L229&lt;'PlayerGrades+'!$AE$18,"E-",IF(L229&lt;'PlayerGrades+'!$AE$17,"E",IF(L229&lt;'PlayerGrades+'!$AE$16,"E+",IF(L229&lt;'PlayerGrades+'!$AE$15,"D-",IF(L229&lt;'PlayerGrades+'!$AE$14,"D",IF(L229&lt;'PlayerGrades+'!$AE$13,"D+",IF(L229&lt;'PlayerGrades+'!$AE$12,"C-",IF(L229&lt;'PlayerGrades+'!$AE$11,"C",IF(L229&lt;'PlayerGrades+'!$AE$10,"C+",IF(L229&lt;'PlayerGrades+'!$AE$9,"B-",IF(L229&lt;'PlayerGrades+'!$AE$8,"B",IF(L229&lt;'PlayerGrades+'!$AE$7,"B+",IF(L229&lt;'PlayerGrades+'!$AE$6,"A-",IF(L229&lt;'PlayerGrades+'!$AE$5,"A",IF(L229&lt;'PlayerGrades+'!$AE$4,"A+",IF(L229&lt;'PlayerGrades+'!$AE$3,"S-",IF(L229&lt;'PlayerGrades+'!$AE$2,"S","S+"))))))))))))))))))))</f>
        <v>E-</v>
      </c>
      <c r="N229" s="937">
        <f t="shared" si="6"/>
        <v>0</v>
      </c>
      <c r="O229" s="937" t="str">
        <f>IF(N229&lt;'PlayerGrades+'!$AF$21,"F-",IF(N229&lt;'PlayerGrades+'!$AF$20,"F",IF(N229&lt;'PlayerGrades+'!$AF$19,"F+",IF(N229&lt;'PlayerGrades+'!$AF$18,"E-",IF(N229&lt;'PlayerGrades+'!$AF$17,"E",IF(N229&lt;'PlayerGrades+'!$AF$16,"E+",IF(N229&lt;'PlayerGrades+'!$AF$15,"D-",IF(N229&lt;'PlayerGrades+'!$AF$14,"D",IF(N229&lt;'PlayerGrades+'!$AF$13,"D+",IF(N229&lt;'PlayerGrades+'!$AF$12,"C-",IF(N229&lt;'PlayerGrades+'!$AF$11,"C",IF(N229&lt;'PlayerGrades+'!$AF$10,"C+",IF(N229&lt;'PlayerGrades+'!$AF$9,"B-",IF(N229&lt;'PlayerGrades+'!$AF$8,"B",IF(N229&lt;'PlayerGrades+'!$AF$7,"B+",IF(N229&lt;'PlayerGrades+'!$AF$6,"A-",IF(N229&lt;'PlayerGrades+'!$AF$5,"A",IF(N229&lt;'PlayerGrades+'!$AF$4,"A+",IF(N229&lt;'PlayerGrades+'!$AF$3,"S-",IF(N229&lt;'PlayerGrades+'!$AF$2,"S","S+"))))))))))))))))))))</f>
        <v>F-</v>
      </c>
      <c r="P229" s="937">
        <f t="shared" si="7"/>
        <v>0</v>
      </c>
      <c r="Q229" s="937" t="str">
        <f>IF(P229&lt;'PlayerGrades+'!$AG$21,"F-",IF(P229&lt;'PlayerGrades+'!$AG$20,"F",IF(P229&lt;'PlayerGrades+'!$AG$19,"F+",IF(P229&lt;'PlayerGrades+'!$AG$18,"E-",IF(P229&lt;'PlayerGrades+'!$AG$17,"E",IF(P229&lt;'PlayerGrades+'!$AG$16,"E+",IF(P229&lt;'PlayerGrades+'!$AG$15,"D-",IF(P229&lt;'PlayerGrades+'!$AG$14,"D",IF(P229&lt;'PlayerGrades+'!$AG$13,"D+",IF(P229&lt;'PlayerGrades+'!$AG$12,"C-",IF(P229&lt;'PlayerGrades+'!$AG$11,"C",IF(P229&lt;'PlayerGrades+'!$AG$10,"C+",IF(P229&lt;'PlayerGrades+'!$AG$9,"B-",IF(P229&lt;'PlayerGrades+'!$AG$8,"B",IF(P229&lt;'PlayerGrades+'!$AG$7,"B+",IF(P229&lt;'PlayerGrades+'!$AG$6,"A-",IF(P229&lt;'PlayerGrades+'!$AG$5,"A",IF(P229&lt;'PlayerGrades+'!$AG$4,"A+",IF(P229&lt;'PlayerGrades+'!$AG$3,"S-",IF(P229&lt;'PlayerGrades+'!$AG$2,"S","S+"))))))))))))))))))))</f>
        <v>F</v>
      </c>
      <c r="R229" s="937">
        <f t="shared" si="8"/>
        <v>0.3015075377</v>
      </c>
      <c r="S229" s="937" t="str">
        <f>IF(R229&lt;'PlayerGrades+'!$AH$21,"F-",IF(R229&lt;'PlayerGrades+'!$AH$20,"F",IF(R229&lt;'PlayerGrades+'!$AH$19,"F+",IF(R229&lt;'PlayerGrades+'!$AH$18,"E-",IF(R229&lt;'PlayerGrades+'!$AH$17,"E",IF(R229&lt;'PlayerGrades+'!$AH$16,"E+",IF(R229&lt;'PlayerGrades+'!$AH$15,"D-",IF(R229&lt;'PlayerGrades+'!$AH$14,"D",IF(R229&lt;'PlayerGrades+'!$AH$13,"D+",IF(R229&lt;'PlayerGrades+'!$AH$12,"C-",IF(R229&lt;'PlayerGrades+'!$AH$11,"C",IF(R229&lt;'PlayerGrades+'!$AH$10,"C+",IF(R229&lt;'PlayerGrades+'!$AH$9,"B-",IF(R229&lt;'PlayerGrades+'!$AH$8,"B",IF(R229&lt;'PlayerGrades+'!$AH$7,"B+",IF(R229&lt;'PlayerGrades+'!$AH$6,"A-",IF(R229&lt;'PlayerGrades+'!$AH$5,"A",IF(R229&lt;'PlayerGrades+'!$AH$4,"A+",IF(R229&lt;'PlayerGrades+'!$AH$3,"S-",IF(R229&lt;'PlayerGrades+'!$AH$2,"S","S+"))))))))))))))))))))</f>
        <v>F-</v>
      </c>
      <c r="T229" s="937">
        <f t="shared" si="9"/>
        <v>1.301507538</v>
      </c>
      <c r="U229" s="937" t="str">
        <f>IF(T229&lt;'PlayerGrades+'!$AI$21,"F-",IF(T229&lt;'PlayerGrades+'!$AI$20,"F",IF(T229&lt;'PlayerGrades+'!$AI$19,"F+",IF(T229&lt;'PlayerGrades+'!$AI$18,"E-",IF(T229&lt;'PlayerGrades+'!$AI$17,"E",IF(T229&lt;'PlayerGrades+'!$AI$16,"E+",IF(T229&lt;'PlayerGrades+'!$AI$15,"D-",IF(T229&lt;'PlayerGrades+'!$AI$14,"D",IF(T229&lt;'PlayerGrades+'!$AI$13,"D+",IF(T229&lt;'PlayerGrades+'!$AI$12,"C-",IF(T229&lt;'PlayerGrades+'!$AI$11,"C",IF(T229&lt;'PlayerGrades+'!$AI$10,"C+",IF(T229&lt;'PlayerGrades+'!$AI$9,"B-",IF(T229&lt;'PlayerGrades+'!$AI$8,"B",IF(T229&lt;'PlayerGrades+'!$AI$7,"B+",IF(T229&lt;'PlayerGrades+'!$AI$6,"A-",IF(T229&lt;'PlayerGrades+'!$AI$5,"A",IF(T229&lt;'PlayerGrades+'!$AI$4,"A+",IF(T229&lt;'PlayerGrades+'!$AI$3,"S-",IF(T229&lt;'PlayerGrades+'!$AI$2,"S","S+"))))))))))))))))))))</f>
        <v>C+</v>
      </c>
      <c r="V229" s="941">
        <v>1.0</v>
      </c>
      <c r="W229" s="941">
        <v>1.0</v>
      </c>
      <c r="X229" s="941">
        <v>0.0</v>
      </c>
      <c r="Y229" s="941">
        <v>0.0</v>
      </c>
      <c r="Z229" s="941">
        <v>0.0</v>
      </c>
      <c r="AA229" s="941">
        <v>38.0</v>
      </c>
      <c r="AB229" s="941">
        <v>56.0</v>
      </c>
      <c r="AC229" s="941">
        <v>-18.0</v>
      </c>
      <c r="AD229" s="941">
        <v>0.0</v>
      </c>
      <c r="AE229" s="941">
        <v>2.0</v>
      </c>
      <c r="AF229" s="941">
        <v>0.0</v>
      </c>
      <c r="AG229" s="941">
        <v>551.0</v>
      </c>
      <c r="AH229" s="941">
        <v>796.0</v>
      </c>
      <c r="AI229" s="941">
        <v>9.0</v>
      </c>
      <c r="AJ229" s="941">
        <v>2.0</v>
      </c>
      <c r="AK229" s="941">
        <v>0.0</v>
      </c>
      <c r="AL229" s="941">
        <v>0.0</v>
      </c>
      <c r="AM229" s="941">
        <v>0.0</v>
      </c>
      <c r="AN229" s="941">
        <v>0.0</v>
      </c>
      <c r="AO229" s="941">
        <v>0.0</v>
      </c>
      <c r="AP229" s="941">
        <v>0.0</v>
      </c>
      <c r="AQ229" s="941">
        <v>0.0</v>
      </c>
      <c r="AR229" s="941">
        <v>4.0</v>
      </c>
      <c r="AS229" s="941">
        <v>0.0</v>
      </c>
      <c r="AT229" s="941">
        <v>0.0</v>
      </c>
      <c r="AU229" s="941">
        <v>0.0</v>
      </c>
      <c r="AV229" s="941">
        <v>0.0</v>
      </c>
      <c r="AW229" s="941">
        <v>0.0</v>
      </c>
      <c r="AX229" s="941">
        <v>0.0</v>
      </c>
      <c r="AY229" s="941">
        <v>0.0</v>
      </c>
      <c r="AZ229" s="941">
        <v>0.0</v>
      </c>
      <c r="BA229" s="941">
        <v>0.0</v>
      </c>
      <c r="BB229" s="941">
        <v>0.0</v>
      </c>
      <c r="BC229" s="941">
        <v>0.0</v>
      </c>
      <c r="BD229" s="941">
        <v>4.0</v>
      </c>
      <c r="BE229" s="941">
        <v>4.0</v>
      </c>
      <c r="BF229" s="941">
        <v>1.0</v>
      </c>
      <c r="BG229" s="942">
        <v>1.0</v>
      </c>
    </row>
    <row r="230">
      <c r="A230" s="935" t="s">
        <v>115</v>
      </c>
      <c r="B230" s="16" t="str">
        <f>IF(C230&lt;'PlayerGrades+'!$Y$44,"F-",IF(C230&lt;'PlayerGrades+'!$Y$43,"F",IF(C230&lt;'PlayerGrades+'!$Y$42,"F+",IF(C230&lt;'PlayerGrades+'!$Y$41,"E-",IF(C230&lt;'PlayerGrades+'!$Y$40,"E",IF(C230&lt;'PlayerGrades+'!$Y$39,"E+",IF(C230&lt;'PlayerGrades+'!$Y$38,"D-",IF(C230&lt;'PlayerGrades+'!$Y$37,"D",IF(C230&lt;'PlayerGrades+'!$Y$36,"D+",IF(C230&lt;'PlayerGrades+'!$Y$35,"C-",IF(C230&lt;'PlayerGrades+'!$Y$34,"C",IF(C230&lt;'PlayerGrades+'!$Y$33,"C+",IF(C230&lt;'PlayerGrades+'!$Y$32,"B-",IF(C230&lt;'PlayerGrades+'!$Y$31,"B",IF(C230&lt;'PlayerGrades+'!$Y$30,"B+",IF(C230&lt;'PlayerGrades+'!$Y$29,"A-",IF(C230&lt;'PlayerGrades+'!$Y$28,"A",IF(C230&lt;'PlayerGrades+'!$Y$27,"A+",IF(C230&lt;'PlayerGrades+'!$Y$26,"S-",IF(C230&lt;'PlayerGrades+'!$Y$25,"S","S+"))))))))))))))))))))</f>
        <v>D-</v>
      </c>
      <c r="C230" s="936">
        <f>('PlayerGrades+'!$Y$47*(VLOOKUP(E230, 'PlayerGrades+'!$X$3:$Y$23, 2, FALSE)))+('PlayerGrades+'!$Y$48*(VLOOKUP(G230, 'PlayerGrades+'!$X$3:$Y$23, 2, FALSE)))+('PlayerGrades+'!$Y$49*(VLOOKUP(I230, 'PlayerGrades+'!$X$3:$Y$23, 2, FALSE)))+('PlayerGrades+'!$Y$50*(VLOOKUP(K230, 'PlayerGrades+'!$X$3:$Y$23, 2, FALSE)))+('PlayerGrades+'!$Y$51*(VLOOKUP(M230, 'PlayerGrades+'!$X$3:$Y$23, 2, FALSE)))+('PlayerGrades+'!$Y$52*(VLOOKUP(O230, 'PlayerGrades+'!$X$3:$Y$23, 2, FALSE)))+('PlayerGrades+'!$Y$53*(VLOOKUP(Q230, 'PlayerGrades+'!$X$3:$Y$23, 2, FALSE)))+('PlayerGrades+'!$Y$54*(VLOOKUP(S230, 'PlayerGrades+'!$X$3:$Y$23, 2, FALSE)))+('PlayerGrades+'!$Y$55*(VLOOKUP(U230, 'PlayerGrades+'!$X$3:$Y$23, 2, FALSE)))</f>
        <v>14.9</v>
      </c>
      <c r="D230" s="937">
        <f t="shared" si="1"/>
        <v>0.07537688442</v>
      </c>
      <c r="E230" s="937" t="str">
        <f>IF(D230&lt;'PlayerGrades+'!$AA$21,"F-",IF(D230&lt;'PlayerGrades+'!$AA$20,"F",IF(D230&lt;'PlayerGrades+'!$AA$19,"F+",IF(D230&lt;'PlayerGrades+'!$AA$18,"E-",IF(D230&lt;'PlayerGrades+'!$AA$17,"E",IF(D230&lt;'PlayerGrades+'!$AA$16,"E+",IF(D230&lt;'PlayerGrades+'!$AA$15,"D-",IF(D230&lt;'PlayerGrades+'!$AA$14,"D",IF(D230&lt;'PlayerGrades+'!$AA$13,"D+",IF(D230&lt;'PlayerGrades+'!$AA$12,"C-",IF(D230&lt;'PlayerGrades+'!$AA$11,"C",IF(D230&lt;'PlayerGrades+'!$AA$10,"C+",IF(D230&lt;'PlayerGrades+'!$AA$9,"B-",IF(D230&lt;'PlayerGrades+'!$AA$8,"B",IF(D230&lt;'PlayerGrades+'!$AA$7,"B+",IF(D230&lt;'PlayerGrades+'!$AA$6,"A-",IF(D230&lt;'PlayerGrades+'!$AA$5,"A",IF(D230&lt;'PlayerGrades+'!$AA$4,"A+",IF(D230&lt;'PlayerGrades+'!$AA$3,"S-",IF(D230&lt;'PlayerGrades+'!$AA$2,"S","S+"))))))))))))))))))))</f>
        <v>B</v>
      </c>
      <c r="F230" s="937">
        <f t="shared" si="2"/>
        <v>-1.733668342</v>
      </c>
      <c r="G230" s="937" t="str">
        <f>IF(F230&lt;'PlayerGrades+'!$AB$21,"F-",IF(F230&lt;'PlayerGrades+'!$AB$20,"F",IF(F230&lt;'PlayerGrades+'!$AB$19,"F+",IF(F230&lt;'PlayerGrades+'!$AB$18,"E-",IF(F230&lt;'PlayerGrades+'!$AB$17,"E",IF(F230&lt;'PlayerGrades+'!$AB$16,"E+",IF(F230&lt;'PlayerGrades+'!$AB$15,"D-",IF(F230&lt;'PlayerGrades+'!$AB$14,"D",IF(F230&lt;'PlayerGrades+'!$AB$13,"D+",IF(F230&lt;'PlayerGrades+'!$AB$12,"C-",IF(F230&lt;'PlayerGrades+'!$AB$11,"C",IF(F230&lt;'PlayerGrades+'!$AB$10,"C+",IF(F230&lt;'PlayerGrades+'!$AB$9,"B-",IF(F230&lt;'PlayerGrades+'!$AB$8,"B",IF(F230&lt;'PlayerGrades+'!$AB$7,"B+",IF(F230&lt;'PlayerGrades+'!$AB$6,"A-",IF(F230&lt;'PlayerGrades+'!$AB$5,"A",IF(F230&lt;'PlayerGrades+'!$AB$4,"A+",IF(F230&lt;'PlayerGrades+'!$AB$3,"S-",IF(F230&lt;'PlayerGrades+'!$AB$2,"S","S+"))))))))))))))))))))</f>
        <v>F-</v>
      </c>
      <c r="H230" s="937">
        <f t="shared" si="3"/>
        <v>0.2261306533</v>
      </c>
      <c r="I230" s="937" t="str">
        <f>IF(H230&lt;'PlayerGrades+'!$AC$21,"F-",IF(H230&lt;'PlayerGrades+'!$AC$20,"F",IF(H230&lt;'PlayerGrades+'!$AC$19,"F+",IF(H230&lt;'PlayerGrades+'!$AC$18,"E-",IF(H230&lt;'PlayerGrades+'!$AC$17,"E",IF(H230&lt;'PlayerGrades+'!$AC$16,"E+",IF(H230&lt;'PlayerGrades+'!$AC$15,"D-",IF(H230&lt;'PlayerGrades+'!$AC$14,"D",IF(H230&lt;'PlayerGrades+'!$AC$13,"D+",IF(H230&lt;'PlayerGrades+'!$AC$12,"C-",IF(H230&lt;'PlayerGrades+'!$AC$11,"C",IF(H230&lt;'PlayerGrades+'!$AC$10,"C+",IF(H230&lt;'PlayerGrades+'!$AC$9,"B-",IF(H230&lt;'PlayerGrades+'!$AC$8,"B",IF(H230&lt;'PlayerGrades+'!$AC$7,"B+",IF(H230&lt;'PlayerGrades+'!$AC$6,"A-",IF(H230&lt;'PlayerGrades+'!$AC$5,"A",IF(H230&lt;'PlayerGrades+'!$AC$4,"A+",IF(H230&lt;'PlayerGrades+'!$AC$3,"S-",IF(H230&lt;'PlayerGrades+'!$AC$2,"S","S+"))))))))))))))))))))</f>
        <v>S</v>
      </c>
      <c r="J230" s="937">
        <f t="shared" si="4"/>
        <v>0</v>
      </c>
      <c r="K230" s="937" t="str">
        <f>IF(J230&lt;'PlayerGrades+'!$AD$21,"F-",IF(J230&lt;'PlayerGrades+'!$AD$20,"F",IF(J230&lt;'PlayerGrades+'!$AD$19,"F+",IF(J230&lt;'PlayerGrades+'!$AD$18,"E-",IF(J230&lt;'PlayerGrades+'!$AD$17,"E",IF(J230&lt;'PlayerGrades+'!$AD$16,"E+",IF(J230&lt;'PlayerGrades+'!$AD$15,"D-",IF(J230&lt;'PlayerGrades+'!$AD$14,"D",IF(J230&lt;'PlayerGrades+'!$AD$13,"D+",IF(J230&lt;'PlayerGrades+'!$AD$12,"C-",IF(J230&lt;'PlayerGrades+'!$AD$11,"C",IF(J230&lt;'PlayerGrades+'!$AD$10,"C+",IF(J230&lt;'PlayerGrades+'!$AD$9,"B-",IF(J230&lt;'PlayerGrades+'!$AD$8,"B",IF(J230&lt;'PlayerGrades+'!$AD$7,"B+",IF(J230&lt;'PlayerGrades+'!$AD$6,"A-",IF(J230&lt;'PlayerGrades+'!$AD$5,"A",IF(J230&lt;'PlayerGrades+'!$AD$4,"A+",IF(J230&lt;'PlayerGrades+'!$AD$3,"S-",IF(J230&lt;'PlayerGrades+'!$AD$2,"S","S+"))))))))))))))))))))</f>
        <v>F-</v>
      </c>
      <c r="L230" s="677">
        <f t="shared" si="5"/>
        <v>0.1507537688</v>
      </c>
      <c r="M230" s="938" t="str">
        <f>IF(L230&lt;'PlayerGrades+'!$AE$21,"F-",IF(L230&lt;'PlayerGrades+'!$AE$20,"F",IF(L230&lt;'PlayerGrades+'!$AE$19,"F+",IF(L230&lt;'PlayerGrades+'!$AE$18,"E-",IF(L230&lt;'PlayerGrades+'!$AE$17,"E",IF(L230&lt;'PlayerGrades+'!$AE$16,"E+",IF(L230&lt;'PlayerGrades+'!$AE$15,"D-",IF(L230&lt;'PlayerGrades+'!$AE$14,"D",IF(L230&lt;'PlayerGrades+'!$AE$13,"D+",IF(L230&lt;'PlayerGrades+'!$AE$12,"C-",IF(L230&lt;'PlayerGrades+'!$AE$11,"C",IF(L230&lt;'PlayerGrades+'!$AE$10,"C+",IF(L230&lt;'PlayerGrades+'!$AE$9,"B-",IF(L230&lt;'PlayerGrades+'!$AE$8,"B",IF(L230&lt;'PlayerGrades+'!$AE$7,"B+",IF(L230&lt;'PlayerGrades+'!$AE$6,"A-",IF(L230&lt;'PlayerGrades+'!$AE$5,"A",IF(L230&lt;'PlayerGrades+'!$AE$4,"A+",IF(L230&lt;'PlayerGrades+'!$AE$3,"S-",IF(L230&lt;'PlayerGrades+'!$AE$2,"S","S+"))))))))))))))))))))</f>
        <v>F-</v>
      </c>
      <c r="N230" s="937">
        <f t="shared" si="6"/>
        <v>0</v>
      </c>
      <c r="O230" s="937" t="str">
        <f>IF(N230&lt;'PlayerGrades+'!$AF$21,"F-",IF(N230&lt;'PlayerGrades+'!$AF$20,"F",IF(N230&lt;'PlayerGrades+'!$AF$19,"F+",IF(N230&lt;'PlayerGrades+'!$AF$18,"E-",IF(N230&lt;'PlayerGrades+'!$AF$17,"E",IF(N230&lt;'PlayerGrades+'!$AF$16,"E+",IF(N230&lt;'PlayerGrades+'!$AF$15,"D-",IF(N230&lt;'PlayerGrades+'!$AF$14,"D",IF(N230&lt;'PlayerGrades+'!$AF$13,"D+",IF(N230&lt;'PlayerGrades+'!$AF$12,"C-",IF(N230&lt;'PlayerGrades+'!$AF$11,"C",IF(N230&lt;'PlayerGrades+'!$AF$10,"C+",IF(N230&lt;'PlayerGrades+'!$AF$9,"B-",IF(N230&lt;'PlayerGrades+'!$AF$8,"B",IF(N230&lt;'PlayerGrades+'!$AF$7,"B+",IF(N230&lt;'PlayerGrades+'!$AF$6,"A-",IF(N230&lt;'PlayerGrades+'!$AF$5,"A",IF(N230&lt;'PlayerGrades+'!$AF$4,"A+",IF(N230&lt;'PlayerGrades+'!$AF$3,"S-",IF(N230&lt;'PlayerGrades+'!$AF$2,"S","S+"))))))))))))))))))))</f>
        <v>F-</v>
      </c>
      <c r="P230" s="937">
        <f t="shared" si="7"/>
        <v>0</v>
      </c>
      <c r="Q230" s="937" t="str">
        <f>IF(P230&lt;'PlayerGrades+'!$AG$21,"F-",IF(P230&lt;'PlayerGrades+'!$AG$20,"F",IF(P230&lt;'PlayerGrades+'!$AG$19,"F+",IF(P230&lt;'PlayerGrades+'!$AG$18,"E-",IF(P230&lt;'PlayerGrades+'!$AG$17,"E",IF(P230&lt;'PlayerGrades+'!$AG$16,"E+",IF(P230&lt;'PlayerGrades+'!$AG$15,"D-",IF(P230&lt;'PlayerGrades+'!$AG$14,"D",IF(P230&lt;'PlayerGrades+'!$AG$13,"D+",IF(P230&lt;'PlayerGrades+'!$AG$12,"C-",IF(P230&lt;'PlayerGrades+'!$AG$11,"C",IF(P230&lt;'PlayerGrades+'!$AG$10,"C+",IF(P230&lt;'PlayerGrades+'!$AG$9,"B-",IF(P230&lt;'PlayerGrades+'!$AG$8,"B",IF(P230&lt;'PlayerGrades+'!$AG$7,"B+",IF(P230&lt;'PlayerGrades+'!$AG$6,"A-",IF(P230&lt;'PlayerGrades+'!$AG$5,"A",IF(P230&lt;'PlayerGrades+'!$AG$4,"A+",IF(P230&lt;'PlayerGrades+'!$AG$3,"S-",IF(P230&lt;'PlayerGrades+'!$AG$2,"S","S+"))))))))))))))))))))</f>
        <v>F</v>
      </c>
      <c r="R230" s="937">
        <f t="shared" si="8"/>
        <v>0.8291457286</v>
      </c>
      <c r="S230" s="937" t="str">
        <f>IF(R230&lt;'PlayerGrades+'!$AH$21,"F-",IF(R230&lt;'PlayerGrades+'!$AH$20,"F",IF(R230&lt;'PlayerGrades+'!$AH$19,"F+",IF(R230&lt;'PlayerGrades+'!$AH$18,"E-",IF(R230&lt;'PlayerGrades+'!$AH$17,"E",IF(R230&lt;'PlayerGrades+'!$AH$16,"E+",IF(R230&lt;'PlayerGrades+'!$AH$15,"D-",IF(R230&lt;'PlayerGrades+'!$AH$14,"D",IF(R230&lt;'PlayerGrades+'!$AH$13,"D+",IF(R230&lt;'PlayerGrades+'!$AH$12,"C-",IF(R230&lt;'PlayerGrades+'!$AH$11,"C",IF(R230&lt;'PlayerGrades+'!$AH$10,"C+",IF(R230&lt;'PlayerGrades+'!$AH$9,"B-",IF(R230&lt;'PlayerGrades+'!$AH$8,"B",IF(R230&lt;'PlayerGrades+'!$AH$7,"B+",IF(R230&lt;'PlayerGrades+'!$AH$6,"A-",IF(R230&lt;'PlayerGrades+'!$AH$5,"A",IF(R230&lt;'PlayerGrades+'!$AH$4,"A+",IF(R230&lt;'PlayerGrades+'!$AH$3,"S-",IF(R230&lt;'PlayerGrades+'!$AH$2,"S","S+"))))))))))))))))))))</f>
        <v>S+</v>
      </c>
      <c r="T230" s="937">
        <f t="shared" si="9"/>
        <v>0.3768844221</v>
      </c>
      <c r="U230" s="937" t="str">
        <f>IF(T230&lt;'PlayerGrades+'!$AI$21,"F-",IF(T230&lt;'PlayerGrades+'!$AI$20,"F",IF(T230&lt;'PlayerGrades+'!$AI$19,"F+",IF(T230&lt;'PlayerGrades+'!$AI$18,"E-",IF(T230&lt;'PlayerGrades+'!$AI$17,"E",IF(T230&lt;'PlayerGrades+'!$AI$16,"E+",IF(T230&lt;'PlayerGrades+'!$AI$15,"D-",IF(T230&lt;'PlayerGrades+'!$AI$14,"D",IF(T230&lt;'PlayerGrades+'!$AI$13,"D+",IF(T230&lt;'PlayerGrades+'!$AI$12,"C-",IF(T230&lt;'PlayerGrades+'!$AI$11,"C",IF(T230&lt;'PlayerGrades+'!$AI$10,"C+",IF(T230&lt;'PlayerGrades+'!$AI$9,"B-",IF(T230&lt;'PlayerGrades+'!$AI$8,"B",IF(T230&lt;'PlayerGrades+'!$AI$7,"B+",IF(T230&lt;'PlayerGrades+'!$AI$6,"A-",IF(T230&lt;'PlayerGrades+'!$AI$5,"A",IF(T230&lt;'PlayerGrades+'!$AI$4,"A+",IF(T230&lt;'PlayerGrades+'!$AI$3,"S-",IF(T230&lt;'PlayerGrades+'!$AI$2,"S","S+"))))))))))))))))))))</f>
        <v>F-</v>
      </c>
      <c r="V230" s="941">
        <v>1.0</v>
      </c>
      <c r="W230" s="941">
        <v>0.0</v>
      </c>
      <c r="X230" s="941">
        <v>1.0</v>
      </c>
      <c r="Y230" s="941">
        <v>1.0</v>
      </c>
      <c r="Z230" s="941">
        <v>0.0</v>
      </c>
      <c r="AA230" s="941">
        <v>32.0</v>
      </c>
      <c r="AB230" s="941">
        <v>55.0</v>
      </c>
      <c r="AC230" s="941">
        <v>-23.0</v>
      </c>
      <c r="AD230" s="941">
        <v>7.0</v>
      </c>
      <c r="AE230" s="941">
        <v>2.0</v>
      </c>
      <c r="AF230" s="941">
        <v>0.0</v>
      </c>
      <c r="AG230" s="941">
        <v>553.0</v>
      </c>
      <c r="AH230" s="941">
        <v>796.0</v>
      </c>
      <c r="AI230" s="941">
        <v>10.0</v>
      </c>
      <c r="AJ230" s="941">
        <v>1.0</v>
      </c>
      <c r="AK230" s="941">
        <v>0.0</v>
      </c>
      <c r="AL230" s="941">
        <v>0.0</v>
      </c>
      <c r="AM230" s="941">
        <v>0.0</v>
      </c>
      <c r="AN230" s="941">
        <v>0.0</v>
      </c>
      <c r="AO230" s="941">
        <v>0.0</v>
      </c>
      <c r="AP230" s="941">
        <v>0.0</v>
      </c>
      <c r="AQ230" s="941">
        <v>0.0</v>
      </c>
      <c r="AR230" s="941">
        <v>2.0</v>
      </c>
      <c r="AS230" s="941">
        <v>0.0</v>
      </c>
      <c r="AT230" s="941">
        <v>0.0</v>
      </c>
      <c r="AU230" s="941">
        <v>0.0</v>
      </c>
      <c r="AV230" s="941">
        <v>0.0</v>
      </c>
      <c r="AW230" s="941">
        <v>0.0</v>
      </c>
      <c r="AX230" s="941">
        <v>0.0</v>
      </c>
      <c r="AY230" s="941">
        <v>0.0</v>
      </c>
      <c r="AZ230" s="941">
        <v>0.0</v>
      </c>
      <c r="BA230" s="941">
        <v>0.0</v>
      </c>
      <c r="BB230" s="941">
        <v>3.0</v>
      </c>
      <c r="BC230" s="941">
        <v>0.0</v>
      </c>
      <c r="BD230" s="941">
        <v>4.0</v>
      </c>
      <c r="BE230" s="941">
        <v>5.0</v>
      </c>
      <c r="BF230" s="941">
        <v>0.0</v>
      </c>
      <c r="BG230" s="942">
        <v>0.0</v>
      </c>
    </row>
    <row r="231">
      <c r="A231" s="935" t="s">
        <v>137</v>
      </c>
      <c r="B231" s="16" t="str">
        <f>IF(C231&lt;'PlayerGrades+'!$Y$44,"F-",IF(C231&lt;'PlayerGrades+'!$Y$43,"F",IF(C231&lt;'PlayerGrades+'!$Y$42,"F+",IF(C231&lt;'PlayerGrades+'!$Y$41,"E-",IF(C231&lt;'PlayerGrades+'!$Y$40,"E",IF(C231&lt;'PlayerGrades+'!$Y$39,"E+",IF(C231&lt;'PlayerGrades+'!$Y$38,"D-",IF(C231&lt;'PlayerGrades+'!$Y$37,"D",IF(C231&lt;'PlayerGrades+'!$Y$36,"D+",IF(C231&lt;'PlayerGrades+'!$Y$35,"C-",IF(C231&lt;'PlayerGrades+'!$Y$34,"C",IF(C231&lt;'PlayerGrades+'!$Y$33,"C+",IF(C231&lt;'PlayerGrades+'!$Y$32,"B-",IF(C231&lt;'PlayerGrades+'!$Y$31,"B",IF(C231&lt;'PlayerGrades+'!$Y$30,"B+",IF(C231&lt;'PlayerGrades+'!$Y$29,"A-",IF(C231&lt;'PlayerGrades+'!$Y$28,"A",IF(C231&lt;'PlayerGrades+'!$Y$27,"A+",IF(C231&lt;'PlayerGrades+'!$Y$26,"S-",IF(C231&lt;'PlayerGrades+'!$Y$25,"S","S+"))))))))))))))))))))</f>
        <v>D-</v>
      </c>
      <c r="C231" s="936">
        <f>('PlayerGrades+'!$Y$47*(VLOOKUP(E231, 'PlayerGrades+'!$X$3:$Y$23, 2, FALSE)))+('PlayerGrades+'!$Y$48*(VLOOKUP(G231, 'PlayerGrades+'!$X$3:$Y$23, 2, FALSE)))+('PlayerGrades+'!$Y$49*(VLOOKUP(I231, 'PlayerGrades+'!$X$3:$Y$23, 2, FALSE)))+('PlayerGrades+'!$Y$50*(VLOOKUP(K231, 'PlayerGrades+'!$X$3:$Y$23, 2, FALSE)))+('PlayerGrades+'!$Y$51*(VLOOKUP(M231, 'PlayerGrades+'!$X$3:$Y$23, 2, FALSE)))+('PlayerGrades+'!$Y$52*(VLOOKUP(O231, 'PlayerGrades+'!$X$3:$Y$23, 2, FALSE)))+('PlayerGrades+'!$Y$53*(VLOOKUP(Q231, 'PlayerGrades+'!$X$3:$Y$23, 2, FALSE)))+('PlayerGrades+'!$Y$54*(VLOOKUP(S231, 'PlayerGrades+'!$X$3:$Y$23, 2, FALSE)))+('PlayerGrades+'!$Y$55*(VLOOKUP(U231, 'PlayerGrades+'!$X$3:$Y$23, 2, FALSE)))</f>
        <v>14.2</v>
      </c>
      <c r="D231" s="937">
        <f t="shared" si="1"/>
        <v>0</v>
      </c>
      <c r="E231" s="937" t="str">
        <f>IF(D231&lt;'PlayerGrades+'!$AA$21,"F-",IF(D231&lt;'PlayerGrades+'!$AA$20,"F",IF(D231&lt;'PlayerGrades+'!$AA$19,"F+",IF(D231&lt;'PlayerGrades+'!$AA$18,"E-",IF(D231&lt;'PlayerGrades+'!$AA$17,"E",IF(D231&lt;'PlayerGrades+'!$AA$16,"E+",IF(D231&lt;'PlayerGrades+'!$AA$15,"D-",IF(D231&lt;'PlayerGrades+'!$AA$14,"D",IF(D231&lt;'PlayerGrades+'!$AA$13,"D+",IF(D231&lt;'PlayerGrades+'!$AA$12,"C-",IF(D231&lt;'PlayerGrades+'!$AA$11,"C",IF(D231&lt;'PlayerGrades+'!$AA$10,"C+",IF(D231&lt;'PlayerGrades+'!$AA$9,"B-",IF(D231&lt;'PlayerGrades+'!$AA$8,"B",IF(D231&lt;'PlayerGrades+'!$AA$7,"B+",IF(D231&lt;'PlayerGrades+'!$AA$6,"A-",IF(D231&lt;'PlayerGrades+'!$AA$5,"A",IF(D231&lt;'PlayerGrades+'!$AA$4,"A+",IF(D231&lt;'PlayerGrades+'!$AA$3,"S-",IF(D231&lt;'PlayerGrades+'!$AA$2,"S","S+"))))))))))))))))))))</f>
        <v>F-</v>
      </c>
      <c r="F231" s="937">
        <f t="shared" si="2"/>
        <v>-0.6783919598</v>
      </c>
      <c r="G231" s="937" t="str">
        <f>IF(F231&lt;'PlayerGrades+'!$AB$21,"F-",IF(F231&lt;'PlayerGrades+'!$AB$20,"F",IF(F231&lt;'PlayerGrades+'!$AB$19,"F+",IF(F231&lt;'PlayerGrades+'!$AB$18,"E-",IF(F231&lt;'PlayerGrades+'!$AB$17,"E",IF(F231&lt;'PlayerGrades+'!$AB$16,"E+",IF(F231&lt;'PlayerGrades+'!$AB$15,"D-",IF(F231&lt;'PlayerGrades+'!$AB$14,"D",IF(F231&lt;'PlayerGrades+'!$AB$13,"D+",IF(F231&lt;'PlayerGrades+'!$AB$12,"C-",IF(F231&lt;'PlayerGrades+'!$AB$11,"C",IF(F231&lt;'PlayerGrades+'!$AB$10,"C+",IF(F231&lt;'PlayerGrades+'!$AB$9,"B-",IF(F231&lt;'PlayerGrades+'!$AB$8,"B",IF(F231&lt;'PlayerGrades+'!$AB$7,"B+",IF(F231&lt;'PlayerGrades+'!$AB$6,"A-",IF(F231&lt;'PlayerGrades+'!$AB$5,"A",IF(F231&lt;'PlayerGrades+'!$AB$4,"A+",IF(F231&lt;'PlayerGrades+'!$AB$3,"S-",IF(F231&lt;'PlayerGrades+'!$AB$2,"S","S+"))))))))))))))))))))</f>
        <v>E+</v>
      </c>
      <c r="H231" s="937">
        <f t="shared" si="3"/>
        <v>0.2261306533</v>
      </c>
      <c r="I231" s="937" t="str">
        <f>IF(H231&lt;'PlayerGrades+'!$AC$21,"F-",IF(H231&lt;'PlayerGrades+'!$AC$20,"F",IF(H231&lt;'PlayerGrades+'!$AC$19,"F+",IF(H231&lt;'PlayerGrades+'!$AC$18,"E-",IF(H231&lt;'PlayerGrades+'!$AC$17,"E",IF(H231&lt;'PlayerGrades+'!$AC$16,"E+",IF(H231&lt;'PlayerGrades+'!$AC$15,"D-",IF(H231&lt;'PlayerGrades+'!$AC$14,"D",IF(H231&lt;'PlayerGrades+'!$AC$13,"D+",IF(H231&lt;'PlayerGrades+'!$AC$12,"C-",IF(H231&lt;'PlayerGrades+'!$AC$11,"C",IF(H231&lt;'PlayerGrades+'!$AC$10,"C+",IF(H231&lt;'PlayerGrades+'!$AC$9,"B-",IF(H231&lt;'PlayerGrades+'!$AC$8,"B",IF(H231&lt;'PlayerGrades+'!$AC$7,"B+",IF(H231&lt;'PlayerGrades+'!$AC$6,"A-",IF(H231&lt;'PlayerGrades+'!$AC$5,"A",IF(H231&lt;'PlayerGrades+'!$AC$4,"A+",IF(H231&lt;'PlayerGrades+'!$AC$3,"S-",IF(H231&lt;'PlayerGrades+'!$AC$2,"S","S+"))))))))))))))))))))</f>
        <v>S</v>
      </c>
      <c r="J231" s="937">
        <f t="shared" si="4"/>
        <v>0</v>
      </c>
      <c r="K231" s="937" t="str">
        <f>IF(J231&lt;'PlayerGrades+'!$AD$21,"F-",IF(J231&lt;'PlayerGrades+'!$AD$20,"F",IF(J231&lt;'PlayerGrades+'!$AD$19,"F+",IF(J231&lt;'PlayerGrades+'!$AD$18,"E-",IF(J231&lt;'PlayerGrades+'!$AD$17,"E",IF(J231&lt;'PlayerGrades+'!$AD$16,"E+",IF(J231&lt;'PlayerGrades+'!$AD$15,"D-",IF(J231&lt;'PlayerGrades+'!$AD$14,"D",IF(J231&lt;'PlayerGrades+'!$AD$13,"D+",IF(J231&lt;'PlayerGrades+'!$AD$12,"C-",IF(J231&lt;'PlayerGrades+'!$AD$11,"C",IF(J231&lt;'PlayerGrades+'!$AD$10,"C+",IF(J231&lt;'PlayerGrades+'!$AD$9,"B-",IF(J231&lt;'PlayerGrades+'!$AD$8,"B",IF(J231&lt;'PlayerGrades+'!$AD$7,"B+",IF(J231&lt;'PlayerGrades+'!$AD$6,"A-",IF(J231&lt;'PlayerGrades+'!$AD$5,"A",IF(J231&lt;'PlayerGrades+'!$AD$4,"A+",IF(J231&lt;'PlayerGrades+'!$AD$3,"S-",IF(J231&lt;'PlayerGrades+'!$AD$2,"S","S+"))))))))))))))))))))</f>
        <v>F-</v>
      </c>
      <c r="L231" s="677">
        <f t="shared" si="5"/>
        <v>0.3768844221</v>
      </c>
      <c r="M231" s="938" t="str">
        <f>IF(L231&lt;'PlayerGrades+'!$AE$21,"F-",IF(L231&lt;'PlayerGrades+'!$AE$20,"F",IF(L231&lt;'PlayerGrades+'!$AE$19,"F+",IF(L231&lt;'PlayerGrades+'!$AE$18,"E-",IF(L231&lt;'PlayerGrades+'!$AE$17,"E",IF(L231&lt;'PlayerGrades+'!$AE$16,"E+",IF(L231&lt;'PlayerGrades+'!$AE$15,"D-",IF(L231&lt;'PlayerGrades+'!$AE$14,"D",IF(L231&lt;'PlayerGrades+'!$AE$13,"D+",IF(L231&lt;'PlayerGrades+'!$AE$12,"C-",IF(L231&lt;'PlayerGrades+'!$AE$11,"C",IF(L231&lt;'PlayerGrades+'!$AE$10,"C+",IF(L231&lt;'PlayerGrades+'!$AE$9,"B-",IF(L231&lt;'PlayerGrades+'!$AE$8,"B",IF(L231&lt;'PlayerGrades+'!$AE$7,"B+",IF(L231&lt;'PlayerGrades+'!$AE$6,"A-",IF(L231&lt;'PlayerGrades+'!$AE$5,"A",IF(L231&lt;'PlayerGrades+'!$AE$4,"A+",IF(L231&lt;'PlayerGrades+'!$AE$3,"S-",IF(L231&lt;'PlayerGrades+'!$AE$2,"S","S+"))))))))))))))))))))</f>
        <v>C-</v>
      </c>
      <c r="N231" s="937">
        <f t="shared" si="6"/>
        <v>0.07537688442</v>
      </c>
      <c r="O231" s="937" t="str">
        <f>IF(N231&lt;'PlayerGrades+'!$AF$21,"F-",IF(N231&lt;'PlayerGrades+'!$AF$20,"F",IF(N231&lt;'PlayerGrades+'!$AF$19,"F+",IF(N231&lt;'PlayerGrades+'!$AF$18,"E-",IF(N231&lt;'PlayerGrades+'!$AF$17,"E",IF(N231&lt;'PlayerGrades+'!$AF$16,"E+",IF(N231&lt;'PlayerGrades+'!$AF$15,"D-",IF(N231&lt;'PlayerGrades+'!$AF$14,"D",IF(N231&lt;'PlayerGrades+'!$AF$13,"D+",IF(N231&lt;'PlayerGrades+'!$AF$12,"C-",IF(N231&lt;'PlayerGrades+'!$AF$11,"C",IF(N231&lt;'PlayerGrades+'!$AF$10,"C+",IF(N231&lt;'PlayerGrades+'!$AF$9,"B-",IF(N231&lt;'PlayerGrades+'!$AF$8,"B",IF(N231&lt;'PlayerGrades+'!$AF$7,"B+",IF(N231&lt;'PlayerGrades+'!$AF$6,"A-",IF(N231&lt;'PlayerGrades+'!$AF$5,"A",IF(N231&lt;'PlayerGrades+'!$AF$4,"A+",IF(N231&lt;'PlayerGrades+'!$AF$3,"S-",IF(N231&lt;'PlayerGrades+'!$AF$2,"S","S+"))))))))))))))))))))</f>
        <v>B-</v>
      </c>
      <c r="P231" s="937">
        <f t="shared" si="7"/>
        <v>0</v>
      </c>
      <c r="Q231" s="937" t="str">
        <f>IF(P231&lt;'PlayerGrades+'!$AG$21,"F-",IF(P231&lt;'PlayerGrades+'!$AG$20,"F",IF(P231&lt;'PlayerGrades+'!$AG$19,"F+",IF(P231&lt;'PlayerGrades+'!$AG$18,"E-",IF(P231&lt;'PlayerGrades+'!$AG$17,"E",IF(P231&lt;'PlayerGrades+'!$AG$16,"E+",IF(P231&lt;'PlayerGrades+'!$AG$15,"D-",IF(P231&lt;'PlayerGrades+'!$AG$14,"D",IF(P231&lt;'PlayerGrades+'!$AG$13,"D+",IF(P231&lt;'PlayerGrades+'!$AG$12,"C-",IF(P231&lt;'PlayerGrades+'!$AG$11,"C",IF(P231&lt;'PlayerGrades+'!$AG$10,"C+",IF(P231&lt;'PlayerGrades+'!$AG$9,"B-",IF(P231&lt;'PlayerGrades+'!$AG$8,"B",IF(P231&lt;'PlayerGrades+'!$AG$7,"B+",IF(P231&lt;'PlayerGrades+'!$AG$6,"A-",IF(P231&lt;'PlayerGrades+'!$AG$5,"A",IF(P231&lt;'PlayerGrades+'!$AG$4,"A+",IF(P231&lt;'PlayerGrades+'!$AG$3,"S-",IF(P231&lt;'PlayerGrades+'!$AG$2,"S","S+"))))))))))))))))))))</f>
        <v>F</v>
      </c>
      <c r="R231" s="937">
        <f t="shared" si="8"/>
        <v>0.3768844221</v>
      </c>
      <c r="S231" s="937" t="str">
        <f>IF(R231&lt;'PlayerGrades+'!$AH$21,"F-",IF(R231&lt;'PlayerGrades+'!$AH$20,"F",IF(R231&lt;'PlayerGrades+'!$AH$19,"F+",IF(R231&lt;'PlayerGrades+'!$AH$18,"E-",IF(R231&lt;'PlayerGrades+'!$AH$17,"E",IF(R231&lt;'PlayerGrades+'!$AH$16,"E+",IF(R231&lt;'PlayerGrades+'!$AH$15,"D-",IF(R231&lt;'PlayerGrades+'!$AH$14,"D",IF(R231&lt;'PlayerGrades+'!$AH$13,"D+",IF(R231&lt;'PlayerGrades+'!$AH$12,"C-",IF(R231&lt;'PlayerGrades+'!$AH$11,"C",IF(R231&lt;'PlayerGrades+'!$AH$10,"C+",IF(R231&lt;'PlayerGrades+'!$AH$9,"B-",IF(R231&lt;'PlayerGrades+'!$AH$8,"B",IF(R231&lt;'PlayerGrades+'!$AH$7,"B+",IF(R231&lt;'PlayerGrades+'!$AH$6,"A-",IF(R231&lt;'PlayerGrades+'!$AH$5,"A",IF(R231&lt;'PlayerGrades+'!$AH$4,"A+",IF(R231&lt;'PlayerGrades+'!$AH$3,"S-",IF(R231&lt;'PlayerGrades+'!$AH$2,"S","S+"))))))))))))))))))))</f>
        <v>F</v>
      </c>
      <c r="T231" s="937">
        <f t="shared" si="9"/>
        <v>0.3768844221</v>
      </c>
      <c r="U231" s="937" t="str">
        <f>IF(T231&lt;'PlayerGrades+'!$AI$21,"F-",IF(T231&lt;'PlayerGrades+'!$AI$20,"F",IF(T231&lt;'PlayerGrades+'!$AI$19,"F+",IF(T231&lt;'PlayerGrades+'!$AI$18,"E-",IF(T231&lt;'PlayerGrades+'!$AI$17,"E",IF(T231&lt;'PlayerGrades+'!$AI$16,"E+",IF(T231&lt;'PlayerGrades+'!$AI$15,"D-",IF(T231&lt;'PlayerGrades+'!$AI$14,"D",IF(T231&lt;'PlayerGrades+'!$AI$13,"D+",IF(T231&lt;'PlayerGrades+'!$AI$12,"C-",IF(T231&lt;'PlayerGrades+'!$AI$11,"C",IF(T231&lt;'PlayerGrades+'!$AI$10,"C+",IF(T231&lt;'PlayerGrades+'!$AI$9,"B-",IF(T231&lt;'PlayerGrades+'!$AI$8,"B",IF(T231&lt;'PlayerGrades+'!$AI$7,"B+",IF(T231&lt;'PlayerGrades+'!$AI$6,"A-",IF(T231&lt;'PlayerGrades+'!$AI$5,"A",IF(T231&lt;'PlayerGrades+'!$AI$4,"A+",IF(T231&lt;'PlayerGrades+'!$AI$3,"S-",IF(T231&lt;'PlayerGrades+'!$AI$2,"S","S+"))))))))))))))))))))</f>
        <v>F-</v>
      </c>
      <c r="V231" s="941">
        <v>1.0</v>
      </c>
      <c r="W231" s="941">
        <v>0.0</v>
      </c>
      <c r="X231" s="941">
        <v>1.0</v>
      </c>
      <c r="Y231" s="941">
        <v>0.0</v>
      </c>
      <c r="Z231" s="941">
        <v>0.0</v>
      </c>
      <c r="AA231" s="941">
        <v>34.0</v>
      </c>
      <c r="AB231" s="941">
        <v>43.0</v>
      </c>
      <c r="AC231" s="941">
        <v>-9.0</v>
      </c>
      <c r="AD231" s="941">
        <v>2.0</v>
      </c>
      <c r="AE231" s="941">
        <v>4.0</v>
      </c>
      <c r="AF231" s="941">
        <v>2.0</v>
      </c>
      <c r="AG231" s="941">
        <v>592.0</v>
      </c>
      <c r="AH231" s="941">
        <v>796.0</v>
      </c>
      <c r="AI231" s="941">
        <v>13.0</v>
      </c>
      <c r="AJ231" s="941">
        <v>4.0</v>
      </c>
      <c r="AK231" s="941">
        <v>0.0</v>
      </c>
      <c r="AL231" s="941">
        <v>0.0</v>
      </c>
      <c r="AM231" s="941">
        <v>0.0</v>
      </c>
      <c r="AN231" s="941">
        <v>0.0</v>
      </c>
      <c r="AO231" s="941">
        <v>0.0</v>
      </c>
      <c r="AP231" s="941">
        <v>0.0</v>
      </c>
      <c r="AQ231" s="941">
        <v>0.0</v>
      </c>
      <c r="AR231" s="941">
        <v>5.0</v>
      </c>
      <c r="AS231" s="941">
        <v>1.0</v>
      </c>
      <c r="AT231" s="941">
        <v>0.0</v>
      </c>
      <c r="AU231" s="941">
        <v>0.0</v>
      </c>
      <c r="AV231" s="941">
        <v>0.0</v>
      </c>
      <c r="AW231" s="941">
        <v>0.0</v>
      </c>
      <c r="AX231" s="941">
        <v>0.0</v>
      </c>
      <c r="AY231" s="941">
        <v>0.0</v>
      </c>
      <c r="AZ231" s="941">
        <v>0.0</v>
      </c>
      <c r="BA231" s="941">
        <v>0.0</v>
      </c>
      <c r="BB231" s="941">
        <v>3.0</v>
      </c>
      <c r="BC231" s="941">
        <v>0.0</v>
      </c>
      <c r="BD231" s="941">
        <v>3.0</v>
      </c>
      <c r="BE231" s="941">
        <v>5.0</v>
      </c>
      <c r="BF231" s="941">
        <v>0.0</v>
      </c>
      <c r="BG231" s="942">
        <v>0.0</v>
      </c>
    </row>
    <row r="232">
      <c r="A232" s="935" t="s">
        <v>418</v>
      </c>
      <c r="B232" s="16" t="str">
        <f>IF(C232&lt;'PlayerGrades+'!$Y$44,"F-",IF(C232&lt;'PlayerGrades+'!$Y$43,"F",IF(C232&lt;'PlayerGrades+'!$Y$42,"F+",IF(C232&lt;'PlayerGrades+'!$Y$41,"E-",IF(C232&lt;'PlayerGrades+'!$Y$40,"E",IF(C232&lt;'PlayerGrades+'!$Y$39,"E+",IF(C232&lt;'PlayerGrades+'!$Y$38,"D-",IF(C232&lt;'PlayerGrades+'!$Y$37,"D",IF(C232&lt;'PlayerGrades+'!$Y$36,"D+",IF(C232&lt;'PlayerGrades+'!$Y$35,"C-",IF(C232&lt;'PlayerGrades+'!$Y$34,"C",IF(C232&lt;'PlayerGrades+'!$Y$33,"C+",IF(C232&lt;'PlayerGrades+'!$Y$32,"B-",IF(C232&lt;'PlayerGrades+'!$Y$31,"B",IF(C232&lt;'PlayerGrades+'!$Y$30,"B+",IF(C232&lt;'PlayerGrades+'!$Y$29,"A-",IF(C232&lt;'PlayerGrades+'!$Y$28,"A",IF(C232&lt;'PlayerGrades+'!$Y$27,"A+",IF(C232&lt;'PlayerGrades+'!$Y$26,"S-",IF(C232&lt;'PlayerGrades+'!$Y$25,"S","S+"))))))))))))))))))))</f>
        <v>S</v>
      </c>
      <c r="C232" s="936">
        <f>('PlayerGrades+'!$Y$47*(VLOOKUP(E232, 'PlayerGrades+'!$X$3:$Y$23, 2, FALSE)))+('PlayerGrades+'!$Y$48*(VLOOKUP(G232, 'PlayerGrades+'!$X$3:$Y$23, 2, FALSE)))+('PlayerGrades+'!$Y$49*(VLOOKUP(I232, 'PlayerGrades+'!$X$3:$Y$23, 2, FALSE)))+('PlayerGrades+'!$Y$50*(VLOOKUP(K232, 'PlayerGrades+'!$X$3:$Y$23, 2, FALSE)))+('PlayerGrades+'!$Y$51*(VLOOKUP(M232, 'PlayerGrades+'!$X$3:$Y$23, 2, FALSE)))+('PlayerGrades+'!$Y$52*(VLOOKUP(O232, 'PlayerGrades+'!$X$3:$Y$23, 2, FALSE)))+('PlayerGrades+'!$Y$53*(VLOOKUP(Q232, 'PlayerGrades+'!$X$3:$Y$23, 2, FALSE)))+('PlayerGrades+'!$Y$54*(VLOOKUP(S232, 'PlayerGrades+'!$X$3:$Y$23, 2, FALSE)))+('PlayerGrades+'!$Y$55*(VLOOKUP(U232, 'PlayerGrades+'!$X$3:$Y$23, 2, FALSE)))</f>
        <v>32.5</v>
      </c>
      <c r="D232" s="937">
        <f t="shared" si="1"/>
        <v>0</v>
      </c>
      <c r="E232" s="937" t="str">
        <f>IF(D232&lt;'PlayerGrades+'!$AA$21,"F-",IF(D232&lt;'PlayerGrades+'!$AA$20,"F",IF(D232&lt;'PlayerGrades+'!$AA$19,"F+",IF(D232&lt;'PlayerGrades+'!$AA$18,"E-",IF(D232&lt;'PlayerGrades+'!$AA$17,"E",IF(D232&lt;'PlayerGrades+'!$AA$16,"E+",IF(D232&lt;'PlayerGrades+'!$AA$15,"D-",IF(D232&lt;'PlayerGrades+'!$AA$14,"D",IF(D232&lt;'PlayerGrades+'!$AA$13,"D+",IF(D232&lt;'PlayerGrades+'!$AA$12,"C-",IF(D232&lt;'PlayerGrades+'!$AA$11,"C",IF(D232&lt;'PlayerGrades+'!$AA$10,"C+",IF(D232&lt;'PlayerGrades+'!$AA$9,"B-",IF(D232&lt;'PlayerGrades+'!$AA$8,"B",IF(D232&lt;'PlayerGrades+'!$AA$7,"B+",IF(D232&lt;'PlayerGrades+'!$AA$6,"A-",IF(D232&lt;'PlayerGrades+'!$AA$5,"A",IF(D232&lt;'PlayerGrades+'!$AA$4,"A+",IF(D232&lt;'PlayerGrades+'!$AA$3,"S-",IF(D232&lt;'PlayerGrades+'!$AA$2,"S","S+"))))))))))))))))))))</f>
        <v>F-</v>
      </c>
      <c r="F232" s="937">
        <f t="shared" si="2"/>
        <v>1.055276382</v>
      </c>
      <c r="G232" s="937" t="str">
        <f>IF(F232&lt;'PlayerGrades+'!$AB$21,"F-",IF(F232&lt;'PlayerGrades+'!$AB$20,"F",IF(F232&lt;'PlayerGrades+'!$AB$19,"F+",IF(F232&lt;'PlayerGrades+'!$AB$18,"E-",IF(F232&lt;'PlayerGrades+'!$AB$17,"E",IF(F232&lt;'PlayerGrades+'!$AB$16,"E+",IF(F232&lt;'PlayerGrades+'!$AB$15,"D-",IF(F232&lt;'PlayerGrades+'!$AB$14,"D",IF(F232&lt;'PlayerGrades+'!$AB$13,"D+",IF(F232&lt;'PlayerGrades+'!$AB$12,"C-",IF(F232&lt;'PlayerGrades+'!$AB$11,"C",IF(F232&lt;'PlayerGrades+'!$AB$10,"C+",IF(F232&lt;'PlayerGrades+'!$AB$9,"B-",IF(F232&lt;'PlayerGrades+'!$AB$8,"B",IF(F232&lt;'PlayerGrades+'!$AB$7,"B+",IF(F232&lt;'PlayerGrades+'!$AB$6,"A-",IF(F232&lt;'PlayerGrades+'!$AB$5,"A",IF(F232&lt;'PlayerGrades+'!$AB$4,"A+",IF(F232&lt;'PlayerGrades+'!$AB$3,"S-",IF(F232&lt;'PlayerGrades+'!$AB$2,"S","S+"))))))))))))))))))))</f>
        <v>S+</v>
      </c>
      <c r="H232" s="937">
        <f t="shared" si="3"/>
        <v>0.3768844221</v>
      </c>
      <c r="I232" s="937" t="str">
        <f>IF(H232&lt;'PlayerGrades+'!$AC$21,"F-",IF(H232&lt;'PlayerGrades+'!$AC$20,"F",IF(H232&lt;'PlayerGrades+'!$AC$19,"F+",IF(H232&lt;'PlayerGrades+'!$AC$18,"E-",IF(H232&lt;'PlayerGrades+'!$AC$17,"E",IF(H232&lt;'PlayerGrades+'!$AC$16,"E+",IF(H232&lt;'PlayerGrades+'!$AC$15,"D-",IF(H232&lt;'PlayerGrades+'!$AC$14,"D",IF(H232&lt;'PlayerGrades+'!$AC$13,"D+",IF(H232&lt;'PlayerGrades+'!$AC$12,"C-",IF(H232&lt;'PlayerGrades+'!$AC$11,"C",IF(H232&lt;'PlayerGrades+'!$AC$10,"C+",IF(H232&lt;'PlayerGrades+'!$AC$9,"B-",IF(H232&lt;'PlayerGrades+'!$AC$8,"B",IF(H232&lt;'PlayerGrades+'!$AC$7,"B+",IF(H232&lt;'PlayerGrades+'!$AC$6,"A-",IF(H232&lt;'PlayerGrades+'!$AC$5,"A",IF(H232&lt;'PlayerGrades+'!$AC$4,"A+",IF(H232&lt;'PlayerGrades+'!$AC$3,"S-",IF(H232&lt;'PlayerGrades+'!$AC$2,"S","S+"))))))))))))))))))))</f>
        <v>S+</v>
      </c>
      <c r="J232" s="937">
        <f t="shared" si="4"/>
        <v>0.2261306533</v>
      </c>
      <c r="K232" s="937" t="str">
        <f>IF(J232&lt;'PlayerGrades+'!$AD$21,"F-",IF(J232&lt;'PlayerGrades+'!$AD$20,"F",IF(J232&lt;'PlayerGrades+'!$AD$19,"F+",IF(J232&lt;'PlayerGrades+'!$AD$18,"E-",IF(J232&lt;'PlayerGrades+'!$AD$17,"E",IF(J232&lt;'PlayerGrades+'!$AD$16,"E+",IF(J232&lt;'PlayerGrades+'!$AD$15,"D-",IF(J232&lt;'PlayerGrades+'!$AD$14,"D",IF(J232&lt;'PlayerGrades+'!$AD$13,"D+",IF(J232&lt;'PlayerGrades+'!$AD$12,"C-",IF(J232&lt;'PlayerGrades+'!$AD$11,"C",IF(J232&lt;'PlayerGrades+'!$AD$10,"C+",IF(J232&lt;'PlayerGrades+'!$AD$9,"B-",IF(J232&lt;'PlayerGrades+'!$AD$8,"B",IF(J232&lt;'PlayerGrades+'!$AD$7,"B+",IF(J232&lt;'PlayerGrades+'!$AD$6,"A-",IF(J232&lt;'PlayerGrades+'!$AD$5,"A",IF(J232&lt;'PlayerGrades+'!$AD$4,"A+",IF(J232&lt;'PlayerGrades+'!$AD$3,"S-",IF(J232&lt;'PlayerGrades+'!$AD$2,"S","S+"))))))))))))))))))))</f>
        <v>S+</v>
      </c>
      <c r="L232" s="677">
        <f t="shared" si="5"/>
        <v>0.8291457286</v>
      </c>
      <c r="M232" s="938" t="str">
        <f>IF(L232&lt;'PlayerGrades+'!$AE$21,"F-",IF(L232&lt;'PlayerGrades+'!$AE$20,"F",IF(L232&lt;'PlayerGrades+'!$AE$19,"F+",IF(L232&lt;'PlayerGrades+'!$AE$18,"E-",IF(L232&lt;'PlayerGrades+'!$AE$17,"E",IF(L232&lt;'PlayerGrades+'!$AE$16,"E+",IF(L232&lt;'PlayerGrades+'!$AE$15,"D-",IF(L232&lt;'PlayerGrades+'!$AE$14,"D",IF(L232&lt;'PlayerGrades+'!$AE$13,"D+",IF(L232&lt;'PlayerGrades+'!$AE$12,"C-",IF(L232&lt;'PlayerGrades+'!$AE$11,"C",IF(L232&lt;'PlayerGrades+'!$AE$10,"C+",IF(L232&lt;'PlayerGrades+'!$AE$9,"B-",IF(L232&lt;'PlayerGrades+'!$AE$8,"B",IF(L232&lt;'PlayerGrades+'!$AE$7,"B+",IF(L232&lt;'PlayerGrades+'!$AE$6,"A-",IF(L232&lt;'PlayerGrades+'!$AE$5,"A",IF(L232&lt;'PlayerGrades+'!$AE$4,"A+",IF(L232&lt;'PlayerGrades+'!$AE$3,"S-",IF(L232&lt;'PlayerGrades+'!$AE$2,"S","S+"))))))))))))))))))))</f>
        <v>S+</v>
      </c>
      <c r="N232" s="937">
        <f t="shared" si="6"/>
        <v>0.2261306533</v>
      </c>
      <c r="O232" s="937" t="str">
        <f>IF(N232&lt;'PlayerGrades+'!$AF$21,"F-",IF(N232&lt;'PlayerGrades+'!$AF$20,"F",IF(N232&lt;'PlayerGrades+'!$AF$19,"F+",IF(N232&lt;'PlayerGrades+'!$AF$18,"E-",IF(N232&lt;'PlayerGrades+'!$AF$17,"E",IF(N232&lt;'PlayerGrades+'!$AF$16,"E+",IF(N232&lt;'PlayerGrades+'!$AF$15,"D-",IF(N232&lt;'PlayerGrades+'!$AF$14,"D",IF(N232&lt;'PlayerGrades+'!$AF$13,"D+",IF(N232&lt;'PlayerGrades+'!$AF$12,"C-",IF(N232&lt;'PlayerGrades+'!$AF$11,"C",IF(N232&lt;'PlayerGrades+'!$AF$10,"C+",IF(N232&lt;'PlayerGrades+'!$AF$9,"B-",IF(N232&lt;'PlayerGrades+'!$AF$8,"B",IF(N232&lt;'PlayerGrades+'!$AF$7,"B+",IF(N232&lt;'PlayerGrades+'!$AF$6,"A-",IF(N232&lt;'PlayerGrades+'!$AF$5,"A",IF(N232&lt;'PlayerGrades+'!$AF$4,"A+",IF(N232&lt;'PlayerGrades+'!$AF$3,"S-",IF(N232&lt;'PlayerGrades+'!$AF$2,"S","S+"))))))))))))))))))))</f>
        <v>S+</v>
      </c>
      <c r="P232" s="937">
        <f t="shared" si="7"/>
        <v>0.2261306533</v>
      </c>
      <c r="Q232" s="937" t="str">
        <f>IF(P232&lt;'PlayerGrades+'!$AG$21,"F-",IF(P232&lt;'PlayerGrades+'!$AG$20,"F",IF(P232&lt;'PlayerGrades+'!$AG$19,"F+",IF(P232&lt;'PlayerGrades+'!$AG$18,"E-",IF(P232&lt;'PlayerGrades+'!$AG$17,"E",IF(P232&lt;'PlayerGrades+'!$AG$16,"E+",IF(P232&lt;'PlayerGrades+'!$AG$15,"D-",IF(P232&lt;'PlayerGrades+'!$AG$14,"D",IF(P232&lt;'PlayerGrades+'!$AG$13,"D+",IF(P232&lt;'PlayerGrades+'!$AG$12,"C-",IF(P232&lt;'PlayerGrades+'!$AG$11,"C",IF(P232&lt;'PlayerGrades+'!$AG$10,"C+",IF(P232&lt;'PlayerGrades+'!$AG$9,"B-",IF(P232&lt;'PlayerGrades+'!$AG$8,"B",IF(P232&lt;'PlayerGrades+'!$AG$7,"B+",IF(P232&lt;'PlayerGrades+'!$AG$6,"A-",IF(P232&lt;'PlayerGrades+'!$AG$5,"A",IF(P232&lt;'PlayerGrades+'!$AG$4,"A+",IF(P232&lt;'PlayerGrades+'!$AG$3,"S-",IF(P232&lt;'PlayerGrades+'!$AG$2,"S","S+"))))))))))))))))))))</f>
        <v>S+</v>
      </c>
      <c r="R232" s="937">
        <f t="shared" si="8"/>
        <v>1.206030151</v>
      </c>
      <c r="S232" s="937" t="str">
        <f>IF(R232&lt;'PlayerGrades+'!$AH$21,"F-",IF(R232&lt;'PlayerGrades+'!$AH$20,"F",IF(R232&lt;'PlayerGrades+'!$AH$19,"F+",IF(R232&lt;'PlayerGrades+'!$AH$18,"E-",IF(R232&lt;'PlayerGrades+'!$AH$17,"E",IF(R232&lt;'PlayerGrades+'!$AH$16,"E+",IF(R232&lt;'PlayerGrades+'!$AH$15,"D-",IF(R232&lt;'PlayerGrades+'!$AH$14,"D",IF(R232&lt;'PlayerGrades+'!$AH$13,"D+",IF(R232&lt;'PlayerGrades+'!$AH$12,"C-",IF(R232&lt;'PlayerGrades+'!$AH$11,"C",IF(R232&lt;'PlayerGrades+'!$AH$10,"C+",IF(R232&lt;'PlayerGrades+'!$AH$9,"B-",IF(R232&lt;'PlayerGrades+'!$AH$8,"B",IF(R232&lt;'PlayerGrades+'!$AH$7,"B+",IF(R232&lt;'PlayerGrades+'!$AH$6,"A-",IF(R232&lt;'PlayerGrades+'!$AH$5,"A",IF(R232&lt;'PlayerGrades+'!$AH$4,"A+",IF(R232&lt;'PlayerGrades+'!$AH$3,"S-",IF(R232&lt;'PlayerGrades+'!$AH$2,"S","S+"))))))))))))))))))))</f>
        <v>S+</v>
      </c>
      <c r="T232" s="937">
        <f t="shared" si="9"/>
        <v>1.301507538</v>
      </c>
      <c r="U232" s="937" t="str">
        <f>IF(T232&lt;'PlayerGrades+'!$AI$21,"F-",IF(T232&lt;'PlayerGrades+'!$AI$20,"F",IF(T232&lt;'PlayerGrades+'!$AI$19,"F+",IF(T232&lt;'PlayerGrades+'!$AI$18,"E-",IF(T232&lt;'PlayerGrades+'!$AI$17,"E",IF(T232&lt;'PlayerGrades+'!$AI$16,"E+",IF(T232&lt;'PlayerGrades+'!$AI$15,"D-",IF(T232&lt;'PlayerGrades+'!$AI$14,"D",IF(T232&lt;'PlayerGrades+'!$AI$13,"D+",IF(T232&lt;'PlayerGrades+'!$AI$12,"C-",IF(T232&lt;'PlayerGrades+'!$AI$11,"C",IF(T232&lt;'PlayerGrades+'!$AI$10,"C+",IF(T232&lt;'PlayerGrades+'!$AI$9,"B-",IF(T232&lt;'PlayerGrades+'!$AI$8,"B",IF(T232&lt;'PlayerGrades+'!$AI$7,"B+",IF(T232&lt;'PlayerGrades+'!$AI$6,"A-",IF(T232&lt;'PlayerGrades+'!$AI$5,"A",IF(T232&lt;'PlayerGrades+'!$AI$4,"A+",IF(T232&lt;'PlayerGrades+'!$AI$3,"S-",IF(T232&lt;'PlayerGrades+'!$AI$2,"S","S+"))))))))))))))))))))</f>
        <v>C+</v>
      </c>
      <c r="V232" s="941">
        <v>1.0</v>
      </c>
      <c r="W232" s="941">
        <v>0.0</v>
      </c>
      <c r="X232" s="941">
        <v>1.0</v>
      </c>
      <c r="Y232" s="941">
        <v>0.0</v>
      </c>
      <c r="Z232" s="941">
        <v>0.0</v>
      </c>
      <c r="AA232" s="941">
        <v>59.0</v>
      </c>
      <c r="AB232" s="941">
        <v>45.0</v>
      </c>
      <c r="AC232" s="941">
        <v>14.0</v>
      </c>
      <c r="AD232" s="941">
        <v>6.0</v>
      </c>
      <c r="AE232" s="941">
        <v>8.0</v>
      </c>
      <c r="AF232" s="941">
        <v>1.0</v>
      </c>
      <c r="AG232" s="941">
        <v>586.0</v>
      </c>
      <c r="AH232" s="941">
        <v>796.0</v>
      </c>
      <c r="AI232" s="941">
        <v>13.0</v>
      </c>
      <c r="AJ232" s="941">
        <v>0.0</v>
      </c>
      <c r="AK232" s="941">
        <v>0.0</v>
      </c>
      <c r="AL232" s="941">
        <v>3.0</v>
      </c>
      <c r="AM232" s="941">
        <v>0.0</v>
      </c>
      <c r="AN232" s="941">
        <v>0.0</v>
      </c>
      <c r="AO232" s="941">
        <v>0.0</v>
      </c>
      <c r="AP232" s="941">
        <v>3.0</v>
      </c>
      <c r="AQ232" s="941">
        <v>0.0</v>
      </c>
      <c r="AR232" s="941">
        <v>11.0</v>
      </c>
      <c r="AS232" s="941">
        <v>3.0</v>
      </c>
      <c r="AT232" s="941">
        <v>1.0</v>
      </c>
      <c r="AU232" s="941">
        <v>1.0</v>
      </c>
      <c r="AV232" s="941">
        <v>1.0</v>
      </c>
      <c r="AW232" s="941">
        <v>1.0</v>
      </c>
      <c r="AX232" s="941">
        <v>0.0</v>
      </c>
      <c r="AY232" s="941">
        <v>0.0</v>
      </c>
      <c r="AZ232" s="941">
        <v>0.0</v>
      </c>
      <c r="BA232" s="941">
        <v>0.0</v>
      </c>
      <c r="BB232" s="941">
        <v>5.0</v>
      </c>
      <c r="BC232" s="941">
        <v>0.0</v>
      </c>
      <c r="BD232" s="941">
        <v>10.0</v>
      </c>
      <c r="BE232" s="941">
        <v>4.0</v>
      </c>
      <c r="BF232" s="941">
        <v>1.0</v>
      </c>
      <c r="BG232" s="942">
        <v>0.0</v>
      </c>
    </row>
    <row r="233">
      <c r="A233" s="943" t="s">
        <v>420</v>
      </c>
      <c r="B233" s="16" t="str">
        <f>IF(C233&lt;'PlayerGrades+'!$Y$44,"F-",IF(C233&lt;'PlayerGrades+'!$Y$43,"F",IF(C233&lt;'PlayerGrades+'!$Y$42,"F+",IF(C233&lt;'PlayerGrades+'!$Y$41,"E-",IF(C233&lt;'PlayerGrades+'!$Y$40,"E",IF(C233&lt;'PlayerGrades+'!$Y$39,"E+",IF(C233&lt;'PlayerGrades+'!$Y$38,"D-",IF(C233&lt;'PlayerGrades+'!$Y$37,"D",IF(C233&lt;'PlayerGrades+'!$Y$36,"D+",IF(C233&lt;'PlayerGrades+'!$Y$35,"C-",IF(C233&lt;'PlayerGrades+'!$Y$34,"C",IF(C233&lt;'PlayerGrades+'!$Y$33,"C+",IF(C233&lt;'PlayerGrades+'!$Y$32,"B-",IF(C233&lt;'PlayerGrades+'!$Y$31,"B",IF(C233&lt;'PlayerGrades+'!$Y$30,"B+",IF(C233&lt;'PlayerGrades+'!$Y$29,"A-",IF(C233&lt;'PlayerGrades+'!$Y$28,"A",IF(C233&lt;'PlayerGrades+'!$Y$27,"A+",IF(C233&lt;'PlayerGrades+'!$Y$26,"S-",IF(C233&lt;'PlayerGrades+'!$Y$25,"S","S+"))))))))))))))))))))</f>
        <v>D-</v>
      </c>
      <c r="C233" s="936">
        <f>('PlayerGrades+'!$Y$47*(VLOOKUP(E233, 'PlayerGrades+'!$X$3:$Y$23, 2, FALSE)))+('PlayerGrades+'!$Y$48*(VLOOKUP(G233, 'PlayerGrades+'!$X$3:$Y$23, 2, FALSE)))+('PlayerGrades+'!$Y$49*(VLOOKUP(I233, 'PlayerGrades+'!$X$3:$Y$23, 2, FALSE)))+('PlayerGrades+'!$Y$50*(VLOOKUP(K233, 'PlayerGrades+'!$X$3:$Y$23, 2, FALSE)))+('PlayerGrades+'!$Y$51*(VLOOKUP(M233, 'PlayerGrades+'!$X$3:$Y$23, 2, FALSE)))+('PlayerGrades+'!$Y$52*(VLOOKUP(O233, 'PlayerGrades+'!$X$3:$Y$23, 2, FALSE)))+('PlayerGrades+'!$Y$53*(VLOOKUP(Q233, 'PlayerGrades+'!$X$3:$Y$23, 2, FALSE)))+('PlayerGrades+'!$Y$54*(VLOOKUP(S233, 'PlayerGrades+'!$X$3:$Y$23, 2, FALSE)))+('PlayerGrades+'!$Y$55*(VLOOKUP(U233, 'PlayerGrades+'!$X$3:$Y$23, 2, FALSE)))</f>
        <v>14.65</v>
      </c>
      <c r="D233" s="937">
        <f t="shared" si="1"/>
        <v>0.3768844221</v>
      </c>
      <c r="E233" s="937" t="str">
        <f>IF(D233&lt;'PlayerGrades+'!$AA$21,"F-",IF(D233&lt;'PlayerGrades+'!$AA$20,"F",IF(D233&lt;'PlayerGrades+'!$AA$19,"F+",IF(D233&lt;'PlayerGrades+'!$AA$18,"E-",IF(D233&lt;'PlayerGrades+'!$AA$17,"E",IF(D233&lt;'PlayerGrades+'!$AA$16,"E+",IF(D233&lt;'PlayerGrades+'!$AA$15,"D-",IF(D233&lt;'PlayerGrades+'!$AA$14,"D",IF(D233&lt;'PlayerGrades+'!$AA$13,"D+",IF(D233&lt;'PlayerGrades+'!$AA$12,"C-",IF(D233&lt;'PlayerGrades+'!$AA$11,"C",IF(D233&lt;'PlayerGrades+'!$AA$10,"C+",IF(D233&lt;'PlayerGrades+'!$AA$9,"B-",IF(D233&lt;'PlayerGrades+'!$AA$8,"B",IF(D233&lt;'PlayerGrades+'!$AA$7,"B+",IF(D233&lt;'PlayerGrades+'!$AA$6,"A-",IF(D233&lt;'PlayerGrades+'!$AA$5,"A",IF(D233&lt;'PlayerGrades+'!$AA$4,"A+",IF(D233&lt;'PlayerGrades+'!$AA$3,"S-",IF(D233&lt;'PlayerGrades+'!$AA$2,"S","S+"))))))))))))))))))))</f>
        <v>A+</v>
      </c>
      <c r="F233" s="937">
        <f t="shared" si="2"/>
        <v>-0.7537688442</v>
      </c>
      <c r="G233" s="937" t="str">
        <f>IF(F233&lt;'PlayerGrades+'!$AB$21,"F-",IF(F233&lt;'PlayerGrades+'!$AB$20,"F",IF(F233&lt;'PlayerGrades+'!$AB$19,"F+",IF(F233&lt;'PlayerGrades+'!$AB$18,"E-",IF(F233&lt;'PlayerGrades+'!$AB$17,"E",IF(F233&lt;'PlayerGrades+'!$AB$16,"E+",IF(F233&lt;'PlayerGrades+'!$AB$15,"D-",IF(F233&lt;'PlayerGrades+'!$AB$14,"D",IF(F233&lt;'PlayerGrades+'!$AB$13,"D+",IF(F233&lt;'PlayerGrades+'!$AB$12,"C-",IF(F233&lt;'PlayerGrades+'!$AB$11,"C",IF(F233&lt;'PlayerGrades+'!$AB$10,"C+",IF(F233&lt;'PlayerGrades+'!$AB$9,"B-",IF(F233&lt;'PlayerGrades+'!$AB$8,"B",IF(F233&lt;'PlayerGrades+'!$AB$7,"B+",IF(F233&lt;'PlayerGrades+'!$AB$6,"A-",IF(F233&lt;'PlayerGrades+'!$AB$5,"A",IF(F233&lt;'PlayerGrades+'!$AB$4,"A+",IF(F233&lt;'PlayerGrades+'!$AB$3,"S-",IF(F233&lt;'PlayerGrades+'!$AB$2,"S","S+"))))))))))))))))))))</f>
        <v>E+</v>
      </c>
      <c r="H233" s="937">
        <f t="shared" si="3"/>
        <v>0.07537688442</v>
      </c>
      <c r="I233" s="937" t="str">
        <f>IF(H233&lt;'PlayerGrades+'!$AC$21,"F-",IF(H233&lt;'PlayerGrades+'!$AC$20,"F",IF(H233&lt;'PlayerGrades+'!$AC$19,"F+",IF(H233&lt;'PlayerGrades+'!$AC$18,"E-",IF(H233&lt;'PlayerGrades+'!$AC$17,"E",IF(H233&lt;'PlayerGrades+'!$AC$16,"E+",IF(H233&lt;'PlayerGrades+'!$AC$15,"D-",IF(H233&lt;'PlayerGrades+'!$AC$14,"D",IF(H233&lt;'PlayerGrades+'!$AC$13,"D+",IF(H233&lt;'PlayerGrades+'!$AC$12,"C-",IF(H233&lt;'PlayerGrades+'!$AC$11,"C",IF(H233&lt;'PlayerGrades+'!$AC$10,"C+",IF(H233&lt;'PlayerGrades+'!$AC$9,"B-",IF(H233&lt;'PlayerGrades+'!$AC$8,"B",IF(H233&lt;'PlayerGrades+'!$AC$7,"B+",IF(H233&lt;'PlayerGrades+'!$AC$6,"A-",IF(H233&lt;'PlayerGrades+'!$AC$5,"A",IF(H233&lt;'PlayerGrades+'!$AC$4,"A+",IF(H233&lt;'PlayerGrades+'!$AC$3,"S-",IF(H233&lt;'PlayerGrades+'!$AC$2,"S","S+"))))))))))))))))))))</f>
        <v>E+</v>
      </c>
      <c r="J233" s="937">
        <f t="shared" si="4"/>
        <v>0</v>
      </c>
      <c r="K233" s="937" t="str">
        <f>IF(J233&lt;'PlayerGrades+'!$AD$21,"F-",IF(J233&lt;'PlayerGrades+'!$AD$20,"F",IF(J233&lt;'PlayerGrades+'!$AD$19,"F+",IF(J233&lt;'PlayerGrades+'!$AD$18,"E-",IF(J233&lt;'PlayerGrades+'!$AD$17,"E",IF(J233&lt;'PlayerGrades+'!$AD$16,"E+",IF(J233&lt;'PlayerGrades+'!$AD$15,"D-",IF(J233&lt;'PlayerGrades+'!$AD$14,"D",IF(J233&lt;'PlayerGrades+'!$AD$13,"D+",IF(J233&lt;'PlayerGrades+'!$AD$12,"C-",IF(J233&lt;'PlayerGrades+'!$AD$11,"C",IF(J233&lt;'PlayerGrades+'!$AD$10,"C+",IF(J233&lt;'PlayerGrades+'!$AD$9,"B-",IF(J233&lt;'PlayerGrades+'!$AD$8,"B",IF(J233&lt;'PlayerGrades+'!$AD$7,"B+",IF(J233&lt;'PlayerGrades+'!$AD$6,"A-",IF(J233&lt;'PlayerGrades+'!$AD$5,"A",IF(J233&lt;'PlayerGrades+'!$AD$4,"A+",IF(J233&lt;'PlayerGrades+'!$AD$3,"S-",IF(J233&lt;'PlayerGrades+'!$AD$2,"S","S+"))))))))))))))))))))</f>
        <v>F-</v>
      </c>
      <c r="L233" s="677">
        <f t="shared" si="5"/>
        <v>0.1507537688</v>
      </c>
      <c r="M233" s="938" t="str">
        <f>IF(L233&lt;'PlayerGrades+'!$AE$21,"F-",IF(L233&lt;'PlayerGrades+'!$AE$20,"F",IF(L233&lt;'PlayerGrades+'!$AE$19,"F+",IF(L233&lt;'PlayerGrades+'!$AE$18,"E-",IF(L233&lt;'PlayerGrades+'!$AE$17,"E",IF(L233&lt;'PlayerGrades+'!$AE$16,"E+",IF(L233&lt;'PlayerGrades+'!$AE$15,"D-",IF(L233&lt;'PlayerGrades+'!$AE$14,"D",IF(L233&lt;'PlayerGrades+'!$AE$13,"D+",IF(L233&lt;'PlayerGrades+'!$AE$12,"C-",IF(L233&lt;'PlayerGrades+'!$AE$11,"C",IF(L233&lt;'PlayerGrades+'!$AE$10,"C+",IF(L233&lt;'PlayerGrades+'!$AE$9,"B-",IF(L233&lt;'PlayerGrades+'!$AE$8,"B",IF(L233&lt;'PlayerGrades+'!$AE$7,"B+",IF(L233&lt;'PlayerGrades+'!$AE$6,"A-",IF(L233&lt;'PlayerGrades+'!$AE$5,"A",IF(L233&lt;'PlayerGrades+'!$AE$4,"A+",IF(L233&lt;'PlayerGrades+'!$AE$3,"S-",IF(L233&lt;'PlayerGrades+'!$AE$2,"S","S+"))))))))))))))))))))</f>
        <v>F-</v>
      </c>
      <c r="N233" s="937">
        <f t="shared" si="6"/>
        <v>0</v>
      </c>
      <c r="O233" s="937" t="str">
        <f>IF(N233&lt;'PlayerGrades+'!$AF$21,"F-",IF(N233&lt;'PlayerGrades+'!$AF$20,"F",IF(N233&lt;'PlayerGrades+'!$AF$19,"F+",IF(N233&lt;'PlayerGrades+'!$AF$18,"E-",IF(N233&lt;'PlayerGrades+'!$AF$17,"E",IF(N233&lt;'PlayerGrades+'!$AF$16,"E+",IF(N233&lt;'PlayerGrades+'!$AF$15,"D-",IF(N233&lt;'PlayerGrades+'!$AF$14,"D",IF(N233&lt;'PlayerGrades+'!$AF$13,"D+",IF(N233&lt;'PlayerGrades+'!$AF$12,"C-",IF(N233&lt;'PlayerGrades+'!$AF$11,"C",IF(N233&lt;'PlayerGrades+'!$AF$10,"C+",IF(N233&lt;'PlayerGrades+'!$AF$9,"B-",IF(N233&lt;'PlayerGrades+'!$AF$8,"B",IF(N233&lt;'PlayerGrades+'!$AF$7,"B+",IF(N233&lt;'PlayerGrades+'!$AF$6,"A-",IF(N233&lt;'PlayerGrades+'!$AF$5,"A",IF(N233&lt;'PlayerGrades+'!$AF$4,"A+",IF(N233&lt;'PlayerGrades+'!$AF$3,"S-",IF(N233&lt;'PlayerGrades+'!$AF$2,"S","S+"))))))))))))))))))))</f>
        <v>F-</v>
      </c>
      <c r="P233" s="937">
        <f t="shared" si="7"/>
        <v>0</v>
      </c>
      <c r="Q233" s="937" t="str">
        <f>IF(P233&lt;'PlayerGrades+'!$AG$21,"F-",IF(P233&lt;'PlayerGrades+'!$AG$20,"F",IF(P233&lt;'PlayerGrades+'!$AG$19,"F+",IF(P233&lt;'PlayerGrades+'!$AG$18,"E-",IF(P233&lt;'PlayerGrades+'!$AG$17,"E",IF(P233&lt;'PlayerGrades+'!$AG$16,"E+",IF(P233&lt;'PlayerGrades+'!$AG$15,"D-",IF(P233&lt;'PlayerGrades+'!$AG$14,"D",IF(P233&lt;'PlayerGrades+'!$AG$13,"D+",IF(P233&lt;'PlayerGrades+'!$AG$12,"C-",IF(P233&lt;'PlayerGrades+'!$AG$11,"C",IF(P233&lt;'PlayerGrades+'!$AG$10,"C+",IF(P233&lt;'PlayerGrades+'!$AG$9,"B-",IF(P233&lt;'PlayerGrades+'!$AG$8,"B",IF(P233&lt;'PlayerGrades+'!$AG$7,"B+",IF(P233&lt;'PlayerGrades+'!$AG$6,"A-",IF(P233&lt;'PlayerGrades+'!$AG$5,"A",IF(P233&lt;'PlayerGrades+'!$AG$4,"A+",IF(P233&lt;'PlayerGrades+'!$AG$3,"S-",IF(P233&lt;'PlayerGrades+'!$AG$2,"S","S+"))))))))))))))))))))</f>
        <v>F</v>
      </c>
      <c r="R233" s="937">
        <f t="shared" si="8"/>
        <v>0.6783919598</v>
      </c>
      <c r="S233" s="937" t="str">
        <f>IF(R233&lt;'PlayerGrades+'!$AH$21,"F-",IF(R233&lt;'PlayerGrades+'!$AH$20,"F",IF(R233&lt;'PlayerGrades+'!$AH$19,"F+",IF(R233&lt;'PlayerGrades+'!$AH$18,"E-",IF(R233&lt;'PlayerGrades+'!$AH$17,"E",IF(R233&lt;'PlayerGrades+'!$AH$16,"E+",IF(R233&lt;'PlayerGrades+'!$AH$15,"D-",IF(R233&lt;'PlayerGrades+'!$AH$14,"D",IF(R233&lt;'PlayerGrades+'!$AH$13,"D+",IF(R233&lt;'PlayerGrades+'!$AH$12,"C-",IF(R233&lt;'PlayerGrades+'!$AH$11,"C",IF(R233&lt;'PlayerGrades+'!$AH$10,"C+",IF(R233&lt;'PlayerGrades+'!$AH$9,"B-",IF(R233&lt;'PlayerGrades+'!$AH$8,"B",IF(R233&lt;'PlayerGrades+'!$AH$7,"B+",IF(R233&lt;'PlayerGrades+'!$AH$6,"A-",IF(R233&lt;'PlayerGrades+'!$AH$5,"A",IF(R233&lt;'PlayerGrades+'!$AH$4,"A+",IF(R233&lt;'PlayerGrades+'!$AH$3,"S-",IF(R233&lt;'PlayerGrades+'!$AH$2,"S","S+"))))))))))))))))))))</f>
        <v>S-</v>
      </c>
      <c r="T233" s="937">
        <f t="shared" si="9"/>
        <v>1.226130653</v>
      </c>
      <c r="U233" s="937" t="str">
        <f>IF(T233&lt;'PlayerGrades+'!$AI$21,"F-",IF(T233&lt;'PlayerGrades+'!$AI$20,"F",IF(T233&lt;'PlayerGrades+'!$AI$19,"F+",IF(T233&lt;'PlayerGrades+'!$AI$18,"E-",IF(T233&lt;'PlayerGrades+'!$AI$17,"E",IF(T233&lt;'PlayerGrades+'!$AI$16,"E+",IF(T233&lt;'PlayerGrades+'!$AI$15,"D-",IF(T233&lt;'PlayerGrades+'!$AI$14,"D",IF(T233&lt;'PlayerGrades+'!$AI$13,"D+",IF(T233&lt;'PlayerGrades+'!$AI$12,"C-",IF(T233&lt;'PlayerGrades+'!$AI$11,"C",IF(T233&lt;'PlayerGrades+'!$AI$10,"C+",IF(T233&lt;'PlayerGrades+'!$AI$9,"B-",IF(T233&lt;'PlayerGrades+'!$AI$8,"B",IF(T233&lt;'PlayerGrades+'!$AI$7,"B+",IF(T233&lt;'PlayerGrades+'!$AI$6,"A-",IF(T233&lt;'PlayerGrades+'!$AI$5,"A",IF(T233&lt;'PlayerGrades+'!$AI$4,"A+",IF(T233&lt;'PlayerGrades+'!$AI$3,"S-",IF(T233&lt;'PlayerGrades+'!$AI$2,"S","S+"))))))))))))))))))))</f>
        <v>C</v>
      </c>
      <c r="V233" s="944">
        <v>1.0</v>
      </c>
      <c r="W233" s="944">
        <v>0.0</v>
      </c>
      <c r="X233" s="944">
        <v>1.0</v>
      </c>
      <c r="Y233" s="944">
        <v>0.0</v>
      </c>
      <c r="Z233" s="944">
        <v>5.0</v>
      </c>
      <c r="AA233" s="944">
        <v>24.0</v>
      </c>
      <c r="AB233" s="944">
        <v>34.0</v>
      </c>
      <c r="AC233" s="944">
        <v>-10.0</v>
      </c>
      <c r="AD233" s="944">
        <v>4.0</v>
      </c>
      <c r="AE233" s="944">
        <v>4.0</v>
      </c>
      <c r="AF233" s="944">
        <v>2.0</v>
      </c>
      <c r="AG233" s="944">
        <v>615.0</v>
      </c>
      <c r="AH233" s="944">
        <v>796.0</v>
      </c>
      <c r="AI233" s="944">
        <v>18.0</v>
      </c>
      <c r="AJ233" s="944">
        <v>247.0</v>
      </c>
      <c r="AK233" s="944">
        <v>0.0</v>
      </c>
      <c r="AL233" s="944">
        <v>0.0</v>
      </c>
      <c r="AM233" s="944">
        <v>0.0</v>
      </c>
      <c r="AN233" s="944">
        <v>0.0</v>
      </c>
      <c r="AO233" s="944">
        <v>0.0</v>
      </c>
      <c r="AP233" s="944">
        <v>0.0</v>
      </c>
      <c r="AQ233" s="944">
        <v>0.0</v>
      </c>
      <c r="AR233" s="944">
        <v>2.0</v>
      </c>
      <c r="AS233" s="944">
        <v>0.0</v>
      </c>
      <c r="AT233" s="944">
        <v>0.0</v>
      </c>
      <c r="AU233" s="944">
        <v>0.0</v>
      </c>
      <c r="AV233" s="944">
        <v>0.0</v>
      </c>
      <c r="AW233" s="944">
        <v>0.0</v>
      </c>
      <c r="AX233" s="944">
        <v>0.0</v>
      </c>
      <c r="AY233" s="944">
        <v>0.0</v>
      </c>
      <c r="AZ233" s="944">
        <v>0.0</v>
      </c>
      <c r="BA233" s="944">
        <v>0.0</v>
      </c>
      <c r="BB233" s="944">
        <v>1.0</v>
      </c>
      <c r="BC233" s="944">
        <v>0.0</v>
      </c>
      <c r="BD233" s="944">
        <v>5.0</v>
      </c>
      <c r="BE233" s="944">
        <v>3.0</v>
      </c>
      <c r="BF233" s="944">
        <v>1.0</v>
      </c>
      <c r="BG233" s="945">
        <v>0.0</v>
      </c>
    </row>
    <row r="234">
      <c r="A234" s="946" t="s">
        <v>114</v>
      </c>
      <c r="B234" s="16" t="str">
        <f>IF(C234&lt;'PlayerGrades+'!$Y$44,"F-",IF(C234&lt;'PlayerGrades+'!$Y$43,"F",IF(C234&lt;'PlayerGrades+'!$Y$42,"F+",IF(C234&lt;'PlayerGrades+'!$Y$41,"E-",IF(C234&lt;'PlayerGrades+'!$Y$40,"E",IF(C234&lt;'PlayerGrades+'!$Y$39,"E+",IF(C234&lt;'PlayerGrades+'!$Y$38,"D-",IF(C234&lt;'PlayerGrades+'!$Y$37,"D",IF(C234&lt;'PlayerGrades+'!$Y$36,"D+",IF(C234&lt;'PlayerGrades+'!$Y$35,"C-",IF(C234&lt;'PlayerGrades+'!$Y$34,"C",IF(C234&lt;'PlayerGrades+'!$Y$33,"C+",IF(C234&lt;'PlayerGrades+'!$Y$32,"B-",IF(C234&lt;'PlayerGrades+'!$Y$31,"B",IF(C234&lt;'PlayerGrades+'!$Y$30,"B+",IF(C234&lt;'PlayerGrades+'!$Y$29,"A-",IF(C234&lt;'PlayerGrades+'!$Y$28,"A",IF(C234&lt;'PlayerGrades+'!$Y$27,"A+",IF(C234&lt;'PlayerGrades+'!$Y$26,"S-",IF(C234&lt;'PlayerGrades+'!$Y$25,"S","S+"))))))))))))))))))))</f>
        <v>C-</v>
      </c>
      <c r="C234" s="936">
        <f>('PlayerGrades+'!$Y$47*(VLOOKUP(E234, 'PlayerGrades+'!$X$3:$Y$23, 2, FALSE)))+('PlayerGrades+'!$Y$48*(VLOOKUP(G234, 'PlayerGrades+'!$X$3:$Y$23, 2, FALSE)))+('PlayerGrades+'!$Y$49*(VLOOKUP(I234, 'PlayerGrades+'!$X$3:$Y$23, 2, FALSE)))+('PlayerGrades+'!$Y$50*(VLOOKUP(K234, 'PlayerGrades+'!$X$3:$Y$23, 2, FALSE)))+('PlayerGrades+'!$Y$51*(VLOOKUP(M234, 'PlayerGrades+'!$X$3:$Y$23, 2, FALSE)))+('PlayerGrades+'!$Y$52*(VLOOKUP(O234, 'PlayerGrades+'!$X$3:$Y$23, 2, FALSE)))+('PlayerGrades+'!$Y$53*(VLOOKUP(Q234, 'PlayerGrades+'!$X$3:$Y$23, 2, FALSE)))+('PlayerGrades+'!$Y$54*(VLOOKUP(S234, 'PlayerGrades+'!$X$3:$Y$23, 2, FALSE)))+('PlayerGrades+'!$Y$55*(VLOOKUP(U234, 'PlayerGrades+'!$X$3:$Y$23, 2, FALSE)))</f>
        <v>19.4</v>
      </c>
      <c r="D234" s="937">
        <f t="shared" si="1"/>
        <v>1.108433735</v>
      </c>
      <c r="E234" s="937" t="str">
        <f>IF(D234&lt;'PlayerGrades+'!$AA$21,"F-",IF(D234&lt;'PlayerGrades+'!$AA$20,"F",IF(D234&lt;'PlayerGrades+'!$AA$19,"F+",IF(D234&lt;'PlayerGrades+'!$AA$18,"E-",IF(D234&lt;'PlayerGrades+'!$AA$17,"E",IF(D234&lt;'PlayerGrades+'!$AA$16,"E+",IF(D234&lt;'PlayerGrades+'!$AA$15,"D-",IF(D234&lt;'PlayerGrades+'!$AA$14,"D",IF(D234&lt;'PlayerGrades+'!$AA$13,"D+",IF(D234&lt;'PlayerGrades+'!$AA$12,"C-",IF(D234&lt;'PlayerGrades+'!$AA$11,"C",IF(D234&lt;'PlayerGrades+'!$AA$10,"C+",IF(D234&lt;'PlayerGrades+'!$AA$9,"B-",IF(D234&lt;'PlayerGrades+'!$AA$8,"B",IF(D234&lt;'PlayerGrades+'!$AA$7,"B+",IF(D234&lt;'PlayerGrades+'!$AA$6,"A-",IF(D234&lt;'PlayerGrades+'!$AA$5,"A",IF(D234&lt;'PlayerGrades+'!$AA$4,"A+",IF(D234&lt;'PlayerGrades+'!$AA$3,"S-",IF(D234&lt;'PlayerGrades+'!$AA$2,"S","S+"))))))))))))))))))))</f>
        <v>S+</v>
      </c>
      <c r="F234" s="937">
        <f t="shared" si="2"/>
        <v>0.7710843373</v>
      </c>
      <c r="G234" s="937" t="str">
        <f>IF(F234&lt;'PlayerGrades+'!$AB$21,"F-",IF(F234&lt;'PlayerGrades+'!$AB$20,"F",IF(F234&lt;'PlayerGrades+'!$AB$19,"F+",IF(F234&lt;'PlayerGrades+'!$AB$18,"E-",IF(F234&lt;'PlayerGrades+'!$AB$17,"E",IF(F234&lt;'PlayerGrades+'!$AB$16,"E+",IF(F234&lt;'PlayerGrades+'!$AB$15,"D-",IF(F234&lt;'PlayerGrades+'!$AB$14,"D",IF(F234&lt;'PlayerGrades+'!$AB$13,"D+",IF(F234&lt;'PlayerGrades+'!$AB$12,"C-",IF(F234&lt;'PlayerGrades+'!$AB$11,"C",IF(F234&lt;'PlayerGrades+'!$AB$10,"C+",IF(F234&lt;'PlayerGrades+'!$AB$9,"B-",IF(F234&lt;'PlayerGrades+'!$AB$8,"B",IF(F234&lt;'PlayerGrades+'!$AB$7,"B+",IF(F234&lt;'PlayerGrades+'!$AB$6,"A-",IF(F234&lt;'PlayerGrades+'!$AB$5,"A",IF(F234&lt;'PlayerGrades+'!$AB$4,"A+",IF(F234&lt;'PlayerGrades+'!$AB$3,"S-",IF(F234&lt;'PlayerGrades+'!$AB$2,"S","S+"))))))))))))))))))))</f>
        <v>S</v>
      </c>
      <c r="H234" s="937">
        <f t="shared" si="3"/>
        <v>0.1445783133</v>
      </c>
      <c r="I234" s="937" t="str">
        <f>IF(H234&lt;'PlayerGrades+'!$AC$21,"F-",IF(H234&lt;'PlayerGrades+'!$AC$20,"F",IF(H234&lt;'PlayerGrades+'!$AC$19,"F+",IF(H234&lt;'PlayerGrades+'!$AC$18,"E-",IF(H234&lt;'PlayerGrades+'!$AC$17,"E",IF(H234&lt;'PlayerGrades+'!$AC$16,"E+",IF(H234&lt;'PlayerGrades+'!$AC$15,"D-",IF(H234&lt;'PlayerGrades+'!$AC$14,"D",IF(H234&lt;'PlayerGrades+'!$AC$13,"D+",IF(H234&lt;'PlayerGrades+'!$AC$12,"C-",IF(H234&lt;'PlayerGrades+'!$AC$11,"C",IF(H234&lt;'PlayerGrades+'!$AC$10,"C+",IF(H234&lt;'PlayerGrades+'!$AC$9,"B-",IF(H234&lt;'PlayerGrades+'!$AC$8,"B",IF(H234&lt;'PlayerGrades+'!$AC$7,"B+",IF(H234&lt;'PlayerGrades+'!$AC$6,"A-",IF(H234&lt;'PlayerGrades+'!$AC$5,"A",IF(H234&lt;'PlayerGrades+'!$AC$4,"A+",IF(H234&lt;'PlayerGrades+'!$AC$3,"S-",IF(H234&lt;'PlayerGrades+'!$AC$2,"S","S+"))))))))))))))))))))</f>
        <v>A</v>
      </c>
      <c r="J234" s="937">
        <f t="shared" si="4"/>
        <v>0.04819277108</v>
      </c>
      <c r="K234" s="937" t="str">
        <f>IF(J234&lt;'PlayerGrades+'!$AD$21,"F-",IF(J234&lt;'PlayerGrades+'!$AD$20,"F",IF(J234&lt;'PlayerGrades+'!$AD$19,"F+",IF(J234&lt;'PlayerGrades+'!$AD$18,"E-",IF(J234&lt;'PlayerGrades+'!$AD$17,"E",IF(J234&lt;'PlayerGrades+'!$AD$16,"E+",IF(J234&lt;'PlayerGrades+'!$AD$15,"D-",IF(J234&lt;'PlayerGrades+'!$AD$14,"D",IF(J234&lt;'PlayerGrades+'!$AD$13,"D+",IF(J234&lt;'PlayerGrades+'!$AD$12,"C-",IF(J234&lt;'PlayerGrades+'!$AD$11,"C",IF(J234&lt;'PlayerGrades+'!$AD$10,"C+",IF(J234&lt;'PlayerGrades+'!$AD$9,"B-",IF(J234&lt;'PlayerGrades+'!$AD$8,"B",IF(J234&lt;'PlayerGrades+'!$AD$7,"B+",IF(J234&lt;'PlayerGrades+'!$AD$6,"A-",IF(J234&lt;'PlayerGrades+'!$AD$5,"A",IF(J234&lt;'PlayerGrades+'!$AD$4,"A+",IF(J234&lt;'PlayerGrades+'!$AD$3,"S-",IF(J234&lt;'PlayerGrades+'!$AD$2,"S","S+"))))))))))))))))))))</f>
        <v>B</v>
      </c>
      <c r="L234" s="677">
        <f t="shared" si="5"/>
        <v>0.1927710843</v>
      </c>
      <c r="M234" s="938" t="str">
        <f>IF(L234&lt;'PlayerGrades+'!$AE$21,"F-",IF(L234&lt;'PlayerGrades+'!$AE$20,"F",IF(L234&lt;'PlayerGrades+'!$AE$19,"F+",IF(L234&lt;'PlayerGrades+'!$AE$18,"E-",IF(L234&lt;'PlayerGrades+'!$AE$17,"E",IF(L234&lt;'PlayerGrades+'!$AE$16,"E+",IF(L234&lt;'PlayerGrades+'!$AE$15,"D-",IF(L234&lt;'PlayerGrades+'!$AE$14,"D",IF(L234&lt;'PlayerGrades+'!$AE$13,"D+",IF(L234&lt;'PlayerGrades+'!$AE$12,"C-",IF(L234&lt;'PlayerGrades+'!$AE$11,"C",IF(L234&lt;'PlayerGrades+'!$AE$10,"C+",IF(L234&lt;'PlayerGrades+'!$AE$9,"B-",IF(L234&lt;'PlayerGrades+'!$AE$8,"B",IF(L234&lt;'PlayerGrades+'!$AE$7,"B+",IF(L234&lt;'PlayerGrades+'!$AE$6,"A-",IF(L234&lt;'PlayerGrades+'!$AE$5,"A",IF(L234&lt;'PlayerGrades+'!$AE$4,"A+",IF(L234&lt;'PlayerGrades+'!$AE$3,"S-",IF(L234&lt;'PlayerGrades+'!$AE$2,"S","S+"))))))))))))))))))))</f>
        <v>F</v>
      </c>
      <c r="N234" s="937">
        <f t="shared" si="6"/>
        <v>0</v>
      </c>
      <c r="O234" s="937" t="str">
        <f>IF(N234&lt;'PlayerGrades+'!$AF$21,"F-",IF(N234&lt;'PlayerGrades+'!$AF$20,"F",IF(N234&lt;'PlayerGrades+'!$AF$19,"F+",IF(N234&lt;'PlayerGrades+'!$AF$18,"E-",IF(N234&lt;'PlayerGrades+'!$AF$17,"E",IF(N234&lt;'PlayerGrades+'!$AF$16,"E+",IF(N234&lt;'PlayerGrades+'!$AF$15,"D-",IF(N234&lt;'PlayerGrades+'!$AF$14,"D",IF(N234&lt;'PlayerGrades+'!$AF$13,"D+",IF(N234&lt;'PlayerGrades+'!$AF$12,"C-",IF(N234&lt;'PlayerGrades+'!$AF$11,"C",IF(N234&lt;'PlayerGrades+'!$AF$10,"C+",IF(N234&lt;'PlayerGrades+'!$AF$9,"B-",IF(N234&lt;'PlayerGrades+'!$AF$8,"B",IF(N234&lt;'PlayerGrades+'!$AF$7,"B+",IF(N234&lt;'PlayerGrades+'!$AF$6,"A-",IF(N234&lt;'PlayerGrades+'!$AF$5,"A",IF(N234&lt;'PlayerGrades+'!$AF$4,"A+",IF(N234&lt;'PlayerGrades+'!$AF$3,"S-",IF(N234&lt;'PlayerGrades+'!$AF$2,"S","S+"))))))))))))))))))))</f>
        <v>F-</v>
      </c>
      <c r="P234" s="937">
        <f t="shared" si="7"/>
        <v>0</v>
      </c>
      <c r="Q234" s="937" t="str">
        <f>IF(P234&lt;'PlayerGrades+'!$AG$21,"F-",IF(P234&lt;'PlayerGrades+'!$AG$20,"F",IF(P234&lt;'PlayerGrades+'!$AG$19,"F+",IF(P234&lt;'PlayerGrades+'!$AG$18,"E-",IF(P234&lt;'PlayerGrades+'!$AG$17,"E",IF(P234&lt;'PlayerGrades+'!$AG$16,"E+",IF(P234&lt;'PlayerGrades+'!$AG$15,"D-",IF(P234&lt;'PlayerGrades+'!$AG$14,"D",IF(P234&lt;'PlayerGrades+'!$AG$13,"D+",IF(P234&lt;'PlayerGrades+'!$AG$12,"C-",IF(P234&lt;'PlayerGrades+'!$AG$11,"C",IF(P234&lt;'PlayerGrades+'!$AG$10,"C+",IF(P234&lt;'PlayerGrades+'!$AG$9,"B-",IF(P234&lt;'PlayerGrades+'!$AG$8,"B",IF(P234&lt;'PlayerGrades+'!$AG$7,"B+",IF(P234&lt;'PlayerGrades+'!$AG$6,"A-",IF(P234&lt;'PlayerGrades+'!$AG$5,"A",IF(P234&lt;'PlayerGrades+'!$AG$4,"A+",IF(P234&lt;'PlayerGrades+'!$AG$3,"S-",IF(P234&lt;'PlayerGrades+'!$AG$2,"S","S+"))))))))))))))))))))</f>
        <v>F</v>
      </c>
      <c r="R234" s="937">
        <f t="shared" si="8"/>
        <v>0.4819277108</v>
      </c>
      <c r="S234" s="937" t="str">
        <f>IF(R234&lt;'PlayerGrades+'!$AH$21,"F-",IF(R234&lt;'PlayerGrades+'!$AH$20,"F",IF(R234&lt;'PlayerGrades+'!$AH$19,"F+",IF(R234&lt;'PlayerGrades+'!$AH$18,"E-",IF(R234&lt;'PlayerGrades+'!$AH$17,"E",IF(R234&lt;'PlayerGrades+'!$AH$16,"E+",IF(R234&lt;'PlayerGrades+'!$AH$15,"D-",IF(R234&lt;'PlayerGrades+'!$AH$14,"D",IF(R234&lt;'PlayerGrades+'!$AH$13,"D+",IF(R234&lt;'PlayerGrades+'!$AH$12,"C-",IF(R234&lt;'PlayerGrades+'!$AH$11,"C",IF(R234&lt;'PlayerGrades+'!$AH$10,"C+",IF(R234&lt;'PlayerGrades+'!$AH$9,"B-",IF(R234&lt;'PlayerGrades+'!$AH$8,"B",IF(R234&lt;'PlayerGrades+'!$AH$7,"B+",IF(R234&lt;'PlayerGrades+'!$AH$6,"A-",IF(R234&lt;'PlayerGrades+'!$AH$5,"A",IF(R234&lt;'PlayerGrades+'!$AH$4,"A+",IF(R234&lt;'PlayerGrades+'!$AH$3,"S-",IF(R234&lt;'PlayerGrades+'!$AH$2,"S","S+"))))))))))))))))))))</f>
        <v>E+</v>
      </c>
      <c r="T234" s="937">
        <f t="shared" si="9"/>
        <v>1.337349398</v>
      </c>
      <c r="U234" s="937" t="str">
        <f>IF(T234&lt;'PlayerGrades+'!$AI$21,"F-",IF(T234&lt;'PlayerGrades+'!$AI$20,"F",IF(T234&lt;'PlayerGrades+'!$AI$19,"F+",IF(T234&lt;'PlayerGrades+'!$AI$18,"E-",IF(T234&lt;'PlayerGrades+'!$AI$17,"E",IF(T234&lt;'PlayerGrades+'!$AI$16,"E+",IF(T234&lt;'PlayerGrades+'!$AI$15,"D-",IF(T234&lt;'PlayerGrades+'!$AI$14,"D",IF(T234&lt;'PlayerGrades+'!$AI$13,"D+",IF(T234&lt;'PlayerGrades+'!$AI$12,"C-",IF(T234&lt;'PlayerGrades+'!$AI$11,"C",IF(T234&lt;'PlayerGrades+'!$AI$10,"C+",IF(T234&lt;'PlayerGrades+'!$AI$9,"B-",IF(T234&lt;'PlayerGrades+'!$AI$8,"B",IF(T234&lt;'PlayerGrades+'!$AI$7,"B+",IF(T234&lt;'PlayerGrades+'!$AI$6,"A-",IF(T234&lt;'PlayerGrades+'!$AI$5,"A",IF(T234&lt;'PlayerGrades+'!$AI$4,"A+",IF(T234&lt;'PlayerGrades+'!$AI$3,"S-",IF(T234&lt;'PlayerGrades+'!$AI$2,"S","S+"))))))))))))))))))))</f>
        <v>B-</v>
      </c>
      <c r="V234" s="939">
        <v>1.0</v>
      </c>
      <c r="W234" s="939">
        <v>1.0</v>
      </c>
      <c r="X234" s="939">
        <v>0.0</v>
      </c>
      <c r="Y234" s="939">
        <v>5.0</v>
      </c>
      <c r="Z234" s="939">
        <v>18.0</v>
      </c>
      <c r="AA234" s="939">
        <v>45.0</v>
      </c>
      <c r="AB234" s="939">
        <v>29.0</v>
      </c>
      <c r="AC234" s="939">
        <v>16.0</v>
      </c>
      <c r="AD234" s="939">
        <v>3.0</v>
      </c>
      <c r="AE234" s="939">
        <v>9.0</v>
      </c>
      <c r="AF234" s="939">
        <v>1.0</v>
      </c>
      <c r="AG234" s="939">
        <v>1077.0</v>
      </c>
      <c r="AH234" s="939">
        <v>1245.0</v>
      </c>
      <c r="AI234" s="939">
        <v>37.0</v>
      </c>
      <c r="AJ234" s="939">
        <v>587.0</v>
      </c>
      <c r="AK234" s="939">
        <v>0.0</v>
      </c>
      <c r="AL234" s="939">
        <v>1.0</v>
      </c>
      <c r="AM234" s="939">
        <v>0.0</v>
      </c>
      <c r="AN234" s="939">
        <v>0.0</v>
      </c>
      <c r="AO234" s="939">
        <v>0.0</v>
      </c>
      <c r="AP234" s="939">
        <v>0.0</v>
      </c>
      <c r="AQ234" s="939">
        <v>0.0</v>
      </c>
      <c r="AR234" s="939">
        <v>4.0</v>
      </c>
      <c r="AS234" s="939">
        <v>0.0</v>
      </c>
      <c r="AT234" s="939">
        <v>0.0</v>
      </c>
      <c r="AU234" s="939">
        <v>0.0</v>
      </c>
      <c r="AV234" s="939">
        <v>0.0</v>
      </c>
      <c r="AW234" s="939">
        <v>0.0</v>
      </c>
      <c r="AX234" s="939">
        <v>0.0</v>
      </c>
      <c r="AY234" s="939">
        <v>0.0</v>
      </c>
      <c r="AZ234" s="939">
        <v>0.0</v>
      </c>
      <c r="BA234" s="939">
        <v>0.0</v>
      </c>
      <c r="BB234" s="939">
        <v>3.0</v>
      </c>
      <c r="BC234" s="939">
        <v>0.0</v>
      </c>
      <c r="BD234" s="939">
        <v>7.0</v>
      </c>
      <c r="BE234" s="939">
        <v>7.0</v>
      </c>
      <c r="BF234" s="939">
        <v>1.0</v>
      </c>
      <c r="BG234" s="940">
        <v>0.0</v>
      </c>
    </row>
    <row r="235">
      <c r="A235" s="935" t="s">
        <v>136</v>
      </c>
      <c r="B235" s="16" t="str">
        <f>IF(C235&lt;'PlayerGrades+'!$Y$44,"F-",IF(C235&lt;'PlayerGrades+'!$Y$43,"F",IF(C235&lt;'PlayerGrades+'!$Y$42,"F+",IF(C235&lt;'PlayerGrades+'!$Y$41,"E-",IF(C235&lt;'PlayerGrades+'!$Y$40,"E",IF(C235&lt;'PlayerGrades+'!$Y$39,"E+",IF(C235&lt;'PlayerGrades+'!$Y$38,"D-",IF(C235&lt;'PlayerGrades+'!$Y$37,"D",IF(C235&lt;'PlayerGrades+'!$Y$36,"D+",IF(C235&lt;'PlayerGrades+'!$Y$35,"C-",IF(C235&lt;'PlayerGrades+'!$Y$34,"C",IF(C235&lt;'PlayerGrades+'!$Y$33,"C+",IF(C235&lt;'PlayerGrades+'!$Y$32,"B-",IF(C235&lt;'PlayerGrades+'!$Y$31,"B",IF(C235&lt;'PlayerGrades+'!$Y$30,"B+",IF(C235&lt;'PlayerGrades+'!$Y$29,"A-",IF(C235&lt;'PlayerGrades+'!$Y$28,"A",IF(C235&lt;'PlayerGrades+'!$Y$27,"A+",IF(C235&lt;'PlayerGrades+'!$Y$26,"S-",IF(C235&lt;'PlayerGrades+'!$Y$25,"S","S+"))))))))))))))))))))</f>
        <v>A</v>
      </c>
      <c r="C235" s="936">
        <f>('PlayerGrades+'!$Y$47*(VLOOKUP(E235, 'PlayerGrades+'!$X$3:$Y$23, 2, FALSE)))+('PlayerGrades+'!$Y$48*(VLOOKUP(G235, 'PlayerGrades+'!$X$3:$Y$23, 2, FALSE)))+('PlayerGrades+'!$Y$49*(VLOOKUP(I235, 'PlayerGrades+'!$X$3:$Y$23, 2, FALSE)))+('PlayerGrades+'!$Y$50*(VLOOKUP(K235, 'PlayerGrades+'!$X$3:$Y$23, 2, FALSE)))+('PlayerGrades+'!$Y$51*(VLOOKUP(M235, 'PlayerGrades+'!$X$3:$Y$23, 2, FALSE)))+('PlayerGrades+'!$Y$52*(VLOOKUP(O235, 'PlayerGrades+'!$X$3:$Y$23, 2, FALSE)))+('PlayerGrades+'!$Y$53*(VLOOKUP(Q235, 'PlayerGrades+'!$X$3:$Y$23, 2, FALSE)))+('PlayerGrades+'!$Y$54*(VLOOKUP(S235, 'PlayerGrades+'!$X$3:$Y$23, 2, FALSE)))+('PlayerGrades+'!$Y$55*(VLOOKUP(U235, 'PlayerGrades+'!$X$3:$Y$23, 2, FALSE)))</f>
        <v>27.9</v>
      </c>
      <c r="D235" s="937">
        <f t="shared" si="1"/>
        <v>0</v>
      </c>
      <c r="E235" s="937" t="str">
        <f>IF(D235&lt;'PlayerGrades+'!$AA$21,"F-",IF(D235&lt;'PlayerGrades+'!$AA$20,"F",IF(D235&lt;'PlayerGrades+'!$AA$19,"F+",IF(D235&lt;'PlayerGrades+'!$AA$18,"E-",IF(D235&lt;'PlayerGrades+'!$AA$17,"E",IF(D235&lt;'PlayerGrades+'!$AA$16,"E+",IF(D235&lt;'PlayerGrades+'!$AA$15,"D-",IF(D235&lt;'PlayerGrades+'!$AA$14,"D",IF(D235&lt;'PlayerGrades+'!$AA$13,"D+",IF(D235&lt;'PlayerGrades+'!$AA$12,"C-",IF(D235&lt;'PlayerGrades+'!$AA$11,"C",IF(D235&lt;'PlayerGrades+'!$AA$10,"C+",IF(D235&lt;'PlayerGrades+'!$AA$9,"B-",IF(D235&lt;'PlayerGrades+'!$AA$8,"B",IF(D235&lt;'PlayerGrades+'!$AA$7,"B+",IF(D235&lt;'PlayerGrades+'!$AA$6,"A-",IF(D235&lt;'PlayerGrades+'!$AA$5,"A",IF(D235&lt;'PlayerGrades+'!$AA$4,"A+",IF(D235&lt;'PlayerGrades+'!$AA$3,"S-",IF(D235&lt;'PlayerGrades+'!$AA$2,"S","S+"))))))))))))))))))))</f>
        <v>F-</v>
      </c>
      <c r="F235" s="937">
        <f t="shared" si="2"/>
        <v>0.8192771084</v>
      </c>
      <c r="G235" s="937" t="str">
        <f>IF(F235&lt;'PlayerGrades+'!$AB$21,"F-",IF(F235&lt;'PlayerGrades+'!$AB$20,"F",IF(F235&lt;'PlayerGrades+'!$AB$19,"F+",IF(F235&lt;'PlayerGrades+'!$AB$18,"E-",IF(F235&lt;'PlayerGrades+'!$AB$17,"E",IF(F235&lt;'PlayerGrades+'!$AB$16,"E+",IF(F235&lt;'PlayerGrades+'!$AB$15,"D-",IF(F235&lt;'PlayerGrades+'!$AB$14,"D",IF(F235&lt;'PlayerGrades+'!$AB$13,"D+",IF(F235&lt;'PlayerGrades+'!$AB$12,"C-",IF(F235&lt;'PlayerGrades+'!$AB$11,"C",IF(F235&lt;'PlayerGrades+'!$AB$10,"C+",IF(F235&lt;'PlayerGrades+'!$AB$9,"B-",IF(F235&lt;'PlayerGrades+'!$AB$8,"B",IF(F235&lt;'PlayerGrades+'!$AB$7,"B+",IF(F235&lt;'PlayerGrades+'!$AB$6,"A-",IF(F235&lt;'PlayerGrades+'!$AB$5,"A",IF(F235&lt;'PlayerGrades+'!$AB$4,"A+",IF(F235&lt;'PlayerGrades+'!$AB$3,"S-",IF(F235&lt;'PlayerGrades+'!$AB$2,"S","S+"))))))))))))))))))))</f>
        <v>S</v>
      </c>
      <c r="H235" s="937">
        <f t="shared" si="3"/>
        <v>0.2409638554</v>
      </c>
      <c r="I235" s="937" t="str">
        <f>IF(H235&lt;'PlayerGrades+'!$AC$21,"F-",IF(H235&lt;'PlayerGrades+'!$AC$20,"F",IF(H235&lt;'PlayerGrades+'!$AC$19,"F+",IF(H235&lt;'PlayerGrades+'!$AC$18,"E-",IF(H235&lt;'PlayerGrades+'!$AC$17,"E",IF(H235&lt;'PlayerGrades+'!$AC$16,"E+",IF(H235&lt;'PlayerGrades+'!$AC$15,"D-",IF(H235&lt;'PlayerGrades+'!$AC$14,"D",IF(H235&lt;'PlayerGrades+'!$AC$13,"D+",IF(H235&lt;'PlayerGrades+'!$AC$12,"C-",IF(H235&lt;'PlayerGrades+'!$AC$11,"C",IF(H235&lt;'PlayerGrades+'!$AC$10,"C+",IF(H235&lt;'PlayerGrades+'!$AC$9,"B-",IF(H235&lt;'PlayerGrades+'!$AC$8,"B",IF(H235&lt;'PlayerGrades+'!$AC$7,"B+",IF(H235&lt;'PlayerGrades+'!$AC$6,"A-",IF(H235&lt;'PlayerGrades+'!$AC$5,"A",IF(H235&lt;'PlayerGrades+'!$AC$4,"A+",IF(H235&lt;'PlayerGrades+'!$AC$3,"S-",IF(H235&lt;'PlayerGrades+'!$AC$2,"S","S+"))))))))))))))))))))</f>
        <v>S</v>
      </c>
      <c r="J235" s="937">
        <f t="shared" si="4"/>
        <v>0.09638554217</v>
      </c>
      <c r="K235" s="937" t="str">
        <f>IF(J235&lt;'PlayerGrades+'!$AD$21,"F-",IF(J235&lt;'PlayerGrades+'!$AD$20,"F",IF(J235&lt;'PlayerGrades+'!$AD$19,"F+",IF(J235&lt;'PlayerGrades+'!$AD$18,"E-",IF(J235&lt;'PlayerGrades+'!$AD$17,"E",IF(J235&lt;'PlayerGrades+'!$AD$16,"E+",IF(J235&lt;'PlayerGrades+'!$AD$15,"D-",IF(J235&lt;'PlayerGrades+'!$AD$14,"D",IF(J235&lt;'PlayerGrades+'!$AD$13,"D+",IF(J235&lt;'PlayerGrades+'!$AD$12,"C-",IF(J235&lt;'PlayerGrades+'!$AD$11,"C",IF(J235&lt;'PlayerGrades+'!$AD$10,"C+",IF(J235&lt;'PlayerGrades+'!$AD$9,"B-",IF(J235&lt;'PlayerGrades+'!$AD$8,"B",IF(J235&lt;'PlayerGrades+'!$AD$7,"B+",IF(J235&lt;'PlayerGrades+'!$AD$6,"A-",IF(J235&lt;'PlayerGrades+'!$AD$5,"A",IF(J235&lt;'PlayerGrades+'!$AD$4,"A+",IF(J235&lt;'PlayerGrades+'!$AD$3,"S-",IF(J235&lt;'PlayerGrades+'!$AD$2,"S","S+"))))))))))))))))))))</f>
        <v>S</v>
      </c>
      <c r="L235" s="677">
        <f t="shared" si="5"/>
        <v>1.012048193</v>
      </c>
      <c r="M235" s="938" t="str">
        <f>IF(L235&lt;'PlayerGrades+'!$AE$21,"F-",IF(L235&lt;'PlayerGrades+'!$AE$20,"F",IF(L235&lt;'PlayerGrades+'!$AE$19,"F+",IF(L235&lt;'PlayerGrades+'!$AE$18,"E-",IF(L235&lt;'PlayerGrades+'!$AE$17,"E",IF(L235&lt;'PlayerGrades+'!$AE$16,"E+",IF(L235&lt;'PlayerGrades+'!$AE$15,"D-",IF(L235&lt;'PlayerGrades+'!$AE$14,"D",IF(L235&lt;'PlayerGrades+'!$AE$13,"D+",IF(L235&lt;'PlayerGrades+'!$AE$12,"C-",IF(L235&lt;'PlayerGrades+'!$AE$11,"C",IF(L235&lt;'PlayerGrades+'!$AE$10,"C+",IF(L235&lt;'PlayerGrades+'!$AE$9,"B-",IF(L235&lt;'PlayerGrades+'!$AE$8,"B",IF(L235&lt;'PlayerGrades+'!$AE$7,"B+",IF(L235&lt;'PlayerGrades+'!$AE$6,"A-",IF(L235&lt;'PlayerGrades+'!$AE$5,"A",IF(L235&lt;'PlayerGrades+'!$AE$4,"A+",IF(L235&lt;'PlayerGrades+'!$AE$3,"S-",IF(L235&lt;'PlayerGrades+'!$AE$2,"S","S+"))))))))))))))))))))</f>
        <v>S+</v>
      </c>
      <c r="N235" s="937">
        <f t="shared" si="6"/>
        <v>0.3855421687</v>
      </c>
      <c r="O235" s="937" t="str">
        <f>IF(N235&lt;'PlayerGrades+'!$AF$21,"F-",IF(N235&lt;'PlayerGrades+'!$AF$20,"F",IF(N235&lt;'PlayerGrades+'!$AF$19,"F+",IF(N235&lt;'PlayerGrades+'!$AF$18,"E-",IF(N235&lt;'PlayerGrades+'!$AF$17,"E",IF(N235&lt;'PlayerGrades+'!$AF$16,"E+",IF(N235&lt;'PlayerGrades+'!$AF$15,"D-",IF(N235&lt;'PlayerGrades+'!$AF$14,"D",IF(N235&lt;'PlayerGrades+'!$AF$13,"D+",IF(N235&lt;'PlayerGrades+'!$AF$12,"C-",IF(N235&lt;'PlayerGrades+'!$AF$11,"C",IF(N235&lt;'PlayerGrades+'!$AF$10,"C+",IF(N235&lt;'PlayerGrades+'!$AF$9,"B-",IF(N235&lt;'PlayerGrades+'!$AF$8,"B",IF(N235&lt;'PlayerGrades+'!$AF$7,"B+",IF(N235&lt;'PlayerGrades+'!$AF$6,"A-",IF(N235&lt;'PlayerGrades+'!$AF$5,"A",IF(N235&lt;'PlayerGrades+'!$AF$4,"A+",IF(N235&lt;'PlayerGrades+'!$AF$3,"S-",IF(N235&lt;'PlayerGrades+'!$AF$2,"S","S+"))))))))))))))))))))</f>
        <v>S+</v>
      </c>
      <c r="P235" s="937">
        <f t="shared" si="7"/>
        <v>0.09638554217</v>
      </c>
      <c r="Q235" s="937" t="str">
        <f>IF(P235&lt;'PlayerGrades+'!$AG$21,"F-",IF(P235&lt;'PlayerGrades+'!$AG$20,"F",IF(P235&lt;'PlayerGrades+'!$AG$19,"F+",IF(P235&lt;'PlayerGrades+'!$AG$18,"E-",IF(P235&lt;'PlayerGrades+'!$AG$17,"E",IF(P235&lt;'PlayerGrades+'!$AG$16,"E+",IF(P235&lt;'PlayerGrades+'!$AG$15,"D-",IF(P235&lt;'PlayerGrades+'!$AG$14,"D",IF(P235&lt;'PlayerGrades+'!$AG$13,"D+",IF(P235&lt;'PlayerGrades+'!$AG$12,"C-",IF(P235&lt;'PlayerGrades+'!$AG$11,"C",IF(P235&lt;'PlayerGrades+'!$AG$10,"C+",IF(P235&lt;'PlayerGrades+'!$AG$9,"B-",IF(P235&lt;'PlayerGrades+'!$AG$8,"B",IF(P235&lt;'PlayerGrades+'!$AG$7,"B+",IF(P235&lt;'PlayerGrades+'!$AG$6,"A-",IF(P235&lt;'PlayerGrades+'!$AG$5,"A",IF(P235&lt;'PlayerGrades+'!$AG$4,"A+",IF(P235&lt;'PlayerGrades+'!$AG$3,"S-",IF(P235&lt;'PlayerGrades+'!$AG$2,"S","S+"))))))))))))))))))))</f>
        <v>S+</v>
      </c>
      <c r="R235" s="937">
        <f t="shared" si="8"/>
        <v>0.3855421687</v>
      </c>
      <c r="S235" s="937" t="str">
        <f>IF(R235&lt;'PlayerGrades+'!$AH$21,"F-",IF(R235&lt;'PlayerGrades+'!$AH$20,"F",IF(R235&lt;'PlayerGrades+'!$AH$19,"F+",IF(R235&lt;'PlayerGrades+'!$AH$18,"E-",IF(R235&lt;'PlayerGrades+'!$AH$17,"E",IF(R235&lt;'PlayerGrades+'!$AH$16,"E+",IF(R235&lt;'PlayerGrades+'!$AH$15,"D-",IF(R235&lt;'PlayerGrades+'!$AH$14,"D",IF(R235&lt;'PlayerGrades+'!$AH$13,"D+",IF(R235&lt;'PlayerGrades+'!$AH$12,"C-",IF(R235&lt;'PlayerGrades+'!$AH$11,"C",IF(R235&lt;'PlayerGrades+'!$AH$10,"C+",IF(R235&lt;'PlayerGrades+'!$AH$9,"B-",IF(R235&lt;'PlayerGrades+'!$AH$8,"B",IF(R235&lt;'PlayerGrades+'!$AH$7,"B+",IF(R235&lt;'PlayerGrades+'!$AH$6,"A-",IF(R235&lt;'PlayerGrades+'!$AH$5,"A",IF(R235&lt;'PlayerGrades+'!$AH$4,"A+",IF(R235&lt;'PlayerGrades+'!$AH$3,"S-",IF(R235&lt;'PlayerGrades+'!$AH$2,"S","S+"))))))))))))))))))))</f>
        <v>F</v>
      </c>
      <c r="T235" s="937">
        <f t="shared" si="9"/>
        <v>1.626506024</v>
      </c>
      <c r="U235" s="937" t="str">
        <f>IF(T235&lt;'PlayerGrades+'!$AI$21,"F-",IF(T235&lt;'PlayerGrades+'!$AI$20,"F",IF(T235&lt;'PlayerGrades+'!$AI$19,"F+",IF(T235&lt;'PlayerGrades+'!$AI$18,"E-",IF(T235&lt;'PlayerGrades+'!$AI$17,"E",IF(T235&lt;'PlayerGrades+'!$AI$16,"E+",IF(T235&lt;'PlayerGrades+'!$AI$15,"D-",IF(T235&lt;'PlayerGrades+'!$AI$14,"D",IF(T235&lt;'PlayerGrades+'!$AI$13,"D+",IF(T235&lt;'PlayerGrades+'!$AI$12,"C-",IF(T235&lt;'PlayerGrades+'!$AI$11,"C",IF(T235&lt;'PlayerGrades+'!$AI$10,"C+",IF(T235&lt;'PlayerGrades+'!$AI$9,"B-",IF(T235&lt;'PlayerGrades+'!$AI$8,"B",IF(T235&lt;'PlayerGrades+'!$AI$7,"B+",IF(T235&lt;'PlayerGrades+'!$AI$6,"A-",IF(T235&lt;'PlayerGrades+'!$AI$5,"A",IF(T235&lt;'PlayerGrades+'!$AI$4,"A+",IF(T235&lt;'PlayerGrades+'!$AI$3,"S-",IF(T235&lt;'PlayerGrades+'!$AI$2,"S","S+"))))))))))))))))))))</f>
        <v>S-</v>
      </c>
      <c r="V235" s="941">
        <v>1.0</v>
      </c>
      <c r="W235" s="941">
        <v>1.0</v>
      </c>
      <c r="X235" s="941">
        <v>0.0</v>
      </c>
      <c r="Y235" s="941">
        <v>0.0</v>
      </c>
      <c r="Z235" s="941">
        <v>0.0</v>
      </c>
      <c r="AA235" s="941">
        <v>108.0</v>
      </c>
      <c r="AB235" s="941">
        <v>91.0</v>
      </c>
      <c r="AC235" s="941">
        <v>17.0</v>
      </c>
      <c r="AD235" s="941">
        <v>2.0</v>
      </c>
      <c r="AE235" s="941">
        <v>6.0</v>
      </c>
      <c r="AF235" s="941">
        <v>1.0</v>
      </c>
      <c r="AG235" s="941">
        <v>892.0</v>
      </c>
      <c r="AH235" s="941">
        <v>1245.0</v>
      </c>
      <c r="AI235" s="941">
        <v>9.0</v>
      </c>
      <c r="AJ235" s="941">
        <v>9.0</v>
      </c>
      <c r="AK235" s="941">
        <v>0.0</v>
      </c>
      <c r="AL235" s="941">
        <v>2.0</v>
      </c>
      <c r="AM235" s="941">
        <v>0.0</v>
      </c>
      <c r="AN235" s="941">
        <v>0.0</v>
      </c>
      <c r="AO235" s="941">
        <v>0.0</v>
      </c>
      <c r="AP235" s="941">
        <v>2.0</v>
      </c>
      <c r="AQ235" s="941">
        <v>0.0</v>
      </c>
      <c r="AR235" s="941">
        <v>21.0</v>
      </c>
      <c r="AS235" s="941">
        <v>8.0</v>
      </c>
      <c r="AT235" s="941">
        <v>0.0</v>
      </c>
      <c r="AU235" s="941">
        <v>0.0</v>
      </c>
      <c r="AV235" s="941">
        <v>0.0</v>
      </c>
      <c r="AW235" s="941">
        <v>0.0</v>
      </c>
      <c r="AX235" s="941">
        <v>0.0</v>
      </c>
      <c r="AY235" s="941">
        <v>0.0</v>
      </c>
      <c r="AZ235" s="941">
        <v>0.0</v>
      </c>
      <c r="BA235" s="941">
        <v>0.0</v>
      </c>
      <c r="BB235" s="941">
        <v>5.0</v>
      </c>
      <c r="BC235" s="941">
        <v>0.0</v>
      </c>
      <c r="BD235" s="941">
        <v>6.0</v>
      </c>
      <c r="BE235" s="941">
        <v>13.0</v>
      </c>
      <c r="BF235" s="941">
        <v>1.0</v>
      </c>
      <c r="BG235" s="942">
        <v>0.0</v>
      </c>
    </row>
    <row r="236">
      <c r="A236" s="935" t="s">
        <v>418</v>
      </c>
      <c r="B236" s="16" t="str">
        <f>IF(C236&lt;'PlayerGrades+'!$Y$44,"F-",IF(C236&lt;'PlayerGrades+'!$Y$43,"F",IF(C236&lt;'PlayerGrades+'!$Y$42,"F+",IF(C236&lt;'PlayerGrades+'!$Y$41,"E-",IF(C236&lt;'PlayerGrades+'!$Y$40,"E",IF(C236&lt;'PlayerGrades+'!$Y$39,"E+",IF(C236&lt;'PlayerGrades+'!$Y$38,"D-",IF(C236&lt;'PlayerGrades+'!$Y$37,"D",IF(C236&lt;'PlayerGrades+'!$Y$36,"D+",IF(C236&lt;'PlayerGrades+'!$Y$35,"C-",IF(C236&lt;'PlayerGrades+'!$Y$34,"C",IF(C236&lt;'PlayerGrades+'!$Y$33,"C+",IF(C236&lt;'PlayerGrades+'!$Y$32,"B-",IF(C236&lt;'PlayerGrades+'!$Y$31,"B",IF(C236&lt;'PlayerGrades+'!$Y$30,"B+",IF(C236&lt;'PlayerGrades+'!$Y$29,"A-",IF(C236&lt;'PlayerGrades+'!$Y$28,"A",IF(C236&lt;'PlayerGrades+'!$Y$27,"A+",IF(C236&lt;'PlayerGrades+'!$Y$26,"S-",IF(C236&lt;'PlayerGrades+'!$Y$25,"S","S+"))))))))))))))))))))</f>
        <v>A</v>
      </c>
      <c r="C236" s="936">
        <f>('PlayerGrades+'!$Y$47*(VLOOKUP(E236, 'PlayerGrades+'!$X$3:$Y$23, 2, FALSE)))+('PlayerGrades+'!$Y$48*(VLOOKUP(G236, 'PlayerGrades+'!$X$3:$Y$23, 2, FALSE)))+('PlayerGrades+'!$Y$49*(VLOOKUP(I236, 'PlayerGrades+'!$X$3:$Y$23, 2, FALSE)))+('PlayerGrades+'!$Y$50*(VLOOKUP(K236, 'PlayerGrades+'!$X$3:$Y$23, 2, FALSE)))+('PlayerGrades+'!$Y$51*(VLOOKUP(M236, 'PlayerGrades+'!$X$3:$Y$23, 2, FALSE)))+('PlayerGrades+'!$Y$52*(VLOOKUP(O236, 'PlayerGrades+'!$X$3:$Y$23, 2, FALSE)))+('PlayerGrades+'!$Y$53*(VLOOKUP(Q236, 'PlayerGrades+'!$X$3:$Y$23, 2, FALSE)))+('PlayerGrades+'!$Y$54*(VLOOKUP(S236, 'PlayerGrades+'!$X$3:$Y$23, 2, FALSE)))+('PlayerGrades+'!$Y$55*(VLOOKUP(U236, 'PlayerGrades+'!$X$3:$Y$23, 2, FALSE)))</f>
        <v>27.65</v>
      </c>
      <c r="D236" s="937">
        <f t="shared" si="1"/>
        <v>0.04819277108</v>
      </c>
      <c r="E236" s="937" t="str">
        <f>IF(D236&lt;'PlayerGrades+'!$AA$21,"F-",IF(D236&lt;'PlayerGrades+'!$AA$20,"F",IF(D236&lt;'PlayerGrades+'!$AA$19,"F+",IF(D236&lt;'PlayerGrades+'!$AA$18,"E-",IF(D236&lt;'PlayerGrades+'!$AA$17,"E",IF(D236&lt;'PlayerGrades+'!$AA$16,"E+",IF(D236&lt;'PlayerGrades+'!$AA$15,"D-",IF(D236&lt;'PlayerGrades+'!$AA$14,"D",IF(D236&lt;'PlayerGrades+'!$AA$13,"D+",IF(D236&lt;'PlayerGrades+'!$AA$12,"C-",IF(D236&lt;'PlayerGrades+'!$AA$11,"C",IF(D236&lt;'PlayerGrades+'!$AA$10,"C+",IF(D236&lt;'PlayerGrades+'!$AA$9,"B-",IF(D236&lt;'PlayerGrades+'!$AA$8,"B",IF(D236&lt;'PlayerGrades+'!$AA$7,"B+",IF(D236&lt;'PlayerGrades+'!$AA$6,"A-",IF(D236&lt;'PlayerGrades+'!$AA$5,"A",IF(D236&lt;'PlayerGrades+'!$AA$4,"A+",IF(D236&lt;'PlayerGrades+'!$AA$3,"S-",IF(D236&lt;'PlayerGrades+'!$AA$2,"S","S+"))))))))))))))))))))</f>
        <v>C+</v>
      </c>
      <c r="F236" s="937">
        <f t="shared" si="2"/>
        <v>0.2409638554</v>
      </c>
      <c r="G236" s="937" t="str">
        <f>IF(F236&lt;'PlayerGrades+'!$AB$21,"F-",IF(F236&lt;'PlayerGrades+'!$AB$20,"F",IF(F236&lt;'PlayerGrades+'!$AB$19,"F+",IF(F236&lt;'PlayerGrades+'!$AB$18,"E-",IF(F236&lt;'PlayerGrades+'!$AB$17,"E",IF(F236&lt;'PlayerGrades+'!$AB$16,"E+",IF(F236&lt;'PlayerGrades+'!$AB$15,"D-",IF(F236&lt;'PlayerGrades+'!$AB$14,"D",IF(F236&lt;'PlayerGrades+'!$AB$13,"D+",IF(F236&lt;'PlayerGrades+'!$AB$12,"C-",IF(F236&lt;'PlayerGrades+'!$AB$11,"C",IF(F236&lt;'PlayerGrades+'!$AB$10,"C+",IF(F236&lt;'PlayerGrades+'!$AB$9,"B-",IF(F236&lt;'PlayerGrades+'!$AB$8,"B",IF(F236&lt;'PlayerGrades+'!$AB$7,"B+",IF(F236&lt;'PlayerGrades+'!$AB$6,"A-",IF(F236&lt;'PlayerGrades+'!$AB$5,"A",IF(F236&lt;'PlayerGrades+'!$AB$4,"A+",IF(F236&lt;'PlayerGrades+'!$AB$3,"S-",IF(F236&lt;'PlayerGrades+'!$AB$2,"S","S+"))))))))))))))))))))</f>
        <v>B+</v>
      </c>
      <c r="H236" s="937">
        <f t="shared" si="3"/>
        <v>0.09638554217</v>
      </c>
      <c r="I236" s="937" t="str">
        <f>IF(H236&lt;'PlayerGrades+'!$AC$21,"F-",IF(H236&lt;'PlayerGrades+'!$AC$20,"F",IF(H236&lt;'PlayerGrades+'!$AC$19,"F+",IF(H236&lt;'PlayerGrades+'!$AC$18,"E-",IF(H236&lt;'PlayerGrades+'!$AC$17,"E",IF(H236&lt;'PlayerGrades+'!$AC$16,"E+",IF(H236&lt;'PlayerGrades+'!$AC$15,"D-",IF(H236&lt;'PlayerGrades+'!$AC$14,"D",IF(H236&lt;'PlayerGrades+'!$AC$13,"D+",IF(H236&lt;'PlayerGrades+'!$AC$12,"C-",IF(H236&lt;'PlayerGrades+'!$AC$11,"C",IF(H236&lt;'PlayerGrades+'!$AC$10,"C+",IF(H236&lt;'PlayerGrades+'!$AC$9,"B-",IF(H236&lt;'PlayerGrades+'!$AC$8,"B",IF(H236&lt;'PlayerGrades+'!$AC$7,"B+",IF(H236&lt;'PlayerGrades+'!$AC$6,"A-",IF(H236&lt;'PlayerGrades+'!$AC$5,"A",IF(H236&lt;'PlayerGrades+'!$AC$4,"A+",IF(H236&lt;'PlayerGrades+'!$AC$3,"S-",IF(H236&lt;'PlayerGrades+'!$AC$2,"S","S+"))))))))))))))))))))</f>
        <v>C-</v>
      </c>
      <c r="J236" s="937">
        <f t="shared" si="4"/>
        <v>0.09638554217</v>
      </c>
      <c r="K236" s="937" t="str">
        <f>IF(J236&lt;'PlayerGrades+'!$AD$21,"F-",IF(J236&lt;'PlayerGrades+'!$AD$20,"F",IF(J236&lt;'PlayerGrades+'!$AD$19,"F+",IF(J236&lt;'PlayerGrades+'!$AD$18,"E-",IF(J236&lt;'PlayerGrades+'!$AD$17,"E",IF(J236&lt;'PlayerGrades+'!$AD$16,"E+",IF(J236&lt;'PlayerGrades+'!$AD$15,"D-",IF(J236&lt;'PlayerGrades+'!$AD$14,"D",IF(J236&lt;'PlayerGrades+'!$AD$13,"D+",IF(J236&lt;'PlayerGrades+'!$AD$12,"C-",IF(J236&lt;'PlayerGrades+'!$AD$11,"C",IF(J236&lt;'PlayerGrades+'!$AD$10,"C+",IF(J236&lt;'PlayerGrades+'!$AD$9,"B-",IF(J236&lt;'PlayerGrades+'!$AD$8,"B",IF(J236&lt;'PlayerGrades+'!$AD$7,"B+",IF(J236&lt;'PlayerGrades+'!$AD$6,"A-",IF(J236&lt;'PlayerGrades+'!$AD$5,"A",IF(J236&lt;'PlayerGrades+'!$AD$4,"A+",IF(J236&lt;'PlayerGrades+'!$AD$3,"S-",IF(J236&lt;'PlayerGrades+'!$AD$2,"S","S+"))))))))))))))))))))</f>
        <v>S</v>
      </c>
      <c r="L236" s="677">
        <f t="shared" si="5"/>
        <v>0.6265060241</v>
      </c>
      <c r="M236" s="938" t="str">
        <f>IF(L236&lt;'PlayerGrades+'!$AE$21,"F-",IF(L236&lt;'PlayerGrades+'!$AE$20,"F",IF(L236&lt;'PlayerGrades+'!$AE$19,"F+",IF(L236&lt;'PlayerGrades+'!$AE$18,"E-",IF(L236&lt;'PlayerGrades+'!$AE$17,"E",IF(L236&lt;'PlayerGrades+'!$AE$16,"E+",IF(L236&lt;'PlayerGrades+'!$AE$15,"D-",IF(L236&lt;'PlayerGrades+'!$AE$14,"D",IF(L236&lt;'PlayerGrades+'!$AE$13,"D+",IF(L236&lt;'PlayerGrades+'!$AE$12,"C-",IF(L236&lt;'PlayerGrades+'!$AE$11,"C",IF(L236&lt;'PlayerGrades+'!$AE$10,"C+",IF(L236&lt;'PlayerGrades+'!$AE$9,"B-",IF(L236&lt;'PlayerGrades+'!$AE$8,"B",IF(L236&lt;'PlayerGrades+'!$AE$7,"B+",IF(L236&lt;'PlayerGrades+'!$AE$6,"A-",IF(L236&lt;'PlayerGrades+'!$AE$5,"A",IF(L236&lt;'PlayerGrades+'!$AE$4,"A+",IF(L236&lt;'PlayerGrades+'!$AE$3,"S-",IF(L236&lt;'PlayerGrades+'!$AE$2,"S","S+"))))))))))))))))))))</f>
        <v>S-</v>
      </c>
      <c r="N236" s="937">
        <f t="shared" si="6"/>
        <v>0.09638554217</v>
      </c>
      <c r="O236" s="937" t="str">
        <f>IF(N236&lt;'PlayerGrades+'!$AF$21,"F-",IF(N236&lt;'PlayerGrades+'!$AF$20,"F",IF(N236&lt;'PlayerGrades+'!$AF$19,"F+",IF(N236&lt;'PlayerGrades+'!$AF$18,"E-",IF(N236&lt;'PlayerGrades+'!$AF$17,"E",IF(N236&lt;'PlayerGrades+'!$AF$16,"E+",IF(N236&lt;'PlayerGrades+'!$AF$15,"D-",IF(N236&lt;'PlayerGrades+'!$AF$14,"D",IF(N236&lt;'PlayerGrades+'!$AF$13,"D+",IF(N236&lt;'PlayerGrades+'!$AF$12,"C-",IF(N236&lt;'PlayerGrades+'!$AF$11,"C",IF(N236&lt;'PlayerGrades+'!$AF$10,"C+",IF(N236&lt;'PlayerGrades+'!$AF$9,"B-",IF(N236&lt;'PlayerGrades+'!$AF$8,"B",IF(N236&lt;'PlayerGrades+'!$AF$7,"B+",IF(N236&lt;'PlayerGrades+'!$AF$6,"A-",IF(N236&lt;'PlayerGrades+'!$AF$5,"A",IF(N236&lt;'PlayerGrades+'!$AF$4,"A+",IF(N236&lt;'PlayerGrades+'!$AF$3,"S-",IF(N236&lt;'PlayerGrades+'!$AF$2,"S","S+"))))))))))))))))))))</f>
        <v>A-</v>
      </c>
      <c r="P236" s="937">
        <f t="shared" si="7"/>
        <v>0.09638554217</v>
      </c>
      <c r="Q236" s="937" t="str">
        <f>IF(P236&lt;'PlayerGrades+'!$AG$21,"F-",IF(P236&lt;'PlayerGrades+'!$AG$20,"F",IF(P236&lt;'PlayerGrades+'!$AG$19,"F+",IF(P236&lt;'PlayerGrades+'!$AG$18,"E-",IF(P236&lt;'PlayerGrades+'!$AG$17,"E",IF(P236&lt;'PlayerGrades+'!$AG$16,"E+",IF(P236&lt;'PlayerGrades+'!$AG$15,"D-",IF(P236&lt;'PlayerGrades+'!$AG$14,"D",IF(P236&lt;'PlayerGrades+'!$AG$13,"D+",IF(P236&lt;'PlayerGrades+'!$AG$12,"C-",IF(P236&lt;'PlayerGrades+'!$AG$11,"C",IF(P236&lt;'PlayerGrades+'!$AG$10,"C+",IF(P236&lt;'PlayerGrades+'!$AG$9,"B-",IF(P236&lt;'PlayerGrades+'!$AG$8,"B",IF(P236&lt;'PlayerGrades+'!$AG$7,"B+",IF(P236&lt;'PlayerGrades+'!$AG$6,"A-",IF(P236&lt;'PlayerGrades+'!$AG$5,"A",IF(P236&lt;'PlayerGrades+'!$AG$4,"A+",IF(P236&lt;'PlayerGrades+'!$AG$3,"S-",IF(P236&lt;'PlayerGrades+'!$AG$2,"S","S+"))))))))))))))))))))</f>
        <v>S+</v>
      </c>
      <c r="R236" s="937">
        <f t="shared" si="8"/>
        <v>0.7228915663</v>
      </c>
      <c r="S236" s="937" t="str">
        <f>IF(R236&lt;'PlayerGrades+'!$AH$21,"F-",IF(R236&lt;'PlayerGrades+'!$AH$20,"F",IF(R236&lt;'PlayerGrades+'!$AH$19,"F+",IF(R236&lt;'PlayerGrades+'!$AH$18,"E-",IF(R236&lt;'PlayerGrades+'!$AH$17,"E",IF(R236&lt;'PlayerGrades+'!$AH$16,"E+",IF(R236&lt;'PlayerGrades+'!$AH$15,"D-",IF(R236&lt;'PlayerGrades+'!$AH$14,"D",IF(R236&lt;'PlayerGrades+'!$AH$13,"D+",IF(R236&lt;'PlayerGrades+'!$AH$12,"C-",IF(R236&lt;'PlayerGrades+'!$AH$11,"C",IF(R236&lt;'PlayerGrades+'!$AH$10,"C+",IF(R236&lt;'PlayerGrades+'!$AH$9,"B-",IF(R236&lt;'PlayerGrades+'!$AH$8,"B",IF(R236&lt;'PlayerGrades+'!$AH$7,"B+",IF(R236&lt;'PlayerGrades+'!$AH$6,"A-",IF(R236&lt;'PlayerGrades+'!$AH$5,"A",IF(R236&lt;'PlayerGrades+'!$AH$4,"A+",IF(R236&lt;'PlayerGrades+'!$AH$3,"S-",IF(R236&lt;'PlayerGrades+'!$AH$2,"S","S+"))))))))))))))))))))</f>
        <v>S</v>
      </c>
      <c r="T236" s="937">
        <f t="shared" si="9"/>
        <v>0.3855421687</v>
      </c>
      <c r="U236" s="937" t="str">
        <f>IF(T236&lt;'PlayerGrades+'!$AI$21,"F-",IF(T236&lt;'PlayerGrades+'!$AI$20,"F",IF(T236&lt;'PlayerGrades+'!$AI$19,"F+",IF(T236&lt;'PlayerGrades+'!$AI$18,"E-",IF(T236&lt;'PlayerGrades+'!$AI$17,"E",IF(T236&lt;'PlayerGrades+'!$AI$16,"E+",IF(T236&lt;'PlayerGrades+'!$AI$15,"D-",IF(T236&lt;'PlayerGrades+'!$AI$14,"D",IF(T236&lt;'PlayerGrades+'!$AI$13,"D+",IF(T236&lt;'PlayerGrades+'!$AI$12,"C-",IF(T236&lt;'PlayerGrades+'!$AI$11,"C",IF(T236&lt;'PlayerGrades+'!$AI$10,"C+",IF(T236&lt;'PlayerGrades+'!$AI$9,"B-",IF(T236&lt;'PlayerGrades+'!$AI$8,"B",IF(T236&lt;'PlayerGrades+'!$AI$7,"B+",IF(T236&lt;'PlayerGrades+'!$AI$6,"A-",IF(T236&lt;'PlayerGrades+'!$AI$5,"A",IF(T236&lt;'PlayerGrades+'!$AI$4,"A+",IF(T236&lt;'PlayerGrades+'!$AI$3,"S-",IF(T236&lt;'PlayerGrades+'!$AI$2,"S","S+"))))))))))))))))))))</f>
        <v>F-</v>
      </c>
      <c r="V236" s="941">
        <v>1.0</v>
      </c>
      <c r="W236" s="941">
        <v>1.0</v>
      </c>
      <c r="X236" s="941">
        <v>0.0</v>
      </c>
      <c r="Y236" s="941">
        <v>0.0</v>
      </c>
      <c r="Z236" s="941">
        <v>1.0</v>
      </c>
      <c r="AA236" s="941">
        <v>71.0</v>
      </c>
      <c r="AB236" s="941">
        <v>66.0</v>
      </c>
      <c r="AC236" s="941">
        <v>5.0</v>
      </c>
      <c r="AD236" s="941">
        <v>2.0</v>
      </c>
      <c r="AE236" s="941">
        <v>10.0</v>
      </c>
      <c r="AF236" s="941">
        <v>2.0</v>
      </c>
      <c r="AG236" s="941">
        <v>969.0</v>
      </c>
      <c r="AH236" s="941">
        <v>1245.0</v>
      </c>
      <c r="AI236" s="941">
        <v>14.0</v>
      </c>
      <c r="AJ236" s="941">
        <v>21.0</v>
      </c>
      <c r="AK236" s="941">
        <v>0.0</v>
      </c>
      <c r="AL236" s="941">
        <v>2.0</v>
      </c>
      <c r="AM236" s="941">
        <v>1.0</v>
      </c>
      <c r="AN236" s="941">
        <v>0.0</v>
      </c>
      <c r="AO236" s="941">
        <v>0.0</v>
      </c>
      <c r="AP236" s="941">
        <v>2.0</v>
      </c>
      <c r="AQ236" s="941">
        <v>0.0</v>
      </c>
      <c r="AR236" s="941">
        <v>13.0</v>
      </c>
      <c r="AS236" s="941">
        <v>2.0</v>
      </c>
      <c r="AT236" s="941">
        <v>1.0</v>
      </c>
      <c r="AU236" s="941">
        <v>1.0</v>
      </c>
      <c r="AV236" s="941">
        <v>1.0</v>
      </c>
      <c r="AW236" s="941">
        <v>0.0</v>
      </c>
      <c r="AX236" s="941">
        <v>0.0</v>
      </c>
      <c r="AY236" s="941">
        <v>0.0</v>
      </c>
      <c r="AZ236" s="941">
        <v>0.0</v>
      </c>
      <c r="BA236" s="941">
        <v>2.0</v>
      </c>
      <c r="BB236" s="941">
        <v>2.0</v>
      </c>
      <c r="BC236" s="941">
        <v>0.0</v>
      </c>
      <c r="BD236" s="941">
        <v>13.0</v>
      </c>
      <c r="BE236" s="941">
        <v>8.0</v>
      </c>
      <c r="BF236" s="941">
        <v>0.0</v>
      </c>
      <c r="BG236" s="942">
        <v>0.0</v>
      </c>
    </row>
    <row r="237">
      <c r="A237" s="935" t="s">
        <v>147</v>
      </c>
      <c r="B237" s="16" t="str">
        <f>IF(C237&lt;'PlayerGrades+'!$Y$44,"F-",IF(C237&lt;'PlayerGrades+'!$Y$43,"F",IF(C237&lt;'PlayerGrades+'!$Y$42,"F+",IF(C237&lt;'PlayerGrades+'!$Y$41,"E-",IF(C237&lt;'PlayerGrades+'!$Y$40,"E",IF(C237&lt;'PlayerGrades+'!$Y$39,"E+",IF(C237&lt;'PlayerGrades+'!$Y$38,"D-",IF(C237&lt;'PlayerGrades+'!$Y$37,"D",IF(C237&lt;'PlayerGrades+'!$Y$36,"D+",IF(C237&lt;'PlayerGrades+'!$Y$35,"C-",IF(C237&lt;'PlayerGrades+'!$Y$34,"C",IF(C237&lt;'PlayerGrades+'!$Y$33,"C+",IF(C237&lt;'PlayerGrades+'!$Y$32,"B-",IF(C237&lt;'PlayerGrades+'!$Y$31,"B",IF(C237&lt;'PlayerGrades+'!$Y$30,"B+",IF(C237&lt;'PlayerGrades+'!$Y$29,"A-",IF(C237&lt;'PlayerGrades+'!$Y$28,"A",IF(C237&lt;'PlayerGrades+'!$Y$27,"A+",IF(C237&lt;'PlayerGrades+'!$Y$26,"S-",IF(C237&lt;'PlayerGrades+'!$Y$25,"S","S+"))))))))))))))))))))</f>
        <v>A</v>
      </c>
      <c r="C237" s="936">
        <f>('PlayerGrades+'!$Y$47*(VLOOKUP(E237, 'PlayerGrades+'!$X$3:$Y$23, 2, FALSE)))+('PlayerGrades+'!$Y$48*(VLOOKUP(G237, 'PlayerGrades+'!$X$3:$Y$23, 2, FALSE)))+('PlayerGrades+'!$Y$49*(VLOOKUP(I237, 'PlayerGrades+'!$X$3:$Y$23, 2, FALSE)))+('PlayerGrades+'!$Y$50*(VLOOKUP(K237, 'PlayerGrades+'!$X$3:$Y$23, 2, FALSE)))+('PlayerGrades+'!$Y$51*(VLOOKUP(M237, 'PlayerGrades+'!$X$3:$Y$23, 2, FALSE)))+('PlayerGrades+'!$Y$52*(VLOOKUP(O237, 'PlayerGrades+'!$X$3:$Y$23, 2, FALSE)))+('PlayerGrades+'!$Y$53*(VLOOKUP(Q237, 'PlayerGrades+'!$X$3:$Y$23, 2, FALSE)))+('PlayerGrades+'!$Y$54*(VLOOKUP(S237, 'PlayerGrades+'!$X$3:$Y$23, 2, FALSE)))+('PlayerGrades+'!$Y$55*(VLOOKUP(U237, 'PlayerGrades+'!$X$3:$Y$23, 2, FALSE)))</f>
        <v>27.35</v>
      </c>
      <c r="D237" s="937">
        <f t="shared" si="1"/>
        <v>0.04819277108</v>
      </c>
      <c r="E237" s="937" t="str">
        <f>IF(D237&lt;'PlayerGrades+'!$AA$21,"F-",IF(D237&lt;'PlayerGrades+'!$AA$20,"F",IF(D237&lt;'PlayerGrades+'!$AA$19,"F+",IF(D237&lt;'PlayerGrades+'!$AA$18,"E-",IF(D237&lt;'PlayerGrades+'!$AA$17,"E",IF(D237&lt;'PlayerGrades+'!$AA$16,"E+",IF(D237&lt;'PlayerGrades+'!$AA$15,"D-",IF(D237&lt;'PlayerGrades+'!$AA$14,"D",IF(D237&lt;'PlayerGrades+'!$AA$13,"D+",IF(D237&lt;'PlayerGrades+'!$AA$12,"C-",IF(D237&lt;'PlayerGrades+'!$AA$11,"C",IF(D237&lt;'PlayerGrades+'!$AA$10,"C+",IF(D237&lt;'PlayerGrades+'!$AA$9,"B-",IF(D237&lt;'PlayerGrades+'!$AA$8,"B",IF(D237&lt;'PlayerGrades+'!$AA$7,"B+",IF(D237&lt;'PlayerGrades+'!$AA$6,"A-",IF(D237&lt;'PlayerGrades+'!$AA$5,"A",IF(D237&lt;'PlayerGrades+'!$AA$4,"A+",IF(D237&lt;'PlayerGrades+'!$AA$3,"S-",IF(D237&lt;'PlayerGrades+'!$AA$2,"S","S+"))))))))))))))))))))</f>
        <v>C+</v>
      </c>
      <c r="F237" s="937">
        <f t="shared" si="2"/>
        <v>0.09638554217</v>
      </c>
      <c r="G237" s="937" t="str">
        <f>IF(F237&lt;'PlayerGrades+'!$AB$21,"F-",IF(F237&lt;'PlayerGrades+'!$AB$20,"F",IF(F237&lt;'PlayerGrades+'!$AB$19,"F+",IF(F237&lt;'PlayerGrades+'!$AB$18,"E-",IF(F237&lt;'PlayerGrades+'!$AB$17,"E",IF(F237&lt;'PlayerGrades+'!$AB$16,"E+",IF(F237&lt;'PlayerGrades+'!$AB$15,"D-",IF(F237&lt;'PlayerGrades+'!$AB$14,"D",IF(F237&lt;'PlayerGrades+'!$AB$13,"D+",IF(F237&lt;'PlayerGrades+'!$AB$12,"C-",IF(F237&lt;'PlayerGrades+'!$AB$11,"C",IF(F237&lt;'PlayerGrades+'!$AB$10,"C+",IF(F237&lt;'PlayerGrades+'!$AB$9,"B-",IF(F237&lt;'PlayerGrades+'!$AB$8,"B",IF(F237&lt;'PlayerGrades+'!$AB$7,"B+",IF(F237&lt;'PlayerGrades+'!$AB$6,"A-",IF(F237&lt;'PlayerGrades+'!$AB$5,"A",IF(F237&lt;'PlayerGrades+'!$AB$4,"A+",IF(F237&lt;'PlayerGrades+'!$AB$3,"S-",IF(F237&lt;'PlayerGrades+'!$AB$2,"S","S+"))))))))))))))))))))</f>
        <v>B</v>
      </c>
      <c r="H237" s="937">
        <f t="shared" si="3"/>
        <v>0.4819277108</v>
      </c>
      <c r="I237" s="937" t="str">
        <f>IF(H237&lt;'PlayerGrades+'!$AC$21,"F-",IF(H237&lt;'PlayerGrades+'!$AC$20,"F",IF(H237&lt;'PlayerGrades+'!$AC$19,"F+",IF(H237&lt;'PlayerGrades+'!$AC$18,"E-",IF(H237&lt;'PlayerGrades+'!$AC$17,"E",IF(H237&lt;'PlayerGrades+'!$AC$16,"E+",IF(H237&lt;'PlayerGrades+'!$AC$15,"D-",IF(H237&lt;'PlayerGrades+'!$AC$14,"D",IF(H237&lt;'PlayerGrades+'!$AC$13,"D+",IF(H237&lt;'PlayerGrades+'!$AC$12,"C-",IF(H237&lt;'PlayerGrades+'!$AC$11,"C",IF(H237&lt;'PlayerGrades+'!$AC$10,"C+",IF(H237&lt;'PlayerGrades+'!$AC$9,"B-",IF(H237&lt;'PlayerGrades+'!$AC$8,"B",IF(H237&lt;'PlayerGrades+'!$AC$7,"B+",IF(H237&lt;'PlayerGrades+'!$AC$6,"A-",IF(H237&lt;'PlayerGrades+'!$AC$5,"A",IF(H237&lt;'PlayerGrades+'!$AC$4,"A+",IF(H237&lt;'PlayerGrades+'!$AC$3,"S-",IF(H237&lt;'PlayerGrades+'!$AC$2,"S","S+"))))))))))))))))))))</f>
        <v>S+</v>
      </c>
      <c r="J237" s="937">
        <f t="shared" si="4"/>
        <v>0</v>
      </c>
      <c r="K237" s="937" t="str">
        <f>IF(J237&lt;'PlayerGrades+'!$AD$21,"F-",IF(J237&lt;'PlayerGrades+'!$AD$20,"F",IF(J237&lt;'PlayerGrades+'!$AD$19,"F+",IF(J237&lt;'PlayerGrades+'!$AD$18,"E-",IF(J237&lt;'PlayerGrades+'!$AD$17,"E",IF(J237&lt;'PlayerGrades+'!$AD$16,"E+",IF(J237&lt;'PlayerGrades+'!$AD$15,"D-",IF(J237&lt;'PlayerGrades+'!$AD$14,"D",IF(J237&lt;'PlayerGrades+'!$AD$13,"D+",IF(J237&lt;'PlayerGrades+'!$AD$12,"C-",IF(J237&lt;'PlayerGrades+'!$AD$11,"C",IF(J237&lt;'PlayerGrades+'!$AD$10,"C+",IF(J237&lt;'PlayerGrades+'!$AD$9,"B-",IF(J237&lt;'PlayerGrades+'!$AD$8,"B",IF(J237&lt;'PlayerGrades+'!$AD$7,"B+",IF(J237&lt;'PlayerGrades+'!$AD$6,"A-",IF(J237&lt;'PlayerGrades+'!$AD$5,"A",IF(J237&lt;'PlayerGrades+'!$AD$4,"A+",IF(J237&lt;'PlayerGrades+'!$AD$3,"S-",IF(J237&lt;'PlayerGrades+'!$AD$2,"S","S+"))))))))))))))))))))</f>
        <v>F-</v>
      </c>
      <c r="L237" s="677">
        <f t="shared" si="5"/>
        <v>0.4337349398</v>
      </c>
      <c r="M237" s="938" t="str">
        <f>IF(L237&lt;'PlayerGrades+'!$AE$21,"F-",IF(L237&lt;'PlayerGrades+'!$AE$20,"F",IF(L237&lt;'PlayerGrades+'!$AE$19,"F+",IF(L237&lt;'PlayerGrades+'!$AE$18,"E-",IF(L237&lt;'PlayerGrades+'!$AE$17,"E",IF(L237&lt;'PlayerGrades+'!$AE$16,"E+",IF(L237&lt;'PlayerGrades+'!$AE$15,"D-",IF(L237&lt;'PlayerGrades+'!$AE$14,"D",IF(L237&lt;'PlayerGrades+'!$AE$13,"D+",IF(L237&lt;'PlayerGrades+'!$AE$12,"C-",IF(L237&lt;'PlayerGrades+'!$AE$11,"C",IF(L237&lt;'PlayerGrades+'!$AE$10,"C+",IF(L237&lt;'PlayerGrades+'!$AE$9,"B-",IF(L237&lt;'PlayerGrades+'!$AE$8,"B",IF(L237&lt;'PlayerGrades+'!$AE$7,"B+",IF(L237&lt;'PlayerGrades+'!$AE$6,"A-",IF(L237&lt;'PlayerGrades+'!$AE$5,"A",IF(L237&lt;'PlayerGrades+'!$AE$4,"A+",IF(L237&lt;'PlayerGrades+'!$AE$3,"S-",IF(L237&lt;'PlayerGrades+'!$AE$2,"S","S+"))))))))))))))))))))</f>
        <v>B-</v>
      </c>
      <c r="N237" s="937">
        <f t="shared" si="6"/>
        <v>0.1927710843</v>
      </c>
      <c r="O237" s="937" t="str">
        <f>IF(N237&lt;'PlayerGrades+'!$AF$21,"F-",IF(N237&lt;'PlayerGrades+'!$AF$20,"F",IF(N237&lt;'PlayerGrades+'!$AF$19,"F+",IF(N237&lt;'PlayerGrades+'!$AF$18,"E-",IF(N237&lt;'PlayerGrades+'!$AF$17,"E",IF(N237&lt;'PlayerGrades+'!$AF$16,"E+",IF(N237&lt;'PlayerGrades+'!$AF$15,"D-",IF(N237&lt;'PlayerGrades+'!$AF$14,"D",IF(N237&lt;'PlayerGrades+'!$AF$13,"D+",IF(N237&lt;'PlayerGrades+'!$AF$12,"C-",IF(N237&lt;'PlayerGrades+'!$AF$11,"C",IF(N237&lt;'PlayerGrades+'!$AF$10,"C+",IF(N237&lt;'PlayerGrades+'!$AF$9,"B-",IF(N237&lt;'PlayerGrades+'!$AF$8,"B",IF(N237&lt;'PlayerGrades+'!$AF$7,"B+",IF(N237&lt;'PlayerGrades+'!$AF$6,"A-",IF(N237&lt;'PlayerGrades+'!$AF$5,"A",IF(N237&lt;'PlayerGrades+'!$AF$4,"A+",IF(N237&lt;'PlayerGrades+'!$AF$3,"S-",IF(N237&lt;'PlayerGrades+'!$AF$2,"S","S+"))))))))))))))))))))</f>
        <v>S+</v>
      </c>
      <c r="P237" s="937">
        <f t="shared" si="7"/>
        <v>0</v>
      </c>
      <c r="Q237" s="937" t="str">
        <f>IF(P237&lt;'PlayerGrades+'!$AG$21,"F-",IF(P237&lt;'PlayerGrades+'!$AG$20,"F",IF(P237&lt;'PlayerGrades+'!$AG$19,"F+",IF(P237&lt;'PlayerGrades+'!$AG$18,"E-",IF(P237&lt;'PlayerGrades+'!$AG$17,"E",IF(P237&lt;'PlayerGrades+'!$AG$16,"E+",IF(P237&lt;'PlayerGrades+'!$AG$15,"D-",IF(P237&lt;'PlayerGrades+'!$AG$14,"D",IF(P237&lt;'PlayerGrades+'!$AG$13,"D+",IF(P237&lt;'PlayerGrades+'!$AG$12,"C-",IF(P237&lt;'PlayerGrades+'!$AG$11,"C",IF(P237&lt;'PlayerGrades+'!$AG$10,"C+",IF(P237&lt;'PlayerGrades+'!$AG$9,"B-",IF(P237&lt;'PlayerGrades+'!$AG$8,"B",IF(P237&lt;'PlayerGrades+'!$AG$7,"B+",IF(P237&lt;'PlayerGrades+'!$AG$6,"A-",IF(P237&lt;'PlayerGrades+'!$AG$5,"A",IF(P237&lt;'PlayerGrades+'!$AG$4,"A+",IF(P237&lt;'PlayerGrades+'!$AG$3,"S-",IF(P237&lt;'PlayerGrades+'!$AG$2,"S","S+"))))))))))))))))))))</f>
        <v>F</v>
      </c>
      <c r="R237" s="937">
        <f t="shared" si="8"/>
        <v>0.6265060241</v>
      </c>
      <c r="S237" s="937" t="str">
        <f>IF(R237&lt;'PlayerGrades+'!$AH$21,"F-",IF(R237&lt;'PlayerGrades+'!$AH$20,"F",IF(R237&lt;'PlayerGrades+'!$AH$19,"F+",IF(R237&lt;'PlayerGrades+'!$AH$18,"E-",IF(R237&lt;'PlayerGrades+'!$AH$17,"E",IF(R237&lt;'PlayerGrades+'!$AH$16,"E+",IF(R237&lt;'PlayerGrades+'!$AH$15,"D-",IF(R237&lt;'PlayerGrades+'!$AH$14,"D",IF(R237&lt;'PlayerGrades+'!$AH$13,"D+",IF(R237&lt;'PlayerGrades+'!$AH$12,"C-",IF(R237&lt;'PlayerGrades+'!$AH$11,"C",IF(R237&lt;'PlayerGrades+'!$AH$10,"C+",IF(R237&lt;'PlayerGrades+'!$AH$9,"B-",IF(R237&lt;'PlayerGrades+'!$AH$8,"B",IF(R237&lt;'PlayerGrades+'!$AH$7,"B+",IF(R237&lt;'PlayerGrades+'!$AH$6,"A-",IF(R237&lt;'PlayerGrades+'!$AH$5,"A",IF(R237&lt;'PlayerGrades+'!$AH$4,"A+",IF(R237&lt;'PlayerGrades+'!$AH$3,"S-",IF(R237&lt;'PlayerGrades+'!$AH$2,"S","S+"))))))))))))))))))))</f>
        <v>A</v>
      </c>
      <c r="T237" s="937">
        <f t="shared" si="9"/>
        <v>2.289156627</v>
      </c>
      <c r="U237" s="937" t="str">
        <f>IF(T237&lt;'PlayerGrades+'!$AI$21,"F-",IF(T237&lt;'PlayerGrades+'!$AI$20,"F",IF(T237&lt;'PlayerGrades+'!$AI$19,"F+",IF(T237&lt;'PlayerGrades+'!$AI$18,"E-",IF(T237&lt;'PlayerGrades+'!$AI$17,"E",IF(T237&lt;'PlayerGrades+'!$AI$16,"E+",IF(T237&lt;'PlayerGrades+'!$AI$15,"D-",IF(T237&lt;'PlayerGrades+'!$AI$14,"D",IF(T237&lt;'PlayerGrades+'!$AI$13,"D+",IF(T237&lt;'PlayerGrades+'!$AI$12,"C-",IF(T237&lt;'PlayerGrades+'!$AI$11,"C",IF(T237&lt;'PlayerGrades+'!$AI$10,"C+",IF(T237&lt;'PlayerGrades+'!$AI$9,"B-",IF(T237&lt;'PlayerGrades+'!$AI$8,"B",IF(T237&lt;'PlayerGrades+'!$AI$7,"B+",IF(T237&lt;'PlayerGrades+'!$AI$6,"A-",IF(T237&lt;'PlayerGrades+'!$AI$5,"A",IF(T237&lt;'PlayerGrades+'!$AI$4,"A+",IF(T237&lt;'PlayerGrades+'!$AI$3,"S-",IF(T237&lt;'PlayerGrades+'!$AI$2,"S","S+"))))))))))))))))))))</f>
        <v>S+</v>
      </c>
      <c r="V237" s="941">
        <v>1.0</v>
      </c>
      <c r="W237" s="941">
        <v>1.0</v>
      </c>
      <c r="X237" s="941">
        <v>0.0</v>
      </c>
      <c r="Y237" s="941">
        <v>0.0</v>
      </c>
      <c r="Z237" s="941">
        <v>1.0</v>
      </c>
      <c r="AA237" s="941">
        <v>73.0</v>
      </c>
      <c r="AB237" s="941">
        <v>71.0</v>
      </c>
      <c r="AC237" s="941">
        <v>2.0</v>
      </c>
      <c r="AD237" s="941">
        <v>6.0</v>
      </c>
      <c r="AE237" s="941">
        <v>4.0</v>
      </c>
      <c r="AF237" s="941">
        <v>0.0</v>
      </c>
      <c r="AG237" s="941">
        <v>952.0</v>
      </c>
      <c r="AH237" s="941">
        <v>1245.0</v>
      </c>
      <c r="AI237" s="941">
        <v>13.0</v>
      </c>
      <c r="AJ237" s="941">
        <v>11.0</v>
      </c>
      <c r="AK237" s="941">
        <v>0.0</v>
      </c>
      <c r="AL237" s="941">
        <v>0.0</v>
      </c>
      <c r="AM237" s="941">
        <v>0.0</v>
      </c>
      <c r="AN237" s="941">
        <v>0.0</v>
      </c>
      <c r="AO237" s="941">
        <v>0.0</v>
      </c>
      <c r="AP237" s="941">
        <v>0.0</v>
      </c>
      <c r="AQ237" s="941">
        <v>0.0</v>
      </c>
      <c r="AR237" s="941">
        <v>9.0</v>
      </c>
      <c r="AS237" s="941">
        <v>4.0</v>
      </c>
      <c r="AT237" s="941">
        <v>1.0</v>
      </c>
      <c r="AU237" s="941">
        <v>0.0</v>
      </c>
      <c r="AV237" s="941">
        <v>0.0</v>
      </c>
      <c r="AW237" s="941">
        <v>0.0</v>
      </c>
      <c r="AX237" s="941">
        <v>0.0</v>
      </c>
      <c r="AY237" s="941">
        <v>0.0</v>
      </c>
      <c r="AZ237" s="941">
        <v>0.0</v>
      </c>
      <c r="BA237" s="941">
        <v>0.0</v>
      </c>
      <c r="BB237" s="941">
        <v>10.0</v>
      </c>
      <c r="BC237" s="941">
        <v>0.0</v>
      </c>
      <c r="BD237" s="941">
        <v>7.0</v>
      </c>
      <c r="BE237" s="941">
        <v>6.0</v>
      </c>
      <c r="BF237" s="941">
        <v>2.0</v>
      </c>
      <c r="BG237" s="942">
        <v>0.0</v>
      </c>
    </row>
    <row r="238">
      <c r="A238" s="935" t="s">
        <v>153</v>
      </c>
      <c r="B238" s="16" t="str">
        <f>IF(C238&lt;'PlayerGrades+'!$Y$44,"F-",IF(C238&lt;'PlayerGrades+'!$Y$43,"F",IF(C238&lt;'PlayerGrades+'!$Y$42,"F+",IF(C238&lt;'PlayerGrades+'!$Y$41,"E-",IF(C238&lt;'PlayerGrades+'!$Y$40,"E",IF(C238&lt;'PlayerGrades+'!$Y$39,"E+",IF(C238&lt;'PlayerGrades+'!$Y$38,"D-",IF(C238&lt;'PlayerGrades+'!$Y$37,"D",IF(C238&lt;'PlayerGrades+'!$Y$36,"D+",IF(C238&lt;'PlayerGrades+'!$Y$35,"C-",IF(C238&lt;'PlayerGrades+'!$Y$34,"C",IF(C238&lt;'PlayerGrades+'!$Y$33,"C+",IF(C238&lt;'PlayerGrades+'!$Y$32,"B-",IF(C238&lt;'PlayerGrades+'!$Y$31,"B",IF(C238&lt;'PlayerGrades+'!$Y$30,"B+",IF(C238&lt;'PlayerGrades+'!$Y$29,"A-",IF(C238&lt;'PlayerGrades+'!$Y$28,"A",IF(C238&lt;'PlayerGrades+'!$Y$27,"A+",IF(C238&lt;'PlayerGrades+'!$Y$26,"S-",IF(C238&lt;'PlayerGrades+'!$Y$25,"S","S+"))))))))))))))))))))</f>
        <v>F-</v>
      </c>
      <c r="C238" s="936">
        <f>('PlayerGrades+'!$Y$47*(VLOOKUP(E238, 'PlayerGrades+'!$X$3:$Y$23, 2, FALSE)))+('PlayerGrades+'!$Y$48*(VLOOKUP(G238, 'PlayerGrades+'!$X$3:$Y$23, 2, FALSE)))+('PlayerGrades+'!$Y$49*(VLOOKUP(I238, 'PlayerGrades+'!$X$3:$Y$23, 2, FALSE)))+('PlayerGrades+'!$Y$50*(VLOOKUP(K238, 'PlayerGrades+'!$X$3:$Y$23, 2, FALSE)))+('PlayerGrades+'!$Y$51*(VLOOKUP(M238, 'PlayerGrades+'!$X$3:$Y$23, 2, FALSE)))+('PlayerGrades+'!$Y$52*(VLOOKUP(O238, 'PlayerGrades+'!$X$3:$Y$23, 2, FALSE)))+('PlayerGrades+'!$Y$53*(VLOOKUP(Q238, 'PlayerGrades+'!$X$3:$Y$23, 2, FALSE)))+('PlayerGrades+'!$Y$54*(VLOOKUP(S238, 'PlayerGrades+'!$X$3:$Y$23, 2, FALSE)))+('PlayerGrades+'!$Y$55*(VLOOKUP(U238, 'PlayerGrades+'!$X$3:$Y$23, 2, FALSE)))</f>
        <v>7.1</v>
      </c>
      <c r="D238" s="937">
        <f t="shared" si="1"/>
        <v>0.2891566265</v>
      </c>
      <c r="E238" s="937" t="str">
        <f>IF(D238&lt;'PlayerGrades+'!$AA$21,"F-",IF(D238&lt;'PlayerGrades+'!$AA$20,"F",IF(D238&lt;'PlayerGrades+'!$AA$19,"F+",IF(D238&lt;'PlayerGrades+'!$AA$18,"E-",IF(D238&lt;'PlayerGrades+'!$AA$17,"E",IF(D238&lt;'PlayerGrades+'!$AA$16,"E+",IF(D238&lt;'PlayerGrades+'!$AA$15,"D-",IF(D238&lt;'PlayerGrades+'!$AA$14,"D",IF(D238&lt;'PlayerGrades+'!$AA$13,"D+",IF(D238&lt;'PlayerGrades+'!$AA$12,"C-",IF(D238&lt;'PlayerGrades+'!$AA$11,"C",IF(D238&lt;'PlayerGrades+'!$AA$10,"C+",IF(D238&lt;'PlayerGrades+'!$AA$9,"B-",IF(D238&lt;'PlayerGrades+'!$AA$8,"B",IF(D238&lt;'PlayerGrades+'!$AA$7,"B+",IF(D238&lt;'PlayerGrades+'!$AA$6,"A-",IF(D238&lt;'PlayerGrades+'!$AA$5,"A",IF(D238&lt;'PlayerGrades+'!$AA$4,"A+",IF(D238&lt;'PlayerGrades+'!$AA$3,"S-",IF(D238&lt;'PlayerGrades+'!$AA$2,"S","S+"))))))))))))))))))))</f>
        <v>A</v>
      </c>
      <c r="F238" s="937">
        <f t="shared" si="2"/>
        <v>-1.397590361</v>
      </c>
      <c r="G238" s="937" t="str">
        <f>IF(F238&lt;'PlayerGrades+'!$AB$21,"F-",IF(F238&lt;'PlayerGrades+'!$AB$20,"F",IF(F238&lt;'PlayerGrades+'!$AB$19,"F+",IF(F238&lt;'PlayerGrades+'!$AB$18,"E-",IF(F238&lt;'PlayerGrades+'!$AB$17,"E",IF(F238&lt;'PlayerGrades+'!$AB$16,"E+",IF(F238&lt;'PlayerGrades+'!$AB$15,"D-",IF(F238&lt;'PlayerGrades+'!$AB$14,"D",IF(F238&lt;'PlayerGrades+'!$AB$13,"D+",IF(F238&lt;'PlayerGrades+'!$AB$12,"C-",IF(F238&lt;'PlayerGrades+'!$AB$11,"C",IF(F238&lt;'PlayerGrades+'!$AB$10,"C+",IF(F238&lt;'PlayerGrades+'!$AB$9,"B-",IF(F238&lt;'PlayerGrades+'!$AB$8,"B",IF(F238&lt;'PlayerGrades+'!$AB$7,"B+",IF(F238&lt;'PlayerGrades+'!$AB$6,"A-",IF(F238&lt;'PlayerGrades+'!$AB$5,"A",IF(F238&lt;'PlayerGrades+'!$AB$4,"A+",IF(F238&lt;'PlayerGrades+'!$AB$3,"S-",IF(F238&lt;'PlayerGrades+'!$AB$2,"S","S+"))))))))))))))))))))</f>
        <v>F-</v>
      </c>
      <c r="H238" s="937">
        <f t="shared" si="3"/>
        <v>0</v>
      </c>
      <c r="I238" s="937" t="str">
        <f>IF(H238&lt;'PlayerGrades+'!$AC$21,"F-",IF(H238&lt;'PlayerGrades+'!$AC$20,"F",IF(H238&lt;'PlayerGrades+'!$AC$19,"F+",IF(H238&lt;'PlayerGrades+'!$AC$18,"E-",IF(H238&lt;'PlayerGrades+'!$AC$17,"E",IF(H238&lt;'PlayerGrades+'!$AC$16,"E+",IF(H238&lt;'PlayerGrades+'!$AC$15,"D-",IF(H238&lt;'PlayerGrades+'!$AC$14,"D",IF(H238&lt;'PlayerGrades+'!$AC$13,"D+",IF(H238&lt;'PlayerGrades+'!$AC$12,"C-",IF(H238&lt;'PlayerGrades+'!$AC$11,"C",IF(H238&lt;'PlayerGrades+'!$AC$10,"C+",IF(H238&lt;'PlayerGrades+'!$AC$9,"B-",IF(H238&lt;'PlayerGrades+'!$AC$8,"B",IF(H238&lt;'PlayerGrades+'!$AC$7,"B+",IF(H238&lt;'PlayerGrades+'!$AC$6,"A-",IF(H238&lt;'PlayerGrades+'!$AC$5,"A",IF(H238&lt;'PlayerGrades+'!$AC$4,"A+",IF(H238&lt;'PlayerGrades+'!$AC$3,"S-",IF(H238&lt;'PlayerGrades+'!$AC$2,"S","S+"))))))))))))))))))))</f>
        <v>F-</v>
      </c>
      <c r="J238" s="937">
        <f t="shared" si="4"/>
        <v>0</v>
      </c>
      <c r="K238" s="937" t="str">
        <f>IF(J238&lt;'PlayerGrades+'!$AD$21,"F-",IF(J238&lt;'PlayerGrades+'!$AD$20,"F",IF(J238&lt;'PlayerGrades+'!$AD$19,"F+",IF(J238&lt;'PlayerGrades+'!$AD$18,"E-",IF(J238&lt;'PlayerGrades+'!$AD$17,"E",IF(J238&lt;'PlayerGrades+'!$AD$16,"E+",IF(J238&lt;'PlayerGrades+'!$AD$15,"D-",IF(J238&lt;'PlayerGrades+'!$AD$14,"D",IF(J238&lt;'PlayerGrades+'!$AD$13,"D+",IF(J238&lt;'PlayerGrades+'!$AD$12,"C-",IF(J238&lt;'PlayerGrades+'!$AD$11,"C",IF(J238&lt;'PlayerGrades+'!$AD$10,"C+",IF(J238&lt;'PlayerGrades+'!$AD$9,"B-",IF(J238&lt;'PlayerGrades+'!$AD$8,"B",IF(J238&lt;'PlayerGrades+'!$AD$7,"B+",IF(J238&lt;'PlayerGrades+'!$AD$6,"A-",IF(J238&lt;'PlayerGrades+'!$AD$5,"A",IF(J238&lt;'PlayerGrades+'!$AD$4,"A+",IF(J238&lt;'PlayerGrades+'!$AD$3,"S-",IF(J238&lt;'PlayerGrades+'!$AD$2,"S","S+"))))))))))))))))))))</f>
        <v>F-</v>
      </c>
      <c r="L238" s="677">
        <f t="shared" si="5"/>
        <v>0.2891566265</v>
      </c>
      <c r="M238" s="938" t="str">
        <f>IF(L238&lt;'PlayerGrades+'!$AE$21,"F-",IF(L238&lt;'PlayerGrades+'!$AE$20,"F",IF(L238&lt;'PlayerGrades+'!$AE$19,"F+",IF(L238&lt;'PlayerGrades+'!$AE$18,"E-",IF(L238&lt;'PlayerGrades+'!$AE$17,"E",IF(L238&lt;'PlayerGrades+'!$AE$16,"E+",IF(L238&lt;'PlayerGrades+'!$AE$15,"D-",IF(L238&lt;'PlayerGrades+'!$AE$14,"D",IF(L238&lt;'PlayerGrades+'!$AE$13,"D+",IF(L238&lt;'PlayerGrades+'!$AE$12,"C-",IF(L238&lt;'PlayerGrades+'!$AE$11,"C",IF(L238&lt;'PlayerGrades+'!$AE$10,"C+",IF(L238&lt;'PlayerGrades+'!$AE$9,"B-",IF(L238&lt;'PlayerGrades+'!$AE$8,"B",IF(L238&lt;'PlayerGrades+'!$AE$7,"B+",IF(L238&lt;'PlayerGrades+'!$AE$6,"A-",IF(L238&lt;'PlayerGrades+'!$AE$5,"A",IF(L238&lt;'PlayerGrades+'!$AE$4,"A+",IF(L238&lt;'PlayerGrades+'!$AE$3,"S-",IF(L238&lt;'PlayerGrades+'!$AE$2,"S","S+"))))))))))))))))))))</f>
        <v>F+</v>
      </c>
      <c r="N238" s="937">
        <f t="shared" si="6"/>
        <v>0</v>
      </c>
      <c r="O238" s="937" t="str">
        <f>IF(N238&lt;'PlayerGrades+'!$AF$21,"F-",IF(N238&lt;'PlayerGrades+'!$AF$20,"F",IF(N238&lt;'PlayerGrades+'!$AF$19,"F+",IF(N238&lt;'PlayerGrades+'!$AF$18,"E-",IF(N238&lt;'PlayerGrades+'!$AF$17,"E",IF(N238&lt;'PlayerGrades+'!$AF$16,"E+",IF(N238&lt;'PlayerGrades+'!$AF$15,"D-",IF(N238&lt;'PlayerGrades+'!$AF$14,"D",IF(N238&lt;'PlayerGrades+'!$AF$13,"D+",IF(N238&lt;'PlayerGrades+'!$AF$12,"C-",IF(N238&lt;'PlayerGrades+'!$AF$11,"C",IF(N238&lt;'PlayerGrades+'!$AF$10,"C+",IF(N238&lt;'PlayerGrades+'!$AF$9,"B-",IF(N238&lt;'PlayerGrades+'!$AF$8,"B",IF(N238&lt;'PlayerGrades+'!$AF$7,"B+",IF(N238&lt;'PlayerGrades+'!$AF$6,"A-",IF(N238&lt;'PlayerGrades+'!$AF$5,"A",IF(N238&lt;'PlayerGrades+'!$AF$4,"A+",IF(N238&lt;'PlayerGrades+'!$AF$3,"S-",IF(N238&lt;'PlayerGrades+'!$AF$2,"S","S+"))))))))))))))))))))</f>
        <v>F-</v>
      </c>
      <c r="P238" s="937">
        <f t="shared" si="7"/>
        <v>0</v>
      </c>
      <c r="Q238" s="937" t="str">
        <f>IF(P238&lt;'PlayerGrades+'!$AG$21,"F-",IF(P238&lt;'PlayerGrades+'!$AG$20,"F",IF(P238&lt;'PlayerGrades+'!$AG$19,"F+",IF(P238&lt;'PlayerGrades+'!$AG$18,"E-",IF(P238&lt;'PlayerGrades+'!$AG$17,"E",IF(P238&lt;'PlayerGrades+'!$AG$16,"E+",IF(P238&lt;'PlayerGrades+'!$AG$15,"D-",IF(P238&lt;'PlayerGrades+'!$AG$14,"D",IF(P238&lt;'PlayerGrades+'!$AG$13,"D+",IF(P238&lt;'PlayerGrades+'!$AG$12,"C-",IF(P238&lt;'PlayerGrades+'!$AG$11,"C",IF(P238&lt;'PlayerGrades+'!$AG$10,"C+",IF(P238&lt;'PlayerGrades+'!$AG$9,"B-",IF(P238&lt;'PlayerGrades+'!$AG$8,"B",IF(P238&lt;'PlayerGrades+'!$AG$7,"B+",IF(P238&lt;'PlayerGrades+'!$AG$6,"A-",IF(P238&lt;'PlayerGrades+'!$AG$5,"A",IF(P238&lt;'PlayerGrades+'!$AG$4,"A+",IF(P238&lt;'PlayerGrades+'!$AG$3,"S-",IF(P238&lt;'PlayerGrades+'!$AG$2,"S","S+"))))))))))))))))))))</f>
        <v>F</v>
      </c>
      <c r="R238" s="937">
        <f t="shared" si="8"/>
        <v>0.2891566265</v>
      </c>
      <c r="S238" s="937" t="str">
        <f>IF(R238&lt;'PlayerGrades+'!$AH$21,"F-",IF(R238&lt;'PlayerGrades+'!$AH$20,"F",IF(R238&lt;'PlayerGrades+'!$AH$19,"F+",IF(R238&lt;'PlayerGrades+'!$AH$18,"E-",IF(R238&lt;'PlayerGrades+'!$AH$17,"E",IF(R238&lt;'PlayerGrades+'!$AH$16,"E+",IF(R238&lt;'PlayerGrades+'!$AH$15,"D-",IF(R238&lt;'PlayerGrades+'!$AH$14,"D",IF(R238&lt;'PlayerGrades+'!$AH$13,"D+",IF(R238&lt;'PlayerGrades+'!$AH$12,"C-",IF(R238&lt;'PlayerGrades+'!$AH$11,"C",IF(R238&lt;'PlayerGrades+'!$AH$10,"C+",IF(R238&lt;'PlayerGrades+'!$AH$9,"B-",IF(R238&lt;'PlayerGrades+'!$AH$8,"B",IF(R238&lt;'PlayerGrades+'!$AH$7,"B+",IF(R238&lt;'PlayerGrades+'!$AH$6,"A-",IF(R238&lt;'PlayerGrades+'!$AH$5,"A",IF(R238&lt;'PlayerGrades+'!$AH$4,"A+",IF(R238&lt;'PlayerGrades+'!$AH$3,"S-",IF(R238&lt;'PlayerGrades+'!$AH$2,"S","S+"))))))))))))))))))))</f>
        <v>F-</v>
      </c>
      <c r="T238" s="937">
        <f t="shared" si="9"/>
        <v>0.2891566265</v>
      </c>
      <c r="U238" s="937" t="str">
        <f>IF(T238&lt;'PlayerGrades+'!$AI$21,"F-",IF(T238&lt;'PlayerGrades+'!$AI$20,"F",IF(T238&lt;'PlayerGrades+'!$AI$19,"F+",IF(T238&lt;'PlayerGrades+'!$AI$18,"E-",IF(T238&lt;'PlayerGrades+'!$AI$17,"E",IF(T238&lt;'PlayerGrades+'!$AI$16,"E+",IF(T238&lt;'PlayerGrades+'!$AI$15,"D-",IF(T238&lt;'PlayerGrades+'!$AI$14,"D",IF(T238&lt;'PlayerGrades+'!$AI$13,"D+",IF(T238&lt;'PlayerGrades+'!$AI$12,"C-",IF(T238&lt;'PlayerGrades+'!$AI$11,"C",IF(T238&lt;'PlayerGrades+'!$AI$10,"C+",IF(T238&lt;'PlayerGrades+'!$AI$9,"B-",IF(T238&lt;'PlayerGrades+'!$AI$8,"B",IF(T238&lt;'PlayerGrades+'!$AI$7,"B+",IF(T238&lt;'PlayerGrades+'!$AI$6,"A-",IF(T238&lt;'PlayerGrades+'!$AI$5,"A",IF(T238&lt;'PlayerGrades+'!$AI$4,"A+",IF(T238&lt;'PlayerGrades+'!$AI$3,"S-",IF(T238&lt;'PlayerGrades+'!$AI$2,"S","S+"))))))))))))))))))))</f>
        <v>F-</v>
      </c>
      <c r="V238" s="941">
        <v>1.0</v>
      </c>
      <c r="W238" s="941">
        <v>0.0</v>
      </c>
      <c r="X238" s="941">
        <v>1.0</v>
      </c>
      <c r="Y238" s="941">
        <v>1.0</v>
      </c>
      <c r="Z238" s="941">
        <v>5.0</v>
      </c>
      <c r="AA238" s="941">
        <v>43.0</v>
      </c>
      <c r="AB238" s="941">
        <v>72.0</v>
      </c>
      <c r="AC238" s="941">
        <v>-29.0</v>
      </c>
      <c r="AD238" s="941">
        <v>2.0</v>
      </c>
      <c r="AE238" s="941">
        <v>3.0</v>
      </c>
      <c r="AF238" s="941">
        <v>0.0</v>
      </c>
      <c r="AG238" s="941">
        <v>948.0</v>
      </c>
      <c r="AH238" s="941">
        <v>1245.0</v>
      </c>
      <c r="AI238" s="941">
        <v>13.0</v>
      </c>
      <c r="AJ238" s="941">
        <v>421.0</v>
      </c>
      <c r="AK238" s="941">
        <v>0.0</v>
      </c>
      <c r="AL238" s="941">
        <v>0.0</v>
      </c>
      <c r="AM238" s="941">
        <v>0.0</v>
      </c>
      <c r="AN238" s="941">
        <v>0.0</v>
      </c>
      <c r="AO238" s="941">
        <v>0.0</v>
      </c>
      <c r="AP238" s="941">
        <v>0.0</v>
      </c>
      <c r="AQ238" s="941">
        <v>0.0</v>
      </c>
      <c r="AR238" s="941">
        <v>6.0</v>
      </c>
      <c r="AS238" s="941">
        <v>0.0</v>
      </c>
      <c r="AT238" s="941">
        <v>0.0</v>
      </c>
      <c r="AU238" s="941">
        <v>0.0</v>
      </c>
      <c r="AV238" s="941">
        <v>0.0</v>
      </c>
      <c r="AW238" s="941">
        <v>0.0</v>
      </c>
      <c r="AX238" s="941">
        <v>0.0</v>
      </c>
      <c r="AY238" s="941">
        <v>0.0</v>
      </c>
      <c r="AZ238" s="941">
        <v>0.0</v>
      </c>
      <c r="BA238" s="941">
        <v>0.0</v>
      </c>
      <c r="BB238" s="941">
        <v>0.0</v>
      </c>
      <c r="BC238" s="941">
        <v>0.0</v>
      </c>
      <c r="BD238" s="941">
        <v>4.0</v>
      </c>
      <c r="BE238" s="941">
        <v>6.0</v>
      </c>
      <c r="BF238" s="941">
        <v>0.0</v>
      </c>
      <c r="BG238" s="942">
        <v>1.0</v>
      </c>
    </row>
    <row r="239">
      <c r="A239" s="935" t="s">
        <v>145</v>
      </c>
      <c r="B239" s="16" t="str">
        <f>IF(C239&lt;'PlayerGrades+'!$Y$44,"F-",IF(C239&lt;'PlayerGrades+'!$Y$43,"F",IF(C239&lt;'PlayerGrades+'!$Y$42,"F+",IF(C239&lt;'PlayerGrades+'!$Y$41,"E-",IF(C239&lt;'PlayerGrades+'!$Y$40,"E",IF(C239&lt;'PlayerGrades+'!$Y$39,"E+",IF(C239&lt;'PlayerGrades+'!$Y$38,"D-",IF(C239&lt;'PlayerGrades+'!$Y$37,"D",IF(C239&lt;'PlayerGrades+'!$Y$36,"D+",IF(C239&lt;'PlayerGrades+'!$Y$35,"C-",IF(C239&lt;'PlayerGrades+'!$Y$34,"C",IF(C239&lt;'PlayerGrades+'!$Y$33,"C+",IF(C239&lt;'PlayerGrades+'!$Y$32,"B-",IF(C239&lt;'PlayerGrades+'!$Y$31,"B",IF(C239&lt;'PlayerGrades+'!$Y$30,"B+",IF(C239&lt;'PlayerGrades+'!$Y$29,"A-",IF(C239&lt;'PlayerGrades+'!$Y$28,"A",IF(C239&lt;'PlayerGrades+'!$Y$27,"A+",IF(C239&lt;'PlayerGrades+'!$Y$26,"S-",IF(C239&lt;'PlayerGrades+'!$Y$25,"S","S+"))))))))))))))))))))</f>
        <v>D</v>
      </c>
      <c r="C239" s="936">
        <f>('PlayerGrades+'!$Y$47*(VLOOKUP(E239, 'PlayerGrades+'!$X$3:$Y$23, 2, FALSE)))+('PlayerGrades+'!$Y$48*(VLOOKUP(G239, 'PlayerGrades+'!$X$3:$Y$23, 2, FALSE)))+('PlayerGrades+'!$Y$49*(VLOOKUP(I239, 'PlayerGrades+'!$X$3:$Y$23, 2, FALSE)))+('PlayerGrades+'!$Y$50*(VLOOKUP(K239, 'PlayerGrades+'!$X$3:$Y$23, 2, FALSE)))+('PlayerGrades+'!$Y$51*(VLOOKUP(M239, 'PlayerGrades+'!$X$3:$Y$23, 2, FALSE)))+('PlayerGrades+'!$Y$52*(VLOOKUP(O239, 'PlayerGrades+'!$X$3:$Y$23, 2, FALSE)))+('PlayerGrades+'!$Y$53*(VLOOKUP(Q239, 'PlayerGrades+'!$X$3:$Y$23, 2, FALSE)))+('PlayerGrades+'!$Y$54*(VLOOKUP(S239, 'PlayerGrades+'!$X$3:$Y$23, 2, FALSE)))+('PlayerGrades+'!$Y$55*(VLOOKUP(U239, 'PlayerGrades+'!$X$3:$Y$23, 2, FALSE)))</f>
        <v>16.75</v>
      </c>
      <c r="D239" s="937">
        <f t="shared" si="1"/>
        <v>0</v>
      </c>
      <c r="E239" s="937" t="str">
        <f>IF(D239&lt;'PlayerGrades+'!$AA$21,"F-",IF(D239&lt;'PlayerGrades+'!$AA$20,"F",IF(D239&lt;'PlayerGrades+'!$AA$19,"F+",IF(D239&lt;'PlayerGrades+'!$AA$18,"E-",IF(D239&lt;'PlayerGrades+'!$AA$17,"E",IF(D239&lt;'PlayerGrades+'!$AA$16,"E+",IF(D239&lt;'PlayerGrades+'!$AA$15,"D-",IF(D239&lt;'PlayerGrades+'!$AA$14,"D",IF(D239&lt;'PlayerGrades+'!$AA$13,"D+",IF(D239&lt;'PlayerGrades+'!$AA$12,"C-",IF(D239&lt;'PlayerGrades+'!$AA$11,"C",IF(D239&lt;'PlayerGrades+'!$AA$10,"C+",IF(D239&lt;'PlayerGrades+'!$AA$9,"B-",IF(D239&lt;'PlayerGrades+'!$AA$8,"B",IF(D239&lt;'PlayerGrades+'!$AA$7,"B+",IF(D239&lt;'PlayerGrades+'!$AA$6,"A-",IF(D239&lt;'PlayerGrades+'!$AA$5,"A",IF(D239&lt;'PlayerGrades+'!$AA$4,"A+",IF(D239&lt;'PlayerGrades+'!$AA$3,"S-",IF(D239&lt;'PlayerGrades+'!$AA$2,"S","S+"))))))))))))))))))))</f>
        <v>F-</v>
      </c>
      <c r="F239" s="937">
        <f t="shared" si="2"/>
        <v>-1.108433735</v>
      </c>
      <c r="G239" s="937" t="str">
        <f>IF(F239&lt;'PlayerGrades+'!$AB$21,"F-",IF(F239&lt;'PlayerGrades+'!$AB$20,"F",IF(F239&lt;'PlayerGrades+'!$AB$19,"F+",IF(F239&lt;'PlayerGrades+'!$AB$18,"E-",IF(F239&lt;'PlayerGrades+'!$AB$17,"E",IF(F239&lt;'PlayerGrades+'!$AB$16,"E+",IF(F239&lt;'PlayerGrades+'!$AB$15,"D-",IF(F239&lt;'PlayerGrades+'!$AB$14,"D",IF(F239&lt;'PlayerGrades+'!$AB$13,"D+",IF(F239&lt;'PlayerGrades+'!$AB$12,"C-",IF(F239&lt;'PlayerGrades+'!$AB$11,"C",IF(F239&lt;'PlayerGrades+'!$AB$10,"C+",IF(F239&lt;'PlayerGrades+'!$AB$9,"B-",IF(F239&lt;'PlayerGrades+'!$AB$8,"B",IF(F239&lt;'PlayerGrades+'!$AB$7,"B+",IF(F239&lt;'PlayerGrades+'!$AB$6,"A-",IF(F239&lt;'PlayerGrades+'!$AB$5,"A",IF(F239&lt;'PlayerGrades+'!$AB$4,"A+",IF(F239&lt;'PlayerGrades+'!$AB$3,"S-",IF(F239&lt;'PlayerGrades+'!$AB$2,"S","S+"))))))))))))))))))))</f>
        <v>F</v>
      </c>
      <c r="H239" s="937">
        <f t="shared" si="3"/>
        <v>0.1445783133</v>
      </c>
      <c r="I239" s="937" t="str">
        <f>IF(H239&lt;'PlayerGrades+'!$AC$21,"F-",IF(H239&lt;'PlayerGrades+'!$AC$20,"F",IF(H239&lt;'PlayerGrades+'!$AC$19,"F+",IF(H239&lt;'PlayerGrades+'!$AC$18,"E-",IF(H239&lt;'PlayerGrades+'!$AC$17,"E",IF(H239&lt;'PlayerGrades+'!$AC$16,"E+",IF(H239&lt;'PlayerGrades+'!$AC$15,"D-",IF(H239&lt;'PlayerGrades+'!$AC$14,"D",IF(H239&lt;'PlayerGrades+'!$AC$13,"D+",IF(H239&lt;'PlayerGrades+'!$AC$12,"C-",IF(H239&lt;'PlayerGrades+'!$AC$11,"C",IF(H239&lt;'PlayerGrades+'!$AC$10,"C+",IF(H239&lt;'PlayerGrades+'!$AC$9,"B-",IF(H239&lt;'PlayerGrades+'!$AC$8,"B",IF(H239&lt;'PlayerGrades+'!$AC$7,"B+",IF(H239&lt;'PlayerGrades+'!$AC$6,"A-",IF(H239&lt;'PlayerGrades+'!$AC$5,"A",IF(H239&lt;'PlayerGrades+'!$AC$4,"A+",IF(H239&lt;'PlayerGrades+'!$AC$3,"S-",IF(H239&lt;'PlayerGrades+'!$AC$2,"S","S+"))))))))))))))))))))</f>
        <v>A</v>
      </c>
      <c r="J239" s="937">
        <f t="shared" si="4"/>
        <v>0</v>
      </c>
      <c r="K239" s="937" t="str">
        <f>IF(J239&lt;'PlayerGrades+'!$AD$21,"F-",IF(J239&lt;'PlayerGrades+'!$AD$20,"F",IF(J239&lt;'PlayerGrades+'!$AD$19,"F+",IF(J239&lt;'PlayerGrades+'!$AD$18,"E-",IF(J239&lt;'PlayerGrades+'!$AD$17,"E",IF(J239&lt;'PlayerGrades+'!$AD$16,"E+",IF(J239&lt;'PlayerGrades+'!$AD$15,"D-",IF(J239&lt;'PlayerGrades+'!$AD$14,"D",IF(J239&lt;'PlayerGrades+'!$AD$13,"D+",IF(J239&lt;'PlayerGrades+'!$AD$12,"C-",IF(J239&lt;'PlayerGrades+'!$AD$11,"C",IF(J239&lt;'PlayerGrades+'!$AD$10,"C+",IF(J239&lt;'PlayerGrades+'!$AD$9,"B-",IF(J239&lt;'PlayerGrades+'!$AD$8,"B",IF(J239&lt;'PlayerGrades+'!$AD$7,"B+",IF(J239&lt;'PlayerGrades+'!$AD$6,"A-",IF(J239&lt;'PlayerGrades+'!$AD$5,"A",IF(J239&lt;'PlayerGrades+'!$AD$4,"A+",IF(J239&lt;'PlayerGrades+'!$AD$3,"S-",IF(J239&lt;'PlayerGrades+'!$AD$2,"S","S+"))))))))))))))))))))</f>
        <v>F-</v>
      </c>
      <c r="L239" s="677">
        <f t="shared" si="5"/>
        <v>0.5301204819</v>
      </c>
      <c r="M239" s="938" t="str">
        <f>IF(L239&lt;'PlayerGrades+'!$AE$21,"F-",IF(L239&lt;'PlayerGrades+'!$AE$20,"F",IF(L239&lt;'PlayerGrades+'!$AE$19,"F+",IF(L239&lt;'PlayerGrades+'!$AE$18,"E-",IF(L239&lt;'PlayerGrades+'!$AE$17,"E",IF(L239&lt;'PlayerGrades+'!$AE$16,"E+",IF(L239&lt;'PlayerGrades+'!$AE$15,"D-",IF(L239&lt;'PlayerGrades+'!$AE$14,"D",IF(L239&lt;'PlayerGrades+'!$AE$13,"D+",IF(L239&lt;'PlayerGrades+'!$AE$12,"C-",IF(L239&lt;'PlayerGrades+'!$AE$11,"C",IF(L239&lt;'PlayerGrades+'!$AE$10,"C+",IF(L239&lt;'PlayerGrades+'!$AE$9,"B-",IF(L239&lt;'PlayerGrades+'!$AE$8,"B",IF(L239&lt;'PlayerGrades+'!$AE$7,"B+",IF(L239&lt;'PlayerGrades+'!$AE$6,"A-",IF(L239&lt;'PlayerGrades+'!$AE$5,"A",IF(L239&lt;'PlayerGrades+'!$AE$4,"A+",IF(L239&lt;'PlayerGrades+'!$AE$3,"S-",IF(L239&lt;'PlayerGrades+'!$AE$2,"S","S+"))))))))))))))))))))</f>
        <v>A-</v>
      </c>
      <c r="N239" s="937">
        <f t="shared" si="6"/>
        <v>0</v>
      </c>
      <c r="O239" s="937" t="str">
        <f>IF(N239&lt;'PlayerGrades+'!$AF$21,"F-",IF(N239&lt;'PlayerGrades+'!$AF$20,"F",IF(N239&lt;'PlayerGrades+'!$AF$19,"F+",IF(N239&lt;'PlayerGrades+'!$AF$18,"E-",IF(N239&lt;'PlayerGrades+'!$AF$17,"E",IF(N239&lt;'PlayerGrades+'!$AF$16,"E+",IF(N239&lt;'PlayerGrades+'!$AF$15,"D-",IF(N239&lt;'PlayerGrades+'!$AF$14,"D",IF(N239&lt;'PlayerGrades+'!$AF$13,"D+",IF(N239&lt;'PlayerGrades+'!$AF$12,"C-",IF(N239&lt;'PlayerGrades+'!$AF$11,"C",IF(N239&lt;'PlayerGrades+'!$AF$10,"C+",IF(N239&lt;'PlayerGrades+'!$AF$9,"B-",IF(N239&lt;'PlayerGrades+'!$AF$8,"B",IF(N239&lt;'PlayerGrades+'!$AF$7,"B+",IF(N239&lt;'PlayerGrades+'!$AF$6,"A-",IF(N239&lt;'PlayerGrades+'!$AF$5,"A",IF(N239&lt;'PlayerGrades+'!$AF$4,"A+",IF(N239&lt;'PlayerGrades+'!$AF$3,"S-",IF(N239&lt;'PlayerGrades+'!$AF$2,"S","S+"))))))))))))))))))))</f>
        <v>F-</v>
      </c>
      <c r="P239" s="937">
        <f t="shared" si="7"/>
        <v>0</v>
      </c>
      <c r="Q239" s="937" t="str">
        <f>IF(P239&lt;'PlayerGrades+'!$AG$21,"F-",IF(P239&lt;'PlayerGrades+'!$AG$20,"F",IF(P239&lt;'PlayerGrades+'!$AG$19,"F+",IF(P239&lt;'PlayerGrades+'!$AG$18,"E-",IF(P239&lt;'PlayerGrades+'!$AG$17,"E",IF(P239&lt;'PlayerGrades+'!$AG$16,"E+",IF(P239&lt;'PlayerGrades+'!$AG$15,"D-",IF(P239&lt;'PlayerGrades+'!$AG$14,"D",IF(P239&lt;'PlayerGrades+'!$AG$13,"D+",IF(P239&lt;'PlayerGrades+'!$AG$12,"C-",IF(P239&lt;'PlayerGrades+'!$AG$11,"C",IF(P239&lt;'PlayerGrades+'!$AG$10,"C+",IF(P239&lt;'PlayerGrades+'!$AG$9,"B-",IF(P239&lt;'PlayerGrades+'!$AG$8,"B",IF(P239&lt;'PlayerGrades+'!$AG$7,"B+",IF(P239&lt;'PlayerGrades+'!$AG$6,"A-",IF(P239&lt;'PlayerGrades+'!$AG$5,"A",IF(P239&lt;'PlayerGrades+'!$AG$4,"A+",IF(P239&lt;'PlayerGrades+'!$AG$3,"S-",IF(P239&lt;'PlayerGrades+'!$AG$2,"S","S+"))))))))))))))))))))</f>
        <v>F</v>
      </c>
      <c r="R239" s="937">
        <f t="shared" si="8"/>
        <v>0.8674698795</v>
      </c>
      <c r="S239" s="937" t="str">
        <f>IF(R239&lt;'PlayerGrades+'!$AH$21,"F-",IF(R239&lt;'PlayerGrades+'!$AH$20,"F",IF(R239&lt;'PlayerGrades+'!$AH$19,"F+",IF(R239&lt;'PlayerGrades+'!$AH$18,"E-",IF(R239&lt;'PlayerGrades+'!$AH$17,"E",IF(R239&lt;'PlayerGrades+'!$AH$16,"E+",IF(R239&lt;'PlayerGrades+'!$AH$15,"D-",IF(R239&lt;'PlayerGrades+'!$AH$14,"D",IF(R239&lt;'PlayerGrades+'!$AH$13,"D+",IF(R239&lt;'PlayerGrades+'!$AH$12,"C-",IF(R239&lt;'PlayerGrades+'!$AH$11,"C",IF(R239&lt;'PlayerGrades+'!$AH$10,"C+",IF(R239&lt;'PlayerGrades+'!$AH$9,"B-",IF(R239&lt;'PlayerGrades+'!$AH$8,"B",IF(R239&lt;'PlayerGrades+'!$AH$7,"B+",IF(R239&lt;'PlayerGrades+'!$AH$6,"A-",IF(R239&lt;'PlayerGrades+'!$AH$5,"A",IF(R239&lt;'PlayerGrades+'!$AH$4,"A+",IF(R239&lt;'PlayerGrades+'!$AH$3,"S-",IF(R239&lt;'PlayerGrades+'!$AH$2,"S","S+"))))))))))))))))))))</f>
        <v>S+</v>
      </c>
      <c r="T239" s="937">
        <f t="shared" si="9"/>
        <v>1.626506024</v>
      </c>
      <c r="U239" s="937" t="str">
        <f>IF(T239&lt;'PlayerGrades+'!$AI$21,"F-",IF(T239&lt;'PlayerGrades+'!$AI$20,"F",IF(T239&lt;'PlayerGrades+'!$AI$19,"F+",IF(T239&lt;'PlayerGrades+'!$AI$18,"E-",IF(T239&lt;'PlayerGrades+'!$AI$17,"E",IF(T239&lt;'PlayerGrades+'!$AI$16,"E+",IF(T239&lt;'PlayerGrades+'!$AI$15,"D-",IF(T239&lt;'PlayerGrades+'!$AI$14,"D",IF(T239&lt;'PlayerGrades+'!$AI$13,"D+",IF(T239&lt;'PlayerGrades+'!$AI$12,"C-",IF(T239&lt;'PlayerGrades+'!$AI$11,"C",IF(T239&lt;'PlayerGrades+'!$AI$10,"C+",IF(T239&lt;'PlayerGrades+'!$AI$9,"B-",IF(T239&lt;'PlayerGrades+'!$AI$8,"B",IF(T239&lt;'PlayerGrades+'!$AI$7,"B+",IF(T239&lt;'PlayerGrades+'!$AI$6,"A-",IF(T239&lt;'PlayerGrades+'!$AI$5,"A",IF(T239&lt;'PlayerGrades+'!$AI$4,"A+",IF(T239&lt;'PlayerGrades+'!$AI$3,"S-",IF(T239&lt;'PlayerGrades+'!$AI$2,"S","S+"))))))))))))))))))))</f>
        <v>S-</v>
      </c>
      <c r="V239" s="941">
        <v>1.0</v>
      </c>
      <c r="W239" s="941">
        <v>0.0</v>
      </c>
      <c r="X239" s="941">
        <v>1.0</v>
      </c>
      <c r="Y239" s="941">
        <v>0.0</v>
      </c>
      <c r="Z239" s="941">
        <v>0.0</v>
      </c>
      <c r="AA239" s="941">
        <v>75.0</v>
      </c>
      <c r="AB239" s="941">
        <v>98.0</v>
      </c>
      <c r="AC239" s="941">
        <v>-23.0</v>
      </c>
      <c r="AD239" s="941">
        <v>8.0</v>
      </c>
      <c r="AE239" s="941">
        <v>4.0</v>
      </c>
      <c r="AF239" s="941">
        <v>0.0</v>
      </c>
      <c r="AG239" s="941">
        <v>871.0</v>
      </c>
      <c r="AH239" s="941">
        <v>1245.0</v>
      </c>
      <c r="AI239" s="941">
        <v>8.0</v>
      </c>
      <c r="AJ239" s="941">
        <v>11.0</v>
      </c>
      <c r="AK239" s="941">
        <v>0.0</v>
      </c>
      <c r="AL239" s="941">
        <v>0.0</v>
      </c>
      <c r="AM239" s="941">
        <v>0.0</v>
      </c>
      <c r="AN239" s="941">
        <v>0.0</v>
      </c>
      <c r="AO239" s="941">
        <v>0.0</v>
      </c>
      <c r="AP239" s="941">
        <v>0.0</v>
      </c>
      <c r="AQ239" s="941">
        <v>0.0</v>
      </c>
      <c r="AR239" s="941">
        <v>11.0</v>
      </c>
      <c r="AS239" s="941">
        <v>0.0</v>
      </c>
      <c r="AT239" s="941">
        <v>0.0</v>
      </c>
      <c r="AU239" s="941">
        <v>0.0</v>
      </c>
      <c r="AV239" s="941">
        <v>0.0</v>
      </c>
      <c r="AW239" s="941">
        <v>0.0</v>
      </c>
      <c r="AX239" s="941">
        <v>0.0</v>
      </c>
      <c r="AY239" s="941">
        <v>0.0</v>
      </c>
      <c r="AZ239" s="941">
        <v>0.0</v>
      </c>
      <c r="BA239" s="941">
        <v>0.0</v>
      </c>
      <c r="BB239" s="941">
        <v>3.0</v>
      </c>
      <c r="BC239" s="941">
        <v>0.0</v>
      </c>
      <c r="BD239" s="941">
        <v>10.0</v>
      </c>
      <c r="BE239" s="941">
        <v>13.0</v>
      </c>
      <c r="BF239" s="941">
        <v>1.0</v>
      </c>
      <c r="BG239" s="942">
        <v>1.0</v>
      </c>
    </row>
    <row r="240">
      <c r="A240" s="935" t="s">
        <v>120</v>
      </c>
      <c r="B240" s="16" t="str">
        <f>IF(C240&lt;'PlayerGrades+'!$Y$44,"F-",IF(C240&lt;'PlayerGrades+'!$Y$43,"F",IF(C240&lt;'PlayerGrades+'!$Y$42,"F+",IF(C240&lt;'PlayerGrades+'!$Y$41,"E-",IF(C240&lt;'PlayerGrades+'!$Y$40,"E",IF(C240&lt;'PlayerGrades+'!$Y$39,"E+",IF(C240&lt;'PlayerGrades+'!$Y$38,"D-",IF(C240&lt;'PlayerGrades+'!$Y$37,"D",IF(C240&lt;'PlayerGrades+'!$Y$36,"D+",IF(C240&lt;'PlayerGrades+'!$Y$35,"C-",IF(C240&lt;'PlayerGrades+'!$Y$34,"C",IF(C240&lt;'PlayerGrades+'!$Y$33,"C+",IF(C240&lt;'PlayerGrades+'!$Y$32,"B-",IF(C240&lt;'PlayerGrades+'!$Y$31,"B",IF(C240&lt;'PlayerGrades+'!$Y$30,"B+",IF(C240&lt;'PlayerGrades+'!$Y$29,"A-",IF(C240&lt;'PlayerGrades+'!$Y$28,"A",IF(C240&lt;'PlayerGrades+'!$Y$27,"A+",IF(C240&lt;'PlayerGrades+'!$Y$26,"S-",IF(C240&lt;'PlayerGrades+'!$Y$25,"S","S+"))))))))))))))))))))</f>
        <v>D+</v>
      </c>
      <c r="C240" s="936">
        <f>('PlayerGrades+'!$Y$47*(VLOOKUP(E240, 'PlayerGrades+'!$X$3:$Y$23, 2, FALSE)))+('PlayerGrades+'!$Y$48*(VLOOKUP(G240, 'PlayerGrades+'!$X$3:$Y$23, 2, FALSE)))+('PlayerGrades+'!$Y$49*(VLOOKUP(I240, 'PlayerGrades+'!$X$3:$Y$23, 2, FALSE)))+('PlayerGrades+'!$Y$50*(VLOOKUP(K240, 'PlayerGrades+'!$X$3:$Y$23, 2, FALSE)))+('PlayerGrades+'!$Y$51*(VLOOKUP(M240, 'PlayerGrades+'!$X$3:$Y$23, 2, FALSE)))+('PlayerGrades+'!$Y$52*(VLOOKUP(O240, 'PlayerGrades+'!$X$3:$Y$23, 2, FALSE)))+('PlayerGrades+'!$Y$53*(VLOOKUP(Q240, 'PlayerGrades+'!$X$3:$Y$23, 2, FALSE)))+('PlayerGrades+'!$Y$54*(VLOOKUP(S240, 'PlayerGrades+'!$X$3:$Y$23, 2, FALSE)))+('PlayerGrades+'!$Y$55*(VLOOKUP(U240, 'PlayerGrades+'!$X$3:$Y$23, 2, FALSE)))</f>
        <v>17.9</v>
      </c>
      <c r="D240" s="937">
        <f t="shared" si="1"/>
        <v>0</v>
      </c>
      <c r="E240" s="937" t="str">
        <f>IF(D240&lt;'PlayerGrades+'!$AA$21,"F-",IF(D240&lt;'PlayerGrades+'!$AA$20,"F",IF(D240&lt;'PlayerGrades+'!$AA$19,"F+",IF(D240&lt;'PlayerGrades+'!$AA$18,"E-",IF(D240&lt;'PlayerGrades+'!$AA$17,"E",IF(D240&lt;'PlayerGrades+'!$AA$16,"E+",IF(D240&lt;'PlayerGrades+'!$AA$15,"D-",IF(D240&lt;'PlayerGrades+'!$AA$14,"D",IF(D240&lt;'PlayerGrades+'!$AA$13,"D+",IF(D240&lt;'PlayerGrades+'!$AA$12,"C-",IF(D240&lt;'PlayerGrades+'!$AA$11,"C",IF(D240&lt;'PlayerGrades+'!$AA$10,"C+",IF(D240&lt;'PlayerGrades+'!$AA$9,"B-",IF(D240&lt;'PlayerGrades+'!$AA$8,"B",IF(D240&lt;'PlayerGrades+'!$AA$7,"B+",IF(D240&lt;'PlayerGrades+'!$AA$6,"A-",IF(D240&lt;'PlayerGrades+'!$AA$5,"A",IF(D240&lt;'PlayerGrades+'!$AA$4,"A+",IF(D240&lt;'PlayerGrades+'!$AA$3,"S-",IF(D240&lt;'PlayerGrades+'!$AA$2,"S","S+"))))))))))))))))))))</f>
        <v>F-</v>
      </c>
      <c r="F240" s="937">
        <f t="shared" si="2"/>
        <v>0.2409638554</v>
      </c>
      <c r="G240" s="937" t="str">
        <f>IF(F240&lt;'PlayerGrades+'!$AB$21,"F-",IF(F240&lt;'PlayerGrades+'!$AB$20,"F",IF(F240&lt;'PlayerGrades+'!$AB$19,"F+",IF(F240&lt;'PlayerGrades+'!$AB$18,"E-",IF(F240&lt;'PlayerGrades+'!$AB$17,"E",IF(F240&lt;'PlayerGrades+'!$AB$16,"E+",IF(F240&lt;'PlayerGrades+'!$AB$15,"D-",IF(F240&lt;'PlayerGrades+'!$AB$14,"D",IF(F240&lt;'PlayerGrades+'!$AB$13,"D+",IF(F240&lt;'PlayerGrades+'!$AB$12,"C-",IF(F240&lt;'PlayerGrades+'!$AB$11,"C",IF(F240&lt;'PlayerGrades+'!$AB$10,"C+",IF(F240&lt;'PlayerGrades+'!$AB$9,"B-",IF(F240&lt;'PlayerGrades+'!$AB$8,"B",IF(F240&lt;'PlayerGrades+'!$AB$7,"B+",IF(F240&lt;'PlayerGrades+'!$AB$6,"A-",IF(F240&lt;'PlayerGrades+'!$AB$5,"A",IF(F240&lt;'PlayerGrades+'!$AB$4,"A+",IF(F240&lt;'PlayerGrades+'!$AB$3,"S-",IF(F240&lt;'PlayerGrades+'!$AB$2,"S","S+"))))))))))))))))))))</f>
        <v>B+</v>
      </c>
      <c r="H240" s="937">
        <f t="shared" si="3"/>
        <v>0</v>
      </c>
      <c r="I240" s="937" t="str">
        <f>IF(H240&lt;'PlayerGrades+'!$AC$21,"F-",IF(H240&lt;'PlayerGrades+'!$AC$20,"F",IF(H240&lt;'PlayerGrades+'!$AC$19,"F+",IF(H240&lt;'PlayerGrades+'!$AC$18,"E-",IF(H240&lt;'PlayerGrades+'!$AC$17,"E",IF(H240&lt;'PlayerGrades+'!$AC$16,"E+",IF(H240&lt;'PlayerGrades+'!$AC$15,"D-",IF(H240&lt;'PlayerGrades+'!$AC$14,"D",IF(H240&lt;'PlayerGrades+'!$AC$13,"D+",IF(H240&lt;'PlayerGrades+'!$AC$12,"C-",IF(H240&lt;'PlayerGrades+'!$AC$11,"C",IF(H240&lt;'PlayerGrades+'!$AC$10,"C+",IF(H240&lt;'PlayerGrades+'!$AC$9,"B-",IF(H240&lt;'PlayerGrades+'!$AC$8,"B",IF(H240&lt;'PlayerGrades+'!$AC$7,"B+",IF(H240&lt;'PlayerGrades+'!$AC$6,"A-",IF(H240&lt;'PlayerGrades+'!$AC$5,"A",IF(H240&lt;'PlayerGrades+'!$AC$4,"A+",IF(H240&lt;'PlayerGrades+'!$AC$3,"S-",IF(H240&lt;'PlayerGrades+'!$AC$2,"S","S+"))))))))))))))))))))</f>
        <v>F-</v>
      </c>
      <c r="J240" s="937">
        <f t="shared" si="4"/>
        <v>0</v>
      </c>
      <c r="K240" s="937" t="str">
        <f>IF(J240&lt;'PlayerGrades+'!$AD$21,"F-",IF(J240&lt;'PlayerGrades+'!$AD$20,"F",IF(J240&lt;'PlayerGrades+'!$AD$19,"F+",IF(J240&lt;'PlayerGrades+'!$AD$18,"E-",IF(J240&lt;'PlayerGrades+'!$AD$17,"E",IF(J240&lt;'PlayerGrades+'!$AD$16,"E+",IF(J240&lt;'PlayerGrades+'!$AD$15,"D-",IF(J240&lt;'PlayerGrades+'!$AD$14,"D",IF(J240&lt;'PlayerGrades+'!$AD$13,"D+",IF(J240&lt;'PlayerGrades+'!$AD$12,"C-",IF(J240&lt;'PlayerGrades+'!$AD$11,"C",IF(J240&lt;'PlayerGrades+'!$AD$10,"C+",IF(J240&lt;'PlayerGrades+'!$AD$9,"B-",IF(J240&lt;'PlayerGrades+'!$AD$8,"B",IF(J240&lt;'PlayerGrades+'!$AD$7,"B+",IF(J240&lt;'PlayerGrades+'!$AD$6,"A-",IF(J240&lt;'PlayerGrades+'!$AD$5,"A",IF(J240&lt;'PlayerGrades+'!$AD$4,"A+",IF(J240&lt;'PlayerGrades+'!$AD$3,"S-",IF(J240&lt;'PlayerGrades+'!$AD$2,"S","S+"))))))))))))))))))))</f>
        <v>F-</v>
      </c>
      <c r="L240" s="677">
        <f t="shared" si="5"/>
        <v>0.4337349398</v>
      </c>
      <c r="M240" s="938" t="str">
        <f>IF(L240&lt;'PlayerGrades+'!$AE$21,"F-",IF(L240&lt;'PlayerGrades+'!$AE$20,"F",IF(L240&lt;'PlayerGrades+'!$AE$19,"F+",IF(L240&lt;'PlayerGrades+'!$AE$18,"E-",IF(L240&lt;'PlayerGrades+'!$AE$17,"E",IF(L240&lt;'PlayerGrades+'!$AE$16,"E+",IF(L240&lt;'PlayerGrades+'!$AE$15,"D-",IF(L240&lt;'PlayerGrades+'!$AE$14,"D",IF(L240&lt;'PlayerGrades+'!$AE$13,"D+",IF(L240&lt;'PlayerGrades+'!$AE$12,"C-",IF(L240&lt;'PlayerGrades+'!$AE$11,"C",IF(L240&lt;'PlayerGrades+'!$AE$10,"C+",IF(L240&lt;'PlayerGrades+'!$AE$9,"B-",IF(L240&lt;'PlayerGrades+'!$AE$8,"B",IF(L240&lt;'PlayerGrades+'!$AE$7,"B+",IF(L240&lt;'PlayerGrades+'!$AE$6,"A-",IF(L240&lt;'PlayerGrades+'!$AE$5,"A",IF(L240&lt;'PlayerGrades+'!$AE$4,"A+",IF(L240&lt;'PlayerGrades+'!$AE$3,"S-",IF(L240&lt;'PlayerGrades+'!$AE$2,"S","S+"))))))))))))))))))))</f>
        <v>B-</v>
      </c>
      <c r="N240" s="937">
        <f t="shared" si="6"/>
        <v>0.04819277108</v>
      </c>
      <c r="O240" s="937" t="str">
        <f>IF(N240&lt;'PlayerGrades+'!$AF$21,"F-",IF(N240&lt;'PlayerGrades+'!$AF$20,"F",IF(N240&lt;'PlayerGrades+'!$AF$19,"F+",IF(N240&lt;'PlayerGrades+'!$AF$18,"E-",IF(N240&lt;'PlayerGrades+'!$AF$17,"E",IF(N240&lt;'PlayerGrades+'!$AF$16,"E+",IF(N240&lt;'PlayerGrades+'!$AF$15,"D-",IF(N240&lt;'PlayerGrades+'!$AF$14,"D",IF(N240&lt;'PlayerGrades+'!$AF$13,"D+",IF(N240&lt;'PlayerGrades+'!$AF$12,"C-",IF(N240&lt;'PlayerGrades+'!$AF$11,"C",IF(N240&lt;'PlayerGrades+'!$AF$10,"C+",IF(N240&lt;'PlayerGrades+'!$AF$9,"B-",IF(N240&lt;'PlayerGrades+'!$AF$8,"B",IF(N240&lt;'PlayerGrades+'!$AF$7,"B+",IF(N240&lt;'PlayerGrades+'!$AF$6,"A-",IF(N240&lt;'PlayerGrades+'!$AF$5,"A",IF(N240&lt;'PlayerGrades+'!$AF$4,"A+",IF(N240&lt;'PlayerGrades+'!$AF$3,"S-",IF(N240&lt;'PlayerGrades+'!$AF$2,"S","S+"))))))))))))))))))))</f>
        <v>D-</v>
      </c>
      <c r="P240" s="937">
        <f t="shared" si="7"/>
        <v>0</v>
      </c>
      <c r="Q240" s="937" t="str">
        <f>IF(P240&lt;'PlayerGrades+'!$AG$21,"F-",IF(P240&lt;'PlayerGrades+'!$AG$20,"F",IF(P240&lt;'PlayerGrades+'!$AG$19,"F+",IF(P240&lt;'PlayerGrades+'!$AG$18,"E-",IF(P240&lt;'PlayerGrades+'!$AG$17,"E",IF(P240&lt;'PlayerGrades+'!$AG$16,"E+",IF(P240&lt;'PlayerGrades+'!$AG$15,"D-",IF(P240&lt;'PlayerGrades+'!$AG$14,"D",IF(P240&lt;'PlayerGrades+'!$AG$13,"D+",IF(P240&lt;'PlayerGrades+'!$AG$12,"C-",IF(P240&lt;'PlayerGrades+'!$AG$11,"C",IF(P240&lt;'PlayerGrades+'!$AG$10,"C+",IF(P240&lt;'PlayerGrades+'!$AG$9,"B-",IF(P240&lt;'PlayerGrades+'!$AG$8,"B",IF(P240&lt;'PlayerGrades+'!$AG$7,"B+",IF(P240&lt;'PlayerGrades+'!$AG$6,"A-",IF(P240&lt;'PlayerGrades+'!$AG$5,"A",IF(P240&lt;'PlayerGrades+'!$AG$4,"A+",IF(P240&lt;'PlayerGrades+'!$AG$3,"S-",IF(P240&lt;'PlayerGrades+'!$AG$2,"S","S+"))))))))))))))))))))</f>
        <v>F</v>
      </c>
      <c r="R240" s="937">
        <f t="shared" si="8"/>
        <v>0.8674698795</v>
      </c>
      <c r="S240" s="937" t="str">
        <f>IF(R240&lt;'PlayerGrades+'!$AH$21,"F-",IF(R240&lt;'PlayerGrades+'!$AH$20,"F",IF(R240&lt;'PlayerGrades+'!$AH$19,"F+",IF(R240&lt;'PlayerGrades+'!$AH$18,"E-",IF(R240&lt;'PlayerGrades+'!$AH$17,"E",IF(R240&lt;'PlayerGrades+'!$AH$16,"E+",IF(R240&lt;'PlayerGrades+'!$AH$15,"D-",IF(R240&lt;'PlayerGrades+'!$AH$14,"D",IF(R240&lt;'PlayerGrades+'!$AH$13,"D+",IF(R240&lt;'PlayerGrades+'!$AH$12,"C-",IF(R240&lt;'PlayerGrades+'!$AH$11,"C",IF(R240&lt;'PlayerGrades+'!$AH$10,"C+",IF(R240&lt;'PlayerGrades+'!$AH$9,"B-",IF(R240&lt;'PlayerGrades+'!$AH$8,"B",IF(R240&lt;'PlayerGrades+'!$AH$7,"B+",IF(R240&lt;'PlayerGrades+'!$AH$6,"A-",IF(R240&lt;'PlayerGrades+'!$AH$5,"A",IF(R240&lt;'PlayerGrades+'!$AH$4,"A+",IF(R240&lt;'PlayerGrades+'!$AH$3,"S-",IF(R240&lt;'PlayerGrades+'!$AH$2,"S","S+"))))))))))))))))))))</f>
        <v>S+</v>
      </c>
      <c r="T240" s="937">
        <f t="shared" si="9"/>
        <v>1.530120482</v>
      </c>
      <c r="U240" s="937" t="str">
        <f>IF(T240&lt;'PlayerGrades+'!$AI$21,"F-",IF(T240&lt;'PlayerGrades+'!$AI$20,"F",IF(T240&lt;'PlayerGrades+'!$AI$19,"F+",IF(T240&lt;'PlayerGrades+'!$AI$18,"E-",IF(T240&lt;'PlayerGrades+'!$AI$17,"E",IF(T240&lt;'PlayerGrades+'!$AI$16,"E+",IF(T240&lt;'PlayerGrades+'!$AI$15,"D-",IF(T240&lt;'PlayerGrades+'!$AI$14,"D",IF(T240&lt;'PlayerGrades+'!$AI$13,"D+",IF(T240&lt;'PlayerGrades+'!$AI$12,"C-",IF(T240&lt;'PlayerGrades+'!$AI$11,"C",IF(T240&lt;'PlayerGrades+'!$AI$10,"C+",IF(T240&lt;'PlayerGrades+'!$AI$9,"B-",IF(T240&lt;'PlayerGrades+'!$AI$8,"B",IF(T240&lt;'PlayerGrades+'!$AI$7,"B+",IF(T240&lt;'PlayerGrades+'!$AI$6,"A-",IF(T240&lt;'PlayerGrades+'!$AI$5,"A",IF(T240&lt;'PlayerGrades+'!$AI$4,"A+",IF(T240&lt;'PlayerGrades+'!$AI$3,"S-",IF(T240&lt;'PlayerGrades+'!$AI$2,"S","S+"))))))))))))))))))))</f>
        <v>A+</v>
      </c>
      <c r="V240" s="941">
        <v>1.0</v>
      </c>
      <c r="W240" s="941">
        <v>0.0</v>
      </c>
      <c r="X240" s="941">
        <v>1.0</v>
      </c>
      <c r="Y240" s="941">
        <v>0.0</v>
      </c>
      <c r="Z240" s="941">
        <v>0.0</v>
      </c>
      <c r="AA240" s="941">
        <v>77.0</v>
      </c>
      <c r="AB240" s="941">
        <v>72.0</v>
      </c>
      <c r="AC240" s="941">
        <v>5.0</v>
      </c>
      <c r="AD240" s="941">
        <v>6.0</v>
      </c>
      <c r="AE240" s="941">
        <v>4.0</v>
      </c>
      <c r="AF240" s="941">
        <v>3.0</v>
      </c>
      <c r="AG240" s="941">
        <v>950.0</v>
      </c>
      <c r="AH240" s="941">
        <v>1245.0</v>
      </c>
      <c r="AI240" s="941">
        <v>13.0</v>
      </c>
      <c r="AJ240" s="941">
        <v>4.0</v>
      </c>
      <c r="AK240" s="941">
        <v>0.0</v>
      </c>
      <c r="AL240" s="941">
        <v>0.0</v>
      </c>
      <c r="AM240" s="941">
        <v>0.0</v>
      </c>
      <c r="AN240" s="941">
        <v>0.0</v>
      </c>
      <c r="AO240" s="941">
        <v>0.0</v>
      </c>
      <c r="AP240" s="941">
        <v>0.0</v>
      </c>
      <c r="AQ240" s="941">
        <v>0.0</v>
      </c>
      <c r="AR240" s="941">
        <v>9.0</v>
      </c>
      <c r="AS240" s="941">
        <v>1.0</v>
      </c>
      <c r="AT240" s="941">
        <v>0.0</v>
      </c>
      <c r="AU240" s="941">
        <v>0.0</v>
      </c>
      <c r="AV240" s="941">
        <v>0.0</v>
      </c>
      <c r="AW240" s="941">
        <v>0.0</v>
      </c>
      <c r="AX240" s="941">
        <v>0.0</v>
      </c>
      <c r="AY240" s="941">
        <v>0.0</v>
      </c>
      <c r="AZ240" s="941">
        <v>0.0</v>
      </c>
      <c r="BA240" s="941">
        <v>0.0</v>
      </c>
      <c r="BB240" s="941">
        <v>0.0</v>
      </c>
      <c r="BC240" s="941">
        <v>0.0</v>
      </c>
      <c r="BD240" s="941">
        <v>12.0</v>
      </c>
      <c r="BE240" s="941">
        <v>11.0</v>
      </c>
      <c r="BF240" s="941">
        <v>1.0</v>
      </c>
      <c r="BG240" s="942">
        <v>1.0</v>
      </c>
    </row>
    <row r="241">
      <c r="A241" s="943" t="s">
        <v>131</v>
      </c>
      <c r="B241" s="16" t="str">
        <f>IF(C241&lt;'PlayerGrades+'!$Y$44,"F-",IF(C241&lt;'PlayerGrades+'!$Y$43,"F",IF(C241&lt;'PlayerGrades+'!$Y$42,"F+",IF(C241&lt;'PlayerGrades+'!$Y$41,"E-",IF(C241&lt;'PlayerGrades+'!$Y$40,"E",IF(C241&lt;'PlayerGrades+'!$Y$39,"E+",IF(C241&lt;'PlayerGrades+'!$Y$38,"D-",IF(C241&lt;'PlayerGrades+'!$Y$37,"D",IF(C241&lt;'PlayerGrades+'!$Y$36,"D+",IF(C241&lt;'PlayerGrades+'!$Y$35,"C-",IF(C241&lt;'PlayerGrades+'!$Y$34,"C",IF(C241&lt;'PlayerGrades+'!$Y$33,"C+",IF(C241&lt;'PlayerGrades+'!$Y$32,"B-",IF(C241&lt;'PlayerGrades+'!$Y$31,"B",IF(C241&lt;'PlayerGrades+'!$Y$30,"B+",IF(C241&lt;'PlayerGrades+'!$Y$29,"A-",IF(C241&lt;'PlayerGrades+'!$Y$28,"A",IF(C241&lt;'PlayerGrades+'!$Y$27,"A+",IF(C241&lt;'PlayerGrades+'!$Y$26,"S-",IF(C241&lt;'PlayerGrades+'!$Y$25,"S","S+"))))))))))))))))))))</f>
        <v>E-</v>
      </c>
      <c r="C241" s="936">
        <f>('PlayerGrades+'!$Y$47*(VLOOKUP(E241, 'PlayerGrades+'!$X$3:$Y$23, 2, FALSE)))+('PlayerGrades+'!$Y$48*(VLOOKUP(G241, 'PlayerGrades+'!$X$3:$Y$23, 2, FALSE)))+('PlayerGrades+'!$Y$49*(VLOOKUP(I241, 'PlayerGrades+'!$X$3:$Y$23, 2, FALSE)))+('PlayerGrades+'!$Y$50*(VLOOKUP(K241, 'PlayerGrades+'!$X$3:$Y$23, 2, FALSE)))+('PlayerGrades+'!$Y$51*(VLOOKUP(M241, 'PlayerGrades+'!$X$3:$Y$23, 2, FALSE)))+('PlayerGrades+'!$Y$52*(VLOOKUP(O241, 'PlayerGrades+'!$X$3:$Y$23, 2, FALSE)))+('PlayerGrades+'!$Y$53*(VLOOKUP(Q241, 'PlayerGrades+'!$X$3:$Y$23, 2, FALSE)))+('PlayerGrades+'!$Y$54*(VLOOKUP(S241, 'PlayerGrades+'!$X$3:$Y$23, 2, FALSE)))+('PlayerGrades+'!$Y$55*(VLOOKUP(U241, 'PlayerGrades+'!$X$3:$Y$23, 2, FALSE)))</f>
        <v>11.95</v>
      </c>
      <c r="D241" s="937">
        <f t="shared" si="1"/>
        <v>0</v>
      </c>
      <c r="E241" s="937" t="str">
        <f>IF(D241&lt;'PlayerGrades+'!$AA$21,"F-",IF(D241&lt;'PlayerGrades+'!$AA$20,"F",IF(D241&lt;'PlayerGrades+'!$AA$19,"F+",IF(D241&lt;'PlayerGrades+'!$AA$18,"E-",IF(D241&lt;'PlayerGrades+'!$AA$17,"E",IF(D241&lt;'PlayerGrades+'!$AA$16,"E+",IF(D241&lt;'PlayerGrades+'!$AA$15,"D-",IF(D241&lt;'PlayerGrades+'!$AA$14,"D",IF(D241&lt;'PlayerGrades+'!$AA$13,"D+",IF(D241&lt;'PlayerGrades+'!$AA$12,"C-",IF(D241&lt;'PlayerGrades+'!$AA$11,"C",IF(D241&lt;'PlayerGrades+'!$AA$10,"C+",IF(D241&lt;'PlayerGrades+'!$AA$9,"B-",IF(D241&lt;'PlayerGrades+'!$AA$8,"B",IF(D241&lt;'PlayerGrades+'!$AA$7,"B+",IF(D241&lt;'PlayerGrades+'!$AA$6,"A-",IF(D241&lt;'PlayerGrades+'!$AA$5,"A",IF(D241&lt;'PlayerGrades+'!$AA$4,"A+",IF(D241&lt;'PlayerGrades+'!$AA$3,"S-",IF(D241&lt;'PlayerGrades+'!$AA$2,"S","S+"))))))))))))))))))))</f>
        <v>F-</v>
      </c>
      <c r="F241" s="937">
        <f t="shared" si="2"/>
        <v>-0.578313253</v>
      </c>
      <c r="G241" s="937" t="str">
        <f>IF(F241&lt;'PlayerGrades+'!$AB$21,"F-",IF(F241&lt;'PlayerGrades+'!$AB$20,"F",IF(F241&lt;'PlayerGrades+'!$AB$19,"F+",IF(F241&lt;'PlayerGrades+'!$AB$18,"E-",IF(F241&lt;'PlayerGrades+'!$AB$17,"E",IF(F241&lt;'PlayerGrades+'!$AB$16,"E+",IF(F241&lt;'PlayerGrades+'!$AB$15,"D-",IF(F241&lt;'PlayerGrades+'!$AB$14,"D",IF(F241&lt;'PlayerGrades+'!$AB$13,"D+",IF(F241&lt;'PlayerGrades+'!$AB$12,"C-",IF(F241&lt;'PlayerGrades+'!$AB$11,"C",IF(F241&lt;'PlayerGrades+'!$AB$10,"C+",IF(F241&lt;'PlayerGrades+'!$AB$9,"B-",IF(F241&lt;'PlayerGrades+'!$AB$8,"B",IF(F241&lt;'PlayerGrades+'!$AB$7,"B+",IF(F241&lt;'PlayerGrades+'!$AB$6,"A-",IF(F241&lt;'PlayerGrades+'!$AB$5,"A",IF(F241&lt;'PlayerGrades+'!$AB$4,"A+",IF(F241&lt;'PlayerGrades+'!$AB$3,"S-",IF(F241&lt;'PlayerGrades+'!$AB$2,"S","S+"))))))))))))))))))))</f>
        <v>D</v>
      </c>
      <c r="H241" s="937">
        <f t="shared" si="3"/>
        <v>0.04819277108</v>
      </c>
      <c r="I241" s="937" t="str">
        <f>IF(H241&lt;'PlayerGrades+'!$AC$21,"F-",IF(H241&lt;'PlayerGrades+'!$AC$20,"F",IF(H241&lt;'PlayerGrades+'!$AC$19,"F+",IF(H241&lt;'PlayerGrades+'!$AC$18,"E-",IF(H241&lt;'PlayerGrades+'!$AC$17,"E",IF(H241&lt;'PlayerGrades+'!$AC$16,"E+",IF(H241&lt;'PlayerGrades+'!$AC$15,"D-",IF(H241&lt;'PlayerGrades+'!$AC$14,"D",IF(H241&lt;'PlayerGrades+'!$AC$13,"D+",IF(H241&lt;'PlayerGrades+'!$AC$12,"C-",IF(H241&lt;'PlayerGrades+'!$AC$11,"C",IF(H241&lt;'PlayerGrades+'!$AC$10,"C+",IF(H241&lt;'PlayerGrades+'!$AC$9,"B-",IF(H241&lt;'PlayerGrades+'!$AC$8,"B",IF(H241&lt;'PlayerGrades+'!$AC$7,"B+",IF(H241&lt;'PlayerGrades+'!$AC$6,"A-",IF(H241&lt;'PlayerGrades+'!$AC$5,"A",IF(H241&lt;'PlayerGrades+'!$AC$4,"A+",IF(H241&lt;'PlayerGrades+'!$AC$3,"S-",IF(H241&lt;'PlayerGrades+'!$AC$2,"S","S+"))))))))))))))))))))</f>
        <v>F</v>
      </c>
      <c r="J241" s="937">
        <f t="shared" si="4"/>
        <v>0</v>
      </c>
      <c r="K241" s="937" t="str">
        <f>IF(J241&lt;'PlayerGrades+'!$AD$21,"F-",IF(J241&lt;'PlayerGrades+'!$AD$20,"F",IF(J241&lt;'PlayerGrades+'!$AD$19,"F+",IF(J241&lt;'PlayerGrades+'!$AD$18,"E-",IF(J241&lt;'PlayerGrades+'!$AD$17,"E",IF(J241&lt;'PlayerGrades+'!$AD$16,"E+",IF(J241&lt;'PlayerGrades+'!$AD$15,"D-",IF(J241&lt;'PlayerGrades+'!$AD$14,"D",IF(J241&lt;'PlayerGrades+'!$AD$13,"D+",IF(J241&lt;'PlayerGrades+'!$AD$12,"C-",IF(J241&lt;'PlayerGrades+'!$AD$11,"C",IF(J241&lt;'PlayerGrades+'!$AD$10,"C+",IF(J241&lt;'PlayerGrades+'!$AD$9,"B-",IF(J241&lt;'PlayerGrades+'!$AD$8,"B",IF(J241&lt;'PlayerGrades+'!$AD$7,"B+",IF(J241&lt;'PlayerGrades+'!$AD$6,"A-",IF(J241&lt;'PlayerGrades+'!$AD$5,"A",IF(J241&lt;'PlayerGrades+'!$AD$4,"A+",IF(J241&lt;'PlayerGrades+'!$AD$3,"S-",IF(J241&lt;'PlayerGrades+'!$AD$2,"S","S+"))))))))))))))))))))</f>
        <v>F-</v>
      </c>
      <c r="L241" s="677">
        <f t="shared" si="5"/>
        <v>0.1927710843</v>
      </c>
      <c r="M241" s="938" t="str">
        <f>IF(L241&lt;'PlayerGrades+'!$AE$21,"F-",IF(L241&lt;'PlayerGrades+'!$AE$20,"F",IF(L241&lt;'PlayerGrades+'!$AE$19,"F+",IF(L241&lt;'PlayerGrades+'!$AE$18,"E-",IF(L241&lt;'PlayerGrades+'!$AE$17,"E",IF(L241&lt;'PlayerGrades+'!$AE$16,"E+",IF(L241&lt;'PlayerGrades+'!$AE$15,"D-",IF(L241&lt;'PlayerGrades+'!$AE$14,"D",IF(L241&lt;'PlayerGrades+'!$AE$13,"D+",IF(L241&lt;'PlayerGrades+'!$AE$12,"C-",IF(L241&lt;'PlayerGrades+'!$AE$11,"C",IF(L241&lt;'PlayerGrades+'!$AE$10,"C+",IF(L241&lt;'PlayerGrades+'!$AE$9,"B-",IF(L241&lt;'PlayerGrades+'!$AE$8,"B",IF(L241&lt;'PlayerGrades+'!$AE$7,"B+",IF(L241&lt;'PlayerGrades+'!$AE$6,"A-",IF(L241&lt;'PlayerGrades+'!$AE$5,"A",IF(L241&lt;'PlayerGrades+'!$AE$4,"A+",IF(L241&lt;'PlayerGrades+'!$AE$3,"S-",IF(L241&lt;'PlayerGrades+'!$AE$2,"S","S+"))))))))))))))))))))</f>
        <v>F</v>
      </c>
      <c r="N241" s="937">
        <f t="shared" si="6"/>
        <v>0.04819277108</v>
      </c>
      <c r="O241" s="937" t="str">
        <f>IF(N241&lt;'PlayerGrades+'!$AF$21,"F-",IF(N241&lt;'PlayerGrades+'!$AF$20,"F",IF(N241&lt;'PlayerGrades+'!$AF$19,"F+",IF(N241&lt;'PlayerGrades+'!$AF$18,"E-",IF(N241&lt;'PlayerGrades+'!$AF$17,"E",IF(N241&lt;'PlayerGrades+'!$AF$16,"E+",IF(N241&lt;'PlayerGrades+'!$AF$15,"D-",IF(N241&lt;'PlayerGrades+'!$AF$14,"D",IF(N241&lt;'PlayerGrades+'!$AF$13,"D+",IF(N241&lt;'PlayerGrades+'!$AF$12,"C-",IF(N241&lt;'PlayerGrades+'!$AF$11,"C",IF(N241&lt;'PlayerGrades+'!$AF$10,"C+",IF(N241&lt;'PlayerGrades+'!$AF$9,"B-",IF(N241&lt;'PlayerGrades+'!$AF$8,"B",IF(N241&lt;'PlayerGrades+'!$AF$7,"B+",IF(N241&lt;'PlayerGrades+'!$AF$6,"A-",IF(N241&lt;'PlayerGrades+'!$AF$5,"A",IF(N241&lt;'PlayerGrades+'!$AF$4,"A+",IF(N241&lt;'PlayerGrades+'!$AF$3,"S-",IF(N241&lt;'PlayerGrades+'!$AF$2,"S","S+"))))))))))))))))))))</f>
        <v>D-</v>
      </c>
      <c r="P241" s="937">
        <f t="shared" si="7"/>
        <v>0</v>
      </c>
      <c r="Q241" s="937" t="str">
        <f>IF(P241&lt;'PlayerGrades+'!$AG$21,"F-",IF(P241&lt;'PlayerGrades+'!$AG$20,"F",IF(P241&lt;'PlayerGrades+'!$AG$19,"F+",IF(P241&lt;'PlayerGrades+'!$AG$18,"E-",IF(P241&lt;'PlayerGrades+'!$AG$17,"E",IF(P241&lt;'PlayerGrades+'!$AG$16,"E+",IF(P241&lt;'PlayerGrades+'!$AG$15,"D-",IF(P241&lt;'PlayerGrades+'!$AG$14,"D",IF(P241&lt;'PlayerGrades+'!$AG$13,"D+",IF(P241&lt;'PlayerGrades+'!$AG$12,"C-",IF(P241&lt;'PlayerGrades+'!$AG$11,"C",IF(P241&lt;'PlayerGrades+'!$AG$10,"C+",IF(P241&lt;'PlayerGrades+'!$AG$9,"B-",IF(P241&lt;'PlayerGrades+'!$AG$8,"B",IF(P241&lt;'PlayerGrades+'!$AG$7,"B+",IF(P241&lt;'PlayerGrades+'!$AG$6,"A-",IF(P241&lt;'PlayerGrades+'!$AG$5,"A",IF(P241&lt;'PlayerGrades+'!$AG$4,"A+",IF(P241&lt;'PlayerGrades+'!$AG$3,"S-",IF(P241&lt;'PlayerGrades+'!$AG$2,"S","S+"))))))))))))))))))))</f>
        <v>F</v>
      </c>
      <c r="R241" s="937">
        <f t="shared" si="8"/>
        <v>0.6746987952</v>
      </c>
      <c r="S241" s="937" t="str">
        <f>IF(R241&lt;'PlayerGrades+'!$AH$21,"F-",IF(R241&lt;'PlayerGrades+'!$AH$20,"F",IF(R241&lt;'PlayerGrades+'!$AH$19,"F+",IF(R241&lt;'PlayerGrades+'!$AH$18,"E-",IF(R241&lt;'PlayerGrades+'!$AH$17,"E",IF(R241&lt;'PlayerGrades+'!$AH$16,"E+",IF(R241&lt;'PlayerGrades+'!$AH$15,"D-",IF(R241&lt;'PlayerGrades+'!$AH$14,"D",IF(R241&lt;'PlayerGrades+'!$AH$13,"D+",IF(R241&lt;'PlayerGrades+'!$AH$12,"C-",IF(R241&lt;'PlayerGrades+'!$AH$11,"C",IF(R241&lt;'PlayerGrades+'!$AH$10,"C+",IF(R241&lt;'PlayerGrades+'!$AH$9,"B-",IF(R241&lt;'PlayerGrades+'!$AH$8,"B",IF(R241&lt;'PlayerGrades+'!$AH$7,"B+",IF(R241&lt;'PlayerGrades+'!$AH$6,"A-",IF(R241&lt;'PlayerGrades+'!$AH$5,"A",IF(R241&lt;'PlayerGrades+'!$AH$4,"A+",IF(R241&lt;'PlayerGrades+'!$AH$3,"S-",IF(R241&lt;'PlayerGrades+'!$AH$2,"S","S+"))))))))))))))))))))</f>
        <v>S-</v>
      </c>
      <c r="T241" s="937">
        <f t="shared" si="9"/>
        <v>0.2891566265</v>
      </c>
      <c r="U241" s="937" t="str">
        <f>IF(T241&lt;'PlayerGrades+'!$AI$21,"F-",IF(T241&lt;'PlayerGrades+'!$AI$20,"F",IF(T241&lt;'PlayerGrades+'!$AI$19,"F+",IF(T241&lt;'PlayerGrades+'!$AI$18,"E-",IF(T241&lt;'PlayerGrades+'!$AI$17,"E",IF(T241&lt;'PlayerGrades+'!$AI$16,"E+",IF(T241&lt;'PlayerGrades+'!$AI$15,"D-",IF(T241&lt;'PlayerGrades+'!$AI$14,"D",IF(T241&lt;'PlayerGrades+'!$AI$13,"D+",IF(T241&lt;'PlayerGrades+'!$AI$12,"C-",IF(T241&lt;'PlayerGrades+'!$AI$11,"C",IF(T241&lt;'PlayerGrades+'!$AI$10,"C+",IF(T241&lt;'PlayerGrades+'!$AI$9,"B-",IF(T241&lt;'PlayerGrades+'!$AI$8,"B",IF(T241&lt;'PlayerGrades+'!$AI$7,"B+",IF(T241&lt;'PlayerGrades+'!$AI$6,"A-",IF(T241&lt;'PlayerGrades+'!$AI$5,"A",IF(T241&lt;'PlayerGrades+'!$AI$4,"A+",IF(T241&lt;'PlayerGrades+'!$AI$3,"S-",IF(T241&lt;'PlayerGrades+'!$AI$2,"S","S+"))))))))))))))))))))</f>
        <v>F-</v>
      </c>
      <c r="V241" s="944">
        <v>1.0</v>
      </c>
      <c r="W241" s="944">
        <v>0.0</v>
      </c>
      <c r="X241" s="944">
        <v>1.0</v>
      </c>
      <c r="Y241" s="944">
        <v>0.0</v>
      </c>
      <c r="Z241" s="944">
        <v>0.0</v>
      </c>
      <c r="AA241" s="944">
        <v>52.0</v>
      </c>
      <c r="AB241" s="944">
        <v>64.0</v>
      </c>
      <c r="AC241" s="944">
        <v>-12.0</v>
      </c>
      <c r="AD241" s="944">
        <v>5.0</v>
      </c>
      <c r="AE241" s="944">
        <v>4.0</v>
      </c>
      <c r="AF241" s="944">
        <v>0.0</v>
      </c>
      <c r="AG241" s="944">
        <v>976.0</v>
      </c>
      <c r="AH241" s="944">
        <v>1245.0</v>
      </c>
      <c r="AI241" s="944">
        <v>15.0</v>
      </c>
      <c r="AJ241" s="944">
        <v>6.0</v>
      </c>
      <c r="AK241" s="944">
        <v>0.0</v>
      </c>
      <c r="AL241" s="944">
        <v>0.0</v>
      </c>
      <c r="AM241" s="944">
        <v>0.0</v>
      </c>
      <c r="AN241" s="944">
        <v>0.0</v>
      </c>
      <c r="AO241" s="944">
        <v>0.0</v>
      </c>
      <c r="AP241" s="944">
        <v>0.0</v>
      </c>
      <c r="AQ241" s="944">
        <v>0.0</v>
      </c>
      <c r="AR241" s="944">
        <v>4.0</v>
      </c>
      <c r="AS241" s="944">
        <v>1.0</v>
      </c>
      <c r="AT241" s="944">
        <v>0.0</v>
      </c>
      <c r="AU241" s="944">
        <v>0.0</v>
      </c>
      <c r="AV241" s="944">
        <v>0.0</v>
      </c>
      <c r="AW241" s="944">
        <v>0.0</v>
      </c>
      <c r="AX241" s="944">
        <v>0.0</v>
      </c>
      <c r="AY241" s="944">
        <v>0.0</v>
      </c>
      <c r="AZ241" s="944">
        <v>0.0</v>
      </c>
      <c r="BA241" s="944">
        <v>0.0</v>
      </c>
      <c r="BB241" s="944">
        <v>1.0</v>
      </c>
      <c r="BC241" s="944">
        <v>0.0</v>
      </c>
      <c r="BD241" s="944">
        <v>9.0</v>
      </c>
      <c r="BE241" s="944">
        <v>6.0</v>
      </c>
      <c r="BF241" s="944">
        <v>0.0</v>
      </c>
      <c r="BG241" s="945">
        <v>1.0</v>
      </c>
    </row>
    <row r="242">
      <c r="A242" s="946" t="s">
        <v>153</v>
      </c>
      <c r="B242" s="16" t="str">
        <f>IF(C242&lt;'PlayerGrades+'!$Y$44,"F-",IF(C242&lt;'PlayerGrades+'!$Y$43,"F",IF(C242&lt;'PlayerGrades+'!$Y$42,"F+",IF(C242&lt;'PlayerGrades+'!$Y$41,"E-",IF(C242&lt;'PlayerGrades+'!$Y$40,"E",IF(C242&lt;'PlayerGrades+'!$Y$39,"E+",IF(C242&lt;'PlayerGrades+'!$Y$38,"D-",IF(C242&lt;'PlayerGrades+'!$Y$37,"D",IF(C242&lt;'PlayerGrades+'!$Y$36,"D+",IF(C242&lt;'PlayerGrades+'!$Y$35,"C-",IF(C242&lt;'PlayerGrades+'!$Y$34,"C",IF(C242&lt;'PlayerGrades+'!$Y$33,"C+",IF(C242&lt;'PlayerGrades+'!$Y$32,"B-",IF(C242&lt;'PlayerGrades+'!$Y$31,"B",IF(C242&lt;'PlayerGrades+'!$Y$30,"B+",IF(C242&lt;'PlayerGrades+'!$Y$29,"A-",IF(C242&lt;'PlayerGrades+'!$Y$28,"A",IF(C242&lt;'PlayerGrades+'!$Y$27,"A+",IF(C242&lt;'PlayerGrades+'!$Y$26,"S-",IF(C242&lt;'PlayerGrades+'!$Y$25,"S","S+"))))))))))))))))))))</f>
        <v>F</v>
      </c>
      <c r="C242" s="936">
        <f>('PlayerGrades+'!$Y$47*(VLOOKUP(E242, 'PlayerGrades+'!$X$3:$Y$23, 2, FALSE)))+('PlayerGrades+'!$Y$48*(VLOOKUP(G242, 'PlayerGrades+'!$X$3:$Y$23, 2, FALSE)))+('PlayerGrades+'!$Y$49*(VLOOKUP(I242, 'PlayerGrades+'!$X$3:$Y$23, 2, FALSE)))+('PlayerGrades+'!$Y$50*(VLOOKUP(K242, 'PlayerGrades+'!$X$3:$Y$23, 2, FALSE)))+('PlayerGrades+'!$Y$51*(VLOOKUP(M242, 'PlayerGrades+'!$X$3:$Y$23, 2, FALSE)))+('PlayerGrades+'!$Y$52*(VLOOKUP(O242, 'PlayerGrades+'!$X$3:$Y$23, 2, FALSE)))+('PlayerGrades+'!$Y$53*(VLOOKUP(Q242, 'PlayerGrades+'!$X$3:$Y$23, 2, FALSE)))+('PlayerGrades+'!$Y$54*(VLOOKUP(S242, 'PlayerGrades+'!$X$3:$Y$23, 2, FALSE)))+('PlayerGrades+'!$Y$55*(VLOOKUP(U242, 'PlayerGrades+'!$X$3:$Y$23, 2, FALSE)))</f>
        <v>9.75</v>
      </c>
      <c r="D242" s="937">
        <f t="shared" si="1"/>
        <v>0.5210420842</v>
      </c>
      <c r="E242" s="937" t="str">
        <f>IF(D242&lt;'PlayerGrades+'!$AA$21,"F-",IF(D242&lt;'PlayerGrades+'!$AA$20,"F",IF(D242&lt;'PlayerGrades+'!$AA$19,"F+",IF(D242&lt;'PlayerGrades+'!$AA$18,"E-",IF(D242&lt;'PlayerGrades+'!$AA$17,"E",IF(D242&lt;'PlayerGrades+'!$AA$16,"E+",IF(D242&lt;'PlayerGrades+'!$AA$15,"D-",IF(D242&lt;'PlayerGrades+'!$AA$14,"D",IF(D242&lt;'PlayerGrades+'!$AA$13,"D+",IF(D242&lt;'PlayerGrades+'!$AA$12,"C-",IF(D242&lt;'PlayerGrades+'!$AA$11,"C",IF(D242&lt;'PlayerGrades+'!$AA$10,"C+",IF(D242&lt;'PlayerGrades+'!$AA$9,"B-",IF(D242&lt;'PlayerGrades+'!$AA$8,"B",IF(D242&lt;'PlayerGrades+'!$AA$7,"B+",IF(D242&lt;'PlayerGrades+'!$AA$6,"A-",IF(D242&lt;'PlayerGrades+'!$AA$5,"A",IF(D242&lt;'PlayerGrades+'!$AA$4,"A+",IF(D242&lt;'PlayerGrades+'!$AA$3,"S-",IF(D242&lt;'PlayerGrades+'!$AA$2,"S","S+"))))))))))))))))))))</f>
        <v>A+</v>
      </c>
      <c r="F242" s="937">
        <f t="shared" si="2"/>
        <v>-1.042084168</v>
      </c>
      <c r="G242" s="937" t="str">
        <f>IF(F242&lt;'PlayerGrades+'!$AB$21,"F-",IF(F242&lt;'PlayerGrades+'!$AB$20,"F",IF(F242&lt;'PlayerGrades+'!$AB$19,"F+",IF(F242&lt;'PlayerGrades+'!$AB$18,"E-",IF(F242&lt;'PlayerGrades+'!$AB$17,"E",IF(F242&lt;'PlayerGrades+'!$AB$16,"E+",IF(F242&lt;'PlayerGrades+'!$AB$15,"D-",IF(F242&lt;'PlayerGrades+'!$AB$14,"D",IF(F242&lt;'PlayerGrades+'!$AB$13,"D+",IF(F242&lt;'PlayerGrades+'!$AB$12,"C-",IF(F242&lt;'PlayerGrades+'!$AB$11,"C",IF(F242&lt;'PlayerGrades+'!$AB$10,"C+",IF(F242&lt;'PlayerGrades+'!$AB$9,"B-",IF(F242&lt;'PlayerGrades+'!$AB$8,"B",IF(F242&lt;'PlayerGrades+'!$AB$7,"B+",IF(F242&lt;'PlayerGrades+'!$AB$6,"A-",IF(F242&lt;'PlayerGrades+'!$AB$5,"A",IF(F242&lt;'PlayerGrades+'!$AB$4,"A+",IF(F242&lt;'PlayerGrades+'!$AB$3,"S-",IF(F242&lt;'PlayerGrades+'!$AB$2,"S","S+"))))))))))))))))))))</f>
        <v>F</v>
      </c>
      <c r="H242" s="937">
        <f t="shared" si="3"/>
        <v>0.04008016032</v>
      </c>
      <c r="I242" s="937" t="str">
        <f>IF(H242&lt;'PlayerGrades+'!$AC$21,"F-",IF(H242&lt;'PlayerGrades+'!$AC$20,"F",IF(H242&lt;'PlayerGrades+'!$AC$19,"F+",IF(H242&lt;'PlayerGrades+'!$AC$18,"E-",IF(H242&lt;'PlayerGrades+'!$AC$17,"E",IF(H242&lt;'PlayerGrades+'!$AC$16,"E+",IF(H242&lt;'PlayerGrades+'!$AC$15,"D-",IF(H242&lt;'PlayerGrades+'!$AC$14,"D",IF(H242&lt;'PlayerGrades+'!$AC$13,"D+",IF(H242&lt;'PlayerGrades+'!$AC$12,"C-",IF(H242&lt;'PlayerGrades+'!$AC$11,"C",IF(H242&lt;'PlayerGrades+'!$AC$10,"C+",IF(H242&lt;'PlayerGrades+'!$AC$9,"B-",IF(H242&lt;'PlayerGrades+'!$AC$8,"B",IF(H242&lt;'PlayerGrades+'!$AC$7,"B+",IF(H242&lt;'PlayerGrades+'!$AC$6,"A-",IF(H242&lt;'PlayerGrades+'!$AC$5,"A",IF(H242&lt;'PlayerGrades+'!$AC$4,"A+",IF(H242&lt;'PlayerGrades+'!$AC$3,"S-",IF(H242&lt;'PlayerGrades+'!$AC$2,"S","S+"))))))))))))))))))))</f>
        <v>F</v>
      </c>
      <c r="J242" s="937">
        <f t="shared" si="4"/>
        <v>0</v>
      </c>
      <c r="K242" s="937" t="str">
        <f>IF(J242&lt;'PlayerGrades+'!$AD$21,"F-",IF(J242&lt;'PlayerGrades+'!$AD$20,"F",IF(J242&lt;'PlayerGrades+'!$AD$19,"F+",IF(J242&lt;'PlayerGrades+'!$AD$18,"E-",IF(J242&lt;'PlayerGrades+'!$AD$17,"E",IF(J242&lt;'PlayerGrades+'!$AD$16,"E+",IF(J242&lt;'PlayerGrades+'!$AD$15,"D-",IF(J242&lt;'PlayerGrades+'!$AD$14,"D",IF(J242&lt;'PlayerGrades+'!$AD$13,"D+",IF(J242&lt;'PlayerGrades+'!$AD$12,"C-",IF(J242&lt;'PlayerGrades+'!$AD$11,"C",IF(J242&lt;'PlayerGrades+'!$AD$10,"C+",IF(J242&lt;'PlayerGrades+'!$AD$9,"B-",IF(J242&lt;'PlayerGrades+'!$AD$8,"B",IF(J242&lt;'PlayerGrades+'!$AD$7,"B+",IF(J242&lt;'PlayerGrades+'!$AD$6,"A-",IF(J242&lt;'PlayerGrades+'!$AD$5,"A",IF(J242&lt;'PlayerGrades+'!$AD$4,"A+",IF(J242&lt;'PlayerGrades+'!$AD$3,"S-",IF(J242&lt;'PlayerGrades+'!$AD$2,"S","S+"))))))))))))))))))))</f>
        <v>F-</v>
      </c>
      <c r="L242" s="677">
        <f t="shared" si="5"/>
        <v>0.2004008016</v>
      </c>
      <c r="M242" s="938" t="str">
        <f>IF(L242&lt;'PlayerGrades+'!$AE$21,"F-",IF(L242&lt;'PlayerGrades+'!$AE$20,"F",IF(L242&lt;'PlayerGrades+'!$AE$19,"F+",IF(L242&lt;'PlayerGrades+'!$AE$18,"E-",IF(L242&lt;'PlayerGrades+'!$AE$17,"E",IF(L242&lt;'PlayerGrades+'!$AE$16,"E+",IF(L242&lt;'PlayerGrades+'!$AE$15,"D-",IF(L242&lt;'PlayerGrades+'!$AE$14,"D",IF(L242&lt;'PlayerGrades+'!$AE$13,"D+",IF(L242&lt;'PlayerGrades+'!$AE$12,"C-",IF(L242&lt;'PlayerGrades+'!$AE$11,"C",IF(L242&lt;'PlayerGrades+'!$AE$10,"C+",IF(L242&lt;'PlayerGrades+'!$AE$9,"B-",IF(L242&lt;'PlayerGrades+'!$AE$8,"B",IF(L242&lt;'PlayerGrades+'!$AE$7,"B+",IF(L242&lt;'PlayerGrades+'!$AE$6,"A-",IF(L242&lt;'PlayerGrades+'!$AE$5,"A",IF(L242&lt;'PlayerGrades+'!$AE$4,"A+",IF(L242&lt;'PlayerGrades+'!$AE$3,"S-",IF(L242&lt;'PlayerGrades+'!$AE$2,"S","S+"))))))))))))))))))))</f>
        <v>F</v>
      </c>
      <c r="N242" s="937">
        <f t="shared" si="6"/>
        <v>0.04008016032</v>
      </c>
      <c r="O242" s="937" t="str">
        <f>IF(N242&lt;'PlayerGrades+'!$AF$21,"F-",IF(N242&lt;'PlayerGrades+'!$AF$20,"F",IF(N242&lt;'PlayerGrades+'!$AF$19,"F+",IF(N242&lt;'PlayerGrades+'!$AF$18,"E-",IF(N242&lt;'PlayerGrades+'!$AF$17,"E",IF(N242&lt;'PlayerGrades+'!$AF$16,"E+",IF(N242&lt;'PlayerGrades+'!$AF$15,"D-",IF(N242&lt;'PlayerGrades+'!$AF$14,"D",IF(N242&lt;'PlayerGrades+'!$AF$13,"D+",IF(N242&lt;'PlayerGrades+'!$AF$12,"C-",IF(N242&lt;'PlayerGrades+'!$AF$11,"C",IF(N242&lt;'PlayerGrades+'!$AF$10,"C+",IF(N242&lt;'PlayerGrades+'!$AF$9,"B-",IF(N242&lt;'PlayerGrades+'!$AF$8,"B",IF(N242&lt;'PlayerGrades+'!$AF$7,"B+",IF(N242&lt;'PlayerGrades+'!$AF$6,"A-",IF(N242&lt;'PlayerGrades+'!$AF$5,"A",IF(N242&lt;'PlayerGrades+'!$AF$4,"A+",IF(N242&lt;'PlayerGrades+'!$AF$3,"S-",IF(N242&lt;'PlayerGrades+'!$AF$2,"S","S+"))))))))))))))))))))</f>
        <v>E-</v>
      </c>
      <c r="P242" s="937">
        <f t="shared" si="7"/>
        <v>0</v>
      </c>
      <c r="Q242" s="937" t="str">
        <f>IF(P242&lt;'PlayerGrades+'!$AG$21,"F-",IF(P242&lt;'PlayerGrades+'!$AG$20,"F",IF(P242&lt;'PlayerGrades+'!$AG$19,"F+",IF(P242&lt;'PlayerGrades+'!$AG$18,"E-",IF(P242&lt;'PlayerGrades+'!$AG$17,"E",IF(P242&lt;'PlayerGrades+'!$AG$16,"E+",IF(P242&lt;'PlayerGrades+'!$AG$15,"D-",IF(P242&lt;'PlayerGrades+'!$AG$14,"D",IF(P242&lt;'PlayerGrades+'!$AG$13,"D+",IF(P242&lt;'PlayerGrades+'!$AG$12,"C-",IF(P242&lt;'PlayerGrades+'!$AG$11,"C",IF(P242&lt;'PlayerGrades+'!$AG$10,"C+",IF(P242&lt;'PlayerGrades+'!$AG$9,"B-",IF(P242&lt;'PlayerGrades+'!$AG$8,"B",IF(P242&lt;'PlayerGrades+'!$AG$7,"B+",IF(P242&lt;'PlayerGrades+'!$AG$6,"A-",IF(P242&lt;'PlayerGrades+'!$AG$5,"A",IF(P242&lt;'PlayerGrades+'!$AG$4,"A+",IF(P242&lt;'PlayerGrades+'!$AG$3,"S-",IF(P242&lt;'PlayerGrades+'!$AG$2,"S","S+"))))))))))))))))))))</f>
        <v>F</v>
      </c>
      <c r="R242" s="937">
        <f t="shared" si="8"/>
        <v>0.2004008016</v>
      </c>
      <c r="S242" s="937" t="str">
        <f>IF(R242&lt;'PlayerGrades+'!$AH$21,"F-",IF(R242&lt;'PlayerGrades+'!$AH$20,"F",IF(R242&lt;'PlayerGrades+'!$AH$19,"F+",IF(R242&lt;'PlayerGrades+'!$AH$18,"E-",IF(R242&lt;'PlayerGrades+'!$AH$17,"E",IF(R242&lt;'PlayerGrades+'!$AH$16,"E+",IF(R242&lt;'PlayerGrades+'!$AH$15,"D-",IF(R242&lt;'PlayerGrades+'!$AH$14,"D",IF(R242&lt;'PlayerGrades+'!$AH$13,"D+",IF(R242&lt;'PlayerGrades+'!$AH$12,"C-",IF(R242&lt;'PlayerGrades+'!$AH$11,"C",IF(R242&lt;'PlayerGrades+'!$AH$10,"C+",IF(R242&lt;'PlayerGrades+'!$AH$9,"B-",IF(R242&lt;'PlayerGrades+'!$AH$8,"B",IF(R242&lt;'PlayerGrades+'!$AH$7,"B+",IF(R242&lt;'PlayerGrades+'!$AH$6,"A-",IF(R242&lt;'PlayerGrades+'!$AH$5,"A",IF(R242&lt;'PlayerGrades+'!$AH$4,"A+",IF(R242&lt;'PlayerGrades+'!$AH$3,"S-",IF(R242&lt;'PlayerGrades+'!$AH$2,"S","S+"))))))))))))))))))))</f>
        <v>F-</v>
      </c>
      <c r="T242" s="937">
        <f t="shared" si="9"/>
        <v>1.360721443</v>
      </c>
      <c r="U242" s="937" t="str">
        <f>IF(T242&lt;'PlayerGrades+'!$AI$21,"F-",IF(T242&lt;'PlayerGrades+'!$AI$20,"F",IF(T242&lt;'PlayerGrades+'!$AI$19,"F+",IF(T242&lt;'PlayerGrades+'!$AI$18,"E-",IF(T242&lt;'PlayerGrades+'!$AI$17,"E",IF(T242&lt;'PlayerGrades+'!$AI$16,"E+",IF(T242&lt;'PlayerGrades+'!$AI$15,"D-",IF(T242&lt;'PlayerGrades+'!$AI$14,"D",IF(T242&lt;'PlayerGrades+'!$AI$13,"D+",IF(T242&lt;'PlayerGrades+'!$AI$12,"C-",IF(T242&lt;'PlayerGrades+'!$AI$11,"C",IF(T242&lt;'PlayerGrades+'!$AI$10,"C+",IF(T242&lt;'PlayerGrades+'!$AI$9,"B-",IF(T242&lt;'PlayerGrades+'!$AI$8,"B",IF(T242&lt;'PlayerGrades+'!$AI$7,"B+",IF(T242&lt;'PlayerGrades+'!$AI$6,"A-",IF(T242&lt;'PlayerGrades+'!$AI$5,"A",IF(T242&lt;'PlayerGrades+'!$AI$4,"A+",IF(T242&lt;'PlayerGrades+'!$AI$3,"S-",IF(T242&lt;'PlayerGrades+'!$AI$2,"S","S+"))))))))))))))))))))</f>
        <v>B</v>
      </c>
      <c r="V242" s="939">
        <v>1.0</v>
      </c>
      <c r="W242" s="939">
        <v>1.0</v>
      </c>
      <c r="X242" s="939">
        <v>0.0</v>
      </c>
      <c r="Y242" s="939">
        <v>5.0</v>
      </c>
      <c r="Z242" s="939">
        <v>8.0</v>
      </c>
      <c r="AA242" s="939">
        <v>54.0</v>
      </c>
      <c r="AB242" s="939">
        <v>80.0</v>
      </c>
      <c r="AC242" s="939">
        <v>-26.0</v>
      </c>
      <c r="AD242" s="939">
        <v>2.0</v>
      </c>
      <c r="AE242" s="939">
        <v>3.0</v>
      </c>
      <c r="AF242" s="939">
        <v>1.0</v>
      </c>
      <c r="AG242" s="939">
        <v>1166.0</v>
      </c>
      <c r="AH242" s="939">
        <v>1497.0</v>
      </c>
      <c r="AI242" s="939">
        <v>14.0</v>
      </c>
      <c r="AJ242" s="939">
        <v>477.0</v>
      </c>
      <c r="AK242" s="939">
        <v>0.0</v>
      </c>
      <c r="AL242" s="939">
        <v>0.0</v>
      </c>
      <c r="AM242" s="939">
        <v>0.0</v>
      </c>
      <c r="AN242" s="939">
        <v>0.0</v>
      </c>
      <c r="AO242" s="939">
        <v>0.0</v>
      </c>
      <c r="AP242" s="939">
        <v>0.0</v>
      </c>
      <c r="AQ242" s="939">
        <v>0.0</v>
      </c>
      <c r="AR242" s="939">
        <v>5.0</v>
      </c>
      <c r="AS242" s="939">
        <v>1.0</v>
      </c>
      <c r="AT242" s="939">
        <v>0.0</v>
      </c>
      <c r="AU242" s="939">
        <v>0.0</v>
      </c>
      <c r="AV242" s="939">
        <v>0.0</v>
      </c>
      <c r="AW242" s="939">
        <v>0.0</v>
      </c>
      <c r="AX242" s="939">
        <v>0.0</v>
      </c>
      <c r="AY242" s="939">
        <v>0.0</v>
      </c>
      <c r="AZ242" s="939">
        <v>0.0</v>
      </c>
      <c r="BA242" s="939">
        <v>0.0</v>
      </c>
      <c r="BB242" s="939">
        <v>1.0</v>
      </c>
      <c r="BC242" s="939">
        <v>0.0</v>
      </c>
      <c r="BD242" s="939">
        <v>3.0</v>
      </c>
      <c r="BE242" s="939">
        <v>9.0</v>
      </c>
      <c r="BF242" s="939">
        <v>1.0</v>
      </c>
      <c r="BG242" s="940">
        <v>1.0</v>
      </c>
    </row>
    <row r="243">
      <c r="A243" s="935" t="s">
        <v>145</v>
      </c>
      <c r="B243" s="16" t="str">
        <f>IF(C243&lt;'PlayerGrades+'!$Y$44,"F-",IF(C243&lt;'PlayerGrades+'!$Y$43,"F",IF(C243&lt;'PlayerGrades+'!$Y$42,"F+",IF(C243&lt;'PlayerGrades+'!$Y$41,"E-",IF(C243&lt;'PlayerGrades+'!$Y$40,"E",IF(C243&lt;'PlayerGrades+'!$Y$39,"E+",IF(C243&lt;'PlayerGrades+'!$Y$38,"D-",IF(C243&lt;'PlayerGrades+'!$Y$37,"D",IF(C243&lt;'PlayerGrades+'!$Y$36,"D+",IF(C243&lt;'PlayerGrades+'!$Y$35,"C-",IF(C243&lt;'PlayerGrades+'!$Y$34,"C",IF(C243&lt;'PlayerGrades+'!$Y$33,"C+",IF(C243&lt;'PlayerGrades+'!$Y$32,"B-",IF(C243&lt;'PlayerGrades+'!$Y$31,"B",IF(C243&lt;'PlayerGrades+'!$Y$30,"B+",IF(C243&lt;'PlayerGrades+'!$Y$29,"A-",IF(C243&lt;'PlayerGrades+'!$Y$28,"A",IF(C243&lt;'PlayerGrades+'!$Y$27,"A+",IF(C243&lt;'PlayerGrades+'!$Y$26,"S-",IF(C243&lt;'PlayerGrades+'!$Y$25,"S","S+"))))))))))))))))))))</f>
        <v>S+</v>
      </c>
      <c r="C243" s="936">
        <f>('PlayerGrades+'!$Y$47*(VLOOKUP(E243, 'PlayerGrades+'!$X$3:$Y$23, 2, FALSE)))+('PlayerGrades+'!$Y$48*(VLOOKUP(G243, 'PlayerGrades+'!$X$3:$Y$23, 2, FALSE)))+('PlayerGrades+'!$Y$49*(VLOOKUP(I243, 'PlayerGrades+'!$X$3:$Y$23, 2, FALSE)))+('PlayerGrades+'!$Y$50*(VLOOKUP(K243, 'PlayerGrades+'!$X$3:$Y$23, 2, FALSE)))+('PlayerGrades+'!$Y$51*(VLOOKUP(M243, 'PlayerGrades+'!$X$3:$Y$23, 2, FALSE)))+('PlayerGrades+'!$Y$52*(VLOOKUP(O243, 'PlayerGrades+'!$X$3:$Y$23, 2, FALSE)))+('PlayerGrades+'!$Y$53*(VLOOKUP(Q243, 'PlayerGrades+'!$X$3:$Y$23, 2, FALSE)))+('PlayerGrades+'!$Y$54*(VLOOKUP(S243, 'PlayerGrades+'!$X$3:$Y$23, 2, FALSE)))+('PlayerGrades+'!$Y$55*(VLOOKUP(U243, 'PlayerGrades+'!$X$3:$Y$23, 2, FALSE)))</f>
        <v>34</v>
      </c>
      <c r="D243" s="937">
        <f t="shared" si="1"/>
        <v>0.04008016032</v>
      </c>
      <c r="E243" s="937" t="str">
        <f>IF(D243&lt;'PlayerGrades+'!$AA$21,"F-",IF(D243&lt;'PlayerGrades+'!$AA$20,"F",IF(D243&lt;'PlayerGrades+'!$AA$19,"F+",IF(D243&lt;'PlayerGrades+'!$AA$18,"E-",IF(D243&lt;'PlayerGrades+'!$AA$17,"E",IF(D243&lt;'PlayerGrades+'!$AA$16,"E+",IF(D243&lt;'PlayerGrades+'!$AA$15,"D-",IF(D243&lt;'PlayerGrades+'!$AA$14,"D",IF(D243&lt;'PlayerGrades+'!$AA$13,"D+",IF(D243&lt;'PlayerGrades+'!$AA$12,"C-",IF(D243&lt;'PlayerGrades+'!$AA$11,"C",IF(D243&lt;'PlayerGrades+'!$AA$10,"C+",IF(D243&lt;'PlayerGrades+'!$AA$9,"B-",IF(D243&lt;'PlayerGrades+'!$AA$8,"B",IF(D243&lt;'PlayerGrades+'!$AA$7,"B+",IF(D243&lt;'PlayerGrades+'!$AA$6,"A-",IF(D243&lt;'PlayerGrades+'!$AA$5,"A",IF(D243&lt;'PlayerGrades+'!$AA$4,"A+",IF(D243&lt;'PlayerGrades+'!$AA$3,"S-",IF(D243&lt;'PlayerGrades+'!$AA$2,"S","S+"))))))))))))))))))))</f>
        <v>C</v>
      </c>
      <c r="F243" s="937">
        <f t="shared" si="2"/>
        <v>1.643286573</v>
      </c>
      <c r="G243" s="937" t="str">
        <f>IF(F243&lt;'PlayerGrades+'!$AB$21,"F-",IF(F243&lt;'PlayerGrades+'!$AB$20,"F",IF(F243&lt;'PlayerGrades+'!$AB$19,"F+",IF(F243&lt;'PlayerGrades+'!$AB$18,"E-",IF(F243&lt;'PlayerGrades+'!$AB$17,"E",IF(F243&lt;'PlayerGrades+'!$AB$16,"E+",IF(F243&lt;'PlayerGrades+'!$AB$15,"D-",IF(F243&lt;'PlayerGrades+'!$AB$14,"D",IF(F243&lt;'PlayerGrades+'!$AB$13,"D+",IF(F243&lt;'PlayerGrades+'!$AB$12,"C-",IF(F243&lt;'PlayerGrades+'!$AB$11,"C",IF(F243&lt;'PlayerGrades+'!$AB$10,"C+",IF(F243&lt;'PlayerGrades+'!$AB$9,"B-",IF(F243&lt;'PlayerGrades+'!$AB$8,"B",IF(F243&lt;'PlayerGrades+'!$AB$7,"B+",IF(F243&lt;'PlayerGrades+'!$AB$6,"A-",IF(F243&lt;'PlayerGrades+'!$AB$5,"A",IF(F243&lt;'PlayerGrades+'!$AB$4,"A+",IF(F243&lt;'PlayerGrades+'!$AB$3,"S-",IF(F243&lt;'PlayerGrades+'!$AB$2,"S","S+"))))))))))))))))))))</f>
        <v>S+</v>
      </c>
      <c r="H243" s="937">
        <f t="shared" si="3"/>
        <v>0.1603206413</v>
      </c>
      <c r="I243" s="937" t="str">
        <f>IF(H243&lt;'PlayerGrades+'!$AC$21,"F-",IF(H243&lt;'PlayerGrades+'!$AC$20,"F",IF(H243&lt;'PlayerGrades+'!$AC$19,"F+",IF(H243&lt;'PlayerGrades+'!$AC$18,"E-",IF(H243&lt;'PlayerGrades+'!$AC$17,"E",IF(H243&lt;'PlayerGrades+'!$AC$16,"E+",IF(H243&lt;'PlayerGrades+'!$AC$15,"D-",IF(H243&lt;'PlayerGrades+'!$AC$14,"D",IF(H243&lt;'PlayerGrades+'!$AC$13,"D+",IF(H243&lt;'PlayerGrades+'!$AC$12,"C-",IF(H243&lt;'PlayerGrades+'!$AC$11,"C",IF(H243&lt;'PlayerGrades+'!$AC$10,"C+",IF(H243&lt;'PlayerGrades+'!$AC$9,"B-",IF(H243&lt;'PlayerGrades+'!$AC$8,"B",IF(H243&lt;'PlayerGrades+'!$AC$7,"B+",IF(H243&lt;'PlayerGrades+'!$AC$6,"A-",IF(H243&lt;'PlayerGrades+'!$AC$5,"A",IF(H243&lt;'PlayerGrades+'!$AC$4,"A+",IF(H243&lt;'PlayerGrades+'!$AC$3,"S-",IF(H243&lt;'PlayerGrades+'!$AC$2,"S","S+"))))))))))))))))))))</f>
        <v>A</v>
      </c>
      <c r="J243" s="937">
        <f t="shared" si="4"/>
        <v>0.2404809619</v>
      </c>
      <c r="K243" s="937" t="str">
        <f>IF(J243&lt;'PlayerGrades+'!$AD$21,"F-",IF(J243&lt;'PlayerGrades+'!$AD$20,"F",IF(J243&lt;'PlayerGrades+'!$AD$19,"F+",IF(J243&lt;'PlayerGrades+'!$AD$18,"E-",IF(J243&lt;'PlayerGrades+'!$AD$17,"E",IF(J243&lt;'PlayerGrades+'!$AD$16,"E+",IF(J243&lt;'PlayerGrades+'!$AD$15,"D-",IF(J243&lt;'PlayerGrades+'!$AD$14,"D",IF(J243&lt;'PlayerGrades+'!$AD$13,"D+",IF(J243&lt;'PlayerGrades+'!$AD$12,"C-",IF(J243&lt;'PlayerGrades+'!$AD$11,"C",IF(J243&lt;'PlayerGrades+'!$AD$10,"C+",IF(J243&lt;'PlayerGrades+'!$AD$9,"B-",IF(J243&lt;'PlayerGrades+'!$AD$8,"B",IF(J243&lt;'PlayerGrades+'!$AD$7,"B+",IF(J243&lt;'PlayerGrades+'!$AD$6,"A-",IF(J243&lt;'PlayerGrades+'!$AD$5,"A",IF(J243&lt;'PlayerGrades+'!$AD$4,"A+",IF(J243&lt;'PlayerGrades+'!$AD$3,"S-",IF(J243&lt;'PlayerGrades+'!$AD$2,"S","S+"))))))))))))))))))))</f>
        <v>S+</v>
      </c>
      <c r="L243" s="677">
        <f t="shared" si="5"/>
        <v>0.9218436874</v>
      </c>
      <c r="M243" s="938" t="str">
        <f>IF(L243&lt;'PlayerGrades+'!$AE$21,"F-",IF(L243&lt;'PlayerGrades+'!$AE$20,"F",IF(L243&lt;'PlayerGrades+'!$AE$19,"F+",IF(L243&lt;'PlayerGrades+'!$AE$18,"E-",IF(L243&lt;'PlayerGrades+'!$AE$17,"E",IF(L243&lt;'PlayerGrades+'!$AE$16,"E+",IF(L243&lt;'PlayerGrades+'!$AE$15,"D-",IF(L243&lt;'PlayerGrades+'!$AE$14,"D",IF(L243&lt;'PlayerGrades+'!$AE$13,"D+",IF(L243&lt;'PlayerGrades+'!$AE$12,"C-",IF(L243&lt;'PlayerGrades+'!$AE$11,"C",IF(L243&lt;'PlayerGrades+'!$AE$10,"C+",IF(L243&lt;'PlayerGrades+'!$AE$9,"B-",IF(L243&lt;'PlayerGrades+'!$AE$8,"B",IF(L243&lt;'PlayerGrades+'!$AE$7,"B+",IF(L243&lt;'PlayerGrades+'!$AE$6,"A-",IF(L243&lt;'PlayerGrades+'!$AE$5,"A",IF(L243&lt;'PlayerGrades+'!$AE$4,"A+",IF(L243&lt;'PlayerGrades+'!$AE$3,"S-",IF(L243&lt;'PlayerGrades+'!$AE$2,"S","S+"))))))))))))))))))))</f>
        <v>S+</v>
      </c>
      <c r="N243" s="937">
        <f t="shared" si="6"/>
        <v>0.2805611222</v>
      </c>
      <c r="O243" s="937" t="str">
        <f>IF(N243&lt;'PlayerGrades+'!$AF$21,"F-",IF(N243&lt;'PlayerGrades+'!$AF$20,"F",IF(N243&lt;'PlayerGrades+'!$AF$19,"F+",IF(N243&lt;'PlayerGrades+'!$AF$18,"E-",IF(N243&lt;'PlayerGrades+'!$AF$17,"E",IF(N243&lt;'PlayerGrades+'!$AF$16,"E+",IF(N243&lt;'PlayerGrades+'!$AF$15,"D-",IF(N243&lt;'PlayerGrades+'!$AF$14,"D",IF(N243&lt;'PlayerGrades+'!$AF$13,"D+",IF(N243&lt;'PlayerGrades+'!$AF$12,"C-",IF(N243&lt;'PlayerGrades+'!$AF$11,"C",IF(N243&lt;'PlayerGrades+'!$AF$10,"C+",IF(N243&lt;'PlayerGrades+'!$AF$9,"B-",IF(N243&lt;'PlayerGrades+'!$AF$8,"B",IF(N243&lt;'PlayerGrades+'!$AF$7,"B+",IF(N243&lt;'PlayerGrades+'!$AF$6,"A-",IF(N243&lt;'PlayerGrades+'!$AF$5,"A",IF(N243&lt;'PlayerGrades+'!$AF$4,"A+",IF(N243&lt;'PlayerGrades+'!$AF$3,"S-",IF(N243&lt;'PlayerGrades+'!$AF$2,"S","S+"))))))))))))))))))))</f>
        <v>S+</v>
      </c>
      <c r="P243" s="937">
        <f t="shared" si="7"/>
        <v>0.120240481</v>
      </c>
      <c r="Q243" s="937" t="str">
        <f>IF(P243&lt;'PlayerGrades+'!$AG$21,"F-",IF(P243&lt;'PlayerGrades+'!$AG$20,"F",IF(P243&lt;'PlayerGrades+'!$AG$19,"F+",IF(P243&lt;'PlayerGrades+'!$AG$18,"E-",IF(P243&lt;'PlayerGrades+'!$AG$17,"E",IF(P243&lt;'PlayerGrades+'!$AG$16,"E+",IF(P243&lt;'PlayerGrades+'!$AG$15,"D-",IF(P243&lt;'PlayerGrades+'!$AG$14,"D",IF(P243&lt;'PlayerGrades+'!$AG$13,"D+",IF(P243&lt;'PlayerGrades+'!$AG$12,"C-",IF(P243&lt;'PlayerGrades+'!$AG$11,"C",IF(P243&lt;'PlayerGrades+'!$AG$10,"C+",IF(P243&lt;'PlayerGrades+'!$AG$9,"B-",IF(P243&lt;'PlayerGrades+'!$AG$8,"B",IF(P243&lt;'PlayerGrades+'!$AG$7,"B+",IF(P243&lt;'PlayerGrades+'!$AG$6,"A-",IF(P243&lt;'PlayerGrades+'!$AG$5,"A",IF(P243&lt;'PlayerGrades+'!$AG$4,"A+",IF(P243&lt;'PlayerGrades+'!$AG$3,"S-",IF(P243&lt;'PlayerGrades+'!$AG$2,"S","S+"))))))))))))))))))))</f>
        <v>S+</v>
      </c>
      <c r="R243" s="937">
        <f t="shared" si="8"/>
        <v>1.002004008</v>
      </c>
      <c r="S243" s="937" t="str">
        <f>IF(R243&lt;'PlayerGrades+'!$AH$21,"F-",IF(R243&lt;'PlayerGrades+'!$AH$20,"F",IF(R243&lt;'PlayerGrades+'!$AH$19,"F+",IF(R243&lt;'PlayerGrades+'!$AH$18,"E-",IF(R243&lt;'PlayerGrades+'!$AH$17,"E",IF(R243&lt;'PlayerGrades+'!$AH$16,"E+",IF(R243&lt;'PlayerGrades+'!$AH$15,"D-",IF(R243&lt;'PlayerGrades+'!$AH$14,"D",IF(R243&lt;'PlayerGrades+'!$AH$13,"D+",IF(R243&lt;'PlayerGrades+'!$AH$12,"C-",IF(R243&lt;'PlayerGrades+'!$AH$11,"C",IF(R243&lt;'PlayerGrades+'!$AH$10,"C+",IF(R243&lt;'PlayerGrades+'!$AH$9,"B-",IF(R243&lt;'PlayerGrades+'!$AH$8,"B",IF(R243&lt;'PlayerGrades+'!$AH$7,"B+",IF(R243&lt;'PlayerGrades+'!$AH$6,"A-",IF(R243&lt;'PlayerGrades+'!$AH$5,"A",IF(R243&lt;'PlayerGrades+'!$AH$4,"A+",IF(R243&lt;'PlayerGrades+'!$AH$3,"S-",IF(R243&lt;'PlayerGrades+'!$AH$2,"S","S+"))))))))))))))))))))</f>
        <v>S+</v>
      </c>
      <c r="T243" s="937">
        <f t="shared" si="9"/>
        <v>1.440881764</v>
      </c>
      <c r="U243" s="937" t="str">
        <f>IF(T243&lt;'PlayerGrades+'!$AI$21,"F-",IF(T243&lt;'PlayerGrades+'!$AI$20,"F",IF(T243&lt;'PlayerGrades+'!$AI$19,"F+",IF(T243&lt;'PlayerGrades+'!$AI$18,"E-",IF(T243&lt;'PlayerGrades+'!$AI$17,"E",IF(T243&lt;'PlayerGrades+'!$AI$16,"E+",IF(T243&lt;'PlayerGrades+'!$AI$15,"D-",IF(T243&lt;'PlayerGrades+'!$AI$14,"D",IF(T243&lt;'PlayerGrades+'!$AI$13,"D+",IF(T243&lt;'PlayerGrades+'!$AI$12,"C-",IF(T243&lt;'PlayerGrades+'!$AI$11,"C",IF(T243&lt;'PlayerGrades+'!$AI$10,"C+",IF(T243&lt;'PlayerGrades+'!$AI$9,"B-",IF(T243&lt;'PlayerGrades+'!$AI$8,"B",IF(T243&lt;'PlayerGrades+'!$AI$7,"B+",IF(T243&lt;'PlayerGrades+'!$AI$6,"A-",IF(T243&lt;'PlayerGrades+'!$AI$5,"A",IF(T243&lt;'PlayerGrades+'!$AI$4,"A+",IF(T243&lt;'PlayerGrades+'!$AI$3,"S-",IF(T243&lt;'PlayerGrades+'!$AI$2,"S","S+"))))))))))))))))))))</f>
        <v>B+</v>
      </c>
      <c r="V243" s="941">
        <v>1.0</v>
      </c>
      <c r="W243" s="941">
        <v>1.0</v>
      </c>
      <c r="X243" s="941">
        <v>0.0</v>
      </c>
      <c r="Y243" s="941">
        <v>0.0</v>
      </c>
      <c r="Z243" s="941">
        <v>1.0</v>
      </c>
      <c r="AA243" s="941">
        <v>122.0</v>
      </c>
      <c r="AB243" s="941">
        <v>81.0</v>
      </c>
      <c r="AC243" s="941">
        <v>41.0</v>
      </c>
      <c r="AD243" s="941">
        <v>8.0</v>
      </c>
      <c r="AE243" s="941">
        <v>6.0</v>
      </c>
      <c r="AF243" s="941">
        <v>3.0</v>
      </c>
      <c r="AG243" s="941">
        <v>1161.0</v>
      </c>
      <c r="AH243" s="941">
        <v>1497.0</v>
      </c>
      <c r="AI243" s="941">
        <v>14.0</v>
      </c>
      <c r="AJ243" s="941">
        <v>28.0</v>
      </c>
      <c r="AK243" s="941">
        <v>0.0</v>
      </c>
      <c r="AL243" s="941">
        <v>6.0</v>
      </c>
      <c r="AM243" s="941">
        <v>0.0</v>
      </c>
      <c r="AN243" s="941">
        <v>0.0</v>
      </c>
      <c r="AO243" s="941">
        <v>0.0</v>
      </c>
      <c r="AP243" s="941">
        <v>3.0</v>
      </c>
      <c r="AQ243" s="941">
        <v>0.0</v>
      </c>
      <c r="AR243" s="941">
        <v>23.0</v>
      </c>
      <c r="AS243" s="941">
        <v>7.0</v>
      </c>
      <c r="AT243" s="941">
        <v>2.0</v>
      </c>
      <c r="AU243" s="941">
        <v>1.0</v>
      </c>
      <c r="AV243" s="941">
        <v>0.0</v>
      </c>
      <c r="AW243" s="941">
        <v>0.0</v>
      </c>
      <c r="AX243" s="941">
        <v>0.0</v>
      </c>
      <c r="AY243" s="941">
        <v>0.0</v>
      </c>
      <c r="AZ243" s="941">
        <v>0.0</v>
      </c>
      <c r="BA243" s="941">
        <v>0.0</v>
      </c>
      <c r="BB243" s="941">
        <v>4.0</v>
      </c>
      <c r="BC243" s="941">
        <v>0.0</v>
      </c>
      <c r="BD243" s="941">
        <v>17.0</v>
      </c>
      <c r="BE243" s="941">
        <v>11.0</v>
      </c>
      <c r="BF243" s="941">
        <v>1.0</v>
      </c>
      <c r="BG243" s="942">
        <v>1.0</v>
      </c>
    </row>
    <row r="244">
      <c r="A244" s="935" t="s">
        <v>131</v>
      </c>
      <c r="B244" s="16" t="str">
        <f>IF(C244&lt;'PlayerGrades+'!$Y$44,"F-",IF(C244&lt;'PlayerGrades+'!$Y$43,"F",IF(C244&lt;'PlayerGrades+'!$Y$42,"F+",IF(C244&lt;'PlayerGrades+'!$Y$41,"E-",IF(C244&lt;'PlayerGrades+'!$Y$40,"E",IF(C244&lt;'PlayerGrades+'!$Y$39,"E+",IF(C244&lt;'PlayerGrades+'!$Y$38,"D-",IF(C244&lt;'PlayerGrades+'!$Y$37,"D",IF(C244&lt;'PlayerGrades+'!$Y$36,"D+",IF(C244&lt;'PlayerGrades+'!$Y$35,"C-",IF(C244&lt;'PlayerGrades+'!$Y$34,"C",IF(C244&lt;'PlayerGrades+'!$Y$33,"C+",IF(C244&lt;'PlayerGrades+'!$Y$32,"B-",IF(C244&lt;'PlayerGrades+'!$Y$31,"B",IF(C244&lt;'PlayerGrades+'!$Y$30,"B+",IF(C244&lt;'PlayerGrades+'!$Y$29,"A-",IF(C244&lt;'PlayerGrades+'!$Y$28,"A",IF(C244&lt;'PlayerGrades+'!$Y$27,"A+",IF(C244&lt;'PlayerGrades+'!$Y$26,"S-",IF(C244&lt;'PlayerGrades+'!$Y$25,"S","S+"))))))))))))))))))))</f>
        <v>D-</v>
      </c>
      <c r="C244" s="936">
        <f>('PlayerGrades+'!$Y$47*(VLOOKUP(E244, 'PlayerGrades+'!$X$3:$Y$23, 2, FALSE)))+('PlayerGrades+'!$Y$48*(VLOOKUP(G244, 'PlayerGrades+'!$X$3:$Y$23, 2, FALSE)))+('PlayerGrades+'!$Y$49*(VLOOKUP(I244, 'PlayerGrades+'!$X$3:$Y$23, 2, FALSE)))+('PlayerGrades+'!$Y$50*(VLOOKUP(K244, 'PlayerGrades+'!$X$3:$Y$23, 2, FALSE)))+('PlayerGrades+'!$Y$51*(VLOOKUP(M244, 'PlayerGrades+'!$X$3:$Y$23, 2, FALSE)))+('PlayerGrades+'!$Y$52*(VLOOKUP(O244, 'PlayerGrades+'!$X$3:$Y$23, 2, FALSE)))+('PlayerGrades+'!$Y$53*(VLOOKUP(Q244, 'PlayerGrades+'!$X$3:$Y$23, 2, FALSE)))+('PlayerGrades+'!$Y$54*(VLOOKUP(S244, 'PlayerGrades+'!$X$3:$Y$23, 2, FALSE)))+('PlayerGrades+'!$Y$55*(VLOOKUP(U244, 'PlayerGrades+'!$X$3:$Y$23, 2, FALSE)))</f>
        <v>15.25</v>
      </c>
      <c r="D244" s="937">
        <f t="shared" si="1"/>
        <v>0</v>
      </c>
      <c r="E244" s="937" t="str">
        <f>IF(D244&lt;'PlayerGrades+'!$AA$21,"F-",IF(D244&lt;'PlayerGrades+'!$AA$20,"F",IF(D244&lt;'PlayerGrades+'!$AA$19,"F+",IF(D244&lt;'PlayerGrades+'!$AA$18,"E-",IF(D244&lt;'PlayerGrades+'!$AA$17,"E",IF(D244&lt;'PlayerGrades+'!$AA$16,"E+",IF(D244&lt;'PlayerGrades+'!$AA$15,"D-",IF(D244&lt;'PlayerGrades+'!$AA$14,"D",IF(D244&lt;'PlayerGrades+'!$AA$13,"D+",IF(D244&lt;'PlayerGrades+'!$AA$12,"C-",IF(D244&lt;'PlayerGrades+'!$AA$11,"C",IF(D244&lt;'PlayerGrades+'!$AA$10,"C+",IF(D244&lt;'PlayerGrades+'!$AA$9,"B-",IF(D244&lt;'PlayerGrades+'!$AA$8,"B",IF(D244&lt;'PlayerGrades+'!$AA$7,"B+",IF(D244&lt;'PlayerGrades+'!$AA$6,"A-",IF(D244&lt;'PlayerGrades+'!$AA$5,"A",IF(D244&lt;'PlayerGrades+'!$AA$4,"A+",IF(D244&lt;'PlayerGrades+'!$AA$3,"S-",IF(D244&lt;'PlayerGrades+'!$AA$2,"S","S+"))))))))))))))))))))</f>
        <v>F-</v>
      </c>
      <c r="F244" s="937">
        <f t="shared" si="2"/>
        <v>-0.2404809619</v>
      </c>
      <c r="G244" s="937" t="str">
        <f>IF(F244&lt;'PlayerGrades+'!$AB$21,"F-",IF(F244&lt;'PlayerGrades+'!$AB$20,"F",IF(F244&lt;'PlayerGrades+'!$AB$19,"F+",IF(F244&lt;'PlayerGrades+'!$AB$18,"E-",IF(F244&lt;'PlayerGrades+'!$AB$17,"E",IF(F244&lt;'PlayerGrades+'!$AB$16,"E+",IF(F244&lt;'PlayerGrades+'!$AB$15,"D-",IF(F244&lt;'PlayerGrades+'!$AB$14,"D",IF(F244&lt;'PlayerGrades+'!$AB$13,"D+",IF(F244&lt;'PlayerGrades+'!$AB$12,"C-",IF(F244&lt;'PlayerGrades+'!$AB$11,"C",IF(F244&lt;'PlayerGrades+'!$AB$10,"C+",IF(F244&lt;'PlayerGrades+'!$AB$9,"B-",IF(F244&lt;'PlayerGrades+'!$AB$8,"B",IF(F244&lt;'PlayerGrades+'!$AB$7,"B+",IF(F244&lt;'PlayerGrades+'!$AB$6,"A-",IF(F244&lt;'PlayerGrades+'!$AB$5,"A",IF(F244&lt;'PlayerGrades+'!$AB$4,"A+",IF(F244&lt;'PlayerGrades+'!$AB$3,"S-",IF(F244&lt;'PlayerGrades+'!$AB$2,"S","S+"))))))))))))))))))))</f>
        <v>C+</v>
      </c>
      <c r="H244" s="937">
        <f t="shared" si="3"/>
        <v>0.08016032064</v>
      </c>
      <c r="I244" s="937" t="str">
        <f>IF(H244&lt;'PlayerGrades+'!$AC$21,"F-",IF(H244&lt;'PlayerGrades+'!$AC$20,"F",IF(H244&lt;'PlayerGrades+'!$AC$19,"F+",IF(H244&lt;'PlayerGrades+'!$AC$18,"E-",IF(H244&lt;'PlayerGrades+'!$AC$17,"E",IF(H244&lt;'PlayerGrades+'!$AC$16,"E+",IF(H244&lt;'PlayerGrades+'!$AC$15,"D-",IF(H244&lt;'PlayerGrades+'!$AC$14,"D",IF(H244&lt;'PlayerGrades+'!$AC$13,"D+",IF(H244&lt;'PlayerGrades+'!$AC$12,"C-",IF(H244&lt;'PlayerGrades+'!$AC$11,"C",IF(H244&lt;'PlayerGrades+'!$AC$10,"C+",IF(H244&lt;'PlayerGrades+'!$AC$9,"B-",IF(H244&lt;'PlayerGrades+'!$AC$8,"B",IF(H244&lt;'PlayerGrades+'!$AC$7,"B+",IF(H244&lt;'PlayerGrades+'!$AC$6,"A-",IF(H244&lt;'PlayerGrades+'!$AC$5,"A",IF(H244&lt;'PlayerGrades+'!$AC$4,"A+",IF(H244&lt;'PlayerGrades+'!$AC$3,"S-",IF(H244&lt;'PlayerGrades+'!$AC$2,"S","S+"))))))))))))))))))))</f>
        <v>D-</v>
      </c>
      <c r="J244" s="937">
        <f t="shared" si="4"/>
        <v>0</v>
      </c>
      <c r="K244" s="937" t="str">
        <f>IF(J244&lt;'PlayerGrades+'!$AD$21,"F-",IF(J244&lt;'PlayerGrades+'!$AD$20,"F",IF(J244&lt;'PlayerGrades+'!$AD$19,"F+",IF(J244&lt;'PlayerGrades+'!$AD$18,"E-",IF(J244&lt;'PlayerGrades+'!$AD$17,"E",IF(J244&lt;'PlayerGrades+'!$AD$16,"E+",IF(J244&lt;'PlayerGrades+'!$AD$15,"D-",IF(J244&lt;'PlayerGrades+'!$AD$14,"D",IF(J244&lt;'PlayerGrades+'!$AD$13,"D+",IF(J244&lt;'PlayerGrades+'!$AD$12,"C-",IF(J244&lt;'PlayerGrades+'!$AD$11,"C",IF(J244&lt;'PlayerGrades+'!$AD$10,"C+",IF(J244&lt;'PlayerGrades+'!$AD$9,"B-",IF(J244&lt;'PlayerGrades+'!$AD$8,"B",IF(J244&lt;'PlayerGrades+'!$AD$7,"B+",IF(J244&lt;'PlayerGrades+'!$AD$6,"A-",IF(J244&lt;'PlayerGrades+'!$AD$5,"A",IF(J244&lt;'PlayerGrades+'!$AD$4,"A+",IF(J244&lt;'PlayerGrades+'!$AD$3,"S-",IF(J244&lt;'PlayerGrades+'!$AD$2,"S","S+"))))))))))))))))))))</f>
        <v>F-</v>
      </c>
      <c r="L244" s="677">
        <f t="shared" si="5"/>
        <v>0.2805611222</v>
      </c>
      <c r="M244" s="938" t="str">
        <f>IF(L244&lt;'PlayerGrades+'!$AE$21,"F-",IF(L244&lt;'PlayerGrades+'!$AE$20,"F",IF(L244&lt;'PlayerGrades+'!$AE$19,"F+",IF(L244&lt;'PlayerGrades+'!$AE$18,"E-",IF(L244&lt;'PlayerGrades+'!$AE$17,"E",IF(L244&lt;'PlayerGrades+'!$AE$16,"E+",IF(L244&lt;'PlayerGrades+'!$AE$15,"D-",IF(L244&lt;'PlayerGrades+'!$AE$14,"D",IF(L244&lt;'PlayerGrades+'!$AE$13,"D+",IF(L244&lt;'PlayerGrades+'!$AE$12,"C-",IF(L244&lt;'PlayerGrades+'!$AE$11,"C",IF(L244&lt;'PlayerGrades+'!$AE$10,"C+",IF(L244&lt;'PlayerGrades+'!$AE$9,"B-",IF(L244&lt;'PlayerGrades+'!$AE$8,"B",IF(L244&lt;'PlayerGrades+'!$AE$7,"B+",IF(L244&lt;'PlayerGrades+'!$AE$6,"A-",IF(L244&lt;'PlayerGrades+'!$AE$5,"A",IF(L244&lt;'PlayerGrades+'!$AE$4,"A+",IF(L244&lt;'PlayerGrades+'!$AE$3,"S-",IF(L244&lt;'PlayerGrades+'!$AE$2,"S","S+"))))))))))))))))))))</f>
        <v>F+</v>
      </c>
      <c r="N244" s="937">
        <f t="shared" si="6"/>
        <v>0.04008016032</v>
      </c>
      <c r="O244" s="937" t="str">
        <f>IF(N244&lt;'PlayerGrades+'!$AF$21,"F-",IF(N244&lt;'PlayerGrades+'!$AF$20,"F",IF(N244&lt;'PlayerGrades+'!$AF$19,"F+",IF(N244&lt;'PlayerGrades+'!$AF$18,"E-",IF(N244&lt;'PlayerGrades+'!$AF$17,"E",IF(N244&lt;'PlayerGrades+'!$AF$16,"E+",IF(N244&lt;'PlayerGrades+'!$AF$15,"D-",IF(N244&lt;'PlayerGrades+'!$AF$14,"D",IF(N244&lt;'PlayerGrades+'!$AF$13,"D+",IF(N244&lt;'PlayerGrades+'!$AF$12,"C-",IF(N244&lt;'PlayerGrades+'!$AF$11,"C",IF(N244&lt;'PlayerGrades+'!$AF$10,"C+",IF(N244&lt;'PlayerGrades+'!$AF$9,"B-",IF(N244&lt;'PlayerGrades+'!$AF$8,"B",IF(N244&lt;'PlayerGrades+'!$AF$7,"B+",IF(N244&lt;'PlayerGrades+'!$AF$6,"A-",IF(N244&lt;'PlayerGrades+'!$AF$5,"A",IF(N244&lt;'PlayerGrades+'!$AF$4,"A+",IF(N244&lt;'PlayerGrades+'!$AF$3,"S-",IF(N244&lt;'PlayerGrades+'!$AF$2,"S","S+"))))))))))))))))))))</f>
        <v>E-</v>
      </c>
      <c r="P244" s="937">
        <f t="shared" si="7"/>
        <v>0</v>
      </c>
      <c r="Q244" s="937" t="str">
        <f>IF(P244&lt;'PlayerGrades+'!$AG$21,"F-",IF(P244&lt;'PlayerGrades+'!$AG$20,"F",IF(P244&lt;'PlayerGrades+'!$AG$19,"F+",IF(P244&lt;'PlayerGrades+'!$AG$18,"E-",IF(P244&lt;'PlayerGrades+'!$AG$17,"E",IF(P244&lt;'PlayerGrades+'!$AG$16,"E+",IF(P244&lt;'PlayerGrades+'!$AG$15,"D-",IF(P244&lt;'PlayerGrades+'!$AG$14,"D",IF(P244&lt;'PlayerGrades+'!$AG$13,"D+",IF(P244&lt;'PlayerGrades+'!$AG$12,"C-",IF(P244&lt;'PlayerGrades+'!$AG$11,"C",IF(P244&lt;'PlayerGrades+'!$AG$10,"C+",IF(P244&lt;'PlayerGrades+'!$AG$9,"B-",IF(P244&lt;'PlayerGrades+'!$AG$8,"B",IF(P244&lt;'PlayerGrades+'!$AG$7,"B+",IF(P244&lt;'PlayerGrades+'!$AG$6,"A-",IF(P244&lt;'PlayerGrades+'!$AG$5,"A",IF(P244&lt;'PlayerGrades+'!$AG$4,"A+",IF(P244&lt;'PlayerGrades+'!$AG$3,"S-",IF(P244&lt;'PlayerGrades+'!$AG$2,"S","S+"))))))))))))))))))))</f>
        <v>F</v>
      </c>
      <c r="R244" s="937">
        <f t="shared" si="8"/>
        <v>0.6813627255</v>
      </c>
      <c r="S244" s="937" t="str">
        <f>IF(R244&lt;'PlayerGrades+'!$AH$21,"F-",IF(R244&lt;'PlayerGrades+'!$AH$20,"F",IF(R244&lt;'PlayerGrades+'!$AH$19,"F+",IF(R244&lt;'PlayerGrades+'!$AH$18,"E-",IF(R244&lt;'PlayerGrades+'!$AH$17,"E",IF(R244&lt;'PlayerGrades+'!$AH$16,"E+",IF(R244&lt;'PlayerGrades+'!$AH$15,"D-",IF(R244&lt;'PlayerGrades+'!$AH$14,"D",IF(R244&lt;'PlayerGrades+'!$AH$13,"D+",IF(R244&lt;'PlayerGrades+'!$AH$12,"C-",IF(R244&lt;'PlayerGrades+'!$AH$11,"C",IF(R244&lt;'PlayerGrades+'!$AH$10,"C+",IF(R244&lt;'PlayerGrades+'!$AH$9,"B-",IF(R244&lt;'PlayerGrades+'!$AH$8,"B",IF(R244&lt;'PlayerGrades+'!$AH$7,"B+",IF(R244&lt;'PlayerGrades+'!$AH$6,"A-",IF(R244&lt;'PlayerGrades+'!$AH$5,"A",IF(R244&lt;'PlayerGrades+'!$AH$4,"A+",IF(R244&lt;'PlayerGrades+'!$AH$3,"S-",IF(R244&lt;'PlayerGrades+'!$AH$2,"S","S+"))))))))))))))))))))</f>
        <v>S-</v>
      </c>
      <c r="T244" s="937">
        <f t="shared" si="9"/>
        <v>2.200400802</v>
      </c>
      <c r="U244" s="937" t="str">
        <f>IF(T244&lt;'PlayerGrades+'!$AI$21,"F-",IF(T244&lt;'PlayerGrades+'!$AI$20,"F",IF(T244&lt;'PlayerGrades+'!$AI$19,"F+",IF(T244&lt;'PlayerGrades+'!$AI$18,"E-",IF(T244&lt;'PlayerGrades+'!$AI$17,"E",IF(T244&lt;'PlayerGrades+'!$AI$16,"E+",IF(T244&lt;'PlayerGrades+'!$AI$15,"D-",IF(T244&lt;'PlayerGrades+'!$AI$14,"D",IF(T244&lt;'PlayerGrades+'!$AI$13,"D+",IF(T244&lt;'PlayerGrades+'!$AI$12,"C-",IF(T244&lt;'PlayerGrades+'!$AI$11,"C",IF(T244&lt;'PlayerGrades+'!$AI$10,"C+",IF(T244&lt;'PlayerGrades+'!$AI$9,"B-",IF(T244&lt;'PlayerGrades+'!$AI$8,"B",IF(T244&lt;'PlayerGrades+'!$AI$7,"B+",IF(T244&lt;'PlayerGrades+'!$AI$6,"A-",IF(T244&lt;'PlayerGrades+'!$AI$5,"A",IF(T244&lt;'PlayerGrades+'!$AI$4,"A+",IF(T244&lt;'PlayerGrades+'!$AI$3,"S-",IF(T244&lt;'PlayerGrades+'!$AI$2,"S","S+"))))))))))))))))))))</f>
        <v>S+</v>
      </c>
      <c r="V244" s="941">
        <v>1.0</v>
      </c>
      <c r="W244" s="941">
        <v>1.0</v>
      </c>
      <c r="X244" s="941">
        <v>0.0</v>
      </c>
      <c r="Y244" s="941">
        <v>0.0</v>
      </c>
      <c r="Z244" s="941">
        <v>0.0</v>
      </c>
      <c r="AA244" s="941">
        <v>71.0</v>
      </c>
      <c r="AB244" s="941">
        <v>77.0</v>
      </c>
      <c r="AC244" s="941">
        <v>-6.0</v>
      </c>
      <c r="AD244" s="941">
        <v>8.0</v>
      </c>
      <c r="AE244" s="941">
        <v>4.0</v>
      </c>
      <c r="AF244" s="941">
        <v>0.0</v>
      </c>
      <c r="AG244" s="941">
        <v>1164.0</v>
      </c>
      <c r="AH244" s="941">
        <v>1497.0</v>
      </c>
      <c r="AI244" s="941">
        <v>15.0</v>
      </c>
      <c r="AJ244" s="941">
        <v>8.0</v>
      </c>
      <c r="AK244" s="941">
        <v>0.0</v>
      </c>
      <c r="AL244" s="941">
        <v>0.0</v>
      </c>
      <c r="AM244" s="941">
        <v>0.0</v>
      </c>
      <c r="AN244" s="941">
        <v>0.0</v>
      </c>
      <c r="AO244" s="941">
        <v>0.0</v>
      </c>
      <c r="AP244" s="941">
        <v>0.0</v>
      </c>
      <c r="AQ244" s="941">
        <v>0.0</v>
      </c>
      <c r="AR244" s="941">
        <v>7.0</v>
      </c>
      <c r="AS244" s="941">
        <v>1.0</v>
      </c>
      <c r="AT244" s="941">
        <v>0.0</v>
      </c>
      <c r="AU244" s="941">
        <v>0.0</v>
      </c>
      <c r="AV244" s="941">
        <v>0.0</v>
      </c>
      <c r="AW244" s="941">
        <v>0.0</v>
      </c>
      <c r="AX244" s="941">
        <v>0.0</v>
      </c>
      <c r="AY244" s="941">
        <v>0.0</v>
      </c>
      <c r="AZ244" s="941">
        <v>0.0</v>
      </c>
      <c r="BA244" s="941">
        <v>0.0</v>
      </c>
      <c r="BB244" s="941">
        <v>2.0</v>
      </c>
      <c r="BC244" s="941">
        <v>0.0</v>
      </c>
      <c r="BD244" s="941">
        <v>9.0</v>
      </c>
      <c r="BE244" s="941">
        <v>5.0</v>
      </c>
      <c r="BF244" s="941">
        <v>2.0</v>
      </c>
      <c r="BG244" s="942">
        <v>1.0</v>
      </c>
    </row>
    <row r="245">
      <c r="A245" s="935" t="s">
        <v>120</v>
      </c>
      <c r="B245" s="16" t="str">
        <f>IF(C245&lt;'PlayerGrades+'!$Y$44,"F-",IF(C245&lt;'PlayerGrades+'!$Y$43,"F",IF(C245&lt;'PlayerGrades+'!$Y$42,"F+",IF(C245&lt;'PlayerGrades+'!$Y$41,"E-",IF(C245&lt;'PlayerGrades+'!$Y$40,"E",IF(C245&lt;'PlayerGrades+'!$Y$39,"E+",IF(C245&lt;'PlayerGrades+'!$Y$38,"D-",IF(C245&lt;'PlayerGrades+'!$Y$37,"D",IF(C245&lt;'PlayerGrades+'!$Y$36,"D+",IF(C245&lt;'PlayerGrades+'!$Y$35,"C-",IF(C245&lt;'PlayerGrades+'!$Y$34,"C",IF(C245&lt;'PlayerGrades+'!$Y$33,"C+",IF(C245&lt;'PlayerGrades+'!$Y$32,"B-",IF(C245&lt;'PlayerGrades+'!$Y$31,"B",IF(C245&lt;'PlayerGrades+'!$Y$30,"B+",IF(C245&lt;'PlayerGrades+'!$Y$29,"A-",IF(C245&lt;'PlayerGrades+'!$Y$28,"A",IF(C245&lt;'PlayerGrades+'!$Y$27,"A+",IF(C245&lt;'PlayerGrades+'!$Y$26,"S-",IF(C245&lt;'PlayerGrades+'!$Y$25,"S","S+"))))))))))))))))))))</f>
        <v>A+</v>
      </c>
      <c r="C245" s="936">
        <f>('PlayerGrades+'!$Y$47*(VLOOKUP(E245, 'PlayerGrades+'!$X$3:$Y$23, 2, FALSE)))+('PlayerGrades+'!$Y$48*(VLOOKUP(G245, 'PlayerGrades+'!$X$3:$Y$23, 2, FALSE)))+('PlayerGrades+'!$Y$49*(VLOOKUP(I245, 'PlayerGrades+'!$X$3:$Y$23, 2, FALSE)))+('PlayerGrades+'!$Y$50*(VLOOKUP(K245, 'PlayerGrades+'!$X$3:$Y$23, 2, FALSE)))+('PlayerGrades+'!$Y$51*(VLOOKUP(M245, 'PlayerGrades+'!$X$3:$Y$23, 2, FALSE)))+('PlayerGrades+'!$Y$52*(VLOOKUP(O245, 'PlayerGrades+'!$X$3:$Y$23, 2, FALSE)))+('PlayerGrades+'!$Y$53*(VLOOKUP(Q245, 'PlayerGrades+'!$X$3:$Y$23, 2, FALSE)))+('PlayerGrades+'!$Y$54*(VLOOKUP(S245, 'PlayerGrades+'!$X$3:$Y$23, 2, FALSE)))+('PlayerGrades+'!$Y$55*(VLOOKUP(U245, 'PlayerGrades+'!$X$3:$Y$23, 2, FALSE)))</f>
        <v>29.8</v>
      </c>
      <c r="D245" s="937">
        <f t="shared" si="1"/>
        <v>0</v>
      </c>
      <c r="E245" s="937" t="str">
        <f>IF(D245&lt;'PlayerGrades+'!$AA$21,"F-",IF(D245&lt;'PlayerGrades+'!$AA$20,"F",IF(D245&lt;'PlayerGrades+'!$AA$19,"F+",IF(D245&lt;'PlayerGrades+'!$AA$18,"E-",IF(D245&lt;'PlayerGrades+'!$AA$17,"E",IF(D245&lt;'PlayerGrades+'!$AA$16,"E+",IF(D245&lt;'PlayerGrades+'!$AA$15,"D-",IF(D245&lt;'PlayerGrades+'!$AA$14,"D",IF(D245&lt;'PlayerGrades+'!$AA$13,"D+",IF(D245&lt;'PlayerGrades+'!$AA$12,"C-",IF(D245&lt;'PlayerGrades+'!$AA$11,"C",IF(D245&lt;'PlayerGrades+'!$AA$10,"C+",IF(D245&lt;'PlayerGrades+'!$AA$9,"B-",IF(D245&lt;'PlayerGrades+'!$AA$8,"B",IF(D245&lt;'PlayerGrades+'!$AA$7,"B+",IF(D245&lt;'PlayerGrades+'!$AA$6,"A-",IF(D245&lt;'PlayerGrades+'!$AA$5,"A",IF(D245&lt;'PlayerGrades+'!$AA$4,"A+",IF(D245&lt;'PlayerGrades+'!$AA$3,"S-",IF(D245&lt;'PlayerGrades+'!$AA$2,"S","S+"))))))))))))))))))))</f>
        <v>F-</v>
      </c>
      <c r="F245" s="937">
        <f t="shared" si="2"/>
        <v>1.442885772</v>
      </c>
      <c r="G245" s="937" t="str">
        <f>IF(F245&lt;'PlayerGrades+'!$AB$21,"F-",IF(F245&lt;'PlayerGrades+'!$AB$20,"F",IF(F245&lt;'PlayerGrades+'!$AB$19,"F+",IF(F245&lt;'PlayerGrades+'!$AB$18,"E-",IF(F245&lt;'PlayerGrades+'!$AB$17,"E",IF(F245&lt;'PlayerGrades+'!$AB$16,"E+",IF(F245&lt;'PlayerGrades+'!$AB$15,"D-",IF(F245&lt;'PlayerGrades+'!$AB$14,"D",IF(F245&lt;'PlayerGrades+'!$AB$13,"D+",IF(F245&lt;'PlayerGrades+'!$AB$12,"C-",IF(F245&lt;'PlayerGrades+'!$AB$11,"C",IF(F245&lt;'PlayerGrades+'!$AB$10,"C+",IF(F245&lt;'PlayerGrades+'!$AB$9,"B-",IF(F245&lt;'PlayerGrades+'!$AB$8,"B",IF(F245&lt;'PlayerGrades+'!$AB$7,"B+",IF(F245&lt;'PlayerGrades+'!$AB$6,"A-",IF(F245&lt;'PlayerGrades+'!$AB$5,"A",IF(F245&lt;'PlayerGrades+'!$AB$4,"A+",IF(F245&lt;'PlayerGrades+'!$AB$3,"S-",IF(F245&lt;'PlayerGrades+'!$AB$2,"S","S+"))))))))))))))))))))</f>
        <v>S+</v>
      </c>
      <c r="H245" s="937">
        <f t="shared" si="3"/>
        <v>0.2404809619</v>
      </c>
      <c r="I245" s="937" t="str">
        <f>IF(H245&lt;'PlayerGrades+'!$AC$21,"F-",IF(H245&lt;'PlayerGrades+'!$AC$20,"F",IF(H245&lt;'PlayerGrades+'!$AC$19,"F+",IF(H245&lt;'PlayerGrades+'!$AC$18,"E-",IF(H245&lt;'PlayerGrades+'!$AC$17,"E",IF(H245&lt;'PlayerGrades+'!$AC$16,"E+",IF(H245&lt;'PlayerGrades+'!$AC$15,"D-",IF(H245&lt;'PlayerGrades+'!$AC$14,"D",IF(H245&lt;'PlayerGrades+'!$AC$13,"D+",IF(H245&lt;'PlayerGrades+'!$AC$12,"C-",IF(H245&lt;'PlayerGrades+'!$AC$11,"C",IF(H245&lt;'PlayerGrades+'!$AC$10,"C+",IF(H245&lt;'PlayerGrades+'!$AC$9,"B-",IF(H245&lt;'PlayerGrades+'!$AC$8,"B",IF(H245&lt;'PlayerGrades+'!$AC$7,"B+",IF(H245&lt;'PlayerGrades+'!$AC$6,"A-",IF(H245&lt;'PlayerGrades+'!$AC$5,"A",IF(H245&lt;'PlayerGrades+'!$AC$4,"A+",IF(H245&lt;'PlayerGrades+'!$AC$3,"S-",IF(H245&lt;'PlayerGrades+'!$AC$2,"S","S+"))))))))))))))))))))</f>
        <v>S</v>
      </c>
      <c r="J245" s="937">
        <f t="shared" si="4"/>
        <v>0.04008016032</v>
      </c>
      <c r="K245" s="937" t="str">
        <f>IF(J245&lt;'PlayerGrades+'!$AD$21,"F-",IF(J245&lt;'PlayerGrades+'!$AD$20,"F",IF(J245&lt;'PlayerGrades+'!$AD$19,"F+",IF(J245&lt;'PlayerGrades+'!$AD$18,"E-",IF(J245&lt;'PlayerGrades+'!$AD$17,"E",IF(J245&lt;'PlayerGrades+'!$AD$16,"E+",IF(J245&lt;'PlayerGrades+'!$AD$15,"D-",IF(J245&lt;'PlayerGrades+'!$AD$14,"D",IF(J245&lt;'PlayerGrades+'!$AD$13,"D+",IF(J245&lt;'PlayerGrades+'!$AD$12,"C-",IF(J245&lt;'PlayerGrades+'!$AD$11,"C",IF(J245&lt;'PlayerGrades+'!$AD$10,"C+",IF(J245&lt;'PlayerGrades+'!$AD$9,"B-",IF(J245&lt;'PlayerGrades+'!$AD$8,"B",IF(J245&lt;'PlayerGrades+'!$AD$7,"B+",IF(J245&lt;'PlayerGrades+'!$AD$6,"A-",IF(J245&lt;'PlayerGrades+'!$AD$5,"A",IF(J245&lt;'PlayerGrades+'!$AD$4,"A+",IF(J245&lt;'PlayerGrades+'!$AD$3,"S-",IF(J245&lt;'PlayerGrades+'!$AD$2,"S","S+"))))))))))))))))))))</f>
        <v>C+</v>
      </c>
      <c r="L245" s="677">
        <f t="shared" si="5"/>
        <v>0.7214428858</v>
      </c>
      <c r="M245" s="938" t="str">
        <f>IF(L245&lt;'PlayerGrades+'!$AE$21,"F-",IF(L245&lt;'PlayerGrades+'!$AE$20,"F",IF(L245&lt;'PlayerGrades+'!$AE$19,"F+",IF(L245&lt;'PlayerGrades+'!$AE$18,"E-",IF(L245&lt;'PlayerGrades+'!$AE$17,"E",IF(L245&lt;'PlayerGrades+'!$AE$16,"E+",IF(L245&lt;'PlayerGrades+'!$AE$15,"D-",IF(L245&lt;'PlayerGrades+'!$AE$14,"D",IF(L245&lt;'PlayerGrades+'!$AE$13,"D+",IF(L245&lt;'PlayerGrades+'!$AE$12,"C-",IF(L245&lt;'PlayerGrades+'!$AE$11,"C",IF(L245&lt;'PlayerGrades+'!$AE$10,"C+",IF(L245&lt;'PlayerGrades+'!$AE$9,"B-",IF(L245&lt;'PlayerGrades+'!$AE$8,"B",IF(L245&lt;'PlayerGrades+'!$AE$7,"B+",IF(L245&lt;'PlayerGrades+'!$AE$6,"A-",IF(L245&lt;'PlayerGrades+'!$AE$5,"A",IF(L245&lt;'PlayerGrades+'!$AE$4,"A+",IF(L245&lt;'PlayerGrades+'!$AE$3,"S-",IF(L245&lt;'PlayerGrades+'!$AE$2,"S","S+"))))))))))))))))))))</f>
        <v>S+</v>
      </c>
      <c r="N245" s="937">
        <f t="shared" si="6"/>
        <v>0.2004008016</v>
      </c>
      <c r="O245" s="937" t="str">
        <f>IF(N245&lt;'PlayerGrades+'!$AF$21,"F-",IF(N245&lt;'PlayerGrades+'!$AF$20,"F",IF(N245&lt;'PlayerGrades+'!$AF$19,"F+",IF(N245&lt;'PlayerGrades+'!$AF$18,"E-",IF(N245&lt;'PlayerGrades+'!$AF$17,"E",IF(N245&lt;'PlayerGrades+'!$AF$16,"E+",IF(N245&lt;'PlayerGrades+'!$AF$15,"D-",IF(N245&lt;'PlayerGrades+'!$AF$14,"D",IF(N245&lt;'PlayerGrades+'!$AF$13,"D+",IF(N245&lt;'PlayerGrades+'!$AF$12,"C-",IF(N245&lt;'PlayerGrades+'!$AF$11,"C",IF(N245&lt;'PlayerGrades+'!$AF$10,"C+",IF(N245&lt;'PlayerGrades+'!$AF$9,"B-",IF(N245&lt;'PlayerGrades+'!$AF$8,"B",IF(N245&lt;'PlayerGrades+'!$AF$7,"B+",IF(N245&lt;'PlayerGrades+'!$AF$6,"A-",IF(N245&lt;'PlayerGrades+'!$AF$5,"A",IF(N245&lt;'PlayerGrades+'!$AF$4,"A+",IF(N245&lt;'PlayerGrades+'!$AF$3,"S-",IF(N245&lt;'PlayerGrades+'!$AF$2,"S","S+"))))))))))))))))))))</f>
        <v>S+</v>
      </c>
      <c r="P245" s="937">
        <f t="shared" si="7"/>
        <v>0.04008016032</v>
      </c>
      <c r="Q245" s="937" t="str">
        <f>IF(P245&lt;'PlayerGrades+'!$AG$21,"F-",IF(P245&lt;'PlayerGrades+'!$AG$20,"F",IF(P245&lt;'PlayerGrades+'!$AG$19,"F+",IF(P245&lt;'PlayerGrades+'!$AG$18,"E-",IF(P245&lt;'PlayerGrades+'!$AG$17,"E",IF(P245&lt;'PlayerGrades+'!$AG$16,"E+",IF(P245&lt;'PlayerGrades+'!$AG$15,"D-",IF(P245&lt;'PlayerGrades+'!$AG$14,"D",IF(P245&lt;'PlayerGrades+'!$AG$13,"D+",IF(P245&lt;'PlayerGrades+'!$AG$12,"C-",IF(P245&lt;'PlayerGrades+'!$AG$11,"C",IF(P245&lt;'PlayerGrades+'!$AG$10,"C+",IF(P245&lt;'PlayerGrades+'!$AG$9,"B-",IF(P245&lt;'PlayerGrades+'!$AG$8,"B",IF(P245&lt;'PlayerGrades+'!$AG$7,"B+",IF(P245&lt;'PlayerGrades+'!$AG$6,"A-",IF(P245&lt;'PlayerGrades+'!$AG$5,"A",IF(P245&lt;'PlayerGrades+'!$AG$4,"A+",IF(P245&lt;'PlayerGrades+'!$AG$3,"S-",IF(P245&lt;'PlayerGrades+'!$AG$2,"S","S+"))))))))))))))))))))</f>
        <v>A-</v>
      </c>
      <c r="R245" s="937">
        <f t="shared" si="8"/>
        <v>1.122244489</v>
      </c>
      <c r="S245" s="937" t="str">
        <f>IF(R245&lt;'PlayerGrades+'!$AH$21,"F-",IF(R245&lt;'PlayerGrades+'!$AH$20,"F",IF(R245&lt;'PlayerGrades+'!$AH$19,"F+",IF(R245&lt;'PlayerGrades+'!$AH$18,"E-",IF(R245&lt;'PlayerGrades+'!$AH$17,"E",IF(R245&lt;'PlayerGrades+'!$AH$16,"E+",IF(R245&lt;'PlayerGrades+'!$AH$15,"D-",IF(R245&lt;'PlayerGrades+'!$AH$14,"D",IF(R245&lt;'PlayerGrades+'!$AH$13,"D+",IF(R245&lt;'PlayerGrades+'!$AH$12,"C-",IF(R245&lt;'PlayerGrades+'!$AH$11,"C",IF(R245&lt;'PlayerGrades+'!$AH$10,"C+",IF(R245&lt;'PlayerGrades+'!$AH$9,"B-",IF(R245&lt;'PlayerGrades+'!$AH$8,"B",IF(R245&lt;'PlayerGrades+'!$AH$7,"B+",IF(R245&lt;'PlayerGrades+'!$AH$6,"A-",IF(R245&lt;'PlayerGrades+'!$AH$5,"A",IF(R245&lt;'PlayerGrades+'!$AH$4,"A+",IF(R245&lt;'PlayerGrades+'!$AH$3,"S-",IF(R245&lt;'PlayerGrades+'!$AH$2,"S","S+"))))))))))))))))))))</f>
        <v>S+</v>
      </c>
      <c r="T245" s="937">
        <f t="shared" si="9"/>
        <v>0.4408817635</v>
      </c>
      <c r="U245" s="937" t="str">
        <f>IF(T245&lt;'PlayerGrades+'!$AI$21,"F-",IF(T245&lt;'PlayerGrades+'!$AI$20,"F",IF(T245&lt;'PlayerGrades+'!$AI$19,"F+",IF(T245&lt;'PlayerGrades+'!$AI$18,"E-",IF(T245&lt;'PlayerGrades+'!$AI$17,"E",IF(T245&lt;'PlayerGrades+'!$AI$16,"E+",IF(T245&lt;'PlayerGrades+'!$AI$15,"D-",IF(T245&lt;'PlayerGrades+'!$AI$14,"D",IF(T245&lt;'PlayerGrades+'!$AI$13,"D+",IF(T245&lt;'PlayerGrades+'!$AI$12,"C-",IF(T245&lt;'PlayerGrades+'!$AI$11,"C",IF(T245&lt;'PlayerGrades+'!$AI$10,"C+",IF(T245&lt;'PlayerGrades+'!$AI$9,"B-",IF(T245&lt;'PlayerGrades+'!$AI$8,"B",IF(T245&lt;'PlayerGrades+'!$AI$7,"B+",IF(T245&lt;'PlayerGrades+'!$AI$6,"A-",IF(T245&lt;'PlayerGrades+'!$AI$5,"A",IF(T245&lt;'PlayerGrades+'!$AI$4,"A+",IF(T245&lt;'PlayerGrades+'!$AI$3,"S-",IF(T245&lt;'PlayerGrades+'!$AI$2,"S","S+"))))))))))))))))))))</f>
        <v>F-</v>
      </c>
      <c r="V245" s="941">
        <v>1.0</v>
      </c>
      <c r="W245" s="941">
        <v>1.0</v>
      </c>
      <c r="X245" s="941">
        <v>0.0</v>
      </c>
      <c r="Y245" s="941">
        <v>0.0</v>
      </c>
      <c r="Z245" s="941">
        <v>0.0</v>
      </c>
      <c r="AA245" s="941">
        <v>106.0</v>
      </c>
      <c r="AB245" s="941">
        <v>70.0</v>
      </c>
      <c r="AC245" s="941">
        <v>36.0</v>
      </c>
      <c r="AD245" s="941">
        <v>9.0</v>
      </c>
      <c r="AE245" s="941">
        <v>6.0</v>
      </c>
      <c r="AF245" s="941">
        <v>3.0</v>
      </c>
      <c r="AG245" s="941">
        <v>1195.0</v>
      </c>
      <c r="AH245" s="941">
        <v>1497.0</v>
      </c>
      <c r="AI245" s="941">
        <v>17.0</v>
      </c>
      <c r="AJ245" s="941">
        <v>0.0</v>
      </c>
      <c r="AK245" s="941">
        <v>0.0</v>
      </c>
      <c r="AL245" s="941">
        <v>1.0</v>
      </c>
      <c r="AM245" s="941">
        <v>0.0</v>
      </c>
      <c r="AN245" s="941">
        <v>0.0</v>
      </c>
      <c r="AO245" s="941">
        <v>0.0</v>
      </c>
      <c r="AP245" s="941">
        <v>1.0</v>
      </c>
      <c r="AQ245" s="941">
        <v>0.0</v>
      </c>
      <c r="AR245" s="941">
        <v>18.0</v>
      </c>
      <c r="AS245" s="941">
        <v>5.0</v>
      </c>
      <c r="AT245" s="941">
        <v>2.0</v>
      </c>
      <c r="AU245" s="941">
        <v>1.0</v>
      </c>
      <c r="AV245" s="941">
        <v>0.0</v>
      </c>
      <c r="AW245" s="941">
        <v>0.0</v>
      </c>
      <c r="AX245" s="941">
        <v>0.0</v>
      </c>
      <c r="AY245" s="941">
        <v>0.0</v>
      </c>
      <c r="AZ245" s="941">
        <v>0.0</v>
      </c>
      <c r="BA245" s="941">
        <v>0.0</v>
      </c>
      <c r="BB245" s="941">
        <v>6.0</v>
      </c>
      <c r="BC245" s="941">
        <v>0.0</v>
      </c>
      <c r="BD245" s="941">
        <v>19.0</v>
      </c>
      <c r="BE245" s="941">
        <v>11.0</v>
      </c>
      <c r="BF245" s="941">
        <v>0.0</v>
      </c>
      <c r="BG245" s="942">
        <v>1.0</v>
      </c>
    </row>
    <row r="246">
      <c r="A246" s="935" t="s">
        <v>117</v>
      </c>
      <c r="B246" s="16" t="str">
        <f>IF(C246&lt;'PlayerGrades+'!$Y$44,"F-",IF(C246&lt;'PlayerGrades+'!$Y$43,"F",IF(C246&lt;'PlayerGrades+'!$Y$42,"F+",IF(C246&lt;'PlayerGrades+'!$Y$41,"E-",IF(C246&lt;'PlayerGrades+'!$Y$40,"E",IF(C246&lt;'PlayerGrades+'!$Y$39,"E+",IF(C246&lt;'PlayerGrades+'!$Y$38,"D-",IF(C246&lt;'PlayerGrades+'!$Y$37,"D",IF(C246&lt;'PlayerGrades+'!$Y$36,"D+",IF(C246&lt;'PlayerGrades+'!$Y$35,"C-",IF(C246&lt;'PlayerGrades+'!$Y$34,"C",IF(C246&lt;'PlayerGrades+'!$Y$33,"C+",IF(C246&lt;'PlayerGrades+'!$Y$32,"B-",IF(C246&lt;'PlayerGrades+'!$Y$31,"B",IF(C246&lt;'PlayerGrades+'!$Y$30,"B+",IF(C246&lt;'PlayerGrades+'!$Y$29,"A-",IF(C246&lt;'PlayerGrades+'!$Y$28,"A",IF(C246&lt;'PlayerGrades+'!$Y$27,"A+",IF(C246&lt;'PlayerGrades+'!$Y$26,"S-",IF(C246&lt;'PlayerGrades+'!$Y$25,"S","S+"))))))))))))))))))))</f>
        <v>E+</v>
      </c>
      <c r="C246" s="936">
        <f>('PlayerGrades+'!$Y$47*(VLOOKUP(E246, 'PlayerGrades+'!$X$3:$Y$23, 2, FALSE)))+('PlayerGrades+'!$Y$48*(VLOOKUP(G246, 'PlayerGrades+'!$X$3:$Y$23, 2, FALSE)))+('PlayerGrades+'!$Y$49*(VLOOKUP(I246, 'PlayerGrades+'!$X$3:$Y$23, 2, FALSE)))+('PlayerGrades+'!$Y$50*(VLOOKUP(K246, 'PlayerGrades+'!$X$3:$Y$23, 2, FALSE)))+('PlayerGrades+'!$Y$51*(VLOOKUP(M246, 'PlayerGrades+'!$X$3:$Y$23, 2, FALSE)))+('PlayerGrades+'!$Y$52*(VLOOKUP(O246, 'PlayerGrades+'!$X$3:$Y$23, 2, FALSE)))+('PlayerGrades+'!$Y$53*(VLOOKUP(Q246, 'PlayerGrades+'!$X$3:$Y$23, 2, FALSE)))+('PlayerGrades+'!$Y$54*(VLOOKUP(S246, 'PlayerGrades+'!$X$3:$Y$23, 2, FALSE)))+('PlayerGrades+'!$Y$55*(VLOOKUP(U246, 'PlayerGrades+'!$X$3:$Y$23, 2, FALSE)))</f>
        <v>13.55</v>
      </c>
      <c r="D246" s="937">
        <f t="shared" si="1"/>
        <v>0.2805611222</v>
      </c>
      <c r="E246" s="937" t="str">
        <f>IF(D246&lt;'PlayerGrades+'!$AA$21,"F-",IF(D246&lt;'PlayerGrades+'!$AA$20,"F",IF(D246&lt;'PlayerGrades+'!$AA$19,"F+",IF(D246&lt;'PlayerGrades+'!$AA$18,"E-",IF(D246&lt;'PlayerGrades+'!$AA$17,"E",IF(D246&lt;'PlayerGrades+'!$AA$16,"E+",IF(D246&lt;'PlayerGrades+'!$AA$15,"D-",IF(D246&lt;'PlayerGrades+'!$AA$14,"D",IF(D246&lt;'PlayerGrades+'!$AA$13,"D+",IF(D246&lt;'PlayerGrades+'!$AA$12,"C-",IF(D246&lt;'PlayerGrades+'!$AA$11,"C",IF(D246&lt;'PlayerGrades+'!$AA$10,"C+",IF(D246&lt;'PlayerGrades+'!$AA$9,"B-",IF(D246&lt;'PlayerGrades+'!$AA$8,"B",IF(D246&lt;'PlayerGrades+'!$AA$7,"B+",IF(D246&lt;'PlayerGrades+'!$AA$6,"A-",IF(D246&lt;'PlayerGrades+'!$AA$5,"A",IF(D246&lt;'PlayerGrades+'!$AA$4,"A+",IF(D246&lt;'PlayerGrades+'!$AA$3,"S-",IF(D246&lt;'PlayerGrades+'!$AA$2,"S","S+"))))))))))))))))))))</f>
        <v>A</v>
      </c>
      <c r="F246" s="937">
        <f t="shared" si="2"/>
        <v>-0.5210420842</v>
      </c>
      <c r="G246" s="937" t="str">
        <f>IF(F246&lt;'PlayerGrades+'!$AB$21,"F-",IF(F246&lt;'PlayerGrades+'!$AB$20,"F",IF(F246&lt;'PlayerGrades+'!$AB$19,"F+",IF(F246&lt;'PlayerGrades+'!$AB$18,"E-",IF(F246&lt;'PlayerGrades+'!$AB$17,"E",IF(F246&lt;'PlayerGrades+'!$AB$16,"E+",IF(F246&lt;'PlayerGrades+'!$AB$15,"D-",IF(F246&lt;'PlayerGrades+'!$AB$14,"D",IF(F246&lt;'PlayerGrades+'!$AB$13,"D+",IF(F246&lt;'PlayerGrades+'!$AB$12,"C-",IF(F246&lt;'PlayerGrades+'!$AB$11,"C",IF(F246&lt;'PlayerGrades+'!$AB$10,"C+",IF(F246&lt;'PlayerGrades+'!$AB$9,"B-",IF(F246&lt;'PlayerGrades+'!$AB$8,"B",IF(F246&lt;'PlayerGrades+'!$AB$7,"B+",IF(F246&lt;'PlayerGrades+'!$AB$6,"A-",IF(F246&lt;'PlayerGrades+'!$AB$5,"A",IF(F246&lt;'PlayerGrades+'!$AB$4,"A+",IF(F246&lt;'PlayerGrades+'!$AB$3,"S-",IF(F246&lt;'PlayerGrades+'!$AB$2,"S","S+"))))))))))))))))))))</f>
        <v>D</v>
      </c>
      <c r="H246" s="937">
        <f t="shared" si="3"/>
        <v>0</v>
      </c>
      <c r="I246" s="937" t="str">
        <f>IF(H246&lt;'PlayerGrades+'!$AC$21,"F-",IF(H246&lt;'PlayerGrades+'!$AC$20,"F",IF(H246&lt;'PlayerGrades+'!$AC$19,"F+",IF(H246&lt;'PlayerGrades+'!$AC$18,"E-",IF(H246&lt;'PlayerGrades+'!$AC$17,"E",IF(H246&lt;'PlayerGrades+'!$AC$16,"E+",IF(H246&lt;'PlayerGrades+'!$AC$15,"D-",IF(H246&lt;'PlayerGrades+'!$AC$14,"D",IF(H246&lt;'PlayerGrades+'!$AC$13,"D+",IF(H246&lt;'PlayerGrades+'!$AC$12,"C-",IF(H246&lt;'PlayerGrades+'!$AC$11,"C",IF(H246&lt;'PlayerGrades+'!$AC$10,"C+",IF(H246&lt;'PlayerGrades+'!$AC$9,"B-",IF(H246&lt;'PlayerGrades+'!$AC$8,"B",IF(H246&lt;'PlayerGrades+'!$AC$7,"B+",IF(H246&lt;'PlayerGrades+'!$AC$6,"A-",IF(H246&lt;'PlayerGrades+'!$AC$5,"A",IF(H246&lt;'PlayerGrades+'!$AC$4,"A+",IF(H246&lt;'PlayerGrades+'!$AC$3,"S-",IF(H246&lt;'PlayerGrades+'!$AC$2,"S","S+"))))))))))))))))))))</f>
        <v>F-</v>
      </c>
      <c r="J246" s="937">
        <f t="shared" si="4"/>
        <v>0.04008016032</v>
      </c>
      <c r="K246" s="937" t="str">
        <f>IF(J246&lt;'PlayerGrades+'!$AD$21,"F-",IF(J246&lt;'PlayerGrades+'!$AD$20,"F",IF(J246&lt;'PlayerGrades+'!$AD$19,"F+",IF(J246&lt;'PlayerGrades+'!$AD$18,"E-",IF(J246&lt;'PlayerGrades+'!$AD$17,"E",IF(J246&lt;'PlayerGrades+'!$AD$16,"E+",IF(J246&lt;'PlayerGrades+'!$AD$15,"D-",IF(J246&lt;'PlayerGrades+'!$AD$14,"D",IF(J246&lt;'PlayerGrades+'!$AD$13,"D+",IF(J246&lt;'PlayerGrades+'!$AD$12,"C-",IF(J246&lt;'PlayerGrades+'!$AD$11,"C",IF(J246&lt;'PlayerGrades+'!$AD$10,"C+",IF(J246&lt;'PlayerGrades+'!$AD$9,"B-",IF(J246&lt;'PlayerGrades+'!$AD$8,"B",IF(J246&lt;'PlayerGrades+'!$AD$7,"B+",IF(J246&lt;'PlayerGrades+'!$AD$6,"A-",IF(J246&lt;'PlayerGrades+'!$AD$5,"A",IF(J246&lt;'PlayerGrades+'!$AD$4,"A+",IF(J246&lt;'PlayerGrades+'!$AD$3,"S-",IF(J246&lt;'PlayerGrades+'!$AD$2,"S","S+"))))))))))))))))))))</f>
        <v>C+</v>
      </c>
      <c r="L246" s="677">
        <f t="shared" si="5"/>
        <v>0.1603206413</v>
      </c>
      <c r="M246" s="938" t="str">
        <f>IF(L246&lt;'PlayerGrades+'!$AE$21,"F-",IF(L246&lt;'PlayerGrades+'!$AE$20,"F",IF(L246&lt;'PlayerGrades+'!$AE$19,"F+",IF(L246&lt;'PlayerGrades+'!$AE$18,"E-",IF(L246&lt;'PlayerGrades+'!$AE$17,"E",IF(L246&lt;'PlayerGrades+'!$AE$16,"E+",IF(L246&lt;'PlayerGrades+'!$AE$15,"D-",IF(L246&lt;'PlayerGrades+'!$AE$14,"D",IF(L246&lt;'PlayerGrades+'!$AE$13,"D+",IF(L246&lt;'PlayerGrades+'!$AE$12,"C-",IF(L246&lt;'PlayerGrades+'!$AE$11,"C",IF(L246&lt;'PlayerGrades+'!$AE$10,"C+",IF(L246&lt;'PlayerGrades+'!$AE$9,"B-",IF(L246&lt;'PlayerGrades+'!$AE$8,"B",IF(L246&lt;'PlayerGrades+'!$AE$7,"B+",IF(L246&lt;'PlayerGrades+'!$AE$6,"A-",IF(L246&lt;'PlayerGrades+'!$AE$5,"A",IF(L246&lt;'PlayerGrades+'!$AE$4,"A+",IF(L246&lt;'PlayerGrades+'!$AE$3,"S-",IF(L246&lt;'PlayerGrades+'!$AE$2,"S","S+"))))))))))))))))))))</f>
        <v>F-</v>
      </c>
      <c r="N246" s="937">
        <f t="shared" si="6"/>
        <v>0</v>
      </c>
      <c r="O246" s="937" t="str">
        <f>IF(N246&lt;'PlayerGrades+'!$AF$21,"F-",IF(N246&lt;'PlayerGrades+'!$AF$20,"F",IF(N246&lt;'PlayerGrades+'!$AF$19,"F+",IF(N246&lt;'PlayerGrades+'!$AF$18,"E-",IF(N246&lt;'PlayerGrades+'!$AF$17,"E",IF(N246&lt;'PlayerGrades+'!$AF$16,"E+",IF(N246&lt;'PlayerGrades+'!$AF$15,"D-",IF(N246&lt;'PlayerGrades+'!$AF$14,"D",IF(N246&lt;'PlayerGrades+'!$AF$13,"D+",IF(N246&lt;'PlayerGrades+'!$AF$12,"C-",IF(N246&lt;'PlayerGrades+'!$AF$11,"C",IF(N246&lt;'PlayerGrades+'!$AF$10,"C+",IF(N246&lt;'PlayerGrades+'!$AF$9,"B-",IF(N246&lt;'PlayerGrades+'!$AF$8,"B",IF(N246&lt;'PlayerGrades+'!$AF$7,"B+",IF(N246&lt;'PlayerGrades+'!$AF$6,"A-",IF(N246&lt;'PlayerGrades+'!$AF$5,"A",IF(N246&lt;'PlayerGrades+'!$AF$4,"A+",IF(N246&lt;'PlayerGrades+'!$AF$3,"S-",IF(N246&lt;'PlayerGrades+'!$AF$2,"S","S+"))))))))))))))))))))</f>
        <v>F-</v>
      </c>
      <c r="P246" s="937">
        <f t="shared" si="7"/>
        <v>0</v>
      </c>
      <c r="Q246" s="937" t="str">
        <f>IF(P246&lt;'PlayerGrades+'!$AG$21,"F-",IF(P246&lt;'PlayerGrades+'!$AG$20,"F",IF(P246&lt;'PlayerGrades+'!$AG$19,"F+",IF(P246&lt;'PlayerGrades+'!$AG$18,"E-",IF(P246&lt;'PlayerGrades+'!$AG$17,"E",IF(P246&lt;'PlayerGrades+'!$AG$16,"E+",IF(P246&lt;'PlayerGrades+'!$AG$15,"D-",IF(P246&lt;'PlayerGrades+'!$AG$14,"D",IF(P246&lt;'PlayerGrades+'!$AG$13,"D+",IF(P246&lt;'PlayerGrades+'!$AG$12,"C-",IF(P246&lt;'PlayerGrades+'!$AG$11,"C",IF(P246&lt;'PlayerGrades+'!$AG$10,"C+",IF(P246&lt;'PlayerGrades+'!$AG$9,"B-",IF(P246&lt;'PlayerGrades+'!$AG$8,"B",IF(P246&lt;'PlayerGrades+'!$AG$7,"B+",IF(P246&lt;'PlayerGrades+'!$AG$6,"A-",IF(P246&lt;'PlayerGrades+'!$AG$5,"A",IF(P246&lt;'PlayerGrades+'!$AG$4,"A+",IF(P246&lt;'PlayerGrades+'!$AG$3,"S-",IF(P246&lt;'PlayerGrades+'!$AG$2,"S","S+"))))))))))))))))))))</f>
        <v>F</v>
      </c>
      <c r="R246" s="937">
        <f t="shared" si="8"/>
        <v>0.6412825651</v>
      </c>
      <c r="S246" s="937" t="str">
        <f>IF(R246&lt;'PlayerGrades+'!$AH$21,"F-",IF(R246&lt;'PlayerGrades+'!$AH$20,"F",IF(R246&lt;'PlayerGrades+'!$AH$19,"F+",IF(R246&lt;'PlayerGrades+'!$AH$18,"E-",IF(R246&lt;'PlayerGrades+'!$AH$17,"E",IF(R246&lt;'PlayerGrades+'!$AH$16,"E+",IF(R246&lt;'PlayerGrades+'!$AH$15,"D-",IF(R246&lt;'PlayerGrades+'!$AH$14,"D",IF(R246&lt;'PlayerGrades+'!$AH$13,"D+",IF(R246&lt;'PlayerGrades+'!$AH$12,"C-",IF(R246&lt;'PlayerGrades+'!$AH$11,"C",IF(R246&lt;'PlayerGrades+'!$AH$10,"C+",IF(R246&lt;'PlayerGrades+'!$AH$9,"B-",IF(R246&lt;'PlayerGrades+'!$AH$8,"B",IF(R246&lt;'PlayerGrades+'!$AH$7,"B+",IF(R246&lt;'PlayerGrades+'!$AH$6,"A-",IF(R246&lt;'PlayerGrades+'!$AH$5,"A",IF(R246&lt;'PlayerGrades+'!$AH$4,"A+",IF(R246&lt;'PlayerGrades+'!$AH$3,"S-",IF(R246&lt;'PlayerGrades+'!$AH$2,"S","S+"))))))))))))))))))))</f>
        <v>A</v>
      </c>
      <c r="T246" s="937">
        <f t="shared" si="9"/>
        <v>0.3206412826</v>
      </c>
      <c r="U246" s="937" t="str">
        <f>IF(T246&lt;'PlayerGrades+'!$AI$21,"F-",IF(T246&lt;'PlayerGrades+'!$AI$20,"F",IF(T246&lt;'PlayerGrades+'!$AI$19,"F+",IF(T246&lt;'PlayerGrades+'!$AI$18,"E-",IF(T246&lt;'PlayerGrades+'!$AI$17,"E",IF(T246&lt;'PlayerGrades+'!$AI$16,"E+",IF(T246&lt;'PlayerGrades+'!$AI$15,"D-",IF(T246&lt;'PlayerGrades+'!$AI$14,"D",IF(T246&lt;'PlayerGrades+'!$AI$13,"D+",IF(T246&lt;'PlayerGrades+'!$AI$12,"C-",IF(T246&lt;'PlayerGrades+'!$AI$11,"C",IF(T246&lt;'PlayerGrades+'!$AI$10,"C+",IF(T246&lt;'PlayerGrades+'!$AI$9,"B-",IF(T246&lt;'PlayerGrades+'!$AI$8,"B",IF(T246&lt;'PlayerGrades+'!$AI$7,"B+",IF(T246&lt;'PlayerGrades+'!$AI$6,"A-",IF(T246&lt;'PlayerGrades+'!$AI$5,"A",IF(T246&lt;'PlayerGrades+'!$AI$4,"A+",IF(T246&lt;'PlayerGrades+'!$AI$3,"S-",IF(T246&lt;'PlayerGrades+'!$AI$2,"S","S+"))))))))))))))))))))</f>
        <v>F-</v>
      </c>
      <c r="V246" s="941">
        <v>1.0</v>
      </c>
      <c r="W246" s="941">
        <v>0.0</v>
      </c>
      <c r="X246" s="941">
        <v>1.0</v>
      </c>
      <c r="Y246" s="941">
        <v>1.0</v>
      </c>
      <c r="Z246" s="941">
        <v>6.0</v>
      </c>
      <c r="AA246" s="941">
        <v>55.0</v>
      </c>
      <c r="AB246" s="941">
        <v>68.0</v>
      </c>
      <c r="AC246" s="941">
        <v>-13.0</v>
      </c>
      <c r="AD246" s="941">
        <v>6.0</v>
      </c>
      <c r="AE246" s="941">
        <v>7.0</v>
      </c>
      <c r="AF246" s="941">
        <v>1.0</v>
      </c>
      <c r="AG246" s="941">
        <v>1200.0</v>
      </c>
      <c r="AH246" s="941">
        <v>1497.0</v>
      </c>
      <c r="AI246" s="941">
        <v>17.0</v>
      </c>
      <c r="AJ246" s="941">
        <v>407.0</v>
      </c>
      <c r="AK246" s="941">
        <v>0.0</v>
      </c>
      <c r="AL246" s="941">
        <v>1.0</v>
      </c>
      <c r="AM246" s="941">
        <v>0.0</v>
      </c>
      <c r="AN246" s="941">
        <v>0.0</v>
      </c>
      <c r="AO246" s="941">
        <v>0.0</v>
      </c>
      <c r="AP246" s="941">
        <v>0.0</v>
      </c>
      <c r="AQ246" s="941">
        <v>0.0</v>
      </c>
      <c r="AR246" s="941">
        <v>4.0</v>
      </c>
      <c r="AS246" s="941">
        <v>0.0</v>
      </c>
      <c r="AT246" s="941">
        <v>0.0</v>
      </c>
      <c r="AU246" s="941">
        <v>0.0</v>
      </c>
      <c r="AV246" s="941">
        <v>0.0</v>
      </c>
      <c r="AW246" s="941">
        <v>0.0</v>
      </c>
      <c r="AX246" s="941">
        <v>0.0</v>
      </c>
      <c r="AY246" s="941">
        <v>0.0</v>
      </c>
      <c r="AZ246" s="941">
        <v>0.0</v>
      </c>
      <c r="BA246" s="941">
        <v>0.0</v>
      </c>
      <c r="BB246" s="941">
        <v>0.0</v>
      </c>
      <c r="BC246" s="941">
        <v>0.0</v>
      </c>
      <c r="BD246" s="941">
        <v>10.0</v>
      </c>
      <c r="BE246" s="941">
        <v>8.0</v>
      </c>
      <c r="BF246" s="941">
        <v>0.0</v>
      </c>
      <c r="BG246" s="942">
        <v>0.0</v>
      </c>
    </row>
    <row r="247">
      <c r="A247" s="935" t="s">
        <v>150</v>
      </c>
      <c r="B247" s="16" t="str">
        <f>IF(C247&lt;'PlayerGrades+'!$Y$44,"F-",IF(C247&lt;'PlayerGrades+'!$Y$43,"F",IF(C247&lt;'PlayerGrades+'!$Y$42,"F+",IF(C247&lt;'PlayerGrades+'!$Y$41,"E-",IF(C247&lt;'PlayerGrades+'!$Y$40,"E",IF(C247&lt;'PlayerGrades+'!$Y$39,"E+",IF(C247&lt;'PlayerGrades+'!$Y$38,"D-",IF(C247&lt;'PlayerGrades+'!$Y$37,"D",IF(C247&lt;'PlayerGrades+'!$Y$36,"D+",IF(C247&lt;'PlayerGrades+'!$Y$35,"C-",IF(C247&lt;'PlayerGrades+'!$Y$34,"C",IF(C247&lt;'PlayerGrades+'!$Y$33,"C+",IF(C247&lt;'PlayerGrades+'!$Y$32,"B-",IF(C247&lt;'PlayerGrades+'!$Y$31,"B",IF(C247&lt;'PlayerGrades+'!$Y$30,"B+",IF(C247&lt;'PlayerGrades+'!$Y$29,"A-",IF(C247&lt;'PlayerGrades+'!$Y$28,"A",IF(C247&lt;'PlayerGrades+'!$Y$27,"A+",IF(C247&lt;'PlayerGrades+'!$Y$26,"S-",IF(C247&lt;'PlayerGrades+'!$Y$25,"S","S+"))))))))))))))))))))</f>
        <v>C+</v>
      </c>
      <c r="C247" s="936">
        <f>('PlayerGrades+'!$Y$47*(VLOOKUP(E247, 'PlayerGrades+'!$X$3:$Y$23, 2, FALSE)))+('PlayerGrades+'!$Y$48*(VLOOKUP(G247, 'PlayerGrades+'!$X$3:$Y$23, 2, FALSE)))+('PlayerGrades+'!$Y$49*(VLOOKUP(I247, 'PlayerGrades+'!$X$3:$Y$23, 2, FALSE)))+('PlayerGrades+'!$Y$50*(VLOOKUP(K247, 'PlayerGrades+'!$X$3:$Y$23, 2, FALSE)))+('PlayerGrades+'!$Y$51*(VLOOKUP(M247, 'PlayerGrades+'!$X$3:$Y$23, 2, FALSE)))+('PlayerGrades+'!$Y$52*(VLOOKUP(O247, 'PlayerGrades+'!$X$3:$Y$23, 2, FALSE)))+('PlayerGrades+'!$Y$53*(VLOOKUP(Q247, 'PlayerGrades+'!$X$3:$Y$23, 2, FALSE)))+('PlayerGrades+'!$Y$54*(VLOOKUP(S247, 'PlayerGrades+'!$X$3:$Y$23, 2, FALSE)))+('PlayerGrades+'!$Y$55*(VLOOKUP(U247, 'PlayerGrades+'!$X$3:$Y$23, 2, FALSE)))</f>
        <v>20.85</v>
      </c>
      <c r="D247" s="937">
        <f t="shared" si="1"/>
        <v>0.2004008016</v>
      </c>
      <c r="E247" s="937" t="str">
        <f>IF(D247&lt;'PlayerGrades+'!$AA$21,"F-",IF(D247&lt;'PlayerGrades+'!$AA$20,"F",IF(D247&lt;'PlayerGrades+'!$AA$19,"F+",IF(D247&lt;'PlayerGrades+'!$AA$18,"E-",IF(D247&lt;'PlayerGrades+'!$AA$17,"E",IF(D247&lt;'PlayerGrades+'!$AA$16,"E+",IF(D247&lt;'PlayerGrades+'!$AA$15,"D-",IF(D247&lt;'PlayerGrades+'!$AA$14,"D",IF(D247&lt;'PlayerGrades+'!$AA$13,"D+",IF(D247&lt;'PlayerGrades+'!$AA$12,"C-",IF(D247&lt;'PlayerGrades+'!$AA$11,"C",IF(D247&lt;'PlayerGrades+'!$AA$10,"C+",IF(D247&lt;'PlayerGrades+'!$AA$9,"B-",IF(D247&lt;'PlayerGrades+'!$AA$8,"B",IF(D247&lt;'PlayerGrades+'!$AA$7,"B+",IF(D247&lt;'PlayerGrades+'!$AA$6,"A-",IF(D247&lt;'PlayerGrades+'!$AA$5,"A",IF(D247&lt;'PlayerGrades+'!$AA$4,"A+",IF(D247&lt;'PlayerGrades+'!$AA$3,"S-",IF(D247&lt;'PlayerGrades+'!$AA$2,"S","S+"))))))))))))))))))))</f>
        <v>B+</v>
      </c>
      <c r="F247" s="937">
        <f t="shared" si="2"/>
        <v>-0.2004008016</v>
      </c>
      <c r="G247" s="937" t="str">
        <f>IF(F247&lt;'PlayerGrades+'!$AB$21,"F-",IF(F247&lt;'PlayerGrades+'!$AB$20,"F",IF(F247&lt;'PlayerGrades+'!$AB$19,"F+",IF(F247&lt;'PlayerGrades+'!$AB$18,"E-",IF(F247&lt;'PlayerGrades+'!$AB$17,"E",IF(F247&lt;'PlayerGrades+'!$AB$16,"E+",IF(F247&lt;'PlayerGrades+'!$AB$15,"D-",IF(F247&lt;'PlayerGrades+'!$AB$14,"D",IF(F247&lt;'PlayerGrades+'!$AB$13,"D+",IF(F247&lt;'PlayerGrades+'!$AB$12,"C-",IF(F247&lt;'PlayerGrades+'!$AB$11,"C",IF(F247&lt;'PlayerGrades+'!$AB$10,"C+",IF(F247&lt;'PlayerGrades+'!$AB$9,"B-",IF(F247&lt;'PlayerGrades+'!$AB$8,"B",IF(F247&lt;'PlayerGrades+'!$AB$7,"B+",IF(F247&lt;'PlayerGrades+'!$AB$6,"A-",IF(F247&lt;'PlayerGrades+'!$AB$5,"A",IF(F247&lt;'PlayerGrades+'!$AB$4,"A+",IF(F247&lt;'PlayerGrades+'!$AB$3,"S-",IF(F247&lt;'PlayerGrades+'!$AB$2,"S","S+"))))))))))))))))))))</f>
        <v>C+</v>
      </c>
      <c r="H247" s="937">
        <f t="shared" si="3"/>
        <v>0.2404809619</v>
      </c>
      <c r="I247" s="937" t="str">
        <f>IF(H247&lt;'PlayerGrades+'!$AC$21,"F-",IF(H247&lt;'PlayerGrades+'!$AC$20,"F",IF(H247&lt;'PlayerGrades+'!$AC$19,"F+",IF(H247&lt;'PlayerGrades+'!$AC$18,"E-",IF(H247&lt;'PlayerGrades+'!$AC$17,"E",IF(H247&lt;'PlayerGrades+'!$AC$16,"E+",IF(H247&lt;'PlayerGrades+'!$AC$15,"D-",IF(H247&lt;'PlayerGrades+'!$AC$14,"D",IF(H247&lt;'PlayerGrades+'!$AC$13,"D+",IF(H247&lt;'PlayerGrades+'!$AC$12,"C-",IF(H247&lt;'PlayerGrades+'!$AC$11,"C",IF(H247&lt;'PlayerGrades+'!$AC$10,"C+",IF(H247&lt;'PlayerGrades+'!$AC$9,"B-",IF(H247&lt;'PlayerGrades+'!$AC$8,"B",IF(H247&lt;'PlayerGrades+'!$AC$7,"B+",IF(H247&lt;'PlayerGrades+'!$AC$6,"A-",IF(H247&lt;'PlayerGrades+'!$AC$5,"A",IF(H247&lt;'PlayerGrades+'!$AC$4,"A+",IF(H247&lt;'PlayerGrades+'!$AC$3,"S-",IF(H247&lt;'PlayerGrades+'!$AC$2,"S","S+"))))))))))))))))))))</f>
        <v>S</v>
      </c>
      <c r="J247" s="937">
        <f t="shared" si="4"/>
        <v>0</v>
      </c>
      <c r="K247" s="937" t="str">
        <f>IF(J247&lt;'PlayerGrades+'!$AD$21,"F-",IF(J247&lt;'PlayerGrades+'!$AD$20,"F",IF(J247&lt;'PlayerGrades+'!$AD$19,"F+",IF(J247&lt;'PlayerGrades+'!$AD$18,"E-",IF(J247&lt;'PlayerGrades+'!$AD$17,"E",IF(J247&lt;'PlayerGrades+'!$AD$16,"E+",IF(J247&lt;'PlayerGrades+'!$AD$15,"D-",IF(J247&lt;'PlayerGrades+'!$AD$14,"D",IF(J247&lt;'PlayerGrades+'!$AD$13,"D+",IF(J247&lt;'PlayerGrades+'!$AD$12,"C-",IF(J247&lt;'PlayerGrades+'!$AD$11,"C",IF(J247&lt;'PlayerGrades+'!$AD$10,"C+",IF(J247&lt;'PlayerGrades+'!$AD$9,"B-",IF(J247&lt;'PlayerGrades+'!$AD$8,"B",IF(J247&lt;'PlayerGrades+'!$AD$7,"B+",IF(J247&lt;'PlayerGrades+'!$AD$6,"A-",IF(J247&lt;'PlayerGrades+'!$AD$5,"A",IF(J247&lt;'PlayerGrades+'!$AD$4,"A+",IF(J247&lt;'PlayerGrades+'!$AD$3,"S-",IF(J247&lt;'PlayerGrades+'!$AD$2,"S","S+"))))))))))))))))))))</f>
        <v>F-</v>
      </c>
      <c r="L247" s="677">
        <f t="shared" si="5"/>
        <v>0.4809619238</v>
      </c>
      <c r="M247" s="938" t="str">
        <f>IF(L247&lt;'PlayerGrades+'!$AE$21,"F-",IF(L247&lt;'PlayerGrades+'!$AE$20,"F",IF(L247&lt;'PlayerGrades+'!$AE$19,"F+",IF(L247&lt;'PlayerGrades+'!$AE$18,"E-",IF(L247&lt;'PlayerGrades+'!$AE$17,"E",IF(L247&lt;'PlayerGrades+'!$AE$16,"E+",IF(L247&lt;'PlayerGrades+'!$AE$15,"D-",IF(L247&lt;'PlayerGrades+'!$AE$14,"D",IF(L247&lt;'PlayerGrades+'!$AE$13,"D+",IF(L247&lt;'PlayerGrades+'!$AE$12,"C-",IF(L247&lt;'PlayerGrades+'!$AE$11,"C",IF(L247&lt;'PlayerGrades+'!$AE$10,"C+",IF(L247&lt;'PlayerGrades+'!$AE$9,"B-",IF(L247&lt;'PlayerGrades+'!$AE$8,"B",IF(L247&lt;'PlayerGrades+'!$AE$7,"B+",IF(L247&lt;'PlayerGrades+'!$AE$6,"A-",IF(L247&lt;'PlayerGrades+'!$AE$5,"A",IF(L247&lt;'PlayerGrades+'!$AE$4,"A+",IF(L247&lt;'PlayerGrades+'!$AE$3,"S-",IF(L247&lt;'PlayerGrades+'!$AE$2,"S","S+"))))))))))))))))))))</f>
        <v>B+</v>
      </c>
      <c r="N247" s="937">
        <f t="shared" si="6"/>
        <v>0.08016032064</v>
      </c>
      <c r="O247" s="937" t="str">
        <f>IF(N247&lt;'PlayerGrades+'!$AF$21,"F-",IF(N247&lt;'PlayerGrades+'!$AF$20,"F",IF(N247&lt;'PlayerGrades+'!$AF$19,"F+",IF(N247&lt;'PlayerGrades+'!$AF$18,"E-",IF(N247&lt;'PlayerGrades+'!$AF$17,"E",IF(N247&lt;'PlayerGrades+'!$AF$16,"E+",IF(N247&lt;'PlayerGrades+'!$AF$15,"D-",IF(N247&lt;'PlayerGrades+'!$AF$14,"D",IF(N247&lt;'PlayerGrades+'!$AF$13,"D+",IF(N247&lt;'PlayerGrades+'!$AF$12,"C-",IF(N247&lt;'PlayerGrades+'!$AF$11,"C",IF(N247&lt;'PlayerGrades+'!$AF$10,"C+",IF(N247&lt;'PlayerGrades+'!$AF$9,"B-",IF(N247&lt;'PlayerGrades+'!$AF$8,"B",IF(N247&lt;'PlayerGrades+'!$AF$7,"B+",IF(N247&lt;'PlayerGrades+'!$AF$6,"A-",IF(N247&lt;'PlayerGrades+'!$AF$5,"A",IF(N247&lt;'PlayerGrades+'!$AF$4,"A+",IF(N247&lt;'PlayerGrades+'!$AF$3,"S-",IF(N247&lt;'PlayerGrades+'!$AF$2,"S","S+"))))))))))))))))))))</f>
        <v>B-</v>
      </c>
      <c r="P247" s="937">
        <f t="shared" si="7"/>
        <v>0</v>
      </c>
      <c r="Q247" s="937" t="str">
        <f>IF(P247&lt;'PlayerGrades+'!$AG$21,"F-",IF(P247&lt;'PlayerGrades+'!$AG$20,"F",IF(P247&lt;'PlayerGrades+'!$AG$19,"F+",IF(P247&lt;'PlayerGrades+'!$AG$18,"E-",IF(P247&lt;'PlayerGrades+'!$AG$17,"E",IF(P247&lt;'PlayerGrades+'!$AG$16,"E+",IF(P247&lt;'PlayerGrades+'!$AG$15,"D-",IF(P247&lt;'PlayerGrades+'!$AG$14,"D",IF(P247&lt;'PlayerGrades+'!$AG$13,"D+",IF(P247&lt;'PlayerGrades+'!$AG$12,"C-",IF(P247&lt;'PlayerGrades+'!$AG$11,"C",IF(P247&lt;'PlayerGrades+'!$AG$10,"C+",IF(P247&lt;'PlayerGrades+'!$AG$9,"B-",IF(P247&lt;'PlayerGrades+'!$AG$8,"B",IF(P247&lt;'PlayerGrades+'!$AG$7,"B+",IF(P247&lt;'PlayerGrades+'!$AG$6,"A-",IF(P247&lt;'PlayerGrades+'!$AG$5,"A",IF(P247&lt;'PlayerGrades+'!$AG$4,"A+",IF(P247&lt;'PlayerGrades+'!$AG$3,"S-",IF(P247&lt;'PlayerGrades+'!$AG$2,"S","S+"))))))))))))))))))))</f>
        <v>F</v>
      </c>
      <c r="R247" s="937">
        <f t="shared" si="8"/>
        <v>0.4008016032</v>
      </c>
      <c r="S247" s="937" t="str">
        <f>IF(R247&lt;'PlayerGrades+'!$AH$21,"F-",IF(R247&lt;'PlayerGrades+'!$AH$20,"F",IF(R247&lt;'PlayerGrades+'!$AH$19,"F+",IF(R247&lt;'PlayerGrades+'!$AH$18,"E-",IF(R247&lt;'PlayerGrades+'!$AH$17,"E",IF(R247&lt;'PlayerGrades+'!$AH$16,"E+",IF(R247&lt;'PlayerGrades+'!$AH$15,"D-",IF(R247&lt;'PlayerGrades+'!$AH$14,"D",IF(R247&lt;'PlayerGrades+'!$AH$13,"D+",IF(R247&lt;'PlayerGrades+'!$AH$12,"C-",IF(R247&lt;'PlayerGrades+'!$AH$11,"C",IF(R247&lt;'PlayerGrades+'!$AH$10,"C+",IF(R247&lt;'PlayerGrades+'!$AH$9,"B-",IF(R247&lt;'PlayerGrades+'!$AH$8,"B",IF(R247&lt;'PlayerGrades+'!$AH$7,"B+",IF(R247&lt;'PlayerGrades+'!$AH$6,"A-",IF(R247&lt;'PlayerGrades+'!$AH$5,"A",IF(R247&lt;'PlayerGrades+'!$AH$4,"A+",IF(R247&lt;'PlayerGrades+'!$AH$3,"S-",IF(R247&lt;'PlayerGrades+'!$AH$2,"S","S+"))))))))))))))))))))</f>
        <v>F+</v>
      </c>
      <c r="T247" s="937">
        <f t="shared" si="9"/>
        <v>1.320641283</v>
      </c>
      <c r="U247" s="937" t="str">
        <f>IF(T247&lt;'PlayerGrades+'!$AI$21,"F-",IF(T247&lt;'PlayerGrades+'!$AI$20,"F",IF(T247&lt;'PlayerGrades+'!$AI$19,"F+",IF(T247&lt;'PlayerGrades+'!$AI$18,"E-",IF(T247&lt;'PlayerGrades+'!$AI$17,"E",IF(T247&lt;'PlayerGrades+'!$AI$16,"E+",IF(T247&lt;'PlayerGrades+'!$AI$15,"D-",IF(T247&lt;'PlayerGrades+'!$AI$14,"D",IF(T247&lt;'PlayerGrades+'!$AI$13,"D+",IF(T247&lt;'PlayerGrades+'!$AI$12,"C-",IF(T247&lt;'PlayerGrades+'!$AI$11,"C",IF(T247&lt;'PlayerGrades+'!$AI$10,"C+",IF(T247&lt;'PlayerGrades+'!$AI$9,"B-",IF(T247&lt;'PlayerGrades+'!$AI$8,"B",IF(T247&lt;'PlayerGrades+'!$AI$7,"B+",IF(T247&lt;'PlayerGrades+'!$AI$6,"A-",IF(T247&lt;'PlayerGrades+'!$AI$5,"A",IF(T247&lt;'PlayerGrades+'!$AI$4,"A+",IF(T247&lt;'PlayerGrades+'!$AI$3,"S-",IF(T247&lt;'PlayerGrades+'!$AI$2,"S","S+"))))))))))))))))))))</f>
        <v>C+</v>
      </c>
      <c r="V247" s="941">
        <v>1.0</v>
      </c>
      <c r="W247" s="941">
        <v>0.0</v>
      </c>
      <c r="X247" s="941">
        <v>1.0</v>
      </c>
      <c r="Y247" s="941">
        <v>1.0</v>
      </c>
      <c r="Z247" s="941">
        <v>4.0</v>
      </c>
      <c r="AA247" s="941">
        <v>78.0</v>
      </c>
      <c r="AB247" s="941">
        <v>83.0</v>
      </c>
      <c r="AC247" s="941">
        <v>-5.0</v>
      </c>
      <c r="AD247" s="941">
        <v>5.0</v>
      </c>
      <c r="AE247" s="941">
        <v>4.0</v>
      </c>
      <c r="AF247" s="941">
        <v>1.0</v>
      </c>
      <c r="AG247" s="941">
        <v>1156.0</v>
      </c>
      <c r="AH247" s="941">
        <v>1497.0</v>
      </c>
      <c r="AI247" s="941">
        <v>13.0</v>
      </c>
      <c r="AJ247" s="941">
        <v>326.0</v>
      </c>
      <c r="AK247" s="941">
        <v>0.0</v>
      </c>
      <c r="AL247" s="941">
        <v>0.0</v>
      </c>
      <c r="AM247" s="941">
        <v>0.0</v>
      </c>
      <c r="AN247" s="941">
        <v>0.0</v>
      </c>
      <c r="AO247" s="941">
        <v>0.0</v>
      </c>
      <c r="AP247" s="941">
        <v>0.0</v>
      </c>
      <c r="AQ247" s="941">
        <v>0.0</v>
      </c>
      <c r="AR247" s="941">
        <v>12.0</v>
      </c>
      <c r="AS247" s="941">
        <v>2.0</v>
      </c>
      <c r="AT247" s="941">
        <v>0.0</v>
      </c>
      <c r="AU247" s="941">
        <v>0.0</v>
      </c>
      <c r="AV247" s="941">
        <v>0.0</v>
      </c>
      <c r="AW247" s="941">
        <v>0.0</v>
      </c>
      <c r="AX247" s="941">
        <v>0.0</v>
      </c>
      <c r="AY247" s="941">
        <v>0.0</v>
      </c>
      <c r="AZ247" s="941">
        <v>0.0</v>
      </c>
      <c r="BA247" s="941">
        <v>0.0</v>
      </c>
      <c r="BB247" s="941">
        <v>6.0</v>
      </c>
      <c r="BC247" s="941">
        <v>0.0</v>
      </c>
      <c r="BD247" s="941">
        <v>5.0</v>
      </c>
      <c r="BE247" s="941">
        <v>8.0</v>
      </c>
      <c r="BF247" s="941">
        <v>1.0</v>
      </c>
      <c r="BG247" s="942">
        <v>0.0</v>
      </c>
    </row>
    <row r="248">
      <c r="A248" s="935" t="s">
        <v>166</v>
      </c>
      <c r="B248" s="16" t="str">
        <f>IF(C248&lt;'PlayerGrades+'!$Y$44,"F-",IF(C248&lt;'PlayerGrades+'!$Y$43,"F",IF(C248&lt;'PlayerGrades+'!$Y$42,"F+",IF(C248&lt;'PlayerGrades+'!$Y$41,"E-",IF(C248&lt;'PlayerGrades+'!$Y$40,"E",IF(C248&lt;'PlayerGrades+'!$Y$39,"E+",IF(C248&lt;'PlayerGrades+'!$Y$38,"D-",IF(C248&lt;'PlayerGrades+'!$Y$37,"D",IF(C248&lt;'PlayerGrades+'!$Y$36,"D+",IF(C248&lt;'PlayerGrades+'!$Y$35,"C-",IF(C248&lt;'PlayerGrades+'!$Y$34,"C",IF(C248&lt;'PlayerGrades+'!$Y$33,"C+",IF(C248&lt;'PlayerGrades+'!$Y$32,"B-",IF(C248&lt;'PlayerGrades+'!$Y$31,"B",IF(C248&lt;'PlayerGrades+'!$Y$30,"B+",IF(C248&lt;'PlayerGrades+'!$Y$29,"A-",IF(C248&lt;'PlayerGrades+'!$Y$28,"A",IF(C248&lt;'PlayerGrades+'!$Y$27,"A+",IF(C248&lt;'PlayerGrades+'!$Y$26,"S-",IF(C248&lt;'PlayerGrades+'!$Y$25,"S","S+"))))))))))))))))))))</f>
        <v>D</v>
      </c>
      <c r="C248" s="936">
        <f>('PlayerGrades+'!$Y$47*(VLOOKUP(E248, 'PlayerGrades+'!$X$3:$Y$23, 2, FALSE)))+('PlayerGrades+'!$Y$48*(VLOOKUP(G248, 'PlayerGrades+'!$X$3:$Y$23, 2, FALSE)))+('PlayerGrades+'!$Y$49*(VLOOKUP(I248, 'PlayerGrades+'!$X$3:$Y$23, 2, FALSE)))+('PlayerGrades+'!$Y$50*(VLOOKUP(K248, 'PlayerGrades+'!$X$3:$Y$23, 2, FALSE)))+('PlayerGrades+'!$Y$51*(VLOOKUP(M248, 'PlayerGrades+'!$X$3:$Y$23, 2, FALSE)))+('PlayerGrades+'!$Y$52*(VLOOKUP(O248, 'PlayerGrades+'!$X$3:$Y$23, 2, FALSE)))+('PlayerGrades+'!$Y$53*(VLOOKUP(Q248, 'PlayerGrades+'!$X$3:$Y$23, 2, FALSE)))+('PlayerGrades+'!$Y$54*(VLOOKUP(S248, 'PlayerGrades+'!$X$3:$Y$23, 2, FALSE)))+('PlayerGrades+'!$Y$55*(VLOOKUP(U248, 'PlayerGrades+'!$X$3:$Y$23, 2, FALSE)))</f>
        <v>15.65</v>
      </c>
      <c r="D248" s="937">
        <f t="shared" si="1"/>
        <v>0.04008016032</v>
      </c>
      <c r="E248" s="937" t="str">
        <f>IF(D248&lt;'PlayerGrades+'!$AA$21,"F-",IF(D248&lt;'PlayerGrades+'!$AA$20,"F",IF(D248&lt;'PlayerGrades+'!$AA$19,"F+",IF(D248&lt;'PlayerGrades+'!$AA$18,"E-",IF(D248&lt;'PlayerGrades+'!$AA$17,"E",IF(D248&lt;'PlayerGrades+'!$AA$16,"E+",IF(D248&lt;'PlayerGrades+'!$AA$15,"D-",IF(D248&lt;'PlayerGrades+'!$AA$14,"D",IF(D248&lt;'PlayerGrades+'!$AA$13,"D+",IF(D248&lt;'PlayerGrades+'!$AA$12,"C-",IF(D248&lt;'PlayerGrades+'!$AA$11,"C",IF(D248&lt;'PlayerGrades+'!$AA$10,"C+",IF(D248&lt;'PlayerGrades+'!$AA$9,"B-",IF(D248&lt;'PlayerGrades+'!$AA$8,"B",IF(D248&lt;'PlayerGrades+'!$AA$7,"B+",IF(D248&lt;'PlayerGrades+'!$AA$6,"A-",IF(D248&lt;'PlayerGrades+'!$AA$5,"A",IF(D248&lt;'PlayerGrades+'!$AA$4,"A+",IF(D248&lt;'PlayerGrades+'!$AA$3,"S-",IF(D248&lt;'PlayerGrades+'!$AA$2,"S","S+"))))))))))))))))))))</f>
        <v>C</v>
      </c>
      <c r="F248" s="937">
        <f t="shared" si="2"/>
        <v>-1.883767535</v>
      </c>
      <c r="G248" s="937" t="str">
        <f>IF(F248&lt;'PlayerGrades+'!$AB$21,"F-",IF(F248&lt;'PlayerGrades+'!$AB$20,"F",IF(F248&lt;'PlayerGrades+'!$AB$19,"F+",IF(F248&lt;'PlayerGrades+'!$AB$18,"E-",IF(F248&lt;'PlayerGrades+'!$AB$17,"E",IF(F248&lt;'PlayerGrades+'!$AB$16,"E+",IF(F248&lt;'PlayerGrades+'!$AB$15,"D-",IF(F248&lt;'PlayerGrades+'!$AB$14,"D",IF(F248&lt;'PlayerGrades+'!$AB$13,"D+",IF(F248&lt;'PlayerGrades+'!$AB$12,"C-",IF(F248&lt;'PlayerGrades+'!$AB$11,"C",IF(F248&lt;'PlayerGrades+'!$AB$10,"C+",IF(F248&lt;'PlayerGrades+'!$AB$9,"B-",IF(F248&lt;'PlayerGrades+'!$AB$8,"B",IF(F248&lt;'PlayerGrades+'!$AB$7,"B+",IF(F248&lt;'PlayerGrades+'!$AB$6,"A-",IF(F248&lt;'PlayerGrades+'!$AB$5,"A",IF(F248&lt;'PlayerGrades+'!$AB$4,"A+",IF(F248&lt;'PlayerGrades+'!$AB$3,"S-",IF(F248&lt;'PlayerGrades+'!$AB$2,"S","S+"))))))))))))))))))))</f>
        <v>F-</v>
      </c>
      <c r="H248" s="937">
        <f t="shared" si="3"/>
        <v>0.08016032064</v>
      </c>
      <c r="I248" s="937" t="str">
        <f>IF(H248&lt;'PlayerGrades+'!$AC$21,"F-",IF(H248&lt;'PlayerGrades+'!$AC$20,"F",IF(H248&lt;'PlayerGrades+'!$AC$19,"F+",IF(H248&lt;'PlayerGrades+'!$AC$18,"E-",IF(H248&lt;'PlayerGrades+'!$AC$17,"E",IF(H248&lt;'PlayerGrades+'!$AC$16,"E+",IF(H248&lt;'PlayerGrades+'!$AC$15,"D-",IF(H248&lt;'PlayerGrades+'!$AC$14,"D",IF(H248&lt;'PlayerGrades+'!$AC$13,"D+",IF(H248&lt;'PlayerGrades+'!$AC$12,"C-",IF(H248&lt;'PlayerGrades+'!$AC$11,"C",IF(H248&lt;'PlayerGrades+'!$AC$10,"C+",IF(H248&lt;'PlayerGrades+'!$AC$9,"B-",IF(H248&lt;'PlayerGrades+'!$AC$8,"B",IF(H248&lt;'PlayerGrades+'!$AC$7,"B+",IF(H248&lt;'PlayerGrades+'!$AC$6,"A-",IF(H248&lt;'PlayerGrades+'!$AC$5,"A",IF(H248&lt;'PlayerGrades+'!$AC$4,"A+",IF(H248&lt;'PlayerGrades+'!$AC$3,"S-",IF(H248&lt;'PlayerGrades+'!$AC$2,"S","S+"))))))))))))))))))))</f>
        <v>D-</v>
      </c>
      <c r="J248" s="937">
        <f t="shared" si="4"/>
        <v>0</v>
      </c>
      <c r="K248" s="937" t="str">
        <f>IF(J248&lt;'PlayerGrades+'!$AD$21,"F-",IF(J248&lt;'PlayerGrades+'!$AD$20,"F",IF(J248&lt;'PlayerGrades+'!$AD$19,"F+",IF(J248&lt;'PlayerGrades+'!$AD$18,"E-",IF(J248&lt;'PlayerGrades+'!$AD$17,"E",IF(J248&lt;'PlayerGrades+'!$AD$16,"E+",IF(J248&lt;'PlayerGrades+'!$AD$15,"D-",IF(J248&lt;'PlayerGrades+'!$AD$14,"D",IF(J248&lt;'PlayerGrades+'!$AD$13,"D+",IF(J248&lt;'PlayerGrades+'!$AD$12,"C-",IF(J248&lt;'PlayerGrades+'!$AD$11,"C",IF(J248&lt;'PlayerGrades+'!$AD$10,"C+",IF(J248&lt;'PlayerGrades+'!$AD$9,"B-",IF(J248&lt;'PlayerGrades+'!$AD$8,"B",IF(J248&lt;'PlayerGrades+'!$AD$7,"B+",IF(J248&lt;'PlayerGrades+'!$AD$6,"A-",IF(J248&lt;'PlayerGrades+'!$AD$5,"A",IF(J248&lt;'PlayerGrades+'!$AD$4,"A+",IF(J248&lt;'PlayerGrades+'!$AD$3,"S-",IF(J248&lt;'PlayerGrades+'!$AD$2,"S","S+"))))))))))))))))))))</f>
        <v>F-</v>
      </c>
      <c r="L248" s="677">
        <f t="shared" si="5"/>
        <v>0.4008016032</v>
      </c>
      <c r="M248" s="938" t="str">
        <f>IF(L248&lt;'PlayerGrades+'!$AE$21,"F-",IF(L248&lt;'PlayerGrades+'!$AE$20,"F",IF(L248&lt;'PlayerGrades+'!$AE$19,"F+",IF(L248&lt;'PlayerGrades+'!$AE$18,"E-",IF(L248&lt;'PlayerGrades+'!$AE$17,"E",IF(L248&lt;'PlayerGrades+'!$AE$16,"E+",IF(L248&lt;'PlayerGrades+'!$AE$15,"D-",IF(L248&lt;'PlayerGrades+'!$AE$14,"D",IF(L248&lt;'PlayerGrades+'!$AE$13,"D+",IF(L248&lt;'PlayerGrades+'!$AE$12,"C-",IF(L248&lt;'PlayerGrades+'!$AE$11,"C",IF(L248&lt;'PlayerGrades+'!$AE$10,"C+",IF(L248&lt;'PlayerGrades+'!$AE$9,"B-",IF(L248&lt;'PlayerGrades+'!$AE$8,"B",IF(L248&lt;'PlayerGrades+'!$AE$7,"B+",IF(L248&lt;'PlayerGrades+'!$AE$6,"A-",IF(L248&lt;'PlayerGrades+'!$AE$5,"A",IF(L248&lt;'PlayerGrades+'!$AE$4,"A+",IF(L248&lt;'PlayerGrades+'!$AE$3,"S-",IF(L248&lt;'PlayerGrades+'!$AE$2,"S","S+"))))))))))))))))))))</f>
        <v>C</v>
      </c>
      <c r="N248" s="937">
        <f t="shared" si="6"/>
        <v>0.120240481</v>
      </c>
      <c r="O248" s="937" t="str">
        <f>IF(N248&lt;'PlayerGrades+'!$AF$21,"F-",IF(N248&lt;'PlayerGrades+'!$AF$20,"F",IF(N248&lt;'PlayerGrades+'!$AF$19,"F+",IF(N248&lt;'PlayerGrades+'!$AF$18,"E-",IF(N248&lt;'PlayerGrades+'!$AF$17,"E",IF(N248&lt;'PlayerGrades+'!$AF$16,"E+",IF(N248&lt;'PlayerGrades+'!$AF$15,"D-",IF(N248&lt;'PlayerGrades+'!$AF$14,"D",IF(N248&lt;'PlayerGrades+'!$AF$13,"D+",IF(N248&lt;'PlayerGrades+'!$AF$12,"C-",IF(N248&lt;'PlayerGrades+'!$AF$11,"C",IF(N248&lt;'PlayerGrades+'!$AF$10,"C+",IF(N248&lt;'PlayerGrades+'!$AF$9,"B-",IF(N248&lt;'PlayerGrades+'!$AF$8,"B",IF(N248&lt;'PlayerGrades+'!$AF$7,"B+",IF(N248&lt;'PlayerGrades+'!$AF$6,"A-",IF(N248&lt;'PlayerGrades+'!$AF$5,"A",IF(N248&lt;'PlayerGrades+'!$AF$4,"A+",IF(N248&lt;'PlayerGrades+'!$AF$3,"S-",IF(N248&lt;'PlayerGrades+'!$AF$2,"S","S+"))))))))))))))))))))</f>
        <v>S-</v>
      </c>
      <c r="P248" s="937">
        <f t="shared" si="7"/>
        <v>0</v>
      </c>
      <c r="Q248" s="937" t="str">
        <f>IF(P248&lt;'PlayerGrades+'!$AG$21,"F-",IF(P248&lt;'PlayerGrades+'!$AG$20,"F",IF(P248&lt;'PlayerGrades+'!$AG$19,"F+",IF(P248&lt;'PlayerGrades+'!$AG$18,"E-",IF(P248&lt;'PlayerGrades+'!$AG$17,"E",IF(P248&lt;'PlayerGrades+'!$AG$16,"E+",IF(P248&lt;'PlayerGrades+'!$AG$15,"D-",IF(P248&lt;'PlayerGrades+'!$AG$14,"D",IF(P248&lt;'PlayerGrades+'!$AG$13,"D+",IF(P248&lt;'PlayerGrades+'!$AG$12,"C-",IF(P248&lt;'PlayerGrades+'!$AG$11,"C",IF(P248&lt;'PlayerGrades+'!$AG$10,"C+",IF(P248&lt;'PlayerGrades+'!$AG$9,"B-",IF(P248&lt;'PlayerGrades+'!$AG$8,"B",IF(P248&lt;'PlayerGrades+'!$AG$7,"B+",IF(P248&lt;'PlayerGrades+'!$AG$6,"A-",IF(P248&lt;'PlayerGrades+'!$AG$5,"A",IF(P248&lt;'PlayerGrades+'!$AG$4,"A+",IF(P248&lt;'PlayerGrades+'!$AG$3,"S-",IF(P248&lt;'PlayerGrades+'!$AG$2,"S","S+"))))))))))))))))))))</f>
        <v>F</v>
      </c>
      <c r="R248" s="937">
        <f t="shared" si="8"/>
        <v>0.3206412826</v>
      </c>
      <c r="S248" s="937" t="str">
        <f>IF(R248&lt;'PlayerGrades+'!$AH$21,"F-",IF(R248&lt;'PlayerGrades+'!$AH$20,"F",IF(R248&lt;'PlayerGrades+'!$AH$19,"F+",IF(R248&lt;'PlayerGrades+'!$AH$18,"E-",IF(R248&lt;'PlayerGrades+'!$AH$17,"E",IF(R248&lt;'PlayerGrades+'!$AH$16,"E+",IF(R248&lt;'PlayerGrades+'!$AH$15,"D-",IF(R248&lt;'PlayerGrades+'!$AH$14,"D",IF(R248&lt;'PlayerGrades+'!$AH$13,"D+",IF(R248&lt;'PlayerGrades+'!$AH$12,"C-",IF(R248&lt;'PlayerGrades+'!$AH$11,"C",IF(R248&lt;'PlayerGrades+'!$AH$10,"C+",IF(R248&lt;'PlayerGrades+'!$AH$9,"B-",IF(R248&lt;'PlayerGrades+'!$AH$8,"B",IF(R248&lt;'PlayerGrades+'!$AH$7,"B+",IF(R248&lt;'PlayerGrades+'!$AH$6,"A-",IF(R248&lt;'PlayerGrades+'!$AH$5,"A",IF(R248&lt;'PlayerGrades+'!$AH$4,"A+",IF(R248&lt;'PlayerGrades+'!$AH$3,"S-",IF(R248&lt;'PlayerGrades+'!$AH$2,"S","S+"))))))))))))))))))))</f>
        <v>F</v>
      </c>
      <c r="T248" s="937">
        <f t="shared" si="9"/>
        <v>1.400801603</v>
      </c>
      <c r="U248" s="937" t="str">
        <f>IF(T248&lt;'PlayerGrades+'!$AI$21,"F-",IF(T248&lt;'PlayerGrades+'!$AI$20,"F",IF(T248&lt;'PlayerGrades+'!$AI$19,"F+",IF(T248&lt;'PlayerGrades+'!$AI$18,"E-",IF(T248&lt;'PlayerGrades+'!$AI$17,"E",IF(T248&lt;'PlayerGrades+'!$AI$16,"E+",IF(T248&lt;'PlayerGrades+'!$AI$15,"D-",IF(T248&lt;'PlayerGrades+'!$AI$14,"D",IF(T248&lt;'PlayerGrades+'!$AI$13,"D+",IF(T248&lt;'PlayerGrades+'!$AI$12,"C-",IF(T248&lt;'PlayerGrades+'!$AI$11,"C",IF(T248&lt;'PlayerGrades+'!$AI$10,"C+",IF(T248&lt;'PlayerGrades+'!$AI$9,"B-",IF(T248&lt;'PlayerGrades+'!$AI$8,"B",IF(T248&lt;'PlayerGrades+'!$AI$7,"B+",IF(T248&lt;'PlayerGrades+'!$AI$6,"A-",IF(T248&lt;'PlayerGrades+'!$AI$5,"A",IF(T248&lt;'PlayerGrades+'!$AI$4,"A+",IF(T248&lt;'PlayerGrades+'!$AI$3,"S-",IF(T248&lt;'PlayerGrades+'!$AI$2,"S","S+"))))))))))))))))))))</f>
        <v>B</v>
      </c>
      <c r="V248" s="941">
        <v>1.0</v>
      </c>
      <c r="W248" s="941">
        <v>0.0</v>
      </c>
      <c r="X248" s="941">
        <v>1.0</v>
      </c>
      <c r="Y248" s="941">
        <v>0.0</v>
      </c>
      <c r="Z248" s="941">
        <v>1.0</v>
      </c>
      <c r="AA248" s="941">
        <v>74.0</v>
      </c>
      <c r="AB248" s="941">
        <v>121.0</v>
      </c>
      <c r="AC248" s="941">
        <v>-47.0</v>
      </c>
      <c r="AD248" s="941">
        <v>2.0</v>
      </c>
      <c r="AE248" s="941">
        <v>4.0</v>
      </c>
      <c r="AF248" s="941">
        <v>2.0</v>
      </c>
      <c r="AG248" s="941">
        <v>1043.0</v>
      </c>
      <c r="AH248" s="941">
        <v>1497.0</v>
      </c>
      <c r="AI248" s="941">
        <v>8.0</v>
      </c>
      <c r="AJ248" s="941">
        <v>19.0</v>
      </c>
      <c r="AK248" s="941">
        <v>0.0</v>
      </c>
      <c r="AL248" s="941">
        <v>0.0</v>
      </c>
      <c r="AM248" s="941">
        <v>0.0</v>
      </c>
      <c r="AN248" s="941">
        <v>0.0</v>
      </c>
      <c r="AO248" s="941">
        <v>0.0</v>
      </c>
      <c r="AP248" s="941">
        <v>0.0</v>
      </c>
      <c r="AQ248" s="941">
        <v>0.0</v>
      </c>
      <c r="AR248" s="941">
        <v>10.0</v>
      </c>
      <c r="AS248" s="941">
        <v>3.0</v>
      </c>
      <c r="AT248" s="941">
        <v>0.0</v>
      </c>
      <c r="AU248" s="941">
        <v>0.0</v>
      </c>
      <c r="AV248" s="941">
        <v>0.0</v>
      </c>
      <c r="AW248" s="941">
        <v>0.0</v>
      </c>
      <c r="AX248" s="941">
        <v>0.0</v>
      </c>
      <c r="AY248" s="941">
        <v>0.0</v>
      </c>
      <c r="AZ248" s="941">
        <v>0.0</v>
      </c>
      <c r="BA248" s="941">
        <v>0.0</v>
      </c>
      <c r="BB248" s="941">
        <v>2.0</v>
      </c>
      <c r="BC248" s="941">
        <v>0.0</v>
      </c>
      <c r="BD248" s="941">
        <v>6.0</v>
      </c>
      <c r="BE248" s="941">
        <v>10.0</v>
      </c>
      <c r="BF248" s="941">
        <v>1.0</v>
      </c>
      <c r="BG248" s="942">
        <v>0.0</v>
      </c>
    </row>
    <row r="249">
      <c r="A249" s="943" t="s">
        <v>139</v>
      </c>
      <c r="B249" s="16" t="str">
        <f>IF(C249&lt;'PlayerGrades+'!$Y$44,"F-",IF(C249&lt;'PlayerGrades+'!$Y$43,"F",IF(C249&lt;'PlayerGrades+'!$Y$42,"F+",IF(C249&lt;'PlayerGrades+'!$Y$41,"E-",IF(C249&lt;'PlayerGrades+'!$Y$40,"E",IF(C249&lt;'PlayerGrades+'!$Y$39,"E+",IF(C249&lt;'PlayerGrades+'!$Y$38,"D-",IF(C249&lt;'PlayerGrades+'!$Y$37,"D",IF(C249&lt;'PlayerGrades+'!$Y$36,"D+",IF(C249&lt;'PlayerGrades+'!$Y$35,"C-",IF(C249&lt;'PlayerGrades+'!$Y$34,"C",IF(C249&lt;'PlayerGrades+'!$Y$33,"C+",IF(C249&lt;'PlayerGrades+'!$Y$32,"B-",IF(C249&lt;'PlayerGrades+'!$Y$31,"B",IF(C249&lt;'PlayerGrades+'!$Y$30,"B+",IF(C249&lt;'PlayerGrades+'!$Y$29,"A-",IF(C249&lt;'PlayerGrades+'!$Y$28,"A",IF(C249&lt;'PlayerGrades+'!$Y$27,"A+",IF(C249&lt;'PlayerGrades+'!$Y$26,"S-",IF(C249&lt;'PlayerGrades+'!$Y$25,"S","S+"))))))))))))))))))))</f>
        <v>B-</v>
      </c>
      <c r="C249" s="936">
        <f>('PlayerGrades+'!$Y$47*(VLOOKUP(E249, 'PlayerGrades+'!$X$3:$Y$23, 2, FALSE)))+('PlayerGrades+'!$Y$48*(VLOOKUP(G249, 'PlayerGrades+'!$X$3:$Y$23, 2, FALSE)))+('PlayerGrades+'!$Y$49*(VLOOKUP(I249, 'PlayerGrades+'!$X$3:$Y$23, 2, FALSE)))+('PlayerGrades+'!$Y$50*(VLOOKUP(K249, 'PlayerGrades+'!$X$3:$Y$23, 2, FALSE)))+('PlayerGrades+'!$Y$51*(VLOOKUP(M249, 'PlayerGrades+'!$X$3:$Y$23, 2, FALSE)))+('PlayerGrades+'!$Y$52*(VLOOKUP(O249, 'PlayerGrades+'!$X$3:$Y$23, 2, FALSE)))+('PlayerGrades+'!$Y$53*(VLOOKUP(Q249, 'PlayerGrades+'!$X$3:$Y$23, 2, FALSE)))+('PlayerGrades+'!$Y$54*(VLOOKUP(S249, 'PlayerGrades+'!$X$3:$Y$23, 2, FALSE)))+('PlayerGrades+'!$Y$55*(VLOOKUP(U249, 'PlayerGrades+'!$X$3:$Y$23, 2, FALSE)))</f>
        <v>21.9</v>
      </c>
      <c r="D249" s="937">
        <f t="shared" si="1"/>
        <v>0.04008016032</v>
      </c>
      <c r="E249" s="937" t="str">
        <f>IF(D249&lt;'PlayerGrades+'!$AA$21,"F-",IF(D249&lt;'PlayerGrades+'!$AA$20,"F",IF(D249&lt;'PlayerGrades+'!$AA$19,"F+",IF(D249&lt;'PlayerGrades+'!$AA$18,"E-",IF(D249&lt;'PlayerGrades+'!$AA$17,"E",IF(D249&lt;'PlayerGrades+'!$AA$16,"E+",IF(D249&lt;'PlayerGrades+'!$AA$15,"D-",IF(D249&lt;'PlayerGrades+'!$AA$14,"D",IF(D249&lt;'PlayerGrades+'!$AA$13,"D+",IF(D249&lt;'PlayerGrades+'!$AA$12,"C-",IF(D249&lt;'PlayerGrades+'!$AA$11,"C",IF(D249&lt;'PlayerGrades+'!$AA$10,"C+",IF(D249&lt;'PlayerGrades+'!$AA$9,"B-",IF(D249&lt;'PlayerGrades+'!$AA$8,"B",IF(D249&lt;'PlayerGrades+'!$AA$7,"B+",IF(D249&lt;'PlayerGrades+'!$AA$6,"A-",IF(D249&lt;'PlayerGrades+'!$AA$5,"A",IF(D249&lt;'PlayerGrades+'!$AA$4,"A+",IF(D249&lt;'PlayerGrades+'!$AA$3,"S-",IF(D249&lt;'PlayerGrades+'!$AA$2,"S","S+"))))))))))))))))))))</f>
        <v>C</v>
      </c>
      <c r="F249" s="937">
        <f t="shared" si="2"/>
        <v>-0.3607214429</v>
      </c>
      <c r="G249" s="937" t="str">
        <f>IF(F249&lt;'PlayerGrades+'!$AB$21,"F-",IF(F249&lt;'PlayerGrades+'!$AB$20,"F",IF(F249&lt;'PlayerGrades+'!$AB$19,"F+",IF(F249&lt;'PlayerGrades+'!$AB$18,"E-",IF(F249&lt;'PlayerGrades+'!$AB$17,"E",IF(F249&lt;'PlayerGrades+'!$AB$16,"E+",IF(F249&lt;'PlayerGrades+'!$AB$15,"D-",IF(F249&lt;'PlayerGrades+'!$AB$14,"D",IF(F249&lt;'PlayerGrades+'!$AB$13,"D+",IF(F249&lt;'PlayerGrades+'!$AB$12,"C-",IF(F249&lt;'PlayerGrades+'!$AB$11,"C",IF(F249&lt;'PlayerGrades+'!$AB$10,"C+",IF(F249&lt;'PlayerGrades+'!$AB$9,"B-",IF(F249&lt;'PlayerGrades+'!$AB$8,"B",IF(F249&lt;'PlayerGrades+'!$AB$7,"B+",IF(F249&lt;'PlayerGrades+'!$AB$6,"A-",IF(F249&lt;'PlayerGrades+'!$AB$5,"A",IF(F249&lt;'PlayerGrades+'!$AB$4,"A+",IF(F249&lt;'PlayerGrades+'!$AB$3,"S-",IF(F249&lt;'PlayerGrades+'!$AB$2,"S","S+"))))))))))))))))))))</f>
        <v>C-</v>
      </c>
      <c r="H249" s="937">
        <f t="shared" si="3"/>
        <v>0.2004008016</v>
      </c>
      <c r="I249" s="937" t="str">
        <f>IF(H249&lt;'PlayerGrades+'!$AC$21,"F-",IF(H249&lt;'PlayerGrades+'!$AC$20,"F",IF(H249&lt;'PlayerGrades+'!$AC$19,"F+",IF(H249&lt;'PlayerGrades+'!$AC$18,"E-",IF(H249&lt;'PlayerGrades+'!$AC$17,"E",IF(H249&lt;'PlayerGrades+'!$AC$16,"E+",IF(H249&lt;'PlayerGrades+'!$AC$15,"D-",IF(H249&lt;'PlayerGrades+'!$AC$14,"D",IF(H249&lt;'PlayerGrades+'!$AC$13,"D+",IF(H249&lt;'PlayerGrades+'!$AC$12,"C-",IF(H249&lt;'PlayerGrades+'!$AC$11,"C",IF(H249&lt;'PlayerGrades+'!$AC$10,"C+",IF(H249&lt;'PlayerGrades+'!$AC$9,"B-",IF(H249&lt;'PlayerGrades+'!$AC$8,"B",IF(H249&lt;'PlayerGrades+'!$AC$7,"B+",IF(H249&lt;'PlayerGrades+'!$AC$6,"A-",IF(H249&lt;'PlayerGrades+'!$AC$5,"A",IF(H249&lt;'PlayerGrades+'!$AC$4,"A+",IF(H249&lt;'PlayerGrades+'!$AC$3,"S-",IF(H249&lt;'PlayerGrades+'!$AC$2,"S","S+"))))))))))))))))))))</f>
        <v>S</v>
      </c>
      <c r="J249" s="937">
        <f t="shared" si="4"/>
        <v>0</v>
      </c>
      <c r="K249" s="937" t="str">
        <f>IF(J249&lt;'PlayerGrades+'!$AD$21,"F-",IF(J249&lt;'PlayerGrades+'!$AD$20,"F",IF(J249&lt;'PlayerGrades+'!$AD$19,"F+",IF(J249&lt;'PlayerGrades+'!$AD$18,"E-",IF(J249&lt;'PlayerGrades+'!$AD$17,"E",IF(J249&lt;'PlayerGrades+'!$AD$16,"E+",IF(J249&lt;'PlayerGrades+'!$AD$15,"D-",IF(J249&lt;'PlayerGrades+'!$AD$14,"D",IF(J249&lt;'PlayerGrades+'!$AD$13,"D+",IF(J249&lt;'PlayerGrades+'!$AD$12,"C-",IF(J249&lt;'PlayerGrades+'!$AD$11,"C",IF(J249&lt;'PlayerGrades+'!$AD$10,"C+",IF(J249&lt;'PlayerGrades+'!$AD$9,"B-",IF(J249&lt;'PlayerGrades+'!$AD$8,"B",IF(J249&lt;'PlayerGrades+'!$AD$7,"B+",IF(J249&lt;'PlayerGrades+'!$AD$6,"A-",IF(J249&lt;'PlayerGrades+'!$AD$5,"A",IF(J249&lt;'PlayerGrades+'!$AD$4,"A+",IF(J249&lt;'PlayerGrades+'!$AD$3,"S-",IF(J249&lt;'PlayerGrades+'!$AD$2,"S","S+"))))))))))))))))))))</f>
        <v>F-</v>
      </c>
      <c r="L249" s="677">
        <f t="shared" si="5"/>
        <v>0.6012024048</v>
      </c>
      <c r="M249" s="938" t="str">
        <f>IF(L249&lt;'PlayerGrades+'!$AE$21,"F-",IF(L249&lt;'PlayerGrades+'!$AE$20,"F",IF(L249&lt;'PlayerGrades+'!$AE$19,"F+",IF(L249&lt;'PlayerGrades+'!$AE$18,"E-",IF(L249&lt;'PlayerGrades+'!$AE$17,"E",IF(L249&lt;'PlayerGrades+'!$AE$16,"E+",IF(L249&lt;'PlayerGrades+'!$AE$15,"D-",IF(L249&lt;'PlayerGrades+'!$AE$14,"D",IF(L249&lt;'PlayerGrades+'!$AE$13,"D+",IF(L249&lt;'PlayerGrades+'!$AE$12,"C-",IF(L249&lt;'PlayerGrades+'!$AE$11,"C",IF(L249&lt;'PlayerGrades+'!$AE$10,"C+",IF(L249&lt;'PlayerGrades+'!$AE$9,"B-",IF(L249&lt;'PlayerGrades+'!$AE$8,"B",IF(L249&lt;'PlayerGrades+'!$AE$7,"B+",IF(L249&lt;'PlayerGrades+'!$AE$6,"A-",IF(L249&lt;'PlayerGrades+'!$AE$5,"A",IF(L249&lt;'PlayerGrades+'!$AE$4,"A+",IF(L249&lt;'PlayerGrades+'!$AE$3,"S-",IF(L249&lt;'PlayerGrades+'!$AE$2,"S","S+"))))))))))))))))))))</f>
        <v>A+</v>
      </c>
      <c r="N249" s="937">
        <f t="shared" si="6"/>
        <v>0.08016032064</v>
      </c>
      <c r="O249" s="937" t="str">
        <f>IF(N249&lt;'PlayerGrades+'!$AF$21,"F-",IF(N249&lt;'PlayerGrades+'!$AF$20,"F",IF(N249&lt;'PlayerGrades+'!$AF$19,"F+",IF(N249&lt;'PlayerGrades+'!$AF$18,"E-",IF(N249&lt;'PlayerGrades+'!$AF$17,"E",IF(N249&lt;'PlayerGrades+'!$AF$16,"E+",IF(N249&lt;'PlayerGrades+'!$AF$15,"D-",IF(N249&lt;'PlayerGrades+'!$AF$14,"D",IF(N249&lt;'PlayerGrades+'!$AF$13,"D+",IF(N249&lt;'PlayerGrades+'!$AF$12,"C-",IF(N249&lt;'PlayerGrades+'!$AF$11,"C",IF(N249&lt;'PlayerGrades+'!$AF$10,"C+",IF(N249&lt;'PlayerGrades+'!$AF$9,"B-",IF(N249&lt;'PlayerGrades+'!$AF$8,"B",IF(N249&lt;'PlayerGrades+'!$AF$7,"B+",IF(N249&lt;'PlayerGrades+'!$AF$6,"A-",IF(N249&lt;'PlayerGrades+'!$AF$5,"A",IF(N249&lt;'PlayerGrades+'!$AF$4,"A+",IF(N249&lt;'PlayerGrades+'!$AF$3,"S-",IF(N249&lt;'PlayerGrades+'!$AF$2,"S","S+"))))))))))))))))))))</f>
        <v>B-</v>
      </c>
      <c r="P249" s="937">
        <f t="shared" si="7"/>
        <v>0</v>
      </c>
      <c r="Q249" s="937" t="str">
        <f>IF(P249&lt;'PlayerGrades+'!$AG$21,"F-",IF(P249&lt;'PlayerGrades+'!$AG$20,"F",IF(P249&lt;'PlayerGrades+'!$AG$19,"F+",IF(P249&lt;'PlayerGrades+'!$AG$18,"E-",IF(P249&lt;'PlayerGrades+'!$AG$17,"E",IF(P249&lt;'PlayerGrades+'!$AG$16,"E+",IF(P249&lt;'PlayerGrades+'!$AG$15,"D-",IF(P249&lt;'PlayerGrades+'!$AG$14,"D",IF(P249&lt;'PlayerGrades+'!$AG$13,"D+",IF(P249&lt;'PlayerGrades+'!$AG$12,"C-",IF(P249&lt;'PlayerGrades+'!$AG$11,"C",IF(P249&lt;'PlayerGrades+'!$AG$10,"C+",IF(P249&lt;'PlayerGrades+'!$AG$9,"B-",IF(P249&lt;'PlayerGrades+'!$AG$8,"B",IF(P249&lt;'PlayerGrades+'!$AG$7,"B+",IF(P249&lt;'PlayerGrades+'!$AG$6,"A-",IF(P249&lt;'PlayerGrades+'!$AG$5,"A",IF(P249&lt;'PlayerGrades+'!$AG$4,"A+",IF(P249&lt;'PlayerGrades+'!$AG$3,"S-",IF(P249&lt;'PlayerGrades+'!$AG$2,"S","S+"))))))))))))))))))))</f>
        <v>F</v>
      </c>
      <c r="R249" s="937">
        <f t="shared" si="8"/>
        <v>0.5210420842</v>
      </c>
      <c r="S249" s="937" t="str">
        <f>IF(R249&lt;'PlayerGrades+'!$AH$21,"F-",IF(R249&lt;'PlayerGrades+'!$AH$20,"F",IF(R249&lt;'PlayerGrades+'!$AH$19,"F+",IF(R249&lt;'PlayerGrades+'!$AH$18,"E-",IF(R249&lt;'PlayerGrades+'!$AH$17,"E",IF(R249&lt;'PlayerGrades+'!$AH$16,"E+",IF(R249&lt;'PlayerGrades+'!$AH$15,"D-",IF(R249&lt;'PlayerGrades+'!$AH$14,"D",IF(R249&lt;'PlayerGrades+'!$AH$13,"D+",IF(R249&lt;'PlayerGrades+'!$AH$12,"C-",IF(R249&lt;'PlayerGrades+'!$AH$11,"C",IF(R249&lt;'PlayerGrades+'!$AH$10,"C+",IF(R249&lt;'PlayerGrades+'!$AH$9,"B-",IF(R249&lt;'PlayerGrades+'!$AH$8,"B",IF(R249&lt;'PlayerGrades+'!$AH$7,"B+",IF(R249&lt;'PlayerGrades+'!$AH$6,"A-",IF(R249&lt;'PlayerGrades+'!$AH$5,"A",IF(R249&lt;'PlayerGrades+'!$AH$4,"A+",IF(R249&lt;'PlayerGrades+'!$AH$3,"S-",IF(R249&lt;'PlayerGrades+'!$AH$2,"S","S+"))))))))))))))))))))</f>
        <v>C-</v>
      </c>
      <c r="T249" s="937">
        <f t="shared" si="9"/>
        <v>1.320641283</v>
      </c>
      <c r="U249" s="937" t="str">
        <f>IF(T249&lt;'PlayerGrades+'!$AI$21,"F-",IF(T249&lt;'PlayerGrades+'!$AI$20,"F",IF(T249&lt;'PlayerGrades+'!$AI$19,"F+",IF(T249&lt;'PlayerGrades+'!$AI$18,"E-",IF(T249&lt;'PlayerGrades+'!$AI$17,"E",IF(T249&lt;'PlayerGrades+'!$AI$16,"E+",IF(T249&lt;'PlayerGrades+'!$AI$15,"D-",IF(T249&lt;'PlayerGrades+'!$AI$14,"D",IF(T249&lt;'PlayerGrades+'!$AI$13,"D+",IF(T249&lt;'PlayerGrades+'!$AI$12,"C-",IF(T249&lt;'PlayerGrades+'!$AI$11,"C",IF(T249&lt;'PlayerGrades+'!$AI$10,"C+",IF(T249&lt;'PlayerGrades+'!$AI$9,"B-",IF(T249&lt;'PlayerGrades+'!$AI$8,"B",IF(T249&lt;'PlayerGrades+'!$AI$7,"B+",IF(T249&lt;'PlayerGrades+'!$AI$6,"A-",IF(T249&lt;'PlayerGrades+'!$AI$5,"A",IF(T249&lt;'PlayerGrades+'!$AI$4,"A+",IF(T249&lt;'PlayerGrades+'!$AI$3,"S-",IF(T249&lt;'PlayerGrades+'!$AI$2,"S","S+"))))))))))))))))))))</f>
        <v>C+</v>
      </c>
      <c r="V249" s="944">
        <v>1.0</v>
      </c>
      <c r="W249" s="944">
        <v>0.0</v>
      </c>
      <c r="X249" s="944">
        <v>1.0</v>
      </c>
      <c r="Y249" s="944">
        <v>0.0</v>
      </c>
      <c r="Z249" s="944">
        <v>1.0</v>
      </c>
      <c r="AA249" s="944">
        <v>86.0</v>
      </c>
      <c r="AB249" s="944">
        <v>95.0</v>
      </c>
      <c r="AC249" s="944">
        <v>-9.0</v>
      </c>
      <c r="AD249" s="944">
        <v>7.0</v>
      </c>
      <c r="AE249" s="944">
        <v>4.0</v>
      </c>
      <c r="AF249" s="944">
        <v>2.0</v>
      </c>
      <c r="AG249" s="944">
        <v>1120.0</v>
      </c>
      <c r="AH249" s="944">
        <v>1497.0</v>
      </c>
      <c r="AI249" s="944">
        <v>11.0</v>
      </c>
      <c r="AJ249" s="944">
        <v>11.0</v>
      </c>
      <c r="AK249" s="944">
        <v>0.0</v>
      </c>
      <c r="AL249" s="944">
        <v>0.0</v>
      </c>
      <c r="AM249" s="944">
        <v>0.0</v>
      </c>
      <c r="AN249" s="944">
        <v>0.0</v>
      </c>
      <c r="AO249" s="944">
        <v>0.0</v>
      </c>
      <c r="AP249" s="944">
        <v>0.0</v>
      </c>
      <c r="AQ249" s="944">
        <v>0.0</v>
      </c>
      <c r="AR249" s="944">
        <v>15.0</v>
      </c>
      <c r="AS249" s="944">
        <v>2.0</v>
      </c>
      <c r="AT249" s="944">
        <v>0.0</v>
      </c>
      <c r="AU249" s="944">
        <v>0.0</v>
      </c>
      <c r="AV249" s="944">
        <v>0.0</v>
      </c>
      <c r="AW249" s="944">
        <v>0.0</v>
      </c>
      <c r="AX249" s="944">
        <v>0.0</v>
      </c>
      <c r="AY249" s="944">
        <v>0.0</v>
      </c>
      <c r="AZ249" s="944">
        <v>0.0</v>
      </c>
      <c r="BA249" s="944">
        <v>0.0</v>
      </c>
      <c r="BB249" s="944">
        <v>5.0</v>
      </c>
      <c r="BC249" s="944">
        <v>0.0</v>
      </c>
      <c r="BD249" s="944">
        <v>6.0</v>
      </c>
      <c r="BE249" s="944">
        <v>8.0</v>
      </c>
      <c r="BF249" s="944">
        <v>1.0</v>
      </c>
      <c r="BG249" s="945">
        <v>0.0</v>
      </c>
    </row>
    <row r="250">
      <c r="A250" s="946" t="s">
        <v>114</v>
      </c>
      <c r="B250" s="16" t="str">
        <f>IF(C250&lt;'PlayerGrades+'!$Y$44,"F-",IF(C250&lt;'PlayerGrades+'!$Y$43,"F",IF(C250&lt;'PlayerGrades+'!$Y$42,"F+",IF(C250&lt;'PlayerGrades+'!$Y$41,"E-",IF(C250&lt;'PlayerGrades+'!$Y$40,"E",IF(C250&lt;'PlayerGrades+'!$Y$39,"E+",IF(C250&lt;'PlayerGrades+'!$Y$38,"D-",IF(C250&lt;'PlayerGrades+'!$Y$37,"D",IF(C250&lt;'PlayerGrades+'!$Y$36,"D+",IF(C250&lt;'PlayerGrades+'!$Y$35,"C-",IF(C250&lt;'PlayerGrades+'!$Y$34,"C",IF(C250&lt;'PlayerGrades+'!$Y$33,"C+",IF(C250&lt;'PlayerGrades+'!$Y$32,"B-",IF(C250&lt;'PlayerGrades+'!$Y$31,"B",IF(C250&lt;'PlayerGrades+'!$Y$30,"B+",IF(C250&lt;'PlayerGrades+'!$Y$29,"A-",IF(C250&lt;'PlayerGrades+'!$Y$28,"A",IF(C250&lt;'PlayerGrades+'!$Y$27,"A+",IF(C250&lt;'PlayerGrades+'!$Y$26,"S-",IF(C250&lt;'PlayerGrades+'!$Y$25,"S","S+"))))))))))))))))))))</f>
        <v>D</v>
      </c>
      <c r="C250" s="936">
        <f>('PlayerGrades+'!$Y$47*(VLOOKUP(E250, 'PlayerGrades+'!$X$3:$Y$23, 2, FALSE)))+('PlayerGrades+'!$Y$48*(VLOOKUP(G250, 'PlayerGrades+'!$X$3:$Y$23, 2, FALSE)))+('PlayerGrades+'!$Y$49*(VLOOKUP(I250, 'PlayerGrades+'!$X$3:$Y$23, 2, FALSE)))+('PlayerGrades+'!$Y$50*(VLOOKUP(K250, 'PlayerGrades+'!$X$3:$Y$23, 2, FALSE)))+('PlayerGrades+'!$Y$51*(VLOOKUP(M250, 'PlayerGrades+'!$X$3:$Y$23, 2, FALSE)))+('PlayerGrades+'!$Y$52*(VLOOKUP(O250, 'PlayerGrades+'!$X$3:$Y$23, 2, FALSE)))+('PlayerGrades+'!$Y$53*(VLOOKUP(Q250, 'PlayerGrades+'!$X$3:$Y$23, 2, FALSE)))+('PlayerGrades+'!$Y$54*(VLOOKUP(S250, 'PlayerGrades+'!$X$3:$Y$23, 2, FALSE)))+('PlayerGrades+'!$Y$55*(VLOOKUP(U250, 'PlayerGrades+'!$X$3:$Y$23, 2, FALSE)))</f>
        <v>16.7</v>
      </c>
      <c r="D250" s="937">
        <f t="shared" si="1"/>
        <v>0.759211016</v>
      </c>
      <c r="E250" s="937" t="str">
        <f>IF(D250&lt;'PlayerGrades+'!$AA$21,"F-",IF(D250&lt;'PlayerGrades+'!$AA$20,"F",IF(D250&lt;'PlayerGrades+'!$AA$19,"F+",IF(D250&lt;'PlayerGrades+'!$AA$18,"E-",IF(D250&lt;'PlayerGrades+'!$AA$17,"E",IF(D250&lt;'PlayerGrades+'!$AA$16,"E+",IF(D250&lt;'PlayerGrades+'!$AA$15,"D-",IF(D250&lt;'PlayerGrades+'!$AA$14,"D",IF(D250&lt;'PlayerGrades+'!$AA$13,"D+",IF(D250&lt;'PlayerGrades+'!$AA$12,"C-",IF(D250&lt;'PlayerGrades+'!$AA$11,"C",IF(D250&lt;'PlayerGrades+'!$AA$10,"C+",IF(D250&lt;'PlayerGrades+'!$AA$9,"B-",IF(D250&lt;'PlayerGrades+'!$AA$8,"B",IF(D250&lt;'PlayerGrades+'!$AA$7,"B+",IF(D250&lt;'PlayerGrades+'!$AA$6,"A-",IF(D250&lt;'PlayerGrades+'!$AA$5,"A",IF(D250&lt;'PlayerGrades+'!$AA$4,"A+",IF(D250&lt;'PlayerGrades+'!$AA$3,"S-",IF(D250&lt;'PlayerGrades+'!$AA$2,"S","S+"))))))))))))))))))))</f>
        <v>S</v>
      </c>
      <c r="F250" s="937">
        <f t="shared" si="2"/>
        <v>0.7145515445</v>
      </c>
      <c r="G250" s="937" t="str">
        <f>IF(F250&lt;'PlayerGrades+'!$AB$21,"F-",IF(F250&lt;'PlayerGrades+'!$AB$20,"F",IF(F250&lt;'PlayerGrades+'!$AB$19,"F+",IF(F250&lt;'PlayerGrades+'!$AB$18,"E-",IF(F250&lt;'PlayerGrades+'!$AB$17,"E",IF(F250&lt;'PlayerGrades+'!$AB$16,"E+",IF(F250&lt;'PlayerGrades+'!$AB$15,"D-",IF(F250&lt;'PlayerGrades+'!$AB$14,"D",IF(F250&lt;'PlayerGrades+'!$AB$13,"D+",IF(F250&lt;'PlayerGrades+'!$AB$12,"C-",IF(F250&lt;'PlayerGrades+'!$AB$11,"C",IF(F250&lt;'PlayerGrades+'!$AB$10,"C+",IF(F250&lt;'PlayerGrades+'!$AB$9,"B-",IF(F250&lt;'PlayerGrades+'!$AB$8,"B",IF(F250&lt;'PlayerGrades+'!$AB$7,"B+",IF(F250&lt;'PlayerGrades+'!$AB$6,"A-",IF(F250&lt;'PlayerGrades+'!$AB$5,"A",IF(F250&lt;'PlayerGrades+'!$AB$4,"A+",IF(F250&lt;'PlayerGrades+'!$AB$3,"S-",IF(F250&lt;'PlayerGrades+'!$AB$2,"S","S+"))))))))))))))))))))</f>
        <v>S-</v>
      </c>
      <c r="H250" s="937">
        <f t="shared" si="3"/>
        <v>0.08931894306</v>
      </c>
      <c r="I250" s="937" t="str">
        <f>IF(H250&lt;'PlayerGrades+'!$AC$21,"F-",IF(H250&lt;'PlayerGrades+'!$AC$20,"F",IF(H250&lt;'PlayerGrades+'!$AC$19,"F+",IF(H250&lt;'PlayerGrades+'!$AC$18,"E-",IF(H250&lt;'PlayerGrades+'!$AC$17,"E",IF(H250&lt;'PlayerGrades+'!$AC$16,"E+",IF(H250&lt;'PlayerGrades+'!$AC$15,"D-",IF(H250&lt;'PlayerGrades+'!$AC$14,"D",IF(H250&lt;'PlayerGrades+'!$AC$13,"D+",IF(H250&lt;'PlayerGrades+'!$AC$12,"C-",IF(H250&lt;'PlayerGrades+'!$AC$11,"C",IF(H250&lt;'PlayerGrades+'!$AC$10,"C+",IF(H250&lt;'PlayerGrades+'!$AC$9,"B-",IF(H250&lt;'PlayerGrades+'!$AC$8,"B",IF(H250&lt;'PlayerGrades+'!$AC$7,"B+",IF(H250&lt;'PlayerGrades+'!$AC$6,"A-",IF(H250&lt;'PlayerGrades+'!$AC$5,"A",IF(H250&lt;'PlayerGrades+'!$AC$4,"A+",IF(H250&lt;'PlayerGrades+'!$AC$3,"S-",IF(H250&lt;'PlayerGrades+'!$AC$2,"S","S+"))))))))))))))))))))</f>
        <v>D</v>
      </c>
      <c r="J250" s="937">
        <f t="shared" si="4"/>
        <v>0.06698920729</v>
      </c>
      <c r="K250" s="937" t="str">
        <f>IF(J250&lt;'PlayerGrades+'!$AD$21,"F-",IF(J250&lt;'PlayerGrades+'!$AD$20,"F",IF(J250&lt;'PlayerGrades+'!$AD$19,"F+",IF(J250&lt;'PlayerGrades+'!$AD$18,"E-",IF(J250&lt;'PlayerGrades+'!$AD$17,"E",IF(J250&lt;'PlayerGrades+'!$AD$16,"E+",IF(J250&lt;'PlayerGrades+'!$AD$15,"D-",IF(J250&lt;'PlayerGrades+'!$AD$14,"D",IF(J250&lt;'PlayerGrades+'!$AD$13,"D+",IF(J250&lt;'PlayerGrades+'!$AD$12,"C-",IF(J250&lt;'PlayerGrades+'!$AD$11,"C",IF(J250&lt;'PlayerGrades+'!$AD$10,"C+",IF(J250&lt;'PlayerGrades+'!$AD$9,"B-",IF(J250&lt;'PlayerGrades+'!$AD$8,"B",IF(J250&lt;'PlayerGrades+'!$AD$7,"B+",IF(J250&lt;'PlayerGrades+'!$AD$6,"A-",IF(J250&lt;'PlayerGrades+'!$AD$5,"A",IF(J250&lt;'PlayerGrades+'!$AD$4,"A+",IF(J250&lt;'PlayerGrades+'!$AD$3,"S-",IF(J250&lt;'PlayerGrades+'!$AD$2,"S","S+"))))))))))))))))))))</f>
        <v>A-</v>
      </c>
      <c r="L250" s="677">
        <f t="shared" si="5"/>
        <v>0.1116486788</v>
      </c>
      <c r="M250" s="938" t="str">
        <f>IF(L250&lt;'PlayerGrades+'!$AE$21,"F-",IF(L250&lt;'PlayerGrades+'!$AE$20,"F",IF(L250&lt;'PlayerGrades+'!$AE$19,"F+",IF(L250&lt;'PlayerGrades+'!$AE$18,"E-",IF(L250&lt;'PlayerGrades+'!$AE$17,"E",IF(L250&lt;'PlayerGrades+'!$AE$16,"E+",IF(L250&lt;'PlayerGrades+'!$AE$15,"D-",IF(L250&lt;'PlayerGrades+'!$AE$14,"D",IF(L250&lt;'PlayerGrades+'!$AE$13,"D+",IF(L250&lt;'PlayerGrades+'!$AE$12,"C-",IF(L250&lt;'PlayerGrades+'!$AE$11,"C",IF(L250&lt;'PlayerGrades+'!$AE$10,"C+",IF(L250&lt;'PlayerGrades+'!$AE$9,"B-",IF(L250&lt;'PlayerGrades+'!$AE$8,"B",IF(L250&lt;'PlayerGrades+'!$AE$7,"B+",IF(L250&lt;'PlayerGrades+'!$AE$6,"A-",IF(L250&lt;'PlayerGrades+'!$AE$5,"A",IF(L250&lt;'PlayerGrades+'!$AE$4,"A+",IF(L250&lt;'PlayerGrades+'!$AE$3,"S-",IF(L250&lt;'PlayerGrades+'!$AE$2,"S","S+"))))))))))))))))))))</f>
        <v>F-</v>
      </c>
      <c r="N250" s="937">
        <f t="shared" si="6"/>
        <v>0</v>
      </c>
      <c r="O250" s="937" t="str">
        <f>IF(N250&lt;'PlayerGrades+'!$AF$21,"F-",IF(N250&lt;'PlayerGrades+'!$AF$20,"F",IF(N250&lt;'PlayerGrades+'!$AF$19,"F+",IF(N250&lt;'PlayerGrades+'!$AF$18,"E-",IF(N250&lt;'PlayerGrades+'!$AF$17,"E",IF(N250&lt;'PlayerGrades+'!$AF$16,"E+",IF(N250&lt;'PlayerGrades+'!$AF$15,"D-",IF(N250&lt;'PlayerGrades+'!$AF$14,"D",IF(N250&lt;'PlayerGrades+'!$AF$13,"D+",IF(N250&lt;'PlayerGrades+'!$AF$12,"C-",IF(N250&lt;'PlayerGrades+'!$AF$11,"C",IF(N250&lt;'PlayerGrades+'!$AF$10,"C+",IF(N250&lt;'PlayerGrades+'!$AF$9,"B-",IF(N250&lt;'PlayerGrades+'!$AF$8,"B",IF(N250&lt;'PlayerGrades+'!$AF$7,"B+",IF(N250&lt;'PlayerGrades+'!$AF$6,"A-",IF(N250&lt;'PlayerGrades+'!$AF$5,"A",IF(N250&lt;'PlayerGrades+'!$AF$4,"A+",IF(N250&lt;'PlayerGrades+'!$AF$3,"S-",IF(N250&lt;'PlayerGrades+'!$AF$2,"S","S+"))))))))))))))))))))</f>
        <v>F-</v>
      </c>
      <c r="P250" s="937">
        <f t="shared" si="7"/>
        <v>0</v>
      </c>
      <c r="Q250" s="937" t="str">
        <f>IF(P250&lt;'PlayerGrades+'!$AG$21,"F-",IF(P250&lt;'PlayerGrades+'!$AG$20,"F",IF(P250&lt;'PlayerGrades+'!$AG$19,"F+",IF(P250&lt;'PlayerGrades+'!$AG$18,"E-",IF(P250&lt;'PlayerGrades+'!$AG$17,"E",IF(P250&lt;'PlayerGrades+'!$AG$16,"E+",IF(P250&lt;'PlayerGrades+'!$AG$15,"D-",IF(P250&lt;'PlayerGrades+'!$AG$14,"D",IF(P250&lt;'PlayerGrades+'!$AG$13,"D+",IF(P250&lt;'PlayerGrades+'!$AG$12,"C-",IF(P250&lt;'PlayerGrades+'!$AG$11,"C",IF(P250&lt;'PlayerGrades+'!$AG$10,"C+",IF(P250&lt;'PlayerGrades+'!$AG$9,"B-",IF(P250&lt;'PlayerGrades+'!$AG$8,"B",IF(P250&lt;'PlayerGrades+'!$AG$7,"B+",IF(P250&lt;'PlayerGrades+'!$AG$6,"A-",IF(P250&lt;'PlayerGrades+'!$AG$5,"A",IF(P250&lt;'PlayerGrades+'!$AG$4,"A+",IF(P250&lt;'PlayerGrades+'!$AG$3,"S-",IF(P250&lt;'PlayerGrades+'!$AG$2,"S","S+"))))))))))))))))))))</f>
        <v>F</v>
      </c>
      <c r="R250" s="937">
        <f t="shared" si="8"/>
        <v>0.2902865649</v>
      </c>
      <c r="S250" s="937" t="str">
        <f>IF(R250&lt;'PlayerGrades+'!$AH$21,"F-",IF(R250&lt;'PlayerGrades+'!$AH$20,"F",IF(R250&lt;'PlayerGrades+'!$AH$19,"F+",IF(R250&lt;'PlayerGrades+'!$AH$18,"E-",IF(R250&lt;'PlayerGrades+'!$AH$17,"E",IF(R250&lt;'PlayerGrades+'!$AH$16,"E+",IF(R250&lt;'PlayerGrades+'!$AH$15,"D-",IF(R250&lt;'PlayerGrades+'!$AH$14,"D",IF(R250&lt;'PlayerGrades+'!$AH$13,"D+",IF(R250&lt;'PlayerGrades+'!$AH$12,"C-",IF(R250&lt;'PlayerGrades+'!$AH$11,"C",IF(R250&lt;'PlayerGrades+'!$AH$10,"C+",IF(R250&lt;'PlayerGrades+'!$AH$9,"B-",IF(R250&lt;'PlayerGrades+'!$AH$8,"B",IF(R250&lt;'PlayerGrades+'!$AH$7,"B+",IF(R250&lt;'PlayerGrades+'!$AH$6,"A-",IF(R250&lt;'PlayerGrades+'!$AH$5,"A",IF(R250&lt;'PlayerGrades+'!$AH$4,"A+",IF(R250&lt;'PlayerGrades+'!$AH$3,"S-",IF(R250&lt;'PlayerGrades+'!$AH$2,"S","S+"))))))))))))))))))))</f>
        <v>F-</v>
      </c>
      <c r="T250" s="937">
        <f t="shared" si="9"/>
        <v>2.245627093</v>
      </c>
      <c r="U250" s="937" t="str">
        <f>IF(T250&lt;'PlayerGrades+'!$AI$21,"F-",IF(T250&lt;'PlayerGrades+'!$AI$20,"F",IF(T250&lt;'PlayerGrades+'!$AI$19,"F+",IF(T250&lt;'PlayerGrades+'!$AI$18,"E-",IF(T250&lt;'PlayerGrades+'!$AI$17,"E",IF(T250&lt;'PlayerGrades+'!$AI$16,"E+",IF(T250&lt;'PlayerGrades+'!$AI$15,"D-",IF(T250&lt;'PlayerGrades+'!$AI$14,"D",IF(T250&lt;'PlayerGrades+'!$AI$13,"D+",IF(T250&lt;'PlayerGrades+'!$AI$12,"C-",IF(T250&lt;'PlayerGrades+'!$AI$11,"C",IF(T250&lt;'PlayerGrades+'!$AI$10,"C+",IF(T250&lt;'PlayerGrades+'!$AI$9,"B-",IF(T250&lt;'PlayerGrades+'!$AI$8,"B",IF(T250&lt;'PlayerGrades+'!$AI$7,"B+",IF(T250&lt;'PlayerGrades+'!$AI$6,"A-",IF(T250&lt;'PlayerGrades+'!$AI$5,"A",IF(T250&lt;'PlayerGrades+'!$AI$4,"A+",IF(T250&lt;'PlayerGrades+'!$AI$3,"S-",IF(T250&lt;'PlayerGrades+'!$AI$2,"S","S+"))))))))))))))))))))</f>
        <v>S+</v>
      </c>
      <c r="V250" s="939">
        <v>1.0</v>
      </c>
      <c r="W250" s="939">
        <v>1.0</v>
      </c>
      <c r="X250" s="939">
        <v>0.0</v>
      </c>
      <c r="Y250" s="939">
        <v>4.0</v>
      </c>
      <c r="Z250" s="939">
        <v>30.0</v>
      </c>
      <c r="AA250" s="939">
        <v>79.0</v>
      </c>
      <c r="AB250" s="939">
        <v>47.0</v>
      </c>
      <c r="AC250" s="939">
        <v>32.0</v>
      </c>
      <c r="AD250" s="939">
        <v>1.0</v>
      </c>
      <c r="AE250" s="939">
        <v>12.0</v>
      </c>
      <c r="AF250" s="939">
        <v>0.0</v>
      </c>
      <c r="AG250" s="939">
        <v>2447.0</v>
      </c>
      <c r="AH250" s="939">
        <v>2687.0</v>
      </c>
      <c r="AI250" s="939">
        <v>52.0</v>
      </c>
      <c r="AJ250" s="939">
        <v>1572.0</v>
      </c>
      <c r="AK250" s="939">
        <v>0.0</v>
      </c>
      <c r="AL250" s="939">
        <v>3.0</v>
      </c>
      <c r="AM250" s="939">
        <v>1.0</v>
      </c>
      <c r="AN250" s="939">
        <v>0.0</v>
      </c>
      <c r="AO250" s="939">
        <v>0.0</v>
      </c>
      <c r="AP250" s="939">
        <v>0.0</v>
      </c>
      <c r="AQ250" s="939">
        <v>0.0</v>
      </c>
      <c r="AR250" s="939">
        <v>5.0</v>
      </c>
      <c r="AS250" s="939">
        <v>0.0</v>
      </c>
      <c r="AT250" s="939">
        <v>0.0</v>
      </c>
      <c r="AU250" s="939">
        <v>0.0</v>
      </c>
      <c r="AV250" s="939">
        <v>0.0</v>
      </c>
      <c r="AW250" s="939">
        <v>0.0</v>
      </c>
      <c r="AX250" s="939">
        <v>0.0</v>
      </c>
      <c r="AY250" s="939">
        <v>0.0</v>
      </c>
      <c r="AZ250" s="939">
        <v>0.0</v>
      </c>
      <c r="BA250" s="939">
        <v>0.0</v>
      </c>
      <c r="BB250" s="939">
        <v>4.0</v>
      </c>
      <c r="BC250" s="939">
        <v>0.0</v>
      </c>
      <c r="BD250" s="939">
        <v>12.0</v>
      </c>
      <c r="BE250" s="939">
        <v>11.0</v>
      </c>
      <c r="BF250" s="939">
        <v>2.0</v>
      </c>
      <c r="BG250" s="940">
        <v>0.0</v>
      </c>
    </row>
    <row r="251">
      <c r="A251" s="935" t="s">
        <v>147</v>
      </c>
      <c r="B251" s="16" t="str">
        <f>IF(C251&lt;'PlayerGrades+'!$Y$44,"F-",IF(C251&lt;'PlayerGrades+'!$Y$43,"F",IF(C251&lt;'PlayerGrades+'!$Y$42,"F+",IF(C251&lt;'PlayerGrades+'!$Y$41,"E-",IF(C251&lt;'PlayerGrades+'!$Y$40,"E",IF(C251&lt;'PlayerGrades+'!$Y$39,"E+",IF(C251&lt;'PlayerGrades+'!$Y$38,"D-",IF(C251&lt;'PlayerGrades+'!$Y$37,"D",IF(C251&lt;'PlayerGrades+'!$Y$36,"D+",IF(C251&lt;'PlayerGrades+'!$Y$35,"C-",IF(C251&lt;'PlayerGrades+'!$Y$34,"C",IF(C251&lt;'PlayerGrades+'!$Y$33,"C+",IF(C251&lt;'PlayerGrades+'!$Y$32,"B-",IF(C251&lt;'PlayerGrades+'!$Y$31,"B",IF(C251&lt;'PlayerGrades+'!$Y$30,"B+",IF(C251&lt;'PlayerGrades+'!$Y$29,"A-",IF(C251&lt;'PlayerGrades+'!$Y$28,"A",IF(C251&lt;'PlayerGrades+'!$Y$27,"A+",IF(C251&lt;'PlayerGrades+'!$Y$26,"S-",IF(C251&lt;'PlayerGrades+'!$Y$25,"S","S+"))))))))))))))))))))</f>
        <v>A</v>
      </c>
      <c r="C251" s="936">
        <f>('PlayerGrades+'!$Y$47*(VLOOKUP(E251, 'PlayerGrades+'!$X$3:$Y$23, 2, FALSE)))+('PlayerGrades+'!$Y$48*(VLOOKUP(G251, 'PlayerGrades+'!$X$3:$Y$23, 2, FALSE)))+('PlayerGrades+'!$Y$49*(VLOOKUP(I251, 'PlayerGrades+'!$X$3:$Y$23, 2, FALSE)))+('PlayerGrades+'!$Y$50*(VLOOKUP(K251, 'PlayerGrades+'!$X$3:$Y$23, 2, FALSE)))+('PlayerGrades+'!$Y$51*(VLOOKUP(M251, 'PlayerGrades+'!$X$3:$Y$23, 2, FALSE)))+('PlayerGrades+'!$Y$52*(VLOOKUP(O251, 'PlayerGrades+'!$X$3:$Y$23, 2, FALSE)))+('PlayerGrades+'!$Y$53*(VLOOKUP(Q251, 'PlayerGrades+'!$X$3:$Y$23, 2, FALSE)))+('PlayerGrades+'!$Y$54*(VLOOKUP(S251, 'PlayerGrades+'!$X$3:$Y$23, 2, FALSE)))+('PlayerGrades+'!$Y$55*(VLOOKUP(U251, 'PlayerGrades+'!$X$3:$Y$23, 2, FALSE)))</f>
        <v>26.85</v>
      </c>
      <c r="D251" s="937">
        <f t="shared" si="1"/>
        <v>0.02232973576</v>
      </c>
      <c r="E251" s="937" t="str">
        <f>IF(D251&lt;'PlayerGrades+'!$AA$21,"F-",IF(D251&lt;'PlayerGrades+'!$AA$20,"F",IF(D251&lt;'PlayerGrades+'!$AA$19,"F+",IF(D251&lt;'PlayerGrades+'!$AA$18,"E-",IF(D251&lt;'PlayerGrades+'!$AA$17,"E",IF(D251&lt;'PlayerGrades+'!$AA$16,"E+",IF(D251&lt;'PlayerGrades+'!$AA$15,"D-",IF(D251&lt;'PlayerGrades+'!$AA$14,"D",IF(D251&lt;'PlayerGrades+'!$AA$13,"D+",IF(D251&lt;'PlayerGrades+'!$AA$12,"C-",IF(D251&lt;'PlayerGrades+'!$AA$11,"C",IF(D251&lt;'PlayerGrades+'!$AA$10,"C+",IF(D251&lt;'PlayerGrades+'!$AA$9,"B-",IF(D251&lt;'PlayerGrades+'!$AA$8,"B",IF(D251&lt;'PlayerGrades+'!$AA$7,"B+",IF(D251&lt;'PlayerGrades+'!$AA$6,"A-",IF(D251&lt;'PlayerGrades+'!$AA$5,"A",IF(D251&lt;'PlayerGrades+'!$AA$4,"A+",IF(D251&lt;'PlayerGrades+'!$AA$3,"S-",IF(D251&lt;'PlayerGrades+'!$AA$2,"S","S+"))))))))))))))))))))</f>
        <v>E</v>
      </c>
      <c r="F251" s="937">
        <f t="shared" si="2"/>
        <v>0.2456270934</v>
      </c>
      <c r="G251" s="937" t="str">
        <f>IF(F251&lt;'PlayerGrades+'!$AB$21,"F-",IF(F251&lt;'PlayerGrades+'!$AB$20,"F",IF(F251&lt;'PlayerGrades+'!$AB$19,"F+",IF(F251&lt;'PlayerGrades+'!$AB$18,"E-",IF(F251&lt;'PlayerGrades+'!$AB$17,"E",IF(F251&lt;'PlayerGrades+'!$AB$16,"E+",IF(F251&lt;'PlayerGrades+'!$AB$15,"D-",IF(F251&lt;'PlayerGrades+'!$AB$14,"D",IF(F251&lt;'PlayerGrades+'!$AB$13,"D+",IF(F251&lt;'PlayerGrades+'!$AB$12,"C-",IF(F251&lt;'PlayerGrades+'!$AB$11,"C",IF(F251&lt;'PlayerGrades+'!$AB$10,"C+",IF(F251&lt;'PlayerGrades+'!$AB$9,"B-",IF(F251&lt;'PlayerGrades+'!$AB$8,"B",IF(F251&lt;'PlayerGrades+'!$AB$7,"B+",IF(F251&lt;'PlayerGrades+'!$AB$6,"A-",IF(F251&lt;'PlayerGrades+'!$AB$5,"A",IF(F251&lt;'PlayerGrades+'!$AB$4,"A+",IF(F251&lt;'PlayerGrades+'!$AB$3,"S-",IF(F251&lt;'PlayerGrades+'!$AB$2,"S","S+"))))))))))))))))))))</f>
        <v>B+</v>
      </c>
      <c r="H251" s="937">
        <f t="shared" si="3"/>
        <v>0.2456270934</v>
      </c>
      <c r="I251" s="937" t="str">
        <f>IF(H251&lt;'PlayerGrades+'!$AC$21,"F-",IF(H251&lt;'PlayerGrades+'!$AC$20,"F",IF(H251&lt;'PlayerGrades+'!$AC$19,"F+",IF(H251&lt;'PlayerGrades+'!$AC$18,"E-",IF(H251&lt;'PlayerGrades+'!$AC$17,"E",IF(H251&lt;'PlayerGrades+'!$AC$16,"E+",IF(H251&lt;'PlayerGrades+'!$AC$15,"D-",IF(H251&lt;'PlayerGrades+'!$AC$14,"D",IF(H251&lt;'PlayerGrades+'!$AC$13,"D+",IF(H251&lt;'PlayerGrades+'!$AC$12,"C-",IF(H251&lt;'PlayerGrades+'!$AC$11,"C",IF(H251&lt;'PlayerGrades+'!$AC$10,"C+",IF(H251&lt;'PlayerGrades+'!$AC$9,"B-",IF(H251&lt;'PlayerGrades+'!$AC$8,"B",IF(H251&lt;'PlayerGrades+'!$AC$7,"B+",IF(H251&lt;'PlayerGrades+'!$AC$6,"A-",IF(H251&lt;'PlayerGrades+'!$AC$5,"A",IF(H251&lt;'PlayerGrades+'!$AC$4,"A+",IF(H251&lt;'PlayerGrades+'!$AC$3,"S-",IF(H251&lt;'PlayerGrades+'!$AC$2,"S","S+"))))))))))))))))))))</f>
        <v>S</v>
      </c>
      <c r="J251" s="937">
        <f t="shared" si="4"/>
        <v>0.06698920729</v>
      </c>
      <c r="K251" s="937" t="str">
        <f>IF(J251&lt;'PlayerGrades+'!$AD$21,"F-",IF(J251&lt;'PlayerGrades+'!$AD$20,"F",IF(J251&lt;'PlayerGrades+'!$AD$19,"F+",IF(J251&lt;'PlayerGrades+'!$AD$18,"E-",IF(J251&lt;'PlayerGrades+'!$AD$17,"E",IF(J251&lt;'PlayerGrades+'!$AD$16,"E+",IF(J251&lt;'PlayerGrades+'!$AD$15,"D-",IF(J251&lt;'PlayerGrades+'!$AD$14,"D",IF(J251&lt;'PlayerGrades+'!$AD$13,"D+",IF(J251&lt;'PlayerGrades+'!$AD$12,"C-",IF(J251&lt;'PlayerGrades+'!$AD$11,"C",IF(J251&lt;'PlayerGrades+'!$AD$10,"C+",IF(J251&lt;'PlayerGrades+'!$AD$9,"B-",IF(J251&lt;'PlayerGrades+'!$AD$8,"B",IF(J251&lt;'PlayerGrades+'!$AD$7,"B+",IF(J251&lt;'PlayerGrades+'!$AD$6,"A-",IF(J251&lt;'PlayerGrades+'!$AD$5,"A",IF(J251&lt;'PlayerGrades+'!$AD$4,"A+",IF(J251&lt;'PlayerGrades+'!$AD$3,"S-",IF(J251&lt;'PlayerGrades+'!$AD$2,"S","S+"))))))))))))))))))))</f>
        <v>A-</v>
      </c>
      <c r="L251" s="677">
        <f t="shared" si="5"/>
        <v>0.4465947153</v>
      </c>
      <c r="M251" s="938" t="str">
        <f>IF(L251&lt;'PlayerGrades+'!$AE$21,"F-",IF(L251&lt;'PlayerGrades+'!$AE$20,"F",IF(L251&lt;'PlayerGrades+'!$AE$19,"F+",IF(L251&lt;'PlayerGrades+'!$AE$18,"E-",IF(L251&lt;'PlayerGrades+'!$AE$17,"E",IF(L251&lt;'PlayerGrades+'!$AE$16,"E+",IF(L251&lt;'PlayerGrades+'!$AE$15,"D-",IF(L251&lt;'PlayerGrades+'!$AE$14,"D",IF(L251&lt;'PlayerGrades+'!$AE$13,"D+",IF(L251&lt;'PlayerGrades+'!$AE$12,"C-",IF(L251&lt;'PlayerGrades+'!$AE$11,"C",IF(L251&lt;'PlayerGrades+'!$AE$10,"C+",IF(L251&lt;'PlayerGrades+'!$AE$9,"B-",IF(L251&lt;'PlayerGrades+'!$AE$8,"B",IF(L251&lt;'PlayerGrades+'!$AE$7,"B+",IF(L251&lt;'PlayerGrades+'!$AE$6,"A-",IF(L251&lt;'PlayerGrades+'!$AE$5,"A",IF(L251&lt;'PlayerGrades+'!$AE$4,"A+",IF(L251&lt;'PlayerGrades+'!$AE$3,"S-",IF(L251&lt;'PlayerGrades+'!$AE$2,"S","S+"))))))))))))))))))))</f>
        <v>B</v>
      </c>
      <c r="N251" s="937">
        <f t="shared" si="6"/>
        <v>0.06698920729</v>
      </c>
      <c r="O251" s="937" t="str">
        <f>IF(N251&lt;'PlayerGrades+'!$AF$21,"F-",IF(N251&lt;'PlayerGrades+'!$AF$20,"F",IF(N251&lt;'PlayerGrades+'!$AF$19,"F+",IF(N251&lt;'PlayerGrades+'!$AF$18,"E-",IF(N251&lt;'PlayerGrades+'!$AF$17,"E",IF(N251&lt;'PlayerGrades+'!$AF$16,"E+",IF(N251&lt;'PlayerGrades+'!$AF$15,"D-",IF(N251&lt;'PlayerGrades+'!$AF$14,"D",IF(N251&lt;'PlayerGrades+'!$AF$13,"D+",IF(N251&lt;'PlayerGrades+'!$AF$12,"C-",IF(N251&lt;'PlayerGrades+'!$AF$11,"C",IF(N251&lt;'PlayerGrades+'!$AF$10,"C+",IF(N251&lt;'PlayerGrades+'!$AF$9,"B-",IF(N251&lt;'PlayerGrades+'!$AF$8,"B",IF(N251&lt;'PlayerGrades+'!$AF$7,"B+",IF(N251&lt;'PlayerGrades+'!$AF$6,"A-",IF(N251&lt;'PlayerGrades+'!$AF$5,"A",IF(N251&lt;'PlayerGrades+'!$AF$4,"A+",IF(N251&lt;'PlayerGrades+'!$AF$3,"S-",IF(N251&lt;'PlayerGrades+'!$AF$2,"S","S+"))))))))))))))))))))</f>
        <v>C-</v>
      </c>
      <c r="P251" s="937">
        <f t="shared" si="7"/>
        <v>0.06698920729</v>
      </c>
      <c r="Q251" s="937" t="str">
        <f>IF(P251&lt;'PlayerGrades+'!$AG$21,"F-",IF(P251&lt;'PlayerGrades+'!$AG$20,"F",IF(P251&lt;'PlayerGrades+'!$AG$19,"F+",IF(P251&lt;'PlayerGrades+'!$AG$18,"E-",IF(P251&lt;'PlayerGrades+'!$AG$17,"E",IF(P251&lt;'PlayerGrades+'!$AG$16,"E+",IF(P251&lt;'PlayerGrades+'!$AG$15,"D-",IF(P251&lt;'PlayerGrades+'!$AG$14,"D",IF(P251&lt;'PlayerGrades+'!$AG$13,"D+",IF(P251&lt;'PlayerGrades+'!$AG$12,"C-",IF(P251&lt;'PlayerGrades+'!$AG$11,"C",IF(P251&lt;'PlayerGrades+'!$AG$10,"C+",IF(P251&lt;'PlayerGrades+'!$AG$9,"B-",IF(P251&lt;'PlayerGrades+'!$AG$8,"B",IF(P251&lt;'PlayerGrades+'!$AG$7,"B+",IF(P251&lt;'PlayerGrades+'!$AG$6,"A-",IF(P251&lt;'PlayerGrades+'!$AG$5,"A",IF(P251&lt;'PlayerGrades+'!$AG$4,"A+",IF(P251&lt;'PlayerGrades+'!$AG$3,"S-",IF(P251&lt;'PlayerGrades+'!$AG$2,"S","S+"))))))))))))))))))))</f>
        <v>S-</v>
      </c>
      <c r="R251" s="937">
        <f t="shared" si="8"/>
        <v>0.7145515445</v>
      </c>
      <c r="S251" s="937" t="str">
        <f>IF(R251&lt;'PlayerGrades+'!$AH$21,"F-",IF(R251&lt;'PlayerGrades+'!$AH$20,"F",IF(R251&lt;'PlayerGrades+'!$AH$19,"F+",IF(R251&lt;'PlayerGrades+'!$AH$18,"E-",IF(R251&lt;'PlayerGrades+'!$AH$17,"E",IF(R251&lt;'PlayerGrades+'!$AH$16,"E+",IF(R251&lt;'PlayerGrades+'!$AH$15,"D-",IF(R251&lt;'PlayerGrades+'!$AH$14,"D",IF(R251&lt;'PlayerGrades+'!$AH$13,"D+",IF(R251&lt;'PlayerGrades+'!$AH$12,"C-",IF(R251&lt;'PlayerGrades+'!$AH$11,"C",IF(R251&lt;'PlayerGrades+'!$AH$10,"C+",IF(R251&lt;'PlayerGrades+'!$AH$9,"B-",IF(R251&lt;'PlayerGrades+'!$AH$8,"B",IF(R251&lt;'PlayerGrades+'!$AH$7,"B+",IF(R251&lt;'PlayerGrades+'!$AH$6,"A-",IF(R251&lt;'PlayerGrades+'!$AH$5,"A",IF(R251&lt;'PlayerGrades+'!$AH$4,"A+",IF(R251&lt;'PlayerGrades+'!$AH$3,"S-",IF(R251&lt;'PlayerGrades+'!$AH$2,"S","S+"))))))))))))))))))))</f>
        <v>S</v>
      </c>
      <c r="T251" s="937">
        <f t="shared" si="9"/>
        <v>2.401935244</v>
      </c>
      <c r="U251" s="937" t="str">
        <f>IF(T251&lt;'PlayerGrades+'!$AI$21,"F-",IF(T251&lt;'PlayerGrades+'!$AI$20,"F",IF(T251&lt;'PlayerGrades+'!$AI$19,"F+",IF(T251&lt;'PlayerGrades+'!$AI$18,"E-",IF(T251&lt;'PlayerGrades+'!$AI$17,"E",IF(T251&lt;'PlayerGrades+'!$AI$16,"E+",IF(T251&lt;'PlayerGrades+'!$AI$15,"D-",IF(T251&lt;'PlayerGrades+'!$AI$14,"D",IF(T251&lt;'PlayerGrades+'!$AI$13,"D+",IF(T251&lt;'PlayerGrades+'!$AI$12,"C-",IF(T251&lt;'PlayerGrades+'!$AI$11,"C",IF(T251&lt;'PlayerGrades+'!$AI$10,"C+",IF(T251&lt;'PlayerGrades+'!$AI$9,"B-",IF(T251&lt;'PlayerGrades+'!$AI$8,"B",IF(T251&lt;'PlayerGrades+'!$AI$7,"B+",IF(T251&lt;'PlayerGrades+'!$AI$6,"A-",IF(T251&lt;'PlayerGrades+'!$AI$5,"A",IF(T251&lt;'PlayerGrades+'!$AI$4,"A+",IF(T251&lt;'PlayerGrades+'!$AI$3,"S-",IF(T251&lt;'PlayerGrades+'!$AI$2,"S","S+"))))))))))))))))))))</f>
        <v>S+</v>
      </c>
      <c r="V251" s="941">
        <v>1.0</v>
      </c>
      <c r="W251" s="941">
        <v>1.0</v>
      </c>
      <c r="X251" s="941">
        <v>0.0</v>
      </c>
      <c r="Y251" s="941">
        <v>1.0</v>
      </c>
      <c r="Z251" s="941">
        <v>0.0</v>
      </c>
      <c r="AA251" s="941">
        <v>147.0</v>
      </c>
      <c r="AB251" s="941">
        <v>136.0</v>
      </c>
      <c r="AC251" s="941">
        <v>11.0</v>
      </c>
      <c r="AD251" s="941">
        <v>10.0</v>
      </c>
      <c r="AE251" s="941">
        <v>6.0</v>
      </c>
      <c r="AF251" s="941">
        <v>2.0</v>
      </c>
      <c r="AG251" s="941">
        <v>2188.0</v>
      </c>
      <c r="AH251" s="941">
        <v>2687.0</v>
      </c>
      <c r="AI251" s="941">
        <v>16.0</v>
      </c>
      <c r="AJ251" s="941">
        <v>3.0</v>
      </c>
      <c r="AK251" s="941">
        <v>0.0</v>
      </c>
      <c r="AL251" s="941">
        <v>3.0</v>
      </c>
      <c r="AM251" s="941">
        <v>0.0</v>
      </c>
      <c r="AN251" s="941">
        <v>0.0</v>
      </c>
      <c r="AO251" s="941">
        <v>0.0</v>
      </c>
      <c r="AP251" s="941">
        <v>3.0</v>
      </c>
      <c r="AQ251" s="941">
        <v>0.0</v>
      </c>
      <c r="AR251" s="941">
        <v>20.0</v>
      </c>
      <c r="AS251" s="941">
        <v>3.0</v>
      </c>
      <c r="AT251" s="941">
        <v>0.0</v>
      </c>
      <c r="AU251" s="941">
        <v>0.0</v>
      </c>
      <c r="AV251" s="941">
        <v>0.0</v>
      </c>
      <c r="AW251" s="941">
        <v>0.0</v>
      </c>
      <c r="AX251" s="941">
        <v>0.0</v>
      </c>
      <c r="AY251" s="941">
        <v>0.0</v>
      </c>
      <c r="AZ251" s="941">
        <v>0.0</v>
      </c>
      <c r="BA251" s="941">
        <v>0.0</v>
      </c>
      <c r="BB251" s="941">
        <v>11.0</v>
      </c>
      <c r="BC251" s="941">
        <v>0.0</v>
      </c>
      <c r="BD251" s="941">
        <v>22.0</v>
      </c>
      <c r="BE251" s="941">
        <v>18.0</v>
      </c>
      <c r="BF251" s="941">
        <v>2.0</v>
      </c>
      <c r="BG251" s="942">
        <v>0.0</v>
      </c>
    </row>
    <row r="252">
      <c r="A252" s="935" t="s">
        <v>418</v>
      </c>
      <c r="B252" s="16" t="str">
        <f>IF(C252&lt;'PlayerGrades+'!$Y$44,"F-",IF(C252&lt;'PlayerGrades+'!$Y$43,"F",IF(C252&lt;'PlayerGrades+'!$Y$42,"F+",IF(C252&lt;'PlayerGrades+'!$Y$41,"E-",IF(C252&lt;'PlayerGrades+'!$Y$40,"E",IF(C252&lt;'PlayerGrades+'!$Y$39,"E+",IF(C252&lt;'PlayerGrades+'!$Y$38,"D-",IF(C252&lt;'PlayerGrades+'!$Y$37,"D",IF(C252&lt;'PlayerGrades+'!$Y$36,"D+",IF(C252&lt;'PlayerGrades+'!$Y$35,"C-",IF(C252&lt;'PlayerGrades+'!$Y$34,"C",IF(C252&lt;'PlayerGrades+'!$Y$33,"C+",IF(C252&lt;'PlayerGrades+'!$Y$32,"B-",IF(C252&lt;'PlayerGrades+'!$Y$31,"B",IF(C252&lt;'PlayerGrades+'!$Y$30,"B+",IF(C252&lt;'PlayerGrades+'!$Y$29,"A-",IF(C252&lt;'PlayerGrades+'!$Y$28,"A",IF(C252&lt;'PlayerGrades+'!$Y$27,"A+",IF(C252&lt;'PlayerGrades+'!$Y$26,"S-",IF(C252&lt;'PlayerGrades+'!$Y$25,"S","S+"))))))))))))))))))))</f>
        <v>A</v>
      </c>
      <c r="C252" s="936">
        <f>('PlayerGrades+'!$Y$47*(VLOOKUP(E252, 'PlayerGrades+'!$X$3:$Y$23, 2, FALSE)))+('PlayerGrades+'!$Y$48*(VLOOKUP(G252, 'PlayerGrades+'!$X$3:$Y$23, 2, FALSE)))+('PlayerGrades+'!$Y$49*(VLOOKUP(I252, 'PlayerGrades+'!$X$3:$Y$23, 2, FALSE)))+('PlayerGrades+'!$Y$50*(VLOOKUP(K252, 'PlayerGrades+'!$X$3:$Y$23, 2, FALSE)))+('PlayerGrades+'!$Y$51*(VLOOKUP(M252, 'PlayerGrades+'!$X$3:$Y$23, 2, FALSE)))+('PlayerGrades+'!$Y$52*(VLOOKUP(O252, 'PlayerGrades+'!$X$3:$Y$23, 2, FALSE)))+('PlayerGrades+'!$Y$53*(VLOOKUP(Q252, 'PlayerGrades+'!$X$3:$Y$23, 2, FALSE)))+('PlayerGrades+'!$Y$54*(VLOOKUP(S252, 'PlayerGrades+'!$X$3:$Y$23, 2, FALSE)))+('PlayerGrades+'!$Y$55*(VLOOKUP(U252, 'PlayerGrades+'!$X$3:$Y$23, 2, FALSE)))</f>
        <v>26.2</v>
      </c>
      <c r="D252" s="937">
        <f t="shared" si="1"/>
        <v>0</v>
      </c>
      <c r="E252" s="937" t="str">
        <f>IF(D252&lt;'PlayerGrades+'!$AA$21,"F-",IF(D252&lt;'PlayerGrades+'!$AA$20,"F",IF(D252&lt;'PlayerGrades+'!$AA$19,"F+",IF(D252&lt;'PlayerGrades+'!$AA$18,"E-",IF(D252&lt;'PlayerGrades+'!$AA$17,"E",IF(D252&lt;'PlayerGrades+'!$AA$16,"E+",IF(D252&lt;'PlayerGrades+'!$AA$15,"D-",IF(D252&lt;'PlayerGrades+'!$AA$14,"D",IF(D252&lt;'PlayerGrades+'!$AA$13,"D+",IF(D252&lt;'PlayerGrades+'!$AA$12,"C-",IF(D252&lt;'PlayerGrades+'!$AA$11,"C",IF(D252&lt;'PlayerGrades+'!$AA$10,"C+",IF(D252&lt;'PlayerGrades+'!$AA$9,"B-",IF(D252&lt;'PlayerGrades+'!$AA$8,"B",IF(D252&lt;'PlayerGrades+'!$AA$7,"B+",IF(D252&lt;'PlayerGrades+'!$AA$6,"A-",IF(D252&lt;'PlayerGrades+'!$AA$5,"A",IF(D252&lt;'PlayerGrades+'!$AA$4,"A+",IF(D252&lt;'PlayerGrades+'!$AA$3,"S-",IF(D252&lt;'PlayerGrades+'!$AA$2,"S","S+"))))))))))))))))))))</f>
        <v>F-</v>
      </c>
      <c r="F252" s="937">
        <f t="shared" si="2"/>
        <v>0.8759124088</v>
      </c>
      <c r="G252" s="937" t="str">
        <f>IF(F252&lt;'PlayerGrades+'!$AB$21,"F-",IF(F252&lt;'PlayerGrades+'!$AB$20,"F",IF(F252&lt;'PlayerGrades+'!$AB$19,"F+",IF(F252&lt;'PlayerGrades+'!$AB$18,"E-",IF(F252&lt;'PlayerGrades+'!$AB$17,"E",IF(F252&lt;'PlayerGrades+'!$AB$16,"E+",IF(F252&lt;'PlayerGrades+'!$AB$15,"D-",IF(F252&lt;'PlayerGrades+'!$AB$14,"D",IF(F252&lt;'PlayerGrades+'!$AB$13,"D+",IF(F252&lt;'PlayerGrades+'!$AB$12,"C-",IF(F252&lt;'PlayerGrades+'!$AB$11,"C",IF(F252&lt;'PlayerGrades+'!$AB$10,"C+",IF(F252&lt;'PlayerGrades+'!$AB$9,"B-",IF(F252&lt;'PlayerGrades+'!$AB$8,"B",IF(F252&lt;'PlayerGrades+'!$AB$7,"B+",IF(F252&lt;'PlayerGrades+'!$AB$6,"A-",IF(F252&lt;'PlayerGrades+'!$AB$5,"A",IF(F252&lt;'PlayerGrades+'!$AB$4,"A+",IF(F252&lt;'PlayerGrades+'!$AB$3,"S-",IF(F252&lt;'PlayerGrades+'!$AB$2,"S","S+"))))))))))))))))))))</f>
        <v>S</v>
      </c>
      <c r="H252" s="937">
        <f t="shared" si="3"/>
        <v>0.1152516327</v>
      </c>
      <c r="I252" s="937" t="str">
        <f>IF(H252&lt;'PlayerGrades+'!$AC$21,"F-",IF(H252&lt;'PlayerGrades+'!$AC$20,"F",IF(H252&lt;'PlayerGrades+'!$AC$19,"F+",IF(H252&lt;'PlayerGrades+'!$AC$18,"E-",IF(H252&lt;'PlayerGrades+'!$AC$17,"E",IF(H252&lt;'PlayerGrades+'!$AC$16,"E+",IF(H252&lt;'PlayerGrades+'!$AC$15,"D-",IF(H252&lt;'PlayerGrades+'!$AC$14,"D",IF(H252&lt;'PlayerGrades+'!$AC$13,"D+",IF(H252&lt;'PlayerGrades+'!$AC$12,"C-",IF(H252&lt;'PlayerGrades+'!$AC$11,"C",IF(H252&lt;'PlayerGrades+'!$AC$10,"C+",IF(H252&lt;'PlayerGrades+'!$AC$9,"B-",IF(H252&lt;'PlayerGrades+'!$AC$8,"B",IF(H252&lt;'PlayerGrades+'!$AC$7,"B+",IF(H252&lt;'PlayerGrades+'!$AC$6,"A-",IF(H252&lt;'PlayerGrades+'!$AC$5,"A",IF(H252&lt;'PlayerGrades+'!$AC$4,"A+",IF(H252&lt;'PlayerGrades+'!$AC$3,"S-",IF(H252&lt;'PlayerGrades+'!$AC$2,"S","S+"))))))))))))))))))))</f>
        <v>C</v>
      </c>
      <c r="J252" s="937">
        <f t="shared" si="4"/>
        <v>0.09220130619</v>
      </c>
      <c r="K252" s="937" t="str">
        <f>IF(J252&lt;'PlayerGrades+'!$AD$21,"F-",IF(J252&lt;'PlayerGrades+'!$AD$20,"F",IF(J252&lt;'PlayerGrades+'!$AD$19,"F+",IF(J252&lt;'PlayerGrades+'!$AD$18,"E-",IF(J252&lt;'PlayerGrades+'!$AD$17,"E",IF(J252&lt;'PlayerGrades+'!$AD$16,"E+",IF(J252&lt;'PlayerGrades+'!$AD$15,"D-",IF(J252&lt;'PlayerGrades+'!$AD$14,"D",IF(J252&lt;'PlayerGrades+'!$AD$13,"D+",IF(J252&lt;'PlayerGrades+'!$AD$12,"C-",IF(J252&lt;'PlayerGrades+'!$AD$11,"C",IF(J252&lt;'PlayerGrades+'!$AD$10,"C+",IF(J252&lt;'PlayerGrades+'!$AD$9,"B-",IF(J252&lt;'PlayerGrades+'!$AD$8,"B",IF(J252&lt;'PlayerGrades+'!$AD$7,"B+",IF(J252&lt;'PlayerGrades+'!$AD$6,"A-",IF(J252&lt;'PlayerGrades+'!$AD$5,"A",IF(J252&lt;'PlayerGrades+'!$AD$4,"A+",IF(J252&lt;'PlayerGrades+'!$AD$3,"S-",IF(J252&lt;'PlayerGrades+'!$AD$2,"S","S+"))))))))))))))))))))</f>
        <v>S-</v>
      </c>
      <c r="L252" s="677">
        <f t="shared" si="5"/>
        <v>0.7145601229</v>
      </c>
      <c r="M252" s="938" t="str">
        <f>IF(L252&lt;'PlayerGrades+'!$AE$21,"F-",IF(L252&lt;'PlayerGrades+'!$AE$20,"F",IF(L252&lt;'PlayerGrades+'!$AE$19,"F+",IF(L252&lt;'PlayerGrades+'!$AE$18,"E-",IF(L252&lt;'PlayerGrades+'!$AE$17,"E",IF(L252&lt;'PlayerGrades+'!$AE$16,"E+",IF(L252&lt;'PlayerGrades+'!$AE$15,"D-",IF(L252&lt;'PlayerGrades+'!$AE$14,"D",IF(L252&lt;'PlayerGrades+'!$AE$13,"D+",IF(L252&lt;'PlayerGrades+'!$AE$12,"C-",IF(L252&lt;'PlayerGrades+'!$AE$11,"C",IF(L252&lt;'PlayerGrades+'!$AE$10,"C+",IF(L252&lt;'PlayerGrades+'!$AE$9,"B-",IF(L252&lt;'PlayerGrades+'!$AE$8,"B",IF(L252&lt;'PlayerGrades+'!$AE$7,"B+",IF(L252&lt;'PlayerGrades+'!$AE$6,"A-",IF(L252&lt;'PlayerGrades+'!$AE$5,"A",IF(L252&lt;'PlayerGrades+'!$AE$4,"A+",IF(L252&lt;'PlayerGrades+'!$AE$3,"S-",IF(L252&lt;'PlayerGrades+'!$AE$2,"S","S+"))))))))))))))))))))</f>
        <v>S+</v>
      </c>
      <c r="N252" s="937">
        <f t="shared" si="6"/>
        <v>0.09220130619</v>
      </c>
      <c r="O252" s="937" t="str">
        <f>IF(N252&lt;'PlayerGrades+'!$AF$21,"F-",IF(N252&lt;'PlayerGrades+'!$AF$20,"F",IF(N252&lt;'PlayerGrades+'!$AF$19,"F+",IF(N252&lt;'PlayerGrades+'!$AF$18,"E-",IF(N252&lt;'PlayerGrades+'!$AF$17,"E",IF(N252&lt;'PlayerGrades+'!$AF$16,"E+",IF(N252&lt;'PlayerGrades+'!$AF$15,"D-",IF(N252&lt;'PlayerGrades+'!$AF$14,"D",IF(N252&lt;'PlayerGrades+'!$AF$13,"D+",IF(N252&lt;'PlayerGrades+'!$AF$12,"C-",IF(N252&lt;'PlayerGrades+'!$AF$11,"C",IF(N252&lt;'PlayerGrades+'!$AF$10,"C+",IF(N252&lt;'PlayerGrades+'!$AF$9,"B-",IF(N252&lt;'PlayerGrades+'!$AF$8,"B",IF(N252&lt;'PlayerGrades+'!$AF$7,"B+",IF(N252&lt;'PlayerGrades+'!$AF$6,"A-",IF(N252&lt;'PlayerGrades+'!$AF$5,"A",IF(N252&lt;'PlayerGrades+'!$AF$4,"A+",IF(N252&lt;'PlayerGrades+'!$AF$3,"S-",IF(N252&lt;'PlayerGrades+'!$AF$2,"S","S+"))))))))))))))))))))</f>
        <v>A-</v>
      </c>
      <c r="P252" s="937">
        <f t="shared" si="7"/>
        <v>0.09220130619</v>
      </c>
      <c r="Q252" s="937" t="str">
        <f>IF(P252&lt;'PlayerGrades+'!$AG$21,"F-",IF(P252&lt;'PlayerGrades+'!$AG$20,"F",IF(P252&lt;'PlayerGrades+'!$AG$19,"F+",IF(P252&lt;'PlayerGrades+'!$AG$18,"E-",IF(P252&lt;'PlayerGrades+'!$AG$17,"E",IF(P252&lt;'PlayerGrades+'!$AG$16,"E+",IF(P252&lt;'PlayerGrades+'!$AG$15,"D-",IF(P252&lt;'PlayerGrades+'!$AG$14,"D",IF(P252&lt;'PlayerGrades+'!$AG$13,"D+",IF(P252&lt;'PlayerGrades+'!$AG$12,"C-",IF(P252&lt;'PlayerGrades+'!$AG$11,"C",IF(P252&lt;'PlayerGrades+'!$AG$10,"C+",IF(P252&lt;'PlayerGrades+'!$AG$9,"B-",IF(P252&lt;'PlayerGrades+'!$AG$8,"B",IF(P252&lt;'PlayerGrades+'!$AG$7,"B+",IF(P252&lt;'PlayerGrades+'!$AG$6,"A-",IF(P252&lt;'PlayerGrades+'!$AG$5,"A",IF(P252&lt;'PlayerGrades+'!$AG$4,"A+",IF(P252&lt;'PlayerGrades+'!$AG$3,"S-",IF(P252&lt;'PlayerGrades+'!$AG$2,"S","S+"))))))))))))))))))))</f>
        <v>S+</v>
      </c>
      <c r="R252" s="937">
        <f t="shared" si="8"/>
        <v>0.5993084902</v>
      </c>
      <c r="S252" s="937" t="str">
        <f>IF(R252&lt;'PlayerGrades+'!$AH$21,"F-",IF(R252&lt;'PlayerGrades+'!$AH$20,"F",IF(R252&lt;'PlayerGrades+'!$AH$19,"F+",IF(R252&lt;'PlayerGrades+'!$AH$18,"E-",IF(R252&lt;'PlayerGrades+'!$AH$17,"E",IF(R252&lt;'PlayerGrades+'!$AH$16,"E+",IF(R252&lt;'PlayerGrades+'!$AH$15,"D-",IF(R252&lt;'PlayerGrades+'!$AH$14,"D",IF(R252&lt;'PlayerGrades+'!$AH$13,"D+",IF(R252&lt;'PlayerGrades+'!$AH$12,"C-",IF(R252&lt;'PlayerGrades+'!$AH$11,"C",IF(R252&lt;'PlayerGrades+'!$AH$10,"C+",IF(R252&lt;'PlayerGrades+'!$AH$9,"B-",IF(R252&lt;'PlayerGrades+'!$AH$8,"B",IF(R252&lt;'PlayerGrades+'!$AH$7,"B+",IF(R252&lt;'PlayerGrades+'!$AH$6,"A-",IF(R252&lt;'PlayerGrades+'!$AH$5,"A",IF(R252&lt;'PlayerGrades+'!$AH$4,"A+",IF(R252&lt;'PlayerGrades+'!$AH$3,"S-",IF(R252&lt;'PlayerGrades+'!$AH$2,"S","S+"))))))))))))))))))))</f>
        <v>A-</v>
      </c>
      <c r="T252" s="937">
        <f t="shared" si="9"/>
        <v>0.3688052247</v>
      </c>
      <c r="U252" s="937" t="str">
        <f>IF(T252&lt;'PlayerGrades+'!$AI$21,"F-",IF(T252&lt;'PlayerGrades+'!$AI$20,"F",IF(T252&lt;'PlayerGrades+'!$AI$19,"F+",IF(T252&lt;'PlayerGrades+'!$AI$18,"E-",IF(T252&lt;'PlayerGrades+'!$AI$17,"E",IF(T252&lt;'PlayerGrades+'!$AI$16,"E+",IF(T252&lt;'PlayerGrades+'!$AI$15,"D-",IF(T252&lt;'PlayerGrades+'!$AI$14,"D",IF(T252&lt;'PlayerGrades+'!$AI$13,"D+",IF(T252&lt;'PlayerGrades+'!$AI$12,"C-",IF(T252&lt;'PlayerGrades+'!$AI$11,"C",IF(T252&lt;'PlayerGrades+'!$AI$10,"C+",IF(T252&lt;'PlayerGrades+'!$AI$9,"B-",IF(T252&lt;'PlayerGrades+'!$AI$8,"B",IF(T252&lt;'PlayerGrades+'!$AI$7,"B+",IF(T252&lt;'PlayerGrades+'!$AI$6,"A-",IF(T252&lt;'PlayerGrades+'!$AI$5,"A",IF(T252&lt;'PlayerGrades+'!$AI$4,"A+",IF(T252&lt;'PlayerGrades+'!$AI$3,"S-",IF(T252&lt;'PlayerGrades+'!$AI$2,"S","S+"))))))))))))))))))))</f>
        <v>F-</v>
      </c>
      <c r="V252" s="941">
        <v>1.0</v>
      </c>
      <c r="W252" s="941">
        <v>1.0</v>
      </c>
      <c r="X252" s="941">
        <v>0.0</v>
      </c>
      <c r="Y252" s="941">
        <v>0.0</v>
      </c>
      <c r="Z252" s="941">
        <v>0.0</v>
      </c>
      <c r="AA252" s="941">
        <v>167.0</v>
      </c>
      <c r="AB252" s="941">
        <v>129.0</v>
      </c>
      <c r="AC252" s="941">
        <v>38.0</v>
      </c>
      <c r="AD252" s="941">
        <v>9.0</v>
      </c>
      <c r="AE252" s="941">
        <v>7.0</v>
      </c>
      <c r="AF252" s="941">
        <v>2.0</v>
      </c>
      <c r="AG252" s="941">
        <v>2124.0</v>
      </c>
      <c r="AH252" s="941">
        <v>2603.0</v>
      </c>
      <c r="AI252" s="941">
        <v>16.0</v>
      </c>
      <c r="AJ252" s="941">
        <v>43.0</v>
      </c>
      <c r="AK252" s="941">
        <v>0.0</v>
      </c>
      <c r="AL252" s="941">
        <v>4.0</v>
      </c>
      <c r="AM252" s="941">
        <v>0.0</v>
      </c>
      <c r="AN252" s="941">
        <v>0.0</v>
      </c>
      <c r="AO252" s="941">
        <v>0.0</v>
      </c>
      <c r="AP252" s="941">
        <v>4.0</v>
      </c>
      <c r="AQ252" s="941">
        <v>0.0</v>
      </c>
      <c r="AR252" s="941">
        <v>31.0</v>
      </c>
      <c r="AS252" s="941">
        <v>4.0</v>
      </c>
      <c r="AT252" s="941">
        <v>0.0</v>
      </c>
      <c r="AU252" s="941">
        <v>0.0</v>
      </c>
      <c r="AV252" s="941">
        <v>0.0</v>
      </c>
      <c r="AW252" s="941">
        <v>0.0</v>
      </c>
      <c r="AX252" s="941">
        <v>0.0</v>
      </c>
      <c r="AY252" s="941">
        <v>0.0</v>
      </c>
      <c r="AZ252" s="941">
        <v>0.0</v>
      </c>
      <c r="BA252" s="941">
        <v>0.0</v>
      </c>
      <c r="BB252" s="941">
        <v>5.0</v>
      </c>
      <c r="BC252" s="941">
        <v>0.0</v>
      </c>
      <c r="BD252" s="941">
        <v>17.0</v>
      </c>
      <c r="BE252" s="941">
        <v>16.0</v>
      </c>
      <c r="BF252" s="941">
        <v>0.0</v>
      </c>
      <c r="BG252" s="942">
        <v>0.0</v>
      </c>
    </row>
    <row r="253">
      <c r="A253" s="935" t="s">
        <v>136</v>
      </c>
      <c r="B253" s="16" t="str">
        <f>IF(C253&lt;'PlayerGrades+'!$Y$44,"F-",IF(C253&lt;'PlayerGrades+'!$Y$43,"F",IF(C253&lt;'PlayerGrades+'!$Y$42,"F+",IF(C253&lt;'PlayerGrades+'!$Y$41,"E-",IF(C253&lt;'PlayerGrades+'!$Y$40,"E",IF(C253&lt;'PlayerGrades+'!$Y$39,"E+",IF(C253&lt;'PlayerGrades+'!$Y$38,"D-",IF(C253&lt;'PlayerGrades+'!$Y$37,"D",IF(C253&lt;'PlayerGrades+'!$Y$36,"D+",IF(C253&lt;'PlayerGrades+'!$Y$35,"C-",IF(C253&lt;'PlayerGrades+'!$Y$34,"C",IF(C253&lt;'PlayerGrades+'!$Y$33,"C+",IF(C253&lt;'PlayerGrades+'!$Y$32,"B-",IF(C253&lt;'PlayerGrades+'!$Y$31,"B",IF(C253&lt;'PlayerGrades+'!$Y$30,"B+",IF(C253&lt;'PlayerGrades+'!$Y$29,"A-",IF(C253&lt;'PlayerGrades+'!$Y$28,"A",IF(C253&lt;'PlayerGrades+'!$Y$27,"A+",IF(C253&lt;'PlayerGrades+'!$Y$26,"S-",IF(C253&lt;'PlayerGrades+'!$Y$25,"S","S+"))))))))))))))))))))</f>
        <v>A</v>
      </c>
      <c r="C253" s="936">
        <f>('PlayerGrades+'!$Y$47*(VLOOKUP(E253, 'PlayerGrades+'!$X$3:$Y$23, 2, FALSE)))+('PlayerGrades+'!$Y$48*(VLOOKUP(G253, 'PlayerGrades+'!$X$3:$Y$23, 2, FALSE)))+('PlayerGrades+'!$Y$49*(VLOOKUP(I253, 'PlayerGrades+'!$X$3:$Y$23, 2, FALSE)))+('PlayerGrades+'!$Y$50*(VLOOKUP(K253, 'PlayerGrades+'!$X$3:$Y$23, 2, FALSE)))+('PlayerGrades+'!$Y$51*(VLOOKUP(M253, 'PlayerGrades+'!$X$3:$Y$23, 2, FALSE)))+('PlayerGrades+'!$Y$52*(VLOOKUP(O253, 'PlayerGrades+'!$X$3:$Y$23, 2, FALSE)))+('PlayerGrades+'!$Y$53*(VLOOKUP(Q253, 'PlayerGrades+'!$X$3:$Y$23, 2, FALSE)))+('PlayerGrades+'!$Y$54*(VLOOKUP(S253, 'PlayerGrades+'!$X$3:$Y$23, 2, FALSE)))+('PlayerGrades+'!$Y$55*(VLOOKUP(U253, 'PlayerGrades+'!$X$3:$Y$23, 2, FALSE)))</f>
        <v>27.5</v>
      </c>
      <c r="D253" s="937">
        <f t="shared" si="1"/>
        <v>0</v>
      </c>
      <c r="E253" s="937" t="str">
        <f>IF(D253&lt;'PlayerGrades+'!$AA$21,"F-",IF(D253&lt;'PlayerGrades+'!$AA$20,"F",IF(D253&lt;'PlayerGrades+'!$AA$19,"F+",IF(D253&lt;'PlayerGrades+'!$AA$18,"E-",IF(D253&lt;'PlayerGrades+'!$AA$17,"E",IF(D253&lt;'PlayerGrades+'!$AA$16,"E+",IF(D253&lt;'PlayerGrades+'!$AA$15,"D-",IF(D253&lt;'PlayerGrades+'!$AA$14,"D",IF(D253&lt;'PlayerGrades+'!$AA$13,"D+",IF(D253&lt;'PlayerGrades+'!$AA$12,"C-",IF(D253&lt;'PlayerGrades+'!$AA$11,"C",IF(D253&lt;'PlayerGrades+'!$AA$10,"C+",IF(D253&lt;'PlayerGrades+'!$AA$9,"B-",IF(D253&lt;'PlayerGrades+'!$AA$8,"B",IF(D253&lt;'PlayerGrades+'!$AA$7,"B+",IF(D253&lt;'PlayerGrades+'!$AA$6,"A-",IF(D253&lt;'PlayerGrades+'!$AA$5,"A",IF(D253&lt;'PlayerGrades+'!$AA$4,"A+",IF(D253&lt;'PlayerGrades+'!$AA$3,"S-",IF(D253&lt;'PlayerGrades+'!$AA$2,"S","S+"))))))))))))))))))))</f>
        <v>F-</v>
      </c>
      <c r="F253" s="937">
        <f t="shared" si="2"/>
        <v>0.3572757722</v>
      </c>
      <c r="G253" s="937" t="str">
        <f>IF(F253&lt;'PlayerGrades+'!$AB$21,"F-",IF(F253&lt;'PlayerGrades+'!$AB$20,"F",IF(F253&lt;'PlayerGrades+'!$AB$19,"F+",IF(F253&lt;'PlayerGrades+'!$AB$18,"E-",IF(F253&lt;'PlayerGrades+'!$AB$17,"E",IF(F253&lt;'PlayerGrades+'!$AB$16,"E+",IF(F253&lt;'PlayerGrades+'!$AB$15,"D-",IF(F253&lt;'PlayerGrades+'!$AB$14,"D",IF(F253&lt;'PlayerGrades+'!$AB$13,"D+",IF(F253&lt;'PlayerGrades+'!$AB$12,"C-",IF(F253&lt;'PlayerGrades+'!$AB$11,"C",IF(F253&lt;'PlayerGrades+'!$AB$10,"C+",IF(F253&lt;'PlayerGrades+'!$AB$9,"B-",IF(F253&lt;'PlayerGrades+'!$AB$8,"B",IF(F253&lt;'PlayerGrades+'!$AB$7,"B+",IF(F253&lt;'PlayerGrades+'!$AB$6,"A-",IF(F253&lt;'PlayerGrades+'!$AB$5,"A",IF(F253&lt;'PlayerGrades+'!$AB$4,"A+",IF(F253&lt;'PlayerGrades+'!$AB$3,"S-",IF(F253&lt;'PlayerGrades+'!$AB$2,"S","S+"))))))))))))))))))))</f>
        <v>A-</v>
      </c>
      <c r="H253" s="937">
        <f t="shared" si="3"/>
        <v>0.1339784146</v>
      </c>
      <c r="I253" s="937" t="str">
        <f>IF(H253&lt;'PlayerGrades+'!$AC$21,"F-",IF(H253&lt;'PlayerGrades+'!$AC$20,"F",IF(H253&lt;'PlayerGrades+'!$AC$19,"F+",IF(H253&lt;'PlayerGrades+'!$AC$18,"E-",IF(H253&lt;'PlayerGrades+'!$AC$17,"E",IF(H253&lt;'PlayerGrades+'!$AC$16,"E+",IF(H253&lt;'PlayerGrades+'!$AC$15,"D-",IF(H253&lt;'PlayerGrades+'!$AC$14,"D",IF(H253&lt;'PlayerGrades+'!$AC$13,"D+",IF(H253&lt;'PlayerGrades+'!$AC$12,"C-",IF(H253&lt;'PlayerGrades+'!$AC$11,"C",IF(H253&lt;'PlayerGrades+'!$AC$10,"C+",IF(H253&lt;'PlayerGrades+'!$AC$9,"B-",IF(H253&lt;'PlayerGrades+'!$AC$8,"B",IF(H253&lt;'PlayerGrades+'!$AC$7,"B+",IF(H253&lt;'PlayerGrades+'!$AC$6,"A-",IF(H253&lt;'PlayerGrades+'!$AC$5,"A",IF(H253&lt;'PlayerGrades+'!$AC$4,"A+",IF(H253&lt;'PlayerGrades+'!$AC$3,"S-",IF(H253&lt;'PlayerGrades+'!$AC$2,"S","S+"))))))))))))))))))))</f>
        <v>B+</v>
      </c>
      <c r="J253" s="937">
        <f t="shared" si="4"/>
        <v>0.04465947153</v>
      </c>
      <c r="K253" s="937" t="str">
        <f>IF(J253&lt;'PlayerGrades+'!$AD$21,"F-",IF(J253&lt;'PlayerGrades+'!$AD$20,"F",IF(J253&lt;'PlayerGrades+'!$AD$19,"F+",IF(J253&lt;'PlayerGrades+'!$AD$18,"E-",IF(J253&lt;'PlayerGrades+'!$AD$17,"E",IF(J253&lt;'PlayerGrades+'!$AD$16,"E+",IF(J253&lt;'PlayerGrades+'!$AD$15,"D-",IF(J253&lt;'PlayerGrades+'!$AD$14,"D",IF(J253&lt;'PlayerGrades+'!$AD$13,"D+",IF(J253&lt;'PlayerGrades+'!$AD$12,"C-",IF(J253&lt;'PlayerGrades+'!$AD$11,"C",IF(J253&lt;'PlayerGrades+'!$AD$10,"C+",IF(J253&lt;'PlayerGrades+'!$AD$9,"B-",IF(J253&lt;'PlayerGrades+'!$AD$8,"B",IF(J253&lt;'PlayerGrades+'!$AD$7,"B+",IF(J253&lt;'PlayerGrades+'!$AD$6,"A-",IF(J253&lt;'PlayerGrades+'!$AD$5,"A",IF(J253&lt;'PlayerGrades+'!$AD$4,"A+",IF(J253&lt;'PlayerGrades+'!$AD$3,"S-",IF(J253&lt;'PlayerGrades+'!$AD$2,"S","S+"))))))))))))))))))))</f>
        <v>B-</v>
      </c>
      <c r="L253" s="677">
        <f t="shared" si="5"/>
        <v>0.8931894306</v>
      </c>
      <c r="M253" s="938" t="str">
        <f>IF(L253&lt;'PlayerGrades+'!$AE$21,"F-",IF(L253&lt;'PlayerGrades+'!$AE$20,"F",IF(L253&lt;'PlayerGrades+'!$AE$19,"F+",IF(L253&lt;'PlayerGrades+'!$AE$18,"E-",IF(L253&lt;'PlayerGrades+'!$AE$17,"E",IF(L253&lt;'PlayerGrades+'!$AE$16,"E+",IF(L253&lt;'PlayerGrades+'!$AE$15,"D-",IF(L253&lt;'PlayerGrades+'!$AE$14,"D",IF(L253&lt;'PlayerGrades+'!$AE$13,"D+",IF(L253&lt;'PlayerGrades+'!$AE$12,"C-",IF(L253&lt;'PlayerGrades+'!$AE$11,"C",IF(L253&lt;'PlayerGrades+'!$AE$10,"C+",IF(L253&lt;'PlayerGrades+'!$AE$9,"B-",IF(L253&lt;'PlayerGrades+'!$AE$8,"B",IF(L253&lt;'PlayerGrades+'!$AE$7,"B+",IF(L253&lt;'PlayerGrades+'!$AE$6,"A-",IF(L253&lt;'PlayerGrades+'!$AE$5,"A",IF(L253&lt;'PlayerGrades+'!$AE$4,"A+",IF(L253&lt;'PlayerGrades+'!$AE$3,"S-",IF(L253&lt;'PlayerGrades+'!$AE$2,"S","S+"))))))))))))))))))))</f>
        <v>S+</v>
      </c>
      <c r="N253" s="937">
        <f t="shared" si="6"/>
        <v>0.2679568292</v>
      </c>
      <c r="O253" s="937" t="str">
        <f>IF(N253&lt;'PlayerGrades+'!$AF$21,"F-",IF(N253&lt;'PlayerGrades+'!$AF$20,"F",IF(N253&lt;'PlayerGrades+'!$AF$19,"F+",IF(N253&lt;'PlayerGrades+'!$AF$18,"E-",IF(N253&lt;'PlayerGrades+'!$AF$17,"E",IF(N253&lt;'PlayerGrades+'!$AF$16,"E+",IF(N253&lt;'PlayerGrades+'!$AF$15,"D-",IF(N253&lt;'PlayerGrades+'!$AF$14,"D",IF(N253&lt;'PlayerGrades+'!$AF$13,"D+",IF(N253&lt;'PlayerGrades+'!$AF$12,"C-",IF(N253&lt;'PlayerGrades+'!$AF$11,"C",IF(N253&lt;'PlayerGrades+'!$AF$10,"C+",IF(N253&lt;'PlayerGrades+'!$AF$9,"B-",IF(N253&lt;'PlayerGrades+'!$AF$8,"B",IF(N253&lt;'PlayerGrades+'!$AF$7,"B+",IF(N253&lt;'PlayerGrades+'!$AF$6,"A-",IF(N253&lt;'PlayerGrades+'!$AF$5,"A",IF(N253&lt;'PlayerGrades+'!$AF$4,"A+",IF(N253&lt;'PlayerGrades+'!$AF$3,"S-",IF(N253&lt;'PlayerGrades+'!$AF$2,"S","S+"))))))))))))))))))))</f>
        <v>S+</v>
      </c>
      <c r="P253" s="937">
        <f t="shared" si="7"/>
        <v>0.04465947153</v>
      </c>
      <c r="Q253" s="937" t="str">
        <f>IF(P253&lt;'PlayerGrades+'!$AG$21,"F-",IF(P253&lt;'PlayerGrades+'!$AG$20,"F",IF(P253&lt;'PlayerGrades+'!$AG$19,"F+",IF(P253&lt;'PlayerGrades+'!$AG$18,"E-",IF(P253&lt;'PlayerGrades+'!$AG$17,"E",IF(P253&lt;'PlayerGrades+'!$AG$16,"E+",IF(P253&lt;'PlayerGrades+'!$AG$15,"D-",IF(P253&lt;'PlayerGrades+'!$AG$14,"D",IF(P253&lt;'PlayerGrades+'!$AG$13,"D+",IF(P253&lt;'PlayerGrades+'!$AG$12,"C-",IF(P253&lt;'PlayerGrades+'!$AG$11,"C",IF(P253&lt;'PlayerGrades+'!$AG$10,"C+",IF(P253&lt;'PlayerGrades+'!$AG$9,"B-",IF(P253&lt;'PlayerGrades+'!$AG$8,"B",IF(P253&lt;'PlayerGrades+'!$AG$7,"B+",IF(P253&lt;'PlayerGrades+'!$AG$6,"A-",IF(P253&lt;'PlayerGrades+'!$AG$5,"A",IF(P253&lt;'PlayerGrades+'!$AG$4,"A+",IF(P253&lt;'PlayerGrades+'!$AG$3,"S-",IF(P253&lt;'PlayerGrades+'!$AG$2,"S","S+"))))))))))))))))))))</f>
        <v>A</v>
      </c>
      <c r="R253" s="937">
        <f t="shared" si="8"/>
        <v>0.7368812802</v>
      </c>
      <c r="S253" s="937" t="str">
        <f>IF(R253&lt;'PlayerGrades+'!$AH$21,"F-",IF(R253&lt;'PlayerGrades+'!$AH$20,"F",IF(R253&lt;'PlayerGrades+'!$AH$19,"F+",IF(R253&lt;'PlayerGrades+'!$AH$18,"E-",IF(R253&lt;'PlayerGrades+'!$AH$17,"E",IF(R253&lt;'PlayerGrades+'!$AH$16,"E+",IF(R253&lt;'PlayerGrades+'!$AH$15,"D-",IF(R253&lt;'PlayerGrades+'!$AH$14,"D",IF(R253&lt;'PlayerGrades+'!$AH$13,"D+",IF(R253&lt;'PlayerGrades+'!$AH$12,"C-",IF(R253&lt;'PlayerGrades+'!$AH$11,"C",IF(R253&lt;'PlayerGrades+'!$AH$10,"C+",IF(R253&lt;'PlayerGrades+'!$AH$9,"B-",IF(R253&lt;'PlayerGrades+'!$AH$8,"B",IF(R253&lt;'PlayerGrades+'!$AH$7,"B+",IF(R253&lt;'PlayerGrades+'!$AH$6,"A-",IF(R253&lt;'PlayerGrades+'!$AH$5,"A",IF(R253&lt;'PlayerGrades+'!$AH$4,"A+",IF(R253&lt;'PlayerGrades+'!$AH$3,"S-",IF(R253&lt;'PlayerGrades+'!$AH$2,"S","S+"))))))))))))))))))))</f>
        <v>S</v>
      </c>
      <c r="T253" s="937">
        <f t="shared" si="9"/>
        <v>0.4465947153</v>
      </c>
      <c r="U253" s="937" t="str">
        <f>IF(T253&lt;'PlayerGrades+'!$AI$21,"F-",IF(T253&lt;'PlayerGrades+'!$AI$20,"F",IF(T253&lt;'PlayerGrades+'!$AI$19,"F+",IF(T253&lt;'PlayerGrades+'!$AI$18,"E-",IF(T253&lt;'PlayerGrades+'!$AI$17,"E",IF(T253&lt;'PlayerGrades+'!$AI$16,"E+",IF(T253&lt;'PlayerGrades+'!$AI$15,"D-",IF(T253&lt;'PlayerGrades+'!$AI$14,"D",IF(T253&lt;'PlayerGrades+'!$AI$13,"D+",IF(T253&lt;'PlayerGrades+'!$AI$12,"C-",IF(T253&lt;'PlayerGrades+'!$AI$11,"C",IF(T253&lt;'PlayerGrades+'!$AI$10,"C+",IF(T253&lt;'PlayerGrades+'!$AI$9,"B-",IF(T253&lt;'PlayerGrades+'!$AI$8,"B",IF(T253&lt;'PlayerGrades+'!$AI$7,"B+",IF(T253&lt;'PlayerGrades+'!$AI$6,"A-",IF(T253&lt;'PlayerGrades+'!$AI$5,"A",IF(T253&lt;'PlayerGrades+'!$AI$4,"A+",IF(T253&lt;'PlayerGrades+'!$AI$3,"S-",IF(T253&lt;'PlayerGrades+'!$AI$2,"S","S+"))))))))))))))))))))</f>
        <v>F-</v>
      </c>
      <c r="V253" s="941">
        <v>1.0</v>
      </c>
      <c r="W253" s="941">
        <v>1.0</v>
      </c>
      <c r="X253" s="941">
        <v>0.0</v>
      </c>
      <c r="Y253" s="941">
        <v>0.0</v>
      </c>
      <c r="Z253" s="941">
        <v>0.0</v>
      </c>
      <c r="AA253" s="941">
        <v>196.0</v>
      </c>
      <c r="AB253" s="941">
        <v>180.0</v>
      </c>
      <c r="AC253" s="941">
        <v>16.0</v>
      </c>
      <c r="AD253" s="941">
        <v>14.0</v>
      </c>
      <c r="AE253" s="941">
        <v>6.0</v>
      </c>
      <c r="AF253" s="941">
        <v>4.0</v>
      </c>
      <c r="AG253" s="941">
        <v>2047.0</v>
      </c>
      <c r="AH253" s="941">
        <v>2687.0</v>
      </c>
      <c r="AI253" s="941">
        <v>11.0</v>
      </c>
      <c r="AJ253" s="941">
        <v>18.0</v>
      </c>
      <c r="AK253" s="941">
        <v>0.0</v>
      </c>
      <c r="AL253" s="941">
        <v>2.0</v>
      </c>
      <c r="AM253" s="941">
        <v>0.0</v>
      </c>
      <c r="AN253" s="941">
        <v>0.0</v>
      </c>
      <c r="AO253" s="941">
        <v>0.0</v>
      </c>
      <c r="AP253" s="941">
        <v>2.0</v>
      </c>
      <c r="AQ253" s="941">
        <v>0.0</v>
      </c>
      <c r="AR253" s="941">
        <v>40.0</v>
      </c>
      <c r="AS253" s="941">
        <v>12.0</v>
      </c>
      <c r="AT253" s="941">
        <v>2.0</v>
      </c>
      <c r="AU253" s="941">
        <v>0.0</v>
      </c>
      <c r="AV253" s="941">
        <v>0.0</v>
      </c>
      <c r="AW253" s="941">
        <v>0.0</v>
      </c>
      <c r="AX253" s="941">
        <v>0.0</v>
      </c>
      <c r="AY253" s="941">
        <v>0.0</v>
      </c>
      <c r="AZ253" s="941">
        <v>0.0</v>
      </c>
      <c r="BA253" s="941">
        <v>0.0</v>
      </c>
      <c r="BB253" s="941">
        <v>6.0</v>
      </c>
      <c r="BC253" s="941">
        <v>0.0</v>
      </c>
      <c r="BD253" s="941">
        <v>19.0</v>
      </c>
      <c r="BE253" s="941">
        <v>20.0</v>
      </c>
      <c r="BF253" s="941">
        <v>0.0</v>
      </c>
      <c r="BG253" s="942">
        <v>0.0</v>
      </c>
    </row>
    <row r="254">
      <c r="A254" s="935" t="s">
        <v>121</v>
      </c>
      <c r="B254" s="16" t="str">
        <f>IF(C254&lt;'PlayerGrades+'!$Y$44,"F-",IF(C254&lt;'PlayerGrades+'!$Y$43,"F",IF(C254&lt;'PlayerGrades+'!$Y$42,"F+",IF(C254&lt;'PlayerGrades+'!$Y$41,"E-",IF(C254&lt;'PlayerGrades+'!$Y$40,"E",IF(C254&lt;'PlayerGrades+'!$Y$39,"E+",IF(C254&lt;'PlayerGrades+'!$Y$38,"D-",IF(C254&lt;'PlayerGrades+'!$Y$37,"D",IF(C254&lt;'PlayerGrades+'!$Y$36,"D+",IF(C254&lt;'PlayerGrades+'!$Y$35,"C-",IF(C254&lt;'PlayerGrades+'!$Y$34,"C",IF(C254&lt;'PlayerGrades+'!$Y$33,"C+",IF(C254&lt;'PlayerGrades+'!$Y$32,"B-",IF(C254&lt;'PlayerGrades+'!$Y$31,"B",IF(C254&lt;'PlayerGrades+'!$Y$30,"B+",IF(C254&lt;'PlayerGrades+'!$Y$29,"A-",IF(C254&lt;'PlayerGrades+'!$Y$28,"A",IF(C254&lt;'PlayerGrades+'!$Y$27,"A+",IF(C254&lt;'PlayerGrades+'!$Y$26,"S-",IF(C254&lt;'PlayerGrades+'!$Y$25,"S","S+"))))))))))))))))))))</f>
        <v>C+</v>
      </c>
      <c r="C254" s="936">
        <f>('PlayerGrades+'!$Y$47*(VLOOKUP(E254, 'PlayerGrades+'!$X$3:$Y$23, 2, FALSE)))+('PlayerGrades+'!$Y$48*(VLOOKUP(G254, 'PlayerGrades+'!$X$3:$Y$23, 2, FALSE)))+('PlayerGrades+'!$Y$49*(VLOOKUP(I254, 'PlayerGrades+'!$X$3:$Y$23, 2, FALSE)))+('PlayerGrades+'!$Y$50*(VLOOKUP(K254, 'PlayerGrades+'!$X$3:$Y$23, 2, FALSE)))+('PlayerGrades+'!$Y$51*(VLOOKUP(M254, 'PlayerGrades+'!$X$3:$Y$23, 2, FALSE)))+('PlayerGrades+'!$Y$52*(VLOOKUP(O254, 'PlayerGrades+'!$X$3:$Y$23, 2, FALSE)))+('PlayerGrades+'!$Y$53*(VLOOKUP(Q254, 'PlayerGrades+'!$X$3:$Y$23, 2, FALSE)))+('PlayerGrades+'!$Y$54*(VLOOKUP(S254, 'PlayerGrades+'!$X$3:$Y$23, 2, FALSE)))+('PlayerGrades+'!$Y$55*(VLOOKUP(U254, 'PlayerGrades+'!$X$3:$Y$23, 2, FALSE)))</f>
        <v>20.75</v>
      </c>
      <c r="D254" s="937">
        <f t="shared" si="1"/>
        <v>0.06698920729</v>
      </c>
      <c r="E254" s="937" t="str">
        <f>IF(D254&lt;'PlayerGrades+'!$AA$21,"F-",IF(D254&lt;'PlayerGrades+'!$AA$20,"F",IF(D254&lt;'PlayerGrades+'!$AA$19,"F+",IF(D254&lt;'PlayerGrades+'!$AA$18,"E-",IF(D254&lt;'PlayerGrades+'!$AA$17,"E",IF(D254&lt;'PlayerGrades+'!$AA$16,"E+",IF(D254&lt;'PlayerGrades+'!$AA$15,"D-",IF(D254&lt;'PlayerGrades+'!$AA$14,"D",IF(D254&lt;'PlayerGrades+'!$AA$13,"D+",IF(D254&lt;'PlayerGrades+'!$AA$12,"C-",IF(D254&lt;'PlayerGrades+'!$AA$11,"C",IF(D254&lt;'PlayerGrades+'!$AA$10,"C+",IF(D254&lt;'PlayerGrades+'!$AA$9,"B-",IF(D254&lt;'PlayerGrades+'!$AA$8,"B",IF(D254&lt;'PlayerGrades+'!$AA$7,"B+",IF(D254&lt;'PlayerGrades+'!$AA$6,"A-",IF(D254&lt;'PlayerGrades+'!$AA$5,"A",IF(D254&lt;'PlayerGrades+'!$AA$4,"A+",IF(D254&lt;'PlayerGrades+'!$AA$3,"S-",IF(D254&lt;'PlayerGrades+'!$AA$2,"S","S+"))))))))))))))))))))</f>
        <v>B</v>
      </c>
      <c r="F254" s="937">
        <f t="shared" si="2"/>
        <v>-0.02232973576</v>
      </c>
      <c r="G254" s="937" t="str">
        <f>IF(F254&lt;'PlayerGrades+'!$AB$21,"F-",IF(F254&lt;'PlayerGrades+'!$AB$20,"F",IF(F254&lt;'PlayerGrades+'!$AB$19,"F+",IF(F254&lt;'PlayerGrades+'!$AB$18,"E-",IF(F254&lt;'PlayerGrades+'!$AB$17,"E",IF(F254&lt;'PlayerGrades+'!$AB$16,"E+",IF(F254&lt;'PlayerGrades+'!$AB$15,"D-",IF(F254&lt;'PlayerGrades+'!$AB$14,"D",IF(F254&lt;'PlayerGrades+'!$AB$13,"D+",IF(F254&lt;'PlayerGrades+'!$AB$12,"C-",IF(F254&lt;'PlayerGrades+'!$AB$11,"C",IF(F254&lt;'PlayerGrades+'!$AB$10,"C+",IF(F254&lt;'PlayerGrades+'!$AB$9,"B-",IF(F254&lt;'PlayerGrades+'!$AB$8,"B",IF(F254&lt;'PlayerGrades+'!$AB$7,"B+",IF(F254&lt;'PlayerGrades+'!$AB$6,"A-",IF(F254&lt;'PlayerGrades+'!$AB$5,"A",IF(F254&lt;'PlayerGrades+'!$AB$4,"A+",IF(F254&lt;'PlayerGrades+'!$AB$3,"S-",IF(F254&lt;'PlayerGrades+'!$AB$2,"S","S+"))))))))))))))))))))</f>
        <v>B-</v>
      </c>
      <c r="H254" s="937">
        <f t="shared" si="3"/>
        <v>0.02232973576</v>
      </c>
      <c r="I254" s="937" t="str">
        <f>IF(H254&lt;'PlayerGrades+'!$AC$21,"F-",IF(H254&lt;'PlayerGrades+'!$AC$20,"F",IF(H254&lt;'PlayerGrades+'!$AC$19,"F+",IF(H254&lt;'PlayerGrades+'!$AC$18,"E-",IF(H254&lt;'PlayerGrades+'!$AC$17,"E",IF(H254&lt;'PlayerGrades+'!$AC$16,"E+",IF(H254&lt;'PlayerGrades+'!$AC$15,"D-",IF(H254&lt;'PlayerGrades+'!$AC$14,"D",IF(H254&lt;'PlayerGrades+'!$AC$13,"D+",IF(H254&lt;'PlayerGrades+'!$AC$12,"C-",IF(H254&lt;'PlayerGrades+'!$AC$11,"C",IF(H254&lt;'PlayerGrades+'!$AC$10,"C+",IF(H254&lt;'PlayerGrades+'!$AC$9,"B-",IF(H254&lt;'PlayerGrades+'!$AC$8,"B",IF(H254&lt;'PlayerGrades+'!$AC$7,"B+",IF(H254&lt;'PlayerGrades+'!$AC$6,"A-",IF(H254&lt;'PlayerGrades+'!$AC$5,"A",IF(H254&lt;'PlayerGrades+'!$AC$4,"A+",IF(H254&lt;'PlayerGrades+'!$AC$3,"S-",IF(H254&lt;'PlayerGrades+'!$AC$2,"S","S+"))))))))))))))))))))</f>
        <v>F-</v>
      </c>
      <c r="J254" s="937">
        <f t="shared" si="4"/>
        <v>0.04465947153</v>
      </c>
      <c r="K254" s="937" t="str">
        <f>IF(J254&lt;'PlayerGrades+'!$AD$21,"F-",IF(J254&lt;'PlayerGrades+'!$AD$20,"F",IF(J254&lt;'PlayerGrades+'!$AD$19,"F+",IF(J254&lt;'PlayerGrades+'!$AD$18,"E-",IF(J254&lt;'PlayerGrades+'!$AD$17,"E",IF(J254&lt;'PlayerGrades+'!$AD$16,"E+",IF(J254&lt;'PlayerGrades+'!$AD$15,"D-",IF(J254&lt;'PlayerGrades+'!$AD$14,"D",IF(J254&lt;'PlayerGrades+'!$AD$13,"D+",IF(J254&lt;'PlayerGrades+'!$AD$12,"C-",IF(J254&lt;'PlayerGrades+'!$AD$11,"C",IF(J254&lt;'PlayerGrades+'!$AD$10,"C+",IF(J254&lt;'PlayerGrades+'!$AD$9,"B-",IF(J254&lt;'PlayerGrades+'!$AD$8,"B",IF(J254&lt;'PlayerGrades+'!$AD$7,"B+",IF(J254&lt;'PlayerGrades+'!$AD$6,"A-",IF(J254&lt;'PlayerGrades+'!$AD$5,"A",IF(J254&lt;'PlayerGrades+'!$AD$4,"A+",IF(J254&lt;'PlayerGrades+'!$AD$3,"S-",IF(J254&lt;'PlayerGrades+'!$AD$2,"S","S+"))))))))))))))))))))</f>
        <v>B-</v>
      </c>
      <c r="L254" s="677">
        <f t="shared" si="5"/>
        <v>0.5135839226</v>
      </c>
      <c r="M254" s="938" t="str">
        <f>IF(L254&lt;'PlayerGrades+'!$AE$21,"F-",IF(L254&lt;'PlayerGrades+'!$AE$20,"F",IF(L254&lt;'PlayerGrades+'!$AE$19,"F+",IF(L254&lt;'PlayerGrades+'!$AE$18,"E-",IF(L254&lt;'PlayerGrades+'!$AE$17,"E",IF(L254&lt;'PlayerGrades+'!$AE$16,"E+",IF(L254&lt;'PlayerGrades+'!$AE$15,"D-",IF(L254&lt;'PlayerGrades+'!$AE$14,"D",IF(L254&lt;'PlayerGrades+'!$AE$13,"D+",IF(L254&lt;'PlayerGrades+'!$AE$12,"C-",IF(L254&lt;'PlayerGrades+'!$AE$11,"C",IF(L254&lt;'PlayerGrades+'!$AE$10,"C+",IF(L254&lt;'PlayerGrades+'!$AE$9,"B-",IF(L254&lt;'PlayerGrades+'!$AE$8,"B",IF(L254&lt;'PlayerGrades+'!$AE$7,"B+",IF(L254&lt;'PlayerGrades+'!$AE$6,"A-",IF(L254&lt;'PlayerGrades+'!$AE$5,"A",IF(L254&lt;'PlayerGrades+'!$AE$4,"A+",IF(L254&lt;'PlayerGrades+'!$AE$3,"S-",IF(L254&lt;'PlayerGrades+'!$AE$2,"S","S+"))))))))))))))))))))</f>
        <v>A-</v>
      </c>
      <c r="N254" s="937">
        <f t="shared" si="6"/>
        <v>0.08931894306</v>
      </c>
      <c r="O254" s="937" t="str">
        <f>IF(N254&lt;'PlayerGrades+'!$AF$21,"F-",IF(N254&lt;'PlayerGrades+'!$AF$20,"F",IF(N254&lt;'PlayerGrades+'!$AF$19,"F+",IF(N254&lt;'PlayerGrades+'!$AF$18,"E-",IF(N254&lt;'PlayerGrades+'!$AF$17,"E",IF(N254&lt;'PlayerGrades+'!$AF$16,"E+",IF(N254&lt;'PlayerGrades+'!$AF$15,"D-",IF(N254&lt;'PlayerGrades+'!$AF$14,"D",IF(N254&lt;'PlayerGrades+'!$AF$13,"D+",IF(N254&lt;'PlayerGrades+'!$AF$12,"C-",IF(N254&lt;'PlayerGrades+'!$AF$11,"C",IF(N254&lt;'PlayerGrades+'!$AF$10,"C+",IF(N254&lt;'PlayerGrades+'!$AF$9,"B-",IF(N254&lt;'PlayerGrades+'!$AF$8,"B",IF(N254&lt;'PlayerGrades+'!$AF$7,"B+",IF(N254&lt;'PlayerGrades+'!$AF$6,"A-",IF(N254&lt;'PlayerGrades+'!$AF$5,"A",IF(N254&lt;'PlayerGrades+'!$AF$4,"A+",IF(N254&lt;'PlayerGrades+'!$AF$3,"S-",IF(N254&lt;'PlayerGrades+'!$AF$2,"S","S+"))))))))))))))))))))</f>
        <v>B+</v>
      </c>
      <c r="P254" s="937">
        <f t="shared" si="7"/>
        <v>0.04465947153</v>
      </c>
      <c r="Q254" s="937" t="str">
        <f>IF(P254&lt;'PlayerGrades+'!$AG$21,"F-",IF(P254&lt;'PlayerGrades+'!$AG$20,"F",IF(P254&lt;'PlayerGrades+'!$AG$19,"F+",IF(P254&lt;'PlayerGrades+'!$AG$18,"E-",IF(P254&lt;'PlayerGrades+'!$AG$17,"E",IF(P254&lt;'PlayerGrades+'!$AG$16,"E+",IF(P254&lt;'PlayerGrades+'!$AG$15,"D-",IF(P254&lt;'PlayerGrades+'!$AG$14,"D",IF(P254&lt;'PlayerGrades+'!$AG$13,"D+",IF(P254&lt;'PlayerGrades+'!$AG$12,"C-",IF(P254&lt;'PlayerGrades+'!$AG$11,"C",IF(P254&lt;'PlayerGrades+'!$AG$10,"C+",IF(P254&lt;'PlayerGrades+'!$AG$9,"B-",IF(P254&lt;'PlayerGrades+'!$AG$8,"B",IF(P254&lt;'PlayerGrades+'!$AG$7,"B+",IF(P254&lt;'PlayerGrades+'!$AG$6,"A-",IF(P254&lt;'PlayerGrades+'!$AG$5,"A",IF(P254&lt;'PlayerGrades+'!$AG$4,"A+",IF(P254&lt;'PlayerGrades+'!$AG$3,"S-",IF(P254&lt;'PlayerGrades+'!$AG$2,"S","S+"))))))))))))))))))))</f>
        <v>A</v>
      </c>
      <c r="R254" s="937">
        <f t="shared" si="8"/>
        <v>0.5135839226</v>
      </c>
      <c r="S254" s="937" t="str">
        <f>IF(R254&lt;'PlayerGrades+'!$AH$21,"F-",IF(R254&lt;'PlayerGrades+'!$AH$20,"F",IF(R254&lt;'PlayerGrades+'!$AH$19,"F+",IF(R254&lt;'PlayerGrades+'!$AH$18,"E-",IF(R254&lt;'PlayerGrades+'!$AH$17,"E",IF(R254&lt;'PlayerGrades+'!$AH$16,"E+",IF(R254&lt;'PlayerGrades+'!$AH$15,"D-",IF(R254&lt;'PlayerGrades+'!$AH$14,"D",IF(R254&lt;'PlayerGrades+'!$AH$13,"D+",IF(R254&lt;'PlayerGrades+'!$AH$12,"C-",IF(R254&lt;'PlayerGrades+'!$AH$11,"C",IF(R254&lt;'PlayerGrades+'!$AH$10,"C+",IF(R254&lt;'PlayerGrades+'!$AH$9,"B-",IF(R254&lt;'PlayerGrades+'!$AH$8,"B",IF(R254&lt;'PlayerGrades+'!$AH$7,"B+",IF(R254&lt;'PlayerGrades+'!$AH$6,"A-",IF(R254&lt;'PlayerGrades+'!$AH$5,"A",IF(R254&lt;'PlayerGrades+'!$AH$4,"A+",IF(R254&lt;'PlayerGrades+'!$AH$3,"S-",IF(R254&lt;'PlayerGrades+'!$AH$2,"S","S+"))))))))))))))))))))</f>
        <v>D</v>
      </c>
      <c r="T254" s="937">
        <f t="shared" si="9"/>
        <v>0.5135839226</v>
      </c>
      <c r="U254" s="937" t="str">
        <f>IF(T254&lt;'PlayerGrades+'!$AI$21,"F-",IF(T254&lt;'PlayerGrades+'!$AI$20,"F",IF(T254&lt;'PlayerGrades+'!$AI$19,"F+",IF(T254&lt;'PlayerGrades+'!$AI$18,"E-",IF(T254&lt;'PlayerGrades+'!$AI$17,"E",IF(T254&lt;'PlayerGrades+'!$AI$16,"E+",IF(T254&lt;'PlayerGrades+'!$AI$15,"D-",IF(T254&lt;'PlayerGrades+'!$AI$14,"D",IF(T254&lt;'PlayerGrades+'!$AI$13,"D+",IF(T254&lt;'PlayerGrades+'!$AI$12,"C-",IF(T254&lt;'PlayerGrades+'!$AI$11,"C",IF(T254&lt;'PlayerGrades+'!$AI$10,"C+",IF(T254&lt;'PlayerGrades+'!$AI$9,"B-",IF(T254&lt;'PlayerGrades+'!$AI$8,"B",IF(T254&lt;'PlayerGrades+'!$AI$7,"B+",IF(T254&lt;'PlayerGrades+'!$AI$6,"A-",IF(T254&lt;'PlayerGrades+'!$AI$5,"A",IF(T254&lt;'PlayerGrades+'!$AI$4,"A+",IF(T254&lt;'PlayerGrades+'!$AI$3,"S-",IF(T254&lt;'PlayerGrades+'!$AI$2,"S","S+"))))))))))))))))))))</f>
        <v>F-</v>
      </c>
      <c r="V254" s="941">
        <v>1.0</v>
      </c>
      <c r="W254" s="941">
        <v>0.0</v>
      </c>
      <c r="X254" s="941">
        <v>1.0</v>
      </c>
      <c r="Y254" s="941">
        <v>1.0</v>
      </c>
      <c r="Z254" s="941">
        <v>2.0</v>
      </c>
      <c r="AA254" s="941">
        <v>138.0</v>
      </c>
      <c r="AB254" s="941">
        <v>139.0</v>
      </c>
      <c r="AC254" s="941">
        <v>-1.0</v>
      </c>
      <c r="AD254" s="941">
        <v>7.0</v>
      </c>
      <c r="AE254" s="941">
        <v>6.0</v>
      </c>
      <c r="AF254" s="941">
        <v>2.0</v>
      </c>
      <c r="AG254" s="941">
        <v>2182.0</v>
      </c>
      <c r="AH254" s="941">
        <v>2687.0</v>
      </c>
      <c r="AI254" s="941">
        <v>15.0</v>
      </c>
      <c r="AJ254" s="941">
        <v>24.0</v>
      </c>
      <c r="AK254" s="941">
        <v>0.0</v>
      </c>
      <c r="AL254" s="941">
        <v>2.0</v>
      </c>
      <c r="AM254" s="941">
        <v>0.0</v>
      </c>
      <c r="AN254" s="941">
        <v>0.0</v>
      </c>
      <c r="AO254" s="941">
        <v>0.0</v>
      </c>
      <c r="AP254" s="941">
        <v>2.0</v>
      </c>
      <c r="AQ254" s="941">
        <v>0.0</v>
      </c>
      <c r="AR254" s="941">
        <v>23.0</v>
      </c>
      <c r="AS254" s="941">
        <v>4.0</v>
      </c>
      <c r="AT254" s="941">
        <v>0.0</v>
      </c>
      <c r="AU254" s="941">
        <v>0.0</v>
      </c>
      <c r="AV254" s="941">
        <v>0.0</v>
      </c>
      <c r="AW254" s="941">
        <v>0.0</v>
      </c>
      <c r="AX254" s="941">
        <v>0.0</v>
      </c>
      <c r="AY254" s="941">
        <v>0.0</v>
      </c>
      <c r="AZ254" s="941">
        <v>0.0</v>
      </c>
      <c r="BA254" s="941">
        <v>0.0</v>
      </c>
      <c r="BB254" s="941">
        <v>1.0</v>
      </c>
      <c r="BC254" s="941">
        <v>0.0</v>
      </c>
      <c r="BD254" s="941">
        <v>16.0</v>
      </c>
      <c r="BE254" s="941">
        <v>23.0</v>
      </c>
      <c r="BF254" s="941">
        <v>0.0</v>
      </c>
      <c r="BG254" s="942">
        <v>1.0</v>
      </c>
    </row>
    <row r="255">
      <c r="A255" s="935" t="s">
        <v>154</v>
      </c>
      <c r="B255" s="16" t="str">
        <f>IF(C255&lt;'PlayerGrades+'!$Y$44,"F-",IF(C255&lt;'PlayerGrades+'!$Y$43,"F",IF(C255&lt;'PlayerGrades+'!$Y$42,"F+",IF(C255&lt;'PlayerGrades+'!$Y$41,"E-",IF(C255&lt;'PlayerGrades+'!$Y$40,"E",IF(C255&lt;'PlayerGrades+'!$Y$39,"E+",IF(C255&lt;'PlayerGrades+'!$Y$38,"D-",IF(C255&lt;'PlayerGrades+'!$Y$37,"D",IF(C255&lt;'PlayerGrades+'!$Y$36,"D+",IF(C255&lt;'PlayerGrades+'!$Y$35,"C-",IF(C255&lt;'PlayerGrades+'!$Y$34,"C",IF(C255&lt;'PlayerGrades+'!$Y$33,"C+",IF(C255&lt;'PlayerGrades+'!$Y$32,"B-",IF(C255&lt;'PlayerGrades+'!$Y$31,"B",IF(C255&lt;'PlayerGrades+'!$Y$30,"B+",IF(C255&lt;'PlayerGrades+'!$Y$29,"A-",IF(C255&lt;'PlayerGrades+'!$Y$28,"A",IF(C255&lt;'PlayerGrades+'!$Y$27,"A+",IF(C255&lt;'PlayerGrades+'!$Y$26,"S-",IF(C255&lt;'PlayerGrades+'!$Y$25,"S","S+"))))))))))))))))))))</f>
        <v>F-</v>
      </c>
      <c r="C255" s="936">
        <f>('PlayerGrades+'!$Y$47*(VLOOKUP(E255, 'PlayerGrades+'!$X$3:$Y$23, 2, FALSE)))+('PlayerGrades+'!$Y$48*(VLOOKUP(G255, 'PlayerGrades+'!$X$3:$Y$23, 2, FALSE)))+('PlayerGrades+'!$Y$49*(VLOOKUP(I255, 'PlayerGrades+'!$X$3:$Y$23, 2, FALSE)))+('PlayerGrades+'!$Y$50*(VLOOKUP(K255, 'PlayerGrades+'!$X$3:$Y$23, 2, FALSE)))+('PlayerGrades+'!$Y$51*(VLOOKUP(M255, 'PlayerGrades+'!$X$3:$Y$23, 2, FALSE)))+('PlayerGrades+'!$Y$52*(VLOOKUP(O255, 'PlayerGrades+'!$X$3:$Y$23, 2, FALSE)))+('PlayerGrades+'!$Y$53*(VLOOKUP(Q255, 'PlayerGrades+'!$X$3:$Y$23, 2, FALSE)))+('PlayerGrades+'!$Y$54*(VLOOKUP(S255, 'PlayerGrades+'!$X$3:$Y$23, 2, FALSE)))+('PlayerGrades+'!$Y$55*(VLOOKUP(U255, 'PlayerGrades+'!$X$3:$Y$23, 2, FALSE)))</f>
        <v>8.15</v>
      </c>
      <c r="D255" s="937">
        <f t="shared" si="1"/>
        <v>0.1563081504</v>
      </c>
      <c r="E255" s="937" t="str">
        <f>IF(D255&lt;'PlayerGrades+'!$AA$21,"F-",IF(D255&lt;'PlayerGrades+'!$AA$20,"F",IF(D255&lt;'PlayerGrades+'!$AA$19,"F+",IF(D255&lt;'PlayerGrades+'!$AA$18,"E-",IF(D255&lt;'PlayerGrades+'!$AA$17,"E",IF(D255&lt;'PlayerGrades+'!$AA$16,"E+",IF(D255&lt;'PlayerGrades+'!$AA$15,"D-",IF(D255&lt;'PlayerGrades+'!$AA$14,"D",IF(D255&lt;'PlayerGrades+'!$AA$13,"D+",IF(D255&lt;'PlayerGrades+'!$AA$12,"C-",IF(D255&lt;'PlayerGrades+'!$AA$11,"C",IF(D255&lt;'PlayerGrades+'!$AA$10,"C+",IF(D255&lt;'PlayerGrades+'!$AA$9,"B-",IF(D255&lt;'PlayerGrades+'!$AA$8,"B",IF(D255&lt;'PlayerGrades+'!$AA$7,"B+",IF(D255&lt;'PlayerGrades+'!$AA$6,"A-",IF(D255&lt;'PlayerGrades+'!$AA$5,"A",IF(D255&lt;'PlayerGrades+'!$AA$4,"A+",IF(D255&lt;'PlayerGrades+'!$AA$3,"S-",IF(D255&lt;'PlayerGrades+'!$AA$2,"S","S+"))))))))))))))))))))</f>
        <v>B+</v>
      </c>
      <c r="F255" s="937">
        <f t="shared" si="2"/>
        <v>-1.027167845</v>
      </c>
      <c r="G255" s="937" t="str">
        <f>IF(F255&lt;'PlayerGrades+'!$AB$21,"F-",IF(F255&lt;'PlayerGrades+'!$AB$20,"F",IF(F255&lt;'PlayerGrades+'!$AB$19,"F+",IF(F255&lt;'PlayerGrades+'!$AB$18,"E-",IF(F255&lt;'PlayerGrades+'!$AB$17,"E",IF(F255&lt;'PlayerGrades+'!$AB$16,"E+",IF(F255&lt;'PlayerGrades+'!$AB$15,"D-",IF(F255&lt;'PlayerGrades+'!$AB$14,"D",IF(F255&lt;'PlayerGrades+'!$AB$13,"D+",IF(F255&lt;'PlayerGrades+'!$AB$12,"C-",IF(F255&lt;'PlayerGrades+'!$AB$11,"C",IF(F255&lt;'PlayerGrades+'!$AB$10,"C+",IF(F255&lt;'PlayerGrades+'!$AB$9,"B-",IF(F255&lt;'PlayerGrades+'!$AB$8,"B",IF(F255&lt;'PlayerGrades+'!$AB$7,"B+",IF(F255&lt;'PlayerGrades+'!$AB$6,"A-",IF(F255&lt;'PlayerGrades+'!$AB$5,"A",IF(F255&lt;'PlayerGrades+'!$AB$4,"A+",IF(F255&lt;'PlayerGrades+'!$AB$3,"S-",IF(F255&lt;'PlayerGrades+'!$AB$2,"S","S+"))))))))))))))))))))</f>
        <v>F</v>
      </c>
      <c r="H255" s="937">
        <f t="shared" si="3"/>
        <v>0</v>
      </c>
      <c r="I255" s="937" t="str">
        <f>IF(H255&lt;'PlayerGrades+'!$AC$21,"F-",IF(H255&lt;'PlayerGrades+'!$AC$20,"F",IF(H255&lt;'PlayerGrades+'!$AC$19,"F+",IF(H255&lt;'PlayerGrades+'!$AC$18,"E-",IF(H255&lt;'PlayerGrades+'!$AC$17,"E",IF(H255&lt;'PlayerGrades+'!$AC$16,"E+",IF(H255&lt;'PlayerGrades+'!$AC$15,"D-",IF(H255&lt;'PlayerGrades+'!$AC$14,"D",IF(H255&lt;'PlayerGrades+'!$AC$13,"D+",IF(H255&lt;'PlayerGrades+'!$AC$12,"C-",IF(H255&lt;'PlayerGrades+'!$AC$11,"C",IF(H255&lt;'PlayerGrades+'!$AC$10,"C+",IF(H255&lt;'PlayerGrades+'!$AC$9,"B-",IF(H255&lt;'PlayerGrades+'!$AC$8,"B",IF(H255&lt;'PlayerGrades+'!$AC$7,"B+",IF(H255&lt;'PlayerGrades+'!$AC$6,"A-",IF(H255&lt;'PlayerGrades+'!$AC$5,"A",IF(H255&lt;'PlayerGrades+'!$AC$4,"A+",IF(H255&lt;'PlayerGrades+'!$AC$3,"S-",IF(H255&lt;'PlayerGrades+'!$AC$2,"S","S+"))))))))))))))))))))</f>
        <v>F-</v>
      </c>
      <c r="J255" s="937">
        <f t="shared" si="4"/>
        <v>0.02232973576</v>
      </c>
      <c r="K255" s="937" t="str">
        <f>IF(J255&lt;'PlayerGrades+'!$AD$21,"F-",IF(J255&lt;'PlayerGrades+'!$AD$20,"F",IF(J255&lt;'PlayerGrades+'!$AD$19,"F+",IF(J255&lt;'PlayerGrades+'!$AD$18,"E-",IF(J255&lt;'PlayerGrades+'!$AD$17,"E",IF(J255&lt;'PlayerGrades+'!$AD$16,"E+",IF(J255&lt;'PlayerGrades+'!$AD$15,"D-",IF(J255&lt;'PlayerGrades+'!$AD$14,"D",IF(J255&lt;'PlayerGrades+'!$AD$13,"D+",IF(J255&lt;'PlayerGrades+'!$AD$12,"C-",IF(J255&lt;'PlayerGrades+'!$AD$11,"C",IF(J255&lt;'PlayerGrades+'!$AD$10,"C+",IF(J255&lt;'PlayerGrades+'!$AD$9,"B-",IF(J255&lt;'PlayerGrades+'!$AD$8,"B",IF(J255&lt;'PlayerGrades+'!$AD$7,"B+",IF(J255&lt;'PlayerGrades+'!$AD$6,"A-",IF(J255&lt;'PlayerGrades+'!$AD$5,"A",IF(J255&lt;'PlayerGrades+'!$AD$4,"A+",IF(J255&lt;'PlayerGrades+'!$AD$3,"S-",IF(J255&lt;'PlayerGrades+'!$AD$2,"S","S+"))))))))))))))))))))</f>
        <v>D-</v>
      </c>
      <c r="L255" s="677">
        <f t="shared" si="5"/>
        <v>0.1116486788</v>
      </c>
      <c r="M255" s="938" t="str">
        <f>IF(L255&lt;'PlayerGrades+'!$AE$21,"F-",IF(L255&lt;'PlayerGrades+'!$AE$20,"F",IF(L255&lt;'PlayerGrades+'!$AE$19,"F+",IF(L255&lt;'PlayerGrades+'!$AE$18,"E-",IF(L255&lt;'PlayerGrades+'!$AE$17,"E",IF(L255&lt;'PlayerGrades+'!$AE$16,"E+",IF(L255&lt;'PlayerGrades+'!$AE$15,"D-",IF(L255&lt;'PlayerGrades+'!$AE$14,"D",IF(L255&lt;'PlayerGrades+'!$AE$13,"D+",IF(L255&lt;'PlayerGrades+'!$AE$12,"C-",IF(L255&lt;'PlayerGrades+'!$AE$11,"C",IF(L255&lt;'PlayerGrades+'!$AE$10,"C+",IF(L255&lt;'PlayerGrades+'!$AE$9,"B-",IF(L255&lt;'PlayerGrades+'!$AE$8,"B",IF(L255&lt;'PlayerGrades+'!$AE$7,"B+",IF(L255&lt;'PlayerGrades+'!$AE$6,"A-",IF(L255&lt;'PlayerGrades+'!$AE$5,"A",IF(L255&lt;'PlayerGrades+'!$AE$4,"A+",IF(L255&lt;'PlayerGrades+'!$AE$3,"S-",IF(L255&lt;'PlayerGrades+'!$AE$2,"S","S+"))))))))))))))))))))</f>
        <v>F-</v>
      </c>
      <c r="N255" s="937">
        <f t="shared" si="6"/>
        <v>0</v>
      </c>
      <c r="O255" s="937" t="str">
        <f>IF(N255&lt;'PlayerGrades+'!$AF$21,"F-",IF(N255&lt;'PlayerGrades+'!$AF$20,"F",IF(N255&lt;'PlayerGrades+'!$AF$19,"F+",IF(N255&lt;'PlayerGrades+'!$AF$18,"E-",IF(N255&lt;'PlayerGrades+'!$AF$17,"E",IF(N255&lt;'PlayerGrades+'!$AF$16,"E+",IF(N255&lt;'PlayerGrades+'!$AF$15,"D-",IF(N255&lt;'PlayerGrades+'!$AF$14,"D",IF(N255&lt;'PlayerGrades+'!$AF$13,"D+",IF(N255&lt;'PlayerGrades+'!$AF$12,"C-",IF(N255&lt;'PlayerGrades+'!$AF$11,"C",IF(N255&lt;'PlayerGrades+'!$AF$10,"C+",IF(N255&lt;'PlayerGrades+'!$AF$9,"B-",IF(N255&lt;'PlayerGrades+'!$AF$8,"B",IF(N255&lt;'PlayerGrades+'!$AF$7,"B+",IF(N255&lt;'PlayerGrades+'!$AF$6,"A-",IF(N255&lt;'PlayerGrades+'!$AF$5,"A",IF(N255&lt;'PlayerGrades+'!$AF$4,"A+",IF(N255&lt;'PlayerGrades+'!$AF$3,"S-",IF(N255&lt;'PlayerGrades+'!$AF$2,"S","S+"))))))))))))))))))))</f>
        <v>F-</v>
      </c>
      <c r="P255" s="937">
        <f t="shared" si="7"/>
        <v>0</v>
      </c>
      <c r="Q255" s="937" t="str">
        <f>IF(P255&lt;'PlayerGrades+'!$AG$21,"F-",IF(P255&lt;'PlayerGrades+'!$AG$20,"F",IF(P255&lt;'PlayerGrades+'!$AG$19,"F+",IF(P255&lt;'PlayerGrades+'!$AG$18,"E-",IF(P255&lt;'PlayerGrades+'!$AG$17,"E",IF(P255&lt;'PlayerGrades+'!$AG$16,"E+",IF(P255&lt;'PlayerGrades+'!$AG$15,"D-",IF(P255&lt;'PlayerGrades+'!$AG$14,"D",IF(P255&lt;'PlayerGrades+'!$AG$13,"D+",IF(P255&lt;'PlayerGrades+'!$AG$12,"C-",IF(P255&lt;'PlayerGrades+'!$AG$11,"C",IF(P255&lt;'PlayerGrades+'!$AG$10,"C+",IF(P255&lt;'PlayerGrades+'!$AG$9,"B-",IF(P255&lt;'PlayerGrades+'!$AG$8,"B",IF(P255&lt;'PlayerGrades+'!$AG$7,"B+",IF(P255&lt;'PlayerGrades+'!$AG$6,"A-",IF(P255&lt;'PlayerGrades+'!$AG$5,"A",IF(P255&lt;'PlayerGrades+'!$AG$4,"A+",IF(P255&lt;'PlayerGrades+'!$AG$3,"S-",IF(P255&lt;'PlayerGrades+'!$AG$2,"S","S+"))))))))))))))))))))</f>
        <v>F</v>
      </c>
      <c r="R255" s="937">
        <f t="shared" si="8"/>
        <v>0.2009676219</v>
      </c>
      <c r="S255" s="937" t="str">
        <f>IF(R255&lt;'PlayerGrades+'!$AH$21,"F-",IF(R255&lt;'PlayerGrades+'!$AH$20,"F",IF(R255&lt;'PlayerGrades+'!$AH$19,"F+",IF(R255&lt;'PlayerGrades+'!$AH$18,"E-",IF(R255&lt;'PlayerGrades+'!$AH$17,"E",IF(R255&lt;'PlayerGrades+'!$AH$16,"E+",IF(R255&lt;'PlayerGrades+'!$AH$15,"D-",IF(R255&lt;'PlayerGrades+'!$AH$14,"D",IF(R255&lt;'PlayerGrades+'!$AH$13,"D+",IF(R255&lt;'PlayerGrades+'!$AH$12,"C-",IF(R255&lt;'PlayerGrades+'!$AH$11,"C",IF(R255&lt;'PlayerGrades+'!$AH$10,"C+",IF(R255&lt;'PlayerGrades+'!$AH$9,"B-",IF(R255&lt;'PlayerGrades+'!$AH$8,"B",IF(R255&lt;'PlayerGrades+'!$AH$7,"B+",IF(R255&lt;'PlayerGrades+'!$AH$6,"A-",IF(R255&lt;'PlayerGrades+'!$AH$5,"A",IF(R255&lt;'PlayerGrades+'!$AH$4,"A+",IF(R255&lt;'PlayerGrades+'!$AH$3,"S-",IF(R255&lt;'PlayerGrades+'!$AH$2,"S","S+"))))))))))))))))))))</f>
        <v>F-</v>
      </c>
      <c r="T255" s="937">
        <f t="shared" si="9"/>
        <v>1.245627093</v>
      </c>
      <c r="U255" s="937" t="str">
        <f>IF(T255&lt;'PlayerGrades+'!$AI$21,"F-",IF(T255&lt;'PlayerGrades+'!$AI$20,"F",IF(T255&lt;'PlayerGrades+'!$AI$19,"F+",IF(T255&lt;'PlayerGrades+'!$AI$18,"E-",IF(T255&lt;'PlayerGrades+'!$AI$17,"E",IF(T255&lt;'PlayerGrades+'!$AI$16,"E+",IF(T255&lt;'PlayerGrades+'!$AI$15,"D-",IF(T255&lt;'PlayerGrades+'!$AI$14,"D",IF(T255&lt;'PlayerGrades+'!$AI$13,"D+",IF(T255&lt;'PlayerGrades+'!$AI$12,"C-",IF(T255&lt;'PlayerGrades+'!$AI$11,"C",IF(T255&lt;'PlayerGrades+'!$AI$10,"C+",IF(T255&lt;'PlayerGrades+'!$AI$9,"B-",IF(T255&lt;'PlayerGrades+'!$AI$8,"B",IF(T255&lt;'PlayerGrades+'!$AI$7,"B+",IF(T255&lt;'PlayerGrades+'!$AI$6,"A-",IF(T255&lt;'PlayerGrades+'!$AI$5,"A",IF(T255&lt;'PlayerGrades+'!$AI$4,"A+",IF(T255&lt;'PlayerGrades+'!$AI$3,"S-",IF(T255&lt;'PlayerGrades+'!$AI$2,"S","S+"))))))))))))))))))))</f>
        <v>C</v>
      </c>
      <c r="V255" s="941">
        <v>1.0</v>
      </c>
      <c r="W255" s="941">
        <v>0.0</v>
      </c>
      <c r="X255" s="941">
        <v>1.0</v>
      </c>
      <c r="Y255" s="941">
        <v>1.0</v>
      </c>
      <c r="Z255" s="941">
        <v>6.0</v>
      </c>
      <c r="AA255" s="941">
        <v>71.0</v>
      </c>
      <c r="AB255" s="941">
        <v>117.0</v>
      </c>
      <c r="AC255" s="941">
        <v>-46.0</v>
      </c>
      <c r="AD255" s="941">
        <v>2.0</v>
      </c>
      <c r="AE255" s="941">
        <v>5.0</v>
      </c>
      <c r="AF255" s="941">
        <v>1.0</v>
      </c>
      <c r="AG255" s="941">
        <v>2247.0</v>
      </c>
      <c r="AH255" s="941">
        <v>2687.0</v>
      </c>
      <c r="AI255" s="941">
        <v>19.0</v>
      </c>
      <c r="AJ255" s="941">
        <v>797.0</v>
      </c>
      <c r="AK255" s="941">
        <v>0.0</v>
      </c>
      <c r="AL255" s="941">
        <v>1.0</v>
      </c>
      <c r="AM255" s="941">
        <v>0.0</v>
      </c>
      <c r="AN255" s="941">
        <v>0.0</v>
      </c>
      <c r="AO255" s="941">
        <v>0.0</v>
      </c>
      <c r="AP255" s="941">
        <v>0.0</v>
      </c>
      <c r="AQ255" s="941">
        <v>0.0</v>
      </c>
      <c r="AR255" s="941">
        <v>5.0</v>
      </c>
      <c r="AS255" s="941">
        <v>0.0</v>
      </c>
      <c r="AT255" s="941">
        <v>0.0</v>
      </c>
      <c r="AU255" s="941">
        <v>0.0</v>
      </c>
      <c r="AV255" s="941">
        <v>0.0</v>
      </c>
      <c r="AW255" s="941">
        <v>0.0</v>
      </c>
      <c r="AX255" s="941">
        <v>0.0</v>
      </c>
      <c r="AY255" s="941">
        <v>0.0</v>
      </c>
      <c r="AZ255" s="941">
        <v>0.0</v>
      </c>
      <c r="BA255" s="941">
        <v>0.0</v>
      </c>
      <c r="BB255" s="941">
        <v>0.0</v>
      </c>
      <c r="BC255" s="941">
        <v>0.0</v>
      </c>
      <c r="BD255" s="941">
        <v>7.0</v>
      </c>
      <c r="BE255" s="941">
        <v>11.0</v>
      </c>
      <c r="BF255" s="941">
        <v>1.0</v>
      </c>
      <c r="BG255" s="942">
        <v>1.0</v>
      </c>
    </row>
    <row r="256">
      <c r="A256" s="935" t="s">
        <v>132</v>
      </c>
      <c r="B256" s="16" t="str">
        <f>IF(C256&lt;'PlayerGrades+'!$Y$44,"F-",IF(C256&lt;'PlayerGrades+'!$Y$43,"F",IF(C256&lt;'PlayerGrades+'!$Y$42,"F+",IF(C256&lt;'PlayerGrades+'!$Y$41,"E-",IF(C256&lt;'PlayerGrades+'!$Y$40,"E",IF(C256&lt;'PlayerGrades+'!$Y$39,"E+",IF(C256&lt;'PlayerGrades+'!$Y$38,"D-",IF(C256&lt;'PlayerGrades+'!$Y$37,"D",IF(C256&lt;'PlayerGrades+'!$Y$36,"D+",IF(C256&lt;'PlayerGrades+'!$Y$35,"C-",IF(C256&lt;'PlayerGrades+'!$Y$34,"C",IF(C256&lt;'PlayerGrades+'!$Y$33,"C+",IF(C256&lt;'PlayerGrades+'!$Y$32,"B-",IF(C256&lt;'PlayerGrades+'!$Y$31,"B",IF(C256&lt;'PlayerGrades+'!$Y$30,"B+",IF(C256&lt;'PlayerGrades+'!$Y$29,"A-",IF(C256&lt;'PlayerGrades+'!$Y$28,"A",IF(C256&lt;'PlayerGrades+'!$Y$27,"A+",IF(C256&lt;'PlayerGrades+'!$Y$26,"S-",IF(C256&lt;'PlayerGrades+'!$Y$25,"S","S+"))))))))))))))))))))</f>
        <v>D-</v>
      </c>
      <c r="C256" s="936">
        <f>('PlayerGrades+'!$Y$47*(VLOOKUP(E256, 'PlayerGrades+'!$X$3:$Y$23, 2, FALSE)))+('PlayerGrades+'!$Y$48*(VLOOKUP(G256, 'PlayerGrades+'!$X$3:$Y$23, 2, FALSE)))+('PlayerGrades+'!$Y$49*(VLOOKUP(I256, 'PlayerGrades+'!$X$3:$Y$23, 2, FALSE)))+('PlayerGrades+'!$Y$50*(VLOOKUP(K256, 'PlayerGrades+'!$X$3:$Y$23, 2, FALSE)))+('PlayerGrades+'!$Y$51*(VLOOKUP(M256, 'PlayerGrades+'!$X$3:$Y$23, 2, FALSE)))+('PlayerGrades+'!$Y$52*(VLOOKUP(O256, 'PlayerGrades+'!$X$3:$Y$23, 2, FALSE)))+('PlayerGrades+'!$Y$53*(VLOOKUP(Q256, 'PlayerGrades+'!$X$3:$Y$23, 2, FALSE)))+('PlayerGrades+'!$Y$54*(VLOOKUP(S256, 'PlayerGrades+'!$X$3:$Y$23, 2, FALSE)))+('PlayerGrades+'!$Y$55*(VLOOKUP(U256, 'PlayerGrades+'!$X$3:$Y$23, 2, FALSE)))</f>
        <v>14.9</v>
      </c>
      <c r="D256" s="937">
        <f t="shared" si="1"/>
        <v>0</v>
      </c>
      <c r="E256" s="937" t="str">
        <f>IF(D256&lt;'PlayerGrades+'!$AA$21,"F-",IF(D256&lt;'PlayerGrades+'!$AA$20,"F",IF(D256&lt;'PlayerGrades+'!$AA$19,"F+",IF(D256&lt;'PlayerGrades+'!$AA$18,"E-",IF(D256&lt;'PlayerGrades+'!$AA$17,"E",IF(D256&lt;'PlayerGrades+'!$AA$16,"E+",IF(D256&lt;'PlayerGrades+'!$AA$15,"D-",IF(D256&lt;'PlayerGrades+'!$AA$14,"D",IF(D256&lt;'PlayerGrades+'!$AA$13,"D+",IF(D256&lt;'PlayerGrades+'!$AA$12,"C-",IF(D256&lt;'PlayerGrades+'!$AA$11,"C",IF(D256&lt;'PlayerGrades+'!$AA$10,"C+",IF(D256&lt;'PlayerGrades+'!$AA$9,"B-",IF(D256&lt;'PlayerGrades+'!$AA$8,"B",IF(D256&lt;'PlayerGrades+'!$AA$7,"B+",IF(D256&lt;'PlayerGrades+'!$AA$6,"A-",IF(D256&lt;'PlayerGrades+'!$AA$5,"A",IF(D256&lt;'PlayerGrades+'!$AA$4,"A+",IF(D256&lt;'PlayerGrades+'!$AA$3,"S-",IF(D256&lt;'PlayerGrades+'!$AA$2,"S","S+"))))))))))))))))))))</f>
        <v>F-</v>
      </c>
      <c r="F256" s="937">
        <f t="shared" si="2"/>
        <v>-0.1786378861</v>
      </c>
      <c r="G256" s="937" t="str">
        <f>IF(F256&lt;'PlayerGrades+'!$AB$21,"F-",IF(F256&lt;'PlayerGrades+'!$AB$20,"F",IF(F256&lt;'PlayerGrades+'!$AB$19,"F+",IF(F256&lt;'PlayerGrades+'!$AB$18,"E-",IF(F256&lt;'PlayerGrades+'!$AB$17,"E",IF(F256&lt;'PlayerGrades+'!$AB$16,"E+",IF(F256&lt;'PlayerGrades+'!$AB$15,"D-",IF(F256&lt;'PlayerGrades+'!$AB$14,"D",IF(F256&lt;'PlayerGrades+'!$AB$13,"D+",IF(F256&lt;'PlayerGrades+'!$AB$12,"C-",IF(F256&lt;'PlayerGrades+'!$AB$11,"C",IF(F256&lt;'PlayerGrades+'!$AB$10,"C+",IF(F256&lt;'PlayerGrades+'!$AB$9,"B-",IF(F256&lt;'PlayerGrades+'!$AB$8,"B",IF(F256&lt;'PlayerGrades+'!$AB$7,"B+",IF(F256&lt;'PlayerGrades+'!$AB$6,"A-",IF(F256&lt;'PlayerGrades+'!$AB$5,"A",IF(F256&lt;'PlayerGrades+'!$AB$4,"A+",IF(F256&lt;'PlayerGrades+'!$AB$3,"S-",IF(F256&lt;'PlayerGrades+'!$AB$2,"S","S+"))))))))))))))))))))</f>
        <v>C+</v>
      </c>
      <c r="H256" s="937">
        <f t="shared" si="3"/>
        <v>0.04465947153</v>
      </c>
      <c r="I256" s="937" t="str">
        <f>IF(H256&lt;'PlayerGrades+'!$AC$21,"F-",IF(H256&lt;'PlayerGrades+'!$AC$20,"F",IF(H256&lt;'PlayerGrades+'!$AC$19,"F+",IF(H256&lt;'PlayerGrades+'!$AC$18,"E-",IF(H256&lt;'PlayerGrades+'!$AC$17,"E",IF(H256&lt;'PlayerGrades+'!$AC$16,"E+",IF(H256&lt;'PlayerGrades+'!$AC$15,"D-",IF(H256&lt;'PlayerGrades+'!$AC$14,"D",IF(H256&lt;'PlayerGrades+'!$AC$13,"D+",IF(H256&lt;'PlayerGrades+'!$AC$12,"C-",IF(H256&lt;'PlayerGrades+'!$AC$11,"C",IF(H256&lt;'PlayerGrades+'!$AC$10,"C+",IF(H256&lt;'PlayerGrades+'!$AC$9,"B-",IF(H256&lt;'PlayerGrades+'!$AC$8,"B",IF(H256&lt;'PlayerGrades+'!$AC$7,"B+",IF(H256&lt;'PlayerGrades+'!$AC$6,"A-",IF(H256&lt;'PlayerGrades+'!$AC$5,"A",IF(H256&lt;'PlayerGrades+'!$AC$4,"A+",IF(H256&lt;'PlayerGrades+'!$AC$3,"S-",IF(H256&lt;'PlayerGrades+'!$AC$2,"S","S+"))))))))))))))))))))</f>
        <v>F</v>
      </c>
      <c r="J256" s="937">
        <f t="shared" si="4"/>
        <v>0.02232973576</v>
      </c>
      <c r="K256" s="937" t="str">
        <f>IF(J256&lt;'PlayerGrades+'!$AD$21,"F-",IF(J256&lt;'PlayerGrades+'!$AD$20,"F",IF(J256&lt;'PlayerGrades+'!$AD$19,"F+",IF(J256&lt;'PlayerGrades+'!$AD$18,"E-",IF(J256&lt;'PlayerGrades+'!$AD$17,"E",IF(J256&lt;'PlayerGrades+'!$AD$16,"E+",IF(J256&lt;'PlayerGrades+'!$AD$15,"D-",IF(J256&lt;'PlayerGrades+'!$AD$14,"D",IF(J256&lt;'PlayerGrades+'!$AD$13,"D+",IF(J256&lt;'PlayerGrades+'!$AD$12,"C-",IF(J256&lt;'PlayerGrades+'!$AD$11,"C",IF(J256&lt;'PlayerGrades+'!$AD$10,"C+",IF(J256&lt;'PlayerGrades+'!$AD$9,"B-",IF(J256&lt;'PlayerGrades+'!$AD$8,"B",IF(J256&lt;'PlayerGrades+'!$AD$7,"B+",IF(J256&lt;'PlayerGrades+'!$AD$6,"A-",IF(J256&lt;'PlayerGrades+'!$AD$5,"A",IF(J256&lt;'PlayerGrades+'!$AD$4,"A+",IF(J256&lt;'PlayerGrades+'!$AD$3,"S-",IF(J256&lt;'PlayerGrades+'!$AD$2,"S","S+"))))))))))))))))))))</f>
        <v>D-</v>
      </c>
      <c r="L256" s="677">
        <f t="shared" si="5"/>
        <v>0.3126163007</v>
      </c>
      <c r="M256" s="938" t="str">
        <f>IF(L256&lt;'PlayerGrades+'!$AE$21,"F-",IF(L256&lt;'PlayerGrades+'!$AE$20,"F",IF(L256&lt;'PlayerGrades+'!$AE$19,"F+",IF(L256&lt;'PlayerGrades+'!$AE$18,"E-",IF(L256&lt;'PlayerGrades+'!$AE$17,"E",IF(L256&lt;'PlayerGrades+'!$AE$16,"E+",IF(L256&lt;'PlayerGrades+'!$AE$15,"D-",IF(L256&lt;'PlayerGrades+'!$AE$14,"D",IF(L256&lt;'PlayerGrades+'!$AE$13,"D+",IF(L256&lt;'PlayerGrades+'!$AE$12,"C-",IF(L256&lt;'PlayerGrades+'!$AE$11,"C",IF(L256&lt;'PlayerGrades+'!$AE$10,"C+",IF(L256&lt;'PlayerGrades+'!$AE$9,"B-",IF(L256&lt;'PlayerGrades+'!$AE$8,"B",IF(L256&lt;'PlayerGrades+'!$AE$7,"B+",IF(L256&lt;'PlayerGrades+'!$AE$6,"A-",IF(L256&lt;'PlayerGrades+'!$AE$5,"A",IF(L256&lt;'PlayerGrades+'!$AE$4,"A+",IF(L256&lt;'PlayerGrades+'!$AE$3,"S-",IF(L256&lt;'PlayerGrades+'!$AE$2,"S","S+"))))))))))))))))))))</f>
        <v>E</v>
      </c>
      <c r="N256" s="937">
        <f t="shared" si="6"/>
        <v>0.06698920729</v>
      </c>
      <c r="O256" s="937" t="str">
        <f>IF(N256&lt;'PlayerGrades+'!$AF$21,"F-",IF(N256&lt;'PlayerGrades+'!$AF$20,"F",IF(N256&lt;'PlayerGrades+'!$AF$19,"F+",IF(N256&lt;'PlayerGrades+'!$AF$18,"E-",IF(N256&lt;'PlayerGrades+'!$AF$17,"E",IF(N256&lt;'PlayerGrades+'!$AF$16,"E+",IF(N256&lt;'PlayerGrades+'!$AF$15,"D-",IF(N256&lt;'PlayerGrades+'!$AF$14,"D",IF(N256&lt;'PlayerGrades+'!$AF$13,"D+",IF(N256&lt;'PlayerGrades+'!$AF$12,"C-",IF(N256&lt;'PlayerGrades+'!$AF$11,"C",IF(N256&lt;'PlayerGrades+'!$AF$10,"C+",IF(N256&lt;'PlayerGrades+'!$AF$9,"B-",IF(N256&lt;'PlayerGrades+'!$AF$8,"B",IF(N256&lt;'PlayerGrades+'!$AF$7,"B+",IF(N256&lt;'PlayerGrades+'!$AF$6,"A-",IF(N256&lt;'PlayerGrades+'!$AF$5,"A",IF(N256&lt;'PlayerGrades+'!$AF$4,"A+",IF(N256&lt;'PlayerGrades+'!$AF$3,"S-",IF(N256&lt;'PlayerGrades+'!$AF$2,"S","S+"))))))))))))))))))))</f>
        <v>C-</v>
      </c>
      <c r="P256" s="937">
        <f t="shared" si="7"/>
        <v>0.02232973576</v>
      </c>
      <c r="Q256" s="937" t="str">
        <f>IF(P256&lt;'PlayerGrades+'!$AG$21,"F-",IF(P256&lt;'PlayerGrades+'!$AG$20,"F",IF(P256&lt;'PlayerGrades+'!$AG$19,"F+",IF(P256&lt;'PlayerGrades+'!$AG$18,"E-",IF(P256&lt;'PlayerGrades+'!$AG$17,"E",IF(P256&lt;'PlayerGrades+'!$AG$16,"E+",IF(P256&lt;'PlayerGrades+'!$AG$15,"D-",IF(P256&lt;'PlayerGrades+'!$AG$14,"D",IF(P256&lt;'PlayerGrades+'!$AG$13,"D+",IF(P256&lt;'PlayerGrades+'!$AG$12,"C-",IF(P256&lt;'PlayerGrades+'!$AG$11,"C",IF(P256&lt;'PlayerGrades+'!$AG$10,"C+",IF(P256&lt;'PlayerGrades+'!$AG$9,"B-",IF(P256&lt;'PlayerGrades+'!$AG$8,"B",IF(P256&lt;'PlayerGrades+'!$AG$7,"B+",IF(P256&lt;'PlayerGrades+'!$AG$6,"A-",IF(P256&lt;'PlayerGrades+'!$AG$5,"A",IF(P256&lt;'PlayerGrades+'!$AG$4,"A+",IF(P256&lt;'PlayerGrades+'!$AG$3,"S-",IF(P256&lt;'PlayerGrades+'!$AG$2,"S","S+"))))))))))))))))))))</f>
        <v>B-</v>
      </c>
      <c r="R256" s="937">
        <f t="shared" si="8"/>
        <v>0.5135839226</v>
      </c>
      <c r="S256" s="937" t="str">
        <f>IF(R256&lt;'PlayerGrades+'!$AH$21,"F-",IF(R256&lt;'PlayerGrades+'!$AH$20,"F",IF(R256&lt;'PlayerGrades+'!$AH$19,"F+",IF(R256&lt;'PlayerGrades+'!$AH$18,"E-",IF(R256&lt;'PlayerGrades+'!$AH$17,"E",IF(R256&lt;'PlayerGrades+'!$AH$16,"E+",IF(R256&lt;'PlayerGrades+'!$AH$15,"D-",IF(R256&lt;'PlayerGrades+'!$AH$14,"D",IF(R256&lt;'PlayerGrades+'!$AH$13,"D+",IF(R256&lt;'PlayerGrades+'!$AH$12,"C-",IF(R256&lt;'PlayerGrades+'!$AH$11,"C",IF(R256&lt;'PlayerGrades+'!$AH$10,"C+",IF(R256&lt;'PlayerGrades+'!$AH$9,"B-",IF(R256&lt;'PlayerGrades+'!$AH$8,"B",IF(R256&lt;'PlayerGrades+'!$AH$7,"B+",IF(R256&lt;'PlayerGrades+'!$AH$6,"A-",IF(R256&lt;'PlayerGrades+'!$AH$5,"A",IF(R256&lt;'PlayerGrades+'!$AH$4,"A+",IF(R256&lt;'PlayerGrades+'!$AH$3,"S-",IF(R256&lt;'PlayerGrades+'!$AH$2,"S","S+"))))))))))))))))))))</f>
        <v>D</v>
      </c>
      <c r="T256" s="937">
        <f t="shared" si="9"/>
        <v>1.491254187</v>
      </c>
      <c r="U256" s="937" t="str">
        <f>IF(T256&lt;'PlayerGrades+'!$AI$21,"F-",IF(T256&lt;'PlayerGrades+'!$AI$20,"F",IF(T256&lt;'PlayerGrades+'!$AI$19,"F+",IF(T256&lt;'PlayerGrades+'!$AI$18,"E-",IF(T256&lt;'PlayerGrades+'!$AI$17,"E",IF(T256&lt;'PlayerGrades+'!$AI$16,"E+",IF(T256&lt;'PlayerGrades+'!$AI$15,"D-",IF(T256&lt;'PlayerGrades+'!$AI$14,"D",IF(T256&lt;'PlayerGrades+'!$AI$13,"D+",IF(T256&lt;'PlayerGrades+'!$AI$12,"C-",IF(T256&lt;'PlayerGrades+'!$AI$11,"C",IF(T256&lt;'PlayerGrades+'!$AI$10,"C+",IF(T256&lt;'PlayerGrades+'!$AI$9,"B-",IF(T256&lt;'PlayerGrades+'!$AI$8,"B",IF(T256&lt;'PlayerGrades+'!$AI$7,"B+",IF(T256&lt;'PlayerGrades+'!$AI$6,"A-",IF(T256&lt;'PlayerGrades+'!$AI$5,"A",IF(T256&lt;'PlayerGrades+'!$AI$4,"A+",IF(T256&lt;'PlayerGrades+'!$AI$3,"S-",IF(T256&lt;'PlayerGrades+'!$AI$2,"S","S+"))))))))))))))))))))</f>
        <v>A-</v>
      </c>
      <c r="V256" s="941">
        <v>1.0</v>
      </c>
      <c r="W256" s="941">
        <v>0.0</v>
      </c>
      <c r="X256" s="941">
        <v>1.0</v>
      </c>
      <c r="Y256" s="941">
        <v>0.0</v>
      </c>
      <c r="Z256" s="941">
        <v>0.0</v>
      </c>
      <c r="AA256" s="941">
        <v>140.0</v>
      </c>
      <c r="AB256" s="941">
        <v>148.0</v>
      </c>
      <c r="AC256" s="941">
        <v>-8.0</v>
      </c>
      <c r="AD256" s="941">
        <v>7.0</v>
      </c>
      <c r="AE256" s="941">
        <v>6.0</v>
      </c>
      <c r="AF256" s="941">
        <v>0.0</v>
      </c>
      <c r="AG256" s="941">
        <v>2150.0</v>
      </c>
      <c r="AH256" s="941">
        <v>2687.0</v>
      </c>
      <c r="AI256" s="941">
        <v>14.0</v>
      </c>
      <c r="AJ256" s="941">
        <v>0.0</v>
      </c>
      <c r="AK256" s="941">
        <v>0.0</v>
      </c>
      <c r="AL256" s="941">
        <v>1.0</v>
      </c>
      <c r="AM256" s="941">
        <v>0.0</v>
      </c>
      <c r="AN256" s="941">
        <v>0.0</v>
      </c>
      <c r="AO256" s="941">
        <v>0.0</v>
      </c>
      <c r="AP256" s="941">
        <v>1.0</v>
      </c>
      <c r="AQ256" s="941">
        <v>0.0</v>
      </c>
      <c r="AR256" s="941">
        <v>14.0</v>
      </c>
      <c r="AS256" s="941">
        <v>3.0</v>
      </c>
      <c r="AT256" s="941">
        <v>0.0</v>
      </c>
      <c r="AU256" s="941">
        <v>0.0</v>
      </c>
      <c r="AV256" s="941">
        <v>0.0</v>
      </c>
      <c r="AW256" s="941">
        <v>0.0</v>
      </c>
      <c r="AX256" s="941">
        <v>0.0</v>
      </c>
      <c r="AY256" s="941">
        <v>0.0</v>
      </c>
      <c r="AZ256" s="941">
        <v>0.0</v>
      </c>
      <c r="BA256" s="941">
        <v>0.0</v>
      </c>
      <c r="BB256" s="941">
        <v>2.0</v>
      </c>
      <c r="BC256" s="941">
        <v>0.0</v>
      </c>
      <c r="BD256" s="941">
        <v>16.0</v>
      </c>
      <c r="BE256" s="941">
        <v>22.0</v>
      </c>
      <c r="BF256" s="941">
        <v>1.0</v>
      </c>
      <c r="BG256" s="942">
        <v>1.0</v>
      </c>
    </row>
    <row r="257">
      <c r="A257" s="943" t="s">
        <v>514</v>
      </c>
      <c r="B257" s="16" t="str">
        <f>IF(C257&lt;'PlayerGrades+'!$Y$44,"F-",IF(C257&lt;'PlayerGrades+'!$Y$43,"F",IF(C257&lt;'PlayerGrades+'!$Y$42,"F+",IF(C257&lt;'PlayerGrades+'!$Y$41,"E-",IF(C257&lt;'PlayerGrades+'!$Y$40,"E",IF(C257&lt;'PlayerGrades+'!$Y$39,"E+",IF(C257&lt;'PlayerGrades+'!$Y$38,"D-",IF(C257&lt;'PlayerGrades+'!$Y$37,"D",IF(C257&lt;'PlayerGrades+'!$Y$36,"D+",IF(C257&lt;'PlayerGrades+'!$Y$35,"C-",IF(C257&lt;'PlayerGrades+'!$Y$34,"C",IF(C257&lt;'PlayerGrades+'!$Y$33,"C+",IF(C257&lt;'PlayerGrades+'!$Y$32,"B-",IF(C257&lt;'PlayerGrades+'!$Y$31,"B",IF(C257&lt;'PlayerGrades+'!$Y$30,"B+",IF(C257&lt;'PlayerGrades+'!$Y$29,"A-",IF(C257&lt;'PlayerGrades+'!$Y$28,"A",IF(C257&lt;'PlayerGrades+'!$Y$27,"A+",IF(C257&lt;'PlayerGrades+'!$Y$26,"S-",IF(C257&lt;'PlayerGrades+'!$Y$25,"S","S+"))))))))))))))))))))</f>
        <v>D-</v>
      </c>
      <c r="C257" s="936">
        <f>('PlayerGrades+'!$Y$47*(VLOOKUP(E257, 'PlayerGrades+'!$X$3:$Y$23, 2, FALSE)))+('PlayerGrades+'!$Y$48*(VLOOKUP(G257, 'PlayerGrades+'!$X$3:$Y$23, 2, FALSE)))+('PlayerGrades+'!$Y$49*(VLOOKUP(I257, 'PlayerGrades+'!$X$3:$Y$23, 2, FALSE)))+('PlayerGrades+'!$Y$50*(VLOOKUP(K257, 'PlayerGrades+'!$X$3:$Y$23, 2, FALSE)))+('PlayerGrades+'!$Y$51*(VLOOKUP(M257, 'PlayerGrades+'!$X$3:$Y$23, 2, FALSE)))+('PlayerGrades+'!$Y$52*(VLOOKUP(O257, 'PlayerGrades+'!$X$3:$Y$23, 2, FALSE)))+('PlayerGrades+'!$Y$53*(VLOOKUP(Q257, 'PlayerGrades+'!$X$3:$Y$23, 2, FALSE)))+('PlayerGrades+'!$Y$54*(VLOOKUP(S257, 'PlayerGrades+'!$X$3:$Y$23, 2, FALSE)))+('PlayerGrades+'!$Y$55*(VLOOKUP(U257, 'PlayerGrades+'!$X$3:$Y$23, 2, FALSE)))</f>
        <v>14</v>
      </c>
      <c r="D257" s="937">
        <f t="shared" si="1"/>
        <v>0.02232973576</v>
      </c>
      <c r="E257" s="937" t="str">
        <f>IF(D257&lt;'PlayerGrades+'!$AA$21,"F-",IF(D257&lt;'PlayerGrades+'!$AA$20,"F",IF(D257&lt;'PlayerGrades+'!$AA$19,"F+",IF(D257&lt;'PlayerGrades+'!$AA$18,"E-",IF(D257&lt;'PlayerGrades+'!$AA$17,"E",IF(D257&lt;'PlayerGrades+'!$AA$16,"E+",IF(D257&lt;'PlayerGrades+'!$AA$15,"D-",IF(D257&lt;'PlayerGrades+'!$AA$14,"D",IF(D257&lt;'PlayerGrades+'!$AA$13,"D+",IF(D257&lt;'PlayerGrades+'!$AA$12,"C-",IF(D257&lt;'PlayerGrades+'!$AA$11,"C",IF(D257&lt;'PlayerGrades+'!$AA$10,"C+",IF(D257&lt;'PlayerGrades+'!$AA$9,"B-",IF(D257&lt;'PlayerGrades+'!$AA$8,"B",IF(D257&lt;'PlayerGrades+'!$AA$7,"B+",IF(D257&lt;'PlayerGrades+'!$AA$6,"A-",IF(D257&lt;'PlayerGrades+'!$AA$5,"A",IF(D257&lt;'PlayerGrades+'!$AA$4,"A+",IF(D257&lt;'PlayerGrades+'!$AA$3,"S-",IF(D257&lt;'PlayerGrades+'!$AA$2,"S","S+"))))))))))))))))))))</f>
        <v>E</v>
      </c>
      <c r="F257" s="937">
        <f t="shared" si="2"/>
        <v>-1.47376256</v>
      </c>
      <c r="G257" s="937" t="str">
        <f>IF(F257&lt;'PlayerGrades+'!$AB$21,"F-",IF(F257&lt;'PlayerGrades+'!$AB$20,"F",IF(F257&lt;'PlayerGrades+'!$AB$19,"F+",IF(F257&lt;'PlayerGrades+'!$AB$18,"E-",IF(F257&lt;'PlayerGrades+'!$AB$17,"E",IF(F257&lt;'PlayerGrades+'!$AB$16,"E+",IF(F257&lt;'PlayerGrades+'!$AB$15,"D-",IF(F257&lt;'PlayerGrades+'!$AB$14,"D",IF(F257&lt;'PlayerGrades+'!$AB$13,"D+",IF(F257&lt;'PlayerGrades+'!$AB$12,"C-",IF(F257&lt;'PlayerGrades+'!$AB$11,"C",IF(F257&lt;'PlayerGrades+'!$AB$10,"C+",IF(F257&lt;'PlayerGrades+'!$AB$9,"B-",IF(F257&lt;'PlayerGrades+'!$AB$8,"B",IF(F257&lt;'PlayerGrades+'!$AB$7,"B+",IF(F257&lt;'PlayerGrades+'!$AB$6,"A-",IF(F257&lt;'PlayerGrades+'!$AB$5,"A",IF(F257&lt;'PlayerGrades+'!$AB$4,"A+",IF(F257&lt;'PlayerGrades+'!$AB$3,"S-",IF(F257&lt;'PlayerGrades+'!$AB$2,"S","S+"))))))))))))))))))))</f>
        <v>F-</v>
      </c>
      <c r="H257" s="937">
        <f t="shared" si="3"/>
        <v>0.02232973576</v>
      </c>
      <c r="I257" s="937" t="str">
        <f>IF(H257&lt;'PlayerGrades+'!$AC$21,"F-",IF(H257&lt;'PlayerGrades+'!$AC$20,"F",IF(H257&lt;'PlayerGrades+'!$AC$19,"F+",IF(H257&lt;'PlayerGrades+'!$AC$18,"E-",IF(H257&lt;'PlayerGrades+'!$AC$17,"E",IF(H257&lt;'PlayerGrades+'!$AC$16,"E+",IF(H257&lt;'PlayerGrades+'!$AC$15,"D-",IF(H257&lt;'PlayerGrades+'!$AC$14,"D",IF(H257&lt;'PlayerGrades+'!$AC$13,"D+",IF(H257&lt;'PlayerGrades+'!$AC$12,"C-",IF(H257&lt;'PlayerGrades+'!$AC$11,"C",IF(H257&lt;'PlayerGrades+'!$AC$10,"C+",IF(H257&lt;'PlayerGrades+'!$AC$9,"B-",IF(H257&lt;'PlayerGrades+'!$AC$8,"B",IF(H257&lt;'PlayerGrades+'!$AC$7,"B+",IF(H257&lt;'PlayerGrades+'!$AC$6,"A-",IF(H257&lt;'PlayerGrades+'!$AC$5,"A",IF(H257&lt;'PlayerGrades+'!$AC$4,"A+",IF(H257&lt;'PlayerGrades+'!$AC$3,"S-",IF(H257&lt;'PlayerGrades+'!$AC$2,"S","S+"))))))))))))))))))))</f>
        <v>F-</v>
      </c>
      <c r="J257" s="937">
        <f t="shared" si="4"/>
        <v>0</v>
      </c>
      <c r="K257" s="937" t="str">
        <f>IF(J257&lt;'PlayerGrades+'!$AD$21,"F-",IF(J257&lt;'PlayerGrades+'!$AD$20,"F",IF(J257&lt;'PlayerGrades+'!$AD$19,"F+",IF(J257&lt;'PlayerGrades+'!$AD$18,"E-",IF(J257&lt;'PlayerGrades+'!$AD$17,"E",IF(J257&lt;'PlayerGrades+'!$AD$16,"E+",IF(J257&lt;'PlayerGrades+'!$AD$15,"D-",IF(J257&lt;'PlayerGrades+'!$AD$14,"D",IF(J257&lt;'PlayerGrades+'!$AD$13,"D+",IF(J257&lt;'PlayerGrades+'!$AD$12,"C-",IF(J257&lt;'PlayerGrades+'!$AD$11,"C",IF(J257&lt;'PlayerGrades+'!$AD$10,"C+",IF(J257&lt;'PlayerGrades+'!$AD$9,"B-",IF(J257&lt;'PlayerGrades+'!$AD$8,"B",IF(J257&lt;'PlayerGrades+'!$AD$7,"B+",IF(J257&lt;'PlayerGrades+'!$AD$6,"A-",IF(J257&lt;'PlayerGrades+'!$AD$5,"A",IF(J257&lt;'PlayerGrades+'!$AD$4,"A+",IF(J257&lt;'PlayerGrades+'!$AD$3,"S-",IF(J257&lt;'PlayerGrades+'!$AD$2,"S","S+"))))))))))))))))))))</f>
        <v>F-</v>
      </c>
      <c r="L257" s="677">
        <f t="shared" si="5"/>
        <v>0.5135839226</v>
      </c>
      <c r="M257" s="938" t="str">
        <f>IF(L257&lt;'PlayerGrades+'!$AE$21,"F-",IF(L257&lt;'PlayerGrades+'!$AE$20,"F",IF(L257&lt;'PlayerGrades+'!$AE$19,"F+",IF(L257&lt;'PlayerGrades+'!$AE$18,"E-",IF(L257&lt;'PlayerGrades+'!$AE$17,"E",IF(L257&lt;'PlayerGrades+'!$AE$16,"E+",IF(L257&lt;'PlayerGrades+'!$AE$15,"D-",IF(L257&lt;'PlayerGrades+'!$AE$14,"D",IF(L257&lt;'PlayerGrades+'!$AE$13,"D+",IF(L257&lt;'PlayerGrades+'!$AE$12,"C-",IF(L257&lt;'PlayerGrades+'!$AE$11,"C",IF(L257&lt;'PlayerGrades+'!$AE$10,"C+",IF(L257&lt;'PlayerGrades+'!$AE$9,"B-",IF(L257&lt;'PlayerGrades+'!$AE$8,"B",IF(L257&lt;'PlayerGrades+'!$AE$7,"B+",IF(L257&lt;'PlayerGrades+'!$AE$6,"A-",IF(L257&lt;'PlayerGrades+'!$AE$5,"A",IF(L257&lt;'PlayerGrades+'!$AE$4,"A+",IF(L257&lt;'PlayerGrades+'!$AE$3,"S-",IF(L257&lt;'PlayerGrades+'!$AE$2,"S","S+"))))))))))))))))))))</f>
        <v>A-</v>
      </c>
      <c r="N257" s="937">
        <f t="shared" si="6"/>
        <v>0.02232973576</v>
      </c>
      <c r="O257" s="937" t="str">
        <f>IF(N257&lt;'PlayerGrades+'!$AF$21,"F-",IF(N257&lt;'PlayerGrades+'!$AF$20,"F",IF(N257&lt;'PlayerGrades+'!$AF$19,"F+",IF(N257&lt;'PlayerGrades+'!$AF$18,"E-",IF(N257&lt;'PlayerGrades+'!$AF$17,"E",IF(N257&lt;'PlayerGrades+'!$AF$16,"E+",IF(N257&lt;'PlayerGrades+'!$AF$15,"D-",IF(N257&lt;'PlayerGrades+'!$AF$14,"D",IF(N257&lt;'PlayerGrades+'!$AF$13,"D+",IF(N257&lt;'PlayerGrades+'!$AF$12,"C-",IF(N257&lt;'PlayerGrades+'!$AF$11,"C",IF(N257&lt;'PlayerGrades+'!$AF$10,"C+",IF(N257&lt;'PlayerGrades+'!$AF$9,"B-",IF(N257&lt;'PlayerGrades+'!$AF$8,"B",IF(N257&lt;'PlayerGrades+'!$AF$7,"B+",IF(N257&lt;'PlayerGrades+'!$AF$6,"A-",IF(N257&lt;'PlayerGrades+'!$AF$5,"A",IF(N257&lt;'PlayerGrades+'!$AF$4,"A+",IF(N257&lt;'PlayerGrades+'!$AF$3,"S-",IF(N257&lt;'PlayerGrades+'!$AF$2,"S","S+"))))))))))))))))))))</f>
        <v>F-</v>
      </c>
      <c r="P257" s="937">
        <f t="shared" si="7"/>
        <v>0</v>
      </c>
      <c r="Q257" s="937" t="str">
        <f>IF(P257&lt;'PlayerGrades+'!$AG$21,"F-",IF(P257&lt;'PlayerGrades+'!$AG$20,"F",IF(P257&lt;'PlayerGrades+'!$AG$19,"F+",IF(P257&lt;'PlayerGrades+'!$AG$18,"E-",IF(P257&lt;'PlayerGrades+'!$AG$17,"E",IF(P257&lt;'PlayerGrades+'!$AG$16,"E+",IF(P257&lt;'PlayerGrades+'!$AG$15,"D-",IF(P257&lt;'PlayerGrades+'!$AG$14,"D",IF(P257&lt;'PlayerGrades+'!$AG$13,"D+",IF(P257&lt;'PlayerGrades+'!$AG$12,"C-",IF(P257&lt;'PlayerGrades+'!$AG$11,"C",IF(P257&lt;'PlayerGrades+'!$AG$10,"C+",IF(P257&lt;'PlayerGrades+'!$AG$9,"B-",IF(P257&lt;'PlayerGrades+'!$AG$8,"B",IF(P257&lt;'PlayerGrades+'!$AG$7,"B+",IF(P257&lt;'PlayerGrades+'!$AG$6,"A-",IF(P257&lt;'PlayerGrades+'!$AG$5,"A",IF(P257&lt;'PlayerGrades+'!$AG$4,"A+",IF(P257&lt;'PlayerGrades+'!$AG$3,"S-",IF(P257&lt;'PlayerGrades+'!$AG$2,"S","S+"))))))))))))))))))))</f>
        <v>F</v>
      </c>
      <c r="R257" s="937">
        <f t="shared" si="8"/>
        <v>0.7815407518</v>
      </c>
      <c r="S257" s="937" t="str">
        <f>IF(R257&lt;'PlayerGrades+'!$AH$21,"F-",IF(R257&lt;'PlayerGrades+'!$AH$20,"F",IF(R257&lt;'PlayerGrades+'!$AH$19,"F+",IF(R257&lt;'PlayerGrades+'!$AH$18,"E-",IF(R257&lt;'PlayerGrades+'!$AH$17,"E",IF(R257&lt;'PlayerGrades+'!$AH$16,"E+",IF(R257&lt;'PlayerGrades+'!$AH$15,"D-",IF(R257&lt;'PlayerGrades+'!$AH$14,"D",IF(R257&lt;'PlayerGrades+'!$AH$13,"D+",IF(R257&lt;'PlayerGrades+'!$AH$12,"C-",IF(R257&lt;'PlayerGrades+'!$AH$11,"C",IF(R257&lt;'PlayerGrades+'!$AH$10,"C+",IF(R257&lt;'PlayerGrades+'!$AH$9,"B-",IF(R257&lt;'PlayerGrades+'!$AH$8,"B",IF(R257&lt;'PlayerGrades+'!$AH$7,"B+",IF(R257&lt;'PlayerGrades+'!$AH$6,"A-",IF(R257&lt;'PlayerGrades+'!$AH$5,"A",IF(R257&lt;'PlayerGrades+'!$AH$4,"A+",IF(R257&lt;'PlayerGrades+'!$AH$3,"S-",IF(R257&lt;'PlayerGrades+'!$AH$2,"S","S+"))))))))))))))))))))</f>
        <v>S+</v>
      </c>
      <c r="T257" s="937">
        <f t="shared" si="9"/>
        <v>1.535913658</v>
      </c>
      <c r="U257" s="937" t="str">
        <f>IF(T257&lt;'PlayerGrades+'!$AI$21,"F-",IF(T257&lt;'PlayerGrades+'!$AI$20,"F",IF(T257&lt;'PlayerGrades+'!$AI$19,"F+",IF(T257&lt;'PlayerGrades+'!$AI$18,"E-",IF(T257&lt;'PlayerGrades+'!$AI$17,"E",IF(T257&lt;'PlayerGrades+'!$AI$16,"E+",IF(T257&lt;'PlayerGrades+'!$AI$15,"D-",IF(T257&lt;'PlayerGrades+'!$AI$14,"D",IF(T257&lt;'PlayerGrades+'!$AI$13,"D+",IF(T257&lt;'PlayerGrades+'!$AI$12,"C-",IF(T257&lt;'PlayerGrades+'!$AI$11,"C",IF(T257&lt;'PlayerGrades+'!$AI$10,"C+",IF(T257&lt;'PlayerGrades+'!$AI$9,"B-",IF(T257&lt;'PlayerGrades+'!$AI$8,"B",IF(T257&lt;'PlayerGrades+'!$AI$7,"B+",IF(T257&lt;'PlayerGrades+'!$AI$6,"A-",IF(T257&lt;'PlayerGrades+'!$AI$5,"A",IF(T257&lt;'PlayerGrades+'!$AI$4,"A+",IF(T257&lt;'PlayerGrades+'!$AI$3,"S-",IF(T257&lt;'PlayerGrades+'!$AI$2,"S","S+"))))))))))))))))))))</f>
        <v>A+</v>
      </c>
      <c r="V257" s="944">
        <v>1.0</v>
      </c>
      <c r="W257" s="944">
        <v>0.0</v>
      </c>
      <c r="X257" s="944">
        <v>1.0</v>
      </c>
      <c r="Y257" s="944">
        <v>0.0</v>
      </c>
      <c r="Z257" s="944">
        <v>1.0</v>
      </c>
      <c r="AA257" s="944">
        <v>132.0</v>
      </c>
      <c r="AB257" s="944">
        <v>198.0</v>
      </c>
      <c r="AC257" s="944">
        <v>-66.0</v>
      </c>
      <c r="AD257" s="944">
        <v>17.0</v>
      </c>
      <c r="AE257" s="944">
        <v>3.0</v>
      </c>
      <c r="AF257" s="944">
        <v>2.0</v>
      </c>
      <c r="AG257" s="944">
        <v>2001.0</v>
      </c>
      <c r="AH257" s="944">
        <v>2687.0</v>
      </c>
      <c r="AI257" s="944">
        <v>10.0</v>
      </c>
      <c r="AJ257" s="944">
        <v>14.0</v>
      </c>
      <c r="AK257" s="944">
        <v>0.0</v>
      </c>
      <c r="AL257" s="944">
        <v>0.0</v>
      </c>
      <c r="AM257" s="944">
        <v>0.0</v>
      </c>
      <c r="AN257" s="944">
        <v>0.0</v>
      </c>
      <c r="AO257" s="944">
        <v>0.0</v>
      </c>
      <c r="AP257" s="944">
        <v>0.0</v>
      </c>
      <c r="AQ257" s="944">
        <v>0.0</v>
      </c>
      <c r="AR257" s="944">
        <v>23.0</v>
      </c>
      <c r="AS257" s="944">
        <v>1.0</v>
      </c>
      <c r="AT257" s="944">
        <v>0.0</v>
      </c>
      <c r="AU257" s="944">
        <v>0.0</v>
      </c>
      <c r="AV257" s="944">
        <v>0.0</v>
      </c>
      <c r="AW257" s="944">
        <v>0.0</v>
      </c>
      <c r="AX257" s="944">
        <v>0.0</v>
      </c>
      <c r="AY257" s="944">
        <v>0.0</v>
      </c>
      <c r="AZ257" s="944">
        <v>0.0</v>
      </c>
      <c r="BA257" s="944">
        <v>0.0</v>
      </c>
      <c r="BB257" s="944">
        <v>1.0</v>
      </c>
      <c r="BC257" s="944">
        <v>0.0</v>
      </c>
      <c r="BD257" s="944">
        <v>18.0</v>
      </c>
      <c r="BE257" s="944">
        <v>24.0</v>
      </c>
      <c r="BF257" s="944">
        <v>1.0</v>
      </c>
      <c r="BG257" s="945">
        <v>1.0</v>
      </c>
    </row>
    <row r="258">
      <c r="A258" s="946" t="s">
        <v>149</v>
      </c>
      <c r="B258" s="16" t="str">
        <f>IF(C258&lt;'PlayerGrades+'!$Y$44,"F-",IF(C258&lt;'PlayerGrades+'!$Y$43,"F",IF(C258&lt;'PlayerGrades+'!$Y$42,"F+",IF(C258&lt;'PlayerGrades+'!$Y$41,"E-",IF(C258&lt;'PlayerGrades+'!$Y$40,"E",IF(C258&lt;'PlayerGrades+'!$Y$39,"E+",IF(C258&lt;'PlayerGrades+'!$Y$38,"D-",IF(C258&lt;'PlayerGrades+'!$Y$37,"D",IF(C258&lt;'PlayerGrades+'!$Y$36,"D+",IF(C258&lt;'PlayerGrades+'!$Y$35,"C-",IF(C258&lt;'PlayerGrades+'!$Y$34,"C",IF(C258&lt;'PlayerGrades+'!$Y$33,"C+",IF(C258&lt;'PlayerGrades+'!$Y$32,"B-",IF(C258&lt;'PlayerGrades+'!$Y$31,"B",IF(C258&lt;'PlayerGrades+'!$Y$30,"B+",IF(C258&lt;'PlayerGrades+'!$Y$29,"A-",IF(C258&lt;'PlayerGrades+'!$Y$28,"A",IF(C258&lt;'PlayerGrades+'!$Y$27,"A+",IF(C258&lt;'PlayerGrades+'!$Y$26,"S-",IF(C258&lt;'PlayerGrades+'!$Y$25,"S","S+"))))))))))))))))))))</f>
        <v>D-</v>
      </c>
      <c r="C258" s="936">
        <f>('PlayerGrades+'!$Y$47*(VLOOKUP(E258, 'PlayerGrades+'!$X$3:$Y$23, 2, FALSE)))+('PlayerGrades+'!$Y$48*(VLOOKUP(G258, 'PlayerGrades+'!$X$3:$Y$23, 2, FALSE)))+('PlayerGrades+'!$Y$49*(VLOOKUP(I258, 'PlayerGrades+'!$X$3:$Y$23, 2, FALSE)))+('PlayerGrades+'!$Y$50*(VLOOKUP(K258, 'PlayerGrades+'!$X$3:$Y$23, 2, FALSE)))+('PlayerGrades+'!$Y$51*(VLOOKUP(M258, 'PlayerGrades+'!$X$3:$Y$23, 2, FALSE)))+('PlayerGrades+'!$Y$52*(VLOOKUP(O258, 'PlayerGrades+'!$X$3:$Y$23, 2, FALSE)))+('PlayerGrades+'!$Y$53*(VLOOKUP(Q258, 'PlayerGrades+'!$X$3:$Y$23, 2, FALSE)))+('PlayerGrades+'!$Y$54*(VLOOKUP(S258, 'PlayerGrades+'!$X$3:$Y$23, 2, FALSE)))+('PlayerGrades+'!$Y$55*(VLOOKUP(U258, 'PlayerGrades+'!$X$3:$Y$23, 2, FALSE)))</f>
        <v>15.15</v>
      </c>
      <c r="D258" s="937">
        <f t="shared" si="1"/>
        <v>1.064516129</v>
      </c>
      <c r="E258" s="937" t="str">
        <f>IF(D258&lt;'PlayerGrades+'!$AA$21,"F-",IF(D258&lt;'PlayerGrades+'!$AA$20,"F",IF(D258&lt;'PlayerGrades+'!$AA$19,"F+",IF(D258&lt;'PlayerGrades+'!$AA$18,"E-",IF(D258&lt;'PlayerGrades+'!$AA$17,"E",IF(D258&lt;'PlayerGrades+'!$AA$16,"E+",IF(D258&lt;'PlayerGrades+'!$AA$15,"D-",IF(D258&lt;'PlayerGrades+'!$AA$14,"D",IF(D258&lt;'PlayerGrades+'!$AA$13,"D+",IF(D258&lt;'PlayerGrades+'!$AA$12,"C-",IF(D258&lt;'PlayerGrades+'!$AA$11,"C",IF(D258&lt;'PlayerGrades+'!$AA$10,"C+",IF(D258&lt;'PlayerGrades+'!$AA$9,"B-",IF(D258&lt;'PlayerGrades+'!$AA$8,"B",IF(D258&lt;'PlayerGrades+'!$AA$7,"B+",IF(D258&lt;'PlayerGrades+'!$AA$6,"A-",IF(D258&lt;'PlayerGrades+'!$AA$5,"A",IF(D258&lt;'PlayerGrades+'!$AA$4,"A+",IF(D258&lt;'PlayerGrades+'!$AA$3,"S-",IF(D258&lt;'PlayerGrades+'!$AA$2,"S","S+"))))))))))))))))))))</f>
        <v>S+</v>
      </c>
      <c r="F258" s="937">
        <f t="shared" si="2"/>
        <v>0.5483870968</v>
      </c>
      <c r="G258" s="937" t="str">
        <f>IF(F258&lt;'PlayerGrades+'!$AB$21,"F-",IF(F258&lt;'PlayerGrades+'!$AB$20,"F",IF(F258&lt;'PlayerGrades+'!$AB$19,"F+",IF(F258&lt;'PlayerGrades+'!$AB$18,"E-",IF(F258&lt;'PlayerGrades+'!$AB$17,"E",IF(F258&lt;'PlayerGrades+'!$AB$16,"E+",IF(F258&lt;'PlayerGrades+'!$AB$15,"D-",IF(F258&lt;'PlayerGrades+'!$AB$14,"D",IF(F258&lt;'PlayerGrades+'!$AB$13,"D+",IF(F258&lt;'PlayerGrades+'!$AB$12,"C-",IF(F258&lt;'PlayerGrades+'!$AB$11,"C",IF(F258&lt;'PlayerGrades+'!$AB$10,"C+",IF(F258&lt;'PlayerGrades+'!$AB$9,"B-",IF(F258&lt;'PlayerGrades+'!$AB$8,"B",IF(F258&lt;'PlayerGrades+'!$AB$7,"B+",IF(F258&lt;'PlayerGrades+'!$AB$6,"A-",IF(F258&lt;'PlayerGrades+'!$AB$5,"A",IF(F258&lt;'PlayerGrades+'!$AB$4,"A+",IF(F258&lt;'PlayerGrades+'!$AB$3,"S-",IF(F258&lt;'PlayerGrades+'!$AB$2,"S","S+"))))))))))))))))))))</f>
        <v>S-</v>
      </c>
      <c r="H258" s="937">
        <f t="shared" si="3"/>
        <v>0</v>
      </c>
      <c r="I258" s="937" t="str">
        <f>IF(H258&lt;'PlayerGrades+'!$AC$21,"F-",IF(H258&lt;'PlayerGrades+'!$AC$20,"F",IF(H258&lt;'PlayerGrades+'!$AC$19,"F+",IF(H258&lt;'PlayerGrades+'!$AC$18,"E-",IF(H258&lt;'PlayerGrades+'!$AC$17,"E",IF(H258&lt;'PlayerGrades+'!$AC$16,"E+",IF(H258&lt;'PlayerGrades+'!$AC$15,"D-",IF(H258&lt;'PlayerGrades+'!$AC$14,"D",IF(H258&lt;'PlayerGrades+'!$AC$13,"D+",IF(H258&lt;'PlayerGrades+'!$AC$12,"C-",IF(H258&lt;'PlayerGrades+'!$AC$11,"C",IF(H258&lt;'PlayerGrades+'!$AC$10,"C+",IF(H258&lt;'PlayerGrades+'!$AC$9,"B-",IF(H258&lt;'PlayerGrades+'!$AC$8,"B",IF(H258&lt;'PlayerGrades+'!$AC$7,"B+",IF(H258&lt;'PlayerGrades+'!$AC$6,"A-",IF(H258&lt;'PlayerGrades+'!$AC$5,"A",IF(H258&lt;'PlayerGrades+'!$AC$4,"A+",IF(H258&lt;'PlayerGrades+'!$AC$3,"S-",IF(H258&lt;'PlayerGrades+'!$AC$2,"S","S+"))))))))))))))))))))</f>
        <v>F-</v>
      </c>
      <c r="J258" s="937">
        <f t="shared" si="4"/>
        <v>0.09677419355</v>
      </c>
      <c r="K258" s="937" t="str">
        <f>IF(J258&lt;'PlayerGrades+'!$AD$21,"F-",IF(J258&lt;'PlayerGrades+'!$AD$20,"F",IF(J258&lt;'PlayerGrades+'!$AD$19,"F+",IF(J258&lt;'PlayerGrades+'!$AD$18,"E-",IF(J258&lt;'PlayerGrades+'!$AD$17,"E",IF(J258&lt;'PlayerGrades+'!$AD$16,"E+",IF(J258&lt;'PlayerGrades+'!$AD$15,"D-",IF(J258&lt;'PlayerGrades+'!$AD$14,"D",IF(J258&lt;'PlayerGrades+'!$AD$13,"D+",IF(J258&lt;'PlayerGrades+'!$AD$12,"C-",IF(J258&lt;'PlayerGrades+'!$AD$11,"C",IF(J258&lt;'PlayerGrades+'!$AD$10,"C+",IF(J258&lt;'PlayerGrades+'!$AD$9,"B-",IF(J258&lt;'PlayerGrades+'!$AD$8,"B",IF(J258&lt;'PlayerGrades+'!$AD$7,"B+",IF(J258&lt;'PlayerGrades+'!$AD$6,"A-",IF(J258&lt;'PlayerGrades+'!$AD$5,"A",IF(J258&lt;'PlayerGrades+'!$AD$4,"A+",IF(J258&lt;'PlayerGrades+'!$AD$3,"S-",IF(J258&lt;'PlayerGrades+'!$AD$2,"S","S+"))))))))))))))))))))</f>
        <v>S</v>
      </c>
      <c r="L258" s="677">
        <f t="shared" si="5"/>
        <v>0.2580645161</v>
      </c>
      <c r="M258" s="938" t="str">
        <f>IF(L258&lt;'PlayerGrades+'!$AE$21,"F-",IF(L258&lt;'PlayerGrades+'!$AE$20,"F",IF(L258&lt;'PlayerGrades+'!$AE$19,"F+",IF(L258&lt;'PlayerGrades+'!$AE$18,"E-",IF(L258&lt;'PlayerGrades+'!$AE$17,"E",IF(L258&lt;'PlayerGrades+'!$AE$16,"E+",IF(L258&lt;'PlayerGrades+'!$AE$15,"D-",IF(L258&lt;'PlayerGrades+'!$AE$14,"D",IF(L258&lt;'PlayerGrades+'!$AE$13,"D+",IF(L258&lt;'PlayerGrades+'!$AE$12,"C-",IF(L258&lt;'PlayerGrades+'!$AE$11,"C",IF(L258&lt;'PlayerGrades+'!$AE$10,"C+",IF(L258&lt;'PlayerGrades+'!$AE$9,"B-",IF(L258&lt;'PlayerGrades+'!$AE$8,"B",IF(L258&lt;'PlayerGrades+'!$AE$7,"B+",IF(L258&lt;'PlayerGrades+'!$AE$6,"A-",IF(L258&lt;'PlayerGrades+'!$AE$5,"A",IF(L258&lt;'PlayerGrades+'!$AE$4,"A+",IF(L258&lt;'PlayerGrades+'!$AE$3,"S-",IF(L258&lt;'PlayerGrades+'!$AE$2,"S","S+"))))))))))))))))))))</f>
        <v>F</v>
      </c>
      <c r="N258" s="937">
        <f t="shared" si="6"/>
        <v>0.03225806452</v>
      </c>
      <c r="O258" s="937" t="str">
        <f>IF(N258&lt;'PlayerGrades+'!$AF$21,"F-",IF(N258&lt;'PlayerGrades+'!$AF$20,"F",IF(N258&lt;'PlayerGrades+'!$AF$19,"F+",IF(N258&lt;'PlayerGrades+'!$AF$18,"E-",IF(N258&lt;'PlayerGrades+'!$AF$17,"E",IF(N258&lt;'PlayerGrades+'!$AF$16,"E+",IF(N258&lt;'PlayerGrades+'!$AF$15,"D-",IF(N258&lt;'PlayerGrades+'!$AF$14,"D",IF(N258&lt;'PlayerGrades+'!$AF$13,"D+",IF(N258&lt;'PlayerGrades+'!$AF$12,"C-",IF(N258&lt;'PlayerGrades+'!$AF$11,"C",IF(N258&lt;'PlayerGrades+'!$AF$10,"C+",IF(N258&lt;'PlayerGrades+'!$AF$9,"B-",IF(N258&lt;'PlayerGrades+'!$AF$8,"B",IF(N258&lt;'PlayerGrades+'!$AF$7,"B+",IF(N258&lt;'PlayerGrades+'!$AF$6,"A-",IF(N258&lt;'PlayerGrades+'!$AF$5,"A",IF(N258&lt;'PlayerGrades+'!$AF$4,"A+",IF(N258&lt;'PlayerGrades+'!$AF$3,"S-",IF(N258&lt;'PlayerGrades+'!$AF$2,"S","S+"))))))))))))))))))))</f>
        <v>F</v>
      </c>
      <c r="P258" s="937">
        <f t="shared" si="7"/>
        <v>0</v>
      </c>
      <c r="Q258" s="937" t="str">
        <f>IF(P258&lt;'PlayerGrades+'!$AG$21,"F-",IF(P258&lt;'PlayerGrades+'!$AG$20,"F",IF(P258&lt;'PlayerGrades+'!$AG$19,"F+",IF(P258&lt;'PlayerGrades+'!$AG$18,"E-",IF(P258&lt;'PlayerGrades+'!$AG$17,"E",IF(P258&lt;'PlayerGrades+'!$AG$16,"E+",IF(P258&lt;'PlayerGrades+'!$AG$15,"D-",IF(P258&lt;'PlayerGrades+'!$AG$14,"D",IF(P258&lt;'PlayerGrades+'!$AG$13,"D+",IF(P258&lt;'PlayerGrades+'!$AG$12,"C-",IF(P258&lt;'PlayerGrades+'!$AG$11,"C",IF(P258&lt;'PlayerGrades+'!$AG$10,"C+",IF(P258&lt;'PlayerGrades+'!$AG$9,"B-",IF(P258&lt;'PlayerGrades+'!$AG$8,"B",IF(P258&lt;'PlayerGrades+'!$AG$7,"B+",IF(P258&lt;'PlayerGrades+'!$AG$6,"A-",IF(P258&lt;'PlayerGrades+'!$AG$5,"A",IF(P258&lt;'PlayerGrades+'!$AG$4,"A+",IF(P258&lt;'PlayerGrades+'!$AG$3,"S-",IF(P258&lt;'PlayerGrades+'!$AG$2,"S","S+"))))))))))))))))))))</f>
        <v>F</v>
      </c>
      <c r="R258" s="937">
        <f t="shared" si="8"/>
        <v>0.4516129032</v>
      </c>
      <c r="S258" s="937" t="str">
        <f>IF(R258&lt;'PlayerGrades+'!$AH$21,"F-",IF(R258&lt;'PlayerGrades+'!$AH$20,"F",IF(R258&lt;'PlayerGrades+'!$AH$19,"F+",IF(R258&lt;'PlayerGrades+'!$AH$18,"E-",IF(R258&lt;'PlayerGrades+'!$AH$17,"E",IF(R258&lt;'PlayerGrades+'!$AH$16,"E+",IF(R258&lt;'PlayerGrades+'!$AH$15,"D-",IF(R258&lt;'PlayerGrades+'!$AH$14,"D",IF(R258&lt;'PlayerGrades+'!$AH$13,"D+",IF(R258&lt;'PlayerGrades+'!$AH$12,"C-",IF(R258&lt;'PlayerGrades+'!$AH$11,"C",IF(R258&lt;'PlayerGrades+'!$AH$10,"C+",IF(R258&lt;'PlayerGrades+'!$AH$9,"B-",IF(R258&lt;'PlayerGrades+'!$AH$8,"B",IF(R258&lt;'PlayerGrades+'!$AH$7,"B+",IF(R258&lt;'PlayerGrades+'!$AH$6,"A-",IF(R258&lt;'PlayerGrades+'!$AH$5,"A",IF(R258&lt;'PlayerGrades+'!$AH$4,"A+",IF(R258&lt;'PlayerGrades+'!$AH$3,"S-",IF(R258&lt;'PlayerGrades+'!$AH$2,"S","S+"))))))))))))))))))))</f>
        <v>E-</v>
      </c>
      <c r="T258" s="937">
        <f t="shared" si="9"/>
        <v>0.1290322581</v>
      </c>
      <c r="U258" s="937" t="str">
        <f>IF(T258&lt;'PlayerGrades+'!$AI$21,"F-",IF(T258&lt;'PlayerGrades+'!$AI$20,"F",IF(T258&lt;'PlayerGrades+'!$AI$19,"F+",IF(T258&lt;'PlayerGrades+'!$AI$18,"E-",IF(T258&lt;'PlayerGrades+'!$AI$17,"E",IF(T258&lt;'PlayerGrades+'!$AI$16,"E+",IF(T258&lt;'PlayerGrades+'!$AI$15,"D-",IF(T258&lt;'PlayerGrades+'!$AI$14,"D",IF(T258&lt;'PlayerGrades+'!$AI$13,"D+",IF(T258&lt;'PlayerGrades+'!$AI$12,"C-",IF(T258&lt;'PlayerGrades+'!$AI$11,"C",IF(T258&lt;'PlayerGrades+'!$AI$10,"C+",IF(T258&lt;'PlayerGrades+'!$AI$9,"B-",IF(T258&lt;'PlayerGrades+'!$AI$8,"B",IF(T258&lt;'PlayerGrades+'!$AI$7,"B+",IF(T258&lt;'PlayerGrades+'!$AI$6,"A-",IF(T258&lt;'PlayerGrades+'!$AI$5,"A",IF(T258&lt;'PlayerGrades+'!$AI$4,"A+",IF(T258&lt;'PlayerGrades+'!$AI$3,"S-",IF(T258&lt;'PlayerGrades+'!$AI$2,"S","S+"))))))))))))))))))))</f>
        <v>F-</v>
      </c>
      <c r="V258" s="939">
        <v>1.0</v>
      </c>
      <c r="W258" s="939">
        <v>1.0</v>
      </c>
      <c r="X258" s="939">
        <v>0.0</v>
      </c>
      <c r="Y258" s="939">
        <v>4.0</v>
      </c>
      <c r="Z258" s="939">
        <v>29.0</v>
      </c>
      <c r="AA258" s="939">
        <v>60.0</v>
      </c>
      <c r="AB258" s="939">
        <v>43.0</v>
      </c>
      <c r="AC258" s="939">
        <v>17.0</v>
      </c>
      <c r="AD258" s="939">
        <v>3.0</v>
      </c>
      <c r="AE258" s="939">
        <v>9.0</v>
      </c>
      <c r="AF258" s="939">
        <v>0.0</v>
      </c>
      <c r="AG258" s="939">
        <v>1615.0</v>
      </c>
      <c r="AH258" s="939">
        <v>1860.0</v>
      </c>
      <c r="AI258" s="939">
        <v>37.0</v>
      </c>
      <c r="AJ258" s="939">
        <v>909.0</v>
      </c>
      <c r="AK258" s="939">
        <v>0.0</v>
      </c>
      <c r="AL258" s="939">
        <v>3.0</v>
      </c>
      <c r="AM258" s="939">
        <v>0.0</v>
      </c>
      <c r="AN258" s="939">
        <v>0.0</v>
      </c>
      <c r="AO258" s="939">
        <v>0.0</v>
      </c>
      <c r="AP258" s="939">
        <v>0.0</v>
      </c>
      <c r="AQ258" s="939">
        <v>0.0</v>
      </c>
      <c r="AR258" s="939">
        <v>8.0</v>
      </c>
      <c r="AS258" s="939">
        <v>1.0</v>
      </c>
      <c r="AT258" s="939">
        <v>0.0</v>
      </c>
      <c r="AU258" s="939">
        <v>0.0</v>
      </c>
      <c r="AV258" s="939">
        <v>0.0</v>
      </c>
      <c r="AW258" s="939">
        <v>0.0</v>
      </c>
      <c r="AX258" s="939">
        <v>0.0</v>
      </c>
      <c r="AY258" s="939">
        <v>0.0</v>
      </c>
      <c r="AZ258" s="939">
        <v>0.0</v>
      </c>
      <c r="BA258" s="939">
        <v>0.0</v>
      </c>
      <c r="BB258" s="939">
        <v>0.0</v>
      </c>
      <c r="BC258" s="939">
        <v>0.0</v>
      </c>
      <c r="BD258" s="939">
        <v>11.0</v>
      </c>
      <c r="BE258" s="939">
        <v>4.0</v>
      </c>
      <c r="BF258" s="939">
        <v>0.0</v>
      </c>
      <c r="BG258" s="940">
        <v>1.0</v>
      </c>
    </row>
    <row r="259">
      <c r="A259" s="935" t="s">
        <v>418</v>
      </c>
      <c r="B259" s="16" t="str">
        <f>IF(C259&lt;'PlayerGrades+'!$Y$44,"F-",IF(C259&lt;'PlayerGrades+'!$Y$43,"F",IF(C259&lt;'PlayerGrades+'!$Y$42,"F+",IF(C259&lt;'PlayerGrades+'!$Y$41,"E-",IF(C259&lt;'PlayerGrades+'!$Y$40,"E",IF(C259&lt;'PlayerGrades+'!$Y$39,"E+",IF(C259&lt;'PlayerGrades+'!$Y$38,"D-",IF(C259&lt;'PlayerGrades+'!$Y$37,"D",IF(C259&lt;'PlayerGrades+'!$Y$36,"D+",IF(C259&lt;'PlayerGrades+'!$Y$35,"C-",IF(C259&lt;'PlayerGrades+'!$Y$34,"C",IF(C259&lt;'PlayerGrades+'!$Y$33,"C+",IF(C259&lt;'PlayerGrades+'!$Y$32,"B-",IF(C259&lt;'PlayerGrades+'!$Y$31,"B",IF(C259&lt;'PlayerGrades+'!$Y$30,"B+",IF(C259&lt;'PlayerGrades+'!$Y$29,"A-",IF(C259&lt;'PlayerGrades+'!$Y$28,"A",IF(C259&lt;'PlayerGrades+'!$Y$27,"A+",IF(C259&lt;'PlayerGrades+'!$Y$26,"S-",IF(C259&lt;'PlayerGrades+'!$Y$25,"S","S+"))))))))))))))))))))</f>
        <v>A</v>
      </c>
      <c r="C259" s="936">
        <f>('PlayerGrades+'!$Y$47*(VLOOKUP(E259, 'PlayerGrades+'!$X$3:$Y$23, 2, FALSE)))+('PlayerGrades+'!$Y$48*(VLOOKUP(G259, 'PlayerGrades+'!$X$3:$Y$23, 2, FALSE)))+('PlayerGrades+'!$Y$49*(VLOOKUP(I259, 'PlayerGrades+'!$X$3:$Y$23, 2, FALSE)))+('PlayerGrades+'!$Y$50*(VLOOKUP(K259, 'PlayerGrades+'!$X$3:$Y$23, 2, FALSE)))+('PlayerGrades+'!$Y$51*(VLOOKUP(M259, 'PlayerGrades+'!$X$3:$Y$23, 2, FALSE)))+('PlayerGrades+'!$Y$52*(VLOOKUP(O259, 'PlayerGrades+'!$X$3:$Y$23, 2, FALSE)))+('PlayerGrades+'!$Y$53*(VLOOKUP(Q259, 'PlayerGrades+'!$X$3:$Y$23, 2, FALSE)))+('PlayerGrades+'!$Y$54*(VLOOKUP(S259, 'PlayerGrades+'!$X$3:$Y$23, 2, FALSE)))+('PlayerGrades+'!$Y$55*(VLOOKUP(U259, 'PlayerGrades+'!$X$3:$Y$23, 2, FALSE)))</f>
        <v>26.55</v>
      </c>
      <c r="D259" s="937">
        <f t="shared" si="1"/>
        <v>0.03225806452</v>
      </c>
      <c r="E259" s="937" t="str">
        <f>IF(D259&lt;'PlayerGrades+'!$AA$21,"F-",IF(D259&lt;'PlayerGrades+'!$AA$20,"F",IF(D259&lt;'PlayerGrades+'!$AA$19,"F+",IF(D259&lt;'PlayerGrades+'!$AA$18,"E-",IF(D259&lt;'PlayerGrades+'!$AA$17,"E",IF(D259&lt;'PlayerGrades+'!$AA$16,"E+",IF(D259&lt;'PlayerGrades+'!$AA$15,"D-",IF(D259&lt;'PlayerGrades+'!$AA$14,"D",IF(D259&lt;'PlayerGrades+'!$AA$13,"D+",IF(D259&lt;'PlayerGrades+'!$AA$12,"C-",IF(D259&lt;'PlayerGrades+'!$AA$11,"C",IF(D259&lt;'PlayerGrades+'!$AA$10,"C+",IF(D259&lt;'PlayerGrades+'!$AA$9,"B-",IF(D259&lt;'PlayerGrades+'!$AA$8,"B",IF(D259&lt;'PlayerGrades+'!$AA$7,"B+",IF(D259&lt;'PlayerGrades+'!$AA$6,"A-",IF(D259&lt;'PlayerGrades+'!$AA$5,"A",IF(D259&lt;'PlayerGrades+'!$AA$4,"A+",IF(D259&lt;'PlayerGrades+'!$AA$3,"S-",IF(D259&lt;'PlayerGrades+'!$AA$2,"S","S+"))))))))))))))))))))</f>
        <v>D+</v>
      </c>
      <c r="F259" s="937">
        <f t="shared" si="2"/>
        <v>0.3225806452</v>
      </c>
      <c r="G259" s="937" t="str">
        <f>IF(F259&lt;'PlayerGrades+'!$AB$21,"F-",IF(F259&lt;'PlayerGrades+'!$AB$20,"F",IF(F259&lt;'PlayerGrades+'!$AB$19,"F+",IF(F259&lt;'PlayerGrades+'!$AB$18,"E-",IF(F259&lt;'PlayerGrades+'!$AB$17,"E",IF(F259&lt;'PlayerGrades+'!$AB$16,"E+",IF(F259&lt;'PlayerGrades+'!$AB$15,"D-",IF(F259&lt;'PlayerGrades+'!$AB$14,"D",IF(F259&lt;'PlayerGrades+'!$AB$13,"D+",IF(F259&lt;'PlayerGrades+'!$AB$12,"C-",IF(F259&lt;'PlayerGrades+'!$AB$11,"C",IF(F259&lt;'PlayerGrades+'!$AB$10,"C+",IF(F259&lt;'PlayerGrades+'!$AB$9,"B-",IF(F259&lt;'PlayerGrades+'!$AB$8,"B",IF(F259&lt;'PlayerGrades+'!$AB$7,"B+",IF(F259&lt;'PlayerGrades+'!$AB$6,"A-",IF(F259&lt;'PlayerGrades+'!$AB$5,"A",IF(F259&lt;'PlayerGrades+'!$AB$4,"A+",IF(F259&lt;'PlayerGrades+'!$AB$3,"S-",IF(F259&lt;'PlayerGrades+'!$AB$2,"S","S+"))))))))))))))))))))</f>
        <v>A-</v>
      </c>
      <c r="H259" s="937">
        <f t="shared" si="3"/>
        <v>0.1290322581</v>
      </c>
      <c r="I259" s="937" t="str">
        <f>IF(H259&lt;'PlayerGrades+'!$AC$21,"F-",IF(H259&lt;'PlayerGrades+'!$AC$20,"F",IF(H259&lt;'PlayerGrades+'!$AC$19,"F+",IF(H259&lt;'PlayerGrades+'!$AC$18,"E-",IF(H259&lt;'PlayerGrades+'!$AC$17,"E",IF(H259&lt;'PlayerGrades+'!$AC$16,"E+",IF(H259&lt;'PlayerGrades+'!$AC$15,"D-",IF(H259&lt;'PlayerGrades+'!$AC$14,"D",IF(H259&lt;'PlayerGrades+'!$AC$13,"D+",IF(H259&lt;'PlayerGrades+'!$AC$12,"C-",IF(H259&lt;'PlayerGrades+'!$AC$11,"C",IF(H259&lt;'PlayerGrades+'!$AC$10,"C+",IF(H259&lt;'PlayerGrades+'!$AC$9,"B-",IF(H259&lt;'PlayerGrades+'!$AC$8,"B",IF(H259&lt;'PlayerGrades+'!$AC$7,"B+",IF(H259&lt;'PlayerGrades+'!$AC$6,"A-",IF(H259&lt;'PlayerGrades+'!$AC$5,"A",IF(H259&lt;'PlayerGrades+'!$AC$4,"A+",IF(H259&lt;'PlayerGrades+'!$AC$3,"S-",IF(H259&lt;'PlayerGrades+'!$AC$2,"S","S+"))))))))))))))))))))</f>
        <v>B</v>
      </c>
      <c r="J259" s="937">
        <f t="shared" si="4"/>
        <v>0.06451612903</v>
      </c>
      <c r="K259" s="937" t="str">
        <f>IF(J259&lt;'PlayerGrades+'!$AD$21,"F-",IF(J259&lt;'PlayerGrades+'!$AD$20,"F",IF(J259&lt;'PlayerGrades+'!$AD$19,"F+",IF(J259&lt;'PlayerGrades+'!$AD$18,"E-",IF(J259&lt;'PlayerGrades+'!$AD$17,"E",IF(J259&lt;'PlayerGrades+'!$AD$16,"E+",IF(J259&lt;'PlayerGrades+'!$AD$15,"D-",IF(J259&lt;'PlayerGrades+'!$AD$14,"D",IF(J259&lt;'PlayerGrades+'!$AD$13,"D+",IF(J259&lt;'PlayerGrades+'!$AD$12,"C-",IF(J259&lt;'PlayerGrades+'!$AD$11,"C",IF(J259&lt;'PlayerGrades+'!$AD$10,"C+",IF(J259&lt;'PlayerGrades+'!$AD$9,"B-",IF(J259&lt;'PlayerGrades+'!$AD$8,"B",IF(J259&lt;'PlayerGrades+'!$AD$7,"B+",IF(J259&lt;'PlayerGrades+'!$AD$6,"A-",IF(J259&lt;'PlayerGrades+'!$AD$5,"A",IF(J259&lt;'PlayerGrades+'!$AD$4,"A+",IF(J259&lt;'PlayerGrades+'!$AD$3,"S-",IF(J259&lt;'PlayerGrades+'!$AD$2,"S","S+"))))))))))))))))))))</f>
        <v>A-</v>
      </c>
      <c r="L259" s="677">
        <f t="shared" si="5"/>
        <v>0.4516129032</v>
      </c>
      <c r="M259" s="938" t="str">
        <f>IF(L259&lt;'PlayerGrades+'!$AE$21,"F-",IF(L259&lt;'PlayerGrades+'!$AE$20,"F",IF(L259&lt;'PlayerGrades+'!$AE$19,"F+",IF(L259&lt;'PlayerGrades+'!$AE$18,"E-",IF(L259&lt;'PlayerGrades+'!$AE$17,"E",IF(L259&lt;'PlayerGrades+'!$AE$16,"E+",IF(L259&lt;'PlayerGrades+'!$AE$15,"D-",IF(L259&lt;'PlayerGrades+'!$AE$14,"D",IF(L259&lt;'PlayerGrades+'!$AE$13,"D+",IF(L259&lt;'PlayerGrades+'!$AE$12,"C-",IF(L259&lt;'PlayerGrades+'!$AE$11,"C",IF(L259&lt;'PlayerGrades+'!$AE$10,"C+",IF(L259&lt;'PlayerGrades+'!$AE$9,"B-",IF(L259&lt;'PlayerGrades+'!$AE$8,"B",IF(L259&lt;'PlayerGrades+'!$AE$7,"B+",IF(L259&lt;'PlayerGrades+'!$AE$6,"A-",IF(L259&lt;'PlayerGrades+'!$AE$5,"A",IF(L259&lt;'PlayerGrades+'!$AE$4,"A+",IF(L259&lt;'PlayerGrades+'!$AE$3,"S-",IF(L259&lt;'PlayerGrades+'!$AE$2,"S","S+"))))))))))))))))))))</f>
        <v>B+</v>
      </c>
      <c r="N259" s="937">
        <f t="shared" si="6"/>
        <v>0.06451612903</v>
      </c>
      <c r="O259" s="937" t="str">
        <f>IF(N259&lt;'PlayerGrades+'!$AF$21,"F-",IF(N259&lt;'PlayerGrades+'!$AF$20,"F",IF(N259&lt;'PlayerGrades+'!$AF$19,"F+",IF(N259&lt;'PlayerGrades+'!$AF$18,"E-",IF(N259&lt;'PlayerGrades+'!$AF$17,"E",IF(N259&lt;'PlayerGrades+'!$AF$16,"E+",IF(N259&lt;'PlayerGrades+'!$AF$15,"D-",IF(N259&lt;'PlayerGrades+'!$AF$14,"D",IF(N259&lt;'PlayerGrades+'!$AF$13,"D+",IF(N259&lt;'PlayerGrades+'!$AF$12,"C-",IF(N259&lt;'PlayerGrades+'!$AF$11,"C",IF(N259&lt;'PlayerGrades+'!$AF$10,"C+",IF(N259&lt;'PlayerGrades+'!$AF$9,"B-",IF(N259&lt;'PlayerGrades+'!$AF$8,"B",IF(N259&lt;'PlayerGrades+'!$AF$7,"B+",IF(N259&lt;'PlayerGrades+'!$AF$6,"A-",IF(N259&lt;'PlayerGrades+'!$AF$5,"A",IF(N259&lt;'PlayerGrades+'!$AF$4,"A+",IF(N259&lt;'PlayerGrades+'!$AF$3,"S-",IF(N259&lt;'PlayerGrades+'!$AF$2,"S","S+"))))))))))))))))))))</f>
        <v>C-</v>
      </c>
      <c r="P259" s="937">
        <f t="shared" si="7"/>
        <v>0.06451612903</v>
      </c>
      <c r="Q259" s="937" t="str">
        <f>IF(P259&lt;'PlayerGrades+'!$AG$21,"F-",IF(P259&lt;'PlayerGrades+'!$AG$20,"F",IF(P259&lt;'PlayerGrades+'!$AG$19,"F+",IF(P259&lt;'PlayerGrades+'!$AG$18,"E-",IF(P259&lt;'PlayerGrades+'!$AG$17,"E",IF(P259&lt;'PlayerGrades+'!$AG$16,"E+",IF(P259&lt;'PlayerGrades+'!$AG$15,"D-",IF(P259&lt;'PlayerGrades+'!$AG$14,"D",IF(P259&lt;'PlayerGrades+'!$AG$13,"D+",IF(P259&lt;'PlayerGrades+'!$AG$12,"C-",IF(P259&lt;'PlayerGrades+'!$AG$11,"C",IF(P259&lt;'PlayerGrades+'!$AG$10,"C+",IF(P259&lt;'PlayerGrades+'!$AG$9,"B-",IF(P259&lt;'PlayerGrades+'!$AG$8,"B",IF(P259&lt;'PlayerGrades+'!$AG$7,"B+",IF(P259&lt;'PlayerGrades+'!$AG$6,"A-",IF(P259&lt;'PlayerGrades+'!$AG$5,"A",IF(P259&lt;'PlayerGrades+'!$AG$4,"A+",IF(P259&lt;'PlayerGrades+'!$AG$3,"S-",IF(P259&lt;'PlayerGrades+'!$AG$2,"S","S+"))))))))))))))))))))</f>
        <v>A+</v>
      </c>
      <c r="R259" s="937">
        <f t="shared" si="8"/>
        <v>0.7096774194</v>
      </c>
      <c r="S259" s="937" t="str">
        <f>IF(R259&lt;'PlayerGrades+'!$AH$21,"F-",IF(R259&lt;'PlayerGrades+'!$AH$20,"F",IF(R259&lt;'PlayerGrades+'!$AH$19,"F+",IF(R259&lt;'PlayerGrades+'!$AH$18,"E-",IF(R259&lt;'PlayerGrades+'!$AH$17,"E",IF(R259&lt;'PlayerGrades+'!$AH$16,"E+",IF(R259&lt;'PlayerGrades+'!$AH$15,"D-",IF(R259&lt;'PlayerGrades+'!$AH$14,"D",IF(R259&lt;'PlayerGrades+'!$AH$13,"D+",IF(R259&lt;'PlayerGrades+'!$AH$12,"C-",IF(R259&lt;'PlayerGrades+'!$AH$11,"C",IF(R259&lt;'PlayerGrades+'!$AH$10,"C+",IF(R259&lt;'PlayerGrades+'!$AH$9,"B-",IF(R259&lt;'PlayerGrades+'!$AH$8,"B",IF(R259&lt;'PlayerGrades+'!$AH$7,"B+",IF(R259&lt;'PlayerGrades+'!$AH$6,"A-",IF(R259&lt;'PlayerGrades+'!$AH$5,"A",IF(R259&lt;'PlayerGrades+'!$AH$4,"A+",IF(R259&lt;'PlayerGrades+'!$AH$3,"S-",IF(R259&lt;'PlayerGrades+'!$AH$2,"S","S+"))))))))))))))))))))</f>
        <v>S-</v>
      </c>
      <c r="T259" s="937">
        <f t="shared" si="9"/>
        <v>2.35483871</v>
      </c>
      <c r="U259" s="937" t="str">
        <f>IF(T259&lt;'PlayerGrades+'!$AI$21,"F-",IF(T259&lt;'PlayerGrades+'!$AI$20,"F",IF(T259&lt;'PlayerGrades+'!$AI$19,"F+",IF(T259&lt;'PlayerGrades+'!$AI$18,"E-",IF(T259&lt;'PlayerGrades+'!$AI$17,"E",IF(T259&lt;'PlayerGrades+'!$AI$16,"E+",IF(T259&lt;'PlayerGrades+'!$AI$15,"D-",IF(T259&lt;'PlayerGrades+'!$AI$14,"D",IF(T259&lt;'PlayerGrades+'!$AI$13,"D+",IF(T259&lt;'PlayerGrades+'!$AI$12,"C-",IF(T259&lt;'PlayerGrades+'!$AI$11,"C",IF(T259&lt;'PlayerGrades+'!$AI$10,"C+",IF(T259&lt;'PlayerGrades+'!$AI$9,"B-",IF(T259&lt;'PlayerGrades+'!$AI$8,"B",IF(T259&lt;'PlayerGrades+'!$AI$7,"B+",IF(T259&lt;'PlayerGrades+'!$AI$6,"A-",IF(T259&lt;'PlayerGrades+'!$AI$5,"A",IF(T259&lt;'PlayerGrades+'!$AI$4,"A+",IF(T259&lt;'PlayerGrades+'!$AI$3,"S-",IF(T259&lt;'PlayerGrades+'!$AI$2,"S","S+"))))))))))))))))))))</f>
        <v>S+</v>
      </c>
      <c r="V259" s="941">
        <v>1.0</v>
      </c>
      <c r="W259" s="941">
        <v>1.0</v>
      </c>
      <c r="X259" s="941">
        <v>0.0</v>
      </c>
      <c r="Y259" s="941">
        <v>1.0</v>
      </c>
      <c r="Z259" s="941">
        <v>0.0</v>
      </c>
      <c r="AA259" s="941">
        <v>92.0</v>
      </c>
      <c r="AB259" s="941">
        <v>82.0</v>
      </c>
      <c r="AC259" s="941">
        <v>10.0</v>
      </c>
      <c r="AD259" s="941">
        <v>6.0</v>
      </c>
      <c r="AE259" s="941">
        <v>6.0</v>
      </c>
      <c r="AF259" s="941">
        <v>2.0</v>
      </c>
      <c r="AG259" s="941">
        <v>1502.0</v>
      </c>
      <c r="AH259" s="941">
        <v>1860.0</v>
      </c>
      <c r="AI259" s="941">
        <v>18.0</v>
      </c>
      <c r="AJ259" s="941">
        <v>11.0</v>
      </c>
      <c r="AK259" s="941">
        <v>0.0</v>
      </c>
      <c r="AL259" s="941">
        <v>2.0</v>
      </c>
      <c r="AM259" s="941">
        <v>0.0</v>
      </c>
      <c r="AN259" s="941">
        <v>0.0</v>
      </c>
      <c r="AO259" s="941">
        <v>0.0</v>
      </c>
      <c r="AP259" s="941">
        <v>2.0</v>
      </c>
      <c r="AQ259" s="941">
        <v>0.0</v>
      </c>
      <c r="AR259" s="941">
        <v>14.0</v>
      </c>
      <c r="AS259" s="941">
        <v>2.0</v>
      </c>
      <c r="AT259" s="941">
        <v>0.0</v>
      </c>
      <c r="AU259" s="941">
        <v>0.0</v>
      </c>
      <c r="AV259" s="941">
        <v>0.0</v>
      </c>
      <c r="AW259" s="941">
        <v>0.0</v>
      </c>
      <c r="AX259" s="941">
        <v>0.0</v>
      </c>
      <c r="AY259" s="941">
        <v>0.0</v>
      </c>
      <c r="AZ259" s="941">
        <v>0.0</v>
      </c>
      <c r="BA259" s="941">
        <v>0.0</v>
      </c>
      <c r="BB259" s="941">
        <v>4.0</v>
      </c>
      <c r="BC259" s="941">
        <v>0.0</v>
      </c>
      <c r="BD259" s="941">
        <v>16.0</v>
      </c>
      <c r="BE259" s="941">
        <v>11.0</v>
      </c>
      <c r="BF259" s="941">
        <v>2.0</v>
      </c>
      <c r="BG259" s="942">
        <v>1.0</v>
      </c>
    </row>
    <row r="260">
      <c r="A260" s="935" t="s">
        <v>138</v>
      </c>
      <c r="B260" s="16" t="str">
        <f>IF(C260&lt;'PlayerGrades+'!$Y$44,"F-",IF(C260&lt;'PlayerGrades+'!$Y$43,"F",IF(C260&lt;'PlayerGrades+'!$Y$42,"F+",IF(C260&lt;'PlayerGrades+'!$Y$41,"E-",IF(C260&lt;'PlayerGrades+'!$Y$40,"E",IF(C260&lt;'PlayerGrades+'!$Y$39,"E+",IF(C260&lt;'PlayerGrades+'!$Y$38,"D-",IF(C260&lt;'PlayerGrades+'!$Y$37,"D",IF(C260&lt;'PlayerGrades+'!$Y$36,"D+",IF(C260&lt;'PlayerGrades+'!$Y$35,"C-",IF(C260&lt;'PlayerGrades+'!$Y$34,"C",IF(C260&lt;'PlayerGrades+'!$Y$33,"C+",IF(C260&lt;'PlayerGrades+'!$Y$32,"B-",IF(C260&lt;'PlayerGrades+'!$Y$31,"B",IF(C260&lt;'PlayerGrades+'!$Y$30,"B+",IF(C260&lt;'PlayerGrades+'!$Y$29,"A-",IF(C260&lt;'PlayerGrades+'!$Y$28,"A",IF(C260&lt;'PlayerGrades+'!$Y$27,"A+",IF(C260&lt;'PlayerGrades+'!$Y$26,"S-",IF(C260&lt;'PlayerGrades+'!$Y$25,"S","S+"))))))))))))))))))))</f>
        <v>A</v>
      </c>
      <c r="C260" s="936">
        <f>('PlayerGrades+'!$Y$47*(VLOOKUP(E260, 'PlayerGrades+'!$X$3:$Y$23, 2, FALSE)))+('PlayerGrades+'!$Y$48*(VLOOKUP(G260, 'PlayerGrades+'!$X$3:$Y$23, 2, FALSE)))+('PlayerGrades+'!$Y$49*(VLOOKUP(I260, 'PlayerGrades+'!$X$3:$Y$23, 2, FALSE)))+('PlayerGrades+'!$Y$50*(VLOOKUP(K260, 'PlayerGrades+'!$X$3:$Y$23, 2, FALSE)))+('PlayerGrades+'!$Y$51*(VLOOKUP(M260, 'PlayerGrades+'!$X$3:$Y$23, 2, FALSE)))+('PlayerGrades+'!$Y$52*(VLOOKUP(O260, 'PlayerGrades+'!$X$3:$Y$23, 2, FALSE)))+('PlayerGrades+'!$Y$53*(VLOOKUP(Q260, 'PlayerGrades+'!$X$3:$Y$23, 2, FALSE)))+('PlayerGrades+'!$Y$54*(VLOOKUP(S260, 'PlayerGrades+'!$X$3:$Y$23, 2, FALSE)))+('PlayerGrades+'!$Y$55*(VLOOKUP(U260, 'PlayerGrades+'!$X$3:$Y$23, 2, FALSE)))</f>
        <v>26.6</v>
      </c>
      <c r="D260" s="937">
        <f t="shared" si="1"/>
        <v>0.03225806452</v>
      </c>
      <c r="E260" s="937" t="str">
        <f>IF(D260&lt;'PlayerGrades+'!$AA$21,"F-",IF(D260&lt;'PlayerGrades+'!$AA$20,"F",IF(D260&lt;'PlayerGrades+'!$AA$19,"F+",IF(D260&lt;'PlayerGrades+'!$AA$18,"E-",IF(D260&lt;'PlayerGrades+'!$AA$17,"E",IF(D260&lt;'PlayerGrades+'!$AA$16,"E+",IF(D260&lt;'PlayerGrades+'!$AA$15,"D-",IF(D260&lt;'PlayerGrades+'!$AA$14,"D",IF(D260&lt;'PlayerGrades+'!$AA$13,"D+",IF(D260&lt;'PlayerGrades+'!$AA$12,"C-",IF(D260&lt;'PlayerGrades+'!$AA$11,"C",IF(D260&lt;'PlayerGrades+'!$AA$10,"C+",IF(D260&lt;'PlayerGrades+'!$AA$9,"B-",IF(D260&lt;'PlayerGrades+'!$AA$8,"B",IF(D260&lt;'PlayerGrades+'!$AA$7,"B+",IF(D260&lt;'PlayerGrades+'!$AA$6,"A-",IF(D260&lt;'PlayerGrades+'!$AA$5,"A",IF(D260&lt;'PlayerGrades+'!$AA$4,"A+",IF(D260&lt;'PlayerGrades+'!$AA$3,"S-",IF(D260&lt;'PlayerGrades+'!$AA$2,"S","S+"))))))))))))))))))))</f>
        <v>D+</v>
      </c>
      <c r="F260" s="937">
        <f t="shared" si="2"/>
        <v>0.4838709677</v>
      </c>
      <c r="G260" s="937" t="str">
        <f>IF(F260&lt;'PlayerGrades+'!$AB$21,"F-",IF(F260&lt;'PlayerGrades+'!$AB$20,"F",IF(F260&lt;'PlayerGrades+'!$AB$19,"F+",IF(F260&lt;'PlayerGrades+'!$AB$18,"E-",IF(F260&lt;'PlayerGrades+'!$AB$17,"E",IF(F260&lt;'PlayerGrades+'!$AB$16,"E+",IF(F260&lt;'PlayerGrades+'!$AB$15,"D-",IF(F260&lt;'PlayerGrades+'!$AB$14,"D",IF(F260&lt;'PlayerGrades+'!$AB$13,"D+",IF(F260&lt;'PlayerGrades+'!$AB$12,"C-",IF(F260&lt;'PlayerGrades+'!$AB$11,"C",IF(F260&lt;'PlayerGrades+'!$AB$10,"C+",IF(F260&lt;'PlayerGrades+'!$AB$9,"B-",IF(F260&lt;'PlayerGrades+'!$AB$8,"B",IF(F260&lt;'PlayerGrades+'!$AB$7,"B+",IF(F260&lt;'PlayerGrades+'!$AB$6,"A-",IF(F260&lt;'PlayerGrades+'!$AB$5,"A",IF(F260&lt;'PlayerGrades+'!$AB$4,"A+",IF(F260&lt;'PlayerGrades+'!$AB$3,"S-",IF(F260&lt;'PlayerGrades+'!$AB$2,"S","S+"))))))))))))))))))))</f>
        <v>A+</v>
      </c>
      <c r="H260" s="937">
        <f t="shared" si="3"/>
        <v>0.2258064516</v>
      </c>
      <c r="I260" s="937" t="str">
        <f>IF(H260&lt;'PlayerGrades+'!$AC$21,"F-",IF(H260&lt;'PlayerGrades+'!$AC$20,"F",IF(H260&lt;'PlayerGrades+'!$AC$19,"F+",IF(H260&lt;'PlayerGrades+'!$AC$18,"E-",IF(H260&lt;'PlayerGrades+'!$AC$17,"E",IF(H260&lt;'PlayerGrades+'!$AC$16,"E+",IF(H260&lt;'PlayerGrades+'!$AC$15,"D-",IF(H260&lt;'PlayerGrades+'!$AC$14,"D",IF(H260&lt;'PlayerGrades+'!$AC$13,"D+",IF(H260&lt;'PlayerGrades+'!$AC$12,"C-",IF(H260&lt;'PlayerGrades+'!$AC$11,"C",IF(H260&lt;'PlayerGrades+'!$AC$10,"C+",IF(H260&lt;'PlayerGrades+'!$AC$9,"B-",IF(H260&lt;'PlayerGrades+'!$AC$8,"B",IF(H260&lt;'PlayerGrades+'!$AC$7,"B+",IF(H260&lt;'PlayerGrades+'!$AC$6,"A-",IF(H260&lt;'PlayerGrades+'!$AC$5,"A",IF(H260&lt;'PlayerGrades+'!$AC$4,"A+",IF(H260&lt;'PlayerGrades+'!$AC$3,"S-",IF(H260&lt;'PlayerGrades+'!$AC$2,"S","S+"))))))))))))))))))))</f>
        <v>S</v>
      </c>
      <c r="J260" s="937">
        <f t="shared" si="4"/>
        <v>0.03225806452</v>
      </c>
      <c r="K260" s="937" t="str">
        <f>IF(J260&lt;'PlayerGrades+'!$AD$21,"F-",IF(J260&lt;'PlayerGrades+'!$AD$20,"F",IF(J260&lt;'PlayerGrades+'!$AD$19,"F+",IF(J260&lt;'PlayerGrades+'!$AD$18,"E-",IF(J260&lt;'PlayerGrades+'!$AD$17,"E",IF(J260&lt;'PlayerGrades+'!$AD$16,"E+",IF(J260&lt;'PlayerGrades+'!$AD$15,"D-",IF(J260&lt;'PlayerGrades+'!$AD$14,"D",IF(J260&lt;'PlayerGrades+'!$AD$13,"D+",IF(J260&lt;'PlayerGrades+'!$AD$12,"C-",IF(J260&lt;'PlayerGrades+'!$AD$11,"C",IF(J260&lt;'PlayerGrades+'!$AD$10,"C+",IF(J260&lt;'PlayerGrades+'!$AD$9,"B-",IF(J260&lt;'PlayerGrades+'!$AD$8,"B",IF(J260&lt;'PlayerGrades+'!$AD$7,"B+",IF(J260&lt;'PlayerGrades+'!$AD$6,"A-",IF(J260&lt;'PlayerGrades+'!$AD$5,"A",IF(J260&lt;'PlayerGrades+'!$AD$4,"A+",IF(J260&lt;'PlayerGrades+'!$AD$3,"S-",IF(J260&lt;'PlayerGrades+'!$AD$2,"S","S+"))))))))))))))))))))</f>
        <v>C</v>
      </c>
      <c r="L260" s="677">
        <f t="shared" si="5"/>
        <v>0.5806451613</v>
      </c>
      <c r="M260" s="938" t="str">
        <f>IF(L260&lt;'PlayerGrades+'!$AE$21,"F-",IF(L260&lt;'PlayerGrades+'!$AE$20,"F",IF(L260&lt;'PlayerGrades+'!$AE$19,"F+",IF(L260&lt;'PlayerGrades+'!$AE$18,"E-",IF(L260&lt;'PlayerGrades+'!$AE$17,"E",IF(L260&lt;'PlayerGrades+'!$AE$16,"E+",IF(L260&lt;'PlayerGrades+'!$AE$15,"D-",IF(L260&lt;'PlayerGrades+'!$AE$14,"D",IF(L260&lt;'PlayerGrades+'!$AE$13,"D+",IF(L260&lt;'PlayerGrades+'!$AE$12,"C-",IF(L260&lt;'PlayerGrades+'!$AE$11,"C",IF(L260&lt;'PlayerGrades+'!$AE$10,"C+",IF(L260&lt;'PlayerGrades+'!$AE$9,"B-",IF(L260&lt;'PlayerGrades+'!$AE$8,"B",IF(L260&lt;'PlayerGrades+'!$AE$7,"B+",IF(L260&lt;'PlayerGrades+'!$AE$6,"A-",IF(L260&lt;'PlayerGrades+'!$AE$5,"A",IF(L260&lt;'PlayerGrades+'!$AE$4,"A+",IF(L260&lt;'PlayerGrades+'!$AE$3,"S-",IF(L260&lt;'PlayerGrades+'!$AE$2,"S","S+"))))))))))))))))))))</f>
        <v>A</v>
      </c>
      <c r="N260" s="937">
        <f t="shared" si="6"/>
        <v>0.1612903226</v>
      </c>
      <c r="O260" s="937" t="str">
        <f>IF(N260&lt;'PlayerGrades+'!$AF$21,"F-",IF(N260&lt;'PlayerGrades+'!$AF$20,"F",IF(N260&lt;'PlayerGrades+'!$AF$19,"F+",IF(N260&lt;'PlayerGrades+'!$AF$18,"E-",IF(N260&lt;'PlayerGrades+'!$AF$17,"E",IF(N260&lt;'PlayerGrades+'!$AF$16,"E+",IF(N260&lt;'PlayerGrades+'!$AF$15,"D-",IF(N260&lt;'PlayerGrades+'!$AF$14,"D",IF(N260&lt;'PlayerGrades+'!$AF$13,"D+",IF(N260&lt;'PlayerGrades+'!$AF$12,"C-",IF(N260&lt;'PlayerGrades+'!$AF$11,"C",IF(N260&lt;'PlayerGrades+'!$AF$10,"C+",IF(N260&lt;'PlayerGrades+'!$AF$9,"B-",IF(N260&lt;'PlayerGrades+'!$AF$8,"B",IF(N260&lt;'PlayerGrades+'!$AF$7,"B+",IF(N260&lt;'PlayerGrades+'!$AF$6,"A-",IF(N260&lt;'PlayerGrades+'!$AF$5,"A",IF(N260&lt;'PlayerGrades+'!$AF$4,"A+",IF(N260&lt;'PlayerGrades+'!$AF$3,"S-",IF(N260&lt;'PlayerGrades+'!$AF$2,"S","S+"))))))))))))))))))))</f>
        <v>S+</v>
      </c>
      <c r="P260" s="937">
        <f t="shared" si="7"/>
        <v>0</v>
      </c>
      <c r="Q260" s="937" t="str">
        <f>IF(P260&lt;'PlayerGrades+'!$AG$21,"F-",IF(P260&lt;'PlayerGrades+'!$AG$20,"F",IF(P260&lt;'PlayerGrades+'!$AG$19,"F+",IF(P260&lt;'PlayerGrades+'!$AG$18,"E-",IF(P260&lt;'PlayerGrades+'!$AG$17,"E",IF(P260&lt;'PlayerGrades+'!$AG$16,"E+",IF(P260&lt;'PlayerGrades+'!$AG$15,"D-",IF(P260&lt;'PlayerGrades+'!$AG$14,"D",IF(P260&lt;'PlayerGrades+'!$AG$13,"D+",IF(P260&lt;'PlayerGrades+'!$AG$12,"C-",IF(P260&lt;'PlayerGrades+'!$AG$11,"C",IF(P260&lt;'PlayerGrades+'!$AG$10,"C+",IF(P260&lt;'PlayerGrades+'!$AG$9,"B-",IF(P260&lt;'PlayerGrades+'!$AG$8,"B",IF(P260&lt;'PlayerGrades+'!$AG$7,"B+",IF(P260&lt;'PlayerGrades+'!$AG$6,"A-",IF(P260&lt;'PlayerGrades+'!$AG$5,"A",IF(P260&lt;'PlayerGrades+'!$AG$4,"A+",IF(P260&lt;'PlayerGrades+'!$AG$3,"S-",IF(P260&lt;'PlayerGrades+'!$AG$2,"S","S+"))))))))))))))))))))</f>
        <v>F</v>
      </c>
      <c r="R260" s="937">
        <f t="shared" si="8"/>
        <v>0.4838709677</v>
      </c>
      <c r="S260" s="937" t="str">
        <f>IF(R260&lt;'PlayerGrades+'!$AH$21,"F-",IF(R260&lt;'PlayerGrades+'!$AH$20,"F",IF(R260&lt;'PlayerGrades+'!$AH$19,"F+",IF(R260&lt;'PlayerGrades+'!$AH$18,"E-",IF(R260&lt;'PlayerGrades+'!$AH$17,"E",IF(R260&lt;'PlayerGrades+'!$AH$16,"E+",IF(R260&lt;'PlayerGrades+'!$AH$15,"D-",IF(R260&lt;'PlayerGrades+'!$AH$14,"D",IF(R260&lt;'PlayerGrades+'!$AH$13,"D+",IF(R260&lt;'PlayerGrades+'!$AH$12,"C-",IF(R260&lt;'PlayerGrades+'!$AH$11,"C",IF(R260&lt;'PlayerGrades+'!$AH$10,"C+",IF(R260&lt;'PlayerGrades+'!$AH$9,"B-",IF(R260&lt;'PlayerGrades+'!$AH$8,"B",IF(R260&lt;'PlayerGrades+'!$AH$7,"B+",IF(R260&lt;'PlayerGrades+'!$AH$6,"A-",IF(R260&lt;'PlayerGrades+'!$AH$5,"A",IF(R260&lt;'PlayerGrades+'!$AH$4,"A+",IF(R260&lt;'PlayerGrades+'!$AH$3,"S-",IF(R260&lt;'PlayerGrades+'!$AH$2,"S","S+"))))))))))))))))))))</f>
        <v>E+</v>
      </c>
      <c r="T260" s="937">
        <f t="shared" si="9"/>
        <v>2.612903226</v>
      </c>
      <c r="U260" s="937" t="str">
        <f>IF(T260&lt;'PlayerGrades+'!$AI$21,"F-",IF(T260&lt;'PlayerGrades+'!$AI$20,"F",IF(T260&lt;'PlayerGrades+'!$AI$19,"F+",IF(T260&lt;'PlayerGrades+'!$AI$18,"E-",IF(T260&lt;'PlayerGrades+'!$AI$17,"E",IF(T260&lt;'PlayerGrades+'!$AI$16,"E+",IF(T260&lt;'PlayerGrades+'!$AI$15,"D-",IF(T260&lt;'PlayerGrades+'!$AI$14,"D",IF(T260&lt;'PlayerGrades+'!$AI$13,"D+",IF(T260&lt;'PlayerGrades+'!$AI$12,"C-",IF(T260&lt;'PlayerGrades+'!$AI$11,"C",IF(T260&lt;'PlayerGrades+'!$AI$10,"C+",IF(T260&lt;'PlayerGrades+'!$AI$9,"B-",IF(T260&lt;'PlayerGrades+'!$AI$8,"B",IF(T260&lt;'PlayerGrades+'!$AI$7,"B+",IF(T260&lt;'PlayerGrades+'!$AI$6,"A-",IF(T260&lt;'PlayerGrades+'!$AI$5,"A",IF(T260&lt;'PlayerGrades+'!$AI$4,"A+",IF(T260&lt;'PlayerGrades+'!$AI$3,"S-",IF(T260&lt;'PlayerGrades+'!$AI$2,"S","S+"))))))))))))))))))))</f>
        <v>S+</v>
      </c>
      <c r="V260" s="941">
        <v>1.0</v>
      </c>
      <c r="W260" s="941">
        <v>1.0</v>
      </c>
      <c r="X260" s="941">
        <v>0.0</v>
      </c>
      <c r="Y260" s="941">
        <v>0.0</v>
      </c>
      <c r="Z260" s="941">
        <v>1.0</v>
      </c>
      <c r="AA260" s="941">
        <v>120.0</v>
      </c>
      <c r="AB260" s="941">
        <v>105.0</v>
      </c>
      <c r="AC260" s="941">
        <v>15.0</v>
      </c>
      <c r="AD260" s="941">
        <v>7.0</v>
      </c>
      <c r="AE260" s="941">
        <v>5.0</v>
      </c>
      <c r="AF260" s="941">
        <v>0.0</v>
      </c>
      <c r="AG260" s="941">
        <v>1442.0</v>
      </c>
      <c r="AH260" s="941">
        <v>1860.0</v>
      </c>
      <c r="AI260" s="941">
        <v>13.0</v>
      </c>
      <c r="AJ260" s="941">
        <v>31.0</v>
      </c>
      <c r="AK260" s="941">
        <v>0.0</v>
      </c>
      <c r="AL260" s="941">
        <v>1.0</v>
      </c>
      <c r="AM260" s="941">
        <v>0.0</v>
      </c>
      <c r="AN260" s="941">
        <v>0.0</v>
      </c>
      <c r="AO260" s="941">
        <v>0.0</v>
      </c>
      <c r="AP260" s="941">
        <v>0.0</v>
      </c>
      <c r="AQ260" s="941">
        <v>0.0</v>
      </c>
      <c r="AR260" s="941">
        <v>18.0</v>
      </c>
      <c r="AS260" s="941">
        <v>5.0</v>
      </c>
      <c r="AT260" s="941">
        <v>1.0</v>
      </c>
      <c r="AU260" s="941">
        <v>0.0</v>
      </c>
      <c r="AV260" s="941">
        <v>0.0</v>
      </c>
      <c r="AW260" s="941">
        <v>0.0</v>
      </c>
      <c r="AX260" s="941">
        <v>0.0</v>
      </c>
      <c r="AY260" s="941">
        <v>0.0</v>
      </c>
      <c r="AZ260" s="941">
        <v>0.0</v>
      </c>
      <c r="BA260" s="941">
        <v>0.0</v>
      </c>
      <c r="BB260" s="941">
        <v>7.0</v>
      </c>
      <c r="BC260" s="941">
        <v>0.0</v>
      </c>
      <c r="BD260" s="941">
        <v>8.0</v>
      </c>
      <c r="BE260" s="941">
        <v>19.0</v>
      </c>
      <c r="BF260" s="941">
        <v>2.0</v>
      </c>
      <c r="BG260" s="942">
        <v>1.0</v>
      </c>
    </row>
    <row r="261">
      <c r="A261" s="935" t="s">
        <v>392</v>
      </c>
      <c r="B261" s="16" t="str">
        <f>IF(C261&lt;'PlayerGrades+'!$Y$44,"F-",IF(C261&lt;'PlayerGrades+'!$Y$43,"F",IF(C261&lt;'PlayerGrades+'!$Y$42,"F+",IF(C261&lt;'PlayerGrades+'!$Y$41,"E-",IF(C261&lt;'PlayerGrades+'!$Y$40,"E",IF(C261&lt;'PlayerGrades+'!$Y$39,"E+",IF(C261&lt;'PlayerGrades+'!$Y$38,"D-",IF(C261&lt;'PlayerGrades+'!$Y$37,"D",IF(C261&lt;'PlayerGrades+'!$Y$36,"D+",IF(C261&lt;'PlayerGrades+'!$Y$35,"C-",IF(C261&lt;'PlayerGrades+'!$Y$34,"C",IF(C261&lt;'PlayerGrades+'!$Y$33,"C+",IF(C261&lt;'PlayerGrades+'!$Y$32,"B-",IF(C261&lt;'PlayerGrades+'!$Y$31,"B",IF(C261&lt;'PlayerGrades+'!$Y$30,"B+",IF(C261&lt;'PlayerGrades+'!$Y$29,"A-",IF(C261&lt;'PlayerGrades+'!$Y$28,"A",IF(C261&lt;'PlayerGrades+'!$Y$27,"A+",IF(C261&lt;'PlayerGrades+'!$Y$26,"S-",IF(C261&lt;'PlayerGrades+'!$Y$25,"S","S+"))))))))))))))))))))</f>
        <v>D-</v>
      </c>
      <c r="C261" s="936">
        <f>('PlayerGrades+'!$Y$47*(VLOOKUP(E261, 'PlayerGrades+'!$X$3:$Y$23, 2, FALSE)))+('PlayerGrades+'!$Y$48*(VLOOKUP(G261, 'PlayerGrades+'!$X$3:$Y$23, 2, FALSE)))+('PlayerGrades+'!$Y$49*(VLOOKUP(I261, 'PlayerGrades+'!$X$3:$Y$23, 2, FALSE)))+('PlayerGrades+'!$Y$50*(VLOOKUP(K261, 'PlayerGrades+'!$X$3:$Y$23, 2, FALSE)))+('PlayerGrades+'!$Y$51*(VLOOKUP(M261, 'PlayerGrades+'!$X$3:$Y$23, 2, FALSE)))+('PlayerGrades+'!$Y$52*(VLOOKUP(O261, 'PlayerGrades+'!$X$3:$Y$23, 2, FALSE)))+('PlayerGrades+'!$Y$53*(VLOOKUP(Q261, 'PlayerGrades+'!$X$3:$Y$23, 2, FALSE)))+('PlayerGrades+'!$Y$54*(VLOOKUP(S261, 'PlayerGrades+'!$X$3:$Y$23, 2, FALSE)))+('PlayerGrades+'!$Y$55*(VLOOKUP(U261, 'PlayerGrades+'!$X$3:$Y$23, 2, FALSE)))</f>
        <v>15.15</v>
      </c>
      <c r="D261" s="937">
        <f t="shared" si="1"/>
        <v>0</v>
      </c>
      <c r="E261" s="937" t="str">
        <f>IF(D261&lt;'PlayerGrades+'!$AA$21,"F-",IF(D261&lt;'PlayerGrades+'!$AA$20,"F",IF(D261&lt;'PlayerGrades+'!$AA$19,"F+",IF(D261&lt;'PlayerGrades+'!$AA$18,"E-",IF(D261&lt;'PlayerGrades+'!$AA$17,"E",IF(D261&lt;'PlayerGrades+'!$AA$16,"E+",IF(D261&lt;'PlayerGrades+'!$AA$15,"D-",IF(D261&lt;'PlayerGrades+'!$AA$14,"D",IF(D261&lt;'PlayerGrades+'!$AA$13,"D+",IF(D261&lt;'PlayerGrades+'!$AA$12,"C-",IF(D261&lt;'PlayerGrades+'!$AA$11,"C",IF(D261&lt;'PlayerGrades+'!$AA$10,"C+",IF(D261&lt;'PlayerGrades+'!$AA$9,"B-",IF(D261&lt;'PlayerGrades+'!$AA$8,"B",IF(D261&lt;'PlayerGrades+'!$AA$7,"B+",IF(D261&lt;'PlayerGrades+'!$AA$6,"A-",IF(D261&lt;'PlayerGrades+'!$AA$5,"A",IF(D261&lt;'PlayerGrades+'!$AA$4,"A+",IF(D261&lt;'PlayerGrades+'!$AA$3,"S-",IF(D261&lt;'PlayerGrades+'!$AA$2,"S","S+"))))))))))))))))))))</f>
        <v>F-</v>
      </c>
      <c r="F261" s="937">
        <f t="shared" si="2"/>
        <v>-1.032258065</v>
      </c>
      <c r="G261" s="937" t="str">
        <f>IF(F261&lt;'PlayerGrades+'!$AB$21,"F-",IF(F261&lt;'PlayerGrades+'!$AB$20,"F",IF(F261&lt;'PlayerGrades+'!$AB$19,"F+",IF(F261&lt;'PlayerGrades+'!$AB$18,"E-",IF(F261&lt;'PlayerGrades+'!$AB$17,"E",IF(F261&lt;'PlayerGrades+'!$AB$16,"E+",IF(F261&lt;'PlayerGrades+'!$AB$15,"D-",IF(F261&lt;'PlayerGrades+'!$AB$14,"D",IF(F261&lt;'PlayerGrades+'!$AB$13,"D+",IF(F261&lt;'PlayerGrades+'!$AB$12,"C-",IF(F261&lt;'PlayerGrades+'!$AB$11,"C",IF(F261&lt;'PlayerGrades+'!$AB$10,"C+",IF(F261&lt;'PlayerGrades+'!$AB$9,"B-",IF(F261&lt;'PlayerGrades+'!$AB$8,"B",IF(F261&lt;'PlayerGrades+'!$AB$7,"B+",IF(F261&lt;'PlayerGrades+'!$AB$6,"A-",IF(F261&lt;'PlayerGrades+'!$AB$5,"A",IF(F261&lt;'PlayerGrades+'!$AB$4,"A+",IF(F261&lt;'PlayerGrades+'!$AB$3,"S-",IF(F261&lt;'PlayerGrades+'!$AB$2,"S","S+"))))))))))))))))))))</f>
        <v>F</v>
      </c>
      <c r="H261" s="937">
        <f t="shared" si="3"/>
        <v>0.09677419355</v>
      </c>
      <c r="I261" s="937" t="str">
        <f>IF(H261&lt;'PlayerGrades+'!$AC$21,"F-",IF(H261&lt;'PlayerGrades+'!$AC$20,"F",IF(H261&lt;'PlayerGrades+'!$AC$19,"F+",IF(H261&lt;'PlayerGrades+'!$AC$18,"E-",IF(H261&lt;'PlayerGrades+'!$AC$17,"E",IF(H261&lt;'PlayerGrades+'!$AC$16,"E+",IF(H261&lt;'PlayerGrades+'!$AC$15,"D-",IF(H261&lt;'PlayerGrades+'!$AC$14,"D",IF(H261&lt;'PlayerGrades+'!$AC$13,"D+",IF(H261&lt;'PlayerGrades+'!$AC$12,"C-",IF(H261&lt;'PlayerGrades+'!$AC$11,"C",IF(H261&lt;'PlayerGrades+'!$AC$10,"C+",IF(H261&lt;'PlayerGrades+'!$AC$9,"B-",IF(H261&lt;'PlayerGrades+'!$AC$8,"B",IF(H261&lt;'PlayerGrades+'!$AC$7,"B+",IF(H261&lt;'PlayerGrades+'!$AC$6,"A-",IF(H261&lt;'PlayerGrades+'!$AC$5,"A",IF(H261&lt;'PlayerGrades+'!$AC$4,"A+",IF(H261&lt;'PlayerGrades+'!$AC$3,"S-",IF(H261&lt;'PlayerGrades+'!$AC$2,"S","S+"))))))))))))))))))))</f>
        <v>C-</v>
      </c>
      <c r="J261" s="937">
        <f t="shared" si="4"/>
        <v>0.03225806452</v>
      </c>
      <c r="K261" s="937" t="str">
        <f>IF(J261&lt;'PlayerGrades+'!$AD$21,"F-",IF(J261&lt;'PlayerGrades+'!$AD$20,"F",IF(J261&lt;'PlayerGrades+'!$AD$19,"F+",IF(J261&lt;'PlayerGrades+'!$AD$18,"E-",IF(J261&lt;'PlayerGrades+'!$AD$17,"E",IF(J261&lt;'PlayerGrades+'!$AD$16,"E+",IF(J261&lt;'PlayerGrades+'!$AD$15,"D-",IF(J261&lt;'PlayerGrades+'!$AD$14,"D",IF(J261&lt;'PlayerGrades+'!$AD$13,"D+",IF(J261&lt;'PlayerGrades+'!$AD$12,"C-",IF(J261&lt;'PlayerGrades+'!$AD$11,"C",IF(J261&lt;'PlayerGrades+'!$AD$10,"C+",IF(J261&lt;'PlayerGrades+'!$AD$9,"B-",IF(J261&lt;'PlayerGrades+'!$AD$8,"B",IF(J261&lt;'PlayerGrades+'!$AD$7,"B+",IF(J261&lt;'PlayerGrades+'!$AD$6,"A-",IF(J261&lt;'PlayerGrades+'!$AD$5,"A",IF(J261&lt;'PlayerGrades+'!$AD$4,"A+",IF(J261&lt;'PlayerGrades+'!$AD$3,"S-",IF(J261&lt;'PlayerGrades+'!$AD$2,"S","S+"))))))))))))))))))))</f>
        <v>C</v>
      </c>
      <c r="L261" s="677">
        <f t="shared" si="5"/>
        <v>0.4838709677</v>
      </c>
      <c r="M261" s="938" t="str">
        <f>IF(L261&lt;'PlayerGrades+'!$AE$21,"F-",IF(L261&lt;'PlayerGrades+'!$AE$20,"F",IF(L261&lt;'PlayerGrades+'!$AE$19,"F+",IF(L261&lt;'PlayerGrades+'!$AE$18,"E-",IF(L261&lt;'PlayerGrades+'!$AE$17,"E",IF(L261&lt;'PlayerGrades+'!$AE$16,"E+",IF(L261&lt;'PlayerGrades+'!$AE$15,"D-",IF(L261&lt;'PlayerGrades+'!$AE$14,"D",IF(L261&lt;'PlayerGrades+'!$AE$13,"D+",IF(L261&lt;'PlayerGrades+'!$AE$12,"C-",IF(L261&lt;'PlayerGrades+'!$AE$11,"C",IF(L261&lt;'PlayerGrades+'!$AE$10,"C+",IF(L261&lt;'PlayerGrades+'!$AE$9,"B-",IF(L261&lt;'PlayerGrades+'!$AE$8,"B",IF(L261&lt;'PlayerGrades+'!$AE$7,"B+",IF(L261&lt;'PlayerGrades+'!$AE$6,"A-",IF(L261&lt;'PlayerGrades+'!$AE$5,"A",IF(L261&lt;'PlayerGrades+'!$AE$4,"A+",IF(L261&lt;'PlayerGrades+'!$AE$3,"S-",IF(L261&lt;'PlayerGrades+'!$AE$2,"S","S+"))))))))))))))))))))</f>
        <v>B+</v>
      </c>
      <c r="N261" s="937">
        <f t="shared" si="6"/>
        <v>0.09677419355</v>
      </c>
      <c r="O261" s="937" t="str">
        <f>IF(N261&lt;'PlayerGrades+'!$AF$21,"F-",IF(N261&lt;'PlayerGrades+'!$AF$20,"F",IF(N261&lt;'PlayerGrades+'!$AF$19,"F+",IF(N261&lt;'PlayerGrades+'!$AF$18,"E-",IF(N261&lt;'PlayerGrades+'!$AF$17,"E",IF(N261&lt;'PlayerGrades+'!$AF$16,"E+",IF(N261&lt;'PlayerGrades+'!$AF$15,"D-",IF(N261&lt;'PlayerGrades+'!$AF$14,"D",IF(N261&lt;'PlayerGrades+'!$AF$13,"D+",IF(N261&lt;'PlayerGrades+'!$AF$12,"C-",IF(N261&lt;'PlayerGrades+'!$AF$11,"C",IF(N261&lt;'PlayerGrades+'!$AF$10,"C+",IF(N261&lt;'PlayerGrades+'!$AF$9,"B-",IF(N261&lt;'PlayerGrades+'!$AF$8,"B",IF(N261&lt;'PlayerGrades+'!$AF$7,"B+",IF(N261&lt;'PlayerGrades+'!$AF$6,"A-",IF(N261&lt;'PlayerGrades+'!$AF$5,"A",IF(N261&lt;'PlayerGrades+'!$AF$4,"A+",IF(N261&lt;'PlayerGrades+'!$AF$3,"S-",IF(N261&lt;'PlayerGrades+'!$AF$2,"S","S+"))))))))))))))))))))</f>
        <v>A-</v>
      </c>
      <c r="P261" s="937">
        <f t="shared" si="7"/>
        <v>0.03225806452</v>
      </c>
      <c r="Q261" s="937" t="str">
        <f>IF(P261&lt;'PlayerGrades+'!$AG$21,"F-",IF(P261&lt;'PlayerGrades+'!$AG$20,"F",IF(P261&lt;'PlayerGrades+'!$AG$19,"F+",IF(P261&lt;'PlayerGrades+'!$AG$18,"E-",IF(P261&lt;'PlayerGrades+'!$AG$17,"E",IF(P261&lt;'PlayerGrades+'!$AG$16,"E+",IF(P261&lt;'PlayerGrades+'!$AG$15,"D-",IF(P261&lt;'PlayerGrades+'!$AG$14,"D",IF(P261&lt;'PlayerGrades+'!$AG$13,"D+",IF(P261&lt;'PlayerGrades+'!$AG$12,"C-",IF(P261&lt;'PlayerGrades+'!$AG$11,"C",IF(P261&lt;'PlayerGrades+'!$AG$10,"C+",IF(P261&lt;'PlayerGrades+'!$AG$9,"B-",IF(P261&lt;'PlayerGrades+'!$AG$8,"B",IF(P261&lt;'PlayerGrades+'!$AG$7,"B+",IF(P261&lt;'PlayerGrades+'!$AG$6,"A-",IF(P261&lt;'PlayerGrades+'!$AG$5,"A",IF(P261&lt;'PlayerGrades+'!$AG$4,"A+",IF(P261&lt;'PlayerGrades+'!$AG$3,"S-",IF(P261&lt;'PlayerGrades+'!$AG$2,"S","S+"))))))))))))))))))))</f>
        <v>B+</v>
      </c>
      <c r="R261" s="937">
        <f t="shared" si="8"/>
        <v>0.2258064516</v>
      </c>
      <c r="S261" s="937" t="str">
        <f>IF(R261&lt;'PlayerGrades+'!$AH$21,"F-",IF(R261&lt;'PlayerGrades+'!$AH$20,"F",IF(R261&lt;'PlayerGrades+'!$AH$19,"F+",IF(R261&lt;'PlayerGrades+'!$AH$18,"E-",IF(R261&lt;'PlayerGrades+'!$AH$17,"E",IF(R261&lt;'PlayerGrades+'!$AH$16,"E+",IF(R261&lt;'PlayerGrades+'!$AH$15,"D-",IF(R261&lt;'PlayerGrades+'!$AH$14,"D",IF(R261&lt;'PlayerGrades+'!$AH$13,"D+",IF(R261&lt;'PlayerGrades+'!$AH$12,"C-",IF(R261&lt;'PlayerGrades+'!$AH$11,"C",IF(R261&lt;'PlayerGrades+'!$AH$10,"C+",IF(R261&lt;'PlayerGrades+'!$AH$9,"B-",IF(R261&lt;'PlayerGrades+'!$AH$8,"B",IF(R261&lt;'PlayerGrades+'!$AH$7,"B+",IF(R261&lt;'PlayerGrades+'!$AH$6,"A-",IF(R261&lt;'PlayerGrades+'!$AH$5,"A",IF(R261&lt;'PlayerGrades+'!$AH$4,"A+",IF(R261&lt;'PlayerGrades+'!$AH$3,"S-",IF(R261&lt;'PlayerGrades+'!$AH$2,"S","S+"))))))))))))))))))))</f>
        <v>F-</v>
      </c>
      <c r="T261" s="937">
        <f t="shared" si="9"/>
        <v>0.5483870968</v>
      </c>
      <c r="U261" s="937" t="str">
        <f>IF(T261&lt;'PlayerGrades+'!$AI$21,"F-",IF(T261&lt;'PlayerGrades+'!$AI$20,"F",IF(T261&lt;'PlayerGrades+'!$AI$19,"F+",IF(T261&lt;'PlayerGrades+'!$AI$18,"E-",IF(T261&lt;'PlayerGrades+'!$AI$17,"E",IF(T261&lt;'PlayerGrades+'!$AI$16,"E+",IF(T261&lt;'PlayerGrades+'!$AI$15,"D-",IF(T261&lt;'PlayerGrades+'!$AI$14,"D",IF(T261&lt;'PlayerGrades+'!$AI$13,"D+",IF(T261&lt;'PlayerGrades+'!$AI$12,"C-",IF(T261&lt;'PlayerGrades+'!$AI$11,"C",IF(T261&lt;'PlayerGrades+'!$AI$10,"C+",IF(T261&lt;'PlayerGrades+'!$AI$9,"B-",IF(T261&lt;'PlayerGrades+'!$AI$8,"B",IF(T261&lt;'PlayerGrades+'!$AI$7,"B+",IF(T261&lt;'PlayerGrades+'!$AI$6,"A-",IF(T261&lt;'PlayerGrades+'!$AI$5,"A",IF(T261&lt;'PlayerGrades+'!$AI$4,"A+",IF(T261&lt;'PlayerGrades+'!$AI$3,"S-",IF(T261&lt;'PlayerGrades+'!$AI$2,"S","S+"))))))))))))))))))))</f>
        <v>F-</v>
      </c>
      <c r="V261" s="941">
        <v>1.0</v>
      </c>
      <c r="W261" s="941">
        <v>1.0</v>
      </c>
      <c r="X261" s="941">
        <v>0.0</v>
      </c>
      <c r="Y261" s="941">
        <v>0.0</v>
      </c>
      <c r="Z261" s="941">
        <v>0.0</v>
      </c>
      <c r="AA261" s="941">
        <v>96.0</v>
      </c>
      <c r="AB261" s="941">
        <v>128.0</v>
      </c>
      <c r="AC261" s="941">
        <v>-32.0</v>
      </c>
      <c r="AD261" s="941">
        <v>4.0</v>
      </c>
      <c r="AE261" s="941">
        <v>5.0</v>
      </c>
      <c r="AF261" s="941">
        <v>0.0</v>
      </c>
      <c r="AG261" s="941">
        <v>1375.0</v>
      </c>
      <c r="AH261" s="941">
        <v>1860.0</v>
      </c>
      <c r="AI261" s="941">
        <v>10.0</v>
      </c>
      <c r="AJ261" s="941">
        <v>0.0</v>
      </c>
      <c r="AK261" s="941">
        <v>0.0</v>
      </c>
      <c r="AL261" s="941">
        <v>1.0</v>
      </c>
      <c r="AM261" s="941">
        <v>0.0</v>
      </c>
      <c r="AN261" s="941">
        <v>0.0</v>
      </c>
      <c r="AO261" s="941">
        <v>0.0</v>
      </c>
      <c r="AP261" s="941">
        <v>1.0</v>
      </c>
      <c r="AQ261" s="941">
        <v>0.0</v>
      </c>
      <c r="AR261" s="941">
        <v>15.0</v>
      </c>
      <c r="AS261" s="941">
        <v>3.0</v>
      </c>
      <c r="AT261" s="941">
        <v>0.0</v>
      </c>
      <c r="AU261" s="941">
        <v>0.0</v>
      </c>
      <c r="AV261" s="941">
        <v>0.0</v>
      </c>
      <c r="AW261" s="941">
        <v>0.0</v>
      </c>
      <c r="AX261" s="941">
        <v>0.0</v>
      </c>
      <c r="AY261" s="941">
        <v>0.0</v>
      </c>
      <c r="AZ261" s="941">
        <v>0.0</v>
      </c>
      <c r="BA261" s="941">
        <v>0.0</v>
      </c>
      <c r="BB261" s="941">
        <v>3.0</v>
      </c>
      <c r="BC261" s="941">
        <v>0.0</v>
      </c>
      <c r="BD261" s="941">
        <v>3.0</v>
      </c>
      <c r="BE261" s="941">
        <v>17.0</v>
      </c>
      <c r="BF261" s="941">
        <v>0.0</v>
      </c>
      <c r="BG261" s="942">
        <v>1.0</v>
      </c>
    </row>
    <row r="262">
      <c r="A262" s="935" t="s">
        <v>118</v>
      </c>
      <c r="B262" s="16" t="str">
        <f>IF(C262&lt;'PlayerGrades+'!$Y$44,"F-",IF(C262&lt;'PlayerGrades+'!$Y$43,"F",IF(C262&lt;'PlayerGrades+'!$Y$42,"F+",IF(C262&lt;'PlayerGrades+'!$Y$41,"E-",IF(C262&lt;'PlayerGrades+'!$Y$40,"E",IF(C262&lt;'PlayerGrades+'!$Y$39,"E+",IF(C262&lt;'PlayerGrades+'!$Y$38,"D-",IF(C262&lt;'PlayerGrades+'!$Y$37,"D",IF(C262&lt;'PlayerGrades+'!$Y$36,"D+",IF(C262&lt;'PlayerGrades+'!$Y$35,"C-",IF(C262&lt;'PlayerGrades+'!$Y$34,"C",IF(C262&lt;'PlayerGrades+'!$Y$33,"C+",IF(C262&lt;'PlayerGrades+'!$Y$32,"B-",IF(C262&lt;'PlayerGrades+'!$Y$31,"B",IF(C262&lt;'PlayerGrades+'!$Y$30,"B+",IF(C262&lt;'PlayerGrades+'!$Y$29,"A-",IF(C262&lt;'PlayerGrades+'!$Y$28,"A",IF(C262&lt;'PlayerGrades+'!$Y$27,"A+",IF(C262&lt;'PlayerGrades+'!$Y$26,"S-",IF(C262&lt;'PlayerGrades+'!$Y$25,"S","S+"))))))))))))))))))))</f>
        <v>D</v>
      </c>
      <c r="C262" s="936">
        <f>('PlayerGrades+'!$Y$47*(VLOOKUP(E262, 'PlayerGrades+'!$X$3:$Y$23, 2, FALSE)))+('PlayerGrades+'!$Y$48*(VLOOKUP(G262, 'PlayerGrades+'!$X$3:$Y$23, 2, FALSE)))+('PlayerGrades+'!$Y$49*(VLOOKUP(I262, 'PlayerGrades+'!$X$3:$Y$23, 2, FALSE)))+('PlayerGrades+'!$Y$50*(VLOOKUP(K262, 'PlayerGrades+'!$X$3:$Y$23, 2, FALSE)))+('PlayerGrades+'!$Y$51*(VLOOKUP(M262, 'PlayerGrades+'!$X$3:$Y$23, 2, FALSE)))+('PlayerGrades+'!$Y$52*(VLOOKUP(O262, 'PlayerGrades+'!$X$3:$Y$23, 2, FALSE)))+('PlayerGrades+'!$Y$53*(VLOOKUP(Q262, 'PlayerGrades+'!$X$3:$Y$23, 2, FALSE)))+('PlayerGrades+'!$Y$54*(VLOOKUP(S262, 'PlayerGrades+'!$X$3:$Y$23, 2, FALSE)))+('PlayerGrades+'!$Y$55*(VLOOKUP(U262, 'PlayerGrades+'!$X$3:$Y$23, 2, FALSE)))</f>
        <v>16.05</v>
      </c>
      <c r="D262" s="937">
        <f t="shared" si="1"/>
        <v>0.5161290323</v>
      </c>
      <c r="E262" s="937" t="str">
        <f>IF(D262&lt;'PlayerGrades+'!$AA$21,"F-",IF(D262&lt;'PlayerGrades+'!$AA$20,"F",IF(D262&lt;'PlayerGrades+'!$AA$19,"F+",IF(D262&lt;'PlayerGrades+'!$AA$18,"E-",IF(D262&lt;'PlayerGrades+'!$AA$17,"E",IF(D262&lt;'PlayerGrades+'!$AA$16,"E+",IF(D262&lt;'PlayerGrades+'!$AA$15,"D-",IF(D262&lt;'PlayerGrades+'!$AA$14,"D",IF(D262&lt;'PlayerGrades+'!$AA$13,"D+",IF(D262&lt;'PlayerGrades+'!$AA$12,"C-",IF(D262&lt;'PlayerGrades+'!$AA$11,"C",IF(D262&lt;'PlayerGrades+'!$AA$10,"C+",IF(D262&lt;'PlayerGrades+'!$AA$9,"B-",IF(D262&lt;'PlayerGrades+'!$AA$8,"B",IF(D262&lt;'PlayerGrades+'!$AA$7,"B+",IF(D262&lt;'PlayerGrades+'!$AA$6,"A-",IF(D262&lt;'PlayerGrades+'!$AA$5,"A",IF(D262&lt;'PlayerGrades+'!$AA$4,"A+",IF(D262&lt;'PlayerGrades+'!$AA$3,"S-",IF(D262&lt;'PlayerGrades+'!$AA$2,"S","S+"))))))))))))))))))))</f>
        <v>A+</v>
      </c>
      <c r="F262" s="937">
        <f t="shared" si="2"/>
        <v>0</v>
      </c>
      <c r="G262" s="937" t="str">
        <f>IF(F262&lt;'PlayerGrades+'!$AB$21,"F-",IF(F262&lt;'PlayerGrades+'!$AB$20,"F",IF(F262&lt;'PlayerGrades+'!$AB$19,"F+",IF(F262&lt;'PlayerGrades+'!$AB$18,"E-",IF(F262&lt;'PlayerGrades+'!$AB$17,"E",IF(F262&lt;'PlayerGrades+'!$AB$16,"E+",IF(F262&lt;'PlayerGrades+'!$AB$15,"D-",IF(F262&lt;'PlayerGrades+'!$AB$14,"D",IF(F262&lt;'PlayerGrades+'!$AB$13,"D+",IF(F262&lt;'PlayerGrades+'!$AB$12,"C-",IF(F262&lt;'PlayerGrades+'!$AB$11,"C",IF(F262&lt;'PlayerGrades+'!$AB$10,"C+",IF(F262&lt;'PlayerGrades+'!$AB$9,"B-",IF(F262&lt;'PlayerGrades+'!$AB$8,"B",IF(F262&lt;'PlayerGrades+'!$AB$7,"B+",IF(F262&lt;'PlayerGrades+'!$AB$6,"A-",IF(F262&lt;'PlayerGrades+'!$AB$5,"A",IF(F262&lt;'PlayerGrades+'!$AB$4,"A+",IF(F262&lt;'PlayerGrades+'!$AB$3,"S-",IF(F262&lt;'PlayerGrades+'!$AB$2,"S","S+"))))))))))))))))))))</f>
        <v>B</v>
      </c>
      <c r="H262" s="937">
        <f t="shared" si="3"/>
        <v>0.03225806452</v>
      </c>
      <c r="I262" s="937" t="str">
        <f>IF(H262&lt;'PlayerGrades+'!$AC$21,"F-",IF(H262&lt;'PlayerGrades+'!$AC$20,"F",IF(H262&lt;'PlayerGrades+'!$AC$19,"F+",IF(H262&lt;'PlayerGrades+'!$AC$18,"E-",IF(H262&lt;'PlayerGrades+'!$AC$17,"E",IF(H262&lt;'PlayerGrades+'!$AC$16,"E+",IF(H262&lt;'PlayerGrades+'!$AC$15,"D-",IF(H262&lt;'PlayerGrades+'!$AC$14,"D",IF(H262&lt;'PlayerGrades+'!$AC$13,"D+",IF(H262&lt;'PlayerGrades+'!$AC$12,"C-",IF(H262&lt;'PlayerGrades+'!$AC$11,"C",IF(H262&lt;'PlayerGrades+'!$AC$10,"C+",IF(H262&lt;'PlayerGrades+'!$AC$9,"B-",IF(H262&lt;'PlayerGrades+'!$AC$8,"B",IF(H262&lt;'PlayerGrades+'!$AC$7,"B+",IF(H262&lt;'PlayerGrades+'!$AC$6,"A-",IF(H262&lt;'PlayerGrades+'!$AC$5,"A",IF(H262&lt;'PlayerGrades+'!$AC$4,"A+",IF(H262&lt;'PlayerGrades+'!$AC$3,"S-",IF(H262&lt;'PlayerGrades+'!$AC$2,"S","S+"))))))))))))))))))))</f>
        <v>F-</v>
      </c>
      <c r="J262" s="937">
        <f t="shared" si="4"/>
        <v>0.03225806452</v>
      </c>
      <c r="K262" s="937" t="str">
        <f>IF(J262&lt;'PlayerGrades+'!$AD$21,"F-",IF(J262&lt;'PlayerGrades+'!$AD$20,"F",IF(J262&lt;'PlayerGrades+'!$AD$19,"F+",IF(J262&lt;'PlayerGrades+'!$AD$18,"E-",IF(J262&lt;'PlayerGrades+'!$AD$17,"E",IF(J262&lt;'PlayerGrades+'!$AD$16,"E+",IF(J262&lt;'PlayerGrades+'!$AD$15,"D-",IF(J262&lt;'PlayerGrades+'!$AD$14,"D",IF(J262&lt;'PlayerGrades+'!$AD$13,"D+",IF(J262&lt;'PlayerGrades+'!$AD$12,"C-",IF(J262&lt;'PlayerGrades+'!$AD$11,"C",IF(J262&lt;'PlayerGrades+'!$AD$10,"C+",IF(J262&lt;'PlayerGrades+'!$AD$9,"B-",IF(J262&lt;'PlayerGrades+'!$AD$8,"B",IF(J262&lt;'PlayerGrades+'!$AD$7,"B+",IF(J262&lt;'PlayerGrades+'!$AD$6,"A-",IF(J262&lt;'PlayerGrades+'!$AD$5,"A",IF(J262&lt;'PlayerGrades+'!$AD$4,"A+",IF(J262&lt;'PlayerGrades+'!$AD$3,"S-",IF(J262&lt;'PlayerGrades+'!$AD$2,"S","S+"))))))))))))))))))))</f>
        <v>C</v>
      </c>
      <c r="L262" s="677">
        <f t="shared" si="5"/>
        <v>0.2258064516</v>
      </c>
      <c r="M262" s="938" t="str">
        <f>IF(L262&lt;'PlayerGrades+'!$AE$21,"F-",IF(L262&lt;'PlayerGrades+'!$AE$20,"F",IF(L262&lt;'PlayerGrades+'!$AE$19,"F+",IF(L262&lt;'PlayerGrades+'!$AE$18,"E-",IF(L262&lt;'PlayerGrades+'!$AE$17,"E",IF(L262&lt;'PlayerGrades+'!$AE$16,"E+",IF(L262&lt;'PlayerGrades+'!$AE$15,"D-",IF(L262&lt;'PlayerGrades+'!$AE$14,"D",IF(L262&lt;'PlayerGrades+'!$AE$13,"D+",IF(L262&lt;'PlayerGrades+'!$AE$12,"C-",IF(L262&lt;'PlayerGrades+'!$AE$11,"C",IF(L262&lt;'PlayerGrades+'!$AE$10,"C+",IF(L262&lt;'PlayerGrades+'!$AE$9,"B-",IF(L262&lt;'PlayerGrades+'!$AE$8,"B",IF(L262&lt;'PlayerGrades+'!$AE$7,"B+",IF(L262&lt;'PlayerGrades+'!$AE$6,"A-",IF(L262&lt;'PlayerGrades+'!$AE$5,"A",IF(L262&lt;'PlayerGrades+'!$AE$4,"A+",IF(L262&lt;'PlayerGrades+'!$AE$3,"S-",IF(L262&lt;'PlayerGrades+'!$AE$2,"S","S+"))))))))))))))))))))</f>
        <v>F</v>
      </c>
      <c r="N262" s="937">
        <f t="shared" si="6"/>
        <v>0.06451612903</v>
      </c>
      <c r="O262" s="937" t="str">
        <f>IF(N262&lt;'PlayerGrades+'!$AF$21,"F-",IF(N262&lt;'PlayerGrades+'!$AF$20,"F",IF(N262&lt;'PlayerGrades+'!$AF$19,"F+",IF(N262&lt;'PlayerGrades+'!$AF$18,"E-",IF(N262&lt;'PlayerGrades+'!$AF$17,"E",IF(N262&lt;'PlayerGrades+'!$AF$16,"E+",IF(N262&lt;'PlayerGrades+'!$AF$15,"D-",IF(N262&lt;'PlayerGrades+'!$AF$14,"D",IF(N262&lt;'PlayerGrades+'!$AF$13,"D+",IF(N262&lt;'PlayerGrades+'!$AF$12,"C-",IF(N262&lt;'PlayerGrades+'!$AF$11,"C",IF(N262&lt;'PlayerGrades+'!$AF$10,"C+",IF(N262&lt;'PlayerGrades+'!$AF$9,"B-",IF(N262&lt;'PlayerGrades+'!$AF$8,"B",IF(N262&lt;'PlayerGrades+'!$AF$7,"B+",IF(N262&lt;'PlayerGrades+'!$AF$6,"A-",IF(N262&lt;'PlayerGrades+'!$AF$5,"A",IF(N262&lt;'PlayerGrades+'!$AF$4,"A+",IF(N262&lt;'PlayerGrades+'!$AF$3,"S-",IF(N262&lt;'PlayerGrades+'!$AF$2,"S","S+"))))))))))))))))))))</f>
        <v>C-</v>
      </c>
      <c r="P262" s="937">
        <f t="shared" si="7"/>
        <v>0</v>
      </c>
      <c r="Q262" s="937" t="str">
        <f>IF(P262&lt;'PlayerGrades+'!$AG$21,"F-",IF(P262&lt;'PlayerGrades+'!$AG$20,"F",IF(P262&lt;'PlayerGrades+'!$AG$19,"F+",IF(P262&lt;'PlayerGrades+'!$AG$18,"E-",IF(P262&lt;'PlayerGrades+'!$AG$17,"E",IF(P262&lt;'PlayerGrades+'!$AG$16,"E+",IF(P262&lt;'PlayerGrades+'!$AG$15,"D-",IF(P262&lt;'PlayerGrades+'!$AG$14,"D",IF(P262&lt;'PlayerGrades+'!$AG$13,"D+",IF(P262&lt;'PlayerGrades+'!$AG$12,"C-",IF(P262&lt;'PlayerGrades+'!$AG$11,"C",IF(P262&lt;'PlayerGrades+'!$AG$10,"C+",IF(P262&lt;'PlayerGrades+'!$AG$9,"B-",IF(P262&lt;'PlayerGrades+'!$AG$8,"B",IF(P262&lt;'PlayerGrades+'!$AG$7,"B+",IF(P262&lt;'PlayerGrades+'!$AG$6,"A-",IF(P262&lt;'PlayerGrades+'!$AG$5,"A",IF(P262&lt;'PlayerGrades+'!$AG$4,"A+",IF(P262&lt;'PlayerGrades+'!$AG$3,"S-",IF(P262&lt;'PlayerGrades+'!$AG$2,"S","S+"))))))))))))))))))))</f>
        <v>F</v>
      </c>
      <c r="R262" s="937">
        <f t="shared" si="8"/>
        <v>0.2580645161</v>
      </c>
      <c r="S262" s="937" t="str">
        <f>IF(R262&lt;'PlayerGrades+'!$AH$21,"F-",IF(R262&lt;'PlayerGrades+'!$AH$20,"F",IF(R262&lt;'PlayerGrades+'!$AH$19,"F+",IF(R262&lt;'PlayerGrades+'!$AH$18,"E-",IF(R262&lt;'PlayerGrades+'!$AH$17,"E",IF(R262&lt;'PlayerGrades+'!$AH$16,"E+",IF(R262&lt;'PlayerGrades+'!$AH$15,"D-",IF(R262&lt;'PlayerGrades+'!$AH$14,"D",IF(R262&lt;'PlayerGrades+'!$AH$13,"D+",IF(R262&lt;'PlayerGrades+'!$AH$12,"C-",IF(R262&lt;'PlayerGrades+'!$AH$11,"C",IF(R262&lt;'PlayerGrades+'!$AH$10,"C+",IF(R262&lt;'PlayerGrades+'!$AH$9,"B-",IF(R262&lt;'PlayerGrades+'!$AH$8,"B",IF(R262&lt;'PlayerGrades+'!$AH$7,"B+",IF(R262&lt;'PlayerGrades+'!$AH$6,"A-",IF(R262&lt;'PlayerGrades+'!$AH$5,"A",IF(R262&lt;'PlayerGrades+'!$AH$4,"A+",IF(R262&lt;'PlayerGrades+'!$AH$3,"S-",IF(R262&lt;'PlayerGrades+'!$AH$2,"S","S+"))))))))))))))))))))</f>
        <v>F-</v>
      </c>
      <c r="T262" s="937">
        <f t="shared" si="9"/>
        <v>2.419354839</v>
      </c>
      <c r="U262" s="937" t="str">
        <f>IF(T262&lt;'PlayerGrades+'!$AI$21,"F-",IF(T262&lt;'PlayerGrades+'!$AI$20,"F",IF(T262&lt;'PlayerGrades+'!$AI$19,"F+",IF(T262&lt;'PlayerGrades+'!$AI$18,"E-",IF(T262&lt;'PlayerGrades+'!$AI$17,"E",IF(T262&lt;'PlayerGrades+'!$AI$16,"E+",IF(T262&lt;'PlayerGrades+'!$AI$15,"D-",IF(T262&lt;'PlayerGrades+'!$AI$14,"D",IF(T262&lt;'PlayerGrades+'!$AI$13,"D+",IF(T262&lt;'PlayerGrades+'!$AI$12,"C-",IF(T262&lt;'PlayerGrades+'!$AI$11,"C",IF(T262&lt;'PlayerGrades+'!$AI$10,"C+",IF(T262&lt;'PlayerGrades+'!$AI$9,"B-",IF(T262&lt;'PlayerGrades+'!$AI$8,"B",IF(T262&lt;'PlayerGrades+'!$AI$7,"B+",IF(T262&lt;'PlayerGrades+'!$AI$6,"A-",IF(T262&lt;'PlayerGrades+'!$AI$5,"A",IF(T262&lt;'PlayerGrades+'!$AI$4,"A+",IF(T262&lt;'PlayerGrades+'!$AI$3,"S-",IF(T262&lt;'PlayerGrades+'!$AI$2,"S","S+"))))))))))))))))))))</f>
        <v>S+</v>
      </c>
      <c r="V262" s="941">
        <v>1.0</v>
      </c>
      <c r="W262" s="941">
        <v>0.0</v>
      </c>
      <c r="X262" s="941">
        <v>1.0</v>
      </c>
      <c r="Y262" s="941">
        <v>2.0</v>
      </c>
      <c r="Z262" s="941">
        <v>14.0</v>
      </c>
      <c r="AA262" s="941">
        <v>74.0</v>
      </c>
      <c r="AB262" s="941">
        <v>74.0</v>
      </c>
      <c r="AC262" s="941">
        <v>0.0</v>
      </c>
      <c r="AD262" s="941">
        <v>3.0</v>
      </c>
      <c r="AE262" s="941">
        <v>5.0</v>
      </c>
      <c r="AF262" s="941">
        <v>1.0</v>
      </c>
      <c r="AG262" s="941">
        <v>1529.0</v>
      </c>
      <c r="AH262" s="941">
        <v>1860.0</v>
      </c>
      <c r="AI262" s="941">
        <v>20.0</v>
      </c>
      <c r="AJ262" s="941">
        <v>646.0</v>
      </c>
      <c r="AK262" s="941">
        <v>0.0</v>
      </c>
      <c r="AL262" s="941">
        <v>1.0</v>
      </c>
      <c r="AM262" s="941">
        <v>0.0</v>
      </c>
      <c r="AN262" s="941">
        <v>0.0</v>
      </c>
      <c r="AO262" s="941">
        <v>0.0</v>
      </c>
      <c r="AP262" s="941">
        <v>0.0</v>
      </c>
      <c r="AQ262" s="941">
        <v>0.0</v>
      </c>
      <c r="AR262" s="941">
        <v>7.0</v>
      </c>
      <c r="AS262" s="941">
        <v>2.0</v>
      </c>
      <c r="AT262" s="941">
        <v>0.0</v>
      </c>
      <c r="AU262" s="941">
        <v>0.0</v>
      </c>
      <c r="AV262" s="941">
        <v>0.0</v>
      </c>
      <c r="AW262" s="941">
        <v>0.0</v>
      </c>
      <c r="AX262" s="941">
        <v>0.0</v>
      </c>
      <c r="AY262" s="941">
        <v>0.0</v>
      </c>
      <c r="AZ262" s="941">
        <v>0.0</v>
      </c>
      <c r="BA262" s="941">
        <v>0.0</v>
      </c>
      <c r="BB262" s="941">
        <v>1.0</v>
      </c>
      <c r="BC262" s="941">
        <v>0.0</v>
      </c>
      <c r="BD262" s="941">
        <v>5.0</v>
      </c>
      <c r="BE262" s="941">
        <v>13.0</v>
      </c>
      <c r="BF262" s="941">
        <v>2.0</v>
      </c>
      <c r="BG262" s="942">
        <v>0.0</v>
      </c>
    </row>
    <row r="263">
      <c r="A263" s="935" t="s">
        <v>129</v>
      </c>
      <c r="B263" s="16" t="str">
        <f>IF(C263&lt;'PlayerGrades+'!$Y$44,"F-",IF(C263&lt;'PlayerGrades+'!$Y$43,"F",IF(C263&lt;'PlayerGrades+'!$Y$42,"F+",IF(C263&lt;'PlayerGrades+'!$Y$41,"E-",IF(C263&lt;'PlayerGrades+'!$Y$40,"E",IF(C263&lt;'PlayerGrades+'!$Y$39,"E+",IF(C263&lt;'PlayerGrades+'!$Y$38,"D-",IF(C263&lt;'PlayerGrades+'!$Y$37,"D",IF(C263&lt;'PlayerGrades+'!$Y$36,"D+",IF(C263&lt;'PlayerGrades+'!$Y$35,"C-",IF(C263&lt;'PlayerGrades+'!$Y$34,"C",IF(C263&lt;'PlayerGrades+'!$Y$33,"C+",IF(C263&lt;'PlayerGrades+'!$Y$32,"B-",IF(C263&lt;'PlayerGrades+'!$Y$31,"B",IF(C263&lt;'PlayerGrades+'!$Y$30,"B+",IF(C263&lt;'PlayerGrades+'!$Y$29,"A-",IF(C263&lt;'PlayerGrades+'!$Y$28,"A",IF(C263&lt;'PlayerGrades+'!$Y$27,"A+",IF(C263&lt;'PlayerGrades+'!$Y$26,"S-",IF(C263&lt;'PlayerGrades+'!$Y$25,"S","S+"))))))))))))))))))))</f>
        <v>A</v>
      </c>
      <c r="C263" s="936">
        <f>('PlayerGrades+'!$Y$47*(VLOOKUP(E263, 'PlayerGrades+'!$X$3:$Y$23, 2, FALSE)))+('PlayerGrades+'!$Y$48*(VLOOKUP(G263, 'PlayerGrades+'!$X$3:$Y$23, 2, FALSE)))+('PlayerGrades+'!$Y$49*(VLOOKUP(I263, 'PlayerGrades+'!$X$3:$Y$23, 2, FALSE)))+('PlayerGrades+'!$Y$50*(VLOOKUP(K263, 'PlayerGrades+'!$X$3:$Y$23, 2, FALSE)))+('PlayerGrades+'!$Y$51*(VLOOKUP(M263, 'PlayerGrades+'!$X$3:$Y$23, 2, FALSE)))+('PlayerGrades+'!$Y$52*(VLOOKUP(O263, 'PlayerGrades+'!$X$3:$Y$23, 2, FALSE)))+('PlayerGrades+'!$Y$53*(VLOOKUP(Q263, 'PlayerGrades+'!$X$3:$Y$23, 2, FALSE)))+('PlayerGrades+'!$Y$54*(VLOOKUP(S263, 'PlayerGrades+'!$X$3:$Y$23, 2, FALSE)))+('PlayerGrades+'!$Y$55*(VLOOKUP(U263, 'PlayerGrades+'!$X$3:$Y$23, 2, FALSE)))</f>
        <v>25.3</v>
      </c>
      <c r="D263" s="937">
        <f t="shared" si="1"/>
        <v>0.06451612903</v>
      </c>
      <c r="E263" s="937" t="str">
        <f>IF(D263&lt;'PlayerGrades+'!$AA$21,"F-",IF(D263&lt;'PlayerGrades+'!$AA$20,"F",IF(D263&lt;'PlayerGrades+'!$AA$19,"F+",IF(D263&lt;'PlayerGrades+'!$AA$18,"E-",IF(D263&lt;'PlayerGrades+'!$AA$17,"E",IF(D263&lt;'PlayerGrades+'!$AA$16,"E+",IF(D263&lt;'PlayerGrades+'!$AA$15,"D-",IF(D263&lt;'PlayerGrades+'!$AA$14,"D",IF(D263&lt;'PlayerGrades+'!$AA$13,"D+",IF(D263&lt;'PlayerGrades+'!$AA$12,"C-",IF(D263&lt;'PlayerGrades+'!$AA$11,"C",IF(D263&lt;'PlayerGrades+'!$AA$10,"C+",IF(D263&lt;'PlayerGrades+'!$AA$9,"B-",IF(D263&lt;'PlayerGrades+'!$AA$8,"B",IF(D263&lt;'PlayerGrades+'!$AA$7,"B+",IF(D263&lt;'PlayerGrades+'!$AA$6,"A-",IF(D263&lt;'PlayerGrades+'!$AA$5,"A",IF(D263&lt;'PlayerGrades+'!$AA$4,"A+",IF(D263&lt;'PlayerGrades+'!$AA$3,"S-",IF(D263&lt;'PlayerGrades+'!$AA$2,"S","S+"))))))))))))))))))))</f>
        <v>B-</v>
      </c>
      <c r="F263" s="937">
        <f t="shared" si="2"/>
        <v>0.09677419355</v>
      </c>
      <c r="G263" s="937" t="str">
        <f>IF(F263&lt;'PlayerGrades+'!$AB$21,"F-",IF(F263&lt;'PlayerGrades+'!$AB$20,"F",IF(F263&lt;'PlayerGrades+'!$AB$19,"F+",IF(F263&lt;'PlayerGrades+'!$AB$18,"E-",IF(F263&lt;'PlayerGrades+'!$AB$17,"E",IF(F263&lt;'PlayerGrades+'!$AB$16,"E+",IF(F263&lt;'PlayerGrades+'!$AB$15,"D-",IF(F263&lt;'PlayerGrades+'!$AB$14,"D",IF(F263&lt;'PlayerGrades+'!$AB$13,"D+",IF(F263&lt;'PlayerGrades+'!$AB$12,"C-",IF(F263&lt;'PlayerGrades+'!$AB$11,"C",IF(F263&lt;'PlayerGrades+'!$AB$10,"C+",IF(F263&lt;'PlayerGrades+'!$AB$9,"B-",IF(F263&lt;'PlayerGrades+'!$AB$8,"B",IF(F263&lt;'PlayerGrades+'!$AB$7,"B+",IF(F263&lt;'PlayerGrades+'!$AB$6,"A-",IF(F263&lt;'PlayerGrades+'!$AB$5,"A",IF(F263&lt;'PlayerGrades+'!$AB$4,"A+",IF(F263&lt;'PlayerGrades+'!$AB$3,"S-",IF(F263&lt;'PlayerGrades+'!$AB$2,"S","S+"))))))))))))))))))))</f>
        <v>B</v>
      </c>
      <c r="H263" s="937">
        <f t="shared" si="3"/>
        <v>0.03225806452</v>
      </c>
      <c r="I263" s="937" t="str">
        <f>IF(H263&lt;'PlayerGrades+'!$AC$21,"F-",IF(H263&lt;'PlayerGrades+'!$AC$20,"F",IF(H263&lt;'PlayerGrades+'!$AC$19,"F+",IF(H263&lt;'PlayerGrades+'!$AC$18,"E-",IF(H263&lt;'PlayerGrades+'!$AC$17,"E",IF(H263&lt;'PlayerGrades+'!$AC$16,"E+",IF(H263&lt;'PlayerGrades+'!$AC$15,"D-",IF(H263&lt;'PlayerGrades+'!$AC$14,"D",IF(H263&lt;'PlayerGrades+'!$AC$13,"D+",IF(H263&lt;'PlayerGrades+'!$AC$12,"C-",IF(H263&lt;'PlayerGrades+'!$AC$11,"C",IF(H263&lt;'PlayerGrades+'!$AC$10,"C+",IF(H263&lt;'PlayerGrades+'!$AC$9,"B-",IF(H263&lt;'PlayerGrades+'!$AC$8,"B",IF(H263&lt;'PlayerGrades+'!$AC$7,"B+",IF(H263&lt;'PlayerGrades+'!$AC$6,"A-",IF(H263&lt;'PlayerGrades+'!$AC$5,"A",IF(H263&lt;'PlayerGrades+'!$AC$4,"A+",IF(H263&lt;'PlayerGrades+'!$AC$3,"S-",IF(H263&lt;'PlayerGrades+'!$AC$2,"S","S+"))))))))))))))))))))</f>
        <v>F-</v>
      </c>
      <c r="J263" s="937">
        <f t="shared" si="4"/>
        <v>0.06451612903</v>
      </c>
      <c r="K263" s="937" t="str">
        <f>IF(J263&lt;'PlayerGrades+'!$AD$21,"F-",IF(J263&lt;'PlayerGrades+'!$AD$20,"F",IF(J263&lt;'PlayerGrades+'!$AD$19,"F+",IF(J263&lt;'PlayerGrades+'!$AD$18,"E-",IF(J263&lt;'PlayerGrades+'!$AD$17,"E",IF(J263&lt;'PlayerGrades+'!$AD$16,"E+",IF(J263&lt;'PlayerGrades+'!$AD$15,"D-",IF(J263&lt;'PlayerGrades+'!$AD$14,"D",IF(J263&lt;'PlayerGrades+'!$AD$13,"D+",IF(J263&lt;'PlayerGrades+'!$AD$12,"C-",IF(J263&lt;'PlayerGrades+'!$AD$11,"C",IF(J263&lt;'PlayerGrades+'!$AD$10,"C+",IF(J263&lt;'PlayerGrades+'!$AD$9,"B-",IF(J263&lt;'PlayerGrades+'!$AD$8,"B",IF(J263&lt;'PlayerGrades+'!$AD$7,"B+",IF(J263&lt;'PlayerGrades+'!$AD$6,"A-",IF(J263&lt;'PlayerGrades+'!$AD$5,"A",IF(J263&lt;'PlayerGrades+'!$AD$4,"A+",IF(J263&lt;'PlayerGrades+'!$AD$3,"S-",IF(J263&lt;'PlayerGrades+'!$AD$2,"S","S+"))))))))))))))))))))</f>
        <v>A-</v>
      </c>
      <c r="L263" s="677">
        <f t="shared" si="5"/>
        <v>0.4838709677</v>
      </c>
      <c r="M263" s="938" t="str">
        <f>IF(L263&lt;'PlayerGrades+'!$AE$21,"F-",IF(L263&lt;'PlayerGrades+'!$AE$20,"F",IF(L263&lt;'PlayerGrades+'!$AE$19,"F+",IF(L263&lt;'PlayerGrades+'!$AE$18,"E-",IF(L263&lt;'PlayerGrades+'!$AE$17,"E",IF(L263&lt;'PlayerGrades+'!$AE$16,"E+",IF(L263&lt;'PlayerGrades+'!$AE$15,"D-",IF(L263&lt;'PlayerGrades+'!$AE$14,"D",IF(L263&lt;'PlayerGrades+'!$AE$13,"D+",IF(L263&lt;'PlayerGrades+'!$AE$12,"C-",IF(L263&lt;'PlayerGrades+'!$AE$11,"C",IF(L263&lt;'PlayerGrades+'!$AE$10,"C+",IF(L263&lt;'PlayerGrades+'!$AE$9,"B-",IF(L263&lt;'PlayerGrades+'!$AE$8,"B",IF(L263&lt;'PlayerGrades+'!$AE$7,"B+",IF(L263&lt;'PlayerGrades+'!$AE$6,"A-",IF(L263&lt;'PlayerGrades+'!$AE$5,"A",IF(L263&lt;'PlayerGrades+'!$AE$4,"A+",IF(L263&lt;'PlayerGrades+'!$AE$3,"S-",IF(L263&lt;'PlayerGrades+'!$AE$2,"S","S+"))))))))))))))))))))</f>
        <v>B+</v>
      </c>
      <c r="N263" s="937">
        <f t="shared" si="6"/>
        <v>0.1935483871</v>
      </c>
      <c r="O263" s="937" t="str">
        <f>IF(N263&lt;'PlayerGrades+'!$AF$21,"F-",IF(N263&lt;'PlayerGrades+'!$AF$20,"F",IF(N263&lt;'PlayerGrades+'!$AF$19,"F+",IF(N263&lt;'PlayerGrades+'!$AF$18,"E-",IF(N263&lt;'PlayerGrades+'!$AF$17,"E",IF(N263&lt;'PlayerGrades+'!$AF$16,"E+",IF(N263&lt;'PlayerGrades+'!$AF$15,"D-",IF(N263&lt;'PlayerGrades+'!$AF$14,"D",IF(N263&lt;'PlayerGrades+'!$AF$13,"D+",IF(N263&lt;'PlayerGrades+'!$AF$12,"C-",IF(N263&lt;'PlayerGrades+'!$AF$11,"C",IF(N263&lt;'PlayerGrades+'!$AF$10,"C+",IF(N263&lt;'PlayerGrades+'!$AF$9,"B-",IF(N263&lt;'PlayerGrades+'!$AF$8,"B",IF(N263&lt;'PlayerGrades+'!$AF$7,"B+",IF(N263&lt;'PlayerGrades+'!$AF$6,"A-",IF(N263&lt;'PlayerGrades+'!$AF$5,"A",IF(N263&lt;'PlayerGrades+'!$AF$4,"A+",IF(N263&lt;'PlayerGrades+'!$AF$3,"S-",IF(N263&lt;'PlayerGrades+'!$AF$2,"S","S+"))))))))))))))))))))</f>
        <v>S+</v>
      </c>
      <c r="P263" s="937">
        <f t="shared" si="7"/>
        <v>0.06451612903</v>
      </c>
      <c r="Q263" s="937" t="str">
        <f>IF(P263&lt;'PlayerGrades+'!$AG$21,"F-",IF(P263&lt;'PlayerGrades+'!$AG$20,"F",IF(P263&lt;'PlayerGrades+'!$AG$19,"F+",IF(P263&lt;'PlayerGrades+'!$AG$18,"E-",IF(P263&lt;'PlayerGrades+'!$AG$17,"E",IF(P263&lt;'PlayerGrades+'!$AG$16,"E+",IF(P263&lt;'PlayerGrades+'!$AG$15,"D-",IF(P263&lt;'PlayerGrades+'!$AG$14,"D",IF(P263&lt;'PlayerGrades+'!$AG$13,"D+",IF(P263&lt;'PlayerGrades+'!$AG$12,"C-",IF(P263&lt;'PlayerGrades+'!$AG$11,"C",IF(P263&lt;'PlayerGrades+'!$AG$10,"C+",IF(P263&lt;'PlayerGrades+'!$AG$9,"B-",IF(P263&lt;'PlayerGrades+'!$AG$8,"B",IF(P263&lt;'PlayerGrades+'!$AG$7,"B+",IF(P263&lt;'PlayerGrades+'!$AG$6,"A-",IF(P263&lt;'PlayerGrades+'!$AG$5,"A",IF(P263&lt;'PlayerGrades+'!$AG$4,"A+",IF(P263&lt;'PlayerGrades+'!$AG$3,"S-",IF(P263&lt;'PlayerGrades+'!$AG$2,"S","S+"))))))))))))))))))))</f>
        <v>A+</v>
      </c>
      <c r="R263" s="937">
        <f t="shared" si="8"/>
        <v>0.6451612903</v>
      </c>
      <c r="S263" s="937" t="str">
        <f>IF(R263&lt;'PlayerGrades+'!$AH$21,"F-",IF(R263&lt;'PlayerGrades+'!$AH$20,"F",IF(R263&lt;'PlayerGrades+'!$AH$19,"F+",IF(R263&lt;'PlayerGrades+'!$AH$18,"E-",IF(R263&lt;'PlayerGrades+'!$AH$17,"E",IF(R263&lt;'PlayerGrades+'!$AH$16,"E+",IF(R263&lt;'PlayerGrades+'!$AH$15,"D-",IF(R263&lt;'PlayerGrades+'!$AH$14,"D",IF(R263&lt;'PlayerGrades+'!$AH$13,"D+",IF(R263&lt;'PlayerGrades+'!$AH$12,"C-",IF(R263&lt;'PlayerGrades+'!$AH$11,"C",IF(R263&lt;'PlayerGrades+'!$AH$10,"C+",IF(R263&lt;'PlayerGrades+'!$AH$9,"B-",IF(R263&lt;'PlayerGrades+'!$AH$8,"B",IF(R263&lt;'PlayerGrades+'!$AH$7,"B+",IF(R263&lt;'PlayerGrades+'!$AH$6,"A-",IF(R263&lt;'PlayerGrades+'!$AH$5,"A",IF(R263&lt;'PlayerGrades+'!$AH$4,"A+",IF(R263&lt;'PlayerGrades+'!$AH$3,"S-",IF(R263&lt;'PlayerGrades+'!$AH$2,"S","S+"))))))))))))))))))))</f>
        <v>A+</v>
      </c>
      <c r="T263" s="937">
        <f t="shared" si="9"/>
        <v>0.6129032258</v>
      </c>
      <c r="U263" s="937" t="str">
        <f>IF(T263&lt;'PlayerGrades+'!$AI$21,"F-",IF(T263&lt;'PlayerGrades+'!$AI$20,"F",IF(T263&lt;'PlayerGrades+'!$AI$19,"F+",IF(T263&lt;'PlayerGrades+'!$AI$18,"E-",IF(T263&lt;'PlayerGrades+'!$AI$17,"E",IF(T263&lt;'PlayerGrades+'!$AI$16,"E+",IF(T263&lt;'PlayerGrades+'!$AI$15,"D-",IF(T263&lt;'PlayerGrades+'!$AI$14,"D",IF(T263&lt;'PlayerGrades+'!$AI$13,"D+",IF(T263&lt;'PlayerGrades+'!$AI$12,"C-",IF(T263&lt;'PlayerGrades+'!$AI$11,"C",IF(T263&lt;'PlayerGrades+'!$AI$10,"C+",IF(T263&lt;'PlayerGrades+'!$AI$9,"B-",IF(T263&lt;'PlayerGrades+'!$AI$8,"B",IF(T263&lt;'PlayerGrades+'!$AI$7,"B+",IF(T263&lt;'PlayerGrades+'!$AI$6,"A-",IF(T263&lt;'PlayerGrades+'!$AI$5,"A",IF(T263&lt;'PlayerGrades+'!$AI$4,"A+",IF(T263&lt;'PlayerGrades+'!$AI$3,"S-",IF(T263&lt;'PlayerGrades+'!$AI$2,"S","S+"))))))))))))))))))))</f>
        <v>F-</v>
      </c>
      <c r="V263" s="941">
        <v>1.0</v>
      </c>
      <c r="W263" s="941">
        <v>0.0</v>
      </c>
      <c r="X263" s="941">
        <v>1.0</v>
      </c>
      <c r="Y263" s="941">
        <v>1.0</v>
      </c>
      <c r="Z263" s="941">
        <v>1.0</v>
      </c>
      <c r="AA263" s="941">
        <v>106.0</v>
      </c>
      <c r="AB263" s="941">
        <v>103.0</v>
      </c>
      <c r="AC263" s="941">
        <v>3.0</v>
      </c>
      <c r="AD263" s="941">
        <v>8.0</v>
      </c>
      <c r="AE263" s="941">
        <v>5.0</v>
      </c>
      <c r="AF263" s="941">
        <v>1.0</v>
      </c>
      <c r="AG263" s="941">
        <v>1443.0</v>
      </c>
      <c r="AH263" s="941">
        <v>1860.0</v>
      </c>
      <c r="AI263" s="941">
        <v>14.0</v>
      </c>
      <c r="AJ263" s="941">
        <v>14.0</v>
      </c>
      <c r="AK263" s="941">
        <v>0.0</v>
      </c>
      <c r="AL263" s="941">
        <v>2.0</v>
      </c>
      <c r="AM263" s="941">
        <v>0.0</v>
      </c>
      <c r="AN263" s="941">
        <v>0.0</v>
      </c>
      <c r="AO263" s="941">
        <v>0.0</v>
      </c>
      <c r="AP263" s="941">
        <v>2.0</v>
      </c>
      <c r="AQ263" s="941">
        <v>0.0</v>
      </c>
      <c r="AR263" s="941">
        <v>15.0</v>
      </c>
      <c r="AS263" s="941">
        <v>6.0</v>
      </c>
      <c r="AT263" s="941">
        <v>2.0</v>
      </c>
      <c r="AU263" s="941">
        <v>0.0</v>
      </c>
      <c r="AV263" s="941">
        <v>0.0</v>
      </c>
      <c r="AW263" s="941">
        <v>0.0</v>
      </c>
      <c r="AX263" s="941">
        <v>0.0</v>
      </c>
      <c r="AY263" s="941">
        <v>0.0</v>
      </c>
      <c r="AZ263" s="941">
        <v>0.0</v>
      </c>
      <c r="BA263" s="941">
        <v>0.0</v>
      </c>
      <c r="BB263" s="941">
        <v>1.0</v>
      </c>
      <c r="BC263" s="941">
        <v>0.0</v>
      </c>
      <c r="BD263" s="941">
        <v>12.0</v>
      </c>
      <c r="BE263" s="941">
        <v>19.0</v>
      </c>
      <c r="BF263" s="941">
        <v>0.0</v>
      </c>
      <c r="BG263" s="942">
        <v>0.0</v>
      </c>
    </row>
    <row r="264">
      <c r="A264" s="935" t="s">
        <v>151</v>
      </c>
      <c r="B264" s="16" t="str">
        <f>IF(C264&lt;'PlayerGrades+'!$Y$44,"F-",IF(C264&lt;'PlayerGrades+'!$Y$43,"F",IF(C264&lt;'PlayerGrades+'!$Y$42,"F+",IF(C264&lt;'PlayerGrades+'!$Y$41,"E-",IF(C264&lt;'PlayerGrades+'!$Y$40,"E",IF(C264&lt;'PlayerGrades+'!$Y$39,"E+",IF(C264&lt;'PlayerGrades+'!$Y$38,"D-",IF(C264&lt;'PlayerGrades+'!$Y$37,"D",IF(C264&lt;'PlayerGrades+'!$Y$36,"D+",IF(C264&lt;'PlayerGrades+'!$Y$35,"C-",IF(C264&lt;'PlayerGrades+'!$Y$34,"C",IF(C264&lt;'PlayerGrades+'!$Y$33,"C+",IF(C264&lt;'PlayerGrades+'!$Y$32,"B-",IF(C264&lt;'PlayerGrades+'!$Y$31,"B",IF(C264&lt;'PlayerGrades+'!$Y$30,"B+",IF(C264&lt;'PlayerGrades+'!$Y$29,"A-",IF(C264&lt;'PlayerGrades+'!$Y$28,"A",IF(C264&lt;'PlayerGrades+'!$Y$27,"A+",IF(C264&lt;'PlayerGrades+'!$Y$26,"S-",IF(C264&lt;'PlayerGrades+'!$Y$25,"S","S+"))))))))))))))))))))</f>
        <v>E-</v>
      </c>
      <c r="C264" s="936">
        <f>('PlayerGrades+'!$Y$47*(VLOOKUP(E264, 'PlayerGrades+'!$X$3:$Y$23, 2, FALSE)))+('PlayerGrades+'!$Y$48*(VLOOKUP(G264, 'PlayerGrades+'!$X$3:$Y$23, 2, FALSE)))+('PlayerGrades+'!$Y$49*(VLOOKUP(I264, 'PlayerGrades+'!$X$3:$Y$23, 2, FALSE)))+('PlayerGrades+'!$Y$50*(VLOOKUP(K264, 'PlayerGrades+'!$X$3:$Y$23, 2, FALSE)))+('PlayerGrades+'!$Y$51*(VLOOKUP(M264, 'PlayerGrades+'!$X$3:$Y$23, 2, FALSE)))+('PlayerGrades+'!$Y$52*(VLOOKUP(O264, 'PlayerGrades+'!$X$3:$Y$23, 2, FALSE)))+('PlayerGrades+'!$Y$53*(VLOOKUP(Q264, 'PlayerGrades+'!$X$3:$Y$23, 2, FALSE)))+('PlayerGrades+'!$Y$54*(VLOOKUP(S264, 'PlayerGrades+'!$X$3:$Y$23, 2, FALSE)))+('PlayerGrades+'!$Y$55*(VLOOKUP(U264, 'PlayerGrades+'!$X$3:$Y$23, 2, FALSE)))</f>
        <v>11.8</v>
      </c>
      <c r="D264" s="937">
        <f t="shared" si="1"/>
        <v>0.03225806452</v>
      </c>
      <c r="E264" s="937" t="str">
        <f>IF(D264&lt;'PlayerGrades+'!$AA$21,"F-",IF(D264&lt;'PlayerGrades+'!$AA$20,"F",IF(D264&lt;'PlayerGrades+'!$AA$19,"F+",IF(D264&lt;'PlayerGrades+'!$AA$18,"E-",IF(D264&lt;'PlayerGrades+'!$AA$17,"E",IF(D264&lt;'PlayerGrades+'!$AA$16,"E+",IF(D264&lt;'PlayerGrades+'!$AA$15,"D-",IF(D264&lt;'PlayerGrades+'!$AA$14,"D",IF(D264&lt;'PlayerGrades+'!$AA$13,"D+",IF(D264&lt;'PlayerGrades+'!$AA$12,"C-",IF(D264&lt;'PlayerGrades+'!$AA$11,"C",IF(D264&lt;'PlayerGrades+'!$AA$10,"C+",IF(D264&lt;'PlayerGrades+'!$AA$9,"B-",IF(D264&lt;'PlayerGrades+'!$AA$8,"B",IF(D264&lt;'PlayerGrades+'!$AA$7,"B+",IF(D264&lt;'PlayerGrades+'!$AA$6,"A-",IF(D264&lt;'PlayerGrades+'!$AA$5,"A",IF(D264&lt;'PlayerGrades+'!$AA$4,"A+",IF(D264&lt;'PlayerGrades+'!$AA$3,"S-",IF(D264&lt;'PlayerGrades+'!$AA$2,"S","S+"))))))))))))))))))))</f>
        <v>D+</v>
      </c>
      <c r="F264" s="937">
        <f t="shared" si="2"/>
        <v>-0.7096774194</v>
      </c>
      <c r="G264" s="937" t="str">
        <f>IF(F264&lt;'PlayerGrades+'!$AB$21,"F-",IF(F264&lt;'PlayerGrades+'!$AB$20,"F",IF(F264&lt;'PlayerGrades+'!$AB$19,"F+",IF(F264&lt;'PlayerGrades+'!$AB$18,"E-",IF(F264&lt;'PlayerGrades+'!$AB$17,"E",IF(F264&lt;'PlayerGrades+'!$AB$16,"E+",IF(F264&lt;'PlayerGrades+'!$AB$15,"D-",IF(F264&lt;'PlayerGrades+'!$AB$14,"D",IF(F264&lt;'PlayerGrades+'!$AB$13,"D+",IF(F264&lt;'PlayerGrades+'!$AB$12,"C-",IF(F264&lt;'PlayerGrades+'!$AB$11,"C",IF(F264&lt;'PlayerGrades+'!$AB$10,"C+",IF(F264&lt;'PlayerGrades+'!$AB$9,"B-",IF(F264&lt;'PlayerGrades+'!$AB$8,"B",IF(F264&lt;'PlayerGrades+'!$AB$7,"B+",IF(F264&lt;'PlayerGrades+'!$AB$6,"A-",IF(F264&lt;'PlayerGrades+'!$AB$5,"A",IF(F264&lt;'PlayerGrades+'!$AB$4,"A+",IF(F264&lt;'PlayerGrades+'!$AB$3,"S-",IF(F264&lt;'PlayerGrades+'!$AB$2,"S","S+"))))))))))))))))))))</f>
        <v>E+</v>
      </c>
      <c r="H264" s="937">
        <f t="shared" si="3"/>
        <v>0.03225806452</v>
      </c>
      <c r="I264" s="937" t="str">
        <f>IF(H264&lt;'PlayerGrades+'!$AC$21,"F-",IF(H264&lt;'PlayerGrades+'!$AC$20,"F",IF(H264&lt;'PlayerGrades+'!$AC$19,"F+",IF(H264&lt;'PlayerGrades+'!$AC$18,"E-",IF(H264&lt;'PlayerGrades+'!$AC$17,"E",IF(H264&lt;'PlayerGrades+'!$AC$16,"E+",IF(H264&lt;'PlayerGrades+'!$AC$15,"D-",IF(H264&lt;'PlayerGrades+'!$AC$14,"D",IF(H264&lt;'PlayerGrades+'!$AC$13,"D+",IF(H264&lt;'PlayerGrades+'!$AC$12,"C-",IF(H264&lt;'PlayerGrades+'!$AC$11,"C",IF(H264&lt;'PlayerGrades+'!$AC$10,"C+",IF(H264&lt;'PlayerGrades+'!$AC$9,"B-",IF(H264&lt;'PlayerGrades+'!$AC$8,"B",IF(H264&lt;'PlayerGrades+'!$AC$7,"B+",IF(H264&lt;'PlayerGrades+'!$AC$6,"A-",IF(H264&lt;'PlayerGrades+'!$AC$5,"A",IF(H264&lt;'PlayerGrades+'!$AC$4,"A+",IF(H264&lt;'PlayerGrades+'!$AC$3,"S-",IF(H264&lt;'PlayerGrades+'!$AC$2,"S","S+"))))))))))))))))))))</f>
        <v>F-</v>
      </c>
      <c r="J264" s="937">
        <f t="shared" si="4"/>
        <v>0.03225806452</v>
      </c>
      <c r="K264" s="937" t="str">
        <f>IF(J264&lt;'PlayerGrades+'!$AD$21,"F-",IF(J264&lt;'PlayerGrades+'!$AD$20,"F",IF(J264&lt;'PlayerGrades+'!$AD$19,"F+",IF(J264&lt;'PlayerGrades+'!$AD$18,"E-",IF(J264&lt;'PlayerGrades+'!$AD$17,"E",IF(J264&lt;'PlayerGrades+'!$AD$16,"E+",IF(J264&lt;'PlayerGrades+'!$AD$15,"D-",IF(J264&lt;'PlayerGrades+'!$AD$14,"D",IF(J264&lt;'PlayerGrades+'!$AD$13,"D+",IF(J264&lt;'PlayerGrades+'!$AD$12,"C-",IF(J264&lt;'PlayerGrades+'!$AD$11,"C",IF(J264&lt;'PlayerGrades+'!$AD$10,"C+",IF(J264&lt;'PlayerGrades+'!$AD$9,"B-",IF(J264&lt;'PlayerGrades+'!$AD$8,"B",IF(J264&lt;'PlayerGrades+'!$AD$7,"B+",IF(J264&lt;'PlayerGrades+'!$AD$6,"A-",IF(J264&lt;'PlayerGrades+'!$AD$5,"A",IF(J264&lt;'PlayerGrades+'!$AD$4,"A+",IF(J264&lt;'PlayerGrades+'!$AD$3,"S-",IF(J264&lt;'PlayerGrades+'!$AD$2,"S","S+"))))))))))))))))))))</f>
        <v>C</v>
      </c>
      <c r="L264" s="677">
        <f t="shared" si="5"/>
        <v>0.2580645161</v>
      </c>
      <c r="M264" s="938" t="str">
        <f>IF(L264&lt;'PlayerGrades+'!$AE$21,"F-",IF(L264&lt;'PlayerGrades+'!$AE$20,"F",IF(L264&lt;'PlayerGrades+'!$AE$19,"F+",IF(L264&lt;'PlayerGrades+'!$AE$18,"E-",IF(L264&lt;'PlayerGrades+'!$AE$17,"E",IF(L264&lt;'PlayerGrades+'!$AE$16,"E+",IF(L264&lt;'PlayerGrades+'!$AE$15,"D-",IF(L264&lt;'PlayerGrades+'!$AE$14,"D",IF(L264&lt;'PlayerGrades+'!$AE$13,"D+",IF(L264&lt;'PlayerGrades+'!$AE$12,"C-",IF(L264&lt;'PlayerGrades+'!$AE$11,"C",IF(L264&lt;'PlayerGrades+'!$AE$10,"C+",IF(L264&lt;'PlayerGrades+'!$AE$9,"B-",IF(L264&lt;'PlayerGrades+'!$AE$8,"B",IF(L264&lt;'PlayerGrades+'!$AE$7,"B+",IF(L264&lt;'PlayerGrades+'!$AE$6,"A-",IF(L264&lt;'PlayerGrades+'!$AE$5,"A",IF(L264&lt;'PlayerGrades+'!$AE$4,"A+",IF(L264&lt;'PlayerGrades+'!$AE$3,"S-",IF(L264&lt;'PlayerGrades+'!$AE$2,"S","S+"))))))))))))))))))))</f>
        <v>F</v>
      </c>
      <c r="N264" s="937">
        <f t="shared" si="6"/>
        <v>0.06451612903</v>
      </c>
      <c r="O264" s="937" t="str">
        <f>IF(N264&lt;'PlayerGrades+'!$AF$21,"F-",IF(N264&lt;'PlayerGrades+'!$AF$20,"F",IF(N264&lt;'PlayerGrades+'!$AF$19,"F+",IF(N264&lt;'PlayerGrades+'!$AF$18,"E-",IF(N264&lt;'PlayerGrades+'!$AF$17,"E",IF(N264&lt;'PlayerGrades+'!$AF$16,"E+",IF(N264&lt;'PlayerGrades+'!$AF$15,"D-",IF(N264&lt;'PlayerGrades+'!$AF$14,"D",IF(N264&lt;'PlayerGrades+'!$AF$13,"D+",IF(N264&lt;'PlayerGrades+'!$AF$12,"C-",IF(N264&lt;'PlayerGrades+'!$AF$11,"C",IF(N264&lt;'PlayerGrades+'!$AF$10,"C+",IF(N264&lt;'PlayerGrades+'!$AF$9,"B-",IF(N264&lt;'PlayerGrades+'!$AF$8,"B",IF(N264&lt;'PlayerGrades+'!$AF$7,"B+",IF(N264&lt;'PlayerGrades+'!$AF$6,"A-",IF(N264&lt;'PlayerGrades+'!$AF$5,"A",IF(N264&lt;'PlayerGrades+'!$AF$4,"A+",IF(N264&lt;'PlayerGrades+'!$AF$3,"S-",IF(N264&lt;'PlayerGrades+'!$AF$2,"S","S+"))))))))))))))))))))</f>
        <v>C-</v>
      </c>
      <c r="P264" s="937">
        <f t="shared" si="7"/>
        <v>0.03225806452</v>
      </c>
      <c r="Q264" s="937" t="str">
        <f>IF(P264&lt;'PlayerGrades+'!$AG$21,"F-",IF(P264&lt;'PlayerGrades+'!$AG$20,"F",IF(P264&lt;'PlayerGrades+'!$AG$19,"F+",IF(P264&lt;'PlayerGrades+'!$AG$18,"E-",IF(P264&lt;'PlayerGrades+'!$AG$17,"E",IF(P264&lt;'PlayerGrades+'!$AG$16,"E+",IF(P264&lt;'PlayerGrades+'!$AG$15,"D-",IF(P264&lt;'PlayerGrades+'!$AG$14,"D",IF(P264&lt;'PlayerGrades+'!$AG$13,"D+",IF(P264&lt;'PlayerGrades+'!$AG$12,"C-",IF(P264&lt;'PlayerGrades+'!$AG$11,"C",IF(P264&lt;'PlayerGrades+'!$AG$10,"C+",IF(P264&lt;'PlayerGrades+'!$AG$9,"B-",IF(P264&lt;'PlayerGrades+'!$AG$8,"B",IF(P264&lt;'PlayerGrades+'!$AG$7,"B+",IF(P264&lt;'PlayerGrades+'!$AG$6,"A-",IF(P264&lt;'PlayerGrades+'!$AG$5,"A",IF(P264&lt;'PlayerGrades+'!$AG$4,"A+",IF(P264&lt;'PlayerGrades+'!$AG$3,"S-",IF(P264&lt;'PlayerGrades+'!$AG$2,"S","S+"))))))))))))))))))))</f>
        <v>B+</v>
      </c>
      <c r="R264" s="937">
        <f t="shared" si="8"/>
        <v>0.3225806452</v>
      </c>
      <c r="S264" s="937" t="str">
        <f>IF(R264&lt;'PlayerGrades+'!$AH$21,"F-",IF(R264&lt;'PlayerGrades+'!$AH$20,"F",IF(R264&lt;'PlayerGrades+'!$AH$19,"F+",IF(R264&lt;'PlayerGrades+'!$AH$18,"E-",IF(R264&lt;'PlayerGrades+'!$AH$17,"E",IF(R264&lt;'PlayerGrades+'!$AH$16,"E+",IF(R264&lt;'PlayerGrades+'!$AH$15,"D-",IF(R264&lt;'PlayerGrades+'!$AH$14,"D",IF(R264&lt;'PlayerGrades+'!$AH$13,"D+",IF(R264&lt;'PlayerGrades+'!$AH$12,"C-",IF(R264&lt;'PlayerGrades+'!$AH$11,"C",IF(R264&lt;'PlayerGrades+'!$AH$10,"C+",IF(R264&lt;'PlayerGrades+'!$AH$9,"B-",IF(R264&lt;'PlayerGrades+'!$AH$8,"B",IF(R264&lt;'PlayerGrades+'!$AH$7,"B+",IF(R264&lt;'PlayerGrades+'!$AH$6,"A-",IF(R264&lt;'PlayerGrades+'!$AH$5,"A",IF(R264&lt;'PlayerGrades+'!$AH$4,"A+",IF(R264&lt;'PlayerGrades+'!$AH$3,"S-",IF(R264&lt;'PlayerGrades+'!$AH$2,"S","S+"))))))))))))))))))))</f>
        <v>F</v>
      </c>
      <c r="T264" s="937">
        <f t="shared" si="9"/>
        <v>0.2258064516</v>
      </c>
      <c r="U264" s="937" t="str">
        <f>IF(T264&lt;'PlayerGrades+'!$AI$21,"F-",IF(T264&lt;'PlayerGrades+'!$AI$20,"F",IF(T264&lt;'PlayerGrades+'!$AI$19,"F+",IF(T264&lt;'PlayerGrades+'!$AI$18,"E-",IF(T264&lt;'PlayerGrades+'!$AI$17,"E",IF(T264&lt;'PlayerGrades+'!$AI$16,"E+",IF(T264&lt;'PlayerGrades+'!$AI$15,"D-",IF(T264&lt;'PlayerGrades+'!$AI$14,"D",IF(T264&lt;'PlayerGrades+'!$AI$13,"D+",IF(T264&lt;'PlayerGrades+'!$AI$12,"C-",IF(T264&lt;'PlayerGrades+'!$AI$11,"C",IF(T264&lt;'PlayerGrades+'!$AI$10,"C+",IF(T264&lt;'PlayerGrades+'!$AI$9,"B-",IF(T264&lt;'PlayerGrades+'!$AI$8,"B",IF(T264&lt;'PlayerGrades+'!$AI$7,"B+",IF(T264&lt;'PlayerGrades+'!$AI$6,"A-",IF(T264&lt;'PlayerGrades+'!$AI$5,"A",IF(T264&lt;'PlayerGrades+'!$AI$4,"A+",IF(T264&lt;'PlayerGrades+'!$AI$3,"S-",IF(T264&lt;'PlayerGrades+'!$AI$2,"S","S+"))))))))))))))))))))</f>
        <v>F-</v>
      </c>
      <c r="V264" s="941">
        <v>1.0</v>
      </c>
      <c r="W264" s="941">
        <v>0.0</v>
      </c>
      <c r="X264" s="941">
        <v>1.0</v>
      </c>
      <c r="Y264" s="941">
        <v>0.0</v>
      </c>
      <c r="Z264" s="941">
        <v>1.0</v>
      </c>
      <c r="AA264" s="941">
        <v>82.0</v>
      </c>
      <c r="AB264" s="941">
        <v>104.0</v>
      </c>
      <c r="AC264" s="941">
        <v>-22.0</v>
      </c>
      <c r="AD264" s="941">
        <v>4.0</v>
      </c>
      <c r="AE264" s="941">
        <v>5.0</v>
      </c>
      <c r="AF264" s="941">
        <v>4.0</v>
      </c>
      <c r="AG264" s="941">
        <v>1442.0</v>
      </c>
      <c r="AH264" s="941">
        <v>1860.0</v>
      </c>
      <c r="AI264" s="941">
        <v>13.0</v>
      </c>
      <c r="AJ264" s="941">
        <v>4.0</v>
      </c>
      <c r="AK264" s="941">
        <v>0.0</v>
      </c>
      <c r="AL264" s="941">
        <v>1.0</v>
      </c>
      <c r="AM264" s="941">
        <v>0.0</v>
      </c>
      <c r="AN264" s="941">
        <v>0.0</v>
      </c>
      <c r="AO264" s="941">
        <v>0.0</v>
      </c>
      <c r="AP264" s="941">
        <v>1.0</v>
      </c>
      <c r="AQ264" s="941">
        <v>0.0</v>
      </c>
      <c r="AR264" s="941">
        <v>8.0</v>
      </c>
      <c r="AS264" s="941">
        <v>2.0</v>
      </c>
      <c r="AT264" s="941">
        <v>1.0</v>
      </c>
      <c r="AU264" s="941">
        <v>1.0</v>
      </c>
      <c r="AV264" s="941">
        <v>0.0</v>
      </c>
      <c r="AW264" s="941">
        <v>0.0</v>
      </c>
      <c r="AX264" s="941">
        <v>0.0</v>
      </c>
      <c r="AY264" s="941">
        <v>0.0</v>
      </c>
      <c r="AZ264" s="941">
        <v>0.0</v>
      </c>
      <c r="BA264" s="941">
        <v>0.0</v>
      </c>
      <c r="BB264" s="941">
        <v>1.0</v>
      </c>
      <c r="BC264" s="941">
        <v>0.0</v>
      </c>
      <c r="BD264" s="941">
        <v>6.0</v>
      </c>
      <c r="BE264" s="941">
        <v>7.0</v>
      </c>
      <c r="BF264" s="941">
        <v>0.0</v>
      </c>
      <c r="BG264" s="942">
        <v>0.0</v>
      </c>
    </row>
    <row r="265">
      <c r="A265" s="943" t="s">
        <v>140</v>
      </c>
      <c r="B265" s="16" t="str">
        <f>IF(C265&lt;'PlayerGrades+'!$Y$44,"F-",IF(C265&lt;'PlayerGrades+'!$Y$43,"F",IF(C265&lt;'PlayerGrades+'!$Y$42,"F+",IF(C265&lt;'PlayerGrades+'!$Y$41,"E-",IF(C265&lt;'PlayerGrades+'!$Y$40,"E",IF(C265&lt;'PlayerGrades+'!$Y$39,"E+",IF(C265&lt;'PlayerGrades+'!$Y$38,"D-",IF(C265&lt;'PlayerGrades+'!$Y$37,"D",IF(C265&lt;'PlayerGrades+'!$Y$36,"D+",IF(C265&lt;'PlayerGrades+'!$Y$35,"C-",IF(C265&lt;'PlayerGrades+'!$Y$34,"C",IF(C265&lt;'PlayerGrades+'!$Y$33,"C+",IF(C265&lt;'PlayerGrades+'!$Y$32,"B-",IF(C265&lt;'PlayerGrades+'!$Y$31,"B",IF(C265&lt;'PlayerGrades+'!$Y$30,"B+",IF(C265&lt;'PlayerGrades+'!$Y$29,"A-",IF(C265&lt;'PlayerGrades+'!$Y$28,"A",IF(C265&lt;'PlayerGrades+'!$Y$27,"A+",IF(C265&lt;'PlayerGrades+'!$Y$26,"S-",IF(C265&lt;'PlayerGrades+'!$Y$25,"S","S+"))))))))))))))))))))</f>
        <v>F-</v>
      </c>
      <c r="C265" s="936">
        <f>('PlayerGrades+'!$Y$47*(VLOOKUP(E265, 'PlayerGrades+'!$X$3:$Y$23, 2, FALSE)))+('PlayerGrades+'!$Y$48*(VLOOKUP(G265, 'PlayerGrades+'!$X$3:$Y$23, 2, FALSE)))+('PlayerGrades+'!$Y$49*(VLOOKUP(I265, 'PlayerGrades+'!$X$3:$Y$23, 2, FALSE)))+('PlayerGrades+'!$Y$50*(VLOOKUP(K265, 'PlayerGrades+'!$X$3:$Y$23, 2, FALSE)))+('PlayerGrades+'!$Y$51*(VLOOKUP(M265, 'PlayerGrades+'!$X$3:$Y$23, 2, FALSE)))+('PlayerGrades+'!$Y$52*(VLOOKUP(O265, 'PlayerGrades+'!$X$3:$Y$23, 2, FALSE)))+('PlayerGrades+'!$Y$53*(VLOOKUP(Q265, 'PlayerGrades+'!$X$3:$Y$23, 2, FALSE)))+('PlayerGrades+'!$Y$54*(VLOOKUP(S265, 'PlayerGrades+'!$X$3:$Y$23, 2, FALSE)))+('PlayerGrades+'!$Y$55*(VLOOKUP(U265, 'PlayerGrades+'!$X$3:$Y$23, 2, FALSE)))</f>
        <v>8.4</v>
      </c>
      <c r="D265" s="937">
        <f t="shared" si="1"/>
        <v>0</v>
      </c>
      <c r="E265" s="937" t="str">
        <f>IF(D265&lt;'PlayerGrades+'!$AA$21,"F-",IF(D265&lt;'PlayerGrades+'!$AA$20,"F",IF(D265&lt;'PlayerGrades+'!$AA$19,"F+",IF(D265&lt;'PlayerGrades+'!$AA$18,"E-",IF(D265&lt;'PlayerGrades+'!$AA$17,"E",IF(D265&lt;'PlayerGrades+'!$AA$16,"E+",IF(D265&lt;'PlayerGrades+'!$AA$15,"D-",IF(D265&lt;'PlayerGrades+'!$AA$14,"D",IF(D265&lt;'PlayerGrades+'!$AA$13,"D+",IF(D265&lt;'PlayerGrades+'!$AA$12,"C-",IF(D265&lt;'PlayerGrades+'!$AA$11,"C",IF(D265&lt;'PlayerGrades+'!$AA$10,"C+",IF(D265&lt;'PlayerGrades+'!$AA$9,"B-",IF(D265&lt;'PlayerGrades+'!$AA$8,"B",IF(D265&lt;'PlayerGrades+'!$AA$7,"B+",IF(D265&lt;'PlayerGrades+'!$AA$6,"A-",IF(D265&lt;'PlayerGrades+'!$AA$5,"A",IF(D265&lt;'PlayerGrades+'!$AA$4,"A+",IF(D265&lt;'PlayerGrades+'!$AA$3,"S-",IF(D265&lt;'PlayerGrades+'!$AA$2,"S","S+"))))))))))))))))))))</f>
        <v>F-</v>
      </c>
      <c r="F265" s="937">
        <f t="shared" si="2"/>
        <v>-0.5483870968</v>
      </c>
      <c r="G265" s="937" t="str">
        <f>IF(F265&lt;'PlayerGrades+'!$AB$21,"F-",IF(F265&lt;'PlayerGrades+'!$AB$20,"F",IF(F265&lt;'PlayerGrades+'!$AB$19,"F+",IF(F265&lt;'PlayerGrades+'!$AB$18,"E-",IF(F265&lt;'PlayerGrades+'!$AB$17,"E",IF(F265&lt;'PlayerGrades+'!$AB$16,"E+",IF(F265&lt;'PlayerGrades+'!$AB$15,"D-",IF(F265&lt;'PlayerGrades+'!$AB$14,"D",IF(F265&lt;'PlayerGrades+'!$AB$13,"D+",IF(F265&lt;'PlayerGrades+'!$AB$12,"C-",IF(F265&lt;'PlayerGrades+'!$AB$11,"C",IF(F265&lt;'PlayerGrades+'!$AB$10,"C+",IF(F265&lt;'PlayerGrades+'!$AB$9,"B-",IF(F265&lt;'PlayerGrades+'!$AB$8,"B",IF(F265&lt;'PlayerGrades+'!$AB$7,"B+",IF(F265&lt;'PlayerGrades+'!$AB$6,"A-",IF(F265&lt;'PlayerGrades+'!$AB$5,"A",IF(F265&lt;'PlayerGrades+'!$AB$4,"A+",IF(F265&lt;'PlayerGrades+'!$AB$3,"S-",IF(F265&lt;'PlayerGrades+'!$AB$2,"S","S+"))))))))))))))))))))</f>
        <v>D</v>
      </c>
      <c r="H265" s="937">
        <f t="shared" si="3"/>
        <v>0.03225806452</v>
      </c>
      <c r="I265" s="937" t="str">
        <f>IF(H265&lt;'PlayerGrades+'!$AC$21,"F-",IF(H265&lt;'PlayerGrades+'!$AC$20,"F",IF(H265&lt;'PlayerGrades+'!$AC$19,"F+",IF(H265&lt;'PlayerGrades+'!$AC$18,"E-",IF(H265&lt;'PlayerGrades+'!$AC$17,"E",IF(H265&lt;'PlayerGrades+'!$AC$16,"E+",IF(H265&lt;'PlayerGrades+'!$AC$15,"D-",IF(H265&lt;'PlayerGrades+'!$AC$14,"D",IF(H265&lt;'PlayerGrades+'!$AC$13,"D+",IF(H265&lt;'PlayerGrades+'!$AC$12,"C-",IF(H265&lt;'PlayerGrades+'!$AC$11,"C",IF(H265&lt;'PlayerGrades+'!$AC$10,"C+",IF(H265&lt;'PlayerGrades+'!$AC$9,"B-",IF(H265&lt;'PlayerGrades+'!$AC$8,"B",IF(H265&lt;'PlayerGrades+'!$AC$7,"B+",IF(H265&lt;'PlayerGrades+'!$AC$6,"A-",IF(H265&lt;'PlayerGrades+'!$AC$5,"A",IF(H265&lt;'PlayerGrades+'!$AC$4,"A+",IF(H265&lt;'PlayerGrades+'!$AC$3,"S-",IF(H265&lt;'PlayerGrades+'!$AC$2,"S","S+"))))))))))))))))))))</f>
        <v>F-</v>
      </c>
      <c r="J265" s="937">
        <f t="shared" si="4"/>
        <v>0</v>
      </c>
      <c r="K265" s="937" t="str">
        <f>IF(J265&lt;'PlayerGrades+'!$AD$21,"F-",IF(J265&lt;'PlayerGrades+'!$AD$20,"F",IF(J265&lt;'PlayerGrades+'!$AD$19,"F+",IF(J265&lt;'PlayerGrades+'!$AD$18,"E-",IF(J265&lt;'PlayerGrades+'!$AD$17,"E",IF(J265&lt;'PlayerGrades+'!$AD$16,"E+",IF(J265&lt;'PlayerGrades+'!$AD$15,"D-",IF(J265&lt;'PlayerGrades+'!$AD$14,"D",IF(J265&lt;'PlayerGrades+'!$AD$13,"D+",IF(J265&lt;'PlayerGrades+'!$AD$12,"C-",IF(J265&lt;'PlayerGrades+'!$AD$11,"C",IF(J265&lt;'PlayerGrades+'!$AD$10,"C+",IF(J265&lt;'PlayerGrades+'!$AD$9,"B-",IF(J265&lt;'PlayerGrades+'!$AD$8,"B",IF(J265&lt;'PlayerGrades+'!$AD$7,"B+",IF(J265&lt;'PlayerGrades+'!$AD$6,"A-",IF(J265&lt;'PlayerGrades+'!$AD$5,"A",IF(J265&lt;'PlayerGrades+'!$AD$4,"A+",IF(J265&lt;'PlayerGrades+'!$AD$3,"S-",IF(J265&lt;'PlayerGrades+'!$AD$2,"S","S+"))))))))))))))))))))</f>
        <v>F-</v>
      </c>
      <c r="L265" s="677">
        <f t="shared" si="5"/>
        <v>0.2903225806</v>
      </c>
      <c r="M265" s="938" t="str">
        <f>IF(L265&lt;'PlayerGrades+'!$AE$21,"F-",IF(L265&lt;'PlayerGrades+'!$AE$20,"F",IF(L265&lt;'PlayerGrades+'!$AE$19,"F+",IF(L265&lt;'PlayerGrades+'!$AE$18,"E-",IF(L265&lt;'PlayerGrades+'!$AE$17,"E",IF(L265&lt;'PlayerGrades+'!$AE$16,"E+",IF(L265&lt;'PlayerGrades+'!$AE$15,"D-",IF(L265&lt;'PlayerGrades+'!$AE$14,"D",IF(L265&lt;'PlayerGrades+'!$AE$13,"D+",IF(L265&lt;'PlayerGrades+'!$AE$12,"C-",IF(L265&lt;'PlayerGrades+'!$AE$11,"C",IF(L265&lt;'PlayerGrades+'!$AE$10,"C+",IF(L265&lt;'PlayerGrades+'!$AE$9,"B-",IF(L265&lt;'PlayerGrades+'!$AE$8,"B",IF(L265&lt;'PlayerGrades+'!$AE$7,"B+",IF(L265&lt;'PlayerGrades+'!$AE$6,"A-",IF(L265&lt;'PlayerGrades+'!$AE$5,"A",IF(L265&lt;'PlayerGrades+'!$AE$4,"A+",IF(L265&lt;'PlayerGrades+'!$AE$3,"S-",IF(L265&lt;'PlayerGrades+'!$AE$2,"S","S+"))))))))))))))))))))</f>
        <v>F+</v>
      </c>
      <c r="N265" s="937">
        <f t="shared" si="6"/>
        <v>0.03225806452</v>
      </c>
      <c r="O265" s="937" t="str">
        <f>IF(N265&lt;'PlayerGrades+'!$AF$21,"F-",IF(N265&lt;'PlayerGrades+'!$AF$20,"F",IF(N265&lt;'PlayerGrades+'!$AF$19,"F+",IF(N265&lt;'PlayerGrades+'!$AF$18,"E-",IF(N265&lt;'PlayerGrades+'!$AF$17,"E",IF(N265&lt;'PlayerGrades+'!$AF$16,"E+",IF(N265&lt;'PlayerGrades+'!$AF$15,"D-",IF(N265&lt;'PlayerGrades+'!$AF$14,"D",IF(N265&lt;'PlayerGrades+'!$AF$13,"D+",IF(N265&lt;'PlayerGrades+'!$AF$12,"C-",IF(N265&lt;'PlayerGrades+'!$AF$11,"C",IF(N265&lt;'PlayerGrades+'!$AF$10,"C+",IF(N265&lt;'PlayerGrades+'!$AF$9,"B-",IF(N265&lt;'PlayerGrades+'!$AF$8,"B",IF(N265&lt;'PlayerGrades+'!$AF$7,"B+",IF(N265&lt;'PlayerGrades+'!$AF$6,"A-",IF(N265&lt;'PlayerGrades+'!$AF$5,"A",IF(N265&lt;'PlayerGrades+'!$AF$4,"A+",IF(N265&lt;'PlayerGrades+'!$AF$3,"S-",IF(N265&lt;'PlayerGrades+'!$AF$2,"S","S+"))))))))))))))))))))</f>
        <v>F</v>
      </c>
      <c r="P265" s="937">
        <f t="shared" si="7"/>
        <v>0</v>
      </c>
      <c r="Q265" s="937" t="str">
        <f>IF(P265&lt;'PlayerGrades+'!$AG$21,"F-",IF(P265&lt;'PlayerGrades+'!$AG$20,"F",IF(P265&lt;'PlayerGrades+'!$AG$19,"F+",IF(P265&lt;'PlayerGrades+'!$AG$18,"E-",IF(P265&lt;'PlayerGrades+'!$AG$17,"E",IF(P265&lt;'PlayerGrades+'!$AG$16,"E+",IF(P265&lt;'PlayerGrades+'!$AG$15,"D-",IF(P265&lt;'PlayerGrades+'!$AG$14,"D",IF(P265&lt;'PlayerGrades+'!$AG$13,"D+",IF(P265&lt;'PlayerGrades+'!$AG$12,"C-",IF(P265&lt;'PlayerGrades+'!$AG$11,"C",IF(P265&lt;'PlayerGrades+'!$AG$10,"C+",IF(P265&lt;'PlayerGrades+'!$AG$9,"B-",IF(P265&lt;'PlayerGrades+'!$AG$8,"B",IF(P265&lt;'PlayerGrades+'!$AG$7,"B+",IF(P265&lt;'PlayerGrades+'!$AG$6,"A-",IF(P265&lt;'PlayerGrades+'!$AG$5,"A",IF(P265&lt;'PlayerGrades+'!$AG$4,"A+",IF(P265&lt;'PlayerGrades+'!$AG$3,"S-",IF(P265&lt;'PlayerGrades+'!$AG$2,"S","S+"))))))))))))))))))))</f>
        <v>F</v>
      </c>
      <c r="R265" s="937">
        <f t="shared" si="8"/>
        <v>0.4838709677</v>
      </c>
      <c r="S265" s="937" t="str">
        <f>IF(R265&lt;'PlayerGrades+'!$AH$21,"F-",IF(R265&lt;'PlayerGrades+'!$AH$20,"F",IF(R265&lt;'PlayerGrades+'!$AH$19,"F+",IF(R265&lt;'PlayerGrades+'!$AH$18,"E-",IF(R265&lt;'PlayerGrades+'!$AH$17,"E",IF(R265&lt;'PlayerGrades+'!$AH$16,"E+",IF(R265&lt;'PlayerGrades+'!$AH$15,"D-",IF(R265&lt;'PlayerGrades+'!$AH$14,"D",IF(R265&lt;'PlayerGrades+'!$AH$13,"D+",IF(R265&lt;'PlayerGrades+'!$AH$12,"C-",IF(R265&lt;'PlayerGrades+'!$AH$11,"C",IF(R265&lt;'PlayerGrades+'!$AH$10,"C+",IF(R265&lt;'PlayerGrades+'!$AH$9,"B-",IF(R265&lt;'PlayerGrades+'!$AH$8,"B",IF(R265&lt;'PlayerGrades+'!$AH$7,"B+",IF(R265&lt;'PlayerGrades+'!$AH$6,"A-",IF(R265&lt;'PlayerGrades+'!$AH$5,"A",IF(R265&lt;'PlayerGrades+'!$AH$4,"A+",IF(R265&lt;'PlayerGrades+'!$AH$3,"S-",IF(R265&lt;'PlayerGrades+'!$AH$2,"S","S+"))))))))))))))))))))</f>
        <v>E+</v>
      </c>
      <c r="T265" s="937">
        <f t="shared" si="9"/>
        <v>1.35483871</v>
      </c>
      <c r="U265" s="937" t="str">
        <f>IF(T265&lt;'PlayerGrades+'!$AI$21,"F-",IF(T265&lt;'PlayerGrades+'!$AI$20,"F",IF(T265&lt;'PlayerGrades+'!$AI$19,"F+",IF(T265&lt;'PlayerGrades+'!$AI$18,"E-",IF(T265&lt;'PlayerGrades+'!$AI$17,"E",IF(T265&lt;'PlayerGrades+'!$AI$16,"E+",IF(T265&lt;'PlayerGrades+'!$AI$15,"D-",IF(T265&lt;'PlayerGrades+'!$AI$14,"D",IF(T265&lt;'PlayerGrades+'!$AI$13,"D+",IF(T265&lt;'PlayerGrades+'!$AI$12,"C-",IF(T265&lt;'PlayerGrades+'!$AI$11,"C",IF(T265&lt;'PlayerGrades+'!$AI$10,"C+",IF(T265&lt;'PlayerGrades+'!$AI$9,"B-",IF(T265&lt;'PlayerGrades+'!$AI$8,"B",IF(T265&lt;'PlayerGrades+'!$AI$7,"B+",IF(T265&lt;'PlayerGrades+'!$AI$6,"A-",IF(T265&lt;'PlayerGrades+'!$AI$5,"A",IF(T265&lt;'PlayerGrades+'!$AI$4,"A+",IF(T265&lt;'PlayerGrades+'!$AI$3,"S-",IF(T265&lt;'PlayerGrades+'!$AI$2,"S","S+"))))))))))))))))))))</f>
        <v>B-</v>
      </c>
      <c r="V265" s="944">
        <v>1.0</v>
      </c>
      <c r="W265" s="944">
        <v>0.0</v>
      </c>
      <c r="X265" s="944">
        <v>1.0</v>
      </c>
      <c r="Y265" s="944">
        <v>0.0</v>
      </c>
      <c r="Z265" s="944">
        <v>0.0</v>
      </c>
      <c r="AA265" s="944">
        <v>85.0</v>
      </c>
      <c r="AB265" s="944">
        <v>102.0</v>
      </c>
      <c r="AC265" s="944">
        <v>-17.0</v>
      </c>
      <c r="AD265" s="944">
        <v>5.0</v>
      </c>
      <c r="AE265" s="944">
        <v>4.0</v>
      </c>
      <c r="AF265" s="944">
        <v>0.0</v>
      </c>
      <c r="AG265" s="944">
        <v>1443.0</v>
      </c>
      <c r="AH265" s="944">
        <v>1860.0</v>
      </c>
      <c r="AI265" s="944">
        <v>14.0</v>
      </c>
      <c r="AJ265" s="944">
        <v>9.0</v>
      </c>
      <c r="AK265" s="944">
        <v>0.0</v>
      </c>
      <c r="AL265" s="944">
        <v>0.0</v>
      </c>
      <c r="AM265" s="944">
        <v>0.0</v>
      </c>
      <c r="AN265" s="944">
        <v>0.0</v>
      </c>
      <c r="AO265" s="944">
        <v>0.0</v>
      </c>
      <c r="AP265" s="944">
        <v>0.0</v>
      </c>
      <c r="AQ265" s="944">
        <v>0.0</v>
      </c>
      <c r="AR265" s="944">
        <v>9.0</v>
      </c>
      <c r="AS265" s="944">
        <v>1.0</v>
      </c>
      <c r="AT265" s="944">
        <v>0.0</v>
      </c>
      <c r="AU265" s="944">
        <v>0.0</v>
      </c>
      <c r="AV265" s="944">
        <v>0.0</v>
      </c>
      <c r="AW265" s="944">
        <v>0.0</v>
      </c>
      <c r="AX265" s="944">
        <v>0.0</v>
      </c>
      <c r="AY265" s="944">
        <v>0.0</v>
      </c>
      <c r="AZ265" s="944">
        <v>0.0</v>
      </c>
      <c r="BA265" s="944">
        <v>0.0</v>
      </c>
      <c r="BB265" s="944">
        <v>1.0</v>
      </c>
      <c r="BC265" s="944">
        <v>0.0</v>
      </c>
      <c r="BD265" s="944">
        <v>10.0</v>
      </c>
      <c r="BE265" s="944">
        <v>11.0</v>
      </c>
      <c r="BF265" s="944">
        <v>1.0</v>
      </c>
      <c r="BG265" s="945">
        <v>0.0</v>
      </c>
    </row>
    <row r="266">
      <c r="A266" s="946" t="s">
        <v>149</v>
      </c>
      <c r="B266" s="16" t="str">
        <f>IF(C266&lt;'PlayerGrades+'!$Y$44,"F-",IF(C266&lt;'PlayerGrades+'!$Y$43,"F",IF(C266&lt;'PlayerGrades+'!$Y$42,"F+",IF(C266&lt;'PlayerGrades+'!$Y$41,"E-",IF(C266&lt;'PlayerGrades+'!$Y$40,"E",IF(C266&lt;'PlayerGrades+'!$Y$39,"E+",IF(C266&lt;'PlayerGrades+'!$Y$38,"D-",IF(C266&lt;'PlayerGrades+'!$Y$37,"D",IF(C266&lt;'PlayerGrades+'!$Y$36,"D+",IF(C266&lt;'PlayerGrades+'!$Y$35,"C-",IF(C266&lt;'PlayerGrades+'!$Y$34,"C",IF(C266&lt;'PlayerGrades+'!$Y$33,"C+",IF(C266&lt;'PlayerGrades+'!$Y$32,"B-",IF(C266&lt;'PlayerGrades+'!$Y$31,"B",IF(C266&lt;'PlayerGrades+'!$Y$30,"B+",IF(C266&lt;'PlayerGrades+'!$Y$29,"A-",IF(C266&lt;'PlayerGrades+'!$Y$28,"A",IF(C266&lt;'PlayerGrades+'!$Y$27,"A+",IF(C266&lt;'PlayerGrades+'!$Y$26,"S-",IF(C266&lt;'PlayerGrades+'!$Y$25,"S","S+"))))))))))))))))))))</f>
        <v>D-</v>
      </c>
      <c r="C266" s="936">
        <f>('PlayerGrades+'!$Y$47*(VLOOKUP(E266, 'PlayerGrades+'!$X$3:$Y$23, 2, FALSE)))+('PlayerGrades+'!$Y$48*(VLOOKUP(G266, 'PlayerGrades+'!$X$3:$Y$23, 2, FALSE)))+('PlayerGrades+'!$Y$49*(VLOOKUP(I266, 'PlayerGrades+'!$X$3:$Y$23, 2, FALSE)))+('PlayerGrades+'!$Y$50*(VLOOKUP(K266, 'PlayerGrades+'!$X$3:$Y$23, 2, FALSE)))+('PlayerGrades+'!$Y$51*(VLOOKUP(M266, 'PlayerGrades+'!$X$3:$Y$23, 2, FALSE)))+('PlayerGrades+'!$Y$52*(VLOOKUP(O266, 'PlayerGrades+'!$X$3:$Y$23, 2, FALSE)))+('PlayerGrades+'!$Y$53*(VLOOKUP(Q266, 'PlayerGrades+'!$X$3:$Y$23, 2, FALSE)))+('PlayerGrades+'!$Y$54*(VLOOKUP(S266, 'PlayerGrades+'!$X$3:$Y$23, 2, FALSE)))+('PlayerGrades+'!$Y$55*(VLOOKUP(U266, 'PlayerGrades+'!$X$3:$Y$23, 2, FALSE)))</f>
        <v>14.05</v>
      </c>
      <c r="D266" s="937">
        <f t="shared" si="1"/>
        <v>0.3894158762</v>
      </c>
      <c r="E266" s="937" t="str">
        <f>IF(D266&lt;'PlayerGrades+'!$AA$21,"F-",IF(D266&lt;'PlayerGrades+'!$AA$20,"F",IF(D266&lt;'PlayerGrades+'!$AA$19,"F+",IF(D266&lt;'PlayerGrades+'!$AA$18,"E-",IF(D266&lt;'PlayerGrades+'!$AA$17,"E",IF(D266&lt;'PlayerGrades+'!$AA$16,"E+",IF(D266&lt;'PlayerGrades+'!$AA$15,"D-",IF(D266&lt;'PlayerGrades+'!$AA$14,"D",IF(D266&lt;'PlayerGrades+'!$AA$13,"D+",IF(D266&lt;'PlayerGrades+'!$AA$12,"C-",IF(D266&lt;'PlayerGrades+'!$AA$11,"C",IF(D266&lt;'PlayerGrades+'!$AA$10,"C+",IF(D266&lt;'PlayerGrades+'!$AA$9,"B-",IF(D266&lt;'PlayerGrades+'!$AA$8,"B",IF(D266&lt;'PlayerGrades+'!$AA$7,"B+",IF(D266&lt;'PlayerGrades+'!$AA$6,"A-",IF(D266&lt;'PlayerGrades+'!$AA$5,"A",IF(D266&lt;'PlayerGrades+'!$AA$4,"A+",IF(D266&lt;'PlayerGrades+'!$AA$3,"S-",IF(D266&lt;'PlayerGrades+'!$AA$2,"S","S+"))))))))))))))))))))</f>
        <v>A+</v>
      </c>
      <c r="F266" s="937">
        <f t="shared" si="2"/>
        <v>0.149775337</v>
      </c>
      <c r="G266" s="937" t="str">
        <f>IF(F266&lt;'PlayerGrades+'!$AB$21,"F-",IF(F266&lt;'PlayerGrades+'!$AB$20,"F",IF(F266&lt;'PlayerGrades+'!$AB$19,"F+",IF(F266&lt;'PlayerGrades+'!$AB$18,"E-",IF(F266&lt;'PlayerGrades+'!$AB$17,"E",IF(F266&lt;'PlayerGrades+'!$AB$16,"E+",IF(F266&lt;'PlayerGrades+'!$AB$15,"D-",IF(F266&lt;'PlayerGrades+'!$AB$14,"D",IF(F266&lt;'PlayerGrades+'!$AB$13,"D+",IF(F266&lt;'PlayerGrades+'!$AB$12,"C-",IF(F266&lt;'PlayerGrades+'!$AB$11,"C",IF(F266&lt;'PlayerGrades+'!$AB$10,"C+",IF(F266&lt;'PlayerGrades+'!$AB$9,"B-",IF(F266&lt;'PlayerGrades+'!$AB$8,"B",IF(F266&lt;'PlayerGrades+'!$AB$7,"B+",IF(F266&lt;'PlayerGrades+'!$AB$6,"A-",IF(F266&lt;'PlayerGrades+'!$AB$5,"A",IF(F266&lt;'PlayerGrades+'!$AB$4,"A+",IF(F266&lt;'PlayerGrades+'!$AB$3,"S-",IF(F266&lt;'PlayerGrades+'!$AB$2,"S","S+"))))))))))))))))))))</f>
        <v>B+</v>
      </c>
      <c r="H266" s="937">
        <f t="shared" si="3"/>
        <v>0.0299550674</v>
      </c>
      <c r="I266" s="937" t="str">
        <f>IF(H266&lt;'PlayerGrades+'!$AC$21,"F-",IF(H266&lt;'PlayerGrades+'!$AC$20,"F",IF(H266&lt;'PlayerGrades+'!$AC$19,"F+",IF(H266&lt;'PlayerGrades+'!$AC$18,"E-",IF(H266&lt;'PlayerGrades+'!$AC$17,"E",IF(H266&lt;'PlayerGrades+'!$AC$16,"E+",IF(H266&lt;'PlayerGrades+'!$AC$15,"D-",IF(H266&lt;'PlayerGrades+'!$AC$14,"D",IF(H266&lt;'PlayerGrades+'!$AC$13,"D+",IF(H266&lt;'PlayerGrades+'!$AC$12,"C-",IF(H266&lt;'PlayerGrades+'!$AC$11,"C",IF(H266&lt;'PlayerGrades+'!$AC$10,"C+",IF(H266&lt;'PlayerGrades+'!$AC$9,"B-",IF(H266&lt;'PlayerGrades+'!$AC$8,"B",IF(H266&lt;'PlayerGrades+'!$AC$7,"B+",IF(H266&lt;'PlayerGrades+'!$AC$6,"A-",IF(H266&lt;'PlayerGrades+'!$AC$5,"A",IF(H266&lt;'PlayerGrades+'!$AC$4,"A+",IF(H266&lt;'PlayerGrades+'!$AC$3,"S-",IF(H266&lt;'PlayerGrades+'!$AC$2,"S","S+"))))))))))))))))))))</f>
        <v>F-</v>
      </c>
      <c r="J266" s="937">
        <f t="shared" si="4"/>
        <v>0.0299550674</v>
      </c>
      <c r="K266" s="937" t="str">
        <f>IF(J266&lt;'PlayerGrades+'!$AD$21,"F-",IF(J266&lt;'PlayerGrades+'!$AD$20,"F",IF(J266&lt;'PlayerGrades+'!$AD$19,"F+",IF(J266&lt;'PlayerGrades+'!$AD$18,"E-",IF(J266&lt;'PlayerGrades+'!$AD$17,"E",IF(J266&lt;'PlayerGrades+'!$AD$16,"E+",IF(J266&lt;'PlayerGrades+'!$AD$15,"D-",IF(J266&lt;'PlayerGrades+'!$AD$14,"D",IF(J266&lt;'PlayerGrades+'!$AD$13,"D+",IF(J266&lt;'PlayerGrades+'!$AD$12,"C-",IF(J266&lt;'PlayerGrades+'!$AD$11,"C",IF(J266&lt;'PlayerGrades+'!$AD$10,"C+",IF(J266&lt;'PlayerGrades+'!$AD$9,"B-",IF(J266&lt;'PlayerGrades+'!$AD$8,"B",IF(J266&lt;'PlayerGrades+'!$AD$7,"B+",IF(J266&lt;'PlayerGrades+'!$AD$6,"A-",IF(J266&lt;'PlayerGrades+'!$AD$5,"A",IF(J266&lt;'PlayerGrades+'!$AD$4,"A+",IF(J266&lt;'PlayerGrades+'!$AD$3,"S-",IF(J266&lt;'PlayerGrades+'!$AD$2,"S","S+"))))))))))))))))))))</f>
        <v>C-</v>
      </c>
      <c r="L266" s="677">
        <f t="shared" si="5"/>
        <v>0.1797304044</v>
      </c>
      <c r="M266" s="938" t="str">
        <f>IF(L266&lt;'PlayerGrades+'!$AE$21,"F-",IF(L266&lt;'PlayerGrades+'!$AE$20,"F",IF(L266&lt;'PlayerGrades+'!$AE$19,"F+",IF(L266&lt;'PlayerGrades+'!$AE$18,"E-",IF(L266&lt;'PlayerGrades+'!$AE$17,"E",IF(L266&lt;'PlayerGrades+'!$AE$16,"E+",IF(L266&lt;'PlayerGrades+'!$AE$15,"D-",IF(L266&lt;'PlayerGrades+'!$AE$14,"D",IF(L266&lt;'PlayerGrades+'!$AE$13,"D+",IF(L266&lt;'PlayerGrades+'!$AE$12,"C-",IF(L266&lt;'PlayerGrades+'!$AE$11,"C",IF(L266&lt;'PlayerGrades+'!$AE$10,"C+",IF(L266&lt;'PlayerGrades+'!$AE$9,"B-",IF(L266&lt;'PlayerGrades+'!$AE$8,"B",IF(L266&lt;'PlayerGrades+'!$AE$7,"B+",IF(L266&lt;'PlayerGrades+'!$AE$6,"A-",IF(L266&lt;'PlayerGrades+'!$AE$5,"A",IF(L266&lt;'PlayerGrades+'!$AE$4,"A+",IF(L266&lt;'PlayerGrades+'!$AE$3,"S-",IF(L266&lt;'PlayerGrades+'!$AE$2,"S","S+"))))))))))))))))))))</f>
        <v>F-</v>
      </c>
      <c r="N266" s="937">
        <f t="shared" si="6"/>
        <v>0.0299550674</v>
      </c>
      <c r="O266" s="937" t="str">
        <f>IF(N266&lt;'PlayerGrades+'!$AF$21,"F-",IF(N266&lt;'PlayerGrades+'!$AF$20,"F",IF(N266&lt;'PlayerGrades+'!$AF$19,"F+",IF(N266&lt;'PlayerGrades+'!$AF$18,"E-",IF(N266&lt;'PlayerGrades+'!$AF$17,"E",IF(N266&lt;'PlayerGrades+'!$AF$16,"E+",IF(N266&lt;'PlayerGrades+'!$AF$15,"D-",IF(N266&lt;'PlayerGrades+'!$AF$14,"D",IF(N266&lt;'PlayerGrades+'!$AF$13,"D+",IF(N266&lt;'PlayerGrades+'!$AF$12,"C-",IF(N266&lt;'PlayerGrades+'!$AF$11,"C",IF(N266&lt;'PlayerGrades+'!$AF$10,"C+",IF(N266&lt;'PlayerGrades+'!$AF$9,"B-",IF(N266&lt;'PlayerGrades+'!$AF$8,"B",IF(N266&lt;'PlayerGrades+'!$AF$7,"B+",IF(N266&lt;'PlayerGrades+'!$AF$6,"A-",IF(N266&lt;'PlayerGrades+'!$AF$5,"A",IF(N266&lt;'PlayerGrades+'!$AF$4,"A+",IF(N266&lt;'PlayerGrades+'!$AF$3,"S-",IF(N266&lt;'PlayerGrades+'!$AF$2,"S","S+"))))))))))))))))))))</f>
        <v>F</v>
      </c>
      <c r="P266" s="937">
        <f t="shared" si="7"/>
        <v>0.0299550674</v>
      </c>
      <c r="Q266" s="937" t="str">
        <f>IF(P266&lt;'PlayerGrades+'!$AG$21,"F-",IF(P266&lt;'PlayerGrades+'!$AG$20,"F",IF(P266&lt;'PlayerGrades+'!$AG$19,"F+",IF(P266&lt;'PlayerGrades+'!$AG$18,"E-",IF(P266&lt;'PlayerGrades+'!$AG$17,"E",IF(P266&lt;'PlayerGrades+'!$AG$16,"E+",IF(P266&lt;'PlayerGrades+'!$AG$15,"D-",IF(P266&lt;'PlayerGrades+'!$AG$14,"D",IF(P266&lt;'PlayerGrades+'!$AG$13,"D+",IF(P266&lt;'PlayerGrades+'!$AG$12,"C-",IF(P266&lt;'PlayerGrades+'!$AG$11,"C",IF(P266&lt;'PlayerGrades+'!$AG$10,"C+",IF(P266&lt;'PlayerGrades+'!$AG$9,"B-",IF(P266&lt;'PlayerGrades+'!$AG$8,"B",IF(P266&lt;'PlayerGrades+'!$AG$7,"B+",IF(P266&lt;'PlayerGrades+'!$AG$6,"A-",IF(P266&lt;'PlayerGrades+'!$AG$5,"A",IF(P266&lt;'PlayerGrades+'!$AG$4,"A+",IF(P266&lt;'PlayerGrades+'!$AG$3,"S-",IF(P266&lt;'PlayerGrades+'!$AG$2,"S","S+"))))))))))))))))))))</f>
        <v>B</v>
      </c>
      <c r="R266" s="937">
        <f t="shared" si="8"/>
        <v>0.4792810784</v>
      </c>
      <c r="S266" s="937" t="str">
        <f>IF(R266&lt;'PlayerGrades+'!$AH$21,"F-",IF(R266&lt;'PlayerGrades+'!$AH$20,"F",IF(R266&lt;'PlayerGrades+'!$AH$19,"F+",IF(R266&lt;'PlayerGrades+'!$AH$18,"E-",IF(R266&lt;'PlayerGrades+'!$AH$17,"E",IF(R266&lt;'PlayerGrades+'!$AH$16,"E+",IF(R266&lt;'PlayerGrades+'!$AH$15,"D-",IF(R266&lt;'PlayerGrades+'!$AH$14,"D",IF(R266&lt;'PlayerGrades+'!$AH$13,"D+",IF(R266&lt;'PlayerGrades+'!$AH$12,"C-",IF(R266&lt;'PlayerGrades+'!$AH$11,"C",IF(R266&lt;'PlayerGrades+'!$AH$10,"C+",IF(R266&lt;'PlayerGrades+'!$AH$9,"B-",IF(R266&lt;'PlayerGrades+'!$AH$8,"B",IF(R266&lt;'PlayerGrades+'!$AH$7,"B+",IF(R266&lt;'PlayerGrades+'!$AH$6,"A-",IF(R266&lt;'PlayerGrades+'!$AH$5,"A",IF(R266&lt;'PlayerGrades+'!$AH$4,"A+",IF(R266&lt;'PlayerGrades+'!$AH$3,"S-",IF(R266&lt;'PlayerGrades+'!$AH$2,"S","S+"))))))))))))))))))))</f>
        <v>E+</v>
      </c>
      <c r="T266" s="937">
        <f t="shared" si="9"/>
        <v>0.1198202696</v>
      </c>
      <c r="U266" s="937" t="str">
        <f>IF(T266&lt;'PlayerGrades+'!$AI$21,"F-",IF(T266&lt;'PlayerGrades+'!$AI$20,"F",IF(T266&lt;'PlayerGrades+'!$AI$19,"F+",IF(T266&lt;'PlayerGrades+'!$AI$18,"E-",IF(T266&lt;'PlayerGrades+'!$AI$17,"E",IF(T266&lt;'PlayerGrades+'!$AI$16,"E+",IF(T266&lt;'PlayerGrades+'!$AI$15,"D-",IF(T266&lt;'PlayerGrades+'!$AI$14,"D",IF(T266&lt;'PlayerGrades+'!$AI$13,"D+",IF(T266&lt;'PlayerGrades+'!$AI$12,"C-",IF(T266&lt;'PlayerGrades+'!$AI$11,"C",IF(T266&lt;'PlayerGrades+'!$AI$10,"C+",IF(T266&lt;'PlayerGrades+'!$AI$9,"B-",IF(T266&lt;'PlayerGrades+'!$AI$8,"B",IF(T266&lt;'PlayerGrades+'!$AI$7,"B+",IF(T266&lt;'PlayerGrades+'!$AI$6,"A-",IF(T266&lt;'PlayerGrades+'!$AI$5,"A",IF(T266&lt;'PlayerGrades+'!$AI$4,"A+",IF(T266&lt;'PlayerGrades+'!$AI$3,"S-",IF(T266&lt;'PlayerGrades+'!$AI$2,"S","S+"))))))))))))))))))))</f>
        <v>F-</v>
      </c>
      <c r="V266" s="939">
        <v>1.0</v>
      </c>
      <c r="W266" s="939">
        <v>1.0</v>
      </c>
      <c r="X266" s="939">
        <v>0.0</v>
      </c>
      <c r="Y266" s="939">
        <v>4.0</v>
      </c>
      <c r="Z266" s="939">
        <v>9.0</v>
      </c>
      <c r="AA266" s="939">
        <v>64.0</v>
      </c>
      <c r="AB266" s="939">
        <v>59.0</v>
      </c>
      <c r="AC266" s="939">
        <v>5.0</v>
      </c>
      <c r="AD266" s="939">
        <v>5.0</v>
      </c>
      <c r="AE266" s="939">
        <v>6.0</v>
      </c>
      <c r="AF266" s="939">
        <v>1.0</v>
      </c>
      <c r="AG266" s="939">
        <v>1714.0</v>
      </c>
      <c r="AH266" s="939">
        <v>2003.0</v>
      </c>
      <c r="AI266" s="939">
        <v>29.0</v>
      </c>
      <c r="AJ266" s="939">
        <v>617.0</v>
      </c>
      <c r="AK266" s="939">
        <v>0.0</v>
      </c>
      <c r="AL266" s="939">
        <v>1.0</v>
      </c>
      <c r="AM266" s="939">
        <v>0.0</v>
      </c>
      <c r="AN266" s="939">
        <v>0.0</v>
      </c>
      <c r="AO266" s="939">
        <v>0.0</v>
      </c>
      <c r="AP266" s="939">
        <v>1.0</v>
      </c>
      <c r="AQ266" s="939">
        <v>0.0</v>
      </c>
      <c r="AR266" s="939">
        <v>6.0</v>
      </c>
      <c r="AS266" s="939">
        <v>1.0</v>
      </c>
      <c r="AT266" s="939">
        <v>1.0</v>
      </c>
      <c r="AU266" s="939">
        <v>0.0</v>
      </c>
      <c r="AV266" s="939">
        <v>0.0</v>
      </c>
      <c r="AW266" s="939">
        <v>0.0</v>
      </c>
      <c r="AX266" s="939">
        <v>0.0</v>
      </c>
      <c r="AY266" s="939">
        <v>0.0</v>
      </c>
      <c r="AZ266" s="939">
        <v>0.0</v>
      </c>
      <c r="BA266" s="939">
        <v>0.0</v>
      </c>
      <c r="BB266" s="939">
        <v>1.0</v>
      </c>
      <c r="BC266" s="939">
        <v>0.0</v>
      </c>
      <c r="BD266" s="939">
        <v>11.0</v>
      </c>
      <c r="BE266" s="939">
        <v>4.0</v>
      </c>
      <c r="BF266" s="939">
        <v>0.0</v>
      </c>
      <c r="BG266" s="940">
        <v>1.0</v>
      </c>
    </row>
    <row r="267">
      <c r="A267" s="935" t="s">
        <v>418</v>
      </c>
      <c r="B267" s="16" t="str">
        <f>IF(C267&lt;'PlayerGrades+'!$Y$44,"F-",IF(C267&lt;'PlayerGrades+'!$Y$43,"F",IF(C267&lt;'PlayerGrades+'!$Y$42,"F+",IF(C267&lt;'PlayerGrades+'!$Y$41,"E-",IF(C267&lt;'PlayerGrades+'!$Y$40,"E",IF(C267&lt;'PlayerGrades+'!$Y$39,"E+",IF(C267&lt;'PlayerGrades+'!$Y$38,"D-",IF(C267&lt;'PlayerGrades+'!$Y$37,"D",IF(C267&lt;'PlayerGrades+'!$Y$36,"D+",IF(C267&lt;'PlayerGrades+'!$Y$35,"C-",IF(C267&lt;'PlayerGrades+'!$Y$34,"C",IF(C267&lt;'PlayerGrades+'!$Y$33,"C+",IF(C267&lt;'PlayerGrades+'!$Y$32,"B-",IF(C267&lt;'PlayerGrades+'!$Y$31,"B",IF(C267&lt;'PlayerGrades+'!$Y$30,"B+",IF(C267&lt;'PlayerGrades+'!$Y$29,"A-",IF(C267&lt;'PlayerGrades+'!$Y$28,"A",IF(C267&lt;'PlayerGrades+'!$Y$27,"A+",IF(C267&lt;'PlayerGrades+'!$Y$26,"S-",IF(C267&lt;'PlayerGrades+'!$Y$25,"S","S+"))))))))))))))))))))</f>
        <v>A+</v>
      </c>
      <c r="C267" s="936">
        <f>('PlayerGrades+'!$Y$47*(VLOOKUP(E267, 'PlayerGrades+'!$X$3:$Y$23, 2, FALSE)))+('PlayerGrades+'!$Y$48*(VLOOKUP(G267, 'PlayerGrades+'!$X$3:$Y$23, 2, FALSE)))+('PlayerGrades+'!$Y$49*(VLOOKUP(I267, 'PlayerGrades+'!$X$3:$Y$23, 2, FALSE)))+('PlayerGrades+'!$Y$50*(VLOOKUP(K267, 'PlayerGrades+'!$X$3:$Y$23, 2, FALSE)))+('PlayerGrades+'!$Y$51*(VLOOKUP(M267, 'PlayerGrades+'!$X$3:$Y$23, 2, FALSE)))+('PlayerGrades+'!$Y$52*(VLOOKUP(O267, 'PlayerGrades+'!$X$3:$Y$23, 2, FALSE)))+('PlayerGrades+'!$Y$53*(VLOOKUP(Q267, 'PlayerGrades+'!$X$3:$Y$23, 2, FALSE)))+('PlayerGrades+'!$Y$54*(VLOOKUP(S267, 'PlayerGrades+'!$X$3:$Y$23, 2, FALSE)))+('PlayerGrades+'!$Y$55*(VLOOKUP(U267, 'PlayerGrades+'!$X$3:$Y$23, 2, FALSE)))</f>
        <v>28.25</v>
      </c>
      <c r="D267" s="937">
        <f t="shared" si="1"/>
        <v>0.0299550674</v>
      </c>
      <c r="E267" s="937" t="str">
        <f>IF(D267&lt;'PlayerGrades+'!$AA$21,"F-",IF(D267&lt;'PlayerGrades+'!$AA$20,"F",IF(D267&lt;'PlayerGrades+'!$AA$19,"F+",IF(D267&lt;'PlayerGrades+'!$AA$18,"E-",IF(D267&lt;'PlayerGrades+'!$AA$17,"E",IF(D267&lt;'PlayerGrades+'!$AA$16,"E+",IF(D267&lt;'PlayerGrades+'!$AA$15,"D-",IF(D267&lt;'PlayerGrades+'!$AA$14,"D",IF(D267&lt;'PlayerGrades+'!$AA$13,"D+",IF(D267&lt;'PlayerGrades+'!$AA$12,"C-",IF(D267&lt;'PlayerGrades+'!$AA$11,"C",IF(D267&lt;'PlayerGrades+'!$AA$10,"C+",IF(D267&lt;'PlayerGrades+'!$AA$9,"B-",IF(D267&lt;'PlayerGrades+'!$AA$8,"B",IF(D267&lt;'PlayerGrades+'!$AA$7,"B+",IF(D267&lt;'PlayerGrades+'!$AA$6,"A-",IF(D267&lt;'PlayerGrades+'!$AA$5,"A",IF(D267&lt;'PlayerGrades+'!$AA$4,"A+",IF(D267&lt;'PlayerGrades+'!$AA$3,"S-",IF(D267&lt;'PlayerGrades+'!$AA$2,"S","S+"))))))))))))))))))))</f>
        <v>D</v>
      </c>
      <c r="F267" s="937">
        <f t="shared" si="2"/>
        <v>0.9585621568</v>
      </c>
      <c r="G267" s="937" t="str">
        <f>IF(F267&lt;'PlayerGrades+'!$AB$21,"F-",IF(F267&lt;'PlayerGrades+'!$AB$20,"F",IF(F267&lt;'PlayerGrades+'!$AB$19,"F+",IF(F267&lt;'PlayerGrades+'!$AB$18,"E-",IF(F267&lt;'PlayerGrades+'!$AB$17,"E",IF(F267&lt;'PlayerGrades+'!$AB$16,"E+",IF(F267&lt;'PlayerGrades+'!$AB$15,"D-",IF(F267&lt;'PlayerGrades+'!$AB$14,"D",IF(F267&lt;'PlayerGrades+'!$AB$13,"D+",IF(F267&lt;'PlayerGrades+'!$AB$12,"C-",IF(F267&lt;'PlayerGrades+'!$AB$11,"C",IF(F267&lt;'PlayerGrades+'!$AB$10,"C+",IF(F267&lt;'PlayerGrades+'!$AB$9,"B-",IF(F267&lt;'PlayerGrades+'!$AB$8,"B",IF(F267&lt;'PlayerGrades+'!$AB$7,"B+",IF(F267&lt;'PlayerGrades+'!$AB$6,"A-",IF(F267&lt;'PlayerGrades+'!$AB$5,"A",IF(F267&lt;'PlayerGrades+'!$AB$4,"A+",IF(F267&lt;'PlayerGrades+'!$AB$3,"S-",IF(F267&lt;'PlayerGrades+'!$AB$2,"S","S+"))))))))))))))))))))</f>
        <v>S+</v>
      </c>
      <c r="H267" s="937">
        <f t="shared" si="3"/>
        <v>0.0299550674</v>
      </c>
      <c r="I267" s="937" t="str">
        <f>IF(H267&lt;'PlayerGrades+'!$AC$21,"F-",IF(H267&lt;'PlayerGrades+'!$AC$20,"F",IF(H267&lt;'PlayerGrades+'!$AC$19,"F+",IF(H267&lt;'PlayerGrades+'!$AC$18,"E-",IF(H267&lt;'PlayerGrades+'!$AC$17,"E",IF(H267&lt;'PlayerGrades+'!$AC$16,"E+",IF(H267&lt;'PlayerGrades+'!$AC$15,"D-",IF(H267&lt;'PlayerGrades+'!$AC$14,"D",IF(H267&lt;'PlayerGrades+'!$AC$13,"D+",IF(H267&lt;'PlayerGrades+'!$AC$12,"C-",IF(H267&lt;'PlayerGrades+'!$AC$11,"C",IF(H267&lt;'PlayerGrades+'!$AC$10,"C+",IF(H267&lt;'PlayerGrades+'!$AC$9,"B-",IF(H267&lt;'PlayerGrades+'!$AC$8,"B",IF(H267&lt;'PlayerGrades+'!$AC$7,"B+",IF(H267&lt;'PlayerGrades+'!$AC$6,"A-",IF(H267&lt;'PlayerGrades+'!$AC$5,"A",IF(H267&lt;'PlayerGrades+'!$AC$4,"A+",IF(H267&lt;'PlayerGrades+'!$AC$3,"S-",IF(H267&lt;'PlayerGrades+'!$AC$2,"S","S+"))))))))))))))))))))</f>
        <v>F-</v>
      </c>
      <c r="J267" s="937">
        <f t="shared" si="4"/>
        <v>0.0599101348</v>
      </c>
      <c r="K267" s="937" t="str">
        <f>IF(J267&lt;'PlayerGrades+'!$AD$21,"F-",IF(J267&lt;'PlayerGrades+'!$AD$20,"F",IF(J267&lt;'PlayerGrades+'!$AD$19,"F+",IF(J267&lt;'PlayerGrades+'!$AD$18,"E-",IF(J267&lt;'PlayerGrades+'!$AD$17,"E",IF(J267&lt;'PlayerGrades+'!$AD$16,"E+",IF(J267&lt;'PlayerGrades+'!$AD$15,"D-",IF(J267&lt;'PlayerGrades+'!$AD$14,"D",IF(J267&lt;'PlayerGrades+'!$AD$13,"D+",IF(J267&lt;'PlayerGrades+'!$AD$12,"C-",IF(J267&lt;'PlayerGrades+'!$AD$11,"C",IF(J267&lt;'PlayerGrades+'!$AD$10,"C+",IF(J267&lt;'PlayerGrades+'!$AD$9,"B-",IF(J267&lt;'PlayerGrades+'!$AD$8,"B",IF(J267&lt;'PlayerGrades+'!$AD$7,"B+",IF(J267&lt;'PlayerGrades+'!$AD$6,"A-",IF(J267&lt;'PlayerGrades+'!$AD$5,"A",IF(J267&lt;'PlayerGrades+'!$AD$4,"A+",IF(J267&lt;'PlayerGrades+'!$AD$3,"S-",IF(J267&lt;'PlayerGrades+'!$AD$2,"S","S+"))))))))))))))))))))</f>
        <v>B+</v>
      </c>
      <c r="L267" s="677">
        <f t="shared" si="5"/>
        <v>0.6290564154</v>
      </c>
      <c r="M267" s="938" t="str">
        <f>IF(L267&lt;'PlayerGrades+'!$AE$21,"F-",IF(L267&lt;'PlayerGrades+'!$AE$20,"F",IF(L267&lt;'PlayerGrades+'!$AE$19,"F+",IF(L267&lt;'PlayerGrades+'!$AE$18,"E-",IF(L267&lt;'PlayerGrades+'!$AE$17,"E",IF(L267&lt;'PlayerGrades+'!$AE$16,"E+",IF(L267&lt;'PlayerGrades+'!$AE$15,"D-",IF(L267&lt;'PlayerGrades+'!$AE$14,"D",IF(L267&lt;'PlayerGrades+'!$AE$13,"D+",IF(L267&lt;'PlayerGrades+'!$AE$12,"C-",IF(L267&lt;'PlayerGrades+'!$AE$11,"C",IF(L267&lt;'PlayerGrades+'!$AE$10,"C+",IF(L267&lt;'PlayerGrades+'!$AE$9,"B-",IF(L267&lt;'PlayerGrades+'!$AE$8,"B",IF(L267&lt;'PlayerGrades+'!$AE$7,"B+",IF(L267&lt;'PlayerGrades+'!$AE$6,"A-",IF(L267&lt;'PlayerGrades+'!$AE$5,"A",IF(L267&lt;'PlayerGrades+'!$AE$4,"A+",IF(L267&lt;'PlayerGrades+'!$AE$3,"S-",IF(L267&lt;'PlayerGrades+'!$AE$2,"S","S+"))))))))))))))))))))</f>
        <v>S-</v>
      </c>
      <c r="N267" s="937">
        <f t="shared" si="6"/>
        <v>0.2096854718</v>
      </c>
      <c r="O267" s="937" t="str">
        <f>IF(N267&lt;'PlayerGrades+'!$AF$21,"F-",IF(N267&lt;'PlayerGrades+'!$AF$20,"F",IF(N267&lt;'PlayerGrades+'!$AF$19,"F+",IF(N267&lt;'PlayerGrades+'!$AF$18,"E-",IF(N267&lt;'PlayerGrades+'!$AF$17,"E",IF(N267&lt;'PlayerGrades+'!$AF$16,"E+",IF(N267&lt;'PlayerGrades+'!$AF$15,"D-",IF(N267&lt;'PlayerGrades+'!$AF$14,"D",IF(N267&lt;'PlayerGrades+'!$AF$13,"D+",IF(N267&lt;'PlayerGrades+'!$AF$12,"C-",IF(N267&lt;'PlayerGrades+'!$AF$11,"C",IF(N267&lt;'PlayerGrades+'!$AF$10,"C+",IF(N267&lt;'PlayerGrades+'!$AF$9,"B-",IF(N267&lt;'PlayerGrades+'!$AF$8,"B",IF(N267&lt;'PlayerGrades+'!$AF$7,"B+",IF(N267&lt;'PlayerGrades+'!$AF$6,"A-",IF(N267&lt;'PlayerGrades+'!$AF$5,"A",IF(N267&lt;'PlayerGrades+'!$AF$4,"A+",IF(N267&lt;'PlayerGrades+'!$AF$3,"S-",IF(N267&lt;'PlayerGrades+'!$AF$2,"S","S+"))))))))))))))))))))</f>
        <v>S+</v>
      </c>
      <c r="P267" s="937">
        <f t="shared" si="7"/>
        <v>0.0299550674</v>
      </c>
      <c r="Q267" s="937" t="str">
        <f>IF(P267&lt;'PlayerGrades+'!$AG$21,"F-",IF(P267&lt;'PlayerGrades+'!$AG$20,"F",IF(P267&lt;'PlayerGrades+'!$AG$19,"F+",IF(P267&lt;'PlayerGrades+'!$AG$18,"E-",IF(P267&lt;'PlayerGrades+'!$AG$17,"E",IF(P267&lt;'PlayerGrades+'!$AG$16,"E+",IF(P267&lt;'PlayerGrades+'!$AG$15,"D-",IF(P267&lt;'PlayerGrades+'!$AG$14,"D",IF(P267&lt;'PlayerGrades+'!$AG$13,"D+",IF(P267&lt;'PlayerGrades+'!$AG$12,"C-",IF(P267&lt;'PlayerGrades+'!$AG$11,"C",IF(P267&lt;'PlayerGrades+'!$AG$10,"C+",IF(P267&lt;'PlayerGrades+'!$AG$9,"B-",IF(P267&lt;'PlayerGrades+'!$AG$8,"B",IF(P267&lt;'PlayerGrades+'!$AG$7,"B+",IF(P267&lt;'PlayerGrades+'!$AG$6,"A-",IF(P267&lt;'PlayerGrades+'!$AG$5,"A",IF(P267&lt;'PlayerGrades+'!$AG$4,"A+",IF(P267&lt;'PlayerGrades+'!$AG$3,"S-",IF(P267&lt;'PlayerGrades+'!$AG$2,"S","S+"))))))))))))))))))))</f>
        <v>B</v>
      </c>
      <c r="R267" s="937">
        <f t="shared" si="8"/>
        <v>0.748876685</v>
      </c>
      <c r="S267" s="937" t="str">
        <f>IF(R267&lt;'PlayerGrades+'!$AH$21,"F-",IF(R267&lt;'PlayerGrades+'!$AH$20,"F",IF(R267&lt;'PlayerGrades+'!$AH$19,"F+",IF(R267&lt;'PlayerGrades+'!$AH$18,"E-",IF(R267&lt;'PlayerGrades+'!$AH$17,"E",IF(R267&lt;'PlayerGrades+'!$AH$16,"E+",IF(R267&lt;'PlayerGrades+'!$AH$15,"D-",IF(R267&lt;'PlayerGrades+'!$AH$14,"D",IF(R267&lt;'PlayerGrades+'!$AH$13,"D+",IF(R267&lt;'PlayerGrades+'!$AH$12,"C-",IF(R267&lt;'PlayerGrades+'!$AH$11,"C",IF(R267&lt;'PlayerGrades+'!$AH$10,"C+",IF(R267&lt;'PlayerGrades+'!$AH$9,"B-",IF(R267&lt;'PlayerGrades+'!$AH$8,"B",IF(R267&lt;'PlayerGrades+'!$AH$7,"B+",IF(R267&lt;'PlayerGrades+'!$AH$6,"A-",IF(R267&lt;'PlayerGrades+'!$AH$5,"A",IF(R267&lt;'PlayerGrades+'!$AH$4,"A+",IF(R267&lt;'PlayerGrades+'!$AH$3,"S-",IF(R267&lt;'PlayerGrades+'!$AH$2,"S","S+"))))))))))))))))))))</f>
        <v>S</v>
      </c>
      <c r="T267" s="937">
        <f t="shared" si="9"/>
        <v>1.449326011</v>
      </c>
      <c r="U267" s="937" t="str">
        <f>IF(T267&lt;'PlayerGrades+'!$AI$21,"F-",IF(T267&lt;'PlayerGrades+'!$AI$20,"F",IF(T267&lt;'PlayerGrades+'!$AI$19,"F+",IF(T267&lt;'PlayerGrades+'!$AI$18,"E-",IF(T267&lt;'PlayerGrades+'!$AI$17,"E",IF(T267&lt;'PlayerGrades+'!$AI$16,"E+",IF(T267&lt;'PlayerGrades+'!$AI$15,"D-",IF(T267&lt;'PlayerGrades+'!$AI$14,"D",IF(T267&lt;'PlayerGrades+'!$AI$13,"D+",IF(T267&lt;'PlayerGrades+'!$AI$12,"C-",IF(T267&lt;'PlayerGrades+'!$AI$11,"C",IF(T267&lt;'PlayerGrades+'!$AI$10,"C+",IF(T267&lt;'PlayerGrades+'!$AI$9,"B-",IF(T267&lt;'PlayerGrades+'!$AI$8,"B",IF(T267&lt;'PlayerGrades+'!$AI$7,"B+",IF(T267&lt;'PlayerGrades+'!$AI$6,"A-",IF(T267&lt;'PlayerGrades+'!$AI$5,"A",IF(T267&lt;'PlayerGrades+'!$AI$4,"A+",IF(T267&lt;'PlayerGrades+'!$AI$3,"S-",IF(T267&lt;'PlayerGrades+'!$AI$2,"S","S+"))))))))))))))))))))</f>
        <v>B+</v>
      </c>
      <c r="V267" s="941">
        <v>1.0</v>
      </c>
      <c r="W267" s="941">
        <v>1.0</v>
      </c>
      <c r="X267" s="941">
        <v>0.0</v>
      </c>
      <c r="Y267" s="941">
        <v>1.0</v>
      </c>
      <c r="Z267" s="941">
        <v>0.0</v>
      </c>
      <c r="AA267" s="941">
        <v>133.0</v>
      </c>
      <c r="AB267" s="941">
        <v>101.0</v>
      </c>
      <c r="AC267" s="941">
        <v>32.0</v>
      </c>
      <c r="AD267" s="941">
        <v>9.0</v>
      </c>
      <c r="AE267" s="941">
        <v>6.0</v>
      </c>
      <c r="AF267" s="941">
        <v>0.0</v>
      </c>
      <c r="AG267" s="941">
        <v>1596.0</v>
      </c>
      <c r="AH267" s="941">
        <v>2003.0</v>
      </c>
      <c r="AI267" s="941">
        <v>15.0</v>
      </c>
      <c r="AJ267" s="941">
        <v>11.0</v>
      </c>
      <c r="AK267" s="941">
        <v>0.0</v>
      </c>
      <c r="AL267" s="941">
        <v>2.0</v>
      </c>
      <c r="AM267" s="941">
        <v>0.0</v>
      </c>
      <c r="AN267" s="941">
        <v>0.0</v>
      </c>
      <c r="AO267" s="941">
        <v>0.0</v>
      </c>
      <c r="AP267" s="941">
        <v>1.0</v>
      </c>
      <c r="AQ267" s="941">
        <v>0.0</v>
      </c>
      <c r="AR267" s="941">
        <v>21.0</v>
      </c>
      <c r="AS267" s="941">
        <v>7.0</v>
      </c>
      <c r="AT267" s="941">
        <v>1.0</v>
      </c>
      <c r="AU267" s="941">
        <v>0.0</v>
      </c>
      <c r="AV267" s="941">
        <v>0.0</v>
      </c>
      <c r="AW267" s="941">
        <v>0.0</v>
      </c>
      <c r="AX267" s="941">
        <v>0.0</v>
      </c>
      <c r="AY267" s="941">
        <v>0.0</v>
      </c>
      <c r="AZ267" s="941">
        <v>0.0</v>
      </c>
      <c r="BA267" s="941">
        <v>0.0</v>
      </c>
      <c r="BB267" s="941">
        <v>1.0</v>
      </c>
      <c r="BC267" s="941">
        <v>0.0</v>
      </c>
      <c r="BD267" s="941">
        <v>16.0</v>
      </c>
      <c r="BE267" s="941">
        <v>15.0</v>
      </c>
      <c r="BF267" s="941">
        <v>1.0</v>
      </c>
      <c r="BG267" s="942">
        <v>1.0</v>
      </c>
    </row>
    <row r="268">
      <c r="A268" s="935" t="s">
        <v>138</v>
      </c>
      <c r="B268" s="16" t="str">
        <f>IF(C268&lt;'PlayerGrades+'!$Y$44,"F-",IF(C268&lt;'PlayerGrades+'!$Y$43,"F",IF(C268&lt;'PlayerGrades+'!$Y$42,"F+",IF(C268&lt;'PlayerGrades+'!$Y$41,"E-",IF(C268&lt;'PlayerGrades+'!$Y$40,"E",IF(C268&lt;'PlayerGrades+'!$Y$39,"E+",IF(C268&lt;'PlayerGrades+'!$Y$38,"D-",IF(C268&lt;'PlayerGrades+'!$Y$37,"D",IF(C268&lt;'PlayerGrades+'!$Y$36,"D+",IF(C268&lt;'PlayerGrades+'!$Y$35,"C-",IF(C268&lt;'PlayerGrades+'!$Y$34,"C",IF(C268&lt;'PlayerGrades+'!$Y$33,"C+",IF(C268&lt;'PlayerGrades+'!$Y$32,"B-",IF(C268&lt;'PlayerGrades+'!$Y$31,"B",IF(C268&lt;'PlayerGrades+'!$Y$30,"B+",IF(C268&lt;'PlayerGrades+'!$Y$29,"A-",IF(C268&lt;'PlayerGrades+'!$Y$28,"A",IF(C268&lt;'PlayerGrades+'!$Y$27,"A+",IF(C268&lt;'PlayerGrades+'!$Y$26,"S-",IF(C268&lt;'PlayerGrades+'!$Y$25,"S","S+"))))))))))))))))))))</f>
        <v>C</v>
      </c>
      <c r="C268" s="936">
        <f>('PlayerGrades+'!$Y$47*(VLOOKUP(E268, 'PlayerGrades+'!$X$3:$Y$23, 2, FALSE)))+('PlayerGrades+'!$Y$48*(VLOOKUP(G268, 'PlayerGrades+'!$X$3:$Y$23, 2, FALSE)))+('PlayerGrades+'!$Y$49*(VLOOKUP(I268, 'PlayerGrades+'!$X$3:$Y$23, 2, FALSE)))+('PlayerGrades+'!$Y$50*(VLOOKUP(K268, 'PlayerGrades+'!$X$3:$Y$23, 2, FALSE)))+('PlayerGrades+'!$Y$51*(VLOOKUP(M268, 'PlayerGrades+'!$X$3:$Y$23, 2, FALSE)))+('PlayerGrades+'!$Y$52*(VLOOKUP(O268, 'PlayerGrades+'!$X$3:$Y$23, 2, FALSE)))+('PlayerGrades+'!$Y$53*(VLOOKUP(Q268, 'PlayerGrades+'!$X$3:$Y$23, 2, FALSE)))+('PlayerGrades+'!$Y$54*(VLOOKUP(S268, 'PlayerGrades+'!$X$3:$Y$23, 2, FALSE)))+('PlayerGrades+'!$Y$55*(VLOOKUP(U268, 'PlayerGrades+'!$X$3:$Y$23, 2, FALSE)))</f>
        <v>19.8</v>
      </c>
      <c r="D268" s="937">
        <f t="shared" si="1"/>
        <v>0.0599101348</v>
      </c>
      <c r="E268" s="937" t="str">
        <f>IF(D268&lt;'PlayerGrades+'!$AA$21,"F-",IF(D268&lt;'PlayerGrades+'!$AA$20,"F",IF(D268&lt;'PlayerGrades+'!$AA$19,"F+",IF(D268&lt;'PlayerGrades+'!$AA$18,"E-",IF(D268&lt;'PlayerGrades+'!$AA$17,"E",IF(D268&lt;'PlayerGrades+'!$AA$16,"E+",IF(D268&lt;'PlayerGrades+'!$AA$15,"D-",IF(D268&lt;'PlayerGrades+'!$AA$14,"D",IF(D268&lt;'PlayerGrades+'!$AA$13,"D+",IF(D268&lt;'PlayerGrades+'!$AA$12,"C-",IF(D268&lt;'PlayerGrades+'!$AA$11,"C",IF(D268&lt;'PlayerGrades+'!$AA$10,"C+",IF(D268&lt;'PlayerGrades+'!$AA$9,"B-",IF(D268&lt;'PlayerGrades+'!$AA$8,"B",IF(D268&lt;'PlayerGrades+'!$AA$7,"B+",IF(D268&lt;'PlayerGrades+'!$AA$6,"A-",IF(D268&lt;'PlayerGrades+'!$AA$5,"A",IF(D268&lt;'PlayerGrades+'!$AA$4,"A+",IF(D268&lt;'PlayerGrades+'!$AA$3,"S-",IF(D268&lt;'PlayerGrades+'!$AA$2,"S","S+"))))))))))))))))))))</f>
        <v>B-</v>
      </c>
      <c r="F268" s="937">
        <f t="shared" si="2"/>
        <v>0.3295057414</v>
      </c>
      <c r="G268" s="937" t="str">
        <f>IF(F268&lt;'PlayerGrades+'!$AB$21,"F-",IF(F268&lt;'PlayerGrades+'!$AB$20,"F",IF(F268&lt;'PlayerGrades+'!$AB$19,"F+",IF(F268&lt;'PlayerGrades+'!$AB$18,"E-",IF(F268&lt;'PlayerGrades+'!$AB$17,"E",IF(F268&lt;'PlayerGrades+'!$AB$16,"E+",IF(F268&lt;'PlayerGrades+'!$AB$15,"D-",IF(F268&lt;'PlayerGrades+'!$AB$14,"D",IF(F268&lt;'PlayerGrades+'!$AB$13,"D+",IF(F268&lt;'PlayerGrades+'!$AB$12,"C-",IF(F268&lt;'PlayerGrades+'!$AB$11,"C",IF(F268&lt;'PlayerGrades+'!$AB$10,"C+",IF(F268&lt;'PlayerGrades+'!$AB$9,"B-",IF(F268&lt;'PlayerGrades+'!$AB$8,"B",IF(F268&lt;'PlayerGrades+'!$AB$7,"B+",IF(F268&lt;'PlayerGrades+'!$AB$6,"A-",IF(F268&lt;'PlayerGrades+'!$AB$5,"A",IF(F268&lt;'PlayerGrades+'!$AB$4,"A+",IF(F268&lt;'PlayerGrades+'!$AB$3,"S-",IF(F268&lt;'PlayerGrades+'!$AB$2,"S","S+"))))))))))))))))))))</f>
        <v>A-</v>
      </c>
      <c r="H268" s="937">
        <f t="shared" si="3"/>
        <v>0.1198202696</v>
      </c>
      <c r="I268" s="937" t="str">
        <f>IF(H268&lt;'PlayerGrades+'!$AC$21,"F-",IF(H268&lt;'PlayerGrades+'!$AC$20,"F",IF(H268&lt;'PlayerGrades+'!$AC$19,"F+",IF(H268&lt;'PlayerGrades+'!$AC$18,"E-",IF(H268&lt;'PlayerGrades+'!$AC$17,"E",IF(H268&lt;'PlayerGrades+'!$AC$16,"E+",IF(H268&lt;'PlayerGrades+'!$AC$15,"D-",IF(H268&lt;'PlayerGrades+'!$AC$14,"D",IF(H268&lt;'PlayerGrades+'!$AC$13,"D+",IF(H268&lt;'PlayerGrades+'!$AC$12,"C-",IF(H268&lt;'PlayerGrades+'!$AC$11,"C",IF(H268&lt;'PlayerGrades+'!$AC$10,"C+",IF(H268&lt;'PlayerGrades+'!$AC$9,"B-",IF(H268&lt;'PlayerGrades+'!$AC$8,"B",IF(H268&lt;'PlayerGrades+'!$AC$7,"B+",IF(H268&lt;'PlayerGrades+'!$AC$6,"A-",IF(H268&lt;'PlayerGrades+'!$AC$5,"A",IF(H268&lt;'PlayerGrades+'!$AC$4,"A+",IF(H268&lt;'PlayerGrades+'!$AC$3,"S-",IF(H268&lt;'PlayerGrades+'!$AC$2,"S","S+"))))))))))))))))))))</f>
        <v>C+</v>
      </c>
      <c r="J268" s="937">
        <f t="shared" si="4"/>
        <v>0.1797304044</v>
      </c>
      <c r="K268" s="937" t="str">
        <f>IF(J268&lt;'PlayerGrades+'!$AD$21,"F-",IF(J268&lt;'PlayerGrades+'!$AD$20,"F",IF(J268&lt;'PlayerGrades+'!$AD$19,"F+",IF(J268&lt;'PlayerGrades+'!$AD$18,"E-",IF(J268&lt;'PlayerGrades+'!$AD$17,"E",IF(J268&lt;'PlayerGrades+'!$AD$16,"E+",IF(J268&lt;'PlayerGrades+'!$AD$15,"D-",IF(J268&lt;'PlayerGrades+'!$AD$14,"D",IF(J268&lt;'PlayerGrades+'!$AD$13,"D+",IF(J268&lt;'PlayerGrades+'!$AD$12,"C-",IF(J268&lt;'PlayerGrades+'!$AD$11,"C",IF(J268&lt;'PlayerGrades+'!$AD$10,"C+",IF(J268&lt;'PlayerGrades+'!$AD$9,"B-",IF(J268&lt;'PlayerGrades+'!$AD$8,"B",IF(J268&lt;'PlayerGrades+'!$AD$7,"B+",IF(J268&lt;'PlayerGrades+'!$AD$6,"A-",IF(J268&lt;'PlayerGrades+'!$AD$5,"A",IF(J268&lt;'PlayerGrades+'!$AD$4,"A+",IF(J268&lt;'PlayerGrades+'!$AD$3,"S-",IF(J268&lt;'PlayerGrades+'!$AD$2,"S","S+"))))))))))))))))))))</f>
        <v>S+</v>
      </c>
      <c r="L268" s="677">
        <f t="shared" si="5"/>
        <v>0.3594608088</v>
      </c>
      <c r="M268" s="938" t="str">
        <f>IF(L268&lt;'PlayerGrades+'!$AE$21,"F-",IF(L268&lt;'PlayerGrades+'!$AE$20,"F",IF(L268&lt;'PlayerGrades+'!$AE$19,"F+",IF(L268&lt;'PlayerGrades+'!$AE$18,"E-",IF(L268&lt;'PlayerGrades+'!$AE$17,"E",IF(L268&lt;'PlayerGrades+'!$AE$16,"E+",IF(L268&lt;'PlayerGrades+'!$AE$15,"D-",IF(L268&lt;'PlayerGrades+'!$AE$14,"D",IF(L268&lt;'PlayerGrades+'!$AE$13,"D+",IF(L268&lt;'PlayerGrades+'!$AE$12,"C-",IF(L268&lt;'PlayerGrades+'!$AE$11,"C",IF(L268&lt;'PlayerGrades+'!$AE$10,"C+",IF(L268&lt;'PlayerGrades+'!$AE$9,"B-",IF(L268&lt;'PlayerGrades+'!$AE$8,"B",IF(L268&lt;'PlayerGrades+'!$AE$7,"B+",IF(L268&lt;'PlayerGrades+'!$AE$6,"A-",IF(L268&lt;'PlayerGrades+'!$AE$5,"A",IF(L268&lt;'PlayerGrades+'!$AE$4,"A+",IF(L268&lt;'PlayerGrades+'!$AE$3,"S-",IF(L268&lt;'PlayerGrades+'!$AE$2,"S","S+"))))))))))))))))))))</f>
        <v>D+</v>
      </c>
      <c r="N268" s="937">
        <f t="shared" si="6"/>
        <v>0.0299550674</v>
      </c>
      <c r="O268" s="937" t="str">
        <f>IF(N268&lt;'PlayerGrades+'!$AF$21,"F-",IF(N268&lt;'PlayerGrades+'!$AF$20,"F",IF(N268&lt;'PlayerGrades+'!$AF$19,"F+",IF(N268&lt;'PlayerGrades+'!$AF$18,"E-",IF(N268&lt;'PlayerGrades+'!$AF$17,"E",IF(N268&lt;'PlayerGrades+'!$AF$16,"E+",IF(N268&lt;'PlayerGrades+'!$AF$15,"D-",IF(N268&lt;'PlayerGrades+'!$AF$14,"D",IF(N268&lt;'PlayerGrades+'!$AF$13,"D+",IF(N268&lt;'PlayerGrades+'!$AF$12,"C-",IF(N268&lt;'PlayerGrades+'!$AF$11,"C",IF(N268&lt;'PlayerGrades+'!$AF$10,"C+",IF(N268&lt;'PlayerGrades+'!$AF$9,"B-",IF(N268&lt;'PlayerGrades+'!$AF$8,"B",IF(N268&lt;'PlayerGrades+'!$AF$7,"B+",IF(N268&lt;'PlayerGrades+'!$AF$6,"A-",IF(N268&lt;'PlayerGrades+'!$AF$5,"A",IF(N268&lt;'PlayerGrades+'!$AF$4,"A+",IF(N268&lt;'PlayerGrades+'!$AF$3,"S-",IF(N268&lt;'PlayerGrades+'!$AF$2,"S","S+"))))))))))))))))))))</f>
        <v>F</v>
      </c>
      <c r="P268" s="937">
        <f t="shared" si="7"/>
        <v>0.1198202696</v>
      </c>
      <c r="Q268" s="937" t="str">
        <f>IF(P268&lt;'PlayerGrades+'!$AG$21,"F-",IF(P268&lt;'PlayerGrades+'!$AG$20,"F",IF(P268&lt;'PlayerGrades+'!$AG$19,"F+",IF(P268&lt;'PlayerGrades+'!$AG$18,"E-",IF(P268&lt;'PlayerGrades+'!$AG$17,"E",IF(P268&lt;'PlayerGrades+'!$AG$16,"E+",IF(P268&lt;'PlayerGrades+'!$AG$15,"D-",IF(P268&lt;'PlayerGrades+'!$AG$14,"D",IF(P268&lt;'PlayerGrades+'!$AG$13,"D+",IF(P268&lt;'PlayerGrades+'!$AG$12,"C-",IF(P268&lt;'PlayerGrades+'!$AG$11,"C",IF(P268&lt;'PlayerGrades+'!$AG$10,"C+",IF(P268&lt;'PlayerGrades+'!$AG$9,"B-",IF(P268&lt;'PlayerGrades+'!$AG$8,"B",IF(P268&lt;'PlayerGrades+'!$AG$7,"B+",IF(P268&lt;'PlayerGrades+'!$AG$6,"A-",IF(P268&lt;'PlayerGrades+'!$AG$5,"A",IF(P268&lt;'PlayerGrades+'!$AG$4,"A+",IF(P268&lt;'PlayerGrades+'!$AG$3,"S-",IF(P268&lt;'PlayerGrades+'!$AG$2,"S","S+"))))))))))))))))))))</f>
        <v>S+</v>
      </c>
      <c r="R268" s="937">
        <f t="shared" si="8"/>
        <v>0.449326011</v>
      </c>
      <c r="S268" s="937" t="str">
        <f>IF(R268&lt;'PlayerGrades+'!$AH$21,"F-",IF(R268&lt;'PlayerGrades+'!$AH$20,"F",IF(R268&lt;'PlayerGrades+'!$AH$19,"F+",IF(R268&lt;'PlayerGrades+'!$AH$18,"E-",IF(R268&lt;'PlayerGrades+'!$AH$17,"E",IF(R268&lt;'PlayerGrades+'!$AH$16,"E+",IF(R268&lt;'PlayerGrades+'!$AH$15,"D-",IF(R268&lt;'PlayerGrades+'!$AH$14,"D",IF(R268&lt;'PlayerGrades+'!$AH$13,"D+",IF(R268&lt;'PlayerGrades+'!$AH$12,"C-",IF(R268&lt;'PlayerGrades+'!$AH$11,"C",IF(R268&lt;'PlayerGrades+'!$AH$10,"C+",IF(R268&lt;'PlayerGrades+'!$AH$9,"B-",IF(R268&lt;'PlayerGrades+'!$AH$8,"B",IF(R268&lt;'PlayerGrades+'!$AH$7,"B+",IF(R268&lt;'PlayerGrades+'!$AH$6,"A-",IF(R268&lt;'PlayerGrades+'!$AH$5,"A",IF(R268&lt;'PlayerGrades+'!$AH$4,"A+",IF(R268&lt;'PlayerGrades+'!$AH$3,"S-",IF(R268&lt;'PlayerGrades+'!$AH$2,"S","S+"))))))))))))))))))))</f>
        <v>E-</v>
      </c>
      <c r="T268" s="937">
        <f t="shared" si="9"/>
        <v>1.449326011</v>
      </c>
      <c r="U268" s="937" t="str">
        <f>IF(T268&lt;'PlayerGrades+'!$AI$21,"F-",IF(T268&lt;'PlayerGrades+'!$AI$20,"F",IF(T268&lt;'PlayerGrades+'!$AI$19,"F+",IF(T268&lt;'PlayerGrades+'!$AI$18,"E-",IF(T268&lt;'PlayerGrades+'!$AI$17,"E",IF(T268&lt;'PlayerGrades+'!$AI$16,"E+",IF(T268&lt;'PlayerGrades+'!$AI$15,"D-",IF(T268&lt;'PlayerGrades+'!$AI$14,"D",IF(T268&lt;'PlayerGrades+'!$AI$13,"D+",IF(T268&lt;'PlayerGrades+'!$AI$12,"C-",IF(T268&lt;'PlayerGrades+'!$AI$11,"C",IF(T268&lt;'PlayerGrades+'!$AI$10,"C+",IF(T268&lt;'PlayerGrades+'!$AI$9,"B-",IF(T268&lt;'PlayerGrades+'!$AI$8,"B",IF(T268&lt;'PlayerGrades+'!$AI$7,"B+",IF(T268&lt;'PlayerGrades+'!$AI$6,"A-",IF(T268&lt;'PlayerGrades+'!$AI$5,"A",IF(T268&lt;'PlayerGrades+'!$AI$4,"A+",IF(T268&lt;'PlayerGrades+'!$AI$3,"S-",IF(T268&lt;'PlayerGrades+'!$AI$2,"S","S+"))))))))))))))))))))</f>
        <v>B+</v>
      </c>
      <c r="V268" s="941">
        <v>1.0</v>
      </c>
      <c r="W268" s="941">
        <v>1.0</v>
      </c>
      <c r="X268" s="941">
        <v>0.0</v>
      </c>
      <c r="Y268" s="941">
        <v>0.0</v>
      </c>
      <c r="Z268" s="941">
        <v>2.0</v>
      </c>
      <c r="AA268" s="941">
        <v>118.0</v>
      </c>
      <c r="AB268" s="941">
        <v>107.0</v>
      </c>
      <c r="AC268" s="941">
        <v>11.0</v>
      </c>
      <c r="AD268" s="941">
        <v>5.0</v>
      </c>
      <c r="AE268" s="941">
        <v>6.0</v>
      </c>
      <c r="AF268" s="941">
        <v>0.0</v>
      </c>
      <c r="AG268" s="941">
        <v>1574.0</v>
      </c>
      <c r="AH268" s="941">
        <v>2003.0</v>
      </c>
      <c r="AI268" s="941">
        <v>14.0</v>
      </c>
      <c r="AJ268" s="941">
        <v>9.0</v>
      </c>
      <c r="AK268" s="941">
        <v>0.0</v>
      </c>
      <c r="AL268" s="941">
        <v>6.0</v>
      </c>
      <c r="AM268" s="941">
        <v>0.0</v>
      </c>
      <c r="AN268" s="941">
        <v>0.0</v>
      </c>
      <c r="AO268" s="941">
        <v>0.0</v>
      </c>
      <c r="AP268" s="941">
        <v>4.0</v>
      </c>
      <c r="AQ268" s="941">
        <v>0.0</v>
      </c>
      <c r="AR268" s="941">
        <v>12.0</v>
      </c>
      <c r="AS268" s="941">
        <v>1.0</v>
      </c>
      <c r="AT268" s="941">
        <v>0.0</v>
      </c>
      <c r="AU268" s="941">
        <v>0.0</v>
      </c>
      <c r="AV268" s="941">
        <v>0.0</v>
      </c>
      <c r="AW268" s="941">
        <v>0.0</v>
      </c>
      <c r="AX268" s="941">
        <v>0.0</v>
      </c>
      <c r="AY268" s="941">
        <v>0.0</v>
      </c>
      <c r="AZ268" s="941">
        <v>0.0</v>
      </c>
      <c r="BA268" s="941">
        <v>0.0</v>
      </c>
      <c r="BB268" s="941">
        <v>4.0</v>
      </c>
      <c r="BC268" s="941">
        <v>0.0</v>
      </c>
      <c r="BD268" s="941">
        <v>10.0</v>
      </c>
      <c r="BE268" s="941">
        <v>15.0</v>
      </c>
      <c r="BF268" s="941">
        <v>1.0</v>
      </c>
      <c r="BG268" s="942">
        <v>1.0</v>
      </c>
    </row>
    <row r="269">
      <c r="A269" s="935" t="s">
        <v>392</v>
      </c>
      <c r="B269" s="16" t="str">
        <f>IF(C269&lt;'PlayerGrades+'!$Y$44,"F-",IF(C269&lt;'PlayerGrades+'!$Y$43,"F",IF(C269&lt;'PlayerGrades+'!$Y$42,"F+",IF(C269&lt;'PlayerGrades+'!$Y$41,"E-",IF(C269&lt;'PlayerGrades+'!$Y$40,"E",IF(C269&lt;'PlayerGrades+'!$Y$39,"E+",IF(C269&lt;'PlayerGrades+'!$Y$38,"D-",IF(C269&lt;'PlayerGrades+'!$Y$37,"D",IF(C269&lt;'PlayerGrades+'!$Y$36,"D+",IF(C269&lt;'PlayerGrades+'!$Y$35,"C-",IF(C269&lt;'PlayerGrades+'!$Y$34,"C",IF(C269&lt;'PlayerGrades+'!$Y$33,"C+",IF(C269&lt;'PlayerGrades+'!$Y$32,"B-",IF(C269&lt;'PlayerGrades+'!$Y$31,"B",IF(C269&lt;'PlayerGrades+'!$Y$30,"B+",IF(C269&lt;'PlayerGrades+'!$Y$29,"A-",IF(C269&lt;'PlayerGrades+'!$Y$28,"A",IF(C269&lt;'PlayerGrades+'!$Y$27,"A+",IF(C269&lt;'PlayerGrades+'!$Y$26,"S-",IF(C269&lt;'PlayerGrades+'!$Y$25,"S","S+"))))))))))))))))))))</f>
        <v>E-</v>
      </c>
      <c r="C269" s="936">
        <f>('PlayerGrades+'!$Y$47*(VLOOKUP(E269, 'PlayerGrades+'!$X$3:$Y$23, 2, FALSE)))+('PlayerGrades+'!$Y$48*(VLOOKUP(G269, 'PlayerGrades+'!$X$3:$Y$23, 2, FALSE)))+('PlayerGrades+'!$Y$49*(VLOOKUP(I269, 'PlayerGrades+'!$X$3:$Y$23, 2, FALSE)))+('PlayerGrades+'!$Y$50*(VLOOKUP(K269, 'PlayerGrades+'!$X$3:$Y$23, 2, FALSE)))+('PlayerGrades+'!$Y$51*(VLOOKUP(M269, 'PlayerGrades+'!$X$3:$Y$23, 2, FALSE)))+('PlayerGrades+'!$Y$52*(VLOOKUP(O269, 'PlayerGrades+'!$X$3:$Y$23, 2, FALSE)))+('PlayerGrades+'!$Y$53*(VLOOKUP(Q269, 'PlayerGrades+'!$X$3:$Y$23, 2, FALSE)))+('PlayerGrades+'!$Y$54*(VLOOKUP(S269, 'PlayerGrades+'!$X$3:$Y$23, 2, FALSE)))+('PlayerGrades+'!$Y$55*(VLOOKUP(U269, 'PlayerGrades+'!$X$3:$Y$23, 2, FALSE)))</f>
        <v>10.95</v>
      </c>
      <c r="D269" s="937">
        <f t="shared" si="1"/>
        <v>0</v>
      </c>
      <c r="E269" s="937" t="str">
        <f>IF(D269&lt;'PlayerGrades+'!$AA$21,"F-",IF(D269&lt;'PlayerGrades+'!$AA$20,"F",IF(D269&lt;'PlayerGrades+'!$AA$19,"F+",IF(D269&lt;'PlayerGrades+'!$AA$18,"E-",IF(D269&lt;'PlayerGrades+'!$AA$17,"E",IF(D269&lt;'PlayerGrades+'!$AA$16,"E+",IF(D269&lt;'PlayerGrades+'!$AA$15,"D-",IF(D269&lt;'PlayerGrades+'!$AA$14,"D",IF(D269&lt;'PlayerGrades+'!$AA$13,"D+",IF(D269&lt;'PlayerGrades+'!$AA$12,"C-",IF(D269&lt;'PlayerGrades+'!$AA$11,"C",IF(D269&lt;'PlayerGrades+'!$AA$10,"C+",IF(D269&lt;'PlayerGrades+'!$AA$9,"B-",IF(D269&lt;'PlayerGrades+'!$AA$8,"B",IF(D269&lt;'PlayerGrades+'!$AA$7,"B+",IF(D269&lt;'PlayerGrades+'!$AA$6,"A-",IF(D269&lt;'PlayerGrades+'!$AA$5,"A",IF(D269&lt;'PlayerGrades+'!$AA$4,"A+",IF(D269&lt;'PlayerGrades+'!$AA$3,"S-",IF(D269&lt;'PlayerGrades+'!$AA$2,"S","S+"))))))))))))))))))))</f>
        <v>F-</v>
      </c>
      <c r="F269" s="937">
        <f t="shared" si="2"/>
        <v>-1.138292561</v>
      </c>
      <c r="G269" s="937" t="str">
        <f>IF(F269&lt;'PlayerGrades+'!$AB$21,"F-",IF(F269&lt;'PlayerGrades+'!$AB$20,"F",IF(F269&lt;'PlayerGrades+'!$AB$19,"F+",IF(F269&lt;'PlayerGrades+'!$AB$18,"E-",IF(F269&lt;'PlayerGrades+'!$AB$17,"E",IF(F269&lt;'PlayerGrades+'!$AB$16,"E+",IF(F269&lt;'PlayerGrades+'!$AB$15,"D-",IF(F269&lt;'PlayerGrades+'!$AB$14,"D",IF(F269&lt;'PlayerGrades+'!$AB$13,"D+",IF(F269&lt;'PlayerGrades+'!$AB$12,"C-",IF(F269&lt;'PlayerGrades+'!$AB$11,"C",IF(F269&lt;'PlayerGrades+'!$AB$10,"C+",IF(F269&lt;'PlayerGrades+'!$AB$9,"B-",IF(F269&lt;'PlayerGrades+'!$AB$8,"B",IF(F269&lt;'PlayerGrades+'!$AB$7,"B+",IF(F269&lt;'PlayerGrades+'!$AB$6,"A-",IF(F269&lt;'PlayerGrades+'!$AB$5,"A",IF(F269&lt;'PlayerGrades+'!$AB$4,"A+",IF(F269&lt;'PlayerGrades+'!$AB$3,"S-",IF(F269&lt;'PlayerGrades+'!$AB$2,"S","S+"))))))))))))))))))))</f>
        <v>F-</v>
      </c>
      <c r="H269" s="937">
        <f t="shared" si="3"/>
        <v>0.0299550674</v>
      </c>
      <c r="I269" s="937" t="str">
        <f>IF(H269&lt;'PlayerGrades+'!$AC$21,"F-",IF(H269&lt;'PlayerGrades+'!$AC$20,"F",IF(H269&lt;'PlayerGrades+'!$AC$19,"F+",IF(H269&lt;'PlayerGrades+'!$AC$18,"E-",IF(H269&lt;'PlayerGrades+'!$AC$17,"E",IF(H269&lt;'PlayerGrades+'!$AC$16,"E+",IF(H269&lt;'PlayerGrades+'!$AC$15,"D-",IF(H269&lt;'PlayerGrades+'!$AC$14,"D",IF(H269&lt;'PlayerGrades+'!$AC$13,"D+",IF(H269&lt;'PlayerGrades+'!$AC$12,"C-",IF(H269&lt;'PlayerGrades+'!$AC$11,"C",IF(H269&lt;'PlayerGrades+'!$AC$10,"C+",IF(H269&lt;'PlayerGrades+'!$AC$9,"B-",IF(H269&lt;'PlayerGrades+'!$AC$8,"B",IF(H269&lt;'PlayerGrades+'!$AC$7,"B+",IF(H269&lt;'PlayerGrades+'!$AC$6,"A-",IF(H269&lt;'PlayerGrades+'!$AC$5,"A",IF(H269&lt;'PlayerGrades+'!$AC$4,"A+",IF(H269&lt;'PlayerGrades+'!$AC$3,"S-",IF(H269&lt;'PlayerGrades+'!$AC$2,"S","S+"))))))))))))))))))))</f>
        <v>F-</v>
      </c>
      <c r="J269" s="937">
        <f t="shared" si="4"/>
        <v>0.0599101348</v>
      </c>
      <c r="K269" s="937" t="str">
        <f>IF(J269&lt;'PlayerGrades+'!$AD$21,"F-",IF(J269&lt;'PlayerGrades+'!$AD$20,"F",IF(J269&lt;'PlayerGrades+'!$AD$19,"F+",IF(J269&lt;'PlayerGrades+'!$AD$18,"E-",IF(J269&lt;'PlayerGrades+'!$AD$17,"E",IF(J269&lt;'PlayerGrades+'!$AD$16,"E+",IF(J269&lt;'PlayerGrades+'!$AD$15,"D-",IF(J269&lt;'PlayerGrades+'!$AD$14,"D",IF(J269&lt;'PlayerGrades+'!$AD$13,"D+",IF(J269&lt;'PlayerGrades+'!$AD$12,"C-",IF(J269&lt;'PlayerGrades+'!$AD$11,"C",IF(J269&lt;'PlayerGrades+'!$AD$10,"C+",IF(J269&lt;'PlayerGrades+'!$AD$9,"B-",IF(J269&lt;'PlayerGrades+'!$AD$8,"B",IF(J269&lt;'PlayerGrades+'!$AD$7,"B+",IF(J269&lt;'PlayerGrades+'!$AD$6,"A-",IF(J269&lt;'PlayerGrades+'!$AD$5,"A",IF(J269&lt;'PlayerGrades+'!$AD$4,"A+",IF(J269&lt;'PlayerGrades+'!$AD$3,"S-",IF(J269&lt;'PlayerGrades+'!$AD$2,"S","S+"))))))))))))))))))))</f>
        <v>B+</v>
      </c>
      <c r="L269" s="677">
        <f t="shared" si="5"/>
        <v>0.3894158762</v>
      </c>
      <c r="M269" s="938" t="str">
        <f>IF(L269&lt;'PlayerGrades+'!$AE$21,"F-",IF(L269&lt;'PlayerGrades+'!$AE$20,"F",IF(L269&lt;'PlayerGrades+'!$AE$19,"F+",IF(L269&lt;'PlayerGrades+'!$AE$18,"E-",IF(L269&lt;'PlayerGrades+'!$AE$17,"E",IF(L269&lt;'PlayerGrades+'!$AE$16,"E+",IF(L269&lt;'PlayerGrades+'!$AE$15,"D-",IF(L269&lt;'PlayerGrades+'!$AE$14,"D",IF(L269&lt;'PlayerGrades+'!$AE$13,"D+",IF(L269&lt;'PlayerGrades+'!$AE$12,"C-",IF(L269&lt;'PlayerGrades+'!$AE$11,"C",IF(L269&lt;'PlayerGrades+'!$AE$10,"C+",IF(L269&lt;'PlayerGrades+'!$AE$9,"B-",IF(L269&lt;'PlayerGrades+'!$AE$8,"B",IF(L269&lt;'PlayerGrades+'!$AE$7,"B+",IF(L269&lt;'PlayerGrades+'!$AE$6,"A-",IF(L269&lt;'PlayerGrades+'!$AE$5,"A",IF(L269&lt;'PlayerGrades+'!$AE$4,"A+",IF(L269&lt;'PlayerGrades+'!$AE$3,"S-",IF(L269&lt;'PlayerGrades+'!$AE$2,"S","S+"))))))))))))))))))))</f>
        <v>C</v>
      </c>
      <c r="N269" s="937">
        <f t="shared" si="6"/>
        <v>0.0299550674</v>
      </c>
      <c r="O269" s="937" t="str">
        <f>IF(N269&lt;'PlayerGrades+'!$AF$21,"F-",IF(N269&lt;'PlayerGrades+'!$AF$20,"F",IF(N269&lt;'PlayerGrades+'!$AF$19,"F+",IF(N269&lt;'PlayerGrades+'!$AF$18,"E-",IF(N269&lt;'PlayerGrades+'!$AF$17,"E",IF(N269&lt;'PlayerGrades+'!$AF$16,"E+",IF(N269&lt;'PlayerGrades+'!$AF$15,"D-",IF(N269&lt;'PlayerGrades+'!$AF$14,"D",IF(N269&lt;'PlayerGrades+'!$AF$13,"D+",IF(N269&lt;'PlayerGrades+'!$AF$12,"C-",IF(N269&lt;'PlayerGrades+'!$AF$11,"C",IF(N269&lt;'PlayerGrades+'!$AF$10,"C+",IF(N269&lt;'PlayerGrades+'!$AF$9,"B-",IF(N269&lt;'PlayerGrades+'!$AF$8,"B",IF(N269&lt;'PlayerGrades+'!$AF$7,"B+",IF(N269&lt;'PlayerGrades+'!$AF$6,"A-",IF(N269&lt;'PlayerGrades+'!$AF$5,"A",IF(N269&lt;'PlayerGrades+'!$AF$4,"A+",IF(N269&lt;'PlayerGrades+'!$AF$3,"S-",IF(N269&lt;'PlayerGrades+'!$AF$2,"S","S+"))))))))))))))))))))</f>
        <v>F</v>
      </c>
      <c r="P269" s="937">
        <f t="shared" si="7"/>
        <v>0.0599101348</v>
      </c>
      <c r="Q269" s="937" t="str">
        <f>IF(P269&lt;'PlayerGrades+'!$AG$21,"F-",IF(P269&lt;'PlayerGrades+'!$AG$20,"F",IF(P269&lt;'PlayerGrades+'!$AG$19,"F+",IF(P269&lt;'PlayerGrades+'!$AG$18,"E-",IF(P269&lt;'PlayerGrades+'!$AG$17,"E",IF(P269&lt;'PlayerGrades+'!$AG$16,"E+",IF(P269&lt;'PlayerGrades+'!$AG$15,"D-",IF(P269&lt;'PlayerGrades+'!$AG$14,"D",IF(P269&lt;'PlayerGrades+'!$AG$13,"D+",IF(P269&lt;'PlayerGrades+'!$AG$12,"C-",IF(P269&lt;'PlayerGrades+'!$AG$11,"C",IF(P269&lt;'PlayerGrades+'!$AG$10,"C+",IF(P269&lt;'PlayerGrades+'!$AG$9,"B-",IF(P269&lt;'PlayerGrades+'!$AG$8,"B",IF(P269&lt;'PlayerGrades+'!$AG$7,"B+",IF(P269&lt;'PlayerGrades+'!$AG$6,"A-",IF(P269&lt;'PlayerGrades+'!$AG$5,"A",IF(P269&lt;'PlayerGrades+'!$AG$4,"A+",IF(P269&lt;'PlayerGrades+'!$AG$3,"S-",IF(P269&lt;'PlayerGrades+'!$AG$2,"S","S+"))))))))))))))))))))</f>
        <v>A</v>
      </c>
      <c r="R269" s="937">
        <f t="shared" si="8"/>
        <v>0.3295057414</v>
      </c>
      <c r="S269" s="937" t="str">
        <f>IF(R269&lt;'PlayerGrades+'!$AH$21,"F-",IF(R269&lt;'PlayerGrades+'!$AH$20,"F",IF(R269&lt;'PlayerGrades+'!$AH$19,"F+",IF(R269&lt;'PlayerGrades+'!$AH$18,"E-",IF(R269&lt;'PlayerGrades+'!$AH$17,"E",IF(R269&lt;'PlayerGrades+'!$AH$16,"E+",IF(R269&lt;'PlayerGrades+'!$AH$15,"D-",IF(R269&lt;'PlayerGrades+'!$AH$14,"D",IF(R269&lt;'PlayerGrades+'!$AH$13,"D+",IF(R269&lt;'PlayerGrades+'!$AH$12,"C-",IF(R269&lt;'PlayerGrades+'!$AH$11,"C",IF(R269&lt;'PlayerGrades+'!$AH$10,"C+",IF(R269&lt;'PlayerGrades+'!$AH$9,"B-",IF(R269&lt;'PlayerGrades+'!$AH$8,"B",IF(R269&lt;'PlayerGrades+'!$AH$7,"B+",IF(R269&lt;'PlayerGrades+'!$AH$6,"A-",IF(R269&lt;'PlayerGrades+'!$AH$5,"A",IF(R269&lt;'PlayerGrades+'!$AH$4,"A+",IF(R269&lt;'PlayerGrades+'!$AH$3,"S-",IF(R269&lt;'PlayerGrades+'!$AH$2,"S","S+"))))))))))))))))))))</f>
        <v>F</v>
      </c>
      <c r="T269" s="937">
        <f t="shared" si="9"/>
        <v>2.299550674</v>
      </c>
      <c r="U269" s="937" t="str">
        <f>IF(T269&lt;'PlayerGrades+'!$AI$21,"F-",IF(T269&lt;'PlayerGrades+'!$AI$20,"F",IF(T269&lt;'PlayerGrades+'!$AI$19,"F+",IF(T269&lt;'PlayerGrades+'!$AI$18,"E-",IF(T269&lt;'PlayerGrades+'!$AI$17,"E",IF(T269&lt;'PlayerGrades+'!$AI$16,"E+",IF(T269&lt;'PlayerGrades+'!$AI$15,"D-",IF(T269&lt;'PlayerGrades+'!$AI$14,"D",IF(T269&lt;'PlayerGrades+'!$AI$13,"D+",IF(T269&lt;'PlayerGrades+'!$AI$12,"C-",IF(T269&lt;'PlayerGrades+'!$AI$11,"C",IF(T269&lt;'PlayerGrades+'!$AI$10,"C+",IF(T269&lt;'PlayerGrades+'!$AI$9,"B-",IF(T269&lt;'PlayerGrades+'!$AI$8,"B",IF(T269&lt;'PlayerGrades+'!$AI$7,"B+",IF(T269&lt;'PlayerGrades+'!$AI$6,"A-",IF(T269&lt;'PlayerGrades+'!$AI$5,"A",IF(T269&lt;'PlayerGrades+'!$AI$4,"A+",IF(T269&lt;'PlayerGrades+'!$AI$3,"S-",IF(T269&lt;'PlayerGrades+'!$AI$2,"S","S+"))))))))))))))))))))</f>
        <v>S+</v>
      </c>
      <c r="V269" s="941">
        <v>1.0</v>
      </c>
      <c r="W269" s="941">
        <v>1.0</v>
      </c>
      <c r="X269" s="941">
        <v>0.0</v>
      </c>
      <c r="Y269" s="941">
        <v>0.0</v>
      </c>
      <c r="Z269" s="941">
        <v>0.0</v>
      </c>
      <c r="AA269" s="941">
        <v>85.0</v>
      </c>
      <c r="AB269" s="941">
        <v>123.0</v>
      </c>
      <c r="AC269" s="941">
        <v>-38.0</v>
      </c>
      <c r="AD269" s="941">
        <v>4.0</v>
      </c>
      <c r="AE269" s="941">
        <v>5.0</v>
      </c>
      <c r="AF269" s="941">
        <v>0.0</v>
      </c>
      <c r="AG269" s="941">
        <v>1534.0</v>
      </c>
      <c r="AH269" s="941">
        <v>2003.0</v>
      </c>
      <c r="AI269" s="941">
        <v>12.0</v>
      </c>
      <c r="AJ269" s="941">
        <v>1.0</v>
      </c>
      <c r="AK269" s="941">
        <v>0.0</v>
      </c>
      <c r="AL269" s="941">
        <v>2.0</v>
      </c>
      <c r="AM269" s="941">
        <v>0.0</v>
      </c>
      <c r="AN269" s="941">
        <v>0.0</v>
      </c>
      <c r="AO269" s="941">
        <v>0.0</v>
      </c>
      <c r="AP269" s="941">
        <v>2.0</v>
      </c>
      <c r="AQ269" s="941">
        <v>0.0</v>
      </c>
      <c r="AR269" s="941">
        <v>13.0</v>
      </c>
      <c r="AS269" s="941">
        <v>1.0</v>
      </c>
      <c r="AT269" s="941">
        <v>0.0</v>
      </c>
      <c r="AU269" s="941">
        <v>0.0</v>
      </c>
      <c r="AV269" s="941">
        <v>0.0</v>
      </c>
      <c r="AW269" s="941">
        <v>0.0</v>
      </c>
      <c r="AX269" s="941">
        <v>0.0</v>
      </c>
      <c r="AY269" s="941">
        <v>0.0</v>
      </c>
      <c r="AZ269" s="941">
        <v>0.0</v>
      </c>
      <c r="BA269" s="941">
        <v>0.0</v>
      </c>
      <c r="BB269" s="941">
        <v>1.0</v>
      </c>
      <c r="BC269" s="941">
        <v>0.0</v>
      </c>
      <c r="BD269" s="941">
        <v>7.0</v>
      </c>
      <c r="BE269" s="941">
        <v>10.0</v>
      </c>
      <c r="BF269" s="941">
        <v>2.0</v>
      </c>
      <c r="BG269" s="942">
        <v>1.0</v>
      </c>
    </row>
    <row r="270">
      <c r="A270" s="935" t="s">
        <v>118</v>
      </c>
      <c r="B270" s="16" t="str">
        <f>IF(C270&lt;'PlayerGrades+'!$Y$44,"F-",IF(C270&lt;'PlayerGrades+'!$Y$43,"F",IF(C270&lt;'PlayerGrades+'!$Y$42,"F+",IF(C270&lt;'PlayerGrades+'!$Y$41,"E-",IF(C270&lt;'PlayerGrades+'!$Y$40,"E",IF(C270&lt;'PlayerGrades+'!$Y$39,"E+",IF(C270&lt;'PlayerGrades+'!$Y$38,"D-",IF(C270&lt;'PlayerGrades+'!$Y$37,"D",IF(C270&lt;'PlayerGrades+'!$Y$36,"D+",IF(C270&lt;'PlayerGrades+'!$Y$35,"C-",IF(C270&lt;'PlayerGrades+'!$Y$34,"C",IF(C270&lt;'PlayerGrades+'!$Y$33,"C+",IF(C270&lt;'PlayerGrades+'!$Y$32,"B-",IF(C270&lt;'PlayerGrades+'!$Y$31,"B",IF(C270&lt;'PlayerGrades+'!$Y$30,"B+",IF(C270&lt;'PlayerGrades+'!$Y$29,"A-",IF(C270&lt;'PlayerGrades+'!$Y$28,"A",IF(C270&lt;'PlayerGrades+'!$Y$27,"A+",IF(C270&lt;'PlayerGrades+'!$Y$26,"S-",IF(C270&lt;'PlayerGrades+'!$Y$25,"S","S+"))))))))))))))))))))</f>
        <v>B</v>
      </c>
      <c r="C270" s="936">
        <f>('PlayerGrades+'!$Y$47*(VLOOKUP(E270, 'PlayerGrades+'!$X$3:$Y$23, 2, FALSE)))+('PlayerGrades+'!$Y$48*(VLOOKUP(G270, 'PlayerGrades+'!$X$3:$Y$23, 2, FALSE)))+('PlayerGrades+'!$Y$49*(VLOOKUP(I270, 'PlayerGrades+'!$X$3:$Y$23, 2, FALSE)))+('PlayerGrades+'!$Y$50*(VLOOKUP(K270, 'PlayerGrades+'!$X$3:$Y$23, 2, FALSE)))+('PlayerGrades+'!$Y$51*(VLOOKUP(M270, 'PlayerGrades+'!$X$3:$Y$23, 2, FALSE)))+('PlayerGrades+'!$Y$52*(VLOOKUP(O270, 'PlayerGrades+'!$X$3:$Y$23, 2, FALSE)))+('PlayerGrades+'!$Y$53*(VLOOKUP(Q270, 'PlayerGrades+'!$X$3:$Y$23, 2, FALSE)))+('PlayerGrades+'!$Y$54*(VLOOKUP(S270, 'PlayerGrades+'!$X$3:$Y$23, 2, FALSE)))+('PlayerGrades+'!$Y$55*(VLOOKUP(U270, 'PlayerGrades+'!$X$3:$Y$23, 2, FALSE)))</f>
        <v>23.35</v>
      </c>
      <c r="D270" s="937">
        <f t="shared" si="1"/>
        <v>0.6290564154</v>
      </c>
      <c r="E270" s="937" t="str">
        <f>IF(D270&lt;'PlayerGrades+'!$AA$21,"F-",IF(D270&lt;'PlayerGrades+'!$AA$20,"F",IF(D270&lt;'PlayerGrades+'!$AA$19,"F+",IF(D270&lt;'PlayerGrades+'!$AA$18,"E-",IF(D270&lt;'PlayerGrades+'!$AA$17,"E",IF(D270&lt;'PlayerGrades+'!$AA$16,"E+",IF(D270&lt;'PlayerGrades+'!$AA$15,"D-",IF(D270&lt;'PlayerGrades+'!$AA$14,"D",IF(D270&lt;'PlayerGrades+'!$AA$13,"D+",IF(D270&lt;'PlayerGrades+'!$AA$12,"C-",IF(D270&lt;'PlayerGrades+'!$AA$11,"C",IF(D270&lt;'PlayerGrades+'!$AA$10,"C+",IF(D270&lt;'PlayerGrades+'!$AA$9,"B-",IF(D270&lt;'PlayerGrades+'!$AA$8,"B",IF(D270&lt;'PlayerGrades+'!$AA$7,"B+",IF(D270&lt;'PlayerGrades+'!$AA$6,"A-",IF(D270&lt;'PlayerGrades+'!$AA$5,"A",IF(D270&lt;'PlayerGrades+'!$AA$4,"A+",IF(D270&lt;'PlayerGrades+'!$AA$3,"S-",IF(D270&lt;'PlayerGrades+'!$AA$2,"S","S+"))))))))))))))))))))</f>
        <v>S-</v>
      </c>
      <c r="F270" s="937">
        <f t="shared" si="2"/>
        <v>0</v>
      </c>
      <c r="G270" s="937" t="str">
        <f>IF(F270&lt;'PlayerGrades+'!$AB$21,"F-",IF(F270&lt;'PlayerGrades+'!$AB$20,"F",IF(F270&lt;'PlayerGrades+'!$AB$19,"F+",IF(F270&lt;'PlayerGrades+'!$AB$18,"E-",IF(F270&lt;'PlayerGrades+'!$AB$17,"E",IF(F270&lt;'PlayerGrades+'!$AB$16,"E+",IF(F270&lt;'PlayerGrades+'!$AB$15,"D-",IF(F270&lt;'PlayerGrades+'!$AB$14,"D",IF(F270&lt;'PlayerGrades+'!$AB$13,"D+",IF(F270&lt;'PlayerGrades+'!$AB$12,"C-",IF(F270&lt;'PlayerGrades+'!$AB$11,"C",IF(F270&lt;'PlayerGrades+'!$AB$10,"C+",IF(F270&lt;'PlayerGrades+'!$AB$9,"B-",IF(F270&lt;'PlayerGrades+'!$AB$8,"B",IF(F270&lt;'PlayerGrades+'!$AB$7,"B+",IF(F270&lt;'PlayerGrades+'!$AB$6,"A-",IF(F270&lt;'PlayerGrades+'!$AB$5,"A",IF(F270&lt;'PlayerGrades+'!$AB$4,"A+",IF(F270&lt;'PlayerGrades+'!$AB$3,"S-",IF(F270&lt;'PlayerGrades+'!$AB$2,"S","S+"))))))))))))))))))))</f>
        <v>B</v>
      </c>
      <c r="H270" s="937">
        <f t="shared" si="3"/>
        <v>0.0299550674</v>
      </c>
      <c r="I270" s="937" t="str">
        <f>IF(H270&lt;'PlayerGrades+'!$AC$21,"F-",IF(H270&lt;'PlayerGrades+'!$AC$20,"F",IF(H270&lt;'PlayerGrades+'!$AC$19,"F+",IF(H270&lt;'PlayerGrades+'!$AC$18,"E-",IF(H270&lt;'PlayerGrades+'!$AC$17,"E",IF(H270&lt;'PlayerGrades+'!$AC$16,"E+",IF(H270&lt;'PlayerGrades+'!$AC$15,"D-",IF(H270&lt;'PlayerGrades+'!$AC$14,"D",IF(H270&lt;'PlayerGrades+'!$AC$13,"D+",IF(H270&lt;'PlayerGrades+'!$AC$12,"C-",IF(H270&lt;'PlayerGrades+'!$AC$11,"C",IF(H270&lt;'PlayerGrades+'!$AC$10,"C+",IF(H270&lt;'PlayerGrades+'!$AC$9,"B-",IF(H270&lt;'PlayerGrades+'!$AC$8,"B",IF(H270&lt;'PlayerGrades+'!$AC$7,"B+",IF(H270&lt;'PlayerGrades+'!$AC$6,"A-",IF(H270&lt;'PlayerGrades+'!$AC$5,"A",IF(H270&lt;'PlayerGrades+'!$AC$4,"A+",IF(H270&lt;'PlayerGrades+'!$AC$3,"S-",IF(H270&lt;'PlayerGrades+'!$AC$2,"S","S+"))))))))))))))))))))</f>
        <v>F-</v>
      </c>
      <c r="J270" s="937">
        <f t="shared" si="4"/>
        <v>0.0599101348</v>
      </c>
      <c r="K270" s="937" t="str">
        <f>IF(J270&lt;'PlayerGrades+'!$AD$21,"F-",IF(J270&lt;'PlayerGrades+'!$AD$20,"F",IF(J270&lt;'PlayerGrades+'!$AD$19,"F+",IF(J270&lt;'PlayerGrades+'!$AD$18,"E-",IF(J270&lt;'PlayerGrades+'!$AD$17,"E",IF(J270&lt;'PlayerGrades+'!$AD$16,"E+",IF(J270&lt;'PlayerGrades+'!$AD$15,"D-",IF(J270&lt;'PlayerGrades+'!$AD$14,"D",IF(J270&lt;'PlayerGrades+'!$AD$13,"D+",IF(J270&lt;'PlayerGrades+'!$AD$12,"C-",IF(J270&lt;'PlayerGrades+'!$AD$11,"C",IF(J270&lt;'PlayerGrades+'!$AD$10,"C+",IF(J270&lt;'PlayerGrades+'!$AD$9,"B-",IF(J270&lt;'PlayerGrades+'!$AD$8,"B",IF(J270&lt;'PlayerGrades+'!$AD$7,"B+",IF(J270&lt;'PlayerGrades+'!$AD$6,"A-",IF(J270&lt;'PlayerGrades+'!$AD$5,"A",IF(J270&lt;'PlayerGrades+'!$AD$4,"A+",IF(J270&lt;'PlayerGrades+'!$AD$3,"S-",IF(J270&lt;'PlayerGrades+'!$AD$2,"S","S+"))))))))))))))))))))</f>
        <v>B+</v>
      </c>
      <c r="L270" s="677">
        <f t="shared" si="5"/>
        <v>0.449326011</v>
      </c>
      <c r="M270" s="938" t="str">
        <f>IF(L270&lt;'PlayerGrades+'!$AE$21,"F-",IF(L270&lt;'PlayerGrades+'!$AE$20,"F",IF(L270&lt;'PlayerGrades+'!$AE$19,"F+",IF(L270&lt;'PlayerGrades+'!$AE$18,"E-",IF(L270&lt;'PlayerGrades+'!$AE$17,"E",IF(L270&lt;'PlayerGrades+'!$AE$16,"E+",IF(L270&lt;'PlayerGrades+'!$AE$15,"D-",IF(L270&lt;'PlayerGrades+'!$AE$14,"D",IF(L270&lt;'PlayerGrades+'!$AE$13,"D+",IF(L270&lt;'PlayerGrades+'!$AE$12,"C-",IF(L270&lt;'PlayerGrades+'!$AE$11,"C",IF(L270&lt;'PlayerGrades+'!$AE$10,"C+",IF(L270&lt;'PlayerGrades+'!$AE$9,"B-",IF(L270&lt;'PlayerGrades+'!$AE$8,"B",IF(L270&lt;'PlayerGrades+'!$AE$7,"B+",IF(L270&lt;'PlayerGrades+'!$AE$6,"A-",IF(L270&lt;'PlayerGrades+'!$AE$5,"A",IF(L270&lt;'PlayerGrades+'!$AE$4,"A+",IF(L270&lt;'PlayerGrades+'!$AE$3,"S-",IF(L270&lt;'PlayerGrades+'!$AE$2,"S","S+"))))))))))))))))))))</f>
        <v>B+</v>
      </c>
      <c r="N270" s="937">
        <f t="shared" si="6"/>
        <v>0.0599101348</v>
      </c>
      <c r="O270" s="937" t="str">
        <f>IF(N270&lt;'PlayerGrades+'!$AF$21,"F-",IF(N270&lt;'PlayerGrades+'!$AF$20,"F",IF(N270&lt;'PlayerGrades+'!$AF$19,"F+",IF(N270&lt;'PlayerGrades+'!$AF$18,"E-",IF(N270&lt;'PlayerGrades+'!$AF$17,"E",IF(N270&lt;'PlayerGrades+'!$AF$16,"E+",IF(N270&lt;'PlayerGrades+'!$AF$15,"D-",IF(N270&lt;'PlayerGrades+'!$AF$14,"D",IF(N270&lt;'PlayerGrades+'!$AF$13,"D+",IF(N270&lt;'PlayerGrades+'!$AF$12,"C-",IF(N270&lt;'PlayerGrades+'!$AF$11,"C",IF(N270&lt;'PlayerGrades+'!$AF$10,"C+",IF(N270&lt;'PlayerGrades+'!$AF$9,"B-",IF(N270&lt;'PlayerGrades+'!$AF$8,"B",IF(N270&lt;'PlayerGrades+'!$AF$7,"B+",IF(N270&lt;'PlayerGrades+'!$AF$6,"A-",IF(N270&lt;'PlayerGrades+'!$AF$5,"A",IF(N270&lt;'PlayerGrades+'!$AF$4,"A+",IF(N270&lt;'PlayerGrades+'!$AF$3,"S-",IF(N270&lt;'PlayerGrades+'!$AF$2,"S","S+"))))))))))))))))))))</f>
        <v>D+</v>
      </c>
      <c r="P270" s="937">
        <f t="shared" si="7"/>
        <v>0.0299550674</v>
      </c>
      <c r="Q270" s="937" t="str">
        <f>IF(P270&lt;'PlayerGrades+'!$AG$21,"F-",IF(P270&lt;'PlayerGrades+'!$AG$20,"F",IF(P270&lt;'PlayerGrades+'!$AG$19,"F+",IF(P270&lt;'PlayerGrades+'!$AG$18,"E-",IF(P270&lt;'PlayerGrades+'!$AG$17,"E",IF(P270&lt;'PlayerGrades+'!$AG$16,"E+",IF(P270&lt;'PlayerGrades+'!$AG$15,"D-",IF(P270&lt;'PlayerGrades+'!$AG$14,"D",IF(P270&lt;'PlayerGrades+'!$AG$13,"D+",IF(P270&lt;'PlayerGrades+'!$AG$12,"C-",IF(P270&lt;'PlayerGrades+'!$AG$11,"C",IF(P270&lt;'PlayerGrades+'!$AG$10,"C+",IF(P270&lt;'PlayerGrades+'!$AG$9,"B-",IF(P270&lt;'PlayerGrades+'!$AG$8,"B",IF(P270&lt;'PlayerGrades+'!$AG$7,"B+",IF(P270&lt;'PlayerGrades+'!$AG$6,"A-",IF(P270&lt;'PlayerGrades+'!$AG$5,"A",IF(P270&lt;'PlayerGrades+'!$AG$4,"A+",IF(P270&lt;'PlayerGrades+'!$AG$3,"S-",IF(P270&lt;'PlayerGrades+'!$AG$2,"S","S+"))))))))))))))))))))</f>
        <v>B</v>
      </c>
      <c r="R270" s="937">
        <f t="shared" si="8"/>
        <v>0.6290564154</v>
      </c>
      <c r="S270" s="937" t="str">
        <f>IF(R270&lt;'PlayerGrades+'!$AH$21,"F-",IF(R270&lt;'PlayerGrades+'!$AH$20,"F",IF(R270&lt;'PlayerGrades+'!$AH$19,"F+",IF(R270&lt;'PlayerGrades+'!$AH$18,"E-",IF(R270&lt;'PlayerGrades+'!$AH$17,"E",IF(R270&lt;'PlayerGrades+'!$AH$16,"E+",IF(R270&lt;'PlayerGrades+'!$AH$15,"D-",IF(R270&lt;'PlayerGrades+'!$AH$14,"D",IF(R270&lt;'PlayerGrades+'!$AH$13,"D+",IF(R270&lt;'PlayerGrades+'!$AH$12,"C-",IF(R270&lt;'PlayerGrades+'!$AH$11,"C",IF(R270&lt;'PlayerGrades+'!$AH$10,"C+",IF(R270&lt;'PlayerGrades+'!$AH$9,"B-",IF(R270&lt;'PlayerGrades+'!$AH$8,"B",IF(R270&lt;'PlayerGrades+'!$AH$7,"B+",IF(R270&lt;'PlayerGrades+'!$AH$6,"A-",IF(R270&lt;'PlayerGrades+'!$AH$5,"A",IF(R270&lt;'PlayerGrades+'!$AH$4,"A+",IF(R270&lt;'PlayerGrades+'!$AH$3,"S-",IF(R270&lt;'PlayerGrades+'!$AH$2,"S","S+"))))))))))))))))))))</f>
        <v>A</v>
      </c>
      <c r="T270" s="937">
        <f t="shared" si="9"/>
        <v>1.329505741</v>
      </c>
      <c r="U270" s="937" t="str">
        <f>IF(T270&lt;'PlayerGrades+'!$AI$21,"F-",IF(T270&lt;'PlayerGrades+'!$AI$20,"F",IF(T270&lt;'PlayerGrades+'!$AI$19,"F+",IF(T270&lt;'PlayerGrades+'!$AI$18,"E-",IF(T270&lt;'PlayerGrades+'!$AI$17,"E",IF(T270&lt;'PlayerGrades+'!$AI$16,"E+",IF(T270&lt;'PlayerGrades+'!$AI$15,"D-",IF(T270&lt;'PlayerGrades+'!$AI$14,"D",IF(T270&lt;'PlayerGrades+'!$AI$13,"D+",IF(T270&lt;'PlayerGrades+'!$AI$12,"C-",IF(T270&lt;'PlayerGrades+'!$AI$11,"C",IF(T270&lt;'PlayerGrades+'!$AI$10,"C+",IF(T270&lt;'PlayerGrades+'!$AI$9,"B-",IF(T270&lt;'PlayerGrades+'!$AI$8,"B",IF(T270&lt;'PlayerGrades+'!$AI$7,"B+",IF(T270&lt;'PlayerGrades+'!$AI$6,"A-",IF(T270&lt;'PlayerGrades+'!$AI$5,"A",IF(T270&lt;'PlayerGrades+'!$AI$4,"A+",IF(T270&lt;'PlayerGrades+'!$AI$3,"S-",IF(T270&lt;'PlayerGrades+'!$AI$2,"S","S+"))))))))))))))))))))</f>
        <v>B-</v>
      </c>
      <c r="V270" s="941">
        <v>1.0</v>
      </c>
      <c r="W270" s="941">
        <v>0.0</v>
      </c>
      <c r="X270" s="941">
        <v>1.0</v>
      </c>
      <c r="Y270" s="941">
        <v>2.0</v>
      </c>
      <c r="Z270" s="941">
        <v>19.0</v>
      </c>
      <c r="AA270" s="941">
        <v>91.0</v>
      </c>
      <c r="AB270" s="941">
        <v>91.0</v>
      </c>
      <c r="AC270" s="941">
        <v>0.0</v>
      </c>
      <c r="AD270" s="941">
        <v>5.0</v>
      </c>
      <c r="AE270" s="941">
        <v>11.0</v>
      </c>
      <c r="AF270" s="941">
        <v>2.0</v>
      </c>
      <c r="AG270" s="941">
        <v>1624.0</v>
      </c>
      <c r="AH270" s="941">
        <v>2003.0</v>
      </c>
      <c r="AI270" s="941">
        <v>17.0</v>
      </c>
      <c r="AJ270" s="941">
        <v>727.0</v>
      </c>
      <c r="AK270" s="941">
        <v>0.0</v>
      </c>
      <c r="AL270" s="941">
        <v>2.0</v>
      </c>
      <c r="AM270" s="941">
        <v>1.0</v>
      </c>
      <c r="AN270" s="941">
        <v>0.0</v>
      </c>
      <c r="AO270" s="941">
        <v>0.0</v>
      </c>
      <c r="AP270" s="941">
        <v>1.0</v>
      </c>
      <c r="AQ270" s="941">
        <v>0.0</v>
      </c>
      <c r="AR270" s="941">
        <v>15.0</v>
      </c>
      <c r="AS270" s="941">
        <v>2.0</v>
      </c>
      <c r="AT270" s="941">
        <v>0.0</v>
      </c>
      <c r="AU270" s="941">
        <v>0.0</v>
      </c>
      <c r="AV270" s="941">
        <v>0.0</v>
      </c>
      <c r="AW270" s="941">
        <v>0.0</v>
      </c>
      <c r="AX270" s="941">
        <v>0.0</v>
      </c>
      <c r="AY270" s="941">
        <v>0.0</v>
      </c>
      <c r="AZ270" s="941">
        <v>0.0</v>
      </c>
      <c r="BA270" s="941">
        <v>0.0</v>
      </c>
      <c r="BB270" s="941">
        <v>1.0</v>
      </c>
      <c r="BC270" s="941">
        <v>0.0</v>
      </c>
      <c r="BD270" s="941">
        <v>16.0</v>
      </c>
      <c r="BE270" s="941">
        <v>11.0</v>
      </c>
      <c r="BF270" s="941">
        <v>1.0</v>
      </c>
      <c r="BG270" s="942">
        <v>0.0</v>
      </c>
    </row>
    <row r="271">
      <c r="A271" s="935" t="s">
        <v>140</v>
      </c>
      <c r="B271" s="16" t="str">
        <f>IF(C271&lt;'PlayerGrades+'!$Y$44,"F-",IF(C271&lt;'PlayerGrades+'!$Y$43,"F",IF(C271&lt;'PlayerGrades+'!$Y$42,"F+",IF(C271&lt;'PlayerGrades+'!$Y$41,"E-",IF(C271&lt;'PlayerGrades+'!$Y$40,"E",IF(C271&lt;'PlayerGrades+'!$Y$39,"E+",IF(C271&lt;'PlayerGrades+'!$Y$38,"D-",IF(C271&lt;'PlayerGrades+'!$Y$37,"D",IF(C271&lt;'PlayerGrades+'!$Y$36,"D+",IF(C271&lt;'PlayerGrades+'!$Y$35,"C-",IF(C271&lt;'PlayerGrades+'!$Y$34,"C",IF(C271&lt;'PlayerGrades+'!$Y$33,"C+",IF(C271&lt;'PlayerGrades+'!$Y$32,"B-",IF(C271&lt;'PlayerGrades+'!$Y$31,"B",IF(C271&lt;'PlayerGrades+'!$Y$30,"B+",IF(C271&lt;'PlayerGrades+'!$Y$29,"A-",IF(C271&lt;'PlayerGrades+'!$Y$28,"A",IF(C271&lt;'PlayerGrades+'!$Y$27,"A+",IF(C271&lt;'PlayerGrades+'!$Y$26,"S-",IF(C271&lt;'PlayerGrades+'!$Y$25,"S","S+"))))))))))))))))))))</f>
        <v>E-</v>
      </c>
      <c r="C271" s="936">
        <f>('PlayerGrades+'!$Y$47*(VLOOKUP(E271, 'PlayerGrades+'!$X$3:$Y$23, 2, FALSE)))+('PlayerGrades+'!$Y$48*(VLOOKUP(G271, 'PlayerGrades+'!$X$3:$Y$23, 2, FALSE)))+('PlayerGrades+'!$Y$49*(VLOOKUP(I271, 'PlayerGrades+'!$X$3:$Y$23, 2, FALSE)))+('PlayerGrades+'!$Y$50*(VLOOKUP(K271, 'PlayerGrades+'!$X$3:$Y$23, 2, FALSE)))+('PlayerGrades+'!$Y$51*(VLOOKUP(M271, 'PlayerGrades+'!$X$3:$Y$23, 2, FALSE)))+('PlayerGrades+'!$Y$52*(VLOOKUP(O271, 'PlayerGrades+'!$X$3:$Y$23, 2, FALSE)))+('PlayerGrades+'!$Y$53*(VLOOKUP(Q271, 'PlayerGrades+'!$X$3:$Y$23, 2, FALSE)))+('PlayerGrades+'!$Y$54*(VLOOKUP(S271, 'PlayerGrades+'!$X$3:$Y$23, 2, FALSE)))+('PlayerGrades+'!$Y$55*(VLOOKUP(U271, 'PlayerGrades+'!$X$3:$Y$23, 2, FALSE)))</f>
        <v>12.5</v>
      </c>
      <c r="D271" s="937">
        <f t="shared" si="1"/>
        <v>0.0299550674</v>
      </c>
      <c r="E271" s="937" t="str">
        <f>IF(D271&lt;'PlayerGrades+'!$AA$21,"F-",IF(D271&lt;'PlayerGrades+'!$AA$20,"F",IF(D271&lt;'PlayerGrades+'!$AA$19,"F+",IF(D271&lt;'PlayerGrades+'!$AA$18,"E-",IF(D271&lt;'PlayerGrades+'!$AA$17,"E",IF(D271&lt;'PlayerGrades+'!$AA$16,"E+",IF(D271&lt;'PlayerGrades+'!$AA$15,"D-",IF(D271&lt;'PlayerGrades+'!$AA$14,"D",IF(D271&lt;'PlayerGrades+'!$AA$13,"D+",IF(D271&lt;'PlayerGrades+'!$AA$12,"C-",IF(D271&lt;'PlayerGrades+'!$AA$11,"C",IF(D271&lt;'PlayerGrades+'!$AA$10,"C+",IF(D271&lt;'PlayerGrades+'!$AA$9,"B-",IF(D271&lt;'PlayerGrades+'!$AA$8,"B",IF(D271&lt;'PlayerGrades+'!$AA$7,"B+",IF(D271&lt;'PlayerGrades+'!$AA$6,"A-",IF(D271&lt;'PlayerGrades+'!$AA$5,"A",IF(D271&lt;'PlayerGrades+'!$AA$4,"A+",IF(D271&lt;'PlayerGrades+'!$AA$3,"S-",IF(D271&lt;'PlayerGrades+'!$AA$2,"S","S+"))))))))))))))))))))</f>
        <v>D</v>
      </c>
      <c r="F271" s="937">
        <f t="shared" si="2"/>
        <v>-0.748876685</v>
      </c>
      <c r="G271" s="937" t="str">
        <f>IF(F271&lt;'PlayerGrades+'!$AB$21,"F-",IF(F271&lt;'PlayerGrades+'!$AB$20,"F",IF(F271&lt;'PlayerGrades+'!$AB$19,"F+",IF(F271&lt;'PlayerGrades+'!$AB$18,"E-",IF(F271&lt;'PlayerGrades+'!$AB$17,"E",IF(F271&lt;'PlayerGrades+'!$AB$16,"E+",IF(F271&lt;'PlayerGrades+'!$AB$15,"D-",IF(F271&lt;'PlayerGrades+'!$AB$14,"D",IF(F271&lt;'PlayerGrades+'!$AB$13,"D+",IF(F271&lt;'PlayerGrades+'!$AB$12,"C-",IF(F271&lt;'PlayerGrades+'!$AB$11,"C",IF(F271&lt;'PlayerGrades+'!$AB$10,"C+",IF(F271&lt;'PlayerGrades+'!$AB$9,"B-",IF(F271&lt;'PlayerGrades+'!$AB$8,"B",IF(F271&lt;'PlayerGrades+'!$AB$7,"B+",IF(F271&lt;'PlayerGrades+'!$AB$6,"A-",IF(F271&lt;'PlayerGrades+'!$AB$5,"A",IF(F271&lt;'PlayerGrades+'!$AB$4,"A+",IF(F271&lt;'PlayerGrades+'!$AB$3,"S-",IF(F271&lt;'PlayerGrades+'!$AB$2,"S","S+"))))))))))))))))))))</f>
        <v>E+</v>
      </c>
      <c r="H271" s="937">
        <f t="shared" si="3"/>
        <v>0.1797304044</v>
      </c>
      <c r="I271" s="937" t="str">
        <f>IF(H271&lt;'PlayerGrades+'!$AC$21,"F-",IF(H271&lt;'PlayerGrades+'!$AC$20,"F",IF(H271&lt;'PlayerGrades+'!$AC$19,"F+",IF(H271&lt;'PlayerGrades+'!$AC$18,"E-",IF(H271&lt;'PlayerGrades+'!$AC$17,"E",IF(H271&lt;'PlayerGrades+'!$AC$16,"E+",IF(H271&lt;'PlayerGrades+'!$AC$15,"D-",IF(H271&lt;'PlayerGrades+'!$AC$14,"D",IF(H271&lt;'PlayerGrades+'!$AC$13,"D+",IF(H271&lt;'PlayerGrades+'!$AC$12,"C-",IF(H271&lt;'PlayerGrades+'!$AC$11,"C",IF(H271&lt;'PlayerGrades+'!$AC$10,"C+",IF(H271&lt;'PlayerGrades+'!$AC$9,"B-",IF(H271&lt;'PlayerGrades+'!$AC$8,"B",IF(H271&lt;'PlayerGrades+'!$AC$7,"B+",IF(H271&lt;'PlayerGrades+'!$AC$6,"A-",IF(H271&lt;'PlayerGrades+'!$AC$5,"A",IF(H271&lt;'PlayerGrades+'!$AC$4,"A+",IF(H271&lt;'PlayerGrades+'!$AC$3,"S-",IF(H271&lt;'PlayerGrades+'!$AC$2,"S","S+"))))))))))))))))))))</f>
        <v>S-</v>
      </c>
      <c r="J271" s="937">
        <f t="shared" si="4"/>
        <v>0.0299550674</v>
      </c>
      <c r="K271" s="937" t="str">
        <f>IF(J271&lt;'PlayerGrades+'!$AD$21,"F-",IF(J271&lt;'PlayerGrades+'!$AD$20,"F",IF(J271&lt;'PlayerGrades+'!$AD$19,"F+",IF(J271&lt;'PlayerGrades+'!$AD$18,"E-",IF(J271&lt;'PlayerGrades+'!$AD$17,"E",IF(J271&lt;'PlayerGrades+'!$AD$16,"E+",IF(J271&lt;'PlayerGrades+'!$AD$15,"D-",IF(J271&lt;'PlayerGrades+'!$AD$14,"D",IF(J271&lt;'PlayerGrades+'!$AD$13,"D+",IF(J271&lt;'PlayerGrades+'!$AD$12,"C-",IF(J271&lt;'PlayerGrades+'!$AD$11,"C",IF(J271&lt;'PlayerGrades+'!$AD$10,"C+",IF(J271&lt;'PlayerGrades+'!$AD$9,"B-",IF(J271&lt;'PlayerGrades+'!$AD$8,"B",IF(J271&lt;'PlayerGrades+'!$AD$7,"B+",IF(J271&lt;'PlayerGrades+'!$AD$6,"A-",IF(J271&lt;'PlayerGrades+'!$AD$5,"A",IF(J271&lt;'PlayerGrades+'!$AD$4,"A+",IF(J271&lt;'PlayerGrades+'!$AD$3,"S-",IF(J271&lt;'PlayerGrades+'!$AD$2,"S","S+"))))))))))))))))))))</f>
        <v>C-</v>
      </c>
      <c r="L271" s="677">
        <f t="shared" si="5"/>
        <v>0.3594608088</v>
      </c>
      <c r="M271" s="938" t="str">
        <f>IF(L271&lt;'PlayerGrades+'!$AE$21,"F-",IF(L271&lt;'PlayerGrades+'!$AE$20,"F",IF(L271&lt;'PlayerGrades+'!$AE$19,"F+",IF(L271&lt;'PlayerGrades+'!$AE$18,"E-",IF(L271&lt;'PlayerGrades+'!$AE$17,"E",IF(L271&lt;'PlayerGrades+'!$AE$16,"E+",IF(L271&lt;'PlayerGrades+'!$AE$15,"D-",IF(L271&lt;'PlayerGrades+'!$AE$14,"D",IF(L271&lt;'PlayerGrades+'!$AE$13,"D+",IF(L271&lt;'PlayerGrades+'!$AE$12,"C-",IF(L271&lt;'PlayerGrades+'!$AE$11,"C",IF(L271&lt;'PlayerGrades+'!$AE$10,"C+",IF(L271&lt;'PlayerGrades+'!$AE$9,"B-",IF(L271&lt;'PlayerGrades+'!$AE$8,"B",IF(L271&lt;'PlayerGrades+'!$AE$7,"B+",IF(L271&lt;'PlayerGrades+'!$AE$6,"A-",IF(L271&lt;'PlayerGrades+'!$AE$5,"A",IF(L271&lt;'PlayerGrades+'!$AE$4,"A+",IF(L271&lt;'PlayerGrades+'!$AE$3,"S-",IF(L271&lt;'PlayerGrades+'!$AE$2,"S","S+"))))))))))))))))))))</f>
        <v>D+</v>
      </c>
      <c r="N271" s="937">
        <f t="shared" si="6"/>
        <v>0</v>
      </c>
      <c r="O271" s="937" t="str">
        <f>IF(N271&lt;'PlayerGrades+'!$AF$21,"F-",IF(N271&lt;'PlayerGrades+'!$AF$20,"F",IF(N271&lt;'PlayerGrades+'!$AF$19,"F+",IF(N271&lt;'PlayerGrades+'!$AF$18,"E-",IF(N271&lt;'PlayerGrades+'!$AF$17,"E",IF(N271&lt;'PlayerGrades+'!$AF$16,"E+",IF(N271&lt;'PlayerGrades+'!$AF$15,"D-",IF(N271&lt;'PlayerGrades+'!$AF$14,"D",IF(N271&lt;'PlayerGrades+'!$AF$13,"D+",IF(N271&lt;'PlayerGrades+'!$AF$12,"C-",IF(N271&lt;'PlayerGrades+'!$AF$11,"C",IF(N271&lt;'PlayerGrades+'!$AF$10,"C+",IF(N271&lt;'PlayerGrades+'!$AF$9,"B-",IF(N271&lt;'PlayerGrades+'!$AF$8,"B",IF(N271&lt;'PlayerGrades+'!$AF$7,"B+",IF(N271&lt;'PlayerGrades+'!$AF$6,"A-",IF(N271&lt;'PlayerGrades+'!$AF$5,"A",IF(N271&lt;'PlayerGrades+'!$AF$4,"A+",IF(N271&lt;'PlayerGrades+'!$AF$3,"S-",IF(N271&lt;'PlayerGrades+'!$AF$2,"S","S+"))))))))))))))))))))</f>
        <v>F-</v>
      </c>
      <c r="P271" s="937">
        <f t="shared" si="7"/>
        <v>0</v>
      </c>
      <c r="Q271" s="937" t="str">
        <f>IF(P271&lt;'PlayerGrades+'!$AG$21,"F-",IF(P271&lt;'PlayerGrades+'!$AG$20,"F",IF(P271&lt;'PlayerGrades+'!$AG$19,"F+",IF(P271&lt;'PlayerGrades+'!$AG$18,"E-",IF(P271&lt;'PlayerGrades+'!$AG$17,"E",IF(P271&lt;'PlayerGrades+'!$AG$16,"E+",IF(P271&lt;'PlayerGrades+'!$AG$15,"D-",IF(P271&lt;'PlayerGrades+'!$AG$14,"D",IF(P271&lt;'PlayerGrades+'!$AG$13,"D+",IF(P271&lt;'PlayerGrades+'!$AG$12,"C-",IF(P271&lt;'PlayerGrades+'!$AG$11,"C",IF(P271&lt;'PlayerGrades+'!$AG$10,"C+",IF(P271&lt;'PlayerGrades+'!$AG$9,"B-",IF(P271&lt;'PlayerGrades+'!$AG$8,"B",IF(P271&lt;'PlayerGrades+'!$AG$7,"B+",IF(P271&lt;'PlayerGrades+'!$AG$6,"A-",IF(P271&lt;'PlayerGrades+'!$AG$5,"A",IF(P271&lt;'PlayerGrades+'!$AG$4,"A+",IF(P271&lt;'PlayerGrades+'!$AG$3,"S-",IF(P271&lt;'PlayerGrades+'!$AG$2,"S","S+"))))))))))))))))))))</f>
        <v>F</v>
      </c>
      <c r="R271" s="937">
        <f t="shared" si="8"/>
        <v>0.3894158762</v>
      </c>
      <c r="S271" s="937" t="str">
        <f>IF(R271&lt;'PlayerGrades+'!$AH$21,"F-",IF(R271&lt;'PlayerGrades+'!$AH$20,"F",IF(R271&lt;'PlayerGrades+'!$AH$19,"F+",IF(R271&lt;'PlayerGrades+'!$AH$18,"E-",IF(R271&lt;'PlayerGrades+'!$AH$17,"E",IF(R271&lt;'PlayerGrades+'!$AH$16,"E+",IF(R271&lt;'PlayerGrades+'!$AH$15,"D-",IF(R271&lt;'PlayerGrades+'!$AH$14,"D",IF(R271&lt;'PlayerGrades+'!$AH$13,"D+",IF(R271&lt;'PlayerGrades+'!$AH$12,"C-",IF(R271&lt;'PlayerGrades+'!$AH$11,"C",IF(R271&lt;'PlayerGrades+'!$AH$10,"C+",IF(R271&lt;'PlayerGrades+'!$AH$9,"B-",IF(R271&lt;'PlayerGrades+'!$AH$8,"B",IF(R271&lt;'PlayerGrades+'!$AH$7,"B+",IF(R271&lt;'PlayerGrades+'!$AH$6,"A-",IF(R271&lt;'PlayerGrades+'!$AH$5,"A",IF(R271&lt;'PlayerGrades+'!$AH$4,"A+",IF(R271&lt;'PlayerGrades+'!$AH$3,"S-",IF(R271&lt;'PlayerGrades+'!$AH$2,"S","S+"))))))))))))))))))))</f>
        <v>F</v>
      </c>
      <c r="T271" s="937">
        <f t="shared" si="9"/>
        <v>0.3295057414</v>
      </c>
      <c r="U271" s="937" t="str">
        <f>IF(T271&lt;'PlayerGrades+'!$AI$21,"F-",IF(T271&lt;'PlayerGrades+'!$AI$20,"F",IF(T271&lt;'PlayerGrades+'!$AI$19,"F+",IF(T271&lt;'PlayerGrades+'!$AI$18,"E-",IF(T271&lt;'PlayerGrades+'!$AI$17,"E",IF(T271&lt;'PlayerGrades+'!$AI$16,"E+",IF(T271&lt;'PlayerGrades+'!$AI$15,"D-",IF(T271&lt;'PlayerGrades+'!$AI$14,"D",IF(T271&lt;'PlayerGrades+'!$AI$13,"D+",IF(T271&lt;'PlayerGrades+'!$AI$12,"C-",IF(T271&lt;'PlayerGrades+'!$AI$11,"C",IF(T271&lt;'PlayerGrades+'!$AI$10,"C+",IF(T271&lt;'PlayerGrades+'!$AI$9,"B-",IF(T271&lt;'PlayerGrades+'!$AI$8,"B",IF(T271&lt;'PlayerGrades+'!$AI$7,"B+",IF(T271&lt;'PlayerGrades+'!$AI$6,"A-",IF(T271&lt;'PlayerGrades+'!$AI$5,"A",IF(T271&lt;'PlayerGrades+'!$AI$4,"A+",IF(T271&lt;'PlayerGrades+'!$AI$3,"S-",IF(T271&lt;'PlayerGrades+'!$AI$2,"S","S+"))))))))))))))))))))</f>
        <v>F-</v>
      </c>
      <c r="V271" s="941">
        <v>1.0</v>
      </c>
      <c r="W271" s="941">
        <v>0.0</v>
      </c>
      <c r="X271" s="941">
        <v>1.0</v>
      </c>
      <c r="Y271" s="941">
        <v>1.0</v>
      </c>
      <c r="Z271" s="941">
        <v>0.0</v>
      </c>
      <c r="AA271" s="941">
        <v>90.0</v>
      </c>
      <c r="AB271" s="941">
        <v>115.0</v>
      </c>
      <c r="AC271" s="941">
        <v>-25.0</v>
      </c>
      <c r="AD271" s="941">
        <v>6.0</v>
      </c>
      <c r="AE271" s="941">
        <v>5.0</v>
      </c>
      <c r="AF271" s="941">
        <v>0.0</v>
      </c>
      <c r="AG271" s="941">
        <v>1548.0</v>
      </c>
      <c r="AH271" s="941">
        <v>2003.0</v>
      </c>
      <c r="AI271" s="941">
        <v>13.0</v>
      </c>
      <c r="AJ271" s="941">
        <v>3.0</v>
      </c>
      <c r="AK271" s="941">
        <v>0.0</v>
      </c>
      <c r="AL271" s="941">
        <v>1.0</v>
      </c>
      <c r="AM271" s="941">
        <v>0.0</v>
      </c>
      <c r="AN271" s="941">
        <v>0.0</v>
      </c>
      <c r="AO271" s="941">
        <v>0.0</v>
      </c>
      <c r="AP271" s="941">
        <v>0.0</v>
      </c>
      <c r="AQ271" s="941">
        <v>0.0</v>
      </c>
      <c r="AR271" s="941">
        <v>12.0</v>
      </c>
      <c r="AS271" s="941">
        <v>0.0</v>
      </c>
      <c r="AT271" s="941">
        <v>0.0</v>
      </c>
      <c r="AU271" s="941">
        <v>0.0</v>
      </c>
      <c r="AV271" s="941">
        <v>0.0</v>
      </c>
      <c r="AW271" s="941">
        <v>0.0</v>
      </c>
      <c r="AX271" s="941">
        <v>0.0</v>
      </c>
      <c r="AY271" s="941">
        <v>0.0</v>
      </c>
      <c r="AZ271" s="941">
        <v>0.0</v>
      </c>
      <c r="BA271" s="941">
        <v>0.0</v>
      </c>
      <c r="BB271" s="941">
        <v>6.0</v>
      </c>
      <c r="BC271" s="941">
        <v>0.0</v>
      </c>
      <c r="BD271" s="941">
        <v>7.0</v>
      </c>
      <c r="BE271" s="941">
        <v>11.0</v>
      </c>
      <c r="BF271" s="941">
        <v>0.0</v>
      </c>
      <c r="BG271" s="942">
        <v>0.0</v>
      </c>
    </row>
    <row r="272">
      <c r="A272" s="935" t="s">
        <v>151</v>
      </c>
      <c r="B272" s="16" t="str">
        <f>IF(C272&lt;'PlayerGrades+'!$Y$44,"F-",IF(C272&lt;'PlayerGrades+'!$Y$43,"F",IF(C272&lt;'PlayerGrades+'!$Y$42,"F+",IF(C272&lt;'PlayerGrades+'!$Y$41,"E-",IF(C272&lt;'PlayerGrades+'!$Y$40,"E",IF(C272&lt;'PlayerGrades+'!$Y$39,"E+",IF(C272&lt;'PlayerGrades+'!$Y$38,"D-",IF(C272&lt;'PlayerGrades+'!$Y$37,"D",IF(C272&lt;'PlayerGrades+'!$Y$36,"D+",IF(C272&lt;'PlayerGrades+'!$Y$35,"C-",IF(C272&lt;'PlayerGrades+'!$Y$34,"C",IF(C272&lt;'PlayerGrades+'!$Y$33,"C+",IF(C272&lt;'PlayerGrades+'!$Y$32,"B-",IF(C272&lt;'PlayerGrades+'!$Y$31,"B",IF(C272&lt;'PlayerGrades+'!$Y$30,"B+",IF(C272&lt;'PlayerGrades+'!$Y$29,"A-",IF(C272&lt;'PlayerGrades+'!$Y$28,"A",IF(C272&lt;'PlayerGrades+'!$Y$27,"A+",IF(C272&lt;'PlayerGrades+'!$Y$26,"S-",IF(C272&lt;'PlayerGrades+'!$Y$25,"S","S+"))))))))))))))))))))</f>
        <v>C-</v>
      </c>
      <c r="C272" s="936">
        <f>('PlayerGrades+'!$Y$47*(VLOOKUP(E272, 'PlayerGrades+'!$X$3:$Y$23, 2, FALSE)))+('PlayerGrades+'!$Y$48*(VLOOKUP(G272, 'PlayerGrades+'!$X$3:$Y$23, 2, FALSE)))+('PlayerGrades+'!$Y$49*(VLOOKUP(I272, 'PlayerGrades+'!$X$3:$Y$23, 2, FALSE)))+('PlayerGrades+'!$Y$50*(VLOOKUP(K272, 'PlayerGrades+'!$X$3:$Y$23, 2, FALSE)))+('PlayerGrades+'!$Y$51*(VLOOKUP(M272, 'PlayerGrades+'!$X$3:$Y$23, 2, FALSE)))+('PlayerGrades+'!$Y$52*(VLOOKUP(O272, 'PlayerGrades+'!$X$3:$Y$23, 2, FALSE)))+('PlayerGrades+'!$Y$53*(VLOOKUP(Q272, 'PlayerGrades+'!$X$3:$Y$23, 2, FALSE)))+('PlayerGrades+'!$Y$54*(VLOOKUP(S272, 'PlayerGrades+'!$X$3:$Y$23, 2, FALSE)))+('PlayerGrades+'!$Y$55*(VLOOKUP(U272, 'PlayerGrades+'!$X$3:$Y$23, 2, FALSE)))</f>
        <v>18.9</v>
      </c>
      <c r="D272" s="937">
        <f t="shared" si="1"/>
        <v>0</v>
      </c>
      <c r="E272" s="937" t="str">
        <f>IF(D272&lt;'PlayerGrades+'!$AA$21,"F-",IF(D272&lt;'PlayerGrades+'!$AA$20,"F",IF(D272&lt;'PlayerGrades+'!$AA$19,"F+",IF(D272&lt;'PlayerGrades+'!$AA$18,"E-",IF(D272&lt;'PlayerGrades+'!$AA$17,"E",IF(D272&lt;'PlayerGrades+'!$AA$16,"E+",IF(D272&lt;'PlayerGrades+'!$AA$15,"D-",IF(D272&lt;'PlayerGrades+'!$AA$14,"D",IF(D272&lt;'PlayerGrades+'!$AA$13,"D+",IF(D272&lt;'PlayerGrades+'!$AA$12,"C-",IF(D272&lt;'PlayerGrades+'!$AA$11,"C",IF(D272&lt;'PlayerGrades+'!$AA$10,"C+",IF(D272&lt;'PlayerGrades+'!$AA$9,"B-",IF(D272&lt;'PlayerGrades+'!$AA$8,"B",IF(D272&lt;'PlayerGrades+'!$AA$7,"B+",IF(D272&lt;'PlayerGrades+'!$AA$6,"A-",IF(D272&lt;'PlayerGrades+'!$AA$5,"A",IF(D272&lt;'PlayerGrades+'!$AA$4,"A+",IF(D272&lt;'PlayerGrades+'!$AA$3,"S-",IF(D272&lt;'PlayerGrades+'!$AA$2,"S","S+"))))))))))))))))))))</f>
        <v>F-</v>
      </c>
      <c r="F272" s="937">
        <f t="shared" si="2"/>
        <v>-0.5391912132</v>
      </c>
      <c r="G272" s="937" t="str">
        <f>IF(F272&lt;'PlayerGrades+'!$AB$21,"F-",IF(F272&lt;'PlayerGrades+'!$AB$20,"F",IF(F272&lt;'PlayerGrades+'!$AB$19,"F+",IF(F272&lt;'PlayerGrades+'!$AB$18,"E-",IF(F272&lt;'PlayerGrades+'!$AB$17,"E",IF(F272&lt;'PlayerGrades+'!$AB$16,"E+",IF(F272&lt;'PlayerGrades+'!$AB$15,"D-",IF(F272&lt;'PlayerGrades+'!$AB$14,"D",IF(F272&lt;'PlayerGrades+'!$AB$13,"D+",IF(F272&lt;'PlayerGrades+'!$AB$12,"C-",IF(F272&lt;'PlayerGrades+'!$AB$11,"C",IF(F272&lt;'PlayerGrades+'!$AB$10,"C+",IF(F272&lt;'PlayerGrades+'!$AB$9,"B-",IF(F272&lt;'PlayerGrades+'!$AB$8,"B",IF(F272&lt;'PlayerGrades+'!$AB$7,"B+",IF(F272&lt;'PlayerGrades+'!$AB$6,"A-",IF(F272&lt;'PlayerGrades+'!$AB$5,"A",IF(F272&lt;'PlayerGrades+'!$AB$4,"A+",IF(F272&lt;'PlayerGrades+'!$AB$3,"S-",IF(F272&lt;'PlayerGrades+'!$AB$2,"S","S+"))))))))))))))))))))</f>
        <v>D</v>
      </c>
      <c r="H272" s="937">
        <f t="shared" si="3"/>
        <v>0.0599101348</v>
      </c>
      <c r="I272" s="937" t="str">
        <f>IF(H272&lt;'PlayerGrades+'!$AC$21,"F-",IF(H272&lt;'PlayerGrades+'!$AC$20,"F",IF(H272&lt;'PlayerGrades+'!$AC$19,"F+",IF(H272&lt;'PlayerGrades+'!$AC$18,"E-",IF(H272&lt;'PlayerGrades+'!$AC$17,"E",IF(H272&lt;'PlayerGrades+'!$AC$16,"E+",IF(H272&lt;'PlayerGrades+'!$AC$15,"D-",IF(H272&lt;'PlayerGrades+'!$AC$14,"D",IF(H272&lt;'PlayerGrades+'!$AC$13,"D+",IF(H272&lt;'PlayerGrades+'!$AC$12,"C-",IF(H272&lt;'PlayerGrades+'!$AC$11,"C",IF(H272&lt;'PlayerGrades+'!$AC$10,"C+",IF(H272&lt;'PlayerGrades+'!$AC$9,"B-",IF(H272&lt;'PlayerGrades+'!$AC$8,"B",IF(H272&lt;'PlayerGrades+'!$AC$7,"B+",IF(H272&lt;'PlayerGrades+'!$AC$6,"A-",IF(H272&lt;'PlayerGrades+'!$AC$5,"A",IF(H272&lt;'PlayerGrades+'!$AC$4,"A+",IF(H272&lt;'PlayerGrades+'!$AC$3,"S-",IF(H272&lt;'PlayerGrades+'!$AC$2,"S","S+"))))))))))))))))))))</f>
        <v>E-</v>
      </c>
      <c r="J272" s="937">
        <f t="shared" si="4"/>
        <v>0.0599101348</v>
      </c>
      <c r="K272" s="937" t="str">
        <f>IF(J272&lt;'PlayerGrades+'!$AD$21,"F-",IF(J272&lt;'PlayerGrades+'!$AD$20,"F",IF(J272&lt;'PlayerGrades+'!$AD$19,"F+",IF(J272&lt;'PlayerGrades+'!$AD$18,"E-",IF(J272&lt;'PlayerGrades+'!$AD$17,"E",IF(J272&lt;'PlayerGrades+'!$AD$16,"E+",IF(J272&lt;'PlayerGrades+'!$AD$15,"D-",IF(J272&lt;'PlayerGrades+'!$AD$14,"D",IF(J272&lt;'PlayerGrades+'!$AD$13,"D+",IF(J272&lt;'PlayerGrades+'!$AD$12,"C-",IF(J272&lt;'PlayerGrades+'!$AD$11,"C",IF(J272&lt;'PlayerGrades+'!$AD$10,"C+",IF(J272&lt;'PlayerGrades+'!$AD$9,"B-",IF(J272&lt;'PlayerGrades+'!$AD$8,"B",IF(J272&lt;'PlayerGrades+'!$AD$7,"B+",IF(J272&lt;'PlayerGrades+'!$AD$6,"A-",IF(J272&lt;'PlayerGrades+'!$AD$5,"A",IF(J272&lt;'PlayerGrades+'!$AD$4,"A+",IF(J272&lt;'PlayerGrades+'!$AD$3,"S-",IF(J272&lt;'PlayerGrades+'!$AD$2,"S","S+"))))))))))))))))))))</f>
        <v>B+</v>
      </c>
      <c r="L272" s="677">
        <f t="shared" si="5"/>
        <v>0.3295057414</v>
      </c>
      <c r="M272" s="938" t="str">
        <f>IF(L272&lt;'PlayerGrades+'!$AE$21,"F-",IF(L272&lt;'PlayerGrades+'!$AE$20,"F",IF(L272&lt;'PlayerGrades+'!$AE$19,"F+",IF(L272&lt;'PlayerGrades+'!$AE$18,"E-",IF(L272&lt;'PlayerGrades+'!$AE$17,"E",IF(L272&lt;'PlayerGrades+'!$AE$16,"E+",IF(L272&lt;'PlayerGrades+'!$AE$15,"D-",IF(L272&lt;'PlayerGrades+'!$AE$14,"D",IF(L272&lt;'PlayerGrades+'!$AE$13,"D+",IF(L272&lt;'PlayerGrades+'!$AE$12,"C-",IF(L272&lt;'PlayerGrades+'!$AE$11,"C",IF(L272&lt;'PlayerGrades+'!$AE$10,"C+",IF(L272&lt;'PlayerGrades+'!$AE$9,"B-",IF(L272&lt;'PlayerGrades+'!$AE$8,"B",IF(L272&lt;'PlayerGrades+'!$AE$7,"B+",IF(L272&lt;'PlayerGrades+'!$AE$6,"A-",IF(L272&lt;'PlayerGrades+'!$AE$5,"A",IF(L272&lt;'PlayerGrades+'!$AE$4,"A+",IF(L272&lt;'PlayerGrades+'!$AE$3,"S-",IF(L272&lt;'PlayerGrades+'!$AE$2,"S","S+"))))))))))))))))))))</f>
        <v>E+</v>
      </c>
      <c r="N272" s="937">
        <f t="shared" si="6"/>
        <v>0.1198202696</v>
      </c>
      <c r="O272" s="937" t="str">
        <f>IF(N272&lt;'PlayerGrades+'!$AF$21,"F-",IF(N272&lt;'PlayerGrades+'!$AF$20,"F",IF(N272&lt;'PlayerGrades+'!$AF$19,"F+",IF(N272&lt;'PlayerGrades+'!$AF$18,"E-",IF(N272&lt;'PlayerGrades+'!$AF$17,"E",IF(N272&lt;'PlayerGrades+'!$AF$16,"E+",IF(N272&lt;'PlayerGrades+'!$AF$15,"D-",IF(N272&lt;'PlayerGrades+'!$AF$14,"D",IF(N272&lt;'PlayerGrades+'!$AF$13,"D+",IF(N272&lt;'PlayerGrades+'!$AF$12,"C-",IF(N272&lt;'PlayerGrades+'!$AF$11,"C",IF(N272&lt;'PlayerGrades+'!$AF$10,"C+",IF(N272&lt;'PlayerGrades+'!$AF$9,"B-",IF(N272&lt;'PlayerGrades+'!$AF$8,"B",IF(N272&lt;'PlayerGrades+'!$AF$7,"B+",IF(N272&lt;'PlayerGrades+'!$AF$6,"A-",IF(N272&lt;'PlayerGrades+'!$AF$5,"A",IF(N272&lt;'PlayerGrades+'!$AF$4,"A+",IF(N272&lt;'PlayerGrades+'!$AF$3,"S-",IF(N272&lt;'PlayerGrades+'!$AF$2,"S","S+"))))))))))))))))))))</f>
        <v>S-</v>
      </c>
      <c r="P272" s="937">
        <f t="shared" si="7"/>
        <v>0.0599101348</v>
      </c>
      <c r="Q272" s="937" t="str">
        <f>IF(P272&lt;'PlayerGrades+'!$AG$21,"F-",IF(P272&lt;'PlayerGrades+'!$AG$20,"F",IF(P272&lt;'PlayerGrades+'!$AG$19,"F+",IF(P272&lt;'PlayerGrades+'!$AG$18,"E-",IF(P272&lt;'PlayerGrades+'!$AG$17,"E",IF(P272&lt;'PlayerGrades+'!$AG$16,"E+",IF(P272&lt;'PlayerGrades+'!$AG$15,"D-",IF(P272&lt;'PlayerGrades+'!$AG$14,"D",IF(P272&lt;'PlayerGrades+'!$AG$13,"D+",IF(P272&lt;'PlayerGrades+'!$AG$12,"C-",IF(P272&lt;'PlayerGrades+'!$AG$11,"C",IF(P272&lt;'PlayerGrades+'!$AG$10,"C+",IF(P272&lt;'PlayerGrades+'!$AG$9,"B-",IF(P272&lt;'PlayerGrades+'!$AG$8,"B",IF(P272&lt;'PlayerGrades+'!$AG$7,"B+",IF(P272&lt;'PlayerGrades+'!$AG$6,"A-",IF(P272&lt;'PlayerGrades+'!$AG$5,"A",IF(P272&lt;'PlayerGrades+'!$AG$4,"A+",IF(P272&lt;'PlayerGrades+'!$AG$3,"S-",IF(P272&lt;'PlayerGrades+'!$AG$2,"S","S+"))))))))))))))))))))</f>
        <v>A</v>
      </c>
      <c r="R272" s="937">
        <f t="shared" si="8"/>
        <v>0.5092361458</v>
      </c>
      <c r="S272" s="937" t="str">
        <f>IF(R272&lt;'PlayerGrades+'!$AH$21,"F-",IF(R272&lt;'PlayerGrades+'!$AH$20,"F",IF(R272&lt;'PlayerGrades+'!$AH$19,"F+",IF(R272&lt;'PlayerGrades+'!$AH$18,"E-",IF(R272&lt;'PlayerGrades+'!$AH$17,"E",IF(R272&lt;'PlayerGrades+'!$AH$16,"E+",IF(R272&lt;'PlayerGrades+'!$AH$15,"D-",IF(R272&lt;'PlayerGrades+'!$AH$14,"D",IF(R272&lt;'PlayerGrades+'!$AH$13,"D+",IF(R272&lt;'PlayerGrades+'!$AH$12,"C-",IF(R272&lt;'PlayerGrades+'!$AH$11,"C",IF(R272&lt;'PlayerGrades+'!$AH$10,"C+",IF(R272&lt;'PlayerGrades+'!$AH$9,"B-",IF(R272&lt;'PlayerGrades+'!$AH$8,"B",IF(R272&lt;'PlayerGrades+'!$AH$7,"B+",IF(R272&lt;'PlayerGrades+'!$AH$6,"A-",IF(R272&lt;'PlayerGrades+'!$AH$5,"A",IF(R272&lt;'PlayerGrades+'!$AH$4,"A+",IF(R272&lt;'PlayerGrades+'!$AH$3,"S-",IF(R272&lt;'PlayerGrades+'!$AH$2,"S","S+"))))))))))))))))))))</f>
        <v>D</v>
      </c>
      <c r="T272" s="937">
        <f t="shared" si="9"/>
        <v>3.269595607</v>
      </c>
      <c r="U272" s="937" t="str">
        <f>IF(T272&lt;'PlayerGrades+'!$AI$21,"F-",IF(T272&lt;'PlayerGrades+'!$AI$20,"F",IF(T272&lt;'PlayerGrades+'!$AI$19,"F+",IF(T272&lt;'PlayerGrades+'!$AI$18,"E-",IF(T272&lt;'PlayerGrades+'!$AI$17,"E",IF(T272&lt;'PlayerGrades+'!$AI$16,"E+",IF(T272&lt;'PlayerGrades+'!$AI$15,"D-",IF(T272&lt;'PlayerGrades+'!$AI$14,"D",IF(T272&lt;'PlayerGrades+'!$AI$13,"D+",IF(T272&lt;'PlayerGrades+'!$AI$12,"C-",IF(T272&lt;'PlayerGrades+'!$AI$11,"C",IF(T272&lt;'PlayerGrades+'!$AI$10,"C+",IF(T272&lt;'PlayerGrades+'!$AI$9,"B-",IF(T272&lt;'PlayerGrades+'!$AI$8,"B",IF(T272&lt;'PlayerGrades+'!$AI$7,"B+",IF(T272&lt;'PlayerGrades+'!$AI$6,"A-",IF(T272&lt;'PlayerGrades+'!$AI$5,"A",IF(T272&lt;'PlayerGrades+'!$AI$4,"A+",IF(T272&lt;'PlayerGrades+'!$AI$3,"S-",IF(T272&lt;'PlayerGrades+'!$AI$2,"S","S+"))))))))))))))))))))</f>
        <v>S+</v>
      </c>
      <c r="V272" s="941">
        <v>1.0</v>
      </c>
      <c r="W272" s="941">
        <v>0.0</v>
      </c>
      <c r="X272" s="941">
        <v>1.0</v>
      </c>
      <c r="Y272" s="941">
        <v>0.0</v>
      </c>
      <c r="Z272" s="941">
        <v>0.0</v>
      </c>
      <c r="AA272" s="941">
        <v>92.0</v>
      </c>
      <c r="AB272" s="941">
        <v>110.0</v>
      </c>
      <c r="AC272" s="941">
        <v>-18.0</v>
      </c>
      <c r="AD272" s="941">
        <v>6.0</v>
      </c>
      <c r="AE272" s="941">
        <v>6.0</v>
      </c>
      <c r="AF272" s="941">
        <v>1.0</v>
      </c>
      <c r="AG272" s="941">
        <v>1566.0</v>
      </c>
      <c r="AH272" s="941">
        <v>2003.0</v>
      </c>
      <c r="AI272" s="941">
        <v>14.0</v>
      </c>
      <c r="AJ272" s="941">
        <v>5.0</v>
      </c>
      <c r="AK272" s="941">
        <v>0.0</v>
      </c>
      <c r="AL272" s="941">
        <v>2.0</v>
      </c>
      <c r="AM272" s="941">
        <v>0.0</v>
      </c>
      <c r="AN272" s="941">
        <v>0.0</v>
      </c>
      <c r="AO272" s="941">
        <v>0.0</v>
      </c>
      <c r="AP272" s="941">
        <v>2.0</v>
      </c>
      <c r="AQ272" s="941">
        <v>0.0</v>
      </c>
      <c r="AR272" s="941">
        <v>11.0</v>
      </c>
      <c r="AS272" s="941">
        <v>4.0</v>
      </c>
      <c r="AT272" s="941">
        <v>2.0</v>
      </c>
      <c r="AU272" s="941">
        <v>0.0</v>
      </c>
      <c r="AV272" s="941">
        <v>0.0</v>
      </c>
      <c r="AW272" s="941">
        <v>0.0</v>
      </c>
      <c r="AX272" s="941">
        <v>0.0</v>
      </c>
      <c r="AY272" s="941">
        <v>0.0</v>
      </c>
      <c r="AZ272" s="941">
        <v>0.0</v>
      </c>
      <c r="BA272" s="941">
        <v>0.0</v>
      </c>
      <c r="BB272" s="941">
        <v>2.0</v>
      </c>
      <c r="BC272" s="941">
        <v>0.0</v>
      </c>
      <c r="BD272" s="941">
        <v>11.0</v>
      </c>
      <c r="BE272" s="941">
        <v>9.0</v>
      </c>
      <c r="BF272" s="941">
        <v>3.0</v>
      </c>
      <c r="BG272" s="942">
        <v>0.0</v>
      </c>
    </row>
    <row r="273">
      <c r="A273" s="943" t="s">
        <v>129</v>
      </c>
      <c r="B273" s="16" t="str">
        <f>IF(C273&lt;'PlayerGrades+'!$Y$44,"F-",IF(C273&lt;'PlayerGrades+'!$Y$43,"F",IF(C273&lt;'PlayerGrades+'!$Y$42,"F+",IF(C273&lt;'PlayerGrades+'!$Y$41,"E-",IF(C273&lt;'PlayerGrades+'!$Y$40,"E",IF(C273&lt;'PlayerGrades+'!$Y$39,"E+",IF(C273&lt;'PlayerGrades+'!$Y$38,"D-",IF(C273&lt;'PlayerGrades+'!$Y$37,"D",IF(C273&lt;'PlayerGrades+'!$Y$36,"D+",IF(C273&lt;'PlayerGrades+'!$Y$35,"C-",IF(C273&lt;'PlayerGrades+'!$Y$34,"C",IF(C273&lt;'PlayerGrades+'!$Y$33,"C+",IF(C273&lt;'PlayerGrades+'!$Y$32,"B-",IF(C273&lt;'PlayerGrades+'!$Y$31,"B",IF(C273&lt;'PlayerGrades+'!$Y$30,"B+",IF(C273&lt;'PlayerGrades+'!$Y$29,"A-",IF(C273&lt;'PlayerGrades+'!$Y$28,"A",IF(C273&lt;'PlayerGrades+'!$Y$27,"A+",IF(C273&lt;'PlayerGrades+'!$Y$26,"S-",IF(C273&lt;'PlayerGrades+'!$Y$25,"S","S+"))))))))))))))))))))</f>
        <v>D</v>
      </c>
      <c r="C273" s="936">
        <f>('PlayerGrades+'!$Y$47*(VLOOKUP(E273, 'PlayerGrades+'!$X$3:$Y$23, 2, FALSE)))+('PlayerGrades+'!$Y$48*(VLOOKUP(G273, 'PlayerGrades+'!$X$3:$Y$23, 2, FALSE)))+('PlayerGrades+'!$Y$49*(VLOOKUP(I273, 'PlayerGrades+'!$X$3:$Y$23, 2, FALSE)))+('PlayerGrades+'!$Y$50*(VLOOKUP(K273, 'PlayerGrades+'!$X$3:$Y$23, 2, FALSE)))+('PlayerGrades+'!$Y$51*(VLOOKUP(M273, 'PlayerGrades+'!$X$3:$Y$23, 2, FALSE)))+('PlayerGrades+'!$Y$52*(VLOOKUP(O273, 'PlayerGrades+'!$X$3:$Y$23, 2, FALSE)))+('PlayerGrades+'!$Y$53*(VLOOKUP(Q273, 'PlayerGrades+'!$X$3:$Y$23, 2, FALSE)))+('PlayerGrades+'!$Y$54*(VLOOKUP(S273, 'PlayerGrades+'!$X$3:$Y$23, 2, FALSE)))+('PlayerGrades+'!$Y$55*(VLOOKUP(U273, 'PlayerGrades+'!$X$3:$Y$23, 2, FALSE)))</f>
        <v>15.55</v>
      </c>
      <c r="D273" s="937">
        <f t="shared" si="1"/>
        <v>0.2695956066</v>
      </c>
      <c r="E273" s="937" t="str">
        <f>IF(D273&lt;'PlayerGrades+'!$AA$21,"F-",IF(D273&lt;'PlayerGrades+'!$AA$20,"F",IF(D273&lt;'PlayerGrades+'!$AA$19,"F+",IF(D273&lt;'PlayerGrades+'!$AA$18,"E-",IF(D273&lt;'PlayerGrades+'!$AA$17,"E",IF(D273&lt;'PlayerGrades+'!$AA$16,"E+",IF(D273&lt;'PlayerGrades+'!$AA$15,"D-",IF(D273&lt;'PlayerGrades+'!$AA$14,"D",IF(D273&lt;'PlayerGrades+'!$AA$13,"D+",IF(D273&lt;'PlayerGrades+'!$AA$12,"C-",IF(D273&lt;'PlayerGrades+'!$AA$11,"C",IF(D273&lt;'PlayerGrades+'!$AA$10,"C+",IF(D273&lt;'PlayerGrades+'!$AA$9,"B-",IF(D273&lt;'PlayerGrades+'!$AA$8,"B",IF(D273&lt;'PlayerGrades+'!$AA$7,"B+",IF(D273&lt;'PlayerGrades+'!$AA$6,"A-",IF(D273&lt;'PlayerGrades+'!$AA$5,"A",IF(D273&lt;'PlayerGrades+'!$AA$4,"A+",IF(D273&lt;'PlayerGrades+'!$AA$3,"S-",IF(D273&lt;'PlayerGrades+'!$AA$2,"S","S+"))))))))))))))))))))</f>
        <v>A</v>
      </c>
      <c r="F273" s="937">
        <f t="shared" si="2"/>
        <v>0.1797304044</v>
      </c>
      <c r="G273" s="937" t="str">
        <f>IF(F273&lt;'PlayerGrades+'!$AB$21,"F-",IF(F273&lt;'PlayerGrades+'!$AB$20,"F",IF(F273&lt;'PlayerGrades+'!$AB$19,"F+",IF(F273&lt;'PlayerGrades+'!$AB$18,"E-",IF(F273&lt;'PlayerGrades+'!$AB$17,"E",IF(F273&lt;'PlayerGrades+'!$AB$16,"E+",IF(F273&lt;'PlayerGrades+'!$AB$15,"D-",IF(F273&lt;'PlayerGrades+'!$AB$14,"D",IF(F273&lt;'PlayerGrades+'!$AB$13,"D+",IF(F273&lt;'PlayerGrades+'!$AB$12,"C-",IF(F273&lt;'PlayerGrades+'!$AB$11,"C",IF(F273&lt;'PlayerGrades+'!$AB$10,"C+",IF(F273&lt;'PlayerGrades+'!$AB$9,"B-",IF(F273&lt;'PlayerGrades+'!$AB$8,"B",IF(F273&lt;'PlayerGrades+'!$AB$7,"B+",IF(F273&lt;'PlayerGrades+'!$AB$6,"A-",IF(F273&lt;'PlayerGrades+'!$AB$5,"A",IF(F273&lt;'PlayerGrades+'!$AB$4,"A+",IF(F273&lt;'PlayerGrades+'!$AB$3,"S-",IF(F273&lt;'PlayerGrades+'!$AB$2,"S","S+"))))))))))))))))))))</f>
        <v>B+</v>
      </c>
      <c r="H273" s="937">
        <f t="shared" si="3"/>
        <v>0.0898652022</v>
      </c>
      <c r="I273" s="937" t="str">
        <f>IF(H273&lt;'PlayerGrades+'!$AC$21,"F-",IF(H273&lt;'PlayerGrades+'!$AC$20,"F",IF(H273&lt;'PlayerGrades+'!$AC$19,"F+",IF(H273&lt;'PlayerGrades+'!$AC$18,"E-",IF(H273&lt;'PlayerGrades+'!$AC$17,"E",IF(H273&lt;'PlayerGrades+'!$AC$16,"E+",IF(H273&lt;'PlayerGrades+'!$AC$15,"D-",IF(H273&lt;'PlayerGrades+'!$AC$14,"D",IF(H273&lt;'PlayerGrades+'!$AC$13,"D+",IF(H273&lt;'PlayerGrades+'!$AC$12,"C-",IF(H273&lt;'PlayerGrades+'!$AC$11,"C",IF(H273&lt;'PlayerGrades+'!$AC$10,"C+",IF(H273&lt;'PlayerGrades+'!$AC$9,"B-",IF(H273&lt;'PlayerGrades+'!$AC$8,"B",IF(H273&lt;'PlayerGrades+'!$AC$7,"B+",IF(H273&lt;'PlayerGrades+'!$AC$6,"A-",IF(H273&lt;'PlayerGrades+'!$AC$5,"A",IF(H273&lt;'PlayerGrades+'!$AC$4,"A+",IF(H273&lt;'PlayerGrades+'!$AC$3,"S-",IF(H273&lt;'PlayerGrades+'!$AC$2,"S","S+"))))))))))))))))))))</f>
        <v>D</v>
      </c>
      <c r="J273" s="937">
        <f t="shared" si="4"/>
        <v>0.0299550674</v>
      </c>
      <c r="K273" s="937" t="str">
        <f>IF(J273&lt;'PlayerGrades+'!$AD$21,"F-",IF(J273&lt;'PlayerGrades+'!$AD$20,"F",IF(J273&lt;'PlayerGrades+'!$AD$19,"F+",IF(J273&lt;'PlayerGrades+'!$AD$18,"E-",IF(J273&lt;'PlayerGrades+'!$AD$17,"E",IF(J273&lt;'PlayerGrades+'!$AD$16,"E+",IF(J273&lt;'PlayerGrades+'!$AD$15,"D-",IF(J273&lt;'PlayerGrades+'!$AD$14,"D",IF(J273&lt;'PlayerGrades+'!$AD$13,"D+",IF(J273&lt;'PlayerGrades+'!$AD$12,"C-",IF(J273&lt;'PlayerGrades+'!$AD$11,"C",IF(J273&lt;'PlayerGrades+'!$AD$10,"C+",IF(J273&lt;'PlayerGrades+'!$AD$9,"B-",IF(J273&lt;'PlayerGrades+'!$AD$8,"B",IF(J273&lt;'PlayerGrades+'!$AD$7,"B+",IF(J273&lt;'PlayerGrades+'!$AD$6,"A-",IF(J273&lt;'PlayerGrades+'!$AD$5,"A",IF(J273&lt;'PlayerGrades+'!$AD$4,"A+",IF(J273&lt;'PlayerGrades+'!$AD$3,"S-",IF(J273&lt;'PlayerGrades+'!$AD$2,"S","S+"))))))))))))))))))))</f>
        <v>C-</v>
      </c>
      <c r="L273" s="677">
        <f t="shared" si="5"/>
        <v>0.3295057414</v>
      </c>
      <c r="M273" s="938" t="str">
        <f>IF(L273&lt;'PlayerGrades+'!$AE$21,"F-",IF(L273&lt;'PlayerGrades+'!$AE$20,"F",IF(L273&lt;'PlayerGrades+'!$AE$19,"F+",IF(L273&lt;'PlayerGrades+'!$AE$18,"E-",IF(L273&lt;'PlayerGrades+'!$AE$17,"E",IF(L273&lt;'PlayerGrades+'!$AE$16,"E+",IF(L273&lt;'PlayerGrades+'!$AE$15,"D-",IF(L273&lt;'PlayerGrades+'!$AE$14,"D",IF(L273&lt;'PlayerGrades+'!$AE$13,"D+",IF(L273&lt;'PlayerGrades+'!$AE$12,"C-",IF(L273&lt;'PlayerGrades+'!$AE$11,"C",IF(L273&lt;'PlayerGrades+'!$AE$10,"C+",IF(L273&lt;'PlayerGrades+'!$AE$9,"B-",IF(L273&lt;'PlayerGrades+'!$AE$8,"B",IF(L273&lt;'PlayerGrades+'!$AE$7,"B+",IF(L273&lt;'PlayerGrades+'!$AE$6,"A-",IF(L273&lt;'PlayerGrades+'!$AE$5,"A",IF(L273&lt;'PlayerGrades+'!$AE$4,"A+",IF(L273&lt;'PlayerGrades+'!$AE$3,"S-",IF(L273&lt;'PlayerGrades+'!$AE$2,"S","S+"))))))))))))))))))))</f>
        <v>E+</v>
      </c>
      <c r="N273" s="937">
        <f t="shared" si="6"/>
        <v>0.0299550674</v>
      </c>
      <c r="O273" s="937" t="str">
        <f>IF(N273&lt;'PlayerGrades+'!$AF$21,"F-",IF(N273&lt;'PlayerGrades+'!$AF$20,"F",IF(N273&lt;'PlayerGrades+'!$AF$19,"F+",IF(N273&lt;'PlayerGrades+'!$AF$18,"E-",IF(N273&lt;'PlayerGrades+'!$AF$17,"E",IF(N273&lt;'PlayerGrades+'!$AF$16,"E+",IF(N273&lt;'PlayerGrades+'!$AF$15,"D-",IF(N273&lt;'PlayerGrades+'!$AF$14,"D",IF(N273&lt;'PlayerGrades+'!$AF$13,"D+",IF(N273&lt;'PlayerGrades+'!$AF$12,"C-",IF(N273&lt;'PlayerGrades+'!$AF$11,"C",IF(N273&lt;'PlayerGrades+'!$AF$10,"C+",IF(N273&lt;'PlayerGrades+'!$AF$9,"B-",IF(N273&lt;'PlayerGrades+'!$AF$8,"B",IF(N273&lt;'PlayerGrades+'!$AF$7,"B+",IF(N273&lt;'PlayerGrades+'!$AF$6,"A-",IF(N273&lt;'PlayerGrades+'!$AF$5,"A",IF(N273&lt;'PlayerGrades+'!$AF$4,"A+",IF(N273&lt;'PlayerGrades+'!$AF$3,"S-",IF(N273&lt;'PlayerGrades+'!$AF$2,"S","S+"))))))))))))))))))))</f>
        <v>F</v>
      </c>
      <c r="P273" s="937">
        <f t="shared" si="7"/>
        <v>0</v>
      </c>
      <c r="Q273" s="937" t="str">
        <f>IF(P273&lt;'PlayerGrades+'!$AG$21,"F-",IF(P273&lt;'PlayerGrades+'!$AG$20,"F",IF(P273&lt;'PlayerGrades+'!$AG$19,"F+",IF(P273&lt;'PlayerGrades+'!$AG$18,"E-",IF(P273&lt;'PlayerGrades+'!$AG$17,"E",IF(P273&lt;'PlayerGrades+'!$AG$16,"E+",IF(P273&lt;'PlayerGrades+'!$AG$15,"D-",IF(P273&lt;'PlayerGrades+'!$AG$14,"D",IF(P273&lt;'PlayerGrades+'!$AG$13,"D+",IF(P273&lt;'PlayerGrades+'!$AG$12,"C-",IF(P273&lt;'PlayerGrades+'!$AG$11,"C",IF(P273&lt;'PlayerGrades+'!$AG$10,"C+",IF(P273&lt;'PlayerGrades+'!$AG$9,"B-",IF(P273&lt;'PlayerGrades+'!$AG$8,"B",IF(P273&lt;'PlayerGrades+'!$AG$7,"B+",IF(P273&lt;'PlayerGrades+'!$AG$6,"A-",IF(P273&lt;'PlayerGrades+'!$AG$5,"A",IF(P273&lt;'PlayerGrades+'!$AG$4,"A+",IF(P273&lt;'PlayerGrades+'!$AG$3,"S-",IF(P273&lt;'PlayerGrades+'!$AG$2,"S","S+"))))))))))))))))))))</f>
        <v>F</v>
      </c>
      <c r="R273" s="937">
        <f t="shared" si="8"/>
        <v>0.5092361458</v>
      </c>
      <c r="S273" s="937" t="str">
        <f>IF(R273&lt;'PlayerGrades+'!$AH$21,"F-",IF(R273&lt;'PlayerGrades+'!$AH$20,"F",IF(R273&lt;'PlayerGrades+'!$AH$19,"F+",IF(R273&lt;'PlayerGrades+'!$AH$18,"E-",IF(R273&lt;'PlayerGrades+'!$AH$17,"E",IF(R273&lt;'PlayerGrades+'!$AH$16,"E+",IF(R273&lt;'PlayerGrades+'!$AH$15,"D-",IF(R273&lt;'PlayerGrades+'!$AH$14,"D",IF(R273&lt;'PlayerGrades+'!$AH$13,"D+",IF(R273&lt;'PlayerGrades+'!$AH$12,"C-",IF(R273&lt;'PlayerGrades+'!$AH$11,"C",IF(R273&lt;'PlayerGrades+'!$AH$10,"C+",IF(R273&lt;'PlayerGrades+'!$AH$9,"B-",IF(R273&lt;'PlayerGrades+'!$AH$8,"B",IF(R273&lt;'PlayerGrades+'!$AH$7,"B+",IF(R273&lt;'PlayerGrades+'!$AH$6,"A-",IF(R273&lt;'PlayerGrades+'!$AH$5,"A",IF(R273&lt;'PlayerGrades+'!$AH$4,"A+",IF(R273&lt;'PlayerGrades+'!$AH$3,"S-",IF(R273&lt;'PlayerGrades+'!$AH$2,"S","S+"))))))))))))))))))))</f>
        <v>D</v>
      </c>
      <c r="T273" s="937">
        <f t="shared" si="9"/>
        <v>0.2695956066</v>
      </c>
      <c r="U273" s="937" t="str">
        <f>IF(T273&lt;'PlayerGrades+'!$AI$21,"F-",IF(T273&lt;'PlayerGrades+'!$AI$20,"F",IF(T273&lt;'PlayerGrades+'!$AI$19,"F+",IF(T273&lt;'PlayerGrades+'!$AI$18,"E-",IF(T273&lt;'PlayerGrades+'!$AI$17,"E",IF(T273&lt;'PlayerGrades+'!$AI$16,"E+",IF(T273&lt;'PlayerGrades+'!$AI$15,"D-",IF(T273&lt;'PlayerGrades+'!$AI$14,"D",IF(T273&lt;'PlayerGrades+'!$AI$13,"D+",IF(T273&lt;'PlayerGrades+'!$AI$12,"C-",IF(T273&lt;'PlayerGrades+'!$AI$11,"C",IF(T273&lt;'PlayerGrades+'!$AI$10,"C+",IF(T273&lt;'PlayerGrades+'!$AI$9,"B-",IF(T273&lt;'PlayerGrades+'!$AI$8,"B",IF(T273&lt;'PlayerGrades+'!$AI$7,"B+",IF(T273&lt;'PlayerGrades+'!$AI$6,"A-",IF(T273&lt;'PlayerGrades+'!$AI$5,"A",IF(T273&lt;'PlayerGrades+'!$AI$4,"A+",IF(T273&lt;'PlayerGrades+'!$AI$3,"S-",IF(T273&lt;'PlayerGrades+'!$AI$2,"S","S+"))))))))))))))))))))</f>
        <v>F-</v>
      </c>
      <c r="V273" s="944">
        <v>1.0</v>
      </c>
      <c r="W273" s="944">
        <v>0.0</v>
      </c>
      <c r="X273" s="944">
        <v>1.0</v>
      </c>
      <c r="Y273" s="944">
        <v>0.0</v>
      </c>
      <c r="Z273" s="944">
        <v>9.0</v>
      </c>
      <c r="AA273" s="944">
        <v>104.0</v>
      </c>
      <c r="AB273" s="944">
        <v>98.0</v>
      </c>
      <c r="AC273" s="944">
        <v>6.0</v>
      </c>
      <c r="AD273" s="944">
        <v>4.0</v>
      </c>
      <c r="AE273" s="944">
        <v>9.0</v>
      </c>
      <c r="AF273" s="944">
        <v>1.0</v>
      </c>
      <c r="AG273" s="944">
        <v>1599.0</v>
      </c>
      <c r="AH273" s="944">
        <v>2003.0</v>
      </c>
      <c r="AI273" s="944">
        <v>16.0</v>
      </c>
      <c r="AJ273" s="944">
        <v>386.0</v>
      </c>
      <c r="AK273" s="944">
        <v>0.0</v>
      </c>
      <c r="AL273" s="944">
        <v>1.0</v>
      </c>
      <c r="AM273" s="944">
        <v>0.0</v>
      </c>
      <c r="AN273" s="944">
        <v>0.0</v>
      </c>
      <c r="AO273" s="944">
        <v>0.0</v>
      </c>
      <c r="AP273" s="944">
        <v>0.0</v>
      </c>
      <c r="AQ273" s="944">
        <v>0.0</v>
      </c>
      <c r="AR273" s="944">
        <v>11.0</v>
      </c>
      <c r="AS273" s="944">
        <v>1.0</v>
      </c>
      <c r="AT273" s="944">
        <v>0.0</v>
      </c>
      <c r="AU273" s="944">
        <v>0.0</v>
      </c>
      <c r="AV273" s="944">
        <v>0.0</v>
      </c>
      <c r="AW273" s="944">
        <v>0.0</v>
      </c>
      <c r="AX273" s="944">
        <v>0.0</v>
      </c>
      <c r="AY273" s="944">
        <v>0.0</v>
      </c>
      <c r="AZ273" s="944">
        <v>0.0</v>
      </c>
      <c r="BA273" s="944">
        <v>0.0</v>
      </c>
      <c r="BB273" s="944">
        <v>3.0</v>
      </c>
      <c r="BC273" s="944">
        <v>0.0</v>
      </c>
      <c r="BD273" s="944">
        <v>13.0</v>
      </c>
      <c r="BE273" s="944">
        <v>9.0</v>
      </c>
      <c r="BF273" s="944">
        <v>0.0</v>
      </c>
      <c r="BG273" s="945">
        <v>0.0</v>
      </c>
    </row>
    <row r="274">
      <c r="A274" s="946" t="s">
        <v>118</v>
      </c>
      <c r="B274" s="16" t="str">
        <f>IF(C274&lt;'PlayerGrades+'!$Y$44,"F-",IF(C274&lt;'PlayerGrades+'!$Y$43,"F",IF(C274&lt;'PlayerGrades+'!$Y$42,"F+",IF(C274&lt;'PlayerGrades+'!$Y$41,"E-",IF(C274&lt;'PlayerGrades+'!$Y$40,"E",IF(C274&lt;'PlayerGrades+'!$Y$39,"E+",IF(C274&lt;'PlayerGrades+'!$Y$38,"D-",IF(C274&lt;'PlayerGrades+'!$Y$37,"D",IF(C274&lt;'PlayerGrades+'!$Y$36,"D+",IF(C274&lt;'PlayerGrades+'!$Y$35,"C-",IF(C274&lt;'PlayerGrades+'!$Y$34,"C",IF(C274&lt;'PlayerGrades+'!$Y$33,"C+",IF(C274&lt;'PlayerGrades+'!$Y$32,"B-",IF(C274&lt;'PlayerGrades+'!$Y$31,"B",IF(C274&lt;'PlayerGrades+'!$Y$30,"B+",IF(C274&lt;'PlayerGrades+'!$Y$29,"A-",IF(C274&lt;'PlayerGrades+'!$Y$28,"A",IF(C274&lt;'PlayerGrades+'!$Y$27,"A+",IF(C274&lt;'PlayerGrades+'!$Y$26,"S-",IF(C274&lt;'PlayerGrades+'!$Y$25,"S","S+"))))))))))))))))))))</f>
        <v>A+</v>
      </c>
      <c r="C274" s="936">
        <f>('PlayerGrades+'!$Y$47*(VLOOKUP(E274, 'PlayerGrades+'!$X$3:$Y$23, 2, FALSE)))+('PlayerGrades+'!$Y$48*(VLOOKUP(G274, 'PlayerGrades+'!$X$3:$Y$23, 2, FALSE)))+('PlayerGrades+'!$Y$49*(VLOOKUP(I274, 'PlayerGrades+'!$X$3:$Y$23, 2, FALSE)))+('PlayerGrades+'!$Y$50*(VLOOKUP(K274, 'PlayerGrades+'!$X$3:$Y$23, 2, FALSE)))+('PlayerGrades+'!$Y$51*(VLOOKUP(M274, 'PlayerGrades+'!$X$3:$Y$23, 2, FALSE)))+('PlayerGrades+'!$Y$52*(VLOOKUP(O274, 'PlayerGrades+'!$X$3:$Y$23, 2, FALSE)))+('PlayerGrades+'!$Y$53*(VLOOKUP(Q274, 'PlayerGrades+'!$X$3:$Y$23, 2, FALSE)))+('PlayerGrades+'!$Y$54*(VLOOKUP(S274, 'PlayerGrades+'!$X$3:$Y$23, 2, FALSE)))+('PlayerGrades+'!$Y$55*(VLOOKUP(U274, 'PlayerGrades+'!$X$3:$Y$23, 2, FALSE)))</f>
        <v>28.7</v>
      </c>
      <c r="D274" s="937">
        <f t="shared" si="1"/>
        <v>1.042253521</v>
      </c>
      <c r="E274" s="937" t="str">
        <f>IF(D274&lt;'PlayerGrades+'!$AA$21,"F-",IF(D274&lt;'PlayerGrades+'!$AA$20,"F",IF(D274&lt;'PlayerGrades+'!$AA$19,"F+",IF(D274&lt;'PlayerGrades+'!$AA$18,"E-",IF(D274&lt;'PlayerGrades+'!$AA$17,"E",IF(D274&lt;'PlayerGrades+'!$AA$16,"E+",IF(D274&lt;'PlayerGrades+'!$AA$15,"D-",IF(D274&lt;'PlayerGrades+'!$AA$14,"D",IF(D274&lt;'PlayerGrades+'!$AA$13,"D+",IF(D274&lt;'PlayerGrades+'!$AA$12,"C-",IF(D274&lt;'PlayerGrades+'!$AA$11,"C",IF(D274&lt;'PlayerGrades+'!$AA$10,"C+",IF(D274&lt;'PlayerGrades+'!$AA$9,"B-",IF(D274&lt;'PlayerGrades+'!$AA$8,"B",IF(D274&lt;'PlayerGrades+'!$AA$7,"B+",IF(D274&lt;'PlayerGrades+'!$AA$6,"A-",IF(D274&lt;'PlayerGrades+'!$AA$5,"A",IF(D274&lt;'PlayerGrades+'!$AA$4,"A+",IF(D274&lt;'PlayerGrades+'!$AA$3,"S-",IF(D274&lt;'PlayerGrades+'!$AA$2,"S","S+"))))))))))))))))))))</f>
        <v>S+</v>
      </c>
      <c r="F274" s="937">
        <f t="shared" si="2"/>
        <v>1.070422535</v>
      </c>
      <c r="G274" s="937" t="str">
        <f>IF(F274&lt;'PlayerGrades+'!$AB$21,"F-",IF(F274&lt;'PlayerGrades+'!$AB$20,"F",IF(F274&lt;'PlayerGrades+'!$AB$19,"F+",IF(F274&lt;'PlayerGrades+'!$AB$18,"E-",IF(F274&lt;'PlayerGrades+'!$AB$17,"E",IF(F274&lt;'PlayerGrades+'!$AB$16,"E+",IF(F274&lt;'PlayerGrades+'!$AB$15,"D-",IF(F274&lt;'PlayerGrades+'!$AB$14,"D",IF(F274&lt;'PlayerGrades+'!$AB$13,"D+",IF(F274&lt;'PlayerGrades+'!$AB$12,"C-",IF(F274&lt;'PlayerGrades+'!$AB$11,"C",IF(F274&lt;'PlayerGrades+'!$AB$10,"C+",IF(F274&lt;'PlayerGrades+'!$AB$9,"B-",IF(F274&lt;'PlayerGrades+'!$AB$8,"B",IF(F274&lt;'PlayerGrades+'!$AB$7,"B+",IF(F274&lt;'PlayerGrades+'!$AB$6,"A-",IF(F274&lt;'PlayerGrades+'!$AB$5,"A",IF(F274&lt;'PlayerGrades+'!$AB$4,"A+",IF(F274&lt;'PlayerGrades+'!$AB$3,"S-",IF(F274&lt;'PlayerGrades+'!$AB$2,"S","S+"))))))))))))))))))))</f>
        <v>S+</v>
      </c>
      <c r="H274" s="937">
        <f t="shared" si="3"/>
        <v>0.08450704225</v>
      </c>
      <c r="I274" s="937" t="str">
        <f>IF(H274&lt;'PlayerGrades+'!$AC$21,"F-",IF(H274&lt;'PlayerGrades+'!$AC$20,"F",IF(H274&lt;'PlayerGrades+'!$AC$19,"F+",IF(H274&lt;'PlayerGrades+'!$AC$18,"E-",IF(H274&lt;'PlayerGrades+'!$AC$17,"E",IF(H274&lt;'PlayerGrades+'!$AC$16,"E+",IF(H274&lt;'PlayerGrades+'!$AC$15,"D-",IF(H274&lt;'PlayerGrades+'!$AC$14,"D",IF(H274&lt;'PlayerGrades+'!$AC$13,"D+",IF(H274&lt;'PlayerGrades+'!$AC$12,"C-",IF(H274&lt;'PlayerGrades+'!$AC$11,"C",IF(H274&lt;'PlayerGrades+'!$AC$10,"C+",IF(H274&lt;'PlayerGrades+'!$AC$9,"B-",IF(H274&lt;'PlayerGrades+'!$AC$8,"B",IF(H274&lt;'PlayerGrades+'!$AC$7,"B+",IF(H274&lt;'PlayerGrades+'!$AC$6,"A-",IF(H274&lt;'PlayerGrades+'!$AC$5,"A",IF(H274&lt;'PlayerGrades+'!$AC$4,"A+",IF(H274&lt;'PlayerGrades+'!$AC$3,"S-",IF(H274&lt;'PlayerGrades+'!$AC$2,"S","S+"))))))))))))))))))))</f>
        <v>D-</v>
      </c>
      <c r="J274" s="937">
        <f t="shared" si="4"/>
        <v>0.1690140845</v>
      </c>
      <c r="K274" s="937" t="str">
        <f>IF(J274&lt;'PlayerGrades+'!$AD$21,"F-",IF(J274&lt;'PlayerGrades+'!$AD$20,"F",IF(J274&lt;'PlayerGrades+'!$AD$19,"F+",IF(J274&lt;'PlayerGrades+'!$AD$18,"E-",IF(J274&lt;'PlayerGrades+'!$AD$17,"E",IF(J274&lt;'PlayerGrades+'!$AD$16,"E+",IF(J274&lt;'PlayerGrades+'!$AD$15,"D-",IF(J274&lt;'PlayerGrades+'!$AD$14,"D",IF(J274&lt;'PlayerGrades+'!$AD$13,"D+",IF(J274&lt;'PlayerGrades+'!$AD$12,"C-",IF(J274&lt;'PlayerGrades+'!$AD$11,"C",IF(J274&lt;'PlayerGrades+'!$AD$10,"C+",IF(J274&lt;'PlayerGrades+'!$AD$9,"B-",IF(J274&lt;'PlayerGrades+'!$AD$8,"B",IF(J274&lt;'PlayerGrades+'!$AD$7,"B+",IF(J274&lt;'PlayerGrades+'!$AD$6,"A-",IF(J274&lt;'PlayerGrades+'!$AD$5,"A",IF(J274&lt;'PlayerGrades+'!$AD$4,"A+",IF(J274&lt;'PlayerGrades+'!$AD$3,"S-",IF(J274&lt;'PlayerGrades+'!$AD$2,"S","S+"))))))))))))))))))))</f>
        <v>S+</v>
      </c>
      <c r="L274" s="677">
        <f t="shared" si="5"/>
        <v>0.4225352113</v>
      </c>
      <c r="M274" s="938" t="str">
        <f>IF(L274&lt;'PlayerGrades+'!$AE$21,"F-",IF(L274&lt;'PlayerGrades+'!$AE$20,"F",IF(L274&lt;'PlayerGrades+'!$AE$19,"F+",IF(L274&lt;'PlayerGrades+'!$AE$18,"E-",IF(L274&lt;'PlayerGrades+'!$AE$17,"E",IF(L274&lt;'PlayerGrades+'!$AE$16,"E+",IF(L274&lt;'PlayerGrades+'!$AE$15,"D-",IF(L274&lt;'PlayerGrades+'!$AE$14,"D",IF(L274&lt;'PlayerGrades+'!$AE$13,"D+",IF(L274&lt;'PlayerGrades+'!$AE$12,"C-",IF(L274&lt;'PlayerGrades+'!$AE$11,"C",IF(L274&lt;'PlayerGrades+'!$AE$10,"C+",IF(L274&lt;'PlayerGrades+'!$AE$9,"B-",IF(L274&lt;'PlayerGrades+'!$AE$8,"B",IF(L274&lt;'PlayerGrades+'!$AE$7,"B+",IF(L274&lt;'PlayerGrades+'!$AE$6,"A-",IF(L274&lt;'PlayerGrades+'!$AE$5,"A",IF(L274&lt;'PlayerGrades+'!$AE$4,"A+",IF(L274&lt;'PlayerGrades+'!$AE$3,"S-",IF(L274&lt;'PlayerGrades+'!$AE$2,"S","S+"))))))))))))))))))))</f>
        <v>C+</v>
      </c>
      <c r="N274" s="937">
        <f t="shared" si="6"/>
        <v>0.1690140845</v>
      </c>
      <c r="O274" s="937" t="str">
        <f>IF(N274&lt;'PlayerGrades+'!$AF$21,"F-",IF(N274&lt;'PlayerGrades+'!$AF$20,"F",IF(N274&lt;'PlayerGrades+'!$AF$19,"F+",IF(N274&lt;'PlayerGrades+'!$AF$18,"E-",IF(N274&lt;'PlayerGrades+'!$AF$17,"E",IF(N274&lt;'PlayerGrades+'!$AF$16,"E+",IF(N274&lt;'PlayerGrades+'!$AF$15,"D-",IF(N274&lt;'PlayerGrades+'!$AF$14,"D",IF(N274&lt;'PlayerGrades+'!$AF$13,"D+",IF(N274&lt;'PlayerGrades+'!$AF$12,"C-",IF(N274&lt;'PlayerGrades+'!$AF$11,"C",IF(N274&lt;'PlayerGrades+'!$AF$10,"C+",IF(N274&lt;'PlayerGrades+'!$AF$9,"B-",IF(N274&lt;'PlayerGrades+'!$AF$8,"B",IF(N274&lt;'PlayerGrades+'!$AF$7,"B+",IF(N274&lt;'PlayerGrades+'!$AF$6,"A-",IF(N274&lt;'PlayerGrades+'!$AF$5,"A",IF(N274&lt;'PlayerGrades+'!$AF$4,"A+",IF(N274&lt;'PlayerGrades+'!$AF$3,"S-",IF(N274&lt;'PlayerGrades+'!$AF$2,"S","S+"))))))))))))))))))))</f>
        <v>S+</v>
      </c>
      <c r="P274" s="937">
        <f t="shared" si="7"/>
        <v>0.08450704225</v>
      </c>
      <c r="Q274" s="937" t="str">
        <f>IF(P274&lt;'PlayerGrades+'!$AG$21,"F-",IF(P274&lt;'PlayerGrades+'!$AG$20,"F",IF(P274&lt;'PlayerGrades+'!$AG$19,"F+",IF(P274&lt;'PlayerGrades+'!$AG$18,"E-",IF(P274&lt;'PlayerGrades+'!$AG$17,"E",IF(P274&lt;'PlayerGrades+'!$AG$16,"E+",IF(P274&lt;'PlayerGrades+'!$AG$15,"D-",IF(P274&lt;'PlayerGrades+'!$AG$14,"D",IF(P274&lt;'PlayerGrades+'!$AG$13,"D+",IF(P274&lt;'PlayerGrades+'!$AG$12,"C-",IF(P274&lt;'PlayerGrades+'!$AG$11,"C",IF(P274&lt;'PlayerGrades+'!$AG$10,"C+",IF(P274&lt;'PlayerGrades+'!$AG$9,"B-",IF(P274&lt;'PlayerGrades+'!$AG$8,"B",IF(P274&lt;'PlayerGrades+'!$AG$7,"B+",IF(P274&lt;'PlayerGrades+'!$AG$6,"A-",IF(P274&lt;'PlayerGrades+'!$AG$5,"A",IF(P274&lt;'PlayerGrades+'!$AG$4,"A+",IF(P274&lt;'PlayerGrades+'!$AG$3,"S-",IF(P274&lt;'PlayerGrades+'!$AG$2,"S","S+"))))))))))))))))))))</f>
        <v>S</v>
      </c>
      <c r="R274" s="937">
        <f t="shared" si="8"/>
        <v>0.5633802817</v>
      </c>
      <c r="S274" s="937" t="str">
        <f>IF(R274&lt;'PlayerGrades+'!$AH$21,"F-",IF(R274&lt;'PlayerGrades+'!$AH$20,"F",IF(R274&lt;'PlayerGrades+'!$AH$19,"F+",IF(R274&lt;'PlayerGrades+'!$AH$18,"E-",IF(R274&lt;'PlayerGrades+'!$AH$17,"E",IF(R274&lt;'PlayerGrades+'!$AH$16,"E+",IF(R274&lt;'PlayerGrades+'!$AH$15,"D-",IF(R274&lt;'PlayerGrades+'!$AH$14,"D",IF(R274&lt;'PlayerGrades+'!$AH$13,"D+",IF(R274&lt;'PlayerGrades+'!$AH$12,"C-",IF(R274&lt;'PlayerGrades+'!$AH$11,"C",IF(R274&lt;'PlayerGrades+'!$AH$10,"C+",IF(R274&lt;'PlayerGrades+'!$AH$9,"B-",IF(R274&lt;'PlayerGrades+'!$AH$8,"B",IF(R274&lt;'PlayerGrades+'!$AH$7,"B+",IF(R274&lt;'PlayerGrades+'!$AH$6,"A-",IF(R274&lt;'PlayerGrades+'!$AH$5,"A",IF(R274&lt;'PlayerGrades+'!$AH$4,"A+",IF(R274&lt;'PlayerGrades+'!$AH$3,"S-",IF(R274&lt;'PlayerGrades+'!$AH$2,"S","S+"))))))))))))))))))))</f>
        <v>B-</v>
      </c>
      <c r="T274" s="937">
        <f t="shared" si="9"/>
        <v>0.2816901408</v>
      </c>
      <c r="U274" s="937" t="str">
        <f>IF(T274&lt;'PlayerGrades+'!$AI$21,"F-",IF(T274&lt;'PlayerGrades+'!$AI$20,"F",IF(T274&lt;'PlayerGrades+'!$AI$19,"F+",IF(T274&lt;'PlayerGrades+'!$AI$18,"E-",IF(T274&lt;'PlayerGrades+'!$AI$17,"E",IF(T274&lt;'PlayerGrades+'!$AI$16,"E+",IF(T274&lt;'PlayerGrades+'!$AI$15,"D-",IF(T274&lt;'PlayerGrades+'!$AI$14,"D",IF(T274&lt;'PlayerGrades+'!$AI$13,"D+",IF(T274&lt;'PlayerGrades+'!$AI$12,"C-",IF(T274&lt;'PlayerGrades+'!$AI$11,"C",IF(T274&lt;'PlayerGrades+'!$AI$10,"C+",IF(T274&lt;'PlayerGrades+'!$AI$9,"B-",IF(T274&lt;'PlayerGrades+'!$AI$8,"B",IF(T274&lt;'PlayerGrades+'!$AI$7,"B+",IF(T274&lt;'PlayerGrades+'!$AI$6,"A-",IF(T274&lt;'PlayerGrades+'!$AI$5,"A",IF(T274&lt;'PlayerGrades+'!$AI$4,"A+",IF(T274&lt;'PlayerGrades+'!$AI$3,"S-",IF(T274&lt;'PlayerGrades+'!$AI$2,"S","S+"))))))))))))))))))))</f>
        <v>F-</v>
      </c>
      <c r="V274" s="939">
        <v>1.0</v>
      </c>
      <c r="W274" s="939">
        <v>1.0</v>
      </c>
      <c r="X274" s="939">
        <v>0.0</v>
      </c>
      <c r="Y274" s="939">
        <v>2.0</v>
      </c>
      <c r="Z274" s="939">
        <v>35.0</v>
      </c>
      <c r="AA274" s="939">
        <v>105.0</v>
      </c>
      <c r="AB274" s="939">
        <v>67.0</v>
      </c>
      <c r="AC274" s="939">
        <v>38.0</v>
      </c>
      <c r="AD274" s="939">
        <v>8.0</v>
      </c>
      <c r="AE274" s="939">
        <v>15.0</v>
      </c>
      <c r="AF274" s="939">
        <v>1.0</v>
      </c>
      <c r="AG274" s="939">
        <v>1835.0</v>
      </c>
      <c r="AH274" s="939">
        <v>2130.0</v>
      </c>
      <c r="AI274" s="939">
        <v>27.0</v>
      </c>
      <c r="AJ274" s="939">
        <v>963.0</v>
      </c>
      <c r="AK274" s="939">
        <v>0.0</v>
      </c>
      <c r="AL274" s="939">
        <v>6.0</v>
      </c>
      <c r="AM274" s="939">
        <v>1.0</v>
      </c>
      <c r="AN274" s="939">
        <v>1.0</v>
      </c>
      <c r="AO274" s="939">
        <v>0.0</v>
      </c>
      <c r="AP274" s="939">
        <v>3.0</v>
      </c>
      <c r="AQ274" s="939">
        <v>0.0</v>
      </c>
      <c r="AR274" s="939">
        <v>15.0</v>
      </c>
      <c r="AS274" s="939">
        <v>6.0</v>
      </c>
      <c r="AT274" s="939">
        <v>2.0</v>
      </c>
      <c r="AU274" s="939">
        <v>1.0</v>
      </c>
      <c r="AV274" s="939">
        <v>0.0</v>
      </c>
      <c r="AW274" s="939">
        <v>0.0</v>
      </c>
      <c r="AX274" s="939">
        <v>0.0</v>
      </c>
      <c r="AY274" s="939">
        <v>0.0</v>
      </c>
      <c r="AZ274" s="939">
        <v>0.0</v>
      </c>
      <c r="BA274" s="939">
        <v>0.0</v>
      </c>
      <c r="BB274" s="939">
        <v>3.0</v>
      </c>
      <c r="BC274" s="939">
        <v>0.0</v>
      </c>
      <c r="BD274" s="939">
        <v>12.0</v>
      </c>
      <c r="BE274" s="939">
        <v>10.0</v>
      </c>
      <c r="BF274" s="939">
        <v>0.0</v>
      </c>
      <c r="BG274" s="940">
        <v>0.0</v>
      </c>
    </row>
    <row r="275">
      <c r="A275" s="935" t="s">
        <v>129</v>
      </c>
      <c r="B275" s="16" t="str">
        <f>IF(C275&lt;'PlayerGrades+'!$Y$44,"F-",IF(C275&lt;'PlayerGrades+'!$Y$43,"F",IF(C275&lt;'PlayerGrades+'!$Y$42,"F+",IF(C275&lt;'PlayerGrades+'!$Y$41,"E-",IF(C275&lt;'PlayerGrades+'!$Y$40,"E",IF(C275&lt;'PlayerGrades+'!$Y$39,"E+",IF(C275&lt;'PlayerGrades+'!$Y$38,"D-",IF(C275&lt;'PlayerGrades+'!$Y$37,"D",IF(C275&lt;'PlayerGrades+'!$Y$36,"D+",IF(C275&lt;'PlayerGrades+'!$Y$35,"C-",IF(C275&lt;'PlayerGrades+'!$Y$34,"C",IF(C275&lt;'PlayerGrades+'!$Y$33,"C+",IF(C275&lt;'PlayerGrades+'!$Y$32,"B-",IF(C275&lt;'PlayerGrades+'!$Y$31,"B",IF(C275&lt;'PlayerGrades+'!$Y$30,"B+",IF(C275&lt;'PlayerGrades+'!$Y$29,"A-",IF(C275&lt;'PlayerGrades+'!$Y$28,"A",IF(C275&lt;'PlayerGrades+'!$Y$27,"A+",IF(C275&lt;'PlayerGrades+'!$Y$26,"S-",IF(C275&lt;'PlayerGrades+'!$Y$25,"S","S+"))))))))))))))))))))</f>
        <v>S+</v>
      </c>
      <c r="C275" s="936">
        <f>('PlayerGrades+'!$Y$47*(VLOOKUP(E275, 'PlayerGrades+'!$X$3:$Y$23, 2, FALSE)))+('PlayerGrades+'!$Y$48*(VLOOKUP(G275, 'PlayerGrades+'!$X$3:$Y$23, 2, FALSE)))+('PlayerGrades+'!$Y$49*(VLOOKUP(I275, 'PlayerGrades+'!$X$3:$Y$23, 2, FALSE)))+('PlayerGrades+'!$Y$50*(VLOOKUP(K275, 'PlayerGrades+'!$X$3:$Y$23, 2, FALSE)))+('PlayerGrades+'!$Y$51*(VLOOKUP(M275, 'PlayerGrades+'!$X$3:$Y$23, 2, FALSE)))+('PlayerGrades+'!$Y$52*(VLOOKUP(O275, 'PlayerGrades+'!$X$3:$Y$23, 2, FALSE)))+('PlayerGrades+'!$Y$53*(VLOOKUP(Q275, 'PlayerGrades+'!$X$3:$Y$23, 2, FALSE)))+('PlayerGrades+'!$Y$54*(VLOOKUP(S275, 'PlayerGrades+'!$X$3:$Y$23, 2, FALSE)))+('PlayerGrades+'!$Y$55*(VLOOKUP(U275, 'PlayerGrades+'!$X$3:$Y$23, 2, FALSE)))</f>
        <v>36.15</v>
      </c>
      <c r="D275" s="937">
        <f t="shared" si="1"/>
        <v>0.2253521127</v>
      </c>
      <c r="E275" s="937" t="str">
        <f>IF(D275&lt;'PlayerGrades+'!$AA$21,"F-",IF(D275&lt;'PlayerGrades+'!$AA$20,"F",IF(D275&lt;'PlayerGrades+'!$AA$19,"F+",IF(D275&lt;'PlayerGrades+'!$AA$18,"E-",IF(D275&lt;'PlayerGrades+'!$AA$17,"E",IF(D275&lt;'PlayerGrades+'!$AA$16,"E+",IF(D275&lt;'PlayerGrades+'!$AA$15,"D-",IF(D275&lt;'PlayerGrades+'!$AA$14,"D",IF(D275&lt;'PlayerGrades+'!$AA$13,"D+",IF(D275&lt;'PlayerGrades+'!$AA$12,"C-",IF(D275&lt;'PlayerGrades+'!$AA$11,"C",IF(D275&lt;'PlayerGrades+'!$AA$10,"C+",IF(D275&lt;'PlayerGrades+'!$AA$9,"B-",IF(D275&lt;'PlayerGrades+'!$AA$8,"B",IF(D275&lt;'PlayerGrades+'!$AA$7,"B+",IF(D275&lt;'PlayerGrades+'!$AA$6,"A-",IF(D275&lt;'PlayerGrades+'!$AA$5,"A",IF(D275&lt;'PlayerGrades+'!$AA$4,"A+",IF(D275&lt;'PlayerGrades+'!$AA$3,"S-",IF(D275&lt;'PlayerGrades+'!$AA$2,"S","S+"))))))))))))))))))))</f>
        <v>A-</v>
      </c>
      <c r="F275" s="937">
        <f t="shared" si="2"/>
        <v>1.718309859</v>
      </c>
      <c r="G275" s="937" t="str">
        <f>IF(F275&lt;'PlayerGrades+'!$AB$21,"F-",IF(F275&lt;'PlayerGrades+'!$AB$20,"F",IF(F275&lt;'PlayerGrades+'!$AB$19,"F+",IF(F275&lt;'PlayerGrades+'!$AB$18,"E-",IF(F275&lt;'PlayerGrades+'!$AB$17,"E",IF(F275&lt;'PlayerGrades+'!$AB$16,"E+",IF(F275&lt;'PlayerGrades+'!$AB$15,"D-",IF(F275&lt;'PlayerGrades+'!$AB$14,"D",IF(F275&lt;'PlayerGrades+'!$AB$13,"D+",IF(F275&lt;'PlayerGrades+'!$AB$12,"C-",IF(F275&lt;'PlayerGrades+'!$AB$11,"C",IF(F275&lt;'PlayerGrades+'!$AB$10,"C+",IF(F275&lt;'PlayerGrades+'!$AB$9,"B-",IF(F275&lt;'PlayerGrades+'!$AB$8,"B",IF(F275&lt;'PlayerGrades+'!$AB$7,"B+",IF(F275&lt;'PlayerGrades+'!$AB$6,"A-",IF(F275&lt;'PlayerGrades+'!$AB$5,"A",IF(F275&lt;'PlayerGrades+'!$AB$4,"A+",IF(F275&lt;'PlayerGrades+'!$AB$3,"S-",IF(F275&lt;'PlayerGrades+'!$AB$2,"S","S+"))))))))))))))))))))</f>
        <v>S+</v>
      </c>
      <c r="H275" s="937">
        <f t="shared" si="3"/>
        <v>0.3661971831</v>
      </c>
      <c r="I275" s="937" t="str">
        <f>IF(H275&lt;'PlayerGrades+'!$AC$21,"F-",IF(H275&lt;'PlayerGrades+'!$AC$20,"F",IF(H275&lt;'PlayerGrades+'!$AC$19,"F+",IF(H275&lt;'PlayerGrades+'!$AC$18,"E-",IF(H275&lt;'PlayerGrades+'!$AC$17,"E",IF(H275&lt;'PlayerGrades+'!$AC$16,"E+",IF(H275&lt;'PlayerGrades+'!$AC$15,"D-",IF(H275&lt;'PlayerGrades+'!$AC$14,"D",IF(H275&lt;'PlayerGrades+'!$AC$13,"D+",IF(H275&lt;'PlayerGrades+'!$AC$12,"C-",IF(H275&lt;'PlayerGrades+'!$AC$11,"C",IF(H275&lt;'PlayerGrades+'!$AC$10,"C+",IF(H275&lt;'PlayerGrades+'!$AC$9,"B-",IF(H275&lt;'PlayerGrades+'!$AC$8,"B",IF(H275&lt;'PlayerGrades+'!$AC$7,"B+",IF(H275&lt;'PlayerGrades+'!$AC$6,"A-",IF(H275&lt;'PlayerGrades+'!$AC$5,"A",IF(H275&lt;'PlayerGrades+'!$AC$4,"A+",IF(H275&lt;'PlayerGrades+'!$AC$3,"S-",IF(H275&lt;'PlayerGrades+'!$AC$2,"S","S+"))))))))))))))))))))</f>
        <v>S+</v>
      </c>
      <c r="J275" s="937">
        <f t="shared" si="4"/>
        <v>0.1690140845</v>
      </c>
      <c r="K275" s="937" t="str">
        <f>IF(J275&lt;'PlayerGrades+'!$AD$21,"F-",IF(J275&lt;'PlayerGrades+'!$AD$20,"F",IF(J275&lt;'PlayerGrades+'!$AD$19,"F+",IF(J275&lt;'PlayerGrades+'!$AD$18,"E-",IF(J275&lt;'PlayerGrades+'!$AD$17,"E",IF(J275&lt;'PlayerGrades+'!$AD$16,"E+",IF(J275&lt;'PlayerGrades+'!$AD$15,"D-",IF(J275&lt;'PlayerGrades+'!$AD$14,"D",IF(J275&lt;'PlayerGrades+'!$AD$13,"D+",IF(J275&lt;'PlayerGrades+'!$AD$12,"C-",IF(J275&lt;'PlayerGrades+'!$AD$11,"C",IF(J275&lt;'PlayerGrades+'!$AD$10,"C+",IF(J275&lt;'PlayerGrades+'!$AD$9,"B-",IF(J275&lt;'PlayerGrades+'!$AD$8,"B",IF(J275&lt;'PlayerGrades+'!$AD$7,"B+",IF(J275&lt;'PlayerGrades+'!$AD$6,"A-",IF(J275&lt;'PlayerGrades+'!$AD$5,"A",IF(J275&lt;'PlayerGrades+'!$AD$4,"A+",IF(J275&lt;'PlayerGrades+'!$AD$3,"S-",IF(J275&lt;'PlayerGrades+'!$AD$2,"S","S+"))))))))))))))))))))</f>
        <v>S+</v>
      </c>
      <c r="L275" s="677">
        <f t="shared" si="5"/>
        <v>0.9295774648</v>
      </c>
      <c r="M275" s="938" t="str">
        <f>IF(L275&lt;'PlayerGrades+'!$AE$21,"F-",IF(L275&lt;'PlayerGrades+'!$AE$20,"F",IF(L275&lt;'PlayerGrades+'!$AE$19,"F+",IF(L275&lt;'PlayerGrades+'!$AE$18,"E-",IF(L275&lt;'PlayerGrades+'!$AE$17,"E",IF(L275&lt;'PlayerGrades+'!$AE$16,"E+",IF(L275&lt;'PlayerGrades+'!$AE$15,"D-",IF(L275&lt;'PlayerGrades+'!$AE$14,"D",IF(L275&lt;'PlayerGrades+'!$AE$13,"D+",IF(L275&lt;'PlayerGrades+'!$AE$12,"C-",IF(L275&lt;'PlayerGrades+'!$AE$11,"C",IF(L275&lt;'PlayerGrades+'!$AE$10,"C+",IF(L275&lt;'PlayerGrades+'!$AE$9,"B-",IF(L275&lt;'PlayerGrades+'!$AE$8,"B",IF(L275&lt;'PlayerGrades+'!$AE$7,"B+",IF(L275&lt;'PlayerGrades+'!$AE$6,"A-",IF(L275&lt;'PlayerGrades+'!$AE$5,"A",IF(L275&lt;'PlayerGrades+'!$AE$4,"A+",IF(L275&lt;'PlayerGrades+'!$AE$3,"S-",IF(L275&lt;'PlayerGrades+'!$AE$2,"S","S+"))))))))))))))))))))</f>
        <v>S+</v>
      </c>
      <c r="N275" s="937">
        <f t="shared" si="6"/>
        <v>0.2535211268</v>
      </c>
      <c r="O275" s="937" t="str">
        <f>IF(N275&lt;'PlayerGrades+'!$AF$21,"F-",IF(N275&lt;'PlayerGrades+'!$AF$20,"F",IF(N275&lt;'PlayerGrades+'!$AF$19,"F+",IF(N275&lt;'PlayerGrades+'!$AF$18,"E-",IF(N275&lt;'PlayerGrades+'!$AF$17,"E",IF(N275&lt;'PlayerGrades+'!$AF$16,"E+",IF(N275&lt;'PlayerGrades+'!$AF$15,"D-",IF(N275&lt;'PlayerGrades+'!$AF$14,"D",IF(N275&lt;'PlayerGrades+'!$AF$13,"D+",IF(N275&lt;'PlayerGrades+'!$AF$12,"C-",IF(N275&lt;'PlayerGrades+'!$AF$11,"C",IF(N275&lt;'PlayerGrades+'!$AF$10,"C+",IF(N275&lt;'PlayerGrades+'!$AF$9,"B-",IF(N275&lt;'PlayerGrades+'!$AF$8,"B",IF(N275&lt;'PlayerGrades+'!$AF$7,"B+",IF(N275&lt;'PlayerGrades+'!$AF$6,"A-",IF(N275&lt;'PlayerGrades+'!$AF$5,"A",IF(N275&lt;'PlayerGrades+'!$AF$4,"A+",IF(N275&lt;'PlayerGrades+'!$AF$3,"S-",IF(N275&lt;'PlayerGrades+'!$AF$2,"S","S+"))))))))))))))))))))</f>
        <v>S+</v>
      </c>
      <c r="P275" s="937">
        <f t="shared" si="7"/>
        <v>0.1408450704</v>
      </c>
      <c r="Q275" s="937" t="str">
        <f>IF(P275&lt;'PlayerGrades+'!$AG$21,"F-",IF(P275&lt;'PlayerGrades+'!$AG$20,"F",IF(P275&lt;'PlayerGrades+'!$AG$19,"F+",IF(P275&lt;'PlayerGrades+'!$AG$18,"E-",IF(P275&lt;'PlayerGrades+'!$AG$17,"E",IF(P275&lt;'PlayerGrades+'!$AG$16,"E+",IF(P275&lt;'PlayerGrades+'!$AG$15,"D-",IF(P275&lt;'PlayerGrades+'!$AG$14,"D",IF(P275&lt;'PlayerGrades+'!$AG$13,"D+",IF(P275&lt;'PlayerGrades+'!$AG$12,"C-",IF(P275&lt;'PlayerGrades+'!$AG$11,"C",IF(P275&lt;'PlayerGrades+'!$AG$10,"C+",IF(P275&lt;'PlayerGrades+'!$AG$9,"B-",IF(P275&lt;'PlayerGrades+'!$AG$8,"B",IF(P275&lt;'PlayerGrades+'!$AG$7,"B+",IF(P275&lt;'PlayerGrades+'!$AG$6,"A-",IF(P275&lt;'PlayerGrades+'!$AG$5,"A",IF(P275&lt;'PlayerGrades+'!$AG$4,"A+",IF(P275&lt;'PlayerGrades+'!$AG$3,"S-",IF(P275&lt;'PlayerGrades+'!$AG$2,"S","S+"))))))))))))))))))))</f>
        <v>S+</v>
      </c>
      <c r="R275" s="937">
        <f t="shared" si="8"/>
        <v>0.7323943662</v>
      </c>
      <c r="S275" s="937" t="str">
        <f>IF(R275&lt;'PlayerGrades+'!$AH$21,"F-",IF(R275&lt;'PlayerGrades+'!$AH$20,"F",IF(R275&lt;'PlayerGrades+'!$AH$19,"F+",IF(R275&lt;'PlayerGrades+'!$AH$18,"E-",IF(R275&lt;'PlayerGrades+'!$AH$17,"E",IF(R275&lt;'PlayerGrades+'!$AH$16,"E+",IF(R275&lt;'PlayerGrades+'!$AH$15,"D-",IF(R275&lt;'PlayerGrades+'!$AH$14,"D",IF(R275&lt;'PlayerGrades+'!$AH$13,"D+",IF(R275&lt;'PlayerGrades+'!$AH$12,"C-",IF(R275&lt;'PlayerGrades+'!$AH$11,"C",IF(R275&lt;'PlayerGrades+'!$AH$10,"C+",IF(R275&lt;'PlayerGrades+'!$AH$9,"B-",IF(R275&lt;'PlayerGrades+'!$AH$8,"B",IF(R275&lt;'PlayerGrades+'!$AH$7,"B+",IF(R275&lt;'PlayerGrades+'!$AH$6,"A-",IF(R275&lt;'PlayerGrades+'!$AH$5,"A",IF(R275&lt;'PlayerGrades+'!$AH$4,"A+",IF(R275&lt;'PlayerGrades+'!$AH$3,"S-",IF(R275&lt;'PlayerGrades+'!$AH$2,"S","S+"))))))))))))))))))))</f>
        <v>S</v>
      </c>
      <c r="T275" s="937">
        <f t="shared" si="9"/>
        <v>2.478873239</v>
      </c>
      <c r="U275" s="937" t="str">
        <f>IF(T275&lt;'PlayerGrades+'!$AI$21,"F-",IF(T275&lt;'PlayerGrades+'!$AI$20,"F",IF(T275&lt;'PlayerGrades+'!$AI$19,"F+",IF(T275&lt;'PlayerGrades+'!$AI$18,"E-",IF(T275&lt;'PlayerGrades+'!$AI$17,"E",IF(T275&lt;'PlayerGrades+'!$AI$16,"E+",IF(T275&lt;'PlayerGrades+'!$AI$15,"D-",IF(T275&lt;'PlayerGrades+'!$AI$14,"D",IF(T275&lt;'PlayerGrades+'!$AI$13,"D+",IF(T275&lt;'PlayerGrades+'!$AI$12,"C-",IF(T275&lt;'PlayerGrades+'!$AI$11,"C",IF(T275&lt;'PlayerGrades+'!$AI$10,"C+",IF(T275&lt;'PlayerGrades+'!$AI$9,"B-",IF(T275&lt;'PlayerGrades+'!$AI$8,"B",IF(T275&lt;'PlayerGrades+'!$AI$7,"B+",IF(T275&lt;'PlayerGrades+'!$AI$6,"A-",IF(T275&lt;'PlayerGrades+'!$AI$5,"A",IF(T275&lt;'PlayerGrades+'!$AI$4,"A+",IF(T275&lt;'PlayerGrades+'!$AI$3,"S-",IF(T275&lt;'PlayerGrades+'!$AI$2,"S","S+"))))))))))))))))))))</f>
        <v>S+</v>
      </c>
      <c r="V275" s="941">
        <v>1.0</v>
      </c>
      <c r="W275" s="941">
        <v>1.0</v>
      </c>
      <c r="X275" s="941">
        <v>0.0</v>
      </c>
      <c r="Y275" s="941">
        <v>2.0</v>
      </c>
      <c r="Z275" s="941">
        <v>6.0</v>
      </c>
      <c r="AA275" s="941">
        <v>151.0</v>
      </c>
      <c r="AB275" s="941">
        <v>90.0</v>
      </c>
      <c r="AC275" s="941">
        <v>61.0</v>
      </c>
      <c r="AD275" s="941">
        <v>13.0</v>
      </c>
      <c r="AE275" s="941">
        <v>9.0</v>
      </c>
      <c r="AF275" s="941">
        <v>0.0</v>
      </c>
      <c r="AG275" s="941">
        <v>1768.0</v>
      </c>
      <c r="AH275" s="941">
        <v>2130.0</v>
      </c>
      <c r="AI275" s="941">
        <v>19.0</v>
      </c>
      <c r="AJ275" s="941">
        <v>177.0</v>
      </c>
      <c r="AK275" s="941">
        <v>0.0</v>
      </c>
      <c r="AL275" s="941">
        <v>6.0</v>
      </c>
      <c r="AM275" s="941">
        <v>0.0</v>
      </c>
      <c r="AN275" s="941">
        <v>0.0</v>
      </c>
      <c r="AO275" s="941">
        <v>0.0</v>
      </c>
      <c r="AP275" s="941">
        <v>5.0</v>
      </c>
      <c r="AQ275" s="941">
        <v>0.0</v>
      </c>
      <c r="AR275" s="941">
        <v>33.0</v>
      </c>
      <c r="AS275" s="941">
        <v>9.0</v>
      </c>
      <c r="AT275" s="941">
        <v>3.0</v>
      </c>
      <c r="AU275" s="941">
        <v>0.0</v>
      </c>
      <c r="AV275" s="941">
        <v>0.0</v>
      </c>
      <c r="AW275" s="941">
        <v>0.0</v>
      </c>
      <c r="AX275" s="941">
        <v>0.0</v>
      </c>
      <c r="AY275" s="941">
        <v>0.0</v>
      </c>
      <c r="AZ275" s="941">
        <v>0.0</v>
      </c>
      <c r="BA275" s="941">
        <v>0.0</v>
      </c>
      <c r="BB275" s="941">
        <v>13.0</v>
      </c>
      <c r="BC275" s="941">
        <v>0.0</v>
      </c>
      <c r="BD275" s="941">
        <v>13.0</v>
      </c>
      <c r="BE275" s="941">
        <v>17.0</v>
      </c>
      <c r="BF275" s="941">
        <v>2.0</v>
      </c>
      <c r="BG275" s="942">
        <v>0.0</v>
      </c>
    </row>
    <row r="276">
      <c r="A276" s="935" t="s">
        <v>151</v>
      </c>
      <c r="B276" s="16" t="str">
        <f>IF(C276&lt;'PlayerGrades+'!$Y$44,"F-",IF(C276&lt;'PlayerGrades+'!$Y$43,"F",IF(C276&lt;'PlayerGrades+'!$Y$42,"F+",IF(C276&lt;'PlayerGrades+'!$Y$41,"E-",IF(C276&lt;'PlayerGrades+'!$Y$40,"E",IF(C276&lt;'PlayerGrades+'!$Y$39,"E+",IF(C276&lt;'PlayerGrades+'!$Y$38,"D-",IF(C276&lt;'PlayerGrades+'!$Y$37,"D",IF(C276&lt;'PlayerGrades+'!$Y$36,"D+",IF(C276&lt;'PlayerGrades+'!$Y$35,"C-",IF(C276&lt;'PlayerGrades+'!$Y$34,"C",IF(C276&lt;'PlayerGrades+'!$Y$33,"C+",IF(C276&lt;'PlayerGrades+'!$Y$32,"B-",IF(C276&lt;'PlayerGrades+'!$Y$31,"B",IF(C276&lt;'PlayerGrades+'!$Y$30,"B+",IF(C276&lt;'PlayerGrades+'!$Y$29,"A-",IF(C276&lt;'PlayerGrades+'!$Y$28,"A",IF(C276&lt;'PlayerGrades+'!$Y$27,"A+",IF(C276&lt;'PlayerGrades+'!$Y$26,"S-",IF(C276&lt;'PlayerGrades+'!$Y$25,"S","S+"))))))))))))))))))))</f>
        <v>A+</v>
      </c>
      <c r="C276" s="936">
        <f>('PlayerGrades+'!$Y$47*(VLOOKUP(E276, 'PlayerGrades+'!$X$3:$Y$23, 2, FALSE)))+('PlayerGrades+'!$Y$48*(VLOOKUP(G276, 'PlayerGrades+'!$X$3:$Y$23, 2, FALSE)))+('PlayerGrades+'!$Y$49*(VLOOKUP(I276, 'PlayerGrades+'!$X$3:$Y$23, 2, FALSE)))+('PlayerGrades+'!$Y$50*(VLOOKUP(K276, 'PlayerGrades+'!$X$3:$Y$23, 2, FALSE)))+('PlayerGrades+'!$Y$51*(VLOOKUP(M276, 'PlayerGrades+'!$X$3:$Y$23, 2, FALSE)))+('PlayerGrades+'!$Y$52*(VLOOKUP(O276, 'PlayerGrades+'!$X$3:$Y$23, 2, FALSE)))+('PlayerGrades+'!$Y$53*(VLOOKUP(Q276, 'PlayerGrades+'!$X$3:$Y$23, 2, FALSE)))+('PlayerGrades+'!$Y$54*(VLOOKUP(S276, 'PlayerGrades+'!$X$3:$Y$23, 2, FALSE)))+('PlayerGrades+'!$Y$55*(VLOOKUP(U276, 'PlayerGrades+'!$X$3:$Y$23, 2, FALSE)))</f>
        <v>28.2</v>
      </c>
      <c r="D276" s="937">
        <f t="shared" si="1"/>
        <v>0.02816901408</v>
      </c>
      <c r="E276" s="937" t="str">
        <f>IF(D276&lt;'PlayerGrades+'!$AA$21,"F-",IF(D276&lt;'PlayerGrades+'!$AA$20,"F",IF(D276&lt;'PlayerGrades+'!$AA$19,"F+",IF(D276&lt;'PlayerGrades+'!$AA$18,"E-",IF(D276&lt;'PlayerGrades+'!$AA$17,"E",IF(D276&lt;'PlayerGrades+'!$AA$16,"E+",IF(D276&lt;'PlayerGrades+'!$AA$15,"D-",IF(D276&lt;'PlayerGrades+'!$AA$14,"D",IF(D276&lt;'PlayerGrades+'!$AA$13,"D+",IF(D276&lt;'PlayerGrades+'!$AA$12,"C-",IF(D276&lt;'PlayerGrades+'!$AA$11,"C",IF(D276&lt;'PlayerGrades+'!$AA$10,"C+",IF(D276&lt;'PlayerGrades+'!$AA$9,"B-",IF(D276&lt;'PlayerGrades+'!$AA$8,"B",IF(D276&lt;'PlayerGrades+'!$AA$7,"B+",IF(D276&lt;'PlayerGrades+'!$AA$6,"A-",IF(D276&lt;'PlayerGrades+'!$AA$5,"A",IF(D276&lt;'PlayerGrades+'!$AA$4,"A+",IF(D276&lt;'PlayerGrades+'!$AA$3,"S-",IF(D276&lt;'PlayerGrades+'!$AA$2,"S","S+"))))))))))))))))))))</f>
        <v>D-</v>
      </c>
      <c r="F276" s="937">
        <f t="shared" si="2"/>
        <v>1.436619718</v>
      </c>
      <c r="G276" s="937" t="str">
        <f>IF(F276&lt;'PlayerGrades+'!$AB$21,"F-",IF(F276&lt;'PlayerGrades+'!$AB$20,"F",IF(F276&lt;'PlayerGrades+'!$AB$19,"F+",IF(F276&lt;'PlayerGrades+'!$AB$18,"E-",IF(F276&lt;'PlayerGrades+'!$AB$17,"E",IF(F276&lt;'PlayerGrades+'!$AB$16,"E+",IF(F276&lt;'PlayerGrades+'!$AB$15,"D-",IF(F276&lt;'PlayerGrades+'!$AB$14,"D",IF(F276&lt;'PlayerGrades+'!$AB$13,"D+",IF(F276&lt;'PlayerGrades+'!$AB$12,"C-",IF(F276&lt;'PlayerGrades+'!$AB$11,"C",IF(F276&lt;'PlayerGrades+'!$AB$10,"C+",IF(F276&lt;'PlayerGrades+'!$AB$9,"B-",IF(F276&lt;'PlayerGrades+'!$AB$8,"B",IF(F276&lt;'PlayerGrades+'!$AB$7,"B+",IF(F276&lt;'PlayerGrades+'!$AB$6,"A-",IF(F276&lt;'PlayerGrades+'!$AB$5,"A",IF(F276&lt;'PlayerGrades+'!$AB$4,"A+",IF(F276&lt;'PlayerGrades+'!$AB$3,"S-",IF(F276&lt;'PlayerGrades+'!$AB$2,"S","S+"))))))))))))))))))))</f>
        <v>S+</v>
      </c>
      <c r="H276" s="937">
        <f t="shared" si="3"/>
        <v>0.2535211268</v>
      </c>
      <c r="I276" s="937" t="str">
        <f>IF(H276&lt;'PlayerGrades+'!$AC$21,"F-",IF(H276&lt;'PlayerGrades+'!$AC$20,"F",IF(H276&lt;'PlayerGrades+'!$AC$19,"F+",IF(H276&lt;'PlayerGrades+'!$AC$18,"E-",IF(H276&lt;'PlayerGrades+'!$AC$17,"E",IF(H276&lt;'PlayerGrades+'!$AC$16,"E+",IF(H276&lt;'PlayerGrades+'!$AC$15,"D-",IF(H276&lt;'PlayerGrades+'!$AC$14,"D",IF(H276&lt;'PlayerGrades+'!$AC$13,"D+",IF(H276&lt;'PlayerGrades+'!$AC$12,"C-",IF(H276&lt;'PlayerGrades+'!$AC$11,"C",IF(H276&lt;'PlayerGrades+'!$AC$10,"C+",IF(H276&lt;'PlayerGrades+'!$AC$9,"B-",IF(H276&lt;'PlayerGrades+'!$AC$8,"B",IF(H276&lt;'PlayerGrades+'!$AC$7,"B+",IF(H276&lt;'PlayerGrades+'!$AC$6,"A-",IF(H276&lt;'PlayerGrades+'!$AC$5,"A",IF(H276&lt;'PlayerGrades+'!$AC$4,"A+",IF(H276&lt;'PlayerGrades+'!$AC$3,"S-",IF(H276&lt;'PlayerGrades+'!$AC$2,"S","S+"))))))))))))))))))))</f>
        <v>S</v>
      </c>
      <c r="J276" s="937">
        <f t="shared" si="4"/>
        <v>0.2253521127</v>
      </c>
      <c r="K276" s="937" t="str">
        <f>IF(J276&lt;'PlayerGrades+'!$AD$21,"F-",IF(J276&lt;'PlayerGrades+'!$AD$20,"F",IF(J276&lt;'PlayerGrades+'!$AD$19,"F+",IF(J276&lt;'PlayerGrades+'!$AD$18,"E-",IF(J276&lt;'PlayerGrades+'!$AD$17,"E",IF(J276&lt;'PlayerGrades+'!$AD$16,"E+",IF(J276&lt;'PlayerGrades+'!$AD$15,"D-",IF(J276&lt;'PlayerGrades+'!$AD$14,"D",IF(J276&lt;'PlayerGrades+'!$AD$13,"D+",IF(J276&lt;'PlayerGrades+'!$AD$12,"C-",IF(J276&lt;'PlayerGrades+'!$AD$11,"C",IF(J276&lt;'PlayerGrades+'!$AD$10,"C+",IF(J276&lt;'PlayerGrades+'!$AD$9,"B-",IF(J276&lt;'PlayerGrades+'!$AD$8,"B",IF(J276&lt;'PlayerGrades+'!$AD$7,"B+",IF(J276&lt;'PlayerGrades+'!$AD$6,"A-",IF(J276&lt;'PlayerGrades+'!$AD$5,"A",IF(J276&lt;'PlayerGrades+'!$AD$4,"A+",IF(J276&lt;'PlayerGrades+'!$AD$3,"S-",IF(J276&lt;'PlayerGrades+'!$AD$2,"S","S+"))))))))))))))))))))</f>
        <v>S+</v>
      </c>
      <c r="L276" s="677">
        <f t="shared" si="5"/>
        <v>0.676056338</v>
      </c>
      <c r="M276" s="938" t="str">
        <f>IF(L276&lt;'PlayerGrades+'!$AE$21,"F-",IF(L276&lt;'PlayerGrades+'!$AE$20,"F",IF(L276&lt;'PlayerGrades+'!$AE$19,"F+",IF(L276&lt;'PlayerGrades+'!$AE$18,"E-",IF(L276&lt;'PlayerGrades+'!$AE$17,"E",IF(L276&lt;'PlayerGrades+'!$AE$16,"E+",IF(L276&lt;'PlayerGrades+'!$AE$15,"D-",IF(L276&lt;'PlayerGrades+'!$AE$14,"D",IF(L276&lt;'PlayerGrades+'!$AE$13,"D+",IF(L276&lt;'PlayerGrades+'!$AE$12,"C-",IF(L276&lt;'PlayerGrades+'!$AE$11,"C",IF(L276&lt;'PlayerGrades+'!$AE$10,"C+",IF(L276&lt;'PlayerGrades+'!$AE$9,"B-",IF(L276&lt;'PlayerGrades+'!$AE$8,"B",IF(L276&lt;'PlayerGrades+'!$AE$7,"B+",IF(L276&lt;'PlayerGrades+'!$AE$6,"A-",IF(L276&lt;'PlayerGrades+'!$AE$5,"A",IF(L276&lt;'PlayerGrades+'!$AE$4,"A+",IF(L276&lt;'PlayerGrades+'!$AE$3,"S-",IF(L276&lt;'PlayerGrades+'!$AE$2,"S","S+"))))))))))))))))))))</f>
        <v>S</v>
      </c>
      <c r="N276" s="937">
        <f t="shared" si="6"/>
        <v>0.3098591549</v>
      </c>
      <c r="O276" s="937" t="str">
        <f>IF(N276&lt;'PlayerGrades+'!$AF$21,"F-",IF(N276&lt;'PlayerGrades+'!$AF$20,"F",IF(N276&lt;'PlayerGrades+'!$AF$19,"F+",IF(N276&lt;'PlayerGrades+'!$AF$18,"E-",IF(N276&lt;'PlayerGrades+'!$AF$17,"E",IF(N276&lt;'PlayerGrades+'!$AF$16,"E+",IF(N276&lt;'PlayerGrades+'!$AF$15,"D-",IF(N276&lt;'PlayerGrades+'!$AF$14,"D",IF(N276&lt;'PlayerGrades+'!$AF$13,"D+",IF(N276&lt;'PlayerGrades+'!$AF$12,"C-",IF(N276&lt;'PlayerGrades+'!$AF$11,"C",IF(N276&lt;'PlayerGrades+'!$AF$10,"C+",IF(N276&lt;'PlayerGrades+'!$AF$9,"B-",IF(N276&lt;'PlayerGrades+'!$AF$8,"B",IF(N276&lt;'PlayerGrades+'!$AF$7,"B+",IF(N276&lt;'PlayerGrades+'!$AF$6,"A-",IF(N276&lt;'PlayerGrades+'!$AF$5,"A",IF(N276&lt;'PlayerGrades+'!$AF$4,"A+",IF(N276&lt;'PlayerGrades+'!$AF$3,"S-",IF(N276&lt;'PlayerGrades+'!$AF$2,"S","S+"))))))))))))))))))))</f>
        <v>S+</v>
      </c>
      <c r="P276" s="937">
        <f t="shared" si="7"/>
        <v>0.2253521127</v>
      </c>
      <c r="Q276" s="937" t="str">
        <f>IF(P276&lt;'PlayerGrades+'!$AG$21,"F-",IF(P276&lt;'PlayerGrades+'!$AG$20,"F",IF(P276&lt;'PlayerGrades+'!$AG$19,"F+",IF(P276&lt;'PlayerGrades+'!$AG$18,"E-",IF(P276&lt;'PlayerGrades+'!$AG$17,"E",IF(P276&lt;'PlayerGrades+'!$AG$16,"E+",IF(P276&lt;'PlayerGrades+'!$AG$15,"D-",IF(P276&lt;'PlayerGrades+'!$AG$14,"D",IF(P276&lt;'PlayerGrades+'!$AG$13,"D+",IF(P276&lt;'PlayerGrades+'!$AG$12,"C-",IF(P276&lt;'PlayerGrades+'!$AG$11,"C",IF(P276&lt;'PlayerGrades+'!$AG$10,"C+",IF(P276&lt;'PlayerGrades+'!$AG$9,"B-",IF(P276&lt;'PlayerGrades+'!$AG$8,"B",IF(P276&lt;'PlayerGrades+'!$AG$7,"B+",IF(P276&lt;'PlayerGrades+'!$AG$6,"A-",IF(P276&lt;'PlayerGrades+'!$AG$5,"A",IF(P276&lt;'PlayerGrades+'!$AG$4,"A+",IF(P276&lt;'PlayerGrades+'!$AG$3,"S-",IF(P276&lt;'PlayerGrades+'!$AG$2,"S","S+"))))))))))))))))))))</f>
        <v>S+</v>
      </c>
      <c r="R276" s="937">
        <f t="shared" si="8"/>
        <v>0.2535211268</v>
      </c>
      <c r="S276" s="937" t="str">
        <f>IF(R276&lt;'PlayerGrades+'!$AH$21,"F-",IF(R276&lt;'PlayerGrades+'!$AH$20,"F",IF(R276&lt;'PlayerGrades+'!$AH$19,"F+",IF(R276&lt;'PlayerGrades+'!$AH$18,"E-",IF(R276&lt;'PlayerGrades+'!$AH$17,"E",IF(R276&lt;'PlayerGrades+'!$AH$16,"E+",IF(R276&lt;'PlayerGrades+'!$AH$15,"D-",IF(R276&lt;'PlayerGrades+'!$AH$14,"D",IF(R276&lt;'PlayerGrades+'!$AH$13,"D+",IF(R276&lt;'PlayerGrades+'!$AH$12,"C-",IF(R276&lt;'PlayerGrades+'!$AH$11,"C",IF(R276&lt;'PlayerGrades+'!$AH$10,"C+",IF(R276&lt;'PlayerGrades+'!$AH$9,"B-",IF(R276&lt;'PlayerGrades+'!$AH$8,"B",IF(R276&lt;'PlayerGrades+'!$AH$7,"B+",IF(R276&lt;'PlayerGrades+'!$AH$6,"A-",IF(R276&lt;'PlayerGrades+'!$AH$5,"A",IF(R276&lt;'PlayerGrades+'!$AH$4,"A+",IF(R276&lt;'PlayerGrades+'!$AH$3,"S-",IF(R276&lt;'PlayerGrades+'!$AH$2,"S","S+"))))))))))))))))))))</f>
        <v>F-</v>
      </c>
      <c r="T276" s="937">
        <f t="shared" si="9"/>
        <v>1.281690141</v>
      </c>
      <c r="U276" s="937" t="str">
        <f>IF(T276&lt;'PlayerGrades+'!$AI$21,"F-",IF(T276&lt;'PlayerGrades+'!$AI$20,"F",IF(T276&lt;'PlayerGrades+'!$AI$19,"F+",IF(T276&lt;'PlayerGrades+'!$AI$18,"E-",IF(T276&lt;'PlayerGrades+'!$AI$17,"E",IF(T276&lt;'PlayerGrades+'!$AI$16,"E+",IF(T276&lt;'PlayerGrades+'!$AI$15,"D-",IF(T276&lt;'PlayerGrades+'!$AI$14,"D",IF(T276&lt;'PlayerGrades+'!$AI$13,"D+",IF(T276&lt;'PlayerGrades+'!$AI$12,"C-",IF(T276&lt;'PlayerGrades+'!$AI$11,"C",IF(T276&lt;'PlayerGrades+'!$AI$10,"C+",IF(T276&lt;'PlayerGrades+'!$AI$9,"B-",IF(T276&lt;'PlayerGrades+'!$AI$8,"B",IF(T276&lt;'PlayerGrades+'!$AI$7,"B+",IF(T276&lt;'PlayerGrades+'!$AI$6,"A-",IF(T276&lt;'PlayerGrades+'!$AI$5,"A",IF(T276&lt;'PlayerGrades+'!$AI$4,"A+",IF(T276&lt;'PlayerGrades+'!$AI$3,"S-",IF(T276&lt;'PlayerGrades+'!$AI$2,"S","S+"))))))))))))))))))))</f>
        <v>C</v>
      </c>
      <c r="V276" s="941">
        <v>1.0</v>
      </c>
      <c r="W276" s="941">
        <v>1.0</v>
      </c>
      <c r="X276" s="941">
        <v>0.0</v>
      </c>
      <c r="Y276" s="941">
        <v>1.0</v>
      </c>
      <c r="Z276" s="941">
        <v>0.0</v>
      </c>
      <c r="AA276" s="941">
        <v>130.0</v>
      </c>
      <c r="AB276" s="941">
        <v>79.0</v>
      </c>
      <c r="AC276" s="941">
        <v>51.0</v>
      </c>
      <c r="AD276" s="941">
        <v>3.0</v>
      </c>
      <c r="AE276" s="941">
        <v>10.0</v>
      </c>
      <c r="AF276" s="941">
        <v>1.0</v>
      </c>
      <c r="AG276" s="941">
        <v>1797.0</v>
      </c>
      <c r="AH276" s="941">
        <v>2130.0</v>
      </c>
      <c r="AI276" s="941">
        <v>22.0</v>
      </c>
      <c r="AJ276" s="941">
        <v>6.0</v>
      </c>
      <c r="AK276" s="941">
        <v>0.0</v>
      </c>
      <c r="AL276" s="941">
        <v>8.0</v>
      </c>
      <c r="AM276" s="941">
        <v>1.0</v>
      </c>
      <c r="AN276" s="941">
        <v>0.0</v>
      </c>
      <c r="AO276" s="941">
        <v>0.0</v>
      </c>
      <c r="AP276" s="941">
        <v>8.0</v>
      </c>
      <c r="AQ276" s="941">
        <v>0.0</v>
      </c>
      <c r="AR276" s="941">
        <v>24.0</v>
      </c>
      <c r="AS276" s="941">
        <v>11.0</v>
      </c>
      <c r="AT276" s="941">
        <v>6.0</v>
      </c>
      <c r="AU276" s="941">
        <v>2.0</v>
      </c>
      <c r="AV276" s="941">
        <v>2.0</v>
      </c>
      <c r="AW276" s="941">
        <v>0.0</v>
      </c>
      <c r="AX276" s="941">
        <v>0.0</v>
      </c>
      <c r="AY276" s="941">
        <v>0.0</v>
      </c>
      <c r="AZ276" s="941">
        <v>0.0</v>
      </c>
      <c r="BA276" s="941">
        <v>0.0</v>
      </c>
      <c r="BB276" s="941">
        <v>9.0</v>
      </c>
      <c r="BC276" s="941">
        <v>0.0</v>
      </c>
      <c r="BD276" s="941">
        <v>6.0</v>
      </c>
      <c r="BE276" s="941">
        <v>10.0</v>
      </c>
      <c r="BF276" s="941">
        <v>1.0</v>
      </c>
      <c r="BG276" s="942">
        <v>0.0</v>
      </c>
    </row>
    <row r="277">
      <c r="A277" s="935" t="s">
        <v>140</v>
      </c>
      <c r="B277" s="16" t="str">
        <f>IF(C277&lt;'PlayerGrades+'!$Y$44,"F-",IF(C277&lt;'PlayerGrades+'!$Y$43,"F",IF(C277&lt;'PlayerGrades+'!$Y$42,"F+",IF(C277&lt;'PlayerGrades+'!$Y$41,"E-",IF(C277&lt;'PlayerGrades+'!$Y$40,"E",IF(C277&lt;'PlayerGrades+'!$Y$39,"E+",IF(C277&lt;'PlayerGrades+'!$Y$38,"D-",IF(C277&lt;'PlayerGrades+'!$Y$37,"D",IF(C277&lt;'PlayerGrades+'!$Y$36,"D+",IF(C277&lt;'PlayerGrades+'!$Y$35,"C-",IF(C277&lt;'PlayerGrades+'!$Y$34,"C",IF(C277&lt;'PlayerGrades+'!$Y$33,"C+",IF(C277&lt;'PlayerGrades+'!$Y$32,"B-",IF(C277&lt;'PlayerGrades+'!$Y$31,"B",IF(C277&lt;'PlayerGrades+'!$Y$30,"B+",IF(C277&lt;'PlayerGrades+'!$Y$29,"A-",IF(C277&lt;'PlayerGrades+'!$Y$28,"A",IF(C277&lt;'PlayerGrades+'!$Y$27,"A+",IF(C277&lt;'PlayerGrades+'!$Y$26,"S-",IF(C277&lt;'PlayerGrades+'!$Y$25,"S","S+"))))))))))))))))))))</f>
        <v>A+</v>
      </c>
      <c r="C277" s="936">
        <f>('PlayerGrades+'!$Y$47*(VLOOKUP(E277, 'PlayerGrades+'!$X$3:$Y$23, 2, FALSE)))+('PlayerGrades+'!$Y$48*(VLOOKUP(G277, 'PlayerGrades+'!$X$3:$Y$23, 2, FALSE)))+('PlayerGrades+'!$Y$49*(VLOOKUP(I277, 'PlayerGrades+'!$X$3:$Y$23, 2, FALSE)))+('PlayerGrades+'!$Y$50*(VLOOKUP(K277, 'PlayerGrades+'!$X$3:$Y$23, 2, FALSE)))+('PlayerGrades+'!$Y$51*(VLOOKUP(M277, 'PlayerGrades+'!$X$3:$Y$23, 2, FALSE)))+('PlayerGrades+'!$Y$52*(VLOOKUP(O277, 'PlayerGrades+'!$X$3:$Y$23, 2, FALSE)))+('PlayerGrades+'!$Y$53*(VLOOKUP(Q277, 'PlayerGrades+'!$X$3:$Y$23, 2, FALSE)))+('PlayerGrades+'!$Y$54*(VLOOKUP(S277, 'PlayerGrades+'!$X$3:$Y$23, 2, FALSE)))+('PlayerGrades+'!$Y$55*(VLOOKUP(U277, 'PlayerGrades+'!$X$3:$Y$23, 2, FALSE)))</f>
        <v>28.25</v>
      </c>
      <c r="D277" s="937">
        <f t="shared" si="1"/>
        <v>0.1126760563</v>
      </c>
      <c r="E277" s="937" t="str">
        <f>IF(D277&lt;'PlayerGrades+'!$AA$21,"F-",IF(D277&lt;'PlayerGrades+'!$AA$20,"F",IF(D277&lt;'PlayerGrades+'!$AA$19,"F+",IF(D277&lt;'PlayerGrades+'!$AA$18,"E-",IF(D277&lt;'PlayerGrades+'!$AA$17,"E",IF(D277&lt;'PlayerGrades+'!$AA$16,"E+",IF(D277&lt;'PlayerGrades+'!$AA$15,"D-",IF(D277&lt;'PlayerGrades+'!$AA$14,"D",IF(D277&lt;'PlayerGrades+'!$AA$13,"D+",IF(D277&lt;'PlayerGrades+'!$AA$12,"C-",IF(D277&lt;'PlayerGrades+'!$AA$11,"C",IF(D277&lt;'PlayerGrades+'!$AA$10,"C+",IF(D277&lt;'PlayerGrades+'!$AA$9,"B-",IF(D277&lt;'PlayerGrades+'!$AA$8,"B",IF(D277&lt;'PlayerGrades+'!$AA$7,"B+",IF(D277&lt;'PlayerGrades+'!$AA$6,"A-",IF(D277&lt;'PlayerGrades+'!$AA$5,"A",IF(D277&lt;'PlayerGrades+'!$AA$4,"A+",IF(D277&lt;'PlayerGrades+'!$AA$3,"S-",IF(D277&lt;'PlayerGrades+'!$AA$2,"S","S+"))))))))))))))))))))</f>
        <v>B</v>
      </c>
      <c r="F277" s="937">
        <f t="shared" si="2"/>
        <v>0.9577464789</v>
      </c>
      <c r="G277" s="937" t="str">
        <f>IF(F277&lt;'PlayerGrades+'!$AB$21,"F-",IF(F277&lt;'PlayerGrades+'!$AB$20,"F",IF(F277&lt;'PlayerGrades+'!$AB$19,"F+",IF(F277&lt;'PlayerGrades+'!$AB$18,"E-",IF(F277&lt;'PlayerGrades+'!$AB$17,"E",IF(F277&lt;'PlayerGrades+'!$AB$16,"E+",IF(F277&lt;'PlayerGrades+'!$AB$15,"D-",IF(F277&lt;'PlayerGrades+'!$AB$14,"D",IF(F277&lt;'PlayerGrades+'!$AB$13,"D+",IF(F277&lt;'PlayerGrades+'!$AB$12,"C-",IF(F277&lt;'PlayerGrades+'!$AB$11,"C",IF(F277&lt;'PlayerGrades+'!$AB$10,"C+",IF(F277&lt;'PlayerGrades+'!$AB$9,"B-",IF(F277&lt;'PlayerGrades+'!$AB$8,"B",IF(F277&lt;'PlayerGrades+'!$AB$7,"B+",IF(F277&lt;'PlayerGrades+'!$AB$6,"A-",IF(F277&lt;'PlayerGrades+'!$AB$5,"A",IF(F277&lt;'PlayerGrades+'!$AB$4,"A+",IF(F277&lt;'PlayerGrades+'!$AB$3,"S-",IF(F277&lt;'PlayerGrades+'!$AB$2,"S","S+"))))))))))))))))))))</f>
        <v>S+</v>
      </c>
      <c r="H277" s="937">
        <f t="shared" si="3"/>
        <v>0.3943661972</v>
      </c>
      <c r="I277" s="937" t="str">
        <f>IF(H277&lt;'PlayerGrades+'!$AC$21,"F-",IF(H277&lt;'PlayerGrades+'!$AC$20,"F",IF(H277&lt;'PlayerGrades+'!$AC$19,"F+",IF(H277&lt;'PlayerGrades+'!$AC$18,"E-",IF(H277&lt;'PlayerGrades+'!$AC$17,"E",IF(H277&lt;'PlayerGrades+'!$AC$16,"E+",IF(H277&lt;'PlayerGrades+'!$AC$15,"D-",IF(H277&lt;'PlayerGrades+'!$AC$14,"D",IF(H277&lt;'PlayerGrades+'!$AC$13,"D+",IF(H277&lt;'PlayerGrades+'!$AC$12,"C-",IF(H277&lt;'PlayerGrades+'!$AC$11,"C",IF(H277&lt;'PlayerGrades+'!$AC$10,"C+",IF(H277&lt;'PlayerGrades+'!$AC$9,"B-",IF(H277&lt;'PlayerGrades+'!$AC$8,"B",IF(H277&lt;'PlayerGrades+'!$AC$7,"B+",IF(H277&lt;'PlayerGrades+'!$AC$6,"A-",IF(H277&lt;'PlayerGrades+'!$AC$5,"A",IF(H277&lt;'PlayerGrades+'!$AC$4,"A+",IF(H277&lt;'PlayerGrades+'!$AC$3,"S-",IF(H277&lt;'PlayerGrades+'!$AC$2,"S","S+"))))))))))))))))))))</f>
        <v>S+</v>
      </c>
      <c r="J277" s="937">
        <f t="shared" si="4"/>
        <v>0.1126760563</v>
      </c>
      <c r="K277" s="937" t="str">
        <f>IF(J277&lt;'PlayerGrades+'!$AD$21,"F-",IF(J277&lt;'PlayerGrades+'!$AD$20,"F",IF(J277&lt;'PlayerGrades+'!$AD$19,"F+",IF(J277&lt;'PlayerGrades+'!$AD$18,"E-",IF(J277&lt;'PlayerGrades+'!$AD$17,"E",IF(J277&lt;'PlayerGrades+'!$AD$16,"E+",IF(J277&lt;'PlayerGrades+'!$AD$15,"D-",IF(J277&lt;'PlayerGrades+'!$AD$14,"D",IF(J277&lt;'PlayerGrades+'!$AD$13,"D+",IF(J277&lt;'PlayerGrades+'!$AD$12,"C-",IF(J277&lt;'PlayerGrades+'!$AD$11,"C",IF(J277&lt;'PlayerGrades+'!$AD$10,"C+",IF(J277&lt;'PlayerGrades+'!$AD$9,"B-",IF(J277&lt;'PlayerGrades+'!$AD$8,"B",IF(J277&lt;'PlayerGrades+'!$AD$7,"B+",IF(J277&lt;'PlayerGrades+'!$AD$6,"A-",IF(J277&lt;'PlayerGrades+'!$AD$5,"A",IF(J277&lt;'PlayerGrades+'!$AD$4,"A+",IF(J277&lt;'PlayerGrades+'!$AD$3,"S-",IF(J277&lt;'PlayerGrades+'!$AD$2,"S","S+"))))))))))))))))))))</f>
        <v>S+</v>
      </c>
      <c r="L277" s="677">
        <f t="shared" si="5"/>
        <v>0.5915492958</v>
      </c>
      <c r="M277" s="938" t="str">
        <f>IF(L277&lt;'PlayerGrades+'!$AE$21,"F-",IF(L277&lt;'PlayerGrades+'!$AE$20,"F",IF(L277&lt;'PlayerGrades+'!$AE$19,"F+",IF(L277&lt;'PlayerGrades+'!$AE$18,"E-",IF(L277&lt;'PlayerGrades+'!$AE$17,"E",IF(L277&lt;'PlayerGrades+'!$AE$16,"E+",IF(L277&lt;'PlayerGrades+'!$AE$15,"D-",IF(L277&lt;'PlayerGrades+'!$AE$14,"D",IF(L277&lt;'PlayerGrades+'!$AE$13,"D+",IF(L277&lt;'PlayerGrades+'!$AE$12,"C-",IF(L277&lt;'PlayerGrades+'!$AE$11,"C",IF(L277&lt;'PlayerGrades+'!$AE$10,"C+",IF(L277&lt;'PlayerGrades+'!$AE$9,"B-",IF(L277&lt;'PlayerGrades+'!$AE$8,"B",IF(L277&lt;'PlayerGrades+'!$AE$7,"B+",IF(L277&lt;'PlayerGrades+'!$AE$6,"A-",IF(L277&lt;'PlayerGrades+'!$AE$5,"A",IF(L277&lt;'PlayerGrades+'!$AE$4,"A+",IF(L277&lt;'PlayerGrades+'!$AE$3,"S-",IF(L277&lt;'PlayerGrades+'!$AE$2,"S","S+"))))))))))))))))))))</f>
        <v>A+</v>
      </c>
      <c r="N277" s="937">
        <f t="shared" si="6"/>
        <v>0.1408450704</v>
      </c>
      <c r="O277" s="937" t="str">
        <f>IF(N277&lt;'PlayerGrades+'!$AF$21,"F-",IF(N277&lt;'PlayerGrades+'!$AF$20,"F",IF(N277&lt;'PlayerGrades+'!$AF$19,"F+",IF(N277&lt;'PlayerGrades+'!$AF$18,"E-",IF(N277&lt;'PlayerGrades+'!$AF$17,"E",IF(N277&lt;'PlayerGrades+'!$AF$16,"E+",IF(N277&lt;'PlayerGrades+'!$AF$15,"D-",IF(N277&lt;'PlayerGrades+'!$AF$14,"D",IF(N277&lt;'PlayerGrades+'!$AF$13,"D+",IF(N277&lt;'PlayerGrades+'!$AF$12,"C-",IF(N277&lt;'PlayerGrades+'!$AF$11,"C",IF(N277&lt;'PlayerGrades+'!$AF$10,"C+",IF(N277&lt;'PlayerGrades+'!$AF$9,"B-",IF(N277&lt;'PlayerGrades+'!$AF$8,"B",IF(N277&lt;'PlayerGrades+'!$AF$7,"B+",IF(N277&lt;'PlayerGrades+'!$AF$6,"A-",IF(N277&lt;'PlayerGrades+'!$AF$5,"A",IF(N277&lt;'PlayerGrades+'!$AF$4,"A+",IF(N277&lt;'PlayerGrades+'!$AF$3,"S-",IF(N277&lt;'PlayerGrades+'!$AF$2,"S","S+"))))))))))))))))))))</f>
        <v>S</v>
      </c>
      <c r="P277" s="937">
        <f t="shared" si="7"/>
        <v>0.08450704225</v>
      </c>
      <c r="Q277" s="937" t="str">
        <f>IF(P277&lt;'PlayerGrades+'!$AG$21,"F-",IF(P277&lt;'PlayerGrades+'!$AG$20,"F",IF(P277&lt;'PlayerGrades+'!$AG$19,"F+",IF(P277&lt;'PlayerGrades+'!$AG$18,"E-",IF(P277&lt;'PlayerGrades+'!$AG$17,"E",IF(P277&lt;'PlayerGrades+'!$AG$16,"E+",IF(P277&lt;'PlayerGrades+'!$AG$15,"D-",IF(P277&lt;'PlayerGrades+'!$AG$14,"D",IF(P277&lt;'PlayerGrades+'!$AG$13,"D+",IF(P277&lt;'PlayerGrades+'!$AG$12,"C-",IF(P277&lt;'PlayerGrades+'!$AG$11,"C",IF(P277&lt;'PlayerGrades+'!$AG$10,"C+",IF(P277&lt;'PlayerGrades+'!$AG$9,"B-",IF(P277&lt;'PlayerGrades+'!$AG$8,"B",IF(P277&lt;'PlayerGrades+'!$AG$7,"B+",IF(P277&lt;'PlayerGrades+'!$AG$6,"A-",IF(P277&lt;'PlayerGrades+'!$AG$5,"A",IF(P277&lt;'PlayerGrades+'!$AG$4,"A+",IF(P277&lt;'PlayerGrades+'!$AG$3,"S-",IF(P277&lt;'PlayerGrades+'!$AG$2,"S","S+"))))))))))))))))))))</f>
        <v>S</v>
      </c>
      <c r="R277" s="937">
        <f t="shared" si="8"/>
        <v>0.338028169</v>
      </c>
      <c r="S277" s="937" t="str">
        <f>IF(R277&lt;'PlayerGrades+'!$AH$21,"F-",IF(R277&lt;'PlayerGrades+'!$AH$20,"F",IF(R277&lt;'PlayerGrades+'!$AH$19,"F+",IF(R277&lt;'PlayerGrades+'!$AH$18,"E-",IF(R277&lt;'PlayerGrades+'!$AH$17,"E",IF(R277&lt;'PlayerGrades+'!$AH$16,"E+",IF(R277&lt;'PlayerGrades+'!$AH$15,"D-",IF(R277&lt;'PlayerGrades+'!$AH$14,"D",IF(R277&lt;'PlayerGrades+'!$AH$13,"D+",IF(R277&lt;'PlayerGrades+'!$AH$12,"C-",IF(R277&lt;'PlayerGrades+'!$AH$11,"C",IF(R277&lt;'PlayerGrades+'!$AH$10,"C+",IF(R277&lt;'PlayerGrades+'!$AH$9,"B-",IF(R277&lt;'PlayerGrades+'!$AH$8,"B",IF(R277&lt;'PlayerGrades+'!$AH$7,"B+",IF(R277&lt;'PlayerGrades+'!$AH$6,"A-",IF(R277&lt;'PlayerGrades+'!$AH$5,"A",IF(R277&lt;'PlayerGrades+'!$AH$4,"A+",IF(R277&lt;'PlayerGrades+'!$AH$3,"S-",IF(R277&lt;'PlayerGrades+'!$AH$2,"S","S+"))))))))))))))))))))</f>
        <v>F</v>
      </c>
      <c r="T277" s="937">
        <f t="shared" si="9"/>
        <v>0.338028169</v>
      </c>
      <c r="U277" s="937" t="str">
        <f>IF(T277&lt;'PlayerGrades+'!$AI$21,"F-",IF(T277&lt;'PlayerGrades+'!$AI$20,"F",IF(T277&lt;'PlayerGrades+'!$AI$19,"F+",IF(T277&lt;'PlayerGrades+'!$AI$18,"E-",IF(T277&lt;'PlayerGrades+'!$AI$17,"E",IF(T277&lt;'PlayerGrades+'!$AI$16,"E+",IF(T277&lt;'PlayerGrades+'!$AI$15,"D-",IF(T277&lt;'PlayerGrades+'!$AI$14,"D",IF(T277&lt;'PlayerGrades+'!$AI$13,"D+",IF(T277&lt;'PlayerGrades+'!$AI$12,"C-",IF(T277&lt;'PlayerGrades+'!$AI$11,"C",IF(T277&lt;'PlayerGrades+'!$AI$10,"C+",IF(T277&lt;'PlayerGrades+'!$AI$9,"B-",IF(T277&lt;'PlayerGrades+'!$AI$8,"B",IF(T277&lt;'PlayerGrades+'!$AI$7,"B+",IF(T277&lt;'PlayerGrades+'!$AI$6,"A-",IF(T277&lt;'PlayerGrades+'!$AI$5,"A",IF(T277&lt;'PlayerGrades+'!$AI$4,"A+",IF(T277&lt;'PlayerGrades+'!$AI$3,"S-",IF(T277&lt;'PlayerGrades+'!$AI$2,"S","S+"))))))))))))))))))))</f>
        <v>F-</v>
      </c>
      <c r="V277" s="941">
        <v>1.0</v>
      </c>
      <c r="W277" s="941">
        <v>1.0</v>
      </c>
      <c r="X277" s="941">
        <v>0.0</v>
      </c>
      <c r="Y277" s="941">
        <v>0.0</v>
      </c>
      <c r="Z277" s="941">
        <v>4.0</v>
      </c>
      <c r="AA277" s="941">
        <v>122.0</v>
      </c>
      <c r="AB277" s="941">
        <v>88.0</v>
      </c>
      <c r="AC277" s="941">
        <v>34.0</v>
      </c>
      <c r="AD277" s="941">
        <v>9.0</v>
      </c>
      <c r="AE277" s="941">
        <v>6.0</v>
      </c>
      <c r="AF277" s="941">
        <v>2.0</v>
      </c>
      <c r="AG277" s="941">
        <v>1765.0</v>
      </c>
      <c r="AH277" s="941">
        <v>2130.0</v>
      </c>
      <c r="AI277" s="941">
        <v>20.0</v>
      </c>
      <c r="AJ277" s="941">
        <v>61.0</v>
      </c>
      <c r="AK277" s="941">
        <v>0.0</v>
      </c>
      <c r="AL277" s="941">
        <v>4.0</v>
      </c>
      <c r="AM277" s="941">
        <v>0.0</v>
      </c>
      <c r="AN277" s="941">
        <v>0.0</v>
      </c>
      <c r="AO277" s="941">
        <v>0.0</v>
      </c>
      <c r="AP277" s="941">
        <v>3.0</v>
      </c>
      <c r="AQ277" s="941">
        <v>0.0</v>
      </c>
      <c r="AR277" s="941">
        <v>21.0</v>
      </c>
      <c r="AS277" s="941">
        <v>5.0</v>
      </c>
      <c r="AT277" s="941">
        <v>1.0</v>
      </c>
      <c r="AU277" s="941">
        <v>1.0</v>
      </c>
      <c r="AV277" s="941">
        <v>0.0</v>
      </c>
      <c r="AW277" s="941">
        <v>0.0</v>
      </c>
      <c r="AX277" s="941">
        <v>0.0</v>
      </c>
      <c r="AY277" s="941">
        <v>0.0</v>
      </c>
      <c r="AZ277" s="941">
        <v>0.0</v>
      </c>
      <c r="BA277" s="941">
        <v>0.0</v>
      </c>
      <c r="BB277" s="941">
        <v>14.0</v>
      </c>
      <c r="BC277" s="941">
        <v>0.0</v>
      </c>
      <c r="BD277" s="941">
        <v>3.0</v>
      </c>
      <c r="BE277" s="941">
        <v>12.0</v>
      </c>
      <c r="BF277" s="941">
        <v>0.0</v>
      </c>
      <c r="BG277" s="942">
        <v>0.0</v>
      </c>
    </row>
    <row r="278">
      <c r="A278" s="935" t="s">
        <v>153</v>
      </c>
      <c r="B278" s="16" t="str">
        <f>IF(C278&lt;'PlayerGrades+'!$Y$44,"F-",IF(C278&lt;'PlayerGrades+'!$Y$43,"F",IF(C278&lt;'PlayerGrades+'!$Y$42,"F+",IF(C278&lt;'PlayerGrades+'!$Y$41,"E-",IF(C278&lt;'PlayerGrades+'!$Y$40,"E",IF(C278&lt;'PlayerGrades+'!$Y$39,"E+",IF(C278&lt;'PlayerGrades+'!$Y$38,"D-",IF(C278&lt;'PlayerGrades+'!$Y$37,"D",IF(C278&lt;'PlayerGrades+'!$Y$36,"D+",IF(C278&lt;'PlayerGrades+'!$Y$35,"C-",IF(C278&lt;'PlayerGrades+'!$Y$34,"C",IF(C278&lt;'PlayerGrades+'!$Y$33,"C+",IF(C278&lt;'PlayerGrades+'!$Y$32,"B-",IF(C278&lt;'PlayerGrades+'!$Y$31,"B",IF(C278&lt;'PlayerGrades+'!$Y$30,"B+",IF(C278&lt;'PlayerGrades+'!$Y$29,"A-",IF(C278&lt;'PlayerGrades+'!$Y$28,"A",IF(C278&lt;'PlayerGrades+'!$Y$27,"A+",IF(C278&lt;'PlayerGrades+'!$Y$26,"S-",IF(C278&lt;'PlayerGrades+'!$Y$25,"S","S+"))))))))))))))))))))</f>
        <v>F</v>
      </c>
      <c r="C278" s="936">
        <f>('PlayerGrades+'!$Y$47*(VLOOKUP(E278, 'PlayerGrades+'!$X$3:$Y$23, 2, FALSE)))+('PlayerGrades+'!$Y$48*(VLOOKUP(G278, 'PlayerGrades+'!$X$3:$Y$23, 2, FALSE)))+('PlayerGrades+'!$Y$49*(VLOOKUP(I278, 'PlayerGrades+'!$X$3:$Y$23, 2, FALSE)))+('PlayerGrades+'!$Y$50*(VLOOKUP(K278, 'PlayerGrades+'!$X$3:$Y$23, 2, FALSE)))+('PlayerGrades+'!$Y$51*(VLOOKUP(M278, 'PlayerGrades+'!$X$3:$Y$23, 2, FALSE)))+('PlayerGrades+'!$Y$52*(VLOOKUP(O278, 'PlayerGrades+'!$X$3:$Y$23, 2, FALSE)))+('PlayerGrades+'!$Y$53*(VLOOKUP(Q278, 'PlayerGrades+'!$X$3:$Y$23, 2, FALSE)))+('PlayerGrades+'!$Y$54*(VLOOKUP(S278, 'PlayerGrades+'!$X$3:$Y$23, 2, FALSE)))+('PlayerGrades+'!$Y$55*(VLOOKUP(U278, 'PlayerGrades+'!$X$3:$Y$23, 2, FALSE)))</f>
        <v>8.5</v>
      </c>
      <c r="D278" s="937">
        <f t="shared" si="1"/>
        <v>0.5070422535</v>
      </c>
      <c r="E278" s="937" t="str">
        <f>IF(D278&lt;'PlayerGrades+'!$AA$21,"F-",IF(D278&lt;'PlayerGrades+'!$AA$20,"F",IF(D278&lt;'PlayerGrades+'!$AA$19,"F+",IF(D278&lt;'PlayerGrades+'!$AA$18,"E-",IF(D278&lt;'PlayerGrades+'!$AA$17,"E",IF(D278&lt;'PlayerGrades+'!$AA$16,"E+",IF(D278&lt;'PlayerGrades+'!$AA$15,"D-",IF(D278&lt;'PlayerGrades+'!$AA$14,"D",IF(D278&lt;'PlayerGrades+'!$AA$13,"D+",IF(D278&lt;'PlayerGrades+'!$AA$12,"C-",IF(D278&lt;'PlayerGrades+'!$AA$11,"C",IF(D278&lt;'PlayerGrades+'!$AA$10,"C+",IF(D278&lt;'PlayerGrades+'!$AA$9,"B-",IF(D278&lt;'PlayerGrades+'!$AA$8,"B",IF(D278&lt;'PlayerGrades+'!$AA$7,"B+",IF(D278&lt;'PlayerGrades+'!$AA$6,"A-",IF(D278&lt;'PlayerGrades+'!$AA$5,"A",IF(D278&lt;'PlayerGrades+'!$AA$4,"A+",IF(D278&lt;'PlayerGrades+'!$AA$3,"S-",IF(D278&lt;'PlayerGrades+'!$AA$2,"S","S+"))))))))))))))))))))</f>
        <v>A+</v>
      </c>
      <c r="F278" s="937">
        <f t="shared" si="2"/>
        <v>-1.746478873</v>
      </c>
      <c r="G278" s="937" t="str">
        <f>IF(F278&lt;'PlayerGrades+'!$AB$21,"F-",IF(F278&lt;'PlayerGrades+'!$AB$20,"F",IF(F278&lt;'PlayerGrades+'!$AB$19,"F+",IF(F278&lt;'PlayerGrades+'!$AB$18,"E-",IF(F278&lt;'PlayerGrades+'!$AB$17,"E",IF(F278&lt;'PlayerGrades+'!$AB$16,"E+",IF(F278&lt;'PlayerGrades+'!$AB$15,"D-",IF(F278&lt;'PlayerGrades+'!$AB$14,"D",IF(F278&lt;'PlayerGrades+'!$AB$13,"D+",IF(F278&lt;'PlayerGrades+'!$AB$12,"C-",IF(F278&lt;'PlayerGrades+'!$AB$11,"C",IF(F278&lt;'PlayerGrades+'!$AB$10,"C+",IF(F278&lt;'PlayerGrades+'!$AB$9,"B-",IF(F278&lt;'PlayerGrades+'!$AB$8,"B",IF(F278&lt;'PlayerGrades+'!$AB$7,"B+",IF(F278&lt;'PlayerGrades+'!$AB$6,"A-",IF(F278&lt;'PlayerGrades+'!$AB$5,"A",IF(F278&lt;'PlayerGrades+'!$AB$4,"A+",IF(F278&lt;'PlayerGrades+'!$AB$3,"S-",IF(F278&lt;'PlayerGrades+'!$AB$2,"S","S+"))))))))))))))))))))</f>
        <v>F-</v>
      </c>
      <c r="H278" s="937">
        <f t="shared" si="3"/>
        <v>0</v>
      </c>
      <c r="I278" s="937" t="str">
        <f>IF(H278&lt;'PlayerGrades+'!$AC$21,"F-",IF(H278&lt;'PlayerGrades+'!$AC$20,"F",IF(H278&lt;'PlayerGrades+'!$AC$19,"F+",IF(H278&lt;'PlayerGrades+'!$AC$18,"E-",IF(H278&lt;'PlayerGrades+'!$AC$17,"E",IF(H278&lt;'PlayerGrades+'!$AC$16,"E+",IF(H278&lt;'PlayerGrades+'!$AC$15,"D-",IF(H278&lt;'PlayerGrades+'!$AC$14,"D",IF(H278&lt;'PlayerGrades+'!$AC$13,"D+",IF(H278&lt;'PlayerGrades+'!$AC$12,"C-",IF(H278&lt;'PlayerGrades+'!$AC$11,"C",IF(H278&lt;'PlayerGrades+'!$AC$10,"C+",IF(H278&lt;'PlayerGrades+'!$AC$9,"B-",IF(H278&lt;'PlayerGrades+'!$AC$8,"B",IF(H278&lt;'PlayerGrades+'!$AC$7,"B+",IF(H278&lt;'PlayerGrades+'!$AC$6,"A-",IF(H278&lt;'PlayerGrades+'!$AC$5,"A",IF(H278&lt;'PlayerGrades+'!$AC$4,"A+",IF(H278&lt;'PlayerGrades+'!$AC$3,"S-",IF(H278&lt;'PlayerGrades+'!$AC$2,"S","S+"))))))))))))))))))))</f>
        <v>F-</v>
      </c>
      <c r="J278" s="937">
        <f t="shared" si="4"/>
        <v>0.05633802817</v>
      </c>
      <c r="K278" s="937" t="str">
        <f>IF(J278&lt;'PlayerGrades+'!$AD$21,"F-",IF(J278&lt;'PlayerGrades+'!$AD$20,"F",IF(J278&lt;'PlayerGrades+'!$AD$19,"F+",IF(J278&lt;'PlayerGrades+'!$AD$18,"E-",IF(J278&lt;'PlayerGrades+'!$AD$17,"E",IF(J278&lt;'PlayerGrades+'!$AD$16,"E+",IF(J278&lt;'PlayerGrades+'!$AD$15,"D-",IF(J278&lt;'PlayerGrades+'!$AD$14,"D",IF(J278&lt;'PlayerGrades+'!$AD$13,"D+",IF(J278&lt;'PlayerGrades+'!$AD$12,"C-",IF(J278&lt;'PlayerGrades+'!$AD$11,"C",IF(J278&lt;'PlayerGrades+'!$AD$10,"C+",IF(J278&lt;'PlayerGrades+'!$AD$9,"B-",IF(J278&lt;'PlayerGrades+'!$AD$8,"B",IF(J278&lt;'PlayerGrades+'!$AD$7,"B+",IF(J278&lt;'PlayerGrades+'!$AD$6,"A-",IF(J278&lt;'PlayerGrades+'!$AD$5,"A",IF(J278&lt;'PlayerGrades+'!$AD$4,"A+",IF(J278&lt;'PlayerGrades+'!$AD$3,"S-",IF(J278&lt;'PlayerGrades+'!$AD$2,"S","S+"))))))))))))))))))))</f>
        <v>B+</v>
      </c>
      <c r="L278" s="677">
        <f t="shared" si="5"/>
        <v>0.2253521127</v>
      </c>
      <c r="M278" s="938" t="str">
        <f>IF(L278&lt;'PlayerGrades+'!$AE$21,"F-",IF(L278&lt;'PlayerGrades+'!$AE$20,"F",IF(L278&lt;'PlayerGrades+'!$AE$19,"F+",IF(L278&lt;'PlayerGrades+'!$AE$18,"E-",IF(L278&lt;'PlayerGrades+'!$AE$17,"E",IF(L278&lt;'PlayerGrades+'!$AE$16,"E+",IF(L278&lt;'PlayerGrades+'!$AE$15,"D-",IF(L278&lt;'PlayerGrades+'!$AE$14,"D",IF(L278&lt;'PlayerGrades+'!$AE$13,"D+",IF(L278&lt;'PlayerGrades+'!$AE$12,"C-",IF(L278&lt;'PlayerGrades+'!$AE$11,"C",IF(L278&lt;'PlayerGrades+'!$AE$10,"C+",IF(L278&lt;'PlayerGrades+'!$AE$9,"B-",IF(L278&lt;'PlayerGrades+'!$AE$8,"B",IF(L278&lt;'PlayerGrades+'!$AE$7,"B+",IF(L278&lt;'PlayerGrades+'!$AE$6,"A-",IF(L278&lt;'PlayerGrades+'!$AE$5,"A",IF(L278&lt;'PlayerGrades+'!$AE$4,"A+",IF(L278&lt;'PlayerGrades+'!$AE$3,"S-",IF(L278&lt;'PlayerGrades+'!$AE$2,"S","S+"))))))))))))))))))))</f>
        <v>F</v>
      </c>
      <c r="N278" s="937">
        <f t="shared" si="6"/>
        <v>0</v>
      </c>
      <c r="O278" s="937" t="str">
        <f>IF(N278&lt;'PlayerGrades+'!$AF$21,"F-",IF(N278&lt;'PlayerGrades+'!$AF$20,"F",IF(N278&lt;'PlayerGrades+'!$AF$19,"F+",IF(N278&lt;'PlayerGrades+'!$AF$18,"E-",IF(N278&lt;'PlayerGrades+'!$AF$17,"E",IF(N278&lt;'PlayerGrades+'!$AF$16,"E+",IF(N278&lt;'PlayerGrades+'!$AF$15,"D-",IF(N278&lt;'PlayerGrades+'!$AF$14,"D",IF(N278&lt;'PlayerGrades+'!$AF$13,"D+",IF(N278&lt;'PlayerGrades+'!$AF$12,"C-",IF(N278&lt;'PlayerGrades+'!$AF$11,"C",IF(N278&lt;'PlayerGrades+'!$AF$10,"C+",IF(N278&lt;'PlayerGrades+'!$AF$9,"B-",IF(N278&lt;'PlayerGrades+'!$AF$8,"B",IF(N278&lt;'PlayerGrades+'!$AF$7,"B+",IF(N278&lt;'PlayerGrades+'!$AF$6,"A-",IF(N278&lt;'PlayerGrades+'!$AF$5,"A",IF(N278&lt;'PlayerGrades+'!$AF$4,"A+",IF(N278&lt;'PlayerGrades+'!$AF$3,"S-",IF(N278&lt;'PlayerGrades+'!$AF$2,"S","S+"))))))))))))))))))))</f>
        <v>F-</v>
      </c>
      <c r="P278" s="937">
        <f t="shared" si="7"/>
        <v>0</v>
      </c>
      <c r="Q278" s="937" t="str">
        <f>IF(P278&lt;'PlayerGrades+'!$AG$21,"F-",IF(P278&lt;'PlayerGrades+'!$AG$20,"F",IF(P278&lt;'PlayerGrades+'!$AG$19,"F+",IF(P278&lt;'PlayerGrades+'!$AG$18,"E-",IF(P278&lt;'PlayerGrades+'!$AG$17,"E",IF(P278&lt;'PlayerGrades+'!$AG$16,"E+",IF(P278&lt;'PlayerGrades+'!$AG$15,"D-",IF(P278&lt;'PlayerGrades+'!$AG$14,"D",IF(P278&lt;'PlayerGrades+'!$AG$13,"D+",IF(P278&lt;'PlayerGrades+'!$AG$12,"C-",IF(P278&lt;'PlayerGrades+'!$AG$11,"C",IF(P278&lt;'PlayerGrades+'!$AG$10,"C+",IF(P278&lt;'PlayerGrades+'!$AG$9,"B-",IF(P278&lt;'PlayerGrades+'!$AG$8,"B",IF(P278&lt;'PlayerGrades+'!$AG$7,"B+",IF(P278&lt;'PlayerGrades+'!$AG$6,"A-",IF(P278&lt;'PlayerGrades+'!$AG$5,"A",IF(P278&lt;'PlayerGrades+'!$AG$4,"A+",IF(P278&lt;'PlayerGrades+'!$AG$3,"S-",IF(P278&lt;'PlayerGrades+'!$AG$2,"S","S+"))))))))))))))))))))</f>
        <v>F</v>
      </c>
      <c r="R278" s="937">
        <f t="shared" si="8"/>
        <v>0.3098591549</v>
      </c>
      <c r="S278" s="937" t="str">
        <f>IF(R278&lt;'PlayerGrades+'!$AH$21,"F-",IF(R278&lt;'PlayerGrades+'!$AH$20,"F",IF(R278&lt;'PlayerGrades+'!$AH$19,"F+",IF(R278&lt;'PlayerGrades+'!$AH$18,"E-",IF(R278&lt;'PlayerGrades+'!$AH$17,"E",IF(R278&lt;'PlayerGrades+'!$AH$16,"E+",IF(R278&lt;'PlayerGrades+'!$AH$15,"D-",IF(R278&lt;'PlayerGrades+'!$AH$14,"D",IF(R278&lt;'PlayerGrades+'!$AH$13,"D+",IF(R278&lt;'PlayerGrades+'!$AH$12,"C-",IF(R278&lt;'PlayerGrades+'!$AH$11,"C",IF(R278&lt;'PlayerGrades+'!$AH$10,"C+",IF(R278&lt;'PlayerGrades+'!$AH$9,"B-",IF(R278&lt;'PlayerGrades+'!$AH$8,"B",IF(R278&lt;'PlayerGrades+'!$AH$7,"B+",IF(R278&lt;'PlayerGrades+'!$AH$6,"A-",IF(R278&lt;'PlayerGrades+'!$AH$5,"A",IF(R278&lt;'PlayerGrades+'!$AH$4,"A+",IF(R278&lt;'PlayerGrades+'!$AH$3,"S-",IF(R278&lt;'PlayerGrades+'!$AH$2,"S","S+"))))))))))))))))))))</f>
        <v>F-</v>
      </c>
      <c r="T278" s="937">
        <f t="shared" si="9"/>
        <v>0.3098591549</v>
      </c>
      <c r="U278" s="937" t="str">
        <f>IF(T278&lt;'PlayerGrades+'!$AI$21,"F-",IF(T278&lt;'PlayerGrades+'!$AI$20,"F",IF(T278&lt;'PlayerGrades+'!$AI$19,"F+",IF(T278&lt;'PlayerGrades+'!$AI$18,"E-",IF(T278&lt;'PlayerGrades+'!$AI$17,"E",IF(T278&lt;'PlayerGrades+'!$AI$16,"E+",IF(T278&lt;'PlayerGrades+'!$AI$15,"D-",IF(T278&lt;'PlayerGrades+'!$AI$14,"D",IF(T278&lt;'PlayerGrades+'!$AI$13,"D+",IF(T278&lt;'PlayerGrades+'!$AI$12,"C-",IF(T278&lt;'PlayerGrades+'!$AI$11,"C",IF(T278&lt;'PlayerGrades+'!$AI$10,"C+",IF(T278&lt;'PlayerGrades+'!$AI$9,"B-",IF(T278&lt;'PlayerGrades+'!$AI$8,"B",IF(T278&lt;'PlayerGrades+'!$AI$7,"B+",IF(T278&lt;'PlayerGrades+'!$AI$6,"A-",IF(T278&lt;'PlayerGrades+'!$AI$5,"A",IF(T278&lt;'PlayerGrades+'!$AI$4,"A+",IF(T278&lt;'PlayerGrades+'!$AI$3,"S-",IF(T278&lt;'PlayerGrades+'!$AI$2,"S","S+"))))))))))))))))))))</f>
        <v>F-</v>
      </c>
      <c r="V278" s="941">
        <v>1.0</v>
      </c>
      <c r="W278" s="941">
        <v>0.0</v>
      </c>
      <c r="X278" s="941">
        <v>1.0</v>
      </c>
      <c r="Y278" s="941">
        <v>2.0</v>
      </c>
      <c r="Z278" s="941">
        <v>16.0</v>
      </c>
      <c r="AA278" s="941">
        <v>69.0</v>
      </c>
      <c r="AB278" s="941">
        <v>131.0</v>
      </c>
      <c r="AC278" s="941">
        <v>-62.0</v>
      </c>
      <c r="AD278" s="941">
        <v>3.0</v>
      </c>
      <c r="AE278" s="941">
        <v>5.0</v>
      </c>
      <c r="AF278" s="941">
        <v>0.0</v>
      </c>
      <c r="AG278" s="941">
        <v>1641.0</v>
      </c>
      <c r="AH278" s="941">
        <v>2130.0</v>
      </c>
      <c r="AI278" s="941">
        <v>12.0</v>
      </c>
      <c r="AJ278" s="941">
        <v>640.0</v>
      </c>
      <c r="AK278" s="941">
        <v>0.0</v>
      </c>
      <c r="AL278" s="941">
        <v>2.0</v>
      </c>
      <c r="AM278" s="941">
        <v>0.0</v>
      </c>
      <c r="AN278" s="941">
        <v>0.0</v>
      </c>
      <c r="AO278" s="941">
        <v>0.0</v>
      </c>
      <c r="AP278" s="941">
        <v>0.0</v>
      </c>
      <c r="AQ278" s="941">
        <v>0.0</v>
      </c>
      <c r="AR278" s="941">
        <v>8.0</v>
      </c>
      <c r="AS278" s="941">
        <v>0.0</v>
      </c>
      <c r="AT278" s="941">
        <v>0.0</v>
      </c>
      <c r="AU278" s="941">
        <v>0.0</v>
      </c>
      <c r="AV278" s="941">
        <v>0.0</v>
      </c>
      <c r="AW278" s="941">
        <v>0.0</v>
      </c>
      <c r="AX278" s="941">
        <v>0.0</v>
      </c>
      <c r="AY278" s="941">
        <v>0.0</v>
      </c>
      <c r="AZ278" s="941">
        <v>0.0</v>
      </c>
      <c r="BA278" s="941">
        <v>0.0</v>
      </c>
      <c r="BB278" s="941">
        <v>0.0</v>
      </c>
      <c r="BC278" s="941">
        <v>0.0</v>
      </c>
      <c r="BD278" s="941">
        <v>8.0</v>
      </c>
      <c r="BE278" s="941">
        <v>11.0</v>
      </c>
      <c r="BF278" s="941">
        <v>0.0</v>
      </c>
      <c r="BG278" s="942">
        <v>1.0</v>
      </c>
    </row>
    <row r="279">
      <c r="A279" s="935" t="s">
        <v>120</v>
      </c>
      <c r="B279" s="16" t="str">
        <f>IF(C279&lt;'PlayerGrades+'!$Y$44,"F-",IF(C279&lt;'PlayerGrades+'!$Y$43,"F",IF(C279&lt;'PlayerGrades+'!$Y$42,"F+",IF(C279&lt;'PlayerGrades+'!$Y$41,"E-",IF(C279&lt;'PlayerGrades+'!$Y$40,"E",IF(C279&lt;'PlayerGrades+'!$Y$39,"E+",IF(C279&lt;'PlayerGrades+'!$Y$38,"D-",IF(C279&lt;'PlayerGrades+'!$Y$37,"D",IF(C279&lt;'PlayerGrades+'!$Y$36,"D+",IF(C279&lt;'PlayerGrades+'!$Y$35,"C-",IF(C279&lt;'PlayerGrades+'!$Y$34,"C",IF(C279&lt;'PlayerGrades+'!$Y$33,"C+",IF(C279&lt;'PlayerGrades+'!$Y$32,"B-",IF(C279&lt;'PlayerGrades+'!$Y$31,"B",IF(C279&lt;'PlayerGrades+'!$Y$30,"B+",IF(C279&lt;'PlayerGrades+'!$Y$29,"A-",IF(C279&lt;'PlayerGrades+'!$Y$28,"A",IF(C279&lt;'PlayerGrades+'!$Y$27,"A+",IF(C279&lt;'PlayerGrades+'!$Y$26,"S-",IF(C279&lt;'PlayerGrades+'!$Y$25,"S","S+"))))))))))))))))))))</f>
        <v>B</v>
      </c>
      <c r="C279" s="936">
        <f>('PlayerGrades+'!$Y$47*(VLOOKUP(E279, 'PlayerGrades+'!$X$3:$Y$23, 2, FALSE)))+('PlayerGrades+'!$Y$48*(VLOOKUP(G279, 'PlayerGrades+'!$X$3:$Y$23, 2, FALSE)))+('PlayerGrades+'!$Y$49*(VLOOKUP(I279, 'PlayerGrades+'!$X$3:$Y$23, 2, FALSE)))+('PlayerGrades+'!$Y$50*(VLOOKUP(K279, 'PlayerGrades+'!$X$3:$Y$23, 2, FALSE)))+('PlayerGrades+'!$Y$51*(VLOOKUP(M279, 'PlayerGrades+'!$X$3:$Y$23, 2, FALSE)))+('PlayerGrades+'!$Y$52*(VLOOKUP(O279, 'PlayerGrades+'!$X$3:$Y$23, 2, FALSE)))+('PlayerGrades+'!$Y$53*(VLOOKUP(Q279, 'PlayerGrades+'!$X$3:$Y$23, 2, FALSE)))+('PlayerGrades+'!$Y$54*(VLOOKUP(S279, 'PlayerGrades+'!$X$3:$Y$23, 2, FALSE)))+('PlayerGrades+'!$Y$55*(VLOOKUP(U279, 'PlayerGrades+'!$X$3:$Y$23, 2, FALSE)))</f>
        <v>23.2</v>
      </c>
      <c r="D279" s="937">
        <f t="shared" si="1"/>
        <v>0.08450704225</v>
      </c>
      <c r="E279" s="937" t="str">
        <f>IF(D279&lt;'PlayerGrades+'!$AA$21,"F-",IF(D279&lt;'PlayerGrades+'!$AA$20,"F",IF(D279&lt;'PlayerGrades+'!$AA$19,"F+",IF(D279&lt;'PlayerGrades+'!$AA$18,"E-",IF(D279&lt;'PlayerGrades+'!$AA$17,"E",IF(D279&lt;'PlayerGrades+'!$AA$16,"E+",IF(D279&lt;'PlayerGrades+'!$AA$15,"D-",IF(D279&lt;'PlayerGrades+'!$AA$14,"D",IF(D279&lt;'PlayerGrades+'!$AA$13,"D+",IF(D279&lt;'PlayerGrades+'!$AA$12,"C-",IF(D279&lt;'PlayerGrades+'!$AA$11,"C",IF(D279&lt;'PlayerGrades+'!$AA$10,"C+",IF(D279&lt;'PlayerGrades+'!$AA$9,"B-",IF(D279&lt;'PlayerGrades+'!$AA$8,"B",IF(D279&lt;'PlayerGrades+'!$AA$7,"B+",IF(D279&lt;'PlayerGrades+'!$AA$6,"A-",IF(D279&lt;'PlayerGrades+'!$AA$5,"A",IF(D279&lt;'PlayerGrades+'!$AA$4,"A+",IF(D279&lt;'PlayerGrades+'!$AA$3,"S-",IF(D279&lt;'PlayerGrades+'!$AA$2,"S","S+"))))))))))))))))))))</f>
        <v>B</v>
      </c>
      <c r="F279" s="937">
        <f t="shared" si="2"/>
        <v>-0.9014084507</v>
      </c>
      <c r="G279" s="937" t="str">
        <f>IF(F279&lt;'PlayerGrades+'!$AB$21,"F-",IF(F279&lt;'PlayerGrades+'!$AB$20,"F",IF(F279&lt;'PlayerGrades+'!$AB$19,"F+",IF(F279&lt;'PlayerGrades+'!$AB$18,"E-",IF(F279&lt;'PlayerGrades+'!$AB$17,"E",IF(F279&lt;'PlayerGrades+'!$AB$16,"E+",IF(F279&lt;'PlayerGrades+'!$AB$15,"D-",IF(F279&lt;'PlayerGrades+'!$AB$14,"D",IF(F279&lt;'PlayerGrades+'!$AB$13,"D+",IF(F279&lt;'PlayerGrades+'!$AB$12,"C-",IF(F279&lt;'PlayerGrades+'!$AB$11,"C",IF(F279&lt;'PlayerGrades+'!$AB$10,"C+",IF(F279&lt;'PlayerGrades+'!$AB$9,"B-",IF(F279&lt;'PlayerGrades+'!$AB$8,"B",IF(F279&lt;'PlayerGrades+'!$AB$7,"B+",IF(F279&lt;'PlayerGrades+'!$AB$6,"A-",IF(F279&lt;'PlayerGrades+'!$AB$5,"A",IF(F279&lt;'PlayerGrades+'!$AB$4,"A+",IF(F279&lt;'PlayerGrades+'!$AB$3,"S-",IF(F279&lt;'PlayerGrades+'!$AB$2,"S","S+"))))))))))))))))))))</f>
        <v>E-</v>
      </c>
      <c r="H279" s="937">
        <f t="shared" si="3"/>
        <v>0</v>
      </c>
      <c r="I279" s="937" t="str">
        <f>IF(H279&lt;'PlayerGrades+'!$AC$21,"F-",IF(H279&lt;'PlayerGrades+'!$AC$20,"F",IF(H279&lt;'PlayerGrades+'!$AC$19,"F+",IF(H279&lt;'PlayerGrades+'!$AC$18,"E-",IF(H279&lt;'PlayerGrades+'!$AC$17,"E",IF(H279&lt;'PlayerGrades+'!$AC$16,"E+",IF(H279&lt;'PlayerGrades+'!$AC$15,"D-",IF(H279&lt;'PlayerGrades+'!$AC$14,"D",IF(H279&lt;'PlayerGrades+'!$AC$13,"D+",IF(H279&lt;'PlayerGrades+'!$AC$12,"C-",IF(H279&lt;'PlayerGrades+'!$AC$11,"C",IF(H279&lt;'PlayerGrades+'!$AC$10,"C+",IF(H279&lt;'PlayerGrades+'!$AC$9,"B-",IF(H279&lt;'PlayerGrades+'!$AC$8,"B",IF(H279&lt;'PlayerGrades+'!$AC$7,"B+",IF(H279&lt;'PlayerGrades+'!$AC$6,"A-",IF(H279&lt;'PlayerGrades+'!$AC$5,"A",IF(H279&lt;'PlayerGrades+'!$AC$4,"A+",IF(H279&lt;'PlayerGrades+'!$AC$3,"S-",IF(H279&lt;'PlayerGrades+'!$AC$2,"S","S+"))))))))))))))))))))</f>
        <v>F-</v>
      </c>
      <c r="J279" s="937">
        <f t="shared" si="4"/>
        <v>0.05633802817</v>
      </c>
      <c r="K279" s="937" t="str">
        <f>IF(J279&lt;'PlayerGrades+'!$AD$21,"F-",IF(J279&lt;'PlayerGrades+'!$AD$20,"F",IF(J279&lt;'PlayerGrades+'!$AD$19,"F+",IF(J279&lt;'PlayerGrades+'!$AD$18,"E-",IF(J279&lt;'PlayerGrades+'!$AD$17,"E",IF(J279&lt;'PlayerGrades+'!$AD$16,"E+",IF(J279&lt;'PlayerGrades+'!$AD$15,"D-",IF(J279&lt;'PlayerGrades+'!$AD$14,"D",IF(J279&lt;'PlayerGrades+'!$AD$13,"D+",IF(J279&lt;'PlayerGrades+'!$AD$12,"C-",IF(J279&lt;'PlayerGrades+'!$AD$11,"C",IF(J279&lt;'PlayerGrades+'!$AD$10,"C+",IF(J279&lt;'PlayerGrades+'!$AD$9,"B-",IF(J279&lt;'PlayerGrades+'!$AD$8,"B",IF(J279&lt;'PlayerGrades+'!$AD$7,"B+",IF(J279&lt;'PlayerGrades+'!$AD$6,"A-",IF(J279&lt;'PlayerGrades+'!$AD$5,"A",IF(J279&lt;'PlayerGrades+'!$AD$4,"A+",IF(J279&lt;'PlayerGrades+'!$AD$3,"S-",IF(J279&lt;'PlayerGrades+'!$AD$2,"S","S+"))))))))))))))))))))</f>
        <v>B+</v>
      </c>
      <c r="L279" s="677">
        <f t="shared" si="5"/>
        <v>0.3661971831</v>
      </c>
      <c r="M279" s="938" t="str">
        <f>IF(L279&lt;'PlayerGrades+'!$AE$21,"F-",IF(L279&lt;'PlayerGrades+'!$AE$20,"F",IF(L279&lt;'PlayerGrades+'!$AE$19,"F+",IF(L279&lt;'PlayerGrades+'!$AE$18,"E-",IF(L279&lt;'PlayerGrades+'!$AE$17,"E",IF(L279&lt;'PlayerGrades+'!$AE$16,"E+",IF(L279&lt;'PlayerGrades+'!$AE$15,"D-",IF(L279&lt;'PlayerGrades+'!$AE$14,"D",IF(L279&lt;'PlayerGrades+'!$AE$13,"D+",IF(L279&lt;'PlayerGrades+'!$AE$12,"C-",IF(L279&lt;'PlayerGrades+'!$AE$11,"C",IF(L279&lt;'PlayerGrades+'!$AE$10,"C+",IF(L279&lt;'PlayerGrades+'!$AE$9,"B-",IF(L279&lt;'PlayerGrades+'!$AE$8,"B",IF(L279&lt;'PlayerGrades+'!$AE$7,"B+",IF(L279&lt;'PlayerGrades+'!$AE$6,"A-",IF(L279&lt;'PlayerGrades+'!$AE$5,"A",IF(L279&lt;'PlayerGrades+'!$AE$4,"A+",IF(L279&lt;'PlayerGrades+'!$AE$3,"S-",IF(L279&lt;'PlayerGrades+'!$AE$2,"S","S+"))))))))))))))))))))</f>
        <v>C-</v>
      </c>
      <c r="N279" s="937">
        <f t="shared" si="6"/>
        <v>0.1126760563</v>
      </c>
      <c r="O279" s="937" t="str">
        <f>IF(N279&lt;'PlayerGrades+'!$AF$21,"F-",IF(N279&lt;'PlayerGrades+'!$AF$20,"F",IF(N279&lt;'PlayerGrades+'!$AF$19,"F+",IF(N279&lt;'PlayerGrades+'!$AF$18,"E-",IF(N279&lt;'PlayerGrades+'!$AF$17,"E",IF(N279&lt;'PlayerGrades+'!$AF$16,"E+",IF(N279&lt;'PlayerGrades+'!$AF$15,"D-",IF(N279&lt;'PlayerGrades+'!$AF$14,"D",IF(N279&lt;'PlayerGrades+'!$AF$13,"D+",IF(N279&lt;'PlayerGrades+'!$AF$12,"C-",IF(N279&lt;'PlayerGrades+'!$AF$11,"C",IF(N279&lt;'PlayerGrades+'!$AF$10,"C+",IF(N279&lt;'PlayerGrades+'!$AF$9,"B-",IF(N279&lt;'PlayerGrades+'!$AF$8,"B",IF(N279&lt;'PlayerGrades+'!$AF$7,"B+",IF(N279&lt;'PlayerGrades+'!$AF$6,"A-",IF(N279&lt;'PlayerGrades+'!$AF$5,"A",IF(N279&lt;'PlayerGrades+'!$AF$4,"A+",IF(N279&lt;'PlayerGrades+'!$AF$3,"S-",IF(N279&lt;'PlayerGrades+'!$AF$2,"S","S+"))))))))))))))))))))</f>
        <v>S-</v>
      </c>
      <c r="P279" s="937">
        <f t="shared" si="7"/>
        <v>0.05633802817</v>
      </c>
      <c r="Q279" s="937" t="str">
        <f>IF(P279&lt;'PlayerGrades+'!$AG$21,"F-",IF(P279&lt;'PlayerGrades+'!$AG$20,"F",IF(P279&lt;'PlayerGrades+'!$AG$19,"F+",IF(P279&lt;'PlayerGrades+'!$AG$18,"E-",IF(P279&lt;'PlayerGrades+'!$AG$17,"E",IF(P279&lt;'PlayerGrades+'!$AG$16,"E+",IF(P279&lt;'PlayerGrades+'!$AG$15,"D-",IF(P279&lt;'PlayerGrades+'!$AG$14,"D",IF(P279&lt;'PlayerGrades+'!$AG$13,"D+",IF(P279&lt;'PlayerGrades+'!$AG$12,"C-",IF(P279&lt;'PlayerGrades+'!$AG$11,"C",IF(P279&lt;'PlayerGrades+'!$AG$10,"C+",IF(P279&lt;'PlayerGrades+'!$AG$9,"B-",IF(P279&lt;'PlayerGrades+'!$AG$8,"B",IF(P279&lt;'PlayerGrades+'!$AG$7,"B+",IF(P279&lt;'PlayerGrades+'!$AG$6,"A-",IF(P279&lt;'PlayerGrades+'!$AG$5,"A",IF(P279&lt;'PlayerGrades+'!$AG$4,"A+",IF(P279&lt;'PlayerGrades+'!$AG$3,"S-",IF(P279&lt;'PlayerGrades+'!$AG$2,"S","S+"))))))))))))))))))))</f>
        <v>A</v>
      </c>
      <c r="R279" s="937">
        <f t="shared" si="8"/>
        <v>0.6478873239</v>
      </c>
      <c r="S279" s="937" t="str">
        <f>IF(R279&lt;'PlayerGrades+'!$AH$21,"F-",IF(R279&lt;'PlayerGrades+'!$AH$20,"F",IF(R279&lt;'PlayerGrades+'!$AH$19,"F+",IF(R279&lt;'PlayerGrades+'!$AH$18,"E-",IF(R279&lt;'PlayerGrades+'!$AH$17,"E",IF(R279&lt;'PlayerGrades+'!$AH$16,"E+",IF(R279&lt;'PlayerGrades+'!$AH$15,"D-",IF(R279&lt;'PlayerGrades+'!$AH$14,"D",IF(R279&lt;'PlayerGrades+'!$AH$13,"D+",IF(R279&lt;'PlayerGrades+'!$AH$12,"C-",IF(R279&lt;'PlayerGrades+'!$AH$11,"C",IF(R279&lt;'PlayerGrades+'!$AH$10,"C+",IF(R279&lt;'PlayerGrades+'!$AH$9,"B-",IF(R279&lt;'PlayerGrades+'!$AH$8,"B",IF(R279&lt;'PlayerGrades+'!$AH$7,"B+",IF(R279&lt;'PlayerGrades+'!$AH$6,"A-",IF(R279&lt;'PlayerGrades+'!$AH$5,"A",IF(R279&lt;'PlayerGrades+'!$AH$4,"A+",IF(R279&lt;'PlayerGrades+'!$AH$3,"S-",IF(R279&lt;'PlayerGrades+'!$AH$2,"S","S+"))))))))))))))))))))</f>
        <v>A+</v>
      </c>
      <c r="T279" s="937">
        <f t="shared" si="9"/>
        <v>2.394366197</v>
      </c>
      <c r="U279" s="937" t="str">
        <f>IF(T279&lt;'PlayerGrades+'!$AI$21,"F-",IF(T279&lt;'PlayerGrades+'!$AI$20,"F",IF(T279&lt;'PlayerGrades+'!$AI$19,"F+",IF(T279&lt;'PlayerGrades+'!$AI$18,"E-",IF(T279&lt;'PlayerGrades+'!$AI$17,"E",IF(T279&lt;'PlayerGrades+'!$AI$16,"E+",IF(T279&lt;'PlayerGrades+'!$AI$15,"D-",IF(T279&lt;'PlayerGrades+'!$AI$14,"D",IF(T279&lt;'PlayerGrades+'!$AI$13,"D+",IF(T279&lt;'PlayerGrades+'!$AI$12,"C-",IF(T279&lt;'PlayerGrades+'!$AI$11,"C",IF(T279&lt;'PlayerGrades+'!$AI$10,"C+",IF(T279&lt;'PlayerGrades+'!$AI$9,"B-",IF(T279&lt;'PlayerGrades+'!$AI$8,"B",IF(T279&lt;'PlayerGrades+'!$AI$7,"B+",IF(T279&lt;'PlayerGrades+'!$AI$6,"A-",IF(T279&lt;'PlayerGrades+'!$AI$5,"A",IF(T279&lt;'PlayerGrades+'!$AI$4,"A+",IF(T279&lt;'PlayerGrades+'!$AI$3,"S-",IF(T279&lt;'PlayerGrades+'!$AI$2,"S","S+"))))))))))))))))))))</f>
        <v>S+</v>
      </c>
      <c r="V279" s="941">
        <v>1.0</v>
      </c>
      <c r="W279" s="941">
        <v>0.0</v>
      </c>
      <c r="X279" s="941">
        <v>1.0</v>
      </c>
      <c r="Y279" s="941">
        <v>0.0</v>
      </c>
      <c r="Z279" s="941">
        <v>3.0</v>
      </c>
      <c r="AA279" s="941">
        <v>94.0</v>
      </c>
      <c r="AB279" s="941">
        <v>126.0</v>
      </c>
      <c r="AC279" s="941">
        <v>-32.0</v>
      </c>
      <c r="AD279" s="941">
        <v>3.0</v>
      </c>
      <c r="AE279" s="941">
        <v>6.0</v>
      </c>
      <c r="AF279" s="941">
        <v>0.0</v>
      </c>
      <c r="AG279" s="941">
        <v>1662.0</v>
      </c>
      <c r="AH279" s="941">
        <v>2130.0</v>
      </c>
      <c r="AI279" s="941">
        <v>13.0</v>
      </c>
      <c r="AJ279" s="941">
        <v>23.0</v>
      </c>
      <c r="AK279" s="941">
        <v>0.0</v>
      </c>
      <c r="AL279" s="941">
        <v>2.0</v>
      </c>
      <c r="AM279" s="941">
        <v>0.0</v>
      </c>
      <c r="AN279" s="941">
        <v>0.0</v>
      </c>
      <c r="AO279" s="941">
        <v>0.0</v>
      </c>
      <c r="AP279" s="941">
        <v>2.0</v>
      </c>
      <c r="AQ279" s="941">
        <v>0.0</v>
      </c>
      <c r="AR279" s="941">
        <v>13.0</v>
      </c>
      <c r="AS279" s="941">
        <v>4.0</v>
      </c>
      <c r="AT279" s="941">
        <v>2.0</v>
      </c>
      <c r="AU279" s="941">
        <v>0.0</v>
      </c>
      <c r="AV279" s="941">
        <v>0.0</v>
      </c>
      <c r="AW279" s="941">
        <v>0.0</v>
      </c>
      <c r="AX279" s="941">
        <v>0.0</v>
      </c>
      <c r="AY279" s="941">
        <v>0.0</v>
      </c>
      <c r="AZ279" s="941">
        <v>0.0</v>
      </c>
      <c r="BA279" s="941">
        <v>0.0</v>
      </c>
      <c r="BB279" s="941">
        <v>0.0</v>
      </c>
      <c r="BC279" s="941">
        <v>0.0</v>
      </c>
      <c r="BD279" s="941">
        <v>20.0</v>
      </c>
      <c r="BE279" s="941">
        <v>14.0</v>
      </c>
      <c r="BF279" s="941">
        <v>2.0</v>
      </c>
      <c r="BG279" s="942">
        <v>1.0</v>
      </c>
    </row>
    <row r="280">
      <c r="A280" s="935" t="s">
        <v>142</v>
      </c>
      <c r="B280" s="16" t="str">
        <f>IF(C280&lt;'PlayerGrades+'!$Y$44,"F-",IF(C280&lt;'PlayerGrades+'!$Y$43,"F",IF(C280&lt;'PlayerGrades+'!$Y$42,"F+",IF(C280&lt;'PlayerGrades+'!$Y$41,"E-",IF(C280&lt;'PlayerGrades+'!$Y$40,"E",IF(C280&lt;'PlayerGrades+'!$Y$39,"E+",IF(C280&lt;'PlayerGrades+'!$Y$38,"D-",IF(C280&lt;'PlayerGrades+'!$Y$37,"D",IF(C280&lt;'PlayerGrades+'!$Y$36,"D+",IF(C280&lt;'PlayerGrades+'!$Y$35,"C-",IF(C280&lt;'PlayerGrades+'!$Y$34,"C",IF(C280&lt;'PlayerGrades+'!$Y$33,"C+",IF(C280&lt;'PlayerGrades+'!$Y$32,"B-",IF(C280&lt;'PlayerGrades+'!$Y$31,"B",IF(C280&lt;'PlayerGrades+'!$Y$30,"B+",IF(C280&lt;'PlayerGrades+'!$Y$29,"A-",IF(C280&lt;'PlayerGrades+'!$Y$28,"A",IF(C280&lt;'PlayerGrades+'!$Y$27,"A+",IF(C280&lt;'PlayerGrades+'!$Y$26,"S-",IF(C280&lt;'PlayerGrades+'!$Y$25,"S","S+"))))))))))))))))))))</f>
        <v>F-</v>
      </c>
      <c r="C280" s="936">
        <f>('PlayerGrades+'!$Y$47*(VLOOKUP(E280, 'PlayerGrades+'!$X$3:$Y$23, 2, FALSE)))+('PlayerGrades+'!$Y$48*(VLOOKUP(G280, 'PlayerGrades+'!$X$3:$Y$23, 2, FALSE)))+('PlayerGrades+'!$Y$49*(VLOOKUP(I280, 'PlayerGrades+'!$X$3:$Y$23, 2, FALSE)))+('PlayerGrades+'!$Y$50*(VLOOKUP(K280, 'PlayerGrades+'!$X$3:$Y$23, 2, FALSE)))+('PlayerGrades+'!$Y$51*(VLOOKUP(M280, 'PlayerGrades+'!$X$3:$Y$23, 2, FALSE)))+('PlayerGrades+'!$Y$52*(VLOOKUP(O280, 'PlayerGrades+'!$X$3:$Y$23, 2, FALSE)))+('PlayerGrades+'!$Y$53*(VLOOKUP(Q280, 'PlayerGrades+'!$X$3:$Y$23, 2, FALSE)))+('PlayerGrades+'!$Y$54*(VLOOKUP(S280, 'PlayerGrades+'!$X$3:$Y$23, 2, FALSE)))+('PlayerGrades+'!$Y$55*(VLOOKUP(U280, 'PlayerGrades+'!$X$3:$Y$23, 2, FALSE)))</f>
        <v>8.35</v>
      </c>
      <c r="D280" s="937">
        <f t="shared" si="1"/>
        <v>0.02816901408</v>
      </c>
      <c r="E280" s="937" t="str">
        <f>IF(D280&lt;'PlayerGrades+'!$AA$21,"F-",IF(D280&lt;'PlayerGrades+'!$AA$20,"F",IF(D280&lt;'PlayerGrades+'!$AA$19,"F+",IF(D280&lt;'PlayerGrades+'!$AA$18,"E-",IF(D280&lt;'PlayerGrades+'!$AA$17,"E",IF(D280&lt;'PlayerGrades+'!$AA$16,"E+",IF(D280&lt;'PlayerGrades+'!$AA$15,"D-",IF(D280&lt;'PlayerGrades+'!$AA$14,"D",IF(D280&lt;'PlayerGrades+'!$AA$13,"D+",IF(D280&lt;'PlayerGrades+'!$AA$12,"C-",IF(D280&lt;'PlayerGrades+'!$AA$11,"C",IF(D280&lt;'PlayerGrades+'!$AA$10,"C+",IF(D280&lt;'PlayerGrades+'!$AA$9,"B-",IF(D280&lt;'PlayerGrades+'!$AA$8,"B",IF(D280&lt;'PlayerGrades+'!$AA$7,"B+",IF(D280&lt;'PlayerGrades+'!$AA$6,"A-",IF(D280&lt;'PlayerGrades+'!$AA$5,"A",IF(D280&lt;'PlayerGrades+'!$AA$4,"A+",IF(D280&lt;'PlayerGrades+'!$AA$3,"S-",IF(D280&lt;'PlayerGrades+'!$AA$2,"S","S+"))))))))))))))))))))</f>
        <v>D-</v>
      </c>
      <c r="F280" s="937">
        <f t="shared" si="2"/>
        <v>-1.718309859</v>
      </c>
      <c r="G280" s="937" t="str">
        <f>IF(F280&lt;'PlayerGrades+'!$AB$21,"F-",IF(F280&lt;'PlayerGrades+'!$AB$20,"F",IF(F280&lt;'PlayerGrades+'!$AB$19,"F+",IF(F280&lt;'PlayerGrades+'!$AB$18,"E-",IF(F280&lt;'PlayerGrades+'!$AB$17,"E",IF(F280&lt;'PlayerGrades+'!$AB$16,"E+",IF(F280&lt;'PlayerGrades+'!$AB$15,"D-",IF(F280&lt;'PlayerGrades+'!$AB$14,"D",IF(F280&lt;'PlayerGrades+'!$AB$13,"D+",IF(F280&lt;'PlayerGrades+'!$AB$12,"C-",IF(F280&lt;'PlayerGrades+'!$AB$11,"C",IF(F280&lt;'PlayerGrades+'!$AB$10,"C+",IF(F280&lt;'PlayerGrades+'!$AB$9,"B-",IF(F280&lt;'PlayerGrades+'!$AB$8,"B",IF(F280&lt;'PlayerGrades+'!$AB$7,"B+",IF(F280&lt;'PlayerGrades+'!$AB$6,"A-",IF(F280&lt;'PlayerGrades+'!$AB$5,"A",IF(F280&lt;'PlayerGrades+'!$AB$4,"A+",IF(F280&lt;'PlayerGrades+'!$AB$3,"S-",IF(F280&lt;'PlayerGrades+'!$AB$2,"S","S+"))))))))))))))))))))</f>
        <v>F-</v>
      </c>
      <c r="H280" s="937">
        <f t="shared" si="3"/>
        <v>0.08450704225</v>
      </c>
      <c r="I280" s="937" t="str">
        <f>IF(H280&lt;'PlayerGrades+'!$AC$21,"F-",IF(H280&lt;'PlayerGrades+'!$AC$20,"F",IF(H280&lt;'PlayerGrades+'!$AC$19,"F+",IF(H280&lt;'PlayerGrades+'!$AC$18,"E-",IF(H280&lt;'PlayerGrades+'!$AC$17,"E",IF(H280&lt;'PlayerGrades+'!$AC$16,"E+",IF(H280&lt;'PlayerGrades+'!$AC$15,"D-",IF(H280&lt;'PlayerGrades+'!$AC$14,"D",IF(H280&lt;'PlayerGrades+'!$AC$13,"D+",IF(H280&lt;'PlayerGrades+'!$AC$12,"C-",IF(H280&lt;'PlayerGrades+'!$AC$11,"C",IF(H280&lt;'PlayerGrades+'!$AC$10,"C+",IF(H280&lt;'PlayerGrades+'!$AC$9,"B-",IF(H280&lt;'PlayerGrades+'!$AC$8,"B",IF(H280&lt;'PlayerGrades+'!$AC$7,"B+",IF(H280&lt;'PlayerGrades+'!$AC$6,"A-",IF(H280&lt;'PlayerGrades+'!$AC$5,"A",IF(H280&lt;'PlayerGrades+'!$AC$4,"A+",IF(H280&lt;'PlayerGrades+'!$AC$3,"S-",IF(H280&lt;'PlayerGrades+'!$AC$2,"S","S+"))))))))))))))))))))</f>
        <v>D-</v>
      </c>
      <c r="J280" s="937">
        <f t="shared" si="4"/>
        <v>0</v>
      </c>
      <c r="K280" s="937" t="str">
        <f>IF(J280&lt;'PlayerGrades+'!$AD$21,"F-",IF(J280&lt;'PlayerGrades+'!$AD$20,"F",IF(J280&lt;'PlayerGrades+'!$AD$19,"F+",IF(J280&lt;'PlayerGrades+'!$AD$18,"E-",IF(J280&lt;'PlayerGrades+'!$AD$17,"E",IF(J280&lt;'PlayerGrades+'!$AD$16,"E+",IF(J280&lt;'PlayerGrades+'!$AD$15,"D-",IF(J280&lt;'PlayerGrades+'!$AD$14,"D",IF(J280&lt;'PlayerGrades+'!$AD$13,"D+",IF(J280&lt;'PlayerGrades+'!$AD$12,"C-",IF(J280&lt;'PlayerGrades+'!$AD$11,"C",IF(J280&lt;'PlayerGrades+'!$AD$10,"C+",IF(J280&lt;'PlayerGrades+'!$AD$9,"B-",IF(J280&lt;'PlayerGrades+'!$AD$8,"B",IF(J280&lt;'PlayerGrades+'!$AD$7,"B+",IF(J280&lt;'PlayerGrades+'!$AD$6,"A-",IF(J280&lt;'PlayerGrades+'!$AD$5,"A",IF(J280&lt;'PlayerGrades+'!$AD$4,"A+",IF(J280&lt;'PlayerGrades+'!$AD$3,"S-",IF(J280&lt;'PlayerGrades+'!$AD$2,"S","S+"))))))))))))))))))))</f>
        <v>F-</v>
      </c>
      <c r="L280" s="677">
        <f t="shared" si="5"/>
        <v>0.1971830986</v>
      </c>
      <c r="M280" s="938" t="str">
        <f>IF(L280&lt;'PlayerGrades+'!$AE$21,"F-",IF(L280&lt;'PlayerGrades+'!$AE$20,"F",IF(L280&lt;'PlayerGrades+'!$AE$19,"F+",IF(L280&lt;'PlayerGrades+'!$AE$18,"E-",IF(L280&lt;'PlayerGrades+'!$AE$17,"E",IF(L280&lt;'PlayerGrades+'!$AE$16,"E+",IF(L280&lt;'PlayerGrades+'!$AE$15,"D-",IF(L280&lt;'PlayerGrades+'!$AE$14,"D",IF(L280&lt;'PlayerGrades+'!$AE$13,"D+",IF(L280&lt;'PlayerGrades+'!$AE$12,"C-",IF(L280&lt;'PlayerGrades+'!$AE$11,"C",IF(L280&lt;'PlayerGrades+'!$AE$10,"C+",IF(L280&lt;'PlayerGrades+'!$AE$9,"B-",IF(L280&lt;'PlayerGrades+'!$AE$8,"B",IF(L280&lt;'PlayerGrades+'!$AE$7,"B+",IF(L280&lt;'PlayerGrades+'!$AE$6,"A-",IF(L280&lt;'PlayerGrades+'!$AE$5,"A",IF(L280&lt;'PlayerGrades+'!$AE$4,"A+",IF(L280&lt;'PlayerGrades+'!$AE$3,"S-",IF(L280&lt;'PlayerGrades+'!$AE$2,"S","S+"))))))))))))))))))))</f>
        <v>F</v>
      </c>
      <c r="N280" s="937">
        <f t="shared" si="6"/>
        <v>0.02816901408</v>
      </c>
      <c r="O280" s="937" t="str">
        <f>IF(N280&lt;'PlayerGrades+'!$AF$21,"F-",IF(N280&lt;'PlayerGrades+'!$AF$20,"F",IF(N280&lt;'PlayerGrades+'!$AF$19,"F+",IF(N280&lt;'PlayerGrades+'!$AF$18,"E-",IF(N280&lt;'PlayerGrades+'!$AF$17,"E",IF(N280&lt;'PlayerGrades+'!$AF$16,"E+",IF(N280&lt;'PlayerGrades+'!$AF$15,"D-",IF(N280&lt;'PlayerGrades+'!$AF$14,"D",IF(N280&lt;'PlayerGrades+'!$AF$13,"D+",IF(N280&lt;'PlayerGrades+'!$AF$12,"C-",IF(N280&lt;'PlayerGrades+'!$AF$11,"C",IF(N280&lt;'PlayerGrades+'!$AF$10,"C+",IF(N280&lt;'PlayerGrades+'!$AF$9,"B-",IF(N280&lt;'PlayerGrades+'!$AF$8,"B",IF(N280&lt;'PlayerGrades+'!$AF$7,"B+",IF(N280&lt;'PlayerGrades+'!$AF$6,"A-",IF(N280&lt;'PlayerGrades+'!$AF$5,"A",IF(N280&lt;'PlayerGrades+'!$AF$4,"A+",IF(N280&lt;'PlayerGrades+'!$AF$3,"S-",IF(N280&lt;'PlayerGrades+'!$AF$2,"S","S+"))))))))))))))))))))</f>
        <v>F</v>
      </c>
      <c r="P280" s="937">
        <f t="shared" si="7"/>
        <v>0</v>
      </c>
      <c r="Q280" s="937" t="str">
        <f>IF(P280&lt;'PlayerGrades+'!$AG$21,"F-",IF(P280&lt;'PlayerGrades+'!$AG$20,"F",IF(P280&lt;'PlayerGrades+'!$AG$19,"F+",IF(P280&lt;'PlayerGrades+'!$AG$18,"E-",IF(P280&lt;'PlayerGrades+'!$AG$17,"E",IF(P280&lt;'PlayerGrades+'!$AG$16,"E+",IF(P280&lt;'PlayerGrades+'!$AG$15,"D-",IF(P280&lt;'PlayerGrades+'!$AG$14,"D",IF(P280&lt;'PlayerGrades+'!$AG$13,"D+",IF(P280&lt;'PlayerGrades+'!$AG$12,"C-",IF(P280&lt;'PlayerGrades+'!$AG$11,"C",IF(P280&lt;'PlayerGrades+'!$AG$10,"C+",IF(P280&lt;'PlayerGrades+'!$AG$9,"B-",IF(P280&lt;'PlayerGrades+'!$AG$8,"B",IF(P280&lt;'PlayerGrades+'!$AG$7,"B+",IF(P280&lt;'PlayerGrades+'!$AG$6,"A-",IF(P280&lt;'PlayerGrades+'!$AG$5,"A",IF(P280&lt;'PlayerGrades+'!$AG$4,"A+",IF(P280&lt;'PlayerGrades+'!$AG$3,"S-",IF(P280&lt;'PlayerGrades+'!$AG$2,"S","S+"))))))))))))))))))))</f>
        <v>F</v>
      </c>
      <c r="R280" s="937">
        <f t="shared" si="8"/>
        <v>0.4507042254</v>
      </c>
      <c r="S280" s="937" t="str">
        <f>IF(R280&lt;'PlayerGrades+'!$AH$21,"F-",IF(R280&lt;'PlayerGrades+'!$AH$20,"F",IF(R280&lt;'PlayerGrades+'!$AH$19,"F+",IF(R280&lt;'PlayerGrades+'!$AH$18,"E-",IF(R280&lt;'PlayerGrades+'!$AH$17,"E",IF(R280&lt;'PlayerGrades+'!$AH$16,"E+",IF(R280&lt;'PlayerGrades+'!$AH$15,"D-",IF(R280&lt;'PlayerGrades+'!$AH$14,"D",IF(R280&lt;'PlayerGrades+'!$AH$13,"D+",IF(R280&lt;'PlayerGrades+'!$AH$12,"C-",IF(R280&lt;'PlayerGrades+'!$AH$11,"C",IF(R280&lt;'PlayerGrades+'!$AH$10,"C+",IF(R280&lt;'PlayerGrades+'!$AH$9,"B-",IF(R280&lt;'PlayerGrades+'!$AH$8,"B",IF(R280&lt;'PlayerGrades+'!$AH$7,"B+",IF(R280&lt;'PlayerGrades+'!$AH$6,"A-",IF(R280&lt;'PlayerGrades+'!$AH$5,"A",IF(R280&lt;'PlayerGrades+'!$AH$4,"A+",IF(R280&lt;'PlayerGrades+'!$AH$3,"S-",IF(R280&lt;'PlayerGrades+'!$AH$2,"S","S+"))))))))))))))))))))</f>
        <v>E-</v>
      </c>
      <c r="T280" s="937">
        <f t="shared" si="9"/>
        <v>1.338028169</v>
      </c>
      <c r="U280" s="937" t="str">
        <f>IF(T280&lt;'PlayerGrades+'!$AI$21,"F-",IF(T280&lt;'PlayerGrades+'!$AI$20,"F",IF(T280&lt;'PlayerGrades+'!$AI$19,"F+",IF(T280&lt;'PlayerGrades+'!$AI$18,"E-",IF(T280&lt;'PlayerGrades+'!$AI$17,"E",IF(T280&lt;'PlayerGrades+'!$AI$16,"E+",IF(T280&lt;'PlayerGrades+'!$AI$15,"D-",IF(T280&lt;'PlayerGrades+'!$AI$14,"D",IF(T280&lt;'PlayerGrades+'!$AI$13,"D+",IF(T280&lt;'PlayerGrades+'!$AI$12,"C-",IF(T280&lt;'PlayerGrades+'!$AI$11,"C",IF(T280&lt;'PlayerGrades+'!$AI$10,"C+",IF(T280&lt;'PlayerGrades+'!$AI$9,"B-",IF(T280&lt;'PlayerGrades+'!$AI$8,"B",IF(T280&lt;'PlayerGrades+'!$AI$7,"B+",IF(T280&lt;'PlayerGrades+'!$AI$6,"A-",IF(T280&lt;'PlayerGrades+'!$AI$5,"A",IF(T280&lt;'PlayerGrades+'!$AI$4,"A+",IF(T280&lt;'PlayerGrades+'!$AI$3,"S-",IF(T280&lt;'PlayerGrades+'!$AI$2,"S","S+"))))))))))))))))))))</f>
        <v>B-</v>
      </c>
      <c r="V280" s="941">
        <v>1.0</v>
      </c>
      <c r="W280" s="941">
        <v>0.0</v>
      </c>
      <c r="X280" s="941">
        <v>1.0</v>
      </c>
      <c r="Y280" s="941">
        <v>0.0</v>
      </c>
      <c r="Z280" s="941">
        <v>1.0</v>
      </c>
      <c r="AA280" s="941">
        <v>68.0</v>
      </c>
      <c r="AB280" s="941">
        <v>129.0</v>
      </c>
      <c r="AC280" s="941">
        <v>-61.0</v>
      </c>
      <c r="AD280" s="941">
        <v>9.0</v>
      </c>
      <c r="AE280" s="941">
        <v>4.0</v>
      </c>
      <c r="AF280" s="941">
        <v>1.0</v>
      </c>
      <c r="AG280" s="941">
        <v>1649.0</v>
      </c>
      <c r="AH280" s="941">
        <v>2130.0</v>
      </c>
      <c r="AI280" s="941">
        <v>12.0</v>
      </c>
      <c r="AJ280" s="941">
        <v>17.0</v>
      </c>
      <c r="AK280" s="941">
        <v>0.0</v>
      </c>
      <c r="AL280" s="941">
        <v>0.0</v>
      </c>
      <c r="AM280" s="941">
        <v>0.0</v>
      </c>
      <c r="AN280" s="941">
        <v>0.0</v>
      </c>
      <c r="AO280" s="941">
        <v>0.0</v>
      </c>
      <c r="AP280" s="941">
        <v>0.0</v>
      </c>
      <c r="AQ280" s="941">
        <v>0.0</v>
      </c>
      <c r="AR280" s="941">
        <v>7.0</v>
      </c>
      <c r="AS280" s="941">
        <v>1.0</v>
      </c>
      <c r="AT280" s="941">
        <v>0.0</v>
      </c>
      <c r="AU280" s="941">
        <v>0.0</v>
      </c>
      <c r="AV280" s="941">
        <v>0.0</v>
      </c>
      <c r="AW280" s="941">
        <v>0.0</v>
      </c>
      <c r="AX280" s="941">
        <v>0.0</v>
      </c>
      <c r="AY280" s="941">
        <v>0.0</v>
      </c>
      <c r="AZ280" s="941">
        <v>0.0</v>
      </c>
      <c r="BA280" s="941">
        <v>0.0</v>
      </c>
      <c r="BB280" s="941">
        <v>3.0</v>
      </c>
      <c r="BC280" s="941">
        <v>0.0</v>
      </c>
      <c r="BD280" s="941">
        <v>7.0</v>
      </c>
      <c r="BE280" s="941">
        <v>12.0</v>
      </c>
      <c r="BF280" s="941">
        <v>1.0</v>
      </c>
      <c r="BG280" s="942">
        <v>1.0</v>
      </c>
    </row>
    <row r="281">
      <c r="A281" s="943" t="s">
        <v>131</v>
      </c>
      <c r="B281" s="16" t="str">
        <f>IF(C281&lt;'PlayerGrades+'!$Y$44,"F-",IF(C281&lt;'PlayerGrades+'!$Y$43,"F",IF(C281&lt;'PlayerGrades+'!$Y$42,"F+",IF(C281&lt;'PlayerGrades+'!$Y$41,"E-",IF(C281&lt;'PlayerGrades+'!$Y$40,"E",IF(C281&lt;'PlayerGrades+'!$Y$39,"E+",IF(C281&lt;'PlayerGrades+'!$Y$38,"D-",IF(C281&lt;'PlayerGrades+'!$Y$37,"D",IF(C281&lt;'PlayerGrades+'!$Y$36,"D+",IF(C281&lt;'PlayerGrades+'!$Y$35,"C-",IF(C281&lt;'PlayerGrades+'!$Y$34,"C",IF(C281&lt;'PlayerGrades+'!$Y$33,"C+",IF(C281&lt;'PlayerGrades+'!$Y$32,"B-",IF(C281&lt;'PlayerGrades+'!$Y$31,"B",IF(C281&lt;'PlayerGrades+'!$Y$30,"B+",IF(C281&lt;'PlayerGrades+'!$Y$29,"A-",IF(C281&lt;'PlayerGrades+'!$Y$28,"A",IF(C281&lt;'PlayerGrades+'!$Y$27,"A+",IF(C281&lt;'PlayerGrades+'!$Y$26,"S-",IF(C281&lt;'PlayerGrades+'!$Y$25,"S","S+"))))))))))))))))))))</f>
        <v>F-</v>
      </c>
      <c r="C281" s="936">
        <f>('PlayerGrades+'!$Y$47*(VLOOKUP(E281, 'PlayerGrades+'!$X$3:$Y$23, 2, FALSE)))+('PlayerGrades+'!$Y$48*(VLOOKUP(G281, 'PlayerGrades+'!$X$3:$Y$23, 2, FALSE)))+('PlayerGrades+'!$Y$49*(VLOOKUP(I281, 'PlayerGrades+'!$X$3:$Y$23, 2, FALSE)))+('PlayerGrades+'!$Y$50*(VLOOKUP(K281, 'PlayerGrades+'!$X$3:$Y$23, 2, FALSE)))+('PlayerGrades+'!$Y$51*(VLOOKUP(M281, 'PlayerGrades+'!$X$3:$Y$23, 2, FALSE)))+('PlayerGrades+'!$Y$52*(VLOOKUP(O281, 'PlayerGrades+'!$X$3:$Y$23, 2, FALSE)))+('PlayerGrades+'!$Y$53*(VLOOKUP(Q281, 'PlayerGrades+'!$X$3:$Y$23, 2, FALSE)))+('PlayerGrades+'!$Y$54*(VLOOKUP(S281, 'PlayerGrades+'!$X$3:$Y$23, 2, FALSE)))+('PlayerGrades+'!$Y$55*(VLOOKUP(U281, 'PlayerGrades+'!$X$3:$Y$23, 2, FALSE)))</f>
        <v>6.35</v>
      </c>
      <c r="D281" s="937">
        <f t="shared" si="1"/>
        <v>0</v>
      </c>
      <c r="E281" s="937" t="str">
        <f>IF(D281&lt;'PlayerGrades+'!$AA$21,"F-",IF(D281&lt;'PlayerGrades+'!$AA$20,"F",IF(D281&lt;'PlayerGrades+'!$AA$19,"F+",IF(D281&lt;'PlayerGrades+'!$AA$18,"E-",IF(D281&lt;'PlayerGrades+'!$AA$17,"E",IF(D281&lt;'PlayerGrades+'!$AA$16,"E+",IF(D281&lt;'PlayerGrades+'!$AA$15,"D-",IF(D281&lt;'PlayerGrades+'!$AA$14,"D",IF(D281&lt;'PlayerGrades+'!$AA$13,"D+",IF(D281&lt;'PlayerGrades+'!$AA$12,"C-",IF(D281&lt;'PlayerGrades+'!$AA$11,"C",IF(D281&lt;'PlayerGrades+'!$AA$10,"C+",IF(D281&lt;'PlayerGrades+'!$AA$9,"B-",IF(D281&lt;'PlayerGrades+'!$AA$8,"B",IF(D281&lt;'PlayerGrades+'!$AA$7,"B+",IF(D281&lt;'PlayerGrades+'!$AA$6,"A-",IF(D281&lt;'PlayerGrades+'!$AA$5,"A",IF(D281&lt;'PlayerGrades+'!$AA$4,"A+",IF(D281&lt;'PlayerGrades+'!$AA$3,"S-",IF(D281&lt;'PlayerGrades+'!$AA$2,"S","S+"))))))))))))))))))))</f>
        <v>F-</v>
      </c>
      <c r="F281" s="937">
        <f t="shared" si="2"/>
        <v>-1.464788732</v>
      </c>
      <c r="G281" s="937" t="str">
        <f>IF(F281&lt;'PlayerGrades+'!$AB$21,"F-",IF(F281&lt;'PlayerGrades+'!$AB$20,"F",IF(F281&lt;'PlayerGrades+'!$AB$19,"F+",IF(F281&lt;'PlayerGrades+'!$AB$18,"E-",IF(F281&lt;'PlayerGrades+'!$AB$17,"E",IF(F281&lt;'PlayerGrades+'!$AB$16,"E+",IF(F281&lt;'PlayerGrades+'!$AB$15,"D-",IF(F281&lt;'PlayerGrades+'!$AB$14,"D",IF(F281&lt;'PlayerGrades+'!$AB$13,"D+",IF(F281&lt;'PlayerGrades+'!$AB$12,"C-",IF(F281&lt;'PlayerGrades+'!$AB$11,"C",IF(F281&lt;'PlayerGrades+'!$AB$10,"C+",IF(F281&lt;'PlayerGrades+'!$AB$9,"B-",IF(F281&lt;'PlayerGrades+'!$AB$8,"B",IF(F281&lt;'PlayerGrades+'!$AB$7,"B+",IF(F281&lt;'PlayerGrades+'!$AB$6,"A-",IF(F281&lt;'PlayerGrades+'!$AB$5,"A",IF(F281&lt;'PlayerGrades+'!$AB$4,"A+",IF(F281&lt;'PlayerGrades+'!$AB$3,"S-",IF(F281&lt;'PlayerGrades+'!$AB$2,"S","S+"))))))))))))))))))))</f>
        <v>F-</v>
      </c>
      <c r="H281" s="937">
        <f t="shared" si="3"/>
        <v>0</v>
      </c>
      <c r="I281" s="937" t="str">
        <f>IF(H281&lt;'PlayerGrades+'!$AC$21,"F-",IF(H281&lt;'PlayerGrades+'!$AC$20,"F",IF(H281&lt;'PlayerGrades+'!$AC$19,"F+",IF(H281&lt;'PlayerGrades+'!$AC$18,"E-",IF(H281&lt;'PlayerGrades+'!$AC$17,"E",IF(H281&lt;'PlayerGrades+'!$AC$16,"E+",IF(H281&lt;'PlayerGrades+'!$AC$15,"D-",IF(H281&lt;'PlayerGrades+'!$AC$14,"D",IF(H281&lt;'PlayerGrades+'!$AC$13,"D+",IF(H281&lt;'PlayerGrades+'!$AC$12,"C-",IF(H281&lt;'PlayerGrades+'!$AC$11,"C",IF(H281&lt;'PlayerGrades+'!$AC$10,"C+",IF(H281&lt;'PlayerGrades+'!$AC$9,"B-",IF(H281&lt;'PlayerGrades+'!$AC$8,"B",IF(H281&lt;'PlayerGrades+'!$AC$7,"B+",IF(H281&lt;'PlayerGrades+'!$AC$6,"A-",IF(H281&lt;'PlayerGrades+'!$AC$5,"A",IF(H281&lt;'PlayerGrades+'!$AC$4,"A+",IF(H281&lt;'PlayerGrades+'!$AC$3,"S-",IF(H281&lt;'PlayerGrades+'!$AC$2,"S","S+"))))))))))))))))))))</f>
        <v>F-</v>
      </c>
      <c r="J281" s="937">
        <f t="shared" si="4"/>
        <v>0</v>
      </c>
      <c r="K281" s="937" t="str">
        <f>IF(J281&lt;'PlayerGrades+'!$AD$21,"F-",IF(J281&lt;'PlayerGrades+'!$AD$20,"F",IF(J281&lt;'PlayerGrades+'!$AD$19,"F+",IF(J281&lt;'PlayerGrades+'!$AD$18,"E-",IF(J281&lt;'PlayerGrades+'!$AD$17,"E",IF(J281&lt;'PlayerGrades+'!$AD$16,"E+",IF(J281&lt;'PlayerGrades+'!$AD$15,"D-",IF(J281&lt;'PlayerGrades+'!$AD$14,"D",IF(J281&lt;'PlayerGrades+'!$AD$13,"D+",IF(J281&lt;'PlayerGrades+'!$AD$12,"C-",IF(J281&lt;'PlayerGrades+'!$AD$11,"C",IF(J281&lt;'PlayerGrades+'!$AD$10,"C+",IF(J281&lt;'PlayerGrades+'!$AD$9,"B-",IF(J281&lt;'PlayerGrades+'!$AD$8,"B",IF(J281&lt;'PlayerGrades+'!$AD$7,"B+",IF(J281&lt;'PlayerGrades+'!$AD$6,"A-",IF(J281&lt;'PlayerGrades+'!$AD$5,"A",IF(J281&lt;'PlayerGrades+'!$AD$4,"A+",IF(J281&lt;'PlayerGrades+'!$AD$3,"S-",IF(J281&lt;'PlayerGrades+'!$AD$2,"S","S+"))))))))))))))))))))</f>
        <v>F-</v>
      </c>
      <c r="L281" s="677">
        <f t="shared" si="5"/>
        <v>0.1126760563</v>
      </c>
      <c r="M281" s="938" t="str">
        <f>IF(L281&lt;'PlayerGrades+'!$AE$21,"F-",IF(L281&lt;'PlayerGrades+'!$AE$20,"F",IF(L281&lt;'PlayerGrades+'!$AE$19,"F+",IF(L281&lt;'PlayerGrades+'!$AE$18,"E-",IF(L281&lt;'PlayerGrades+'!$AE$17,"E",IF(L281&lt;'PlayerGrades+'!$AE$16,"E+",IF(L281&lt;'PlayerGrades+'!$AE$15,"D-",IF(L281&lt;'PlayerGrades+'!$AE$14,"D",IF(L281&lt;'PlayerGrades+'!$AE$13,"D+",IF(L281&lt;'PlayerGrades+'!$AE$12,"C-",IF(L281&lt;'PlayerGrades+'!$AE$11,"C",IF(L281&lt;'PlayerGrades+'!$AE$10,"C+",IF(L281&lt;'PlayerGrades+'!$AE$9,"B-",IF(L281&lt;'PlayerGrades+'!$AE$8,"B",IF(L281&lt;'PlayerGrades+'!$AE$7,"B+",IF(L281&lt;'PlayerGrades+'!$AE$6,"A-",IF(L281&lt;'PlayerGrades+'!$AE$5,"A",IF(L281&lt;'PlayerGrades+'!$AE$4,"A+",IF(L281&lt;'PlayerGrades+'!$AE$3,"S-",IF(L281&lt;'PlayerGrades+'!$AE$2,"S","S+"))))))))))))))))))))</f>
        <v>F-</v>
      </c>
      <c r="N281" s="937">
        <f t="shared" si="6"/>
        <v>0.02816901408</v>
      </c>
      <c r="O281" s="937" t="str">
        <f>IF(N281&lt;'PlayerGrades+'!$AF$21,"F-",IF(N281&lt;'PlayerGrades+'!$AF$20,"F",IF(N281&lt;'PlayerGrades+'!$AF$19,"F+",IF(N281&lt;'PlayerGrades+'!$AF$18,"E-",IF(N281&lt;'PlayerGrades+'!$AF$17,"E",IF(N281&lt;'PlayerGrades+'!$AF$16,"E+",IF(N281&lt;'PlayerGrades+'!$AF$15,"D-",IF(N281&lt;'PlayerGrades+'!$AF$14,"D",IF(N281&lt;'PlayerGrades+'!$AF$13,"D+",IF(N281&lt;'PlayerGrades+'!$AF$12,"C-",IF(N281&lt;'PlayerGrades+'!$AF$11,"C",IF(N281&lt;'PlayerGrades+'!$AF$10,"C+",IF(N281&lt;'PlayerGrades+'!$AF$9,"B-",IF(N281&lt;'PlayerGrades+'!$AF$8,"B",IF(N281&lt;'PlayerGrades+'!$AF$7,"B+",IF(N281&lt;'PlayerGrades+'!$AF$6,"A-",IF(N281&lt;'PlayerGrades+'!$AF$5,"A",IF(N281&lt;'PlayerGrades+'!$AF$4,"A+",IF(N281&lt;'PlayerGrades+'!$AF$3,"S-",IF(N281&lt;'PlayerGrades+'!$AF$2,"S","S+"))))))))))))))))))))</f>
        <v>F</v>
      </c>
      <c r="P281" s="937">
        <f t="shared" si="7"/>
        <v>0</v>
      </c>
      <c r="Q281" s="937" t="str">
        <f>IF(P281&lt;'PlayerGrades+'!$AG$21,"F-",IF(P281&lt;'PlayerGrades+'!$AG$20,"F",IF(P281&lt;'PlayerGrades+'!$AG$19,"F+",IF(P281&lt;'PlayerGrades+'!$AG$18,"E-",IF(P281&lt;'PlayerGrades+'!$AG$17,"E",IF(P281&lt;'PlayerGrades+'!$AG$16,"E+",IF(P281&lt;'PlayerGrades+'!$AG$15,"D-",IF(P281&lt;'PlayerGrades+'!$AG$14,"D",IF(P281&lt;'PlayerGrades+'!$AG$13,"D+",IF(P281&lt;'PlayerGrades+'!$AG$12,"C-",IF(P281&lt;'PlayerGrades+'!$AG$11,"C",IF(P281&lt;'PlayerGrades+'!$AG$10,"C+",IF(P281&lt;'PlayerGrades+'!$AG$9,"B-",IF(P281&lt;'PlayerGrades+'!$AG$8,"B",IF(P281&lt;'PlayerGrades+'!$AG$7,"B+",IF(P281&lt;'PlayerGrades+'!$AG$6,"A-",IF(P281&lt;'PlayerGrades+'!$AG$5,"A",IF(P281&lt;'PlayerGrades+'!$AG$4,"A+",IF(P281&lt;'PlayerGrades+'!$AG$3,"S-",IF(P281&lt;'PlayerGrades+'!$AG$2,"S","S+"))))))))))))))))))))</f>
        <v>F</v>
      </c>
      <c r="R281" s="937">
        <f t="shared" si="8"/>
        <v>0.4788732394</v>
      </c>
      <c r="S281" s="937" t="str">
        <f>IF(R281&lt;'PlayerGrades+'!$AH$21,"F-",IF(R281&lt;'PlayerGrades+'!$AH$20,"F",IF(R281&lt;'PlayerGrades+'!$AH$19,"F+",IF(R281&lt;'PlayerGrades+'!$AH$18,"E-",IF(R281&lt;'PlayerGrades+'!$AH$17,"E",IF(R281&lt;'PlayerGrades+'!$AH$16,"E+",IF(R281&lt;'PlayerGrades+'!$AH$15,"D-",IF(R281&lt;'PlayerGrades+'!$AH$14,"D",IF(R281&lt;'PlayerGrades+'!$AH$13,"D+",IF(R281&lt;'PlayerGrades+'!$AH$12,"C-",IF(R281&lt;'PlayerGrades+'!$AH$11,"C",IF(R281&lt;'PlayerGrades+'!$AH$10,"C+",IF(R281&lt;'PlayerGrades+'!$AH$9,"B-",IF(R281&lt;'PlayerGrades+'!$AH$8,"B",IF(R281&lt;'PlayerGrades+'!$AH$7,"B+",IF(R281&lt;'PlayerGrades+'!$AH$6,"A-",IF(R281&lt;'PlayerGrades+'!$AH$5,"A",IF(R281&lt;'PlayerGrades+'!$AH$4,"A+",IF(R281&lt;'PlayerGrades+'!$AH$3,"S-",IF(R281&lt;'PlayerGrades+'!$AH$2,"S","S+"))))))))))))))))))))</f>
        <v>E+</v>
      </c>
      <c r="T281" s="937">
        <f t="shared" si="9"/>
        <v>1.394366197</v>
      </c>
      <c r="U281" s="937" t="str">
        <f>IF(T281&lt;'PlayerGrades+'!$AI$21,"F-",IF(T281&lt;'PlayerGrades+'!$AI$20,"F",IF(T281&lt;'PlayerGrades+'!$AI$19,"F+",IF(T281&lt;'PlayerGrades+'!$AI$18,"E-",IF(T281&lt;'PlayerGrades+'!$AI$17,"E",IF(T281&lt;'PlayerGrades+'!$AI$16,"E+",IF(T281&lt;'PlayerGrades+'!$AI$15,"D-",IF(T281&lt;'PlayerGrades+'!$AI$14,"D",IF(T281&lt;'PlayerGrades+'!$AI$13,"D+",IF(T281&lt;'PlayerGrades+'!$AI$12,"C-",IF(T281&lt;'PlayerGrades+'!$AI$11,"C",IF(T281&lt;'PlayerGrades+'!$AI$10,"C+",IF(T281&lt;'PlayerGrades+'!$AI$9,"B-",IF(T281&lt;'PlayerGrades+'!$AI$8,"B",IF(T281&lt;'PlayerGrades+'!$AI$7,"B+",IF(T281&lt;'PlayerGrades+'!$AI$6,"A-",IF(T281&lt;'PlayerGrades+'!$AI$5,"A",IF(T281&lt;'PlayerGrades+'!$AI$4,"A+",IF(T281&lt;'PlayerGrades+'!$AI$3,"S-",IF(T281&lt;'PlayerGrades+'!$AI$2,"S","S+"))))))))))))))))))))</f>
        <v>B</v>
      </c>
      <c r="V281" s="944">
        <v>1.0</v>
      </c>
      <c r="W281" s="944">
        <v>0.0</v>
      </c>
      <c r="X281" s="944">
        <v>1.0</v>
      </c>
      <c r="Y281" s="944">
        <v>0.0</v>
      </c>
      <c r="Z281" s="944">
        <v>0.0</v>
      </c>
      <c r="AA281" s="944">
        <v>80.0</v>
      </c>
      <c r="AB281" s="944">
        <v>132.0</v>
      </c>
      <c r="AC281" s="944">
        <v>-52.0</v>
      </c>
      <c r="AD281" s="944">
        <v>7.0</v>
      </c>
      <c r="AE281" s="944">
        <v>4.0</v>
      </c>
      <c r="AF281" s="944">
        <v>3.0</v>
      </c>
      <c r="AG281" s="944">
        <v>1639.0</v>
      </c>
      <c r="AH281" s="944">
        <v>2130.0</v>
      </c>
      <c r="AI281" s="944">
        <v>12.0</v>
      </c>
      <c r="AJ281" s="944">
        <v>14.0</v>
      </c>
      <c r="AK281" s="944">
        <v>0.0</v>
      </c>
      <c r="AL281" s="944">
        <v>0.0</v>
      </c>
      <c r="AM281" s="944">
        <v>0.0</v>
      </c>
      <c r="AN281" s="944">
        <v>0.0</v>
      </c>
      <c r="AO281" s="944">
        <v>0.0</v>
      </c>
      <c r="AP281" s="944">
        <v>0.0</v>
      </c>
      <c r="AQ281" s="944">
        <v>0.0</v>
      </c>
      <c r="AR281" s="944">
        <v>4.0</v>
      </c>
      <c r="AS281" s="944">
        <v>1.0</v>
      </c>
      <c r="AT281" s="944">
        <v>0.0</v>
      </c>
      <c r="AU281" s="944">
        <v>0.0</v>
      </c>
      <c r="AV281" s="944">
        <v>0.0</v>
      </c>
      <c r="AW281" s="944">
        <v>0.0</v>
      </c>
      <c r="AX281" s="944">
        <v>0.0</v>
      </c>
      <c r="AY281" s="944">
        <v>0.0</v>
      </c>
      <c r="AZ281" s="944">
        <v>0.0</v>
      </c>
      <c r="BA281" s="944">
        <v>0.0</v>
      </c>
      <c r="BB281" s="944">
        <v>0.0</v>
      </c>
      <c r="BC281" s="944">
        <v>0.0</v>
      </c>
      <c r="BD281" s="944">
        <v>10.0</v>
      </c>
      <c r="BE281" s="944">
        <v>14.0</v>
      </c>
      <c r="BF281" s="944">
        <v>1.0</v>
      </c>
      <c r="BG281" s="945">
        <v>1.0</v>
      </c>
    </row>
    <row r="282">
      <c r="A282" s="946" t="s">
        <v>119</v>
      </c>
      <c r="B282" s="16" t="str">
        <f>IF(C282&lt;'PlayerGrades+'!$Y$44,"F-",IF(C282&lt;'PlayerGrades+'!$Y$43,"F",IF(C282&lt;'PlayerGrades+'!$Y$42,"F+",IF(C282&lt;'PlayerGrades+'!$Y$41,"E-",IF(C282&lt;'PlayerGrades+'!$Y$40,"E",IF(C282&lt;'PlayerGrades+'!$Y$39,"E+",IF(C282&lt;'PlayerGrades+'!$Y$38,"D-",IF(C282&lt;'PlayerGrades+'!$Y$37,"D",IF(C282&lt;'PlayerGrades+'!$Y$36,"D+",IF(C282&lt;'PlayerGrades+'!$Y$35,"C-",IF(C282&lt;'PlayerGrades+'!$Y$34,"C",IF(C282&lt;'PlayerGrades+'!$Y$33,"C+",IF(C282&lt;'PlayerGrades+'!$Y$32,"B-",IF(C282&lt;'PlayerGrades+'!$Y$31,"B",IF(C282&lt;'PlayerGrades+'!$Y$30,"B+",IF(C282&lt;'PlayerGrades+'!$Y$29,"A-",IF(C282&lt;'PlayerGrades+'!$Y$28,"A",IF(C282&lt;'PlayerGrades+'!$Y$27,"A+",IF(C282&lt;'PlayerGrades+'!$Y$26,"S-",IF(C282&lt;'PlayerGrades+'!$Y$25,"S","S+"))))))))))))))))))))</f>
        <v>D</v>
      </c>
      <c r="C282" s="936">
        <f>('PlayerGrades+'!$Y$47*(VLOOKUP(E282, 'PlayerGrades+'!$X$3:$Y$23, 2, FALSE)))+('PlayerGrades+'!$Y$48*(VLOOKUP(G282, 'PlayerGrades+'!$X$3:$Y$23, 2, FALSE)))+('PlayerGrades+'!$Y$49*(VLOOKUP(I282, 'PlayerGrades+'!$X$3:$Y$23, 2, FALSE)))+('PlayerGrades+'!$Y$50*(VLOOKUP(K282, 'PlayerGrades+'!$X$3:$Y$23, 2, FALSE)))+('PlayerGrades+'!$Y$51*(VLOOKUP(M282, 'PlayerGrades+'!$X$3:$Y$23, 2, FALSE)))+('PlayerGrades+'!$Y$52*(VLOOKUP(O282, 'PlayerGrades+'!$X$3:$Y$23, 2, FALSE)))+('PlayerGrades+'!$Y$53*(VLOOKUP(Q282, 'PlayerGrades+'!$X$3:$Y$23, 2, FALSE)))+('PlayerGrades+'!$Y$54*(VLOOKUP(S282, 'PlayerGrades+'!$X$3:$Y$23, 2, FALSE)))+('PlayerGrades+'!$Y$55*(VLOOKUP(U282, 'PlayerGrades+'!$X$3:$Y$23, 2, FALSE)))</f>
        <v>16.85</v>
      </c>
      <c r="D282" s="937">
        <f t="shared" si="1"/>
        <v>0.4355251921</v>
      </c>
      <c r="E282" s="937" t="str">
        <f>IF(D282&lt;'PlayerGrades+'!$AA$21,"F-",IF(D282&lt;'PlayerGrades+'!$AA$20,"F",IF(D282&lt;'PlayerGrades+'!$AA$19,"F+",IF(D282&lt;'PlayerGrades+'!$AA$18,"E-",IF(D282&lt;'PlayerGrades+'!$AA$17,"E",IF(D282&lt;'PlayerGrades+'!$AA$16,"E+",IF(D282&lt;'PlayerGrades+'!$AA$15,"D-",IF(D282&lt;'PlayerGrades+'!$AA$14,"D",IF(D282&lt;'PlayerGrades+'!$AA$13,"D+",IF(D282&lt;'PlayerGrades+'!$AA$12,"C-",IF(D282&lt;'PlayerGrades+'!$AA$11,"C",IF(D282&lt;'PlayerGrades+'!$AA$10,"C+",IF(D282&lt;'PlayerGrades+'!$AA$9,"B-",IF(D282&lt;'PlayerGrades+'!$AA$8,"B",IF(D282&lt;'PlayerGrades+'!$AA$7,"B+",IF(D282&lt;'PlayerGrades+'!$AA$6,"A-",IF(D282&lt;'PlayerGrades+'!$AA$5,"A",IF(D282&lt;'PlayerGrades+'!$AA$4,"A+",IF(D282&lt;'PlayerGrades+'!$AA$3,"S-",IF(D282&lt;'PlayerGrades+'!$AA$2,"S","S+"))))))))))))))))))))</f>
        <v>A+</v>
      </c>
      <c r="F282" s="937">
        <f t="shared" si="2"/>
        <v>-0.0512382579</v>
      </c>
      <c r="G282" s="937" t="str">
        <f>IF(F282&lt;'PlayerGrades+'!$AB$21,"F-",IF(F282&lt;'PlayerGrades+'!$AB$20,"F",IF(F282&lt;'PlayerGrades+'!$AB$19,"F+",IF(F282&lt;'PlayerGrades+'!$AB$18,"E-",IF(F282&lt;'PlayerGrades+'!$AB$17,"E",IF(F282&lt;'PlayerGrades+'!$AB$16,"E+",IF(F282&lt;'PlayerGrades+'!$AB$15,"D-",IF(F282&lt;'PlayerGrades+'!$AB$14,"D",IF(F282&lt;'PlayerGrades+'!$AB$13,"D+",IF(F282&lt;'PlayerGrades+'!$AB$12,"C-",IF(F282&lt;'PlayerGrades+'!$AB$11,"C",IF(F282&lt;'PlayerGrades+'!$AB$10,"C+",IF(F282&lt;'PlayerGrades+'!$AB$9,"B-",IF(F282&lt;'PlayerGrades+'!$AB$8,"B",IF(F282&lt;'PlayerGrades+'!$AB$7,"B+",IF(F282&lt;'PlayerGrades+'!$AB$6,"A-",IF(F282&lt;'PlayerGrades+'!$AB$5,"A",IF(F282&lt;'PlayerGrades+'!$AB$4,"A+",IF(F282&lt;'PlayerGrades+'!$AB$3,"S-",IF(F282&lt;'PlayerGrades+'!$AB$2,"S","S+"))))))))))))))))))))</f>
        <v>B-</v>
      </c>
      <c r="H282" s="937">
        <f t="shared" si="3"/>
        <v>0.02561912895</v>
      </c>
      <c r="I282" s="937" t="str">
        <f>IF(H282&lt;'PlayerGrades+'!$AC$21,"F-",IF(H282&lt;'PlayerGrades+'!$AC$20,"F",IF(H282&lt;'PlayerGrades+'!$AC$19,"F+",IF(H282&lt;'PlayerGrades+'!$AC$18,"E-",IF(H282&lt;'PlayerGrades+'!$AC$17,"E",IF(H282&lt;'PlayerGrades+'!$AC$16,"E+",IF(H282&lt;'PlayerGrades+'!$AC$15,"D-",IF(H282&lt;'PlayerGrades+'!$AC$14,"D",IF(H282&lt;'PlayerGrades+'!$AC$13,"D+",IF(H282&lt;'PlayerGrades+'!$AC$12,"C-",IF(H282&lt;'PlayerGrades+'!$AC$11,"C",IF(H282&lt;'PlayerGrades+'!$AC$10,"C+",IF(H282&lt;'PlayerGrades+'!$AC$9,"B-",IF(H282&lt;'PlayerGrades+'!$AC$8,"B",IF(H282&lt;'PlayerGrades+'!$AC$7,"B+",IF(H282&lt;'PlayerGrades+'!$AC$6,"A-",IF(H282&lt;'PlayerGrades+'!$AC$5,"A",IF(H282&lt;'PlayerGrades+'!$AC$4,"A+",IF(H282&lt;'PlayerGrades+'!$AC$3,"S-",IF(H282&lt;'PlayerGrades+'!$AC$2,"S","S+"))))))))))))))))))))</f>
        <v>F-</v>
      </c>
      <c r="J282" s="937">
        <f t="shared" si="4"/>
        <v>0.02561912895</v>
      </c>
      <c r="K282" s="937" t="str">
        <f>IF(J282&lt;'PlayerGrades+'!$AD$21,"F-",IF(J282&lt;'PlayerGrades+'!$AD$20,"F",IF(J282&lt;'PlayerGrades+'!$AD$19,"F+",IF(J282&lt;'PlayerGrades+'!$AD$18,"E-",IF(J282&lt;'PlayerGrades+'!$AD$17,"E",IF(J282&lt;'PlayerGrades+'!$AD$16,"E+",IF(J282&lt;'PlayerGrades+'!$AD$15,"D-",IF(J282&lt;'PlayerGrades+'!$AD$14,"D",IF(J282&lt;'PlayerGrades+'!$AD$13,"D+",IF(J282&lt;'PlayerGrades+'!$AD$12,"C-",IF(J282&lt;'PlayerGrades+'!$AD$11,"C",IF(J282&lt;'PlayerGrades+'!$AD$10,"C+",IF(J282&lt;'PlayerGrades+'!$AD$9,"B-",IF(J282&lt;'PlayerGrades+'!$AD$8,"B",IF(J282&lt;'PlayerGrades+'!$AD$7,"B+",IF(J282&lt;'PlayerGrades+'!$AD$6,"A-",IF(J282&lt;'PlayerGrades+'!$AD$5,"A",IF(J282&lt;'PlayerGrades+'!$AD$4,"A+",IF(J282&lt;'PlayerGrades+'!$AD$3,"S-",IF(J282&lt;'PlayerGrades+'!$AD$2,"S","S+"))))))))))))))))))))</f>
        <v>D</v>
      </c>
      <c r="L282" s="677">
        <f t="shared" si="5"/>
        <v>0.2561912895</v>
      </c>
      <c r="M282" s="938" t="str">
        <f>IF(L282&lt;'PlayerGrades+'!$AE$21,"F-",IF(L282&lt;'PlayerGrades+'!$AE$20,"F",IF(L282&lt;'PlayerGrades+'!$AE$19,"F+",IF(L282&lt;'PlayerGrades+'!$AE$18,"E-",IF(L282&lt;'PlayerGrades+'!$AE$17,"E",IF(L282&lt;'PlayerGrades+'!$AE$16,"E+",IF(L282&lt;'PlayerGrades+'!$AE$15,"D-",IF(L282&lt;'PlayerGrades+'!$AE$14,"D",IF(L282&lt;'PlayerGrades+'!$AE$13,"D+",IF(L282&lt;'PlayerGrades+'!$AE$12,"C-",IF(L282&lt;'PlayerGrades+'!$AE$11,"C",IF(L282&lt;'PlayerGrades+'!$AE$10,"C+",IF(L282&lt;'PlayerGrades+'!$AE$9,"B-",IF(L282&lt;'PlayerGrades+'!$AE$8,"B",IF(L282&lt;'PlayerGrades+'!$AE$7,"B+",IF(L282&lt;'PlayerGrades+'!$AE$6,"A-",IF(L282&lt;'PlayerGrades+'!$AE$5,"A",IF(L282&lt;'PlayerGrades+'!$AE$4,"A+",IF(L282&lt;'PlayerGrades+'!$AE$3,"S-",IF(L282&lt;'PlayerGrades+'!$AE$2,"S","S+"))))))))))))))))))))</f>
        <v>F</v>
      </c>
      <c r="N282" s="937">
        <f t="shared" si="6"/>
        <v>0.02561912895</v>
      </c>
      <c r="O282" s="937" t="str">
        <f>IF(N282&lt;'PlayerGrades+'!$AF$21,"F-",IF(N282&lt;'PlayerGrades+'!$AF$20,"F",IF(N282&lt;'PlayerGrades+'!$AF$19,"F+",IF(N282&lt;'PlayerGrades+'!$AF$18,"E-",IF(N282&lt;'PlayerGrades+'!$AF$17,"E",IF(N282&lt;'PlayerGrades+'!$AF$16,"E+",IF(N282&lt;'PlayerGrades+'!$AF$15,"D-",IF(N282&lt;'PlayerGrades+'!$AF$14,"D",IF(N282&lt;'PlayerGrades+'!$AF$13,"D+",IF(N282&lt;'PlayerGrades+'!$AF$12,"C-",IF(N282&lt;'PlayerGrades+'!$AF$11,"C",IF(N282&lt;'PlayerGrades+'!$AF$10,"C+",IF(N282&lt;'PlayerGrades+'!$AF$9,"B-",IF(N282&lt;'PlayerGrades+'!$AF$8,"B",IF(N282&lt;'PlayerGrades+'!$AF$7,"B+",IF(N282&lt;'PlayerGrades+'!$AF$6,"A-",IF(N282&lt;'PlayerGrades+'!$AF$5,"A",IF(N282&lt;'PlayerGrades+'!$AF$4,"A+",IF(N282&lt;'PlayerGrades+'!$AF$3,"S-",IF(N282&lt;'PlayerGrades+'!$AF$2,"S","S+"))))))))))))))))))))</f>
        <v>F</v>
      </c>
      <c r="P282" s="937">
        <f t="shared" si="7"/>
        <v>0</v>
      </c>
      <c r="Q282" s="937" t="str">
        <f>IF(P282&lt;'PlayerGrades+'!$AG$21,"F-",IF(P282&lt;'PlayerGrades+'!$AG$20,"F",IF(P282&lt;'PlayerGrades+'!$AG$19,"F+",IF(P282&lt;'PlayerGrades+'!$AG$18,"E-",IF(P282&lt;'PlayerGrades+'!$AG$17,"E",IF(P282&lt;'PlayerGrades+'!$AG$16,"E+",IF(P282&lt;'PlayerGrades+'!$AG$15,"D-",IF(P282&lt;'PlayerGrades+'!$AG$14,"D",IF(P282&lt;'PlayerGrades+'!$AG$13,"D+",IF(P282&lt;'PlayerGrades+'!$AG$12,"C-",IF(P282&lt;'PlayerGrades+'!$AG$11,"C",IF(P282&lt;'PlayerGrades+'!$AG$10,"C+",IF(P282&lt;'PlayerGrades+'!$AG$9,"B-",IF(P282&lt;'PlayerGrades+'!$AG$8,"B",IF(P282&lt;'PlayerGrades+'!$AG$7,"B+",IF(P282&lt;'PlayerGrades+'!$AG$6,"A-",IF(P282&lt;'PlayerGrades+'!$AG$5,"A",IF(P282&lt;'PlayerGrades+'!$AG$4,"A+",IF(P282&lt;'PlayerGrades+'!$AG$3,"S-",IF(P282&lt;'PlayerGrades+'!$AG$2,"S","S+"))))))))))))))))))))</f>
        <v>F</v>
      </c>
      <c r="R282" s="937">
        <f t="shared" si="8"/>
        <v>0.6148590948</v>
      </c>
      <c r="S282" s="937" t="str">
        <f>IF(R282&lt;'PlayerGrades+'!$AH$21,"F-",IF(R282&lt;'PlayerGrades+'!$AH$20,"F",IF(R282&lt;'PlayerGrades+'!$AH$19,"F+",IF(R282&lt;'PlayerGrades+'!$AH$18,"E-",IF(R282&lt;'PlayerGrades+'!$AH$17,"E",IF(R282&lt;'PlayerGrades+'!$AH$16,"E+",IF(R282&lt;'PlayerGrades+'!$AH$15,"D-",IF(R282&lt;'PlayerGrades+'!$AH$14,"D",IF(R282&lt;'PlayerGrades+'!$AH$13,"D+",IF(R282&lt;'PlayerGrades+'!$AH$12,"C-",IF(R282&lt;'PlayerGrades+'!$AH$11,"C",IF(R282&lt;'PlayerGrades+'!$AH$10,"C+",IF(R282&lt;'PlayerGrades+'!$AH$9,"B-",IF(R282&lt;'PlayerGrades+'!$AH$8,"B",IF(R282&lt;'PlayerGrades+'!$AH$7,"B+",IF(R282&lt;'PlayerGrades+'!$AH$6,"A-",IF(R282&lt;'PlayerGrades+'!$AH$5,"A",IF(R282&lt;'PlayerGrades+'!$AH$4,"A+",IF(R282&lt;'PlayerGrades+'!$AH$3,"S-",IF(R282&lt;'PlayerGrades+'!$AH$2,"S","S+"))))))))))))))))))))</f>
        <v>A-</v>
      </c>
      <c r="T282" s="937">
        <f t="shared" si="9"/>
        <v>2.333048676</v>
      </c>
      <c r="U282" s="937" t="str">
        <f>IF(T282&lt;'PlayerGrades+'!$AI$21,"F-",IF(T282&lt;'PlayerGrades+'!$AI$20,"F",IF(T282&lt;'PlayerGrades+'!$AI$19,"F+",IF(T282&lt;'PlayerGrades+'!$AI$18,"E-",IF(T282&lt;'PlayerGrades+'!$AI$17,"E",IF(T282&lt;'PlayerGrades+'!$AI$16,"E+",IF(T282&lt;'PlayerGrades+'!$AI$15,"D-",IF(T282&lt;'PlayerGrades+'!$AI$14,"D",IF(T282&lt;'PlayerGrades+'!$AI$13,"D+",IF(T282&lt;'PlayerGrades+'!$AI$12,"C-",IF(T282&lt;'PlayerGrades+'!$AI$11,"C",IF(T282&lt;'PlayerGrades+'!$AI$10,"C+",IF(T282&lt;'PlayerGrades+'!$AI$9,"B-",IF(T282&lt;'PlayerGrades+'!$AI$8,"B",IF(T282&lt;'PlayerGrades+'!$AI$7,"B+",IF(T282&lt;'PlayerGrades+'!$AI$6,"A-",IF(T282&lt;'PlayerGrades+'!$AI$5,"A",IF(T282&lt;'PlayerGrades+'!$AI$4,"A+",IF(T282&lt;'PlayerGrades+'!$AI$3,"S-",IF(T282&lt;'PlayerGrades+'!$AI$2,"S","S+"))))))))))))))))))))</f>
        <v>S+</v>
      </c>
      <c r="V282" s="939">
        <v>1.0</v>
      </c>
      <c r="W282" s="939">
        <v>1.0</v>
      </c>
      <c r="X282" s="939">
        <v>0.0</v>
      </c>
      <c r="Y282" s="939">
        <v>5.0</v>
      </c>
      <c r="Z282" s="939">
        <v>12.0</v>
      </c>
      <c r="AA282" s="939">
        <v>87.0</v>
      </c>
      <c r="AB282" s="939">
        <v>89.0</v>
      </c>
      <c r="AC282" s="939">
        <v>-2.0</v>
      </c>
      <c r="AD282" s="939">
        <v>9.0</v>
      </c>
      <c r="AE282" s="939">
        <v>5.0</v>
      </c>
      <c r="AF282" s="939">
        <v>2.0</v>
      </c>
      <c r="AG282" s="939">
        <v>1953.0</v>
      </c>
      <c r="AH282" s="939">
        <v>2342.0</v>
      </c>
      <c r="AI282" s="939">
        <v>21.0</v>
      </c>
      <c r="AJ282" s="939">
        <v>331.0</v>
      </c>
      <c r="AK282" s="939">
        <v>0.0</v>
      </c>
      <c r="AL282" s="939">
        <v>1.0</v>
      </c>
      <c r="AM282" s="939">
        <v>0.0</v>
      </c>
      <c r="AN282" s="939">
        <v>0.0</v>
      </c>
      <c r="AO282" s="939">
        <v>0.0</v>
      </c>
      <c r="AP282" s="939">
        <v>0.0</v>
      </c>
      <c r="AQ282" s="939">
        <v>0.0</v>
      </c>
      <c r="AR282" s="939">
        <v>10.0</v>
      </c>
      <c r="AS282" s="939">
        <v>1.0</v>
      </c>
      <c r="AT282" s="939">
        <v>0.0</v>
      </c>
      <c r="AU282" s="939">
        <v>0.0</v>
      </c>
      <c r="AV282" s="939">
        <v>0.0</v>
      </c>
      <c r="AW282" s="939">
        <v>0.0</v>
      </c>
      <c r="AX282" s="939">
        <v>0.0</v>
      </c>
      <c r="AY282" s="939">
        <v>0.0</v>
      </c>
      <c r="AZ282" s="939">
        <v>0.0</v>
      </c>
      <c r="BA282" s="939">
        <v>0.0</v>
      </c>
      <c r="BB282" s="939">
        <v>1.0</v>
      </c>
      <c r="BC282" s="939">
        <v>0.0</v>
      </c>
      <c r="BD282" s="939">
        <v>15.0</v>
      </c>
      <c r="BE282" s="939">
        <v>13.0</v>
      </c>
      <c r="BF282" s="939">
        <v>2.0</v>
      </c>
      <c r="BG282" s="940">
        <v>0.0</v>
      </c>
    </row>
    <row r="283">
      <c r="A283" s="935" t="s">
        <v>130</v>
      </c>
      <c r="B283" s="16" t="str">
        <f>IF(C283&lt;'PlayerGrades+'!$Y$44,"F-",IF(C283&lt;'PlayerGrades+'!$Y$43,"F",IF(C283&lt;'PlayerGrades+'!$Y$42,"F+",IF(C283&lt;'PlayerGrades+'!$Y$41,"E-",IF(C283&lt;'PlayerGrades+'!$Y$40,"E",IF(C283&lt;'PlayerGrades+'!$Y$39,"E+",IF(C283&lt;'PlayerGrades+'!$Y$38,"D-",IF(C283&lt;'PlayerGrades+'!$Y$37,"D",IF(C283&lt;'PlayerGrades+'!$Y$36,"D+",IF(C283&lt;'PlayerGrades+'!$Y$35,"C-",IF(C283&lt;'PlayerGrades+'!$Y$34,"C",IF(C283&lt;'PlayerGrades+'!$Y$33,"C+",IF(C283&lt;'PlayerGrades+'!$Y$32,"B-",IF(C283&lt;'PlayerGrades+'!$Y$31,"B",IF(C283&lt;'PlayerGrades+'!$Y$30,"B+",IF(C283&lt;'PlayerGrades+'!$Y$29,"A-",IF(C283&lt;'PlayerGrades+'!$Y$28,"A",IF(C283&lt;'PlayerGrades+'!$Y$27,"A+",IF(C283&lt;'PlayerGrades+'!$Y$26,"S-",IF(C283&lt;'PlayerGrades+'!$Y$25,"S","S+"))))))))))))))))))))</f>
        <v>B+</v>
      </c>
      <c r="C283" s="936">
        <f>('PlayerGrades+'!$Y$47*(VLOOKUP(E283, 'PlayerGrades+'!$X$3:$Y$23, 2, FALSE)))+('PlayerGrades+'!$Y$48*(VLOOKUP(G283, 'PlayerGrades+'!$X$3:$Y$23, 2, FALSE)))+('PlayerGrades+'!$Y$49*(VLOOKUP(I283, 'PlayerGrades+'!$X$3:$Y$23, 2, FALSE)))+('PlayerGrades+'!$Y$50*(VLOOKUP(K283, 'PlayerGrades+'!$X$3:$Y$23, 2, FALSE)))+('PlayerGrades+'!$Y$51*(VLOOKUP(M283, 'PlayerGrades+'!$X$3:$Y$23, 2, FALSE)))+('PlayerGrades+'!$Y$52*(VLOOKUP(O283, 'PlayerGrades+'!$X$3:$Y$23, 2, FALSE)))+('PlayerGrades+'!$Y$53*(VLOOKUP(Q283, 'PlayerGrades+'!$X$3:$Y$23, 2, FALSE)))+('PlayerGrades+'!$Y$54*(VLOOKUP(S283, 'PlayerGrades+'!$X$3:$Y$23, 2, FALSE)))+('PlayerGrades+'!$Y$55*(VLOOKUP(U283, 'PlayerGrades+'!$X$3:$Y$23, 2, FALSE)))</f>
        <v>23.5</v>
      </c>
      <c r="D283" s="937">
        <f t="shared" si="1"/>
        <v>0</v>
      </c>
      <c r="E283" s="937" t="str">
        <f>IF(D283&lt;'PlayerGrades+'!$AA$21,"F-",IF(D283&lt;'PlayerGrades+'!$AA$20,"F",IF(D283&lt;'PlayerGrades+'!$AA$19,"F+",IF(D283&lt;'PlayerGrades+'!$AA$18,"E-",IF(D283&lt;'PlayerGrades+'!$AA$17,"E",IF(D283&lt;'PlayerGrades+'!$AA$16,"E+",IF(D283&lt;'PlayerGrades+'!$AA$15,"D-",IF(D283&lt;'PlayerGrades+'!$AA$14,"D",IF(D283&lt;'PlayerGrades+'!$AA$13,"D+",IF(D283&lt;'PlayerGrades+'!$AA$12,"C-",IF(D283&lt;'PlayerGrades+'!$AA$11,"C",IF(D283&lt;'PlayerGrades+'!$AA$10,"C+",IF(D283&lt;'PlayerGrades+'!$AA$9,"B-",IF(D283&lt;'PlayerGrades+'!$AA$8,"B",IF(D283&lt;'PlayerGrades+'!$AA$7,"B+",IF(D283&lt;'PlayerGrades+'!$AA$6,"A-",IF(D283&lt;'PlayerGrades+'!$AA$5,"A",IF(D283&lt;'PlayerGrades+'!$AA$4,"A+",IF(D283&lt;'PlayerGrades+'!$AA$3,"S-",IF(D283&lt;'PlayerGrades+'!$AA$2,"S","S+"))))))))))))))))))))</f>
        <v>F-</v>
      </c>
      <c r="F283" s="937">
        <f t="shared" si="2"/>
        <v>0.8966695132</v>
      </c>
      <c r="G283" s="937" t="str">
        <f>IF(F283&lt;'PlayerGrades+'!$AB$21,"F-",IF(F283&lt;'PlayerGrades+'!$AB$20,"F",IF(F283&lt;'PlayerGrades+'!$AB$19,"F+",IF(F283&lt;'PlayerGrades+'!$AB$18,"E-",IF(F283&lt;'PlayerGrades+'!$AB$17,"E",IF(F283&lt;'PlayerGrades+'!$AB$16,"E+",IF(F283&lt;'PlayerGrades+'!$AB$15,"D-",IF(F283&lt;'PlayerGrades+'!$AB$14,"D",IF(F283&lt;'PlayerGrades+'!$AB$13,"D+",IF(F283&lt;'PlayerGrades+'!$AB$12,"C-",IF(F283&lt;'PlayerGrades+'!$AB$11,"C",IF(F283&lt;'PlayerGrades+'!$AB$10,"C+",IF(F283&lt;'PlayerGrades+'!$AB$9,"B-",IF(F283&lt;'PlayerGrades+'!$AB$8,"B",IF(F283&lt;'PlayerGrades+'!$AB$7,"B+",IF(F283&lt;'PlayerGrades+'!$AB$6,"A-",IF(F283&lt;'PlayerGrades+'!$AB$5,"A",IF(F283&lt;'PlayerGrades+'!$AB$4,"A+",IF(F283&lt;'PlayerGrades+'!$AB$3,"S-",IF(F283&lt;'PlayerGrades+'!$AB$2,"S","S+"))))))))))))))))))))</f>
        <v>S</v>
      </c>
      <c r="H283" s="937">
        <f t="shared" si="3"/>
        <v>0.07685738685</v>
      </c>
      <c r="I283" s="937" t="str">
        <f>IF(H283&lt;'PlayerGrades+'!$AC$21,"F-",IF(H283&lt;'PlayerGrades+'!$AC$20,"F",IF(H283&lt;'PlayerGrades+'!$AC$19,"F+",IF(H283&lt;'PlayerGrades+'!$AC$18,"E-",IF(H283&lt;'PlayerGrades+'!$AC$17,"E",IF(H283&lt;'PlayerGrades+'!$AC$16,"E+",IF(H283&lt;'PlayerGrades+'!$AC$15,"D-",IF(H283&lt;'PlayerGrades+'!$AC$14,"D",IF(H283&lt;'PlayerGrades+'!$AC$13,"D+",IF(H283&lt;'PlayerGrades+'!$AC$12,"C-",IF(H283&lt;'PlayerGrades+'!$AC$11,"C",IF(H283&lt;'PlayerGrades+'!$AC$10,"C+",IF(H283&lt;'PlayerGrades+'!$AC$9,"B-",IF(H283&lt;'PlayerGrades+'!$AC$8,"B",IF(H283&lt;'PlayerGrades+'!$AC$7,"B+",IF(H283&lt;'PlayerGrades+'!$AC$6,"A-",IF(H283&lt;'PlayerGrades+'!$AC$5,"A",IF(H283&lt;'PlayerGrades+'!$AC$4,"A+",IF(H283&lt;'PlayerGrades+'!$AC$3,"S-",IF(H283&lt;'PlayerGrades+'!$AC$2,"S","S+"))))))))))))))))))))</f>
        <v>E+</v>
      </c>
      <c r="J283" s="937">
        <f t="shared" si="4"/>
        <v>0.07685738685</v>
      </c>
      <c r="K283" s="937" t="str">
        <f>IF(J283&lt;'PlayerGrades+'!$AD$21,"F-",IF(J283&lt;'PlayerGrades+'!$AD$20,"F",IF(J283&lt;'PlayerGrades+'!$AD$19,"F+",IF(J283&lt;'PlayerGrades+'!$AD$18,"E-",IF(J283&lt;'PlayerGrades+'!$AD$17,"E",IF(J283&lt;'PlayerGrades+'!$AD$16,"E+",IF(J283&lt;'PlayerGrades+'!$AD$15,"D-",IF(J283&lt;'PlayerGrades+'!$AD$14,"D",IF(J283&lt;'PlayerGrades+'!$AD$13,"D+",IF(J283&lt;'PlayerGrades+'!$AD$12,"C-",IF(J283&lt;'PlayerGrades+'!$AD$11,"C",IF(J283&lt;'PlayerGrades+'!$AD$10,"C+",IF(J283&lt;'PlayerGrades+'!$AD$9,"B-",IF(J283&lt;'PlayerGrades+'!$AD$8,"B",IF(J283&lt;'PlayerGrades+'!$AD$7,"B+",IF(J283&lt;'PlayerGrades+'!$AD$6,"A-",IF(J283&lt;'PlayerGrades+'!$AD$5,"A",IF(J283&lt;'PlayerGrades+'!$AD$4,"A+",IF(J283&lt;'PlayerGrades+'!$AD$3,"S-",IF(J283&lt;'PlayerGrades+'!$AD$2,"S","S+"))))))))))))))))))))</f>
        <v>A+</v>
      </c>
      <c r="L283" s="677">
        <f t="shared" si="5"/>
        <v>0.512382579</v>
      </c>
      <c r="M283" s="938" t="str">
        <f>IF(L283&lt;'PlayerGrades+'!$AE$21,"F-",IF(L283&lt;'PlayerGrades+'!$AE$20,"F",IF(L283&lt;'PlayerGrades+'!$AE$19,"F+",IF(L283&lt;'PlayerGrades+'!$AE$18,"E-",IF(L283&lt;'PlayerGrades+'!$AE$17,"E",IF(L283&lt;'PlayerGrades+'!$AE$16,"E+",IF(L283&lt;'PlayerGrades+'!$AE$15,"D-",IF(L283&lt;'PlayerGrades+'!$AE$14,"D",IF(L283&lt;'PlayerGrades+'!$AE$13,"D+",IF(L283&lt;'PlayerGrades+'!$AE$12,"C-",IF(L283&lt;'PlayerGrades+'!$AE$11,"C",IF(L283&lt;'PlayerGrades+'!$AE$10,"C+",IF(L283&lt;'PlayerGrades+'!$AE$9,"B-",IF(L283&lt;'PlayerGrades+'!$AE$8,"B",IF(L283&lt;'PlayerGrades+'!$AE$7,"B+",IF(L283&lt;'PlayerGrades+'!$AE$6,"A-",IF(L283&lt;'PlayerGrades+'!$AE$5,"A",IF(L283&lt;'PlayerGrades+'!$AE$4,"A+",IF(L283&lt;'PlayerGrades+'!$AE$3,"S-",IF(L283&lt;'PlayerGrades+'!$AE$2,"S","S+"))))))))))))))))))))</f>
        <v>A-</v>
      </c>
      <c r="N283" s="937">
        <f t="shared" si="6"/>
        <v>0.1024765158</v>
      </c>
      <c r="O283" s="937" t="str">
        <f>IF(N283&lt;'PlayerGrades+'!$AF$21,"F-",IF(N283&lt;'PlayerGrades+'!$AF$20,"F",IF(N283&lt;'PlayerGrades+'!$AF$19,"F+",IF(N283&lt;'PlayerGrades+'!$AF$18,"E-",IF(N283&lt;'PlayerGrades+'!$AF$17,"E",IF(N283&lt;'PlayerGrades+'!$AF$16,"E+",IF(N283&lt;'PlayerGrades+'!$AF$15,"D-",IF(N283&lt;'PlayerGrades+'!$AF$14,"D",IF(N283&lt;'PlayerGrades+'!$AF$13,"D+",IF(N283&lt;'PlayerGrades+'!$AF$12,"C-",IF(N283&lt;'PlayerGrades+'!$AF$11,"C",IF(N283&lt;'PlayerGrades+'!$AF$10,"C+",IF(N283&lt;'PlayerGrades+'!$AF$9,"B-",IF(N283&lt;'PlayerGrades+'!$AF$8,"B",IF(N283&lt;'PlayerGrades+'!$AF$7,"B+",IF(N283&lt;'PlayerGrades+'!$AF$6,"A-",IF(N283&lt;'PlayerGrades+'!$AF$5,"A",IF(N283&lt;'PlayerGrades+'!$AF$4,"A+",IF(N283&lt;'PlayerGrades+'!$AF$3,"S-",IF(N283&lt;'PlayerGrades+'!$AF$2,"S","S+"))))))))))))))))))))</f>
        <v>A+</v>
      </c>
      <c r="P283" s="937">
        <f t="shared" si="7"/>
        <v>0.07685738685</v>
      </c>
      <c r="Q283" s="937" t="str">
        <f>IF(P283&lt;'PlayerGrades+'!$AG$21,"F-",IF(P283&lt;'PlayerGrades+'!$AG$20,"F",IF(P283&lt;'PlayerGrades+'!$AG$19,"F+",IF(P283&lt;'PlayerGrades+'!$AG$18,"E-",IF(P283&lt;'PlayerGrades+'!$AG$17,"E",IF(P283&lt;'PlayerGrades+'!$AG$16,"E+",IF(P283&lt;'PlayerGrades+'!$AG$15,"D-",IF(P283&lt;'PlayerGrades+'!$AG$14,"D",IF(P283&lt;'PlayerGrades+'!$AG$13,"D+",IF(P283&lt;'PlayerGrades+'!$AG$12,"C-",IF(P283&lt;'PlayerGrades+'!$AG$11,"C",IF(P283&lt;'PlayerGrades+'!$AG$10,"C+",IF(P283&lt;'PlayerGrades+'!$AG$9,"B-",IF(P283&lt;'PlayerGrades+'!$AG$8,"B",IF(P283&lt;'PlayerGrades+'!$AG$7,"B+",IF(P283&lt;'PlayerGrades+'!$AG$6,"A-",IF(P283&lt;'PlayerGrades+'!$AG$5,"A",IF(P283&lt;'PlayerGrades+'!$AG$4,"A+",IF(P283&lt;'PlayerGrades+'!$AG$3,"S-",IF(P283&lt;'PlayerGrades+'!$AG$2,"S","S+"))))))))))))))))))))</f>
        <v>S-</v>
      </c>
      <c r="R283" s="937">
        <f t="shared" si="8"/>
        <v>0.512382579</v>
      </c>
      <c r="S283" s="937" t="str">
        <f>IF(R283&lt;'PlayerGrades+'!$AH$21,"F-",IF(R283&lt;'PlayerGrades+'!$AH$20,"F",IF(R283&lt;'PlayerGrades+'!$AH$19,"F+",IF(R283&lt;'PlayerGrades+'!$AH$18,"E-",IF(R283&lt;'PlayerGrades+'!$AH$17,"E",IF(R283&lt;'PlayerGrades+'!$AH$16,"E+",IF(R283&lt;'PlayerGrades+'!$AH$15,"D-",IF(R283&lt;'PlayerGrades+'!$AH$14,"D",IF(R283&lt;'PlayerGrades+'!$AH$13,"D+",IF(R283&lt;'PlayerGrades+'!$AH$12,"C-",IF(R283&lt;'PlayerGrades+'!$AH$11,"C",IF(R283&lt;'PlayerGrades+'!$AH$10,"C+",IF(R283&lt;'PlayerGrades+'!$AH$9,"B-",IF(R283&lt;'PlayerGrades+'!$AH$8,"B",IF(R283&lt;'PlayerGrades+'!$AH$7,"B+",IF(R283&lt;'PlayerGrades+'!$AH$6,"A-",IF(R283&lt;'PlayerGrades+'!$AH$5,"A",IF(R283&lt;'PlayerGrades+'!$AH$4,"A+",IF(R283&lt;'PlayerGrades+'!$AH$3,"S-",IF(R283&lt;'PlayerGrades+'!$AH$2,"S","S+"))))))))))))))))))))</f>
        <v>D</v>
      </c>
      <c r="T283" s="937">
        <f t="shared" si="9"/>
        <v>1.281810418</v>
      </c>
      <c r="U283" s="937" t="str">
        <f>IF(T283&lt;'PlayerGrades+'!$AI$21,"F-",IF(T283&lt;'PlayerGrades+'!$AI$20,"F",IF(T283&lt;'PlayerGrades+'!$AI$19,"F+",IF(T283&lt;'PlayerGrades+'!$AI$18,"E-",IF(T283&lt;'PlayerGrades+'!$AI$17,"E",IF(T283&lt;'PlayerGrades+'!$AI$16,"E+",IF(T283&lt;'PlayerGrades+'!$AI$15,"D-",IF(T283&lt;'PlayerGrades+'!$AI$14,"D",IF(T283&lt;'PlayerGrades+'!$AI$13,"D+",IF(T283&lt;'PlayerGrades+'!$AI$12,"C-",IF(T283&lt;'PlayerGrades+'!$AI$11,"C",IF(T283&lt;'PlayerGrades+'!$AI$10,"C+",IF(T283&lt;'PlayerGrades+'!$AI$9,"B-",IF(T283&lt;'PlayerGrades+'!$AI$8,"B",IF(T283&lt;'PlayerGrades+'!$AI$7,"B+",IF(T283&lt;'PlayerGrades+'!$AI$6,"A-",IF(T283&lt;'PlayerGrades+'!$AI$5,"A",IF(T283&lt;'PlayerGrades+'!$AI$4,"A+",IF(T283&lt;'PlayerGrades+'!$AI$3,"S-",IF(T283&lt;'PlayerGrades+'!$AI$2,"S","S+"))))))))))))))))))))</f>
        <v>C</v>
      </c>
      <c r="V283" s="941">
        <v>1.0</v>
      </c>
      <c r="W283" s="941">
        <v>1.0</v>
      </c>
      <c r="X283" s="941">
        <v>0.0</v>
      </c>
      <c r="Y283" s="941">
        <v>0.0</v>
      </c>
      <c r="Z283" s="941">
        <v>0.0</v>
      </c>
      <c r="AA283" s="941">
        <v>122.0</v>
      </c>
      <c r="AB283" s="941">
        <v>87.0</v>
      </c>
      <c r="AC283" s="941">
        <v>35.0</v>
      </c>
      <c r="AD283" s="941">
        <v>8.0</v>
      </c>
      <c r="AE283" s="941">
        <v>9.0</v>
      </c>
      <c r="AF283" s="941">
        <v>6.0</v>
      </c>
      <c r="AG283" s="941">
        <v>1954.0</v>
      </c>
      <c r="AH283" s="941">
        <v>2342.0</v>
      </c>
      <c r="AI283" s="941">
        <v>22.0</v>
      </c>
      <c r="AJ283" s="941">
        <v>1.0</v>
      </c>
      <c r="AK283" s="941">
        <v>0.0</v>
      </c>
      <c r="AL283" s="941">
        <v>3.0</v>
      </c>
      <c r="AM283" s="941">
        <v>0.0</v>
      </c>
      <c r="AN283" s="941">
        <v>0.0</v>
      </c>
      <c r="AO283" s="941">
        <v>0.0</v>
      </c>
      <c r="AP283" s="941">
        <v>3.0</v>
      </c>
      <c r="AQ283" s="941">
        <v>0.0</v>
      </c>
      <c r="AR283" s="941">
        <v>20.0</v>
      </c>
      <c r="AS283" s="941">
        <v>4.0</v>
      </c>
      <c r="AT283" s="941">
        <v>1.0</v>
      </c>
      <c r="AU283" s="941">
        <v>1.0</v>
      </c>
      <c r="AV283" s="941">
        <v>1.0</v>
      </c>
      <c r="AW283" s="941">
        <v>0.0</v>
      </c>
      <c r="AX283" s="941">
        <v>0.0</v>
      </c>
      <c r="AY283" s="941">
        <v>0.0</v>
      </c>
      <c r="AZ283" s="941">
        <v>0.0</v>
      </c>
      <c r="BA283" s="941">
        <v>0.0</v>
      </c>
      <c r="BB283" s="941">
        <v>3.0</v>
      </c>
      <c r="BC283" s="941">
        <v>0.0</v>
      </c>
      <c r="BD283" s="941">
        <v>12.0</v>
      </c>
      <c r="BE283" s="941">
        <v>11.0</v>
      </c>
      <c r="BF283" s="941">
        <v>1.0</v>
      </c>
      <c r="BG283" s="942">
        <v>0.0</v>
      </c>
    </row>
    <row r="284">
      <c r="A284" s="935" t="s">
        <v>141</v>
      </c>
      <c r="B284" s="16" t="str">
        <f>IF(C284&lt;'PlayerGrades+'!$Y$44,"F-",IF(C284&lt;'PlayerGrades+'!$Y$43,"F",IF(C284&lt;'PlayerGrades+'!$Y$42,"F+",IF(C284&lt;'PlayerGrades+'!$Y$41,"E-",IF(C284&lt;'PlayerGrades+'!$Y$40,"E",IF(C284&lt;'PlayerGrades+'!$Y$39,"E+",IF(C284&lt;'PlayerGrades+'!$Y$38,"D-",IF(C284&lt;'PlayerGrades+'!$Y$37,"D",IF(C284&lt;'PlayerGrades+'!$Y$36,"D+",IF(C284&lt;'PlayerGrades+'!$Y$35,"C-",IF(C284&lt;'PlayerGrades+'!$Y$34,"C",IF(C284&lt;'PlayerGrades+'!$Y$33,"C+",IF(C284&lt;'PlayerGrades+'!$Y$32,"B-",IF(C284&lt;'PlayerGrades+'!$Y$31,"B",IF(C284&lt;'PlayerGrades+'!$Y$30,"B+",IF(C284&lt;'PlayerGrades+'!$Y$29,"A-",IF(C284&lt;'PlayerGrades+'!$Y$28,"A",IF(C284&lt;'PlayerGrades+'!$Y$27,"A+",IF(C284&lt;'PlayerGrades+'!$Y$26,"S-",IF(C284&lt;'PlayerGrades+'!$Y$25,"S","S+"))))))))))))))))))))</f>
        <v>F-</v>
      </c>
      <c r="C284" s="936">
        <f>('PlayerGrades+'!$Y$47*(VLOOKUP(E284, 'PlayerGrades+'!$X$3:$Y$23, 2, FALSE)))+('PlayerGrades+'!$Y$48*(VLOOKUP(G284, 'PlayerGrades+'!$X$3:$Y$23, 2, FALSE)))+('PlayerGrades+'!$Y$49*(VLOOKUP(I284, 'PlayerGrades+'!$X$3:$Y$23, 2, FALSE)))+('PlayerGrades+'!$Y$50*(VLOOKUP(K284, 'PlayerGrades+'!$X$3:$Y$23, 2, FALSE)))+('PlayerGrades+'!$Y$51*(VLOOKUP(M284, 'PlayerGrades+'!$X$3:$Y$23, 2, FALSE)))+('PlayerGrades+'!$Y$52*(VLOOKUP(O284, 'PlayerGrades+'!$X$3:$Y$23, 2, FALSE)))+('PlayerGrades+'!$Y$53*(VLOOKUP(Q284, 'PlayerGrades+'!$X$3:$Y$23, 2, FALSE)))+('PlayerGrades+'!$Y$54*(VLOOKUP(S284, 'PlayerGrades+'!$X$3:$Y$23, 2, FALSE)))+('PlayerGrades+'!$Y$55*(VLOOKUP(U284, 'PlayerGrades+'!$X$3:$Y$23, 2, FALSE)))</f>
        <v>5.45</v>
      </c>
      <c r="D284" s="937">
        <f t="shared" si="1"/>
        <v>0.02561912895</v>
      </c>
      <c r="E284" s="937" t="str">
        <f>IF(D284&lt;'PlayerGrades+'!$AA$21,"F-",IF(D284&lt;'PlayerGrades+'!$AA$20,"F",IF(D284&lt;'PlayerGrades+'!$AA$19,"F+",IF(D284&lt;'PlayerGrades+'!$AA$18,"E-",IF(D284&lt;'PlayerGrades+'!$AA$17,"E",IF(D284&lt;'PlayerGrades+'!$AA$16,"E+",IF(D284&lt;'PlayerGrades+'!$AA$15,"D-",IF(D284&lt;'PlayerGrades+'!$AA$14,"D",IF(D284&lt;'PlayerGrades+'!$AA$13,"D+",IF(D284&lt;'PlayerGrades+'!$AA$12,"C-",IF(D284&lt;'PlayerGrades+'!$AA$11,"C",IF(D284&lt;'PlayerGrades+'!$AA$10,"C+",IF(D284&lt;'PlayerGrades+'!$AA$9,"B-",IF(D284&lt;'PlayerGrades+'!$AA$8,"B",IF(D284&lt;'PlayerGrades+'!$AA$7,"B+",IF(D284&lt;'PlayerGrades+'!$AA$6,"A-",IF(D284&lt;'PlayerGrades+'!$AA$5,"A",IF(D284&lt;'PlayerGrades+'!$AA$4,"A+",IF(D284&lt;'PlayerGrades+'!$AA$3,"S-",IF(D284&lt;'PlayerGrades+'!$AA$2,"S","S+"))))))))))))))))))))</f>
        <v>E+</v>
      </c>
      <c r="F284" s="937">
        <f t="shared" si="2"/>
        <v>-1.22971819</v>
      </c>
      <c r="G284" s="937" t="str">
        <f>IF(F284&lt;'PlayerGrades+'!$AB$21,"F-",IF(F284&lt;'PlayerGrades+'!$AB$20,"F",IF(F284&lt;'PlayerGrades+'!$AB$19,"F+",IF(F284&lt;'PlayerGrades+'!$AB$18,"E-",IF(F284&lt;'PlayerGrades+'!$AB$17,"E",IF(F284&lt;'PlayerGrades+'!$AB$16,"E+",IF(F284&lt;'PlayerGrades+'!$AB$15,"D-",IF(F284&lt;'PlayerGrades+'!$AB$14,"D",IF(F284&lt;'PlayerGrades+'!$AB$13,"D+",IF(F284&lt;'PlayerGrades+'!$AB$12,"C-",IF(F284&lt;'PlayerGrades+'!$AB$11,"C",IF(F284&lt;'PlayerGrades+'!$AB$10,"C+",IF(F284&lt;'PlayerGrades+'!$AB$9,"B-",IF(F284&lt;'PlayerGrades+'!$AB$8,"B",IF(F284&lt;'PlayerGrades+'!$AB$7,"B+",IF(F284&lt;'PlayerGrades+'!$AB$6,"A-",IF(F284&lt;'PlayerGrades+'!$AB$5,"A",IF(F284&lt;'PlayerGrades+'!$AB$4,"A+",IF(F284&lt;'PlayerGrades+'!$AB$3,"S-",IF(F284&lt;'PlayerGrades+'!$AB$2,"S","S+"))))))))))))))))))))</f>
        <v>F-</v>
      </c>
      <c r="H284" s="937">
        <f t="shared" si="3"/>
        <v>0</v>
      </c>
      <c r="I284" s="937" t="str">
        <f>IF(H284&lt;'PlayerGrades+'!$AC$21,"F-",IF(H284&lt;'PlayerGrades+'!$AC$20,"F",IF(H284&lt;'PlayerGrades+'!$AC$19,"F+",IF(H284&lt;'PlayerGrades+'!$AC$18,"E-",IF(H284&lt;'PlayerGrades+'!$AC$17,"E",IF(H284&lt;'PlayerGrades+'!$AC$16,"E+",IF(H284&lt;'PlayerGrades+'!$AC$15,"D-",IF(H284&lt;'PlayerGrades+'!$AC$14,"D",IF(H284&lt;'PlayerGrades+'!$AC$13,"D+",IF(H284&lt;'PlayerGrades+'!$AC$12,"C-",IF(H284&lt;'PlayerGrades+'!$AC$11,"C",IF(H284&lt;'PlayerGrades+'!$AC$10,"C+",IF(H284&lt;'PlayerGrades+'!$AC$9,"B-",IF(H284&lt;'PlayerGrades+'!$AC$8,"B",IF(H284&lt;'PlayerGrades+'!$AC$7,"B+",IF(H284&lt;'PlayerGrades+'!$AC$6,"A-",IF(H284&lt;'PlayerGrades+'!$AC$5,"A",IF(H284&lt;'PlayerGrades+'!$AC$4,"A+",IF(H284&lt;'PlayerGrades+'!$AC$3,"S-",IF(H284&lt;'PlayerGrades+'!$AC$2,"S","S+"))))))))))))))))))))</f>
        <v>F-</v>
      </c>
      <c r="J284" s="937">
        <f t="shared" si="4"/>
        <v>0</v>
      </c>
      <c r="K284" s="937" t="str">
        <f>IF(J284&lt;'PlayerGrades+'!$AD$21,"F-",IF(J284&lt;'PlayerGrades+'!$AD$20,"F",IF(J284&lt;'PlayerGrades+'!$AD$19,"F+",IF(J284&lt;'PlayerGrades+'!$AD$18,"E-",IF(J284&lt;'PlayerGrades+'!$AD$17,"E",IF(J284&lt;'PlayerGrades+'!$AD$16,"E+",IF(J284&lt;'PlayerGrades+'!$AD$15,"D-",IF(J284&lt;'PlayerGrades+'!$AD$14,"D",IF(J284&lt;'PlayerGrades+'!$AD$13,"D+",IF(J284&lt;'PlayerGrades+'!$AD$12,"C-",IF(J284&lt;'PlayerGrades+'!$AD$11,"C",IF(J284&lt;'PlayerGrades+'!$AD$10,"C+",IF(J284&lt;'PlayerGrades+'!$AD$9,"B-",IF(J284&lt;'PlayerGrades+'!$AD$8,"B",IF(J284&lt;'PlayerGrades+'!$AD$7,"B+",IF(J284&lt;'PlayerGrades+'!$AD$6,"A-",IF(J284&lt;'PlayerGrades+'!$AD$5,"A",IF(J284&lt;'PlayerGrades+'!$AD$4,"A+",IF(J284&lt;'PlayerGrades+'!$AD$3,"S-",IF(J284&lt;'PlayerGrades+'!$AD$2,"S","S+"))))))))))))))))))))</f>
        <v>F-</v>
      </c>
      <c r="L284" s="677">
        <f t="shared" si="5"/>
        <v>0.2818104184</v>
      </c>
      <c r="M284" s="938" t="str">
        <f>IF(L284&lt;'PlayerGrades+'!$AE$21,"F-",IF(L284&lt;'PlayerGrades+'!$AE$20,"F",IF(L284&lt;'PlayerGrades+'!$AE$19,"F+",IF(L284&lt;'PlayerGrades+'!$AE$18,"E-",IF(L284&lt;'PlayerGrades+'!$AE$17,"E",IF(L284&lt;'PlayerGrades+'!$AE$16,"E+",IF(L284&lt;'PlayerGrades+'!$AE$15,"D-",IF(L284&lt;'PlayerGrades+'!$AE$14,"D",IF(L284&lt;'PlayerGrades+'!$AE$13,"D+",IF(L284&lt;'PlayerGrades+'!$AE$12,"C-",IF(L284&lt;'PlayerGrades+'!$AE$11,"C",IF(L284&lt;'PlayerGrades+'!$AE$10,"C+",IF(L284&lt;'PlayerGrades+'!$AE$9,"B-",IF(L284&lt;'PlayerGrades+'!$AE$8,"B",IF(L284&lt;'PlayerGrades+'!$AE$7,"B+",IF(L284&lt;'PlayerGrades+'!$AE$6,"A-",IF(L284&lt;'PlayerGrades+'!$AE$5,"A",IF(L284&lt;'PlayerGrades+'!$AE$4,"A+",IF(L284&lt;'PlayerGrades+'!$AE$3,"S-",IF(L284&lt;'PlayerGrades+'!$AE$2,"S","S+"))))))))))))))))))))</f>
        <v>F+</v>
      </c>
      <c r="N284" s="937">
        <f t="shared" si="6"/>
        <v>0.02561912895</v>
      </c>
      <c r="O284" s="937" t="str">
        <f>IF(N284&lt;'PlayerGrades+'!$AF$21,"F-",IF(N284&lt;'PlayerGrades+'!$AF$20,"F",IF(N284&lt;'PlayerGrades+'!$AF$19,"F+",IF(N284&lt;'PlayerGrades+'!$AF$18,"E-",IF(N284&lt;'PlayerGrades+'!$AF$17,"E",IF(N284&lt;'PlayerGrades+'!$AF$16,"E+",IF(N284&lt;'PlayerGrades+'!$AF$15,"D-",IF(N284&lt;'PlayerGrades+'!$AF$14,"D",IF(N284&lt;'PlayerGrades+'!$AF$13,"D+",IF(N284&lt;'PlayerGrades+'!$AF$12,"C-",IF(N284&lt;'PlayerGrades+'!$AF$11,"C",IF(N284&lt;'PlayerGrades+'!$AF$10,"C+",IF(N284&lt;'PlayerGrades+'!$AF$9,"B-",IF(N284&lt;'PlayerGrades+'!$AF$8,"B",IF(N284&lt;'PlayerGrades+'!$AF$7,"B+",IF(N284&lt;'PlayerGrades+'!$AF$6,"A-",IF(N284&lt;'PlayerGrades+'!$AF$5,"A",IF(N284&lt;'PlayerGrades+'!$AF$4,"A+",IF(N284&lt;'PlayerGrades+'!$AF$3,"S-",IF(N284&lt;'PlayerGrades+'!$AF$2,"S","S+"))))))))))))))))))))</f>
        <v>F</v>
      </c>
      <c r="P284" s="937">
        <f t="shared" si="7"/>
        <v>0</v>
      </c>
      <c r="Q284" s="937" t="str">
        <f>IF(P284&lt;'PlayerGrades+'!$AG$21,"F-",IF(P284&lt;'PlayerGrades+'!$AG$20,"F",IF(P284&lt;'PlayerGrades+'!$AG$19,"F+",IF(P284&lt;'PlayerGrades+'!$AG$18,"E-",IF(P284&lt;'PlayerGrades+'!$AG$17,"E",IF(P284&lt;'PlayerGrades+'!$AG$16,"E+",IF(P284&lt;'PlayerGrades+'!$AG$15,"D-",IF(P284&lt;'PlayerGrades+'!$AG$14,"D",IF(P284&lt;'PlayerGrades+'!$AG$13,"D+",IF(P284&lt;'PlayerGrades+'!$AG$12,"C-",IF(P284&lt;'PlayerGrades+'!$AG$11,"C",IF(P284&lt;'PlayerGrades+'!$AG$10,"C+",IF(P284&lt;'PlayerGrades+'!$AG$9,"B-",IF(P284&lt;'PlayerGrades+'!$AG$8,"B",IF(P284&lt;'PlayerGrades+'!$AG$7,"B+",IF(P284&lt;'PlayerGrades+'!$AG$6,"A-",IF(P284&lt;'PlayerGrades+'!$AG$5,"A",IF(P284&lt;'PlayerGrades+'!$AG$4,"A+",IF(P284&lt;'PlayerGrades+'!$AG$3,"S-",IF(P284&lt;'PlayerGrades+'!$AG$2,"S","S+"))))))))))))))))))))</f>
        <v>F</v>
      </c>
      <c r="R284" s="937">
        <f t="shared" si="8"/>
        <v>0.3330486763</v>
      </c>
      <c r="S284" s="937" t="str">
        <f>IF(R284&lt;'PlayerGrades+'!$AH$21,"F-",IF(R284&lt;'PlayerGrades+'!$AH$20,"F",IF(R284&lt;'PlayerGrades+'!$AH$19,"F+",IF(R284&lt;'PlayerGrades+'!$AH$18,"E-",IF(R284&lt;'PlayerGrades+'!$AH$17,"E",IF(R284&lt;'PlayerGrades+'!$AH$16,"E+",IF(R284&lt;'PlayerGrades+'!$AH$15,"D-",IF(R284&lt;'PlayerGrades+'!$AH$14,"D",IF(R284&lt;'PlayerGrades+'!$AH$13,"D+",IF(R284&lt;'PlayerGrades+'!$AH$12,"C-",IF(R284&lt;'PlayerGrades+'!$AH$11,"C",IF(R284&lt;'PlayerGrades+'!$AH$10,"C+",IF(R284&lt;'PlayerGrades+'!$AH$9,"B-",IF(R284&lt;'PlayerGrades+'!$AH$8,"B",IF(R284&lt;'PlayerGrades+'!$AH$7,"B+",IF(R284&lt;'PlayerGrades+'!$AH$6,"A-",IF(R284&lt;'PlayerGrades+'!$AH$5,"A",IF(R284&lt;'PlayerGrades+'!$AH$4,"A+",IF(R284&lt;'PlayerGrades+'!$AH$3,"S-",IF(R284&lt;'PlayerGrades+'!$AH$2,"S","S+"))))))))))))))))))))</f>
        <v>F</v>
      </c>
      <c r="T284" s="937">
        <f t="shared" si="9"/>
        <v>0.3586678053</v>
      </c>
      <c r="U284" s="937" t="str">
        <f>IF(T284&lt;'PlayerGrades+'!$AI$21,"F-",IF(T284&lt;'PlayerGrades+'!$AI$20,"F",IF(T284&lt;'PlayerGrades+'!$AI$19,"F+",IF(T284&lt;'PlayerGrades+'!$AI$18,"E-",IF(T284&lt;'PlayerGrades+'!$AI$17,"E",IF(T284&lt;'PlayerGrades+'!$AI$16,"E+",IF(T284&lt;'PlayerGrades+'!$AI$15,"D-",IF(T284&lt;'PlayerGrades+'!$AI$14,"D",IF(T284&lt;'PlayerGrades+'!$AI$13,"D+",IF(T284&lt;'PlayerGrades+'!$AI$12,"C-",IF(T284&lt;'PlayerGrades+'!$AI$11,"C",IF(T284&lt;'PlayerGrades+'!$AI$10,"C+",IF(T284&lt;'PlayerGrades+'!$AI$9,"B-",IF(T284&lt;'PlayerGrades+'!$AI$8,"B",IF(T284&lt;'PlayerGrades+'!$AI$7,"B+",IF(T284&lt;'PlayerGrades+'!$AI$6,"A-",IF(T284&lt;'PlayerGrades+'!$AI$5,"A",IF(T284&lt;'PlayerGrades+'!$AI$4,"A+",IF(T284&lt;'PlayerGrades+'!$AI$3,"S-",IF(T284&lt;'PlayerGrades+'!$AI$2,"S","S+"))))))))))))))))))))</f>
        <v>F-</v>
      </c>
      <c r="V284" s="941">
        <v>1.0</v>
      </c>
      <c r="W284" s="941">
        <v>1.0</v>
      </c>
      <c r="X284" s="941">
        <v>0.0</v>
      </c>
      <c r="Y284" s="941">
        <v>0.0</v>
      </c>
      <c r="Z284" s="941">
        <v>1.0</v>
      </c>
      <c r="AA284" s="941">
        <v>83.0</v>
      </c>
      <c r="AB284" s="941">
        <v>131.0</v>
      </c>
      <c r="AC284" s="941">
        <v>-48.0</v>
      </c>
      <c r="AD284" s="941">
        <v>5.0</v>
      </c>
      <c r="AE284" s="941">
        <v>4.0</v>
      </c>
      <c r="AF284" s="941">
        <v>3.0</v>
      </c>
      <c r="AG284" s="941">
        <v>1824.0</v>
      </c>
      <c r="AH284" s="941">
        <v>2342.0</v>
      </c>
      <c r="AI284" s="941">
        <v>13.0</v>
      </c>
      <c r="AJ284" s="941">
        <v>24.0</v>
      </c>
      <c r="AK284" s="941">
        <v>0.0</v>
      </c>
      <c r="AL284" s="941">
        <v>0.0</v>
      </c>
      <c r="AM284" s="941">
        <v>0.0</v>
      </c>
      <c r="AN284" s="941">
        <v>0.0</v>
      </c>
      <c r="AO284" s="941">
        <v>0.0</v>
      </c>
      <c r="AP284" s="941">
        <v>0.0</v>
      </c>
      <c r="AQ284" s="941">
        <v>0.0</v>
      </c>
      <c r="AR284" s="941">
        <v>11.0</v>
      </c>
      <c r="AS284" s="941">
        <v>1.0</v>
      </c>
      <c r="AT284" s="941">
        <v>0.0</v>
      </c>
      <c r="AU284" s="941">
        <v>0.0</v>
      </c>
      <c r="AV284" s="941">
        <v>0.0</v>
      </c>
      <c r="AW284" s="941">
        <v>0.0</v>
      </c>
      <c r="AX284" s="941">
        <v>0.0</v>
      </c>
      <c r="AY284" s="941">
        <v>0.0</v>
      </c>
      <c r="AZ284" s="941">
        <v>0.0</v>
      </c>
      <c r="BA284" s="941">
        <v>0.0</v>
      </c>
      <c r="BB284" s="941">
        <v>0.0</v>
      </c>
      <c r="BC284" s="941">
        <v>0.0</v>
      </c>
      <c r="BD284" s="941">
        <v>8.0</v>
      </c>
      <c r="BE284" s="941">
        <v>14.0</v>
      </c>
      <c r="BF284" s="941">
        <v>0.0</v>
      </c>
      <c r="BG284" s="942">
        <v>0.0</v>
      </c>
    </row>
    <row r="285">
      <c r="A285" s="935" t="s">
        <v>152</v>
      </c>
      <c r="B285" s="16" t="str">
        <f>IF(C285&lt;'PlayerGrades+'!$Y$44,"F-",IF(C285&lt;'PlayerGrades+'!$Y$43,"F",IF(C285&lt;'PlayerGrades+'!$Y$42,"F+",IF(C285&lt;'PlayerGrades+'!$Y$41,"E-",IF(C285&lt;'PlayerGrades+'!$Y$40,"E",IF(C285&lt;'PlayerGrades+'!$Y$39,"E+",IF(C285&lt;'PlayerGrades+'!$Y$38,"D-",IF(C285&lt;'PlayerGrades+'!$Y$37,"D",IF(C285&lt;'PlayerGrades+'!$Y$36,"D+",IF(C285&lt;'PlayerGrades+'!$Y$35,"C-",IF(C285&lt;'PlayerGrades+'!$Y$34,"C",IF(C285&lt;'PlayerGrades+'!$Y$33,"C+",IF(C285&lt;'PlayerGrades+'!$Y$32,"B-",IF(C285&lt;'PlayerGrades+'!$Y$31,"B",IF(C285&lt;'PlayerGrades+'!$Y$30,"B+",IF(C285&lt;'PlayerGrades+'!$Y$29,"A-",IF(C285&lt;'PlayerGrades+'!$Y$28,"A",IF(C285&lt;'PlayerGrades+'!$Y$27,"A+",IF(C285&lt;'PlayerGrades+'!$Y$26,"S-",IF(C285&lt;'PlayerGrades+'!$Y$25,"S","S+"))))))))))))))))))))</f>
        <v>F-</v>
      </c>
      <c r="C285" s="936">
        <f>('PlayerGrades+'!$Y$47*(VLOOKUP(E285, 'PlayerGrades+'!$X$3:$Y$23, 2, FALSE)))+('PlayerGrades+'!$Y$48*(VLOOKUP(G285, 'PlayerGrades+'!$X$3:$Y$23, 2, FALSE)))+('PlayerGrades+'!$Y$49*(VLOOKUP(I285, 'PlayerGrades+'!$X$3:$Y$23, 2, FALSE)))+('PlayerGrades+'!$Y$50*(VLOOKUP(K285, 'PlayerGrades+'!$X$3:$Y$23, 2, FALSE)))+('PlayerGrades+'!$Y$51*(VLOOKUP(M285, 'PlayerGrades+'!$X$3:$Y$23, 2, FALSE)))+('PlayerGrades+'!$Y$52*(VLOOKUP(O285, 'PlayerGrades+'!$X$3:$Y$23, 2, FALSE)))+('PlayerGrades+'!$Y$53*(VLOOKUP(Q285, 'PlayerGrades+'!$X$3:$Y$23, 2, FALSE)))+('PlayerGrades+'!$Y$54*(VLOOKUP(S285, 'PlayerGrades+'!$X$3:$Y$23, 2, FALSE)))+('PlayerGrades+'!$Y$55*(VLOOKUP(U285, 'PlayerGrades+'!$X$3:$Y$23, 2, FALSE)))</f>
        <v>6.1</v>
      </c>
      <c r="D285" s="937">
        <f t="shared" si="1"/>
        <v>0</v>
      </c>
      <c r="E285" s="937" t="str">
        <f>IF(D285&lt;'PlayerGrades+'!$AA$21,"F-",IF(D285&lt;'PlayerGrades+'!$AA$20,"F",IF(D285&lt;'PlayerGrades+'!$AA$19,"F+",IF(D285&lt;'PlayerGrades+'!$AA$18,"E-",IF(D285&lt;'PlayerGrades+'!$AA$17,"E",IF(D285&lt;'PlayerGrades+'!$AA$16,"E+",IF(D285&lt;'PlayerGrades+'!$AA$15,"D-",IF(D285&lt;'PlayerGrades+'!$AA$14,"D",IF(D285&lt;'PlayerGrades+'!$AA$13,"D+",IF(D285&lt;'PlayerGrades+'!$AA$12,"C-",IF(D285&lt;'PlayerGrades+'!$AA$11,"C",IF(D285&lt;'PlayerGrades+'!$AA$10,"C+",IF(D285&lt;'PlayerGrades+'!$AA$9,"B-",IF(D285&lt;'PlayerGrades+'!$AA$8,"B",IF(D285&lt;'PlayerGrades+'!$AA$7,"B+",IF(D285&lt;'PlayerGrades+'!$AA$6,"A-",IF(D285&lt;'PlayerGrades+'!$AA$5,"A",IF(D285&lt;'PlayerGrades+'!$AA$4,"A+",IF(D285&lt;'PlayerGrades+'!$AA$3,"S-",IF(D285&lt;'PlayerGrades+'!$AA$2,"S","S+"))))))))))))))))))))</f>
        <v>F-</v>
      </c>
      <c r="F285" s="937">
        <f t="shared" si="2"/>
        <v>-0.4355251921</v>
      </c>
      <c r="G285" s="937" t="str">
        <f>IF(F285&lt;'PlayerGrades+'!$AB$21,"F-",IF(F285&lt;'PlayerGrades+'!$AB$20,"F",IF(F285&lt;'PlayerGrades+'!$AB$19,"F+",IF(F285&lt;'PlayerGrades+'!$AB$18,"E-",IF(F285&lt;'PlayerGrades+'!$AB$17,"E",IF(F285&lt;'PlayerGrades+'!$AB$16,"E+",IF(F285&lt;'PlayerGrades+'!$AB$15,"D-",IF(F285&lt;'PlayerGrades+'!$AB$14,"D",IF(F285&lt;'PlayerGrades+'!$AB$13,"D+",IF(F285&lt;'PlayerGrades+'!$AB$12,"C-",IF(F285&lt;'PlayerGrades+'!$AB$11,"C",IF(F285&lt;'PlayerGrades+'!$AB$10,"C+",IF(F285&lt;'PlayerGrades+'!$AB$9,"B-",IF(F285&lt;'PlayerGrades+'!$AB$8,"B",IF(F285&lt;'PlayerGrades+'!$AB$7,"B+",IF(F285&lt;'PlayerGrades+'!$AB$6,"A-",IF(F285&lt;'PlayerGrades+'!$AB$5,"A",IF(F285&lt;'PlayerGrades+'!$AB$4,"A+",IF(F285&lt;'PlayerGrades+'!$AB$3,"S-",IF(F285&lt;'PlayerGrades+'!$AB$2,"S","S+"))))))))))))))))))))</f>
        <v>D</v>
      </c>
      <c r="H285" s="937">
        <f t="shared" si="3"/>
        <v>0.0512382579</v>
      </c>
      <c r="I285" s="937" t="str">
        <f>IF(H285&lt;'PlayerGrades+'!$AC$21,"F-",IF(H285&lt;'PlayerGrades+'!$AC$20,"F",IF(H285&lt;'PlayerGrades+'!$AC$19,"F+",IF(H285&lt;'PlayerGrades+'!$AC$18,"E-",IF(H285&lt;'PlayerGrades+'!$AC$17,"E",IF(H285&lt;'PlayerGrades+'!$AC$16,"E+",IF(H285&lt;'PlayerGrades+'!$AC$15,"D-",IF(H285&lt;'PlayerGrades+'!$AC$14,"D",IF(H285&lt;'PlayerGrades+'!$AC$13,"D+",IF(H285&lt;'PlayerGrades+'!$AC$12,"C-",IF(H285&lt;'PlayerGrades+'!$AC$11,"C",IF(H285&lt;'PlayerGrades+'!$AC$10,"C+",IF(H285&lt;'PlayerGrades+'!$AC$9,"B-",IF(H285&lt;'PlayerGrades+'!$AC$8,"B",IF(H285&lt;'PlayerGrades+'!$AC$7,"B+",IF(H285&lt;'PlayerGrades+'!$AC$6,"A-",IF(H285&lt;'PlayerGrades+'!$AC$5,"A",IF(H285&lt;'PlayerGrades+'!$AC$4,"A+",IF(H285&lt;'PlayerGrades+'!$AC$3,"S-",IF(H285&lt;'PlayerGrades+'!$AC$2,"S","S+"))))))))))))))))))))</f>
        <v>F</v>
      </c>
      <c r="J285" s="937">
        <f t="shared" si="4"/>
        <v>0</v>
      </c>
      <c r="K285" s="937" t="str">
        <f>IF(J285&lt;'PlayerGrades+'!$AD$21,"F-",IF(J285&lt;'PlayerGrades+'!$AD$20,"F",IF(J285&lt;'PlayerGrades+'!$AD$19,"F+",IF(J285&lt;'PlayerGrades+'!$AD$18,"E-",IF(J285&lt;'PlayerGrades+'!$AD$17,"E",IF(J285&lt;'PlayerGrades+'!$AD$16,"E+",IF(J285&lt;'PlayerGrades+'!$AD$15,"D-",IF(J285&lt;'PlayerGrades+'!$AD$14,"D",IF(J285&lt;'PlayerGrades+'!$AD$13,"D+",IF(J285&lt;'PlayerGrades+'!$AD$12,"C-",IF(J285&lt;'PlayerGrades+'!$AD$11,"C",IF(J285&lt;'PlayerGrades+'!$AD$10,"C+",IF(J285&lt;'PlayerGrades+'!$AD$9,"B-",IF(J285&lt;'PlayerGrades+'!$AD$8,"B",IF(J285&lt;'PlayerGrades+'!$AD$7,"B+",IF(J285&lt;'PlayerGrades+'!$AD$6,"A-",IF(J285&lt;'PlayerGrades+'!$AD$5,"A",IF(J285&lt;'PlayerGrades+'!$AD$4,"A+",IF(J285&lt;'PlayerGrades+'!$AD$3,"S-",IF(J285&lt;'PlayerGrades+'!$AD$2,"S","S+"))))))))))))))))))))</f>
        <v>F-</v>
      </c>
      <c r="L285" s="677">
        <f t="shared" si="5"/>
        <v>0.2818104184</v>
      </c>
      <c r="M285" s="938" t="str">
        <f>IF(L285&lt;'PlayerGrades+'!$AE$21,"F-",IF(L285&lt;'PlayerGrades+'!$AE$20,"F",IF(L285&lt;'PlayerGrades+'!$AE$19,"F+",IF(L285&lt;'PlayerGrades+'!$AE$18,"E-",IF(L285&lt;'PlayerGrades+'!$AE$17,"E",IF(L285&lt;'PlayerGrades+'!$AE$16,"E+",IF(L285&lt;'PlayerGrades+'!$AE$15,"D-",IF(L285&lt;'PlayerGrades+'!$AE$14,"D",IF(L285&lt;'PlayerGrades+'!$AE$13,"D+",IF(L285&lt;'PlayerGrades+'!$AE$12,"C-",IF(L285&lt;'PlayerGrades+'!$AE$11,"C",IF(L285&lt;'PlayerGrades+'!$AE$10,"C+",IF(L285&lt;'PlayerGrades+'!$AE$9,"B-",IF(L285&lt;'PlayerGrades+'!$AE$8,"B",IF(L285&lt;'PlayerGrades+'!$AE$7,"B+",IF(L285&lt;'PlayerGrades+'!$AE$6,"A-",IF(L285&lt;'PlayerGrades+'!$AE$5,"A",IF(L285&lt;'PlayerGrades+'!$AE$4,"A+",IF(L285&lt;'PlayerGrades+'!$AE$3,"S-",IF(L285&lt;'PlayerGrades+'!$AE$2,"S","S+"))))))))))))))))))))</f>
        <v>F+</v>
      </c>
      <c r="N285" s="937">
        <f t="shared" si="6"/>
        <v>0</v>
      </c>
      <c r="O285" s="937" t="str">
        <f>IF(N285&lt;'PlayerGrades+'!$AF$21,"F-",IF(N285&lt;'PlayerGrades+'!$AF$20,"F",IF(N285&lt;'PlayerGrades+'!$AF$19,"F+",IF(N285&lt;'PlayerGrades+'!$AF$18,"E-",IF(N285&lt;'PlayerGrades+'!$AF$17,"E",IF(N285&lt;'PlayerGrades+'!$AF$16,"E+",IF(N285&lt;'PlayerGrades+'!$AF$15,"D-",IF(N285&lt;'PlayerGrades+'!$AF$14,"D",IF(N285&lt;'PlayerGrades+'!$AF$13,"D+",IF(N285&lt;'PlayerGrades+'!$AF$12,"C-",IF(N285&lt;'PlayerGrades+'!$AF$11,"C",IF(N285&lt;'PlayerGrades+'!$AF$10,"C+",IF(N285&lt;'PlayerGrades+'!$AF$9,"B-",IF(N285&lt;'PlayerGrades+'!$AF$8,"B",IF(N285&lt;'PlayerGrades+'!$AF$7,"B+",IF(N285&lt;'PlayerGrades+'!$AF$6,"A-",IF(N285&lt;'PlayerGrades+'!$AF$5,"A",IF(N285&lt;'PlayerGrades+'!$AF$4,"A+",IF(N285&lt;'PlayerGrades+'!$AF$3,"S-",IF(N285&lt;'PlayerGrades+'!$AF$2,"S","S+"))))))))))))))))))))</f>
        <v>F-</v>
      </c>
      <c r="P285" s="937">
        <f t="shared" si="7"/>
        <v>0</v>
      </c>
      <c r="Q285" s="937" t="str">
        <f>IF(P285&lt;'PlayerGrades+'!$AG$21,"F-",IF(P285&lt;'PlayerGrades+'!$AG$20,"F",IF(P285&lt;'PlayerGrades+'!$AG$19,"F+",IF(P285&lt;'PlayerGrades+'!$AG$18,"E-",IF(P285&lt;'PlayerGrades+'!$AG$17,"E",IF(P285&lt;'PlayerGrades+'!$AG$16,"E+",IF(P285&lt;'PlayerGrades+'!$AG$15,"D-",IF(P285&lt;'PlayerGrades+'!$AG$14,"D",IF(P285&lt;'PlayerGrades+'!$AG$13,"D+",IF(P285&lt;'PlayerGrades+'!$AG$12,"C-",IF(P285&lt;'PlayerGrades+'!$AG$11,"C",IF(P285&lt;'PlayerGrades+'!$AG$10,"C+",IF(P285&lt;'PlayerGrades+'!$AG$9,"B-",IF(P285&lt;'PlayerGrades+'!$AG$8,"B",IF(P285&lt;'PlayerGrades+'!$AG$7,"B+",IF(P285&lt;'PlayerGrades+'!$AG$6,"A-",IF(P285&lt;'PlayerGrades+'!$AG$5,"A",IF(P285&lt;'PlayerGrades+'!$AG$4,"A+",IF(P285&lt;'PlayerGrades+'!$AG$3,"S-",IF(P285&lt;'PlayerGrades+'!$AG$2,"S","S+"))))))))))))))))))))</f>
        <v>F</v>
      </c>
      <c r="R285" s="937">
        <f t="shared" si="8"/>
        <v>0.3330486763</v>
      </c>
      <c r="S285" s="937" t="str">
        <f>IF(R285&lt;'PlayerGrades+'!$AH$21,"F-",IF(R285&lt;'PlayerGrades+'!$AH$20,"F",IF(R285&lt;'PlayerGrades+'!$AH$19,"F+",IF(R285&lt;'PlayerGrades+'!$AH$18,"E-",IF(R285&lt;'PlayerGrades+'!$AH$17,"E",IF(R285&lt;'PlayerGrades+'!$AH$16,"E+",IF(R285&lt;'PlayerGrades+'!$AH$15,"D-",IF(R285&lt;'PlayerGrades+'!$AH$14,"D",IF(R285&lt;'PlayerGrades+'!$AH$13,"D+",IF(R285&lt;'PlayerGrades+'!$AH$12,"C-",IF(R285&lt;'PlayerGrades+'!$AH$11,"C",IF(R285&lt;'PlayerGrades+'!$AH$10,"C+",IF(R285&lt;'PlayerGrades+'!$AH$9,"B-",IF(R285&lt;'PlayerGrades+'!$AH$8,"B",IF(R285&lt;'PlayerGrades+'!$AH$7,"B+",IF(R285&lt;'PlayerGrades+'!$AH$6,"A-",IF(R285&lt;'PlayerGrades+'!$AH$5,"A",IF(R285&lt;'PlayerGrades+'!$AH$4,"A+",IF(R285&lt;'PlayerGrades+'!$AH$3,"S-",IF(R285&lt;'PlayerGrades+'!$AH$2,"S","S+"))))))))))))))))))))</f>
        <v>F</v>
      </c>
      <c r="T285" s="937">
        <f t="shared" si="9"/>
        <v>0.3330486763</v>
      </c>
      <c r="U285" s="937" t="str">
        <f>IF(T285&lt;'PlayerGrades+'!$AI$21,"F-",IF(T285&lt;'PlayerGrades+'!$AI$20,"F",IF(T285&lt;'PlayerGrades+'!$AI$19,"F+",IF(T285&lt;'PlayerGrades+'!$AI$18,"E-",IF(T285&lt;'PlayerGrades+'!$AI$17,"E",IF(T285&lt;'PlayerGrades+'!$AI$16,"E+",IF(T285&lt;'PlayerGrades+'!$AI$15,"D-",IF(T285&lt;'PlayerGrades+'!$AI$14,"D",IF(T285&lt;'PlayerGrades+'!$AI$13,"D+",IF(T285&lt;'PlayerGrades+'!$AI$12,"C-",IF(T285&lt;'PlayerGrades+'!$AI$11,"C",IF(T285&lt;'PlayerGrades+'!$AI$10,"C+",IF(T285&lt;'PlayerGrades+'!$AI$9,"B-",IF(T285&lt;'PlayerGrades+'!$AI$8,"B",IF(T285&lt;'PlayerGrades+'!$AI$7,"B+",IF(T285&lt;'PlayerGrades+'!$AI$6,"A-",IF(T285&lt;'PlayerGrades+'!$AI$5,"A",IF(T285&lt;'PlayerGrades+'!$AI$4,"A+",IF(T285&lt;'PlayerGrades+'!$AI$3,"S-",IF(T285&lt;'PlayerGrades+'!$AI$2,"S","S+"))))))))))))))))))))</f>
        <v>F-</v>
      </c>
      <c r="V285" s="941">
        <v>1.0</v>
      </c>
      <c r="W285" s="941">
        <v>1.0</v>
      </c>
      <c r="X285" s="941">
        <v>0.0</v>
      </c>
      <c r="Y285" s="941">
        <v>0.0</v>
      </c>
      <c r="Z285" s="941">
        <v>0.0</v>
      </c>
      <c r="AA285" s="941">
        <v>92.0</v>
      </c>
      <c r="AB285" s="941">
        <v>109.0</v>
      </c>
      <c r="AC285" s="941">
        <v>-17.0</v>
      </c>
      <c r="AD285" s="941">
        <v>4.0</v>
      </c>
      <c r="AE285" s="941">
        <v>3.0</v>
      </c>
      <c r="AF285" s="941">
        <v>4.0</v>
      </c>
      <c r="AG285" s="941">
        <v>1889.0</v>
      </c>
      <c r="AH285" s="941">
        <v>2342.0</v>
      </c>
      <c r="AI285" s="941">
        <v>17.0</v>
      </c>
      <c r="AJ285" s="941">
        <v>4.0</v>
      </c>
      <c r="AK285" s="941">
        <v>0.0</v>
      </c>
      <c r="AL285" s="941">
        <v>0.0</v>
      </c>
      <c r="AM285" s="941">
        <v>0.0</v>
      </c>
      <c r="AN285" s="941">
        <v>0.0</v>
      </c>
      <c r="AO285" s="941">
        <v>0.0</v>
      </c>
      <c r="AP285" s="941">
        <v>0.0</v>
      </c>
      <c r="AQ285" s="941">
        <v>0.0</v>
      </c>
      <c r="AR285" s="941">
        <v>11.0</v>
      </c>
      <c r="AS285" s="941">
        <v>0.0</v>
      </c>
      <c r="AT285" s="941">
        <v>0.0</v>
      </c>
      <c r="AU285" s="941">
        <v>0.0</v>
      </c>
      <c r="AV285" s="941">
        <v>0.0</v>
      </c>
      <c r="AW285" s="941">
        <v>0.0</v>
      </c>
      <c r="AX285" s="941">
        <v>0.0</v>
      </c>
      <c r="AY285" s="941">
        <v>0.0</v>
      </c>
      <c r="AZ285" s="941">
        <v>0.0</v>
      </c>
      <c r="BA285" s="941">
        <v>0.0</v>
      </c>
      <c r="BB285" s="941">
        <v>2.0</v>
      </c>
      <c r="BC285" s="941">
        <v>0.0</v>
      </c>
      <c r="BD285" s="941">
        <v>9.0</v>
      </c>
      <c r="BE285" s="941">
        <v>13.0</v>
      </c>
      <c r="BF285" s="941">
        <v>0.0</v>
      </c>
      <c r="BG285" s="942">
        <v>0.0</v>
      </c>
    </row>
    <row r="286">
      <c r="A286" s="935" t="s">
        <v>420</v>
      </c>
      <c r="B286" s="16" t="str">
        <f>IF(C286&lt;'PlayerGrades+'!$Y$44,"F-",IF(C286&lt;'PlayerGrades+'!$Y$43,"F",IF(C286&lt;'PlayerGrades+'!$Y$42,"F+",IF(C286&lt;'PlayerGrades+'!$Y$41,"E-",IF(C286&lt;'PlayerGrades+'!$Y$40,"E",IF(C286&lt;'PlayerGrades+'!$Y$39,"E+",IF(C286&lt;'PlayerGrades+'!$Y$38,"D-",IF(C286&lt;'PlayerGrades+'!$Y$37,"D",IF(C286&lt;'PlayerGrades+'!$Y$36,"D+",IF(C286&lt;'PlayerGrades+'!$Y$35,"C-",IF(C286&lt;'PlayerGrades+'!$Y$34,"C",IF(C286&lt;'PlayerGrades+'!$Y$33,"C+",IF(C286&lt;'PlayerGrades+'!$Y$32,"B-",IF(C286&lt;'PlayerGrades+'!$Y$31,"B",IF(C286&lt;'PlayerGrades+'!$Y$30,"B+",IF(C286&lt;'PlayerGrades+'!$Y$29,"A-",IF(C286&lt;'PlayerGrades+'!$Y$28,"A",IF(C286&lt;'PlayerGrades+'!$Y$27,"A+",IF(C286&lt;'PlayerGrades+'!$Y$26,"S-",IF(C286&lt;'PlayerGrades+'!$Y$25,"S","S+"))))))))))))))))))))</f>
        <v>E</v>
      </c>
      <c r="C286" s="936">
        <f>('PlayerGrades+'!$Y$47*(VLOOKUP(E286, 'PlayerGrades+'!$X$3:$Y$23, 2, FALSE)))+('PlayerGrades+'!$Y$48*(VLOOKUP(G286, 'PlayerGrades+'!$X$3:$Y$23, 2, FALSE)))+('PlayerGrades+'!$Y$49*(VLOOKUP(I286, 'PlayerGrades+'!$X$3:$Y$23, 2, FALSE)))+('PlayerGrades+'!$Y$50*(VLOOKUP(K286, 'PlayerGrades+'!$X$3:$Y$23, 2, FALSE)))+('PlayerGrades+'!$Y$51*(VLOOKUP(M286, 'PlayerGrades+'!$X$3:$Y$23, 2, FALSE)))+('PlayerGrades+'!$Y$52*(VLOOKUP(O286, 'PlayerGrades+'!$X$3:$Y$23, 2, FALSE)))+('PlayerGrades+'!$Y$53*(VLOOKUP(Q286, 'PlayerGrades+'!$X$3:$Y$23, 2, FALSE)))+('PlayerGrades+'!$Y$54*(VLOOKUP(S286, 'PlayerGrades+'!$X$3:$Y$23, 2, FALSE)))+('PlayerGrades+'!$Y$55*(VLOOKUP(U286, 'PlayerGrades+'!$X$3:$Y$23, 2, FALSE)))</f>
        <v>13.3</v>
      </c>
      <c r="D286" s="937">
        <f t="shared" si="1"/>
        <v>0.5892399658</v>
      </c>
      <c r="E286" s="937" t="str">
        <f>IF(D286&lt;'PlayerGrades+'!$AA$21,"F-",IF(D286&lt;'PlayerGrades+'!$AA$20,"F",IF(D286&lt;'PlayerGrades+'!$AA$19,"F+",IF(D286&lt;'PlayerGrades+'!$AA$18,"E-",IF(D286&lt;'PlayerGrades+'!$AA$17,"E",IF(D286&lt;'PlayerGrades+'!$AA$16,"E+",IF(D286&lt;'PlayerGrades+'!$AA$15,"D-",IF(D286&lt;'PlayerGrades+'!$AA$14,"D",IF(D286&lt;'PlayerGrades+'!$AA$13,"D+",IF(D286&lt;'PlayerGrades+'!$AA$12,"C-",IF(D286&lt;'PlayerGrades+'!$AA$11,"C",IF(D286&lt;'PlayerGrades+'!$AA$10,"C+",IF(D286&lt;'PlayerGrades+'!$AA$9,"B-",IF(D286&lt;'PlayerGrades+'!$AA$8,"B",IF(D286&lt;'PlayerGrades+'!$AA$7,"B+",IF(D286&lt;'PlayerGrades+'!$AA$6,"A-",IF(D286&lt;'PlayerGrades+'!$AA$5,"A",IF(D286&lt;'PlayerGrades+'!$AA$4,"A+",IF(D286&lt;'PlayerGrades+'!$AA$3,"S-",IF(D286&lt;'PlayerGrades+'!$AA$2,"S","S+"))))))))))))))))))))</f>
        <v>S-</v>
      </c>
      <c r="F286" s="937">
        <f t="shared" si="2"/>
        <v>0.1793339026</v>
      </c>
      <c r="G286" s="937" t="str">
        <f>IF(F286&lt;'PlayerGrades+'!$AB$21,"F-",IF(F286&lt;'PlayerGrades+'!$AB$20,"F",IF(F286&lt;'PlayerGrades+'!$AB$19,"F+",IF(F286&lt;'PlayerGrades+'!$AB$18,"E-",IF(F286&lt;'PlayerGrades+'!$AB$17,"E",IF(F286&lt;'PlayerGrades+'!$AB$16,"E+",IF(F286&lt;'PlayerGrades+'!$AB$15,"D-",IF(F286&lt;'PlayerGrades+'!$AB$14,"D",IF(F286&lt;'PlayerGrades+'!$AB$13,"D+",IF(F286&lt;'PlayerGrades+'!$AB$12,"C-",IF(F286&lt;'PlayerGrades+'!$AB$11,"C",IF(F286&lt;'PlayerGrades+'!$AB$10,"C+",IF(F286&lt;'PlayerGrades+'!$AB$9,"B-",IF(F286&lt;'PlayerGrades+'!$AB$8,"B",IF(F286&lt;'PlayerGrades+'!$AB$7,"B+",IF(F286&lt;'PlayerGrades+'!$AB$6,"A-",IF(F286&lt;'PlayerGrades+'!$AB$5,"A",IF(F286&lt;'PlayerGrades+'!$AB$4,"A+",IF(F286&lt;'PlayerGrades+'!$AB$3,"S-",IF(F286&lt;'PlayerGrades+'!$AB$2,"S","S+"))))))))))))))))))))</f>
        <v>B+</v>
      </c>
      <c r="H286" s="937">
        <f t="shared" si="3"/>
        <v>0</v>
      </c>
      <c r="I286" s="937" t="str">
        <f>IF(H286&lt;'PlayerGrades+'!$AC$21,"F-",IF(H286&lt;'PlayerGrades+'!$AC$20,"F",IF(H286&lt;'PlayerGrades+'!$AC$19,"F+",IF(H286&lt;'PlayerGrades+'!$AC$18,"E-",IF(H286&lt;'PlayerGrades+'!$AC$17,"E",IF(H286&lt;'PlayerGrades+'!$AC$16,"E+",IF(H286&lt;'PlayerGrades+'!$AC$15,"D-",IF(H286&lt;'PlayerGrades+'!$AC$14,"D",IF(H286&lt;'PlayerGrades+'!$AC$13,"D+",IF(H286&lt;'PlayerGrades+'!$AC$12,"C-",IF(H286&lt;'PlayerGrades+'!$AC$11,"C",IF(H286&lt;'PlayerGrades+'!$AC$10,"C+",IF(H286&lt;'PlayerGrades+'!$AC$9,"B-",IF(H286&lt;'PlayerGrades+'!$AC$8,"B",IF(H286&lt;'PlayerGrades+'!$AC$7,"B+",IF(H286&lt;'PlayerGrades+'!$AC$6,"A-",IF(H286&lt;'PlayerGrades+'!$AC$5,"A",IF(H286&lt;'PlayerGrades+'!$AC$4,"A+",IF(H286&lt;'PlayerGrades+'!$AC$3,"S-",IF(H286&lt;'PlayerGrades+'!$AC$2,"S","S+"))))))))))))))))))))</f>
        <v>F-</v>
      </c>
      <c r="J286" s="937">
        <f t="shared" si="4"/>
        <v>0.02561912895</v>
      </c>
      <c r="K286" s="937" t="str">
        <f>IF(J286&lt;'PlayerGrades+'!$AD$21,"F-",IF(J286&lt;'PlayerGrades+'!$AD$20,"F",IF(J286&lt;'PlayerGrades+'!$AD$19,"F+",IF(J286&lt;'PlayerGrades+'!$AD$18,"E-",IF(J286&lt;'PlayerGrades+'!$AD$17,"E",IF(J286&lt;'PlayerGrades+'!$AD$16,"E+",IF(J286&lt;'PlayerGrades+'!$AD$15,"D-",IF(J286&lt;'PlayerGrades+'!$AD$14,"D",IF(J286&lt;'PlayerGrades+'!$AD$13,"D+",IF(J286&lt;'PlayerGrades+'!$AD$12,"C-",IF(J286&lt;'PlayerGrades+'!$AD$11,"C",IF(J286&lt;'PlayerGrades+'!$AD$10,"C+",IF(J286&lt;'PlayerGrades+'!$AD$9,"B-",IF(J286&lt;'PlayerGrades+'!$AD$8,"B",IF(J286&lt;'PlayerGrades+'!$AD$7,"B+",IF(J286&lt;'PlayerGrades+'!$AD$6,"A-",IF(J286&lt;'PlayerGrades+'!$AD$5,"A",IF(J286&lt;'PlayerGrades+'!$AD$4,"A+",IF(J286&lt;'PlayerGrades+'!$AD$3,"S-",IF(J286&lt;'PlayerGrades+'!$AD$2,"S","S+"))))))))))))))))))))</f>
        <v>D</v>
      </c>
      <c r="L286" s="677">
        <f t="shared" si="5"/>
        <v>0.1537147737</v>
      </c>
      <c r="M286" s="938" t="str">
        <f>IF(L286&lt;'PlayerGrades+'!$AE$21,"F-",IF(L286&lt;'PlayerGrades+'!$AE$20,"F",IF(L286&lt;'PlayerGrades+'!$AE$19,"F+",IF(L286&lt;'PlayerGrades+'!$AE$18,"E-",IF(L286&lt;'PlayerGrades+'!$AE$17,"E",IF(L286&lt;'PlayerGrades+'!$AE$16,"E+",IF(L286&lt;'PlayerGrades+'!$AE$15,"D-",IF(L286&lt;'PlayerGrades+'!$AE$14,"D",IF(L286&lt;'PlayerGrades+'!$AE$13,"D+",IF(L286&lt;'PlayerGrades+'!$AE$12,"C-",IF(L286&lt;'PlayerGrades+'!$AE$11,"C",IF(L286&lt;'PlayerGrades+'!$AE$10,"C+",IF(L286&lt;'PlayerGrades+'!$AE$9,"B-",IF(L286&lt;'PlayerGrades+'!$AE$8,"B",IF(L286&lt;'PlayerGrades+'!$AE$7,"B+",IF(L286&lt;'PlayerGrades+'!$AE$6,"A-",IF(L286&lt;'PlayerGrades+'!$AE$5,"A",IF(L286&lt;'PlayerGrades+'!$AE$4,"A+",IF(L286&lt;'PlayerGrades+'!$AE$3,"S-",IF(L286&lt;'PlayerGrades+'!$AE$2,"S","S+"))))))))))))))))))))</f>
        <v>F-</v>
      </c>
      <c r="N286" s="937">
        <f t="shared" si="6"/>
        <v>0</v>
      </c>
      <c r="O286" s="937" t="str">
        <f>IF(N286&lt;'PlayerGrades+'!$AF$21,"F-",IF(N286&lt;'PlayerGrades+'!$AF$20,"F",IF(N286&lt;'PlayerGrades+'!$AF$19,"F+",IF(N286&lt;'PlayerGrades+'!$AF$18,"E-",IF(N286&lt;'PlayerGrades+'!$AF$17,"E",IF(N286&lt;'PlayerGrades+'!$AF$16,"E+",IF(N286&lt;'PlayerGrades+'!$AF$15,"D-",IF(N286&lt;'PlayerGrades+'!$AF$14,"D",IF(N286&lt;'PlayerGrades+'!$AF$13,"D+",IF(N286&lt;'PlayerGrades+'!$AF$12,"C-",IF(N286&lt;'PlayerGrades+'!$AF$11,"C",IF(N286&lt;'PlayerGrades+'!$AF$10,"C+",IF(N286&lt;'PlayerGrades+'!$AF$9,"B-",IF(N286&lt;'PlayerGrades+'!$AF$8,"B",IF(N286&lt;'PlayerGrades+'!$AF$7,"B+",IF(N286&lt;'PlayerGrades+'!$AF$6,"A-",IF(N286&lt;'PlayerGrades+'!$AF$5,"A",IF(N286&lt;'PlayerGrades+'!$AF$4,"A+",IF(N286&lt;'PlayerGrades+'!$AF$3,"S-",IF(N286&lt;'PlayerGrades+'!$AF$2,"S","S+"))))))))))))))))))))</f>
        <v>F-</v>
      </c>
      <c r="P286" s="937">
        <f t="shared" si="7"/>
        <v>0</v>
      </c>
      <c r="Q286" s="937" t="str">
        <f>IF(P286&lt;'PlayerGrades+'!$AG$21,"F-",IF(P286&lt;'PlayerGrades+'!$AG$20,"F",IF(P286&lt;'PlayerGrades+'!$AG$19,"F+",IF(P286&lt;'PlayerGrades+'!$AG$18,"E-",IF(P286&lt;'PlayerGrades+'!$AG$17,"E",IF(P286&lt;'PlayerGrades+'!$AG$16,"E+",IF(P286&lt;'PlayerGrades+'!$AG$15,"D-",IF(P286&lt;'PlayerGrades+'!$AG$14,"D",IF(P286&lt;'PlayerGrades+'!$AG$13,"D+",IF(P286&lt;'PlayerGrades+'!$AG$12,"C-",IF(P286&lt;'PlayerGrades+'!$AG$11,"C",IF(P286&lt;'PlayerGrades+'!$AG$10,"C+",IF(P286&lt;'PlayerGrades+'!$AG$9,"B-",IF(P286&lt;'PlayerGrades+'!$AG$8,"B",IF(P286&lt;'PlayerGrades+'!$AG$7,"B+",IF(P286&lt;'PlayerGrades+'!$AG$6,"A-",IF(P286&lt;'PlayerGrades+'!$AG$5,"A",IF(P286&lt;'PlayerGrades+'!$AG$4,"A+",IF(P286&lt;'PlayerGrades+'!$AG$3,"S-",IF(P286&lt;'PlayerGrades+'!$AG$2,"S","S+"))))))))))))))))))))</f>
        <v>F</v>
      </c>
      <c r="R286" s="937">
        <f t="shared" si="8"/>
        <v>0.2818104184</v>
      </c>
      <c r="S286" s="937" t="str">
        <f>IF(R286&lt;'PlayerGrades+'!$AH$21,"F-",IF(R286&lt;'PlayerGrades+'!$AH$20,"F",IF(R286&lt;'PlayerGrades+'!$AH$19,"F+",IF(R286&lt;'PlayerGrades+'!$AH$18,"E-",IF(R286&lt;'PlayerGrades+'!$AH$17,"E",IF(R286&lt;'PlayerGrades+'!$AH$16,"E+",IF(R286&lt;'PlayerGrades+'!$AH$15,"D-",IF(R286&lt;'PlayerGrades+'!$AH$14,"D",IF(R286&lt;'PlayerGrades+'!$AH$13,"D+",IF(R286&lt;'PlayerGrades+'!$AH$12,"C-",IF(R286&lt;'PlayerGrades+'!$AH$11,"C",IF(R286&lt;'PlayerGrades+'!$AH$10,"C+",IF(R286&lt;'PlayerGrades+'!$AH$9,"B-",IF(R286&lt;'PlayerGrades+'!$AH$8,"B",IF(R286&lt;'PlayerGrades+'!$AH$7,"B+",IF(R286&lt;'PlayerGrades+'!$AH$6,"A-",IF(R286&lt;'PlayerGrades+'!$AH$5,"A",IF(R286&lt;'PlayerGrades+'!$AH$4,"A+",IF(R286&lt;'PlayerGrades+'!$AH$3,"S-",IF(R286&lt;'PlayerGrades+'!$AH$2,"S","S+"))))))))))))))))))))</f>
        <v>F-</v>
      </c>
      <c r="T286" s="937">
        <f t="shared" si="9"/>
        <v>3.102476516</v>
      </c>
      <c r="U286" s="937" t="str">
        <f>IF(T286&lt;'PlayerGrades+'!$AI$21,"F-",IF(T286&lt;'PlayerGrades+'!$AI$20,"F",IF(T286&lt;'PlayerGrades+'!$AI$19,"F+",IF(T286&lt;'PlayerGrades+'!$AI$18,"E-",IF(T286&lt;'PlayerGrades+'!$AI$17,"E",IF(T286&lt;'PlayerGrades+'!$AI$16,"E+",IF(T286&lt;'PlayerGrades+'!$AI$15,"D-",IF(T286&lt;'PlayerGrades+'!$AI$14,"D",IF(T286&lt;'PlayerGrades+'!$AI$13,"D+",IF(T286&lt;'PlayerGrades+'!$AI$12,"C-",IF(T286&lt;'PlayerGrades+'!$AI$11,"C",IF(T286&lt;'PlayerGrades+'!$AI$10,"C+",IF(T286&lt;'PlayerGrades+'!$AI$9,"B-",IF(T286&lt;'PlayerGrades+'!$AI$8,"B",IF(T286&lt;'PlayerGrades+'!$AI$7,"B+",IF(T286&lt;'PlayerGrades+'!$AI$6,"A-",IF(T286&lt;'PlayerGrades+'!$AI$5,"A",IF(T286&lt;'PlayerGrades+'!$AI$4,"A+",IF(T286&lt;'PlayerGrades+'!$AI$3,"S-",IF(T286&lt;'PlayerGrades+'!$AI$2,"S","S+"))))))))))))))))))))</f>
        <v>S+</v>
      </c>
      <c r="V286" s="941">
        <v>1.0</v>
      </c>
      <c r="W286" s="941">
        <v>0.0</v>
      </c>
      <c r="X286" s="941">
        <v>1.0</v>
      </c>
      <c r="Y286" s="941">
        <v>4.0</v>
      </c>
      <c r="Z286" s="941">
        <v>19.0</v>
      </c>
      <c r="AA286" s="941">
        <v>45.0</v>
      </c>
      <c r="AB286" s="941">
        <v>38.0</v>
      </c>
      <c r="AC286" s="941">
        <v>7.0</v>
      </c>
      <c r="AD286" s="941">
        <v>1.0</v>
      </c>
      <c r="AE286" s="941">
        <v>13.0</v>
      </c>
      <c r="AF286" s="941">
        <v>3.0</v>
      </c>
      <c r="AG286" s="941">
        <v>2100.0</v>
      </c>
      <c r="AH286" s="941">
        <v>2342.0</v>
      </c>
      <c r="AI286" s="941">
        <v>55.0</v>
      </c>
      <c r="AJ286" s="941">
        <v>1701.0</v>
      </c>
      <c r="AK286" s="941">
        <v>0.0</v>
      </c>
      <c r="AL286" s="941">
        <v>1.0</v>
      </c>
      <c r="AM286" s="941">
        <v>1.0</v>
      </c>
      <c r="AN286" s="941">
        <v>0.0</v>
      </c>
      <c r="AO286" s="941">
        <v>0.0</v>
      </c>
      <c r="AP286" s="941">
        <v>0.0</v>
      </c>
      <c r="AQ286" s="941">
        <v>0.0</v>
      </c>
      <c r="AR286" s="941">
        <v>6.0</v>
      </c>
      <c r="AS286" s="941">
        <v>0.0</v>
      </c>
      <c r="AT286" s="941">
        <v>0.0</v>
      </c>
      <c r="AU286" s="941">
        <v>0.0</v>
      </c>
      <c r="AV286" s="941">
        <v>0.0</v>
      </c>
      <c r="AW286" s="941">
        <v>0.0</v>
      </c>
      <c r="AX286" s="941">
        <v>0.0</v>
      </c>
      <c r="AY286" s="941">
        <v>0.0</v>
      </c>
      <c r="AZ286" s="941">
        <v>0.0</v>
      </c>
      <c r="BA286" s="941">
        <v>0.0</v>
      </c>
      <c r="BB286" s="941">
        <v>0.0</v>
      </c>
      <c r="BC286" s="941">
        <v>0.0</v>
      </c>
      <c r="BD286" s="941">
        <v>10.0</v>
      </c>
      <c r="BE286" s="941">
        <v>4.0</v>
      </c>
      <c r="BF286" s="941">
        <v>3.0</v>
      </c>
      <c r="BG286" s="942">
        <v>1.0</v>
      </c>
    </row>
    <row r="287">
      <c r="A287" s="935" t="s">
        <v>137</v>
      </c>
      <c r="B287" s="16" t="str">
        <f>IF(C287&lt;'PlayerGrades+'!$Y$44,"F-",IF(C287&lt;'PlayerGrades+'!$Y$43,"F",IF(C287&lt;'PlayerGrades+'!$Y$42,"F+",IF(C287&lt;'PlayerGrades+'!$Y$41,"E-",IF(C287&lt;'PlayerGrades+'!$Y$40,"E",IF(C287&lt;'PlayerGrades+'!$Y$39,"E+",IF(C287&lt;'PlayerGrades+'!$Y$38,"D-",IF(C287&lt;'PlayerGrades+'!$Y$37,"D",IF(C287&lt;'PlayerGrades+'!$Y$36,"D+",IF(C287&lt;'PlayerGrades+'!$Y$35,"C-",IF(C287&lt;'PlayerGrades+'!$Y$34,"C",IF(C287&lt;'PlayerGrades+'!$Y$33,"C+",IF(C287&lt;'PlayerGrades+'!$Y$32,"B-",IF(C287&lt;'PlayerGrades+'!$Y$31,"B",IF(C287&lt;'PlayerGrades+'!$Y$30,"B+",IF(C287&lt;'PlayerGrades+'!$Y$29,"A-",IF(C287&lt;'PlayerGrades+'!$Y$28,"A",IF(C287&lt;'PlayerGrades+'!$Y$27,"A+",IF(C287&lt;'PlayerGrades+'!$Y$26,"S-",IF(C287&lt;'PlayerGrades+'!$Y$25,"S","S+"))))))))))))))))))))</f>
        <v>D+</v>
      </c>
      <c r="C287" s="936">
        <f>('PlayerGrades+'!$Y$47*(VLOOKUP(E287, 'PlayerGrades+'!$X$3:$Y$23, 2, FALSE)))+('PlayerGrades+'!$Y$48*(VLOOKUP(G287, 'PlayerGrades+'!$X$3:$Y$23, 2, FALSE)))+('PlayerGrades+'!$Y$49*(VLOOKUP(I287, 'PlayerGrades+'!$X$3:$Y$23, 2, FALSE)))+('PlayerGrades+'!$Y$50*(VLOOKUP(K287, 'PlayerGrades+'!$X$3:$Y$23, 2, FALSE)))+('PlayerGrades+'!$Y$51*(VLOOKUP(M287, 'PlayerGrades+'!$X$3:$Y$23, 2, FALSE)))+('PlayerGrades+'!$Y$52*(VLOOKUP(O287, 'PlayerGrades+'!$X$3:$Y$23, 2, FALSE)))+('PlayerGrades+'!$Y$53*(VLOOKUP(Q287, 'PlayerGrades+'!$X$3:$Y$23, 2, FALSE)))+('PlayerGrades+'!$Y$54*(VLOOKUP(S287, 'PlayerGrades+'!$X$3:$Y$23, 2, FALSE)))+('PlayerGrades+'!$Y$55*(VLOOKUP(U287, 'PlayerGrades+'!$X$3:$Y$23, 2, FALSE)))</f>
        <v>17.45</v>
      </c>
      <c r="D287" s="937">
        <f t="shared" si="1"/>
        <v>0</v>
      </c>
      <c r="E287" s="937" t="str">
        <f>IF(D287&lt;'PlayerGrades+'!$AA$21,"F-",IF(D287&lt;'PlayerGrades+'!$AA$20,"F",IF(D287&lt;'PlayerGrades+'!$AA$19,"F+",IF(D287&lt;'PlayerGrades+'!$AA$18,"E-",IF(D287&lt;'PlayerGrades+'!$AA$17,"E",IF(D287&lt;'PlayerGrades+'!$AA$16,"E+",IF(D287&lt;'PlayerGrades+'!$AA$15,"D-",IF(D287&lt;'PlayerGrades+'!$AA$14,"D",IF(D287&lt;'PlayerGrades+'!$AA$13,"D+",IF(D287&lt;'PlayerGrades+'!$AA$12,"C-",IF(D287&lt;'PlayerGrades+'!$AA$11,"C",IF(D287&lt;'PlayerGrades+'!$AA$10,"C+",IF(D287&lt;'PlayerGrades+'!$AA$9,"B-",IF(D287&lt;'PlayerGrades+'!$AA$8,"B",IF(D287&lt;'PlayerGrades+'!$AA$7,"B+",IF(D287&lt;'PlayerGrades+'!$AA$6,"A-",IF(D287&lt;'PlayerGrades+'!$AA$5,"A",IF(D287&lt;'PlayerGrades+'!$AA$4,"A+",IF(D287&lt;'PlayerGrades+'!$AA$3,"S-",IF(D287&lt;'PlayerGrades+'!$AA$2,"S","S+"))))))))))))))))))))</f>
        <v>F-</v>
      </c>
      <c r="F287" s="937">
        <f t="shared" si="2"/>
        <v>-0.2818104184</v>
      </c>
      <c r="G287" s="937" t="str">
        <f>IF(F287&lt;'PlayerGrades+'!$AB$21,"F-",IF(F287&lt;'PlayerGrades+'!$AB$20,"F",IF(F287&lt;'PlayerGrades+'!$AB$19,"F+",IF(F287&lt;'PlayerGrades+'!$AB$18,"E-",IF(F287&lt;'PlayerGrades+'!$AB$17,"E",IF(F287&lt;'PlayerGrades+'!$AB$16,"E+",IF(F287&lt;'PlayerGrades+'!$AB$15,"D-",IF(F287&lt;'PlayerGrades+'!$AB$14,"D",IF(F287&lt;'PlayerGrades+'!$AB$13,"D+",IF(F287&lt;'PlayerGrades+'!$AB$12,"C-",IF(F287&lt;'PlayerGrades+'!$AB$11,"C",IF(F287&lt;'PlayerGrades+'!$AB$10,"C+",IF(F287&lt;'PlayerGrades+'!$AB$9,"B-",IF(F287&lt;'PlayerGrades+'!$AB$8,"B",IF(F287&lt;'PlayerGrades+'!$AB$7,"B+",IF(F287&lt;'PlayerGrades+'!$AB$6,"A-",IF(F287&lt;'PlayerGrades+'!$AB$5,"A",IF(F287&lt;'PlayerGrades+'!$AB$4,"A+",IF(F287&lt;'PlayerGrades+'!$AB$3,"S-",IF(F287&lt;'PlayerGrades+'!$AB$2,"S","S+"))))))))))))))))))))</f>
        <v>C</v>
      </c>
      <c r="H287" s="937">
        <f t="shared" si="3"/>
        <v>0.1537147737</v>
      </c>
      <c r="I287" s="937" t="str">
        <f>IF(H287&lt;'PlayerGrades+'!$AC$21,"F-",IF(H287&lt;'PlayerGrades+'!$AC$20,"F",IF(H287&lt;'PlayerGrades+'!$AC$19,"F+",IF(H287&lt;'PlayerGrades+'!$AC$18,"E-",IF(H287&lt;'PlayerGrades+'!$AC$17,"E",IF(H287&lt;'PlayerGrades+'!$AC$16,"E+",IF(H287&lt;'PlayerGrades+'!$AC$15,"D-",IF(H287&lt;'PlayerGrades+'!$AC$14,"D",IF(H287&lt;'PlayerGrades+'!$AC$13,"D+",IF(H287&lt;'PlayerGrades+'!$AC$12,"C-",IF(H287&lt;'PlayerGrades+'!$AC$11,"C",IF(H287&lt;'PlayerGrades+'!$AC$10,"C+",IF(H287&lt;'PlayerGrades+'!$AC$9,"B-",IF(H287&lt;'PlayerGrades+'!$AC$8,"B",IF(H287&lt;'PlayerGrades+'!$AC$7,"B+",IF(H287&lt;'PlayerGrades+'!$AC$6,"A-",IF(H287&lt;'PlayerGrades+'!$AC$5,"A",IF(H287&lt;'PlayerGrades+'!$AC$4,"A+",IF(H287&lt;'PlayerGrades+'!$AC$3,"S-",IF(H287&lt;'PlayerGrades+'!$AC$2,"S","S+"))))))))))))))))))))</f>
        <v>A</v>
      </c>
      <c r="J287" s="937">
        <f t="shared" si="4"/>
        <v>0.02561912895</v>
      </c>
      <c r="K287" s="937" t="str">
        <f>IF(J287&lt;'PlayerGrades+'!$AD$21,"F-",IF(J287&lt;'PlayerGrades+'!$AD$20,"F",IF(J287&lt;'PlayerGrades+'!$AD$19,"F+",IF(J287&lt;'PlayerGrades+'!$AD$18,"E-",IF(J287&lt;'PlayerGrades+'!$AD$17,"E",IF(J287&lt;'PlayerGrades+'!$AD$16,"E+",IF(J287&lt;'PlayerGrades+'!$AD$15,"D-",IF(J287&lt;'PlayerGrades+'!$AD$14,"D",IF(J287&lt;'PlayerGrades+'!$AD$13,"D+",IF(J287&lt;'PlayerGrades+'!$AD$12,"C-",IF(J287&lt;'PlayerGrades+'!$AD$11,"C",IF(J287&lt;'PlayerGrades+'!$AD$10,"C+",IF(J287&lt;'PlayerGrades+'!$AD$9,"B-",IF(J287&lt;'PlayerGrades+'!$AD$8,"B",IF(J287&lt;'PlayerGrades+'!$AD$7,"B+",IF(J287&lt;'PlayerGrades+'!$AD$6,"A-",IF(J287&lt;'PlayerGrades+'!$AD$5,"A",IF(J287&lt;'PlayerGrades+'!$AD$4,"A+",IF(J287&lt;'PlayerGrades+'!$AD$3,"S-",IF(J287&lt;'PlayerGrades+'!$AD$2,"S","S+"))))))))))))))))))))</f>
        <v>D</v>
      </c>
      <c r="L287" s="677">
        <f t="shared" si="5"/>
        <v>0.48676345</v>
      </c>
      <c r="M287" s="938" t="str">
        <f>IF(L287&lt;'PlayerGrades+'!$AE$21,"F-",IF(L287&lt;'PlayerGrades+'!$AE$20,"F",IF(L287&lt;'PlayerGrades+'!$AE$19,"F+",IF(L287&lt;'PlayerGrades+'!$AE$18,"E-",IF(L287&lt;'PlayerGrades+'!$AE$17,"E",IF(L287&lt;'PlayerGrades+'!$AE$16,"E+",IF(L287&lt;'PlayerGrades+'!$AE$15,"D-",IF(L287&lt;'PlayerGrades+'!$AE$14,"D",IF(L287&lt;'PlayerGrades+'!$AE$13,"D+",IF(L287&lt;'PlayerGrades+'!$AE$12,"C-",IF(L287&lt;'PlayerGrades+'!$AE$11,"C",IF(L287&lt;'PlayerGrades+'!$AE$10,"C+",IF(L287&lt;'PlayerGrades+'!$AE$9,"B-",IF(L287&lt;'PlayerGrades+'!$AE$8,"B",IF(L287&lt;'PlayerGrades+'!$AE$7,"B+",IF(L287&lt;'PlayerGrades+'!$AE$6,"A-",IF(L287&lt;'PlayerGrades+'!$AE$5,"A",IF(L287&lt;'PlayerGrades+'!$AE$4,"A+",IF(L287&lt;'PlayerGrades+'!$AE$3,"S-",IF(L287&lt;'PlayerGrades+'!$AE$2,"S","S+"))))))))))))))))))))</f>
        <v>B+</v>
      </c>
      <c r="N287" s="937">
        <f t="shared" si="6"/>
        <v>0.0512382579</v>
      </c>
      <c r="O287" s="937" t="str">
        <f>IF(N287&lt;'PlayerGrades+'!$AF$21,"F-",IF(N287&lt;'PlayerGrades+'!$AF$20,"F",IF(N287&lt;'PlayerGrades+'!$AF$19,"F+",IF(N287&lt;'PlayerGrades+'!$AF$18,"E-",IF(N287&lt;'PlayerGrades+'!$AF$17,"E",IF(N287&lt;'PlayerGrades+'!$AF$16,"E+",IF(N287&lt;'PlayerGrades+'!$AF$15,"D-",IF(N287&lt;'PlayerGrades+'!$AF$14,"D",IF(N287&lt;'PlayerGrades+'!$AF$13,"D+",IF(N287&lt;'PlayerGrades+'!$AF$12,"C-",IF(N287&lt;'PlayerGrades+'!$AF$11,"C",IF(N287&lt;'PlayerGrades+'!$AF$10,"C+",IF(N287&lt;'PlayerGrades+'!$AF$9,"B-",IF(N287&lt;'PlayerGrades+'!$AF$8,"B",IF(N287&lt;'PlayerGrades+'!$AF$7,"B+",IF(N287&lt;'PlayerGrades+'!$AF$6,"A-",IF(N287&lt;'PlayerGrades+'!$AF$5,"A",IF(N287&lt;'PlayerGrades+'!$AF$4,"A+",IF(N287&lt;'PlayerGrades+'!$AF$3,"S-",IF(N287&lt;'PlayerGrades+'!$AF$2,"S","S+"))))))))))))))))))))</f>
        <v>D</v>
      </c>
      <c r="P287" s="937">
        <f t="shared" si="7"/>
        <v>0.02561912895</v>
      </c>
      <c r="Q287" s="937" t="str">
        <f>IF(P287&lt;'PlayerGrades+'!$AG$21,"F-",IF(P287&lt;'PlayerGrades+'!$AG$20,"F",IF(P287&lt;'PlayerGrades+'!$AG$19,"F+",IF(P287&lt;'PlayerGrades+'!$AG$18,"E-",IF(P287&lt;'PlayerGrades+'!$AG$17,"E",IF(P287&lt;'PlayerGrades+'!$AG$16,"E+",IF(P287&lt;'PlayerGrades+'!$AG$15,"D-",IF(P287&lt;'PlayerGrades+'!$AG$14,"D",IF(P287&lt;'PlayerGrades+'!$AG$13,"D+",IF(P287&lt;'PlayerGrades+'!$AG$12,"C-",IF(P287&lt;'PlayerGrades+'!$AG$11,"C",IF(P287&lt;'PlayerGrades+'!$AG$10,"C+",IF(P287&lt;'PlayerGrades+'!$AG$9,"B-",IF(P287&lt;'PlayerGrades+'!$AG$8,"B",IF(P287&lt;'PlayerGrades+'!$AG$7,"B+",IF(P287&lt;'PlayerGrades+'!$AG$6,"A-",IF(P287&lt;'PlayerGrades+'!$AG$5,"A",IF(P287&lt;'PlayerGrades+'!$AG$4,"A+",IF(P287&lt;'PlayerGrades+'!$AG$3,"S-",IF(P287&lt;'PlayerGrades+'!$AG$2,"S","S+"))))))))))))))))))))</f>
        <v>B-</v>
      </c>
      <c r="R287" s="937">
        <f t="shared" si="8"/>
        <v>0.3586678053</v>
      </c>
      <c r="S287" s="937" t="str">
        <f>IF(R287&lt;'PlayerGrades+'!$AH$21,"F-",IF(R287&lt;'PlayerGrades+'!$AH$20,"F",IF(R287&lt;'PlayerGrades+'!$AH$19,"F+",IF(R287&lt;'PlayerGrades+'!$AH$18,"E-",IF(R287&lt;'PlayerGrades+'!$AH$17,"E",IF(R287&lt;'PlayerGrades+'!$AH$16,"E+",IF(R287&lt;'PlayerGrades+'!$AH$15,"D-",IF(R287&lt;'PlayerGrades+'!$AH$14,"D",IF(R287&lt;'PlayerGrades+'!$AH$13,"D+",IF(R287&lt;'PlayerGrades+'!$AH$12,"C-",IF(R287&lt;'PlayerGrades+'!$AH$11,"C",IF(R287&lt;'PlayerGrades+'!$AH$10,"C+",IF(R287&lt;'PlayerGrades+'!$AH$9,"B-",IF(R287&lt;'PlayerGrades+'!$AH$8,"B",IF(R287&lt;'PlayerGrades+'!$AH$7,"B+",IF(R287&lt;'PlayerGrades+'!$AH$6,"A-",IF(R287&lt;'PlayerGrades+'!$AH$5,"A",IF(R287&lt;'PlayerGrades+'!$AH$4,"A+",IF(R287&lt;'PlayerGrades+'!$AH$3,"S-",IF(R287&lt;'PlayerGrades+'!$AH$2,"S","S+"))))))))))))))))))))</f>
        <v>F</v>
      </c>
      <c r="T287" s="937">
        <f t="shared" si="9"/>
        <v>1.358667805</v>
      </c>
      <c r="U287" s="937" t="str">
        <f>IF(T287&lt;'PlayerGrades+'!$AI$21,"F-",IF(T287&lt;'PlayerGrades+'!$AI$20,"F",IF(T287&lt;'PlayerGrades+'!$AI$19,"F+",IF(T287&lt;'PlayerGrades+'!$AI$18,"E-",IF(T287&lt;'PlayerGrades+'!$AI$17,"E",IF(T287&lt;'PlayerGrades+'!$AI$16,"E+",IF(T287&lt;'PlayerGrades+'!$AI$15,"D-",IF(T287&lt;'PlayerGrades+'!$AI$14,"D",IF(T287&lt;'PlayerGrades+'!$AI$13,"D+",IF(T287&lt;'PlayerGrades+'!$AI$12,"C-",IF(T287&lt;'PlayerGrades+'!$AI$11,"C",IF(T287&lt;'PlayerGrades+'!$AI$10,"C+",IF(T287&lt;'PlayerGrades+'!$AI$9,"B-",IF(T287&lt;'PlayerGrades+'!$AI$8,"B",IF(T287&lt;'PlayerGrades+'!$AI$7,"B+",IF(T287&lt;'PlayerGrades+'!$AI$6,"A-",IF(T287&lt;'PlayerGrades+'!$AI$5,"A",IF(T287&lt;'PlayerGrades+'!$AI$4,"A+",IF(T287&lt;'PlayerGrades+'!$AI$3,"S-",IF(T287&lt;'PlayerGrades+'!$AI$2,"S","S+"))))))))))))))))))))</f>
        <v>B</v>
      </c>
      <c r="V287" s="941">
        <v>1.0</v>
      </c>
      <c r="W287" s="941">
        <v>0.0</v>
      </c>
      <c r="X287" s="941">
        <v>1.0</v>
      </c>
      <c r="Y287" s="941">
        <v>0.0</v>
      </c>
      <c r="Z287" s="941">
        <v>0.0</v>
      </c>
      <c r="AA287" s="941">
        <v>112.0</v>
      </c>
      <c r="AB287" s="941">
        <v>123.0</v>
      </c>
      <c r="AC287" s="941">
        <v>-11.0</v>
      </c>
      <c r="AD287" s="941">
        <v>9.0</v>
      </c>
      <c r="AE287" s="941">
        <v>5.0</v>
      </c>
      <c r="AF287" s="941">
        <v>1.0</v>
      </c>
      <c r="AG287" s="941">
        <v>1859.0</v>
      </c>
      <c r="AH287" s="941">
        <v>2342.0</v>
      </c>
      <c r="AI287" s="941">
        <v>15.0</v>
      </c>
      <c r="AJ287" s="941">
        <v>2.0</v>
      </c>
      <c r="AK287" s="941">
        <v>0.0</v>
      </c>
      <c r="AL287" s="941">
        <v>1.0</v>
      </c>
      <c r="AM287" s="941">
        <v>0.0</v>
      </c>
      <c r="AN287" s="941">
        <v>0.0</v>
      </c>
      <c r="AO287" s="941">
        <v>0.0</v>
      </c>
      <c r="AP287" s="941">
        <v>1.0</v>
      </c>
      <c r="AQ287" s="941">
        <v>0.0</v>
      </c>
      <c r="AR287" s="941">
        <v>19.0</v>
      </c>
      <c r="AS287" s="941">
        <v>2.0</v>
      </c>
      <c r="AT287" s="941">
        <v>0.0</v>
      </c>
      <c r="AU287" s="941">
        <v>0.0</v>
      </c>
      <c r="AV287" s="941">
        <v>0.0</v>
      </c>
      <c r="AW287" s="941">
        <v>0.0</v>
      </c>
      <c r="AX287" s="941">
        <v>0.0</v>
      </c>
      <c r="AY287" s="941">
        <v>0.0</v>
      </c>
      <c r="AZ287" s="941">
        <v>0.0</v>
      </c>
      <c r="BA287" s="941">
        <v>0.0</v>
      </c>
      <c r="BB287" s="941">
        <v>6.0</v>
      </c>
      <c r="BC287" s="941">
        <v>0.0</v>
      </c>
      <c r="BD287" s="941">
        <v>5.0</v>
      </c>
      <c r="BE287" s="941">
        <v>14.0</v>
      </c>
      <c r="BF287" s="941">
        <v>1.0</v>
      </c>
      <c r="BG287" s="942">
        <v>1.0</v>
      </c>
    </row>
    <row r="288">
      <c r="A288" s="935" t="s">
        <v>418</v>
      </c>
      <c r="B288" s="16" t="str">
        <f>IF(C288&lt;'PlayerGrades+'!$Y$44,"F-",IF(C288&lt;'PlayerGrades+'!$Y$43,"F",IF(C288&lt;'PlayerGrades+'!$Y$42,"F+",IF(C288&lt;'PlayerGrades+'!$Y$41,"E-",IF(C288&lt;'PlayerGrades+'!$Y$40,"E",IF(C288&lt;'PlayerGrades+'!$Y$39,"E+",IF(C288&lt;'PlayerGrades+'!$Y$38,"D-",IF(C288&lt;'PlayerGrades+'!$Y$37,"D",IF(C288&lt;'PlayerGrades+'!$Y$36,"D+",IF(C288&lt;'PlayerGrades+'!$Y$35,"C-",IF(C288&lt;'PlayerGrades+'!$Y$34,"C",IF(C288&lt;'PlayerGrades+'!$Y$33,"C+",IF(C288&lt;'PlayerGrades+'!$Y$32,"B-",IF(C288&lt;'PlayerGrades+'!$Y$31,"B",IF(C288&lt;'PlayerGrades+'!$Y$30,"B+",IF(C288&lt;'PlayerGrades+'!$Y$29,"A-",IF(C288&lt;'PlayerGrades+'!$Y$28,"A",IF(C288&lt;'PlayerGrades+'!$Y$27,"A+",IF(C288&lt;'PlayerGrades+'!$Y$26,"S-",IF(C288&lt;'PlayerGrades+'!$Y$25,"S","S+"))))))))))))))))))))</f>
        <v>A+</v>
      </c>
      <c r="C288" s="936">
        <f>('PlayerGrades+'!$Y$47*(VLOOKUP(E288, 'PlayerGrades+'!$X$3:$Y$23, 2, FALSE)))+('PlayerGrades+'!$Y$48*(VLOOKUP(G288, 'PlayerGrades+'!$X$3:$Y$23, 2, FALSE)))+('PlayerGrades+'!$Y$49*(VLOOKUP(I288, 'PlayerGrades+'!$X$3:$Y$23, 2, FALSE)))+('PlayerGrades+'!$Y$50*(VLOOKUP(K288, 'PlayerGrades+'!$X$3:$Y$23, 2, FALSE)))+('PlayerGrades+'!$Y$51*(VLOOKUP(M288, 'PlayerGrades+'!$X$3:$Y$23, 2, FALSE)))+('PlayerGrades+'!$Y$52*(VLOOKUP(O288, 'PlayerGrades+'!$X$3:$Y$23, 2, FALSE)))+('PlayerGrades+'!$Y$53*(VLOOKUP(Q288, 'PlayerGrades+'!$X$3:$Y$23, 2, FALSE)))+('PlayerGrades+'!$Y$54*(VLOOKUP(S288, 'PlayerGrades+'!$X$3:$Y$23, 2, FALSE)))+('PlayerGrades+'!$Y$55*(VLOOKUP(U288, 'PlayerGrades+'!$X$3:$Y$23, 2, FALSE)))</f>
        <v>29.35</v>
      </c>
      <c r="D288" s="937">
        <f t="shared" si="1"/>
        <v>0.0512382579</v>
      </c>
      <c r="E288" s="937" t="str">
        <f>IF(D288&lt;'PlayerGrades+'!$AA$21,"F-",IF(D288&lt;'PlayerGrades+'!$AA$20,"F",IF(D288&lt;'PlayerGrades+'!$AA$19,"F+",IF(D288&lt;'PlayerGrades+'!$AA$18,"E-",IF(D288&lt;'PlayerGrades+'!$AA$17,"E",IF(D288&lt;'PlayerGrades+'!$AA$16,"E+",IF(D288&lt;'PlayerGrades+'!$AA$15,"D-",IF(D288&lt;'PlayerGrades+'!$AA$14,"D",IF(D288&lt;'PlayerGrades+'!$AA$13,"D+",IF(D288&lt;'PlayerGrades+'!$AA$12,"C-",IF(D288&lt;'PlayerGrades+'!$AA$11,"C",IF(D288&lt;'PlayerGrades+'!$AA$10,"C+",IF(D288&lt;'PlayerGrades+'!$AA$9,"B-",IF(D288&lt;'PlayerGrades+'!$AA$8,"B",IF(D288&lt;'PlayerGrades+'!$AA$7,"B+",IF(D288&lt;'PlayerGrades+'!$AA$6,"A-",IF(D288&lt;'PlayerGrades+'!$AA$5,"A",IF(D288&lt;'PlayerGrades+'!$AA$4,"A+",IF(D288&lt;'PlayerGrades+'!$AA$3,"S-",IF(D288&lt;'PlayerGrades+'!$AA$2,"S","S+"))))))))))))))))))))</f>
        <v>C+</v>
      </c>
      <c r="F288" s="937">
        <f t="shared" si="2"/>
        <v>0.6148590948</v>
      </c>
      <c r="G288" s="937" t="str">
        <f>IF(F288&lt;'PlayerGrades+'!$AB$21,"F-",IF(F288&lt;'PlayerGrades+'!$AB$20,"F",IF(F288&lt;'PlayerGrades+'!$AB$19,"F+",IF(F288&lt;'PlayerGrades+'!$AB$18,"E-",IF(F288&lt;'PlayerGrades+'!$AB$17,"E",IF(F288&lt;'PlayerGrades+'!$AB$16,"E+",IF(F288&lt;'PlayerGrades+'!$AB$15,"D-",IF(F288&lt;'PlayerGrades+'!$AB$14,"D",IF(F288&lt;'PlayerGrades+'!$AB$13,"D+",IF(F288&lt;'PlayerGrades+'!$AB$12,"C-",IF(F288&lt;'PlayerGrades+'!$AB$11,"C",IF(F288&lt;'PlayerGrades+'!$AB$10,"C+",IF(F288&lt;'PlayerGrades+'!$AB$9,"B-",IF(F288&lt;'PlayerGrades+'!$AB$8,"B",IF(F288&lt;'PlayerGrades+'!$AB$7,"B+",IF(F288&lt;'PlayerGrades+'!$AB$6,"A-",IF(F288&lt;'PlayerGrades+'!$AB$5,"A",IF(F288&lt;'PlayerGrades+'!$AB$4,"A+",IF(F288&lt;'PlayerGrades+'!$AB$3,"S-",IF(F288&lt;'PlayerGrades+'!$AB$2,"S","S+"))))))))))))))))))))</f>
        <v>S-</v>
      </c>
      <c r="H288" s="937">
        <f t="shared" si="3"/>
        <v>0.1537147737</v>
      </c>
      <c r="I288" s="937" t="str">
        <f>IF(H288&lt;'PlayerGrades+'!$AC$21,"F-",IF(H288&lt;'PlayerGrades+'!$AC$20,"F",IF(H288&lt;'PlayerGrades+'!$AC$19,"F+",IF(H288&lt;'PlayerGrades+'!$AC$18,"E-",IF(H288&lt;'PlayerGrades+'!$AC$17,"E",IF(H288&lt;'PlayerGrades+'!$AC$16,"E+",IF(H288&lt;'PlayerGrades+'!$AC$15,"D-",IF(H288&lt;'PlayerGrades+'!$AC$14,"D",IF(H288&lt;'PlayerGrades+'!$AC$13,"D+",IF(H288&lt;'PlayerGrades+'!$AC$12,"C-",IF(H288&lt;'PlayerGrades+'!$AC$11,"C",IF(H288&lt;'PlayerGrades+'!$AC$10,"C+",IF(H288&lt;'PlayerGrades+'!$AC$9,"B-",IF(H288&lt;'PlayerGrades+'!$AC$8,"B",IF(H288&lt;'PlayerGrades+'!$AC$7,"B+",IF(H288&lt;'PlayerGrades+'!$AC$6,"A-",IF(H288&lt;'PlayerGrades+'!$AC$5,"A",IF(H288&lt;'PlayerGrades+'!$AC$4,"A+",IF(H288&lt;'PlayerGrades+'!$AC$3,"S-",IF(H288&lt;'PlayerGrades+'!$AC$2,"S","S+"))))))))))))))))))))</f>
        <v>A</v>
      </c>
      <c r="J288" s="937">
        <f t="shared" si="4"/>
        <v>0.1024765158</v>
      </c>
      <c r="K288" s="937" t="str">
        <f>IF(J288&lt;'PlayerGrades+'!$AD$21,"F-",IF(J288&lt;'PlayerGrades+'!$AD$20,"F",IF(J288&lt;'PlayerGrades+'!$AD$19,"F+",IF(J288&lt;'PlayerGrades+'!$AD$18,"E-",IF(J288&lt;'PlayerGrades+'!$AD$17,"E",IF(J288&lt;'PlayerGrades+'!$AD$16,"E+",IF(J288&lt;'PlayerGrades+'!$AD$15,"D-",IF(J288&lt;'PlayerGrades+'!$AD$14,"D",IF(J288&lt;'PlayerGrades+'!$AD$13,"D+",IF(J288&lt;'PlayerGrades+'!$AD$12,"C-",IF(J288&lt;'PlayerGrades+'!$AD$11,"C",IF(J288&lt;'PlayerGrades+'!$AD$10,"C+",IF(J288&lt;'PlayerGrades+'!$AD$9,"B-",IF(J288&lt;'PlayerGrades+'!$AD$8,"B",IF(J288&lt;'PlayerGrades+'!$AD$7,"B+",IF(J288&lt;'PlayerGrades+'!$AD$6,"A-",IF(J288&lt;'PlayerGrades+'!$AD$5,"A",IF(J288&lt;'PlayerGrades+'!$AD$4,"A+",IF(J288&lt;'PlayerGrades+'!$AD$3,"S-",IF(J288&lt;'PlayerGrades+'!$AD$2,"S","S+"))))))))))))))))))))</f>
        <v>S</v>
      </c>
      <c r="L288" s="677">
        <f t="shared" si="5"/>
        <v>0.512382579</v>
      </c>
      <c r="M288" s="938" t="str">
        <f>IF(L288&lt;'PlayerGrades+'!$AE$21,"F-",IF(L288&lt;'PlayerGrades+'!$AE$20,"F",IF(L288&lt;'PlayerGrades+'!$AE$19,"F+",IF(L288&lt;'PlayerGrades+'!$AE$18,"E-",IF(L288&lt;'PlayerGrades+'!$AE$17,"E",IF(L288&lt;'PlayerGrades+'!$AE$16,"E+",IF(L288&lt;'PlayerGrades+'!$AE$15,"D-",IF(L288&lt;'PlayerGrades+'!$AE$14,"D",IF(L288&lt;'PlayerGrades+'!$AE$13,"D+",IF(L288&lt;'PlayerGrades+'!$AE$12,"C-",IF(L288&lt;'PlayerGrades+'!$AE$11,"C",IF(L288&lt;'PlayerGrades+'!$AE$10,"C+",IF(L288&lt;'PlayerGrades+'!$AE$9,"B-",IF(L288&lt;'PlayerGrades+'!$AE$8,"B",IF(L288&lt;'PlayerGrades+'!$AE$7,"B+",IF(L288&lt;'PlayerGrades+'!$AE$6,"A-",IF(L288&lt;'PlayerGrades+'!$AE$5,"A",IF(L288&lt;'PlayerGrades+'!$AE$4,"A+",IF(L288&lt;'PlayerGrades+'!$AE$3,"S-",IF(L288&lt;'PlayerGrades+'!$AE$2,"S","S+"))))))))))))))))))))</f>
        <v>A-</v>
      </c>
      <c r="N288" s="937">
        <f t="shared" si="6"/>
        <v>0.07685738685</v>
      </c>
      <c r="O288" s="937" t="str">
        <f>IF(N288&lt;'PlayerGrades+'!$AF$21,"F-",IF(N288&lt;'PlayerGrades+'!$AF$20,"F",IF(N288&lt;'PlayerGrades+'!$AF$19,"F+",IF(N288&lt;'PlayerGrades+'!$AF$18,"E-",IF(N288&lt;'PlayerGrades+'!$AF$17,"E",IF(N288&lt;'PlayerGrades+'!$AF$16,"E+",IF(N288&lt;'PlayerGrades+'!$AF$15,"D-",IF(N288&lt;'PlayerGrades+'!$AF$14,"D",IF(N288&lt;'PlayerGrades+'!$AF$13,"D+",IF(N288&lt;'PlayerGrades+'!$AF$12,"C-",IF(N288&lt;'PlayerGrades+'!$AF$11,"C",IF(N288&lt;'PlayerGrades+'!$AF$10,"C+",IF(N288&lt;'PlayerGrades+'!$AF$9,"B-",IF(N288&lt;'PlayerGrades+'!$AF$8,"B",IF(N288&lt;'PlayerGrades+'!$AF$7,"B+",IF(N288&lt;'PlayerGrades+'!$AF$6,"A-",IF(N288&lt;'PlayerGrades+'!$AF$5,"A",IF(N288&lt;'PlayerGrades+'!$AF$4,"A+",IF(N288&lt;'PlayerGrades+'!$AF$3,"S-",IF(N288&lt;'PlayerGrades+'!$AF$2,"S","S+"))))))))))))))))))))</f>
        <v>B-</v>
      </c>
      <c r="P288" s="937">
        <f t="shared" si="7"/>
        <v>0.1024765158</v>
      </c>
      <c r="Q288" s="937" t="str">
        <f>IF(P288&lt;'PlayerGrades+'!$AG$21,"F-",IF(P288&lt;'PlayerGrades+'!$AG$20,"F",IF(P288&lt;'PlayerGrades+'!$AG$19,"F+",IF(P288&lt;'PlayerGrades+'!$AG$18,"E-",IF(P288&lt;'PlayerGrades+'!$AG$17,"E",IF(P288&lt;'PlayerGrades+'!$AG$16,"E+",IF(P288&lt;'PlayerGrades+'!$AG$15,"D-",IF(P288&lt;'PlayerGrades+'!$AG$14,"D",IF(P288&lt;'PlayerGrades+'!$AG$13,"D+",IF(P288&lt;'PlayerGrades+'!$AG$12,"C-",IF(P288&lt;'PlayerGrades+'!$AG$11,"C",IF(P288&lt;'PlayerGrades+'!$AG$10,"C+",IF(P288&lt;'PlayerGrades+'!$AG$9,"B-",IF(P288&lt;'PlayerGrades+'!$AG$8,"B",IF(P288&lt;'PlayerGrades+'!$AG$7,"B+",IF(P288&lt;'PlayerGrades+'!$AG$6,"A-",IF(P288&lt;'PlayerGrades+'!$AG$5,"A",IF(P288&lt;'PlayerGrades+'!$AG$4,"A+",IF(P288&lt;'PlayerGrades+'!$AG$3,"S-",IF(P288&lt;'PlayerGrades+'!$AG$2,"S","S+"))))))))))))))))))))</f>
        <v>S+</v>
      </c>
      <c r="R288" s="937">
        <f t="shared" si="8"/>
        <v>0.6660973527</v>
      </c>
      <c r="S288" s="937" t="str">
        <f>IF(R288&lt;'PlayerGrades+'!$AH$21,"F-",IF(R288&lt;'PlayerGrades+'!$AH$20,"F",IF(R288&lt;'PlayerGrades+'!$AH$19,"F+",IF(R288&lt;'PlayerGrades+'!$AH$18,"E-",IF(R288&lt;'PlayerGrades+'!$AH$17,"E",IF(R288&lt;'PlayerGrades+'!$AH$16,"E+",IF(R288&lt;'PlayerGrades+'!$AH$15,"D-",IF(R288&lt;'PlayerGrades+'!$AH$14,"D",IF(R288&lt;'PlayerGrades+'!$AH$13,"D+",IF(R288&lt;'PlayerGrades+'!$AH$12,"C-",IF(R288&lt;'PlayerGrades+'!$AH$11,"C",IF(R288&lt;'PlayerGrades+'!$AH$10,"C+",IF(R288&lt;'PlayerGrades+'!$AH$9,"B-",IF(R288&lt;'PlayerGrades+'!$AH$8,"B",IF(R288&lt;'PlayerGrades+'!$AH$7,"B+",IF(R288&lt;'PlayerGrades+'!$AH$6,"A-",IF(R288&lt;'PlayerGrades+'!$AH$5,"A",IF(R288&lt;'PlayerGrades+'!$AH$4,"A+",IF(R288&lt;'PlayerGrades+'!$AH$3,"S-",IF(R288&lt;'PlayerGrades+'!$AH$2,"S","S+"))))))))))))))))))))</f>
        <v>A+</v>
      </c>
      <c r="T288" s="937">
        <f t="shared" si="9"/>
        <v>1.384286934</v>
      </c>
      <c r="U288" s="937" t="str">
        <f>IF(T288&lt;'PlayerGrades+'!$AI$21,"F-",IF(T288&lt;'PlayerGrades+'!$AI$20,"F",IF(T288&lt;'PlayerGrades+'!$AI$19,"F+",IF(T288&lt;'PlayerGrades+'!$AI$18,"E-",IF(T288&lt;'PlayerGrades+'!$AI$17,"E",IF(T288&lt;'PlayerGrades+'!$AI$16,"E+",IF(T288&lt;'PlayerGrades+'!$AI$15,"D-",IF(T288&lt;'PlayerGrades+'!$AI$14,"D",IF(T288&lt;'PlayerGrades+'!$AI$13,"D+",IF(T288&lt;'PlayerGrades+'!$AI$12,"C-",IF(T288&lt;'PlayerGrades+'!$AI$11,"C",IF(T288&lt;'PlayerGrades+'!$AI$10,"C+",IF(T288&lt;'PlayerGrades+'!$AI$9,"B-",IF(T288&lt;'PlayerGrades+'!$AI$8,"B",IF(T288&lt;'PlayerGrades+'!$AI$7,"B+",IF(T288&lt;'PlayerGrades+'!$AI$6,"A-",IF(T288&lt;'PlayerGrades+'!$AI$5,"A",IF(T288&lt;'PlayerGrades+'!$AI$4,"A+",IF(T288&lt;'PlayerGrades+'!$AI$3,"S-",IF(T288&lt;'PlayerGrades+'!$AI$2,"S","S+"))))))))))))))))))))</f>
        <v>B</v>
      </c>
      <c r="V288" s="941">
        <v>1.0</v>
      </c>
      <c r="W288" s="941">
        <v>0.0</v>
      </c>
      <c r="X288" s="941">
        <v>1.0</v>
      </c>
      <c r="Y288" s="941">
        <v>0.0</v>
      </c>
      <c r="Z288" s="941">
        <v>2.0</v>
      </c>
      <c r="AA288" s="941">
        <v>120.0</v>
      </c>
      <c r="AB288" s="941">
        <v>96.0</v>
      </c>
      <c r="AC288" s="941">
        <v>24.0</v>
      </c>
      <c r="AD288" s="941">
        <v>9.0</v>
      </c>
      <c r="AE288" s="941">
        <v>6.0</v>
      </c>
      <c r="AF288" s="941">
        <v>2.0</v>
      </c>
      <c r="AG288" s="941">
        <v>1936.0</v>
      </c>
      <c r="AH288" s="941">
        <v>2342.0</v>
      </c>
      <c r="AI288" s="941">
        <v>20.0</v>
      </c>
      <c r="AJ288" s="941">
        <v>26.0</v>
      </c>
      <c r="AK288" s="941">
        <v>0.0</v>
      </c>
      <c r="AL288" s="941">
        <v>4.0</v>
      </c>
      <c r="AM288" s="941">
        <v>0.0</v>
      </c>
      <c r="AN288" s="941">
        <v>0.0</v>
      </c>
      <c r="AO288" s="941">
        <v>0.0</v>
      </c>
      <c r="AP288" s="941">
        <v>4.0</v>
      </c>
      <c r="AQ288" s="941">
        <v>0.0</v>
      </c>
      <c r="AR288" s="941">
        <v>20.0</v>
      </c>
      <c r="AS288" s="941">
        <v>3.0</v>
      </c>
      <c r="AT288" s="941">
        <v>2.0</v>
      </c>
      <c r="AU288" s="941">
        <v>0.0</v>
      </c>
      <c r="AV288" s="941">
        <v>0.0</v>
      </c>
      <c r="AW288" s="941">
        <v>0.0</v>
      </c>
      <c r="AX288" s="941">
        <v>0.0</v>
      </c>
      <c r="AY288" s="941">
        <v>0.0</v>
      </c>
      <c r="AZ288" s="941">
        <v>0.0</v>
      </c>
      <c r="BA288" s="941">
        <v>0.0</v>
      </c>
      <c r="BB288" s="941">
        <v>6.0</v>
      </c>
      <c r="BC288" s="941">
        <v>0.0</v>
      </c>
      <c r="BD288" s="941">
        <v>17.0</v>
      </c>
      <c r="BE288" s="941">
        <v>15.0</v>
      </c>
      <c r="BF288" s="941">
        <v>1.0</v>
      </c>
      <c r="BG288" s="942">
        <v>1.0</v>
      </c>
    </row>
    <row r="289">
      <c r="A289" s="943" t="s">
        <v>115</v>
      </c>
      <c r="B289" s="16" t="str">
        <f>IF(C289&lt;'PlayerGrades+'!$Y$44,"F-",IF(C289&lt;'PlayerGrades+'!$Y$43,"F",IF(C289&lt;'PlayerGrades+'!$Y$42,"F+",IF(C289&lt;'PlayerGrades+'!$Y$41,"E-",IF(C289&lt;'PlayerGrades+'!$Y$40,"E",IF(C289&lt;'PlayerGrades+'!$Y$39,"E+",IF(C289&lt;'PlayerGrades+'!$Y$38,"D-",IF(C289&lt;'PlayerGrades+'!$Y$37,"D",IF(C289&lt;'PlayerGrades+'!$Y$36,"D+",IF(C289&lt;'PlayerGrades+'!$Y$35,"C-",IF(C289&lt;'PlayerGrades+'!$Y$34,"C",IF(C289&lt;'PlayerGrades+'!$Y$33,"C+",IF(C289&lt;'PlayerGrades+'!$Y$32,"B-",IF(C289&lt;'PlayerGrades+'!$Y$31,"B",IF(C289&lt;'PlayerGrades+'!$Y$30,"B+",IF(C289&lt;'PlayerGrades+'!$Y$29,"A-",IF(C289&lt;'PlayerGrades+'!$Y$28,"A",IF(C289&lt;'PlayerGrades+'!$Y$27,"A+",IF(C289&lt;'PlayerGrades+'!$Y$26,"S-",IF(C289&lt;'PlayerGrades+'!$Y$25,"S","S+"))))))))))))))))))))</f>
        <v>D-</v>
      </c>
      <c r="C289" s="936">
        <f>('PlayerGrades+'!$Y$47*(VLOOKUP(E289, 'PlayerGrades+'!$X$3:$Y$23, 2, FALSE)))+('PlayerGrades+'!$Y$48*(VLOOKUP(G289, 'PlayerGrades+'!$X$3:$Y$23, 2, FALSE)))+('PlayerGrades+'!$Y$49*(VLOOKUP(I289, 'PlayerGrades+'!$X$3:$Y$23, 2, FALSE)))+('PlayerGrades+'!$Y$50*(VLOOKUP(K289, 'PlayerGrades+'!$X$3:$Y$23, 2, FALSE)))+('PlayerGrades+'!$Y$51*(VLOOKUP(M289, 'PlayerGrades+'!$X$3:$Y$23, 2, FALSE)))+('PlayerGrades+'!$Y$52*(VLOOKUP(O289, 'PlayerGrades+'!$X$3:$Y$23, 2, FALSE)))+('PlayerGrades+'!$Y$53*(VLOOKUP(Q289, 'PlayerGrades+'!$X$3:$Y$23, 2, FALSE)))+('PlayerGrades+'!$Y$54*(VLOOKUP(S289, 'PlayerGrades+'!$X$3:$Y$23, 2, FALSE)))+('PlayerGrades+'!$Y$55*(VLOOKUP(U289, 'PlayerGrades+'!$X$3:$Y$23, 2, FALSE)))</f>
        <v>15.35</v>
      </c>
      <c r="D289" s="937">
        <f t="shared" si="1"/>
        <v>0</v>
      </c>
      <c r="E289" s="937" t="str">
        <f>IF(D289&lt;'PlayerGrades+'!$AA$21,"F-",IF(D289&lt;'PlayerGrades+'!$AA$20,"F",IF(D289&lt;'PlayerGrades+'!$AA$19,"F+",IF(D289&lt;'PlayerGrades+'!$AA$18,"E-",IF(D289&lt;'PlayerGrades+'!$AA$17,"E",IF(D289&lt;'PlayerGrades+'!$AA$16,"E+",IF(D289&lt;'PlayerGrades+'!$AA$15,"D-",IF(D289&lt;'PlayerGrades+'!$AA$14,"D",IF(D289&lt;'PlayerGrades+'!$AA$13,"D+",IF(D289&lt;'PlayerGrades+'!$AA$12,"C-",IF(D289&lt;'PlayerGrades+'!$AA$11,"C",IF(D289&lt;'PlayerGrades+'!$AA$10,"C+",IF(D289&lt;'PlayerGrades+'!$AA$9,"B-",IF(D289&lt;'PlayerGrades+'!$AA$8,"B",IF(D289&lt;'PlayerGrades+'!$AA$7,"B+",IF(D289&lt;'PlayerGrades+'!$AA$6,"A-",IF(D289&lt;'PlayerGrades+'!$AA$5,"A",IF(D289&lt;'PlayerGrades+'!$AA$4,"A+",IF(D289&lt;'PlayerGrades+'!$AA$3,"S-",IF(D289&lt;'PlayerGrades+'!$AA$2,"S","S+"))))))))))))))))))))</f>
        <v>F-</v>
      </c>
      <c r="F289" s="937">
        <f t="shared" si="2"/>
        <v>-0.8198121264</v>
      </c>
      <c r="G289" s="937" t="str">
        <f>IF(F289&lt;'PlayerGrades+'!$AB$21,"F-",IF(F289&lt;'PlayerGrades+'!$AB$20,"F",IF(F289&lt;'PlayerGrades+'!$AB$19,"F+",IF(F289&lt;'PlayerGrades+'!$AB$18,"E-",IF(F289&lt;'PlayerGrades+'!$AB$17,"E",IF(F289&lt;'PlayerGrades+'!$AB$16,"E+",IF(F289&lt;'PlayerGrades+'!$AB$15,"D-",IF(F289&lt;'PlayerGrades+'!$AB$14,"D",IF(F289&lt;'PlayerGrades+'!$AB$13,"D+",IF(F289&lt;'PlayerGrades+'!$AB$12,"C-",IF(F289&lt;'PlayerGrades+'!$AB$11,"C",IF(F289&lt;'PlayerGrades+'!$AB$10,"C+",IF(F289&lt;'PlayerGrades+'!$AB$9,"B-",IF(F289&lt;'PlayerGrades+'!$AB$8,"B",IF(F289&lt;'PlayerGrades+'!$AB$7,"B+",IF(F289&lt;'PlayerGrades+'!$AB$6,"A-",IF(F289&lt;'PlayerGrades+'!$AB$5,"A",IF(F289&lt;'PlayerGrades+'!$AB$4,"A+",IF(F289&lt;'PlayerGrades+'!$AB$3,"S-",IF(F289&lt;'PlayerGrades+'!$AB$2,"S","S+"))))))))))))))))))))</f>
        <v>E</v>
      </c>
      <c r="H289" s="937">
        <f t="shared" si="3"/>
        <v>0.07685738685</v>
      </c>
      <c r="I289" s="937" t="str">
        <f>IF(H289&lt;'PlayerGrades+'!$AC$21,"F-",IF(H289&lt;'PlayerGrades+'!$AC$20,"F",IF(H289&lt;'PlayerGrades+'!$AC$19,"F+",IF(H289&lt;'PlayerGrades+'!$AC$18,"E-",IF(H289&lt;'PlayerGrades+'!$AC$17,"E",IF(H289&lt;'PlayerGrades+'!$AC$16,"E+",IF(H289&lt;'PlayerGrades+'!$AC$15,"D-",IF(H289&lt;'PlayerGrades+'!$AC$14,"D",IF(H289&lt;'PlayerGrades+'!$AC$13,"D+",IF(H289&lt;'PlayerGrades+'!$AC$12,"C-",IF(H289&lt;'PlayerGrades+'!$AC$11,"C",IF(H289&lt;'PlayerGrades+'!$AC$10,"C+",IF(H289&lt;'PlayerGrades+'!$AC$9,"B-",IF(H289&lt;'PlayerGrades+'!$AC$8,"B",IF(H289&lt;'PlayerGrades+'!$AC$7,"B+",IF(H289&lt;'PlayerGrades+'!$AC$6,"A-",IF(H289&lt;'PlayerGrades+'!$AC$5,"A",IF(H289&lt;'PlayerGrades+'!$AC$4,"A+",IF(H289&lt;'PlayerGrades+'!$AC$3,"S-",IF(H289&lt;'PlayerGrades+'!$AC$2,"S","S+"))))))))))))))))))))</f>
        <v>E+</v>
      </c>
      <c r="J289" s="937">
        <f t="shared" si="4"/>
        <v>0</v>
      </c>
      <c r="K289" s="937" t="str">
        <f>IF(J289&lt;'PlayerGrades+'!$AD$21,"F-",IF(J289&lt;'PlayerGrades+'!$AD$20,"F",IF(J289&lt;'PlayerGrades+'!$AD$19,"F+",IF(J289&lt;'PlayerGrades+'!$AD$18,"E-",IF(J289&lt;'PlayerGrades+'!$AD$17,"E",IF(J289&lt;'PlayerGrades+'!$AD$16,"E+",IF(J289&lt;'PlayerGrades+'!$AD$15,"D-",IF(J289&lt;'PlayerGrades+'!$AD$14,"D",IF(J289&lt;'PlayerGrades+'!$AD$13,"D+",IF(J289&lt;'PlayerGrades+'!$AD$12,"C-",IF(J289&lt;'PlayerGrades+'!$AD$11,"C",IF(J289&lt;'PlayerGrades+'!$AD$10,"C+",IF(J289&lt;'PlayerGrades+'!$AD$9,"B-",IF(J289&lt;'PlayerGrades+'!$AD$8,"B",IF(J289&lt;'PlayerGrades+'!$AD$7,"B+",IF(J289&lt;'PlayerGrades+'!$AD$6,"A-",IF(J289&lt;'PlayerGrades+'!$AD$5,"A",IF(J289&lt;'PlayerGrades+'!$AD$4,"A+",IF(J289&lt;'PlayerGrades+'!$AD$3,"S-",IF(J289&lt;'PlayerGrades+'!$AD$2,"S","S+"))))))))))))))))))))</f>
        <v>F-</v>
      </c>
      <c r="L289" s="677">
        <f t="shared" si="5"/>
        <v>0.4099060632</v>
      </c>
      <c r="M289" s="938" t="str">
        <f>IF(L289&lt;'PlayerGrades+'!$AE$21,"F-",IF(L289&lt;'PlayerGrades+'!$AE$20,"F",IF(L289&lt;'PlayerGrades+'!$AE$19,"F+",IF(L289&lt;'PlayerGrades+'!$AE$18,"E-",IF(L289&lt;'PlayerGrades+'!$AE$17,"E",IF(L289&lt;'PlayerGrades+'!$AE$16,"E+",IF(L289&lt;'PlayerGrades+'!$AE$15,"D-",IF(L289&lt;'PlayerGrades+'!$AE$14,"D",IF(L289&lt;'PlayerGrades+'!$AE$13,"D+",IF(L289&lt;'PlayerGrades+'!$AE$12,"C-",IF(L289&lt;'PlayerGrades+'!$AE$11,"C",IF(L289&lt;'PlayerGrades+'!$AE$10,"C+",IF(L289&lt;'PlayerGrades+'!$AE$9,"B-",IF(L289&lt;'PlayerGrades+'!$AE$8,"B",IF(L289&lt;'PlayerGrades+'!$AE$7,"B+",IF(L289&lt;'PlayerGrades+'!$AE$6,"A-",IF(L289&lt;'PlayerGrades+'!$AE$5,"A",IF(L289&lt;'PlayerGrades+'!$AE$4,"A+",IF(L289&lt;'PlayerGrades+'!$AE$3,"S-",IF(L289&lt;'PlayerGrades+'!$AE$2,"S","S+"))))))))))))))))))))</f>
        <v>C+</v>
      </c>
      <c r="N289" s="937">
        <f t="shared" si="6"/>
        <v>0.1280956447</v>
      </c>
      <c r="O289" s="937" t="str">
        <f>IF(N289&lt;'PlayerGrades+'!$AF$21,"F-",IF(N289&lt;'PlayerGrades+'!$AF$20,"F",IF(N289&lt;'PlayerGrades+'!$AF$19,"F+",IF(N289&lt;'PlayerGrades+'!$AF$18,"E-",IF(N289&lt;'PlayerGrades+'!$AF$17,"E",IF(N289&lt;'PlayerGrades+'!$AF$16,"E+",IF(N289&lt;'PlayerGrades+'!$AF$15,"D-",IF(N289&lt;'PlayerGrades+'!$AF$14,"D",IF(N289&lt;'PlayerGrades+'!$AF$13,"D+",IF(N289&lt;'PlayerGrades+'!$AF$12,"C-",IF(N289&lt;'PlayerGrades+'!$AF$11,"C",IF(N289&lt;'PlayerGrades+'!$AF$10,"C+",IF(N289&lt;'PlayerGrades+'!$AF$9,"B-",IF(N289&lt;'PlayerGrades+'!$AF$8,"B",IF(N289&lt;'PlayerGrades+'!$AF$7,"B+",IF(N289&lt;'PlayerGrades+'!$AF$6,"A-",IF(N289&lt;'PlayerGrades+'!$AF$5,"A",IF(N289&lt;'PlayerGrades+'!$AF$4,"A+",IF(N289&lt;'PlayerGrades+'!$AF$3,"S-",IF(N289&lt;'PlayerGrades+'!$AF$2,"S","S+"))))))))))))))))))))</f>
        <v>S</v>
      </c>
      <c r="P289" s="937">
        <f t="shared" si="7"/>
        <v>0</v>
      </c>
      <c r="Q289" s="937" t="str">
        <f>IF(P289&lt;'PlayerGrades+'!$AG$21,"F-",IF(P289&lt;'PlayerGrades+'!$AG$20,"F",IF(P289&lt;'PlayerGrades+'!$AG$19,"F+",IF(P289&lt;'PlayerGrades+'!$AG$18,"E-",IF(P289&lt;'PlayerGrades+'!$AG$17,"E",IF(P289&lt;'PlayerGrades+'!$AG$16,"E+",IF(P289&lt;'PlayerGrades+'!$AG$15,"D-",IF(P289&lt;'PlayerGrades+'!$AG$14,"D",IF(P289&lt;'PlayerGrades+'!$AG$13,"D+",IF(P289&lt;'PlayerGrades+'!$AG$12,"C-",IF(P289&lt;'PlayerGrades+'!$AG$11,"C",IF(P289&lt;'PlayerGrades+'!$AG$10,"C+",IF(P289&lt;'PlayerGrades+'!$AG$9,"B-",IF(P289&lt;'PlayerGrades+'!$AG$8,"B",IF(P289&lt;'PlayerGrades+'!$AG$7,"B+",IF(P289&lt;'PlayerGrades+'!$AG$6,"A-",IF(P289&lt;'PlayerGrades+'!$AG$5,"A",IF(P289&lt;'PlayerGrades+'!$AG$4,"A+",IF(P289&lt;'PlayerGrades+'!$AG$3,"S-",IF(P289&lt;'PlayerGrades+'!$AG$2,"S","S+"))))))))))))))))))))</f>
        <v>F</v>
      </c>
      <c r="R289" s="937">
        <f t="shared" si="8"/>
        <v>0.3586678053</v>
      </c>
      <c r="S289" s="937" t="str">
        <f>IF(R289&lt;'PlayerGrades+'!$AH$21,"F-",IF(R289&lt;'PlayerGrades+'!$AH$20,"F",IF(R289&lt;'PlayerGrades+'!$AH$19,"F+",IF(R289&lt;'PlayerGrades+'!$AH$18,"E-",IF(R289&lt;'PlayerGrades+'!$AH$17,"E",IF(R289&lt;'PlayerGrades+'!$AH$16,"E+",IF(R289&lt;'PlayerGrades+'!$AH$15,"D-",IF(R289&lt;'PlayerGrades+'!$AH$14,"D",IF(R289&lt;'PlayerGrades+'!$AH$13,"D+",IF(R289&lt;'PlayerGrades+'!$AH$12,"C-",IF(R289&lt;'PlayerGrades+'!$AH$11,"C",IF(R289&lt;'PlayerGrades+'!$AH$10,"C+",IF(R289&lt;'PlayerGrades+'!$AH$9,"B-",IF(R289&lt;'PlayerGrades+'!$AH$8,"B",IF(R289&lt;'PlayerGrades+'!$AH$7,"B+",IF(R289&lt;'PlayerGrades+'!$AH$6,"A-",IF(R289&lt;'PlayerGrades+'!$AH$5,"A",IF(R289&lt;'PlayerGrades+'!$AH$4,"A+",IF(R289&lt;'PlayerGrades+'!$AH$3,"S-",IF(R289&lt;'PlayerGrades+'!$AH$2,"S","S+"))))))))))))))))))))</f>
        <v>F</v>
      </c>
      <c r="T289" s="937">
        <f t="shared" si="9"/>
        <v>1.538001708</v>
      </c>
      <c r="U289" s="937" t="str">
        <f>IF(T289&lt;'PlayerGrades+'!$AI$21,"F-",IF(T289&lt;'PlayerGrades+'!$AI$20,"F",IF(T289&lt;'PlayerGrades+'!$AI$19,"F+",IF(T289&lt;'PlayerGrades+'!$AI$18,"E-",IF(T289&lt;'PlayerGrades+'!$AI$17,"E",IF(T289&lt;'PlayerGrades+'!$AI$16,"E+",IF(T289&lt;'PlayerGrades+'!$AI$15,"D-",IF(T289&lt;'PlayerGrades+'!$AI$14,"D",IF(T289&lt;'PlayerGrades+'!$AI$13,"D+",IF(T289&lt;'PlayerGrades+'!$AI$12,"C-",IF(T289&lt;'PlayerGrades+'!$AI$11,"C",IF(T289&lt;'PlayerGrades+'!$AI$10,"C+",IF(T289&lt;'PlayerGrades+'!$AI$9,"B-",IF(T289&lt;'PlayerGrades+'!$AI$8,"B",IF(T289&lt;'PlayerGrades+'!$AI$7,"B+",IF(T289&lt;'PlayerGrades+'!$AI$6,"A-",IF(T289&lt;'PlayerGrades+'!$AI$5,"A",IF(T289&lt;'PlayerGrades+'!$AI$4,"A+",IF(T289&lt;'PlayerGrades+'!$AI$3,"S-",IF(T289&lt;'PlayerGrades+'!$AI$2,"S","S+"))))))))))))))))))))</f>
        <v>A+</v>
      </c>
      <c r="V289" s="944">
        <v>1.0</v>
      </c>
      <c r="W289" s="944">
        <v>0.0</v>
      </c>
      <c r="X289" s="944">
        <v>1.0</v>
      </c>
      <c r="Y289" s="944">
        <v>0.0</v>
      </c>
      <c r="Z289" s="944">
        <v>0.0</v>
      </c>
      <c r="AA289" s="944">
        <v>116.0</v>
      </c>
      <c r="AB289" s="944">
        <v>148.0</v>
      </c>
      <c r="AC289" s="944">
        <v>-32.0</v>
      </c>
      <c r="AD289" s="944">
        <v>6.0</v>
      </c>
      <c r="AE289" s="944">
        <v>4.0</v>
      </c>
      <c r="AF289" s="944">
        <v>2.0</v>
      </c>
      <c r="AG289" s="944">
        <v>1775.0</v>
      </c>
      <c r="AH289" s="944">
        <v>2342.0</v>
      </c>
      <c r="AI289" s="944">
        <v>11.0</v>
      </c>
      <c r="AJ289" s="944">
        <v>4.0</v>
      </c>
      <c r="AK289" s="944">
        <v>0.0</v>
      </c>
      <c r="AL289" s="944">
        <v>0.0</v>
      </c>
      <c r="AM289" s="944">
        <v>0.0</v>
      </c>
      <c r="AN289" s="944">
        <v>0.0</v>
      </c>
      <c r="AO289" s="944">
        <v>0.0</v>
      </c>
      <c r="AP289" s="944">
        <v>0.0</v>
      </c>
      <c r="AQ289" s="944">
        <v>0.0</v>
      </c>
      <c r="AR289" s="944">
        <v>16.0</v>
      </c>
      <c r="AS289" s="944">
        <v>5.0</v>
      </c>
      <c r="AT289" s="944">
        <v>1.0</v>
      </c>
      <c r="AU289" s="944">
        <v>0.0</v>
      </c>
      <c r="AV289" s="944">
        <v>0.0</v>
      </c>
      <c r="AW289" s="944">
        <v>0.0</v>
      </c>
      <c r="AX289" s="944">
        <v>0.0</v>
      </c>
      <c r="AY289" s="944">
        <v>0.0</v>
      </c>
      <c r="AZ289" s="944">
        <v>0.0</v>
      </c>
      <c r="BA289" s="944">
        <v>0.0</v>
      </c>
      <c r="BB289" s="944">
        <v>3.0</v>
      </c>
      <c r="BC289" s="944">
        <v>0.0</v>
      </c>
      <c r="BD289" s="944">
        <v>8.0</v>
      </c>
      <c r="BE289" s="944">
        <v>21.0</v>
      </c>
      <c r="BF289" s="944">
        <v>1.0</v>
      </c>
      <c r="BG289" s="945">
        <v>1.0</v>
      </c>
    </row>
    <row r="290">
      <c r="A290" s="946" t="s">
        <v>153</v>
      </c>
      <c r="B290" s="16" t="str">
        <f>IF(C290&lt;'PlayerGrades+'!$Y$44,"F-",IF(C290&lt;'PlayerGrades+'!$Y$43,"F",IF(C290&lt;'PlayerGrades+'!$Y$42,"F+",IF(C290&lt;'PlayerGrades+'!$Y$41,"E-",IF(C290&lt;'PlayerGrades+'!$Y$40,"E",IF(C290&lt;'PlayerGrades+'!$Y$39,"E+",IF(C290&lt;'PlayerGrades+'!$Y$38,"D-",IF(C290&lt;'PlayerGrades+'!$Y$37,"D",IF(C290&lt;'PlayerGrades+'!$Y$36,"D+",IF(C290&lt;'PlayerGrades+'!$Y$35,"C-",IF(C290&lt;'PlayerGrades+'!$Y$34,"C",IF(C290&lt;'PlayerGrades+'!$Y$33,"C+",IF(C290&lt;'PlayerGrades+'!$Y$32,"B-",IF(C290&lt;'PlayerGrades+'!$Y$31,"B",IF(C290&lt;'PlayerGrades+'!$Y$30,"B+",IF(C290&lt;'PlayerGrades+'!$Y$29,"A-",IF(C290&lt;'PlayerGrades+'!$Y$28,"A",IF(C290&lt;'PlayerGrades+'!$Y$27,"A+",IF(C290&lt;'PlayerGrades+'!$Y$26,"S-",IF(C290&lt;'PlayerGrades+'!$Y$25,"S","S+"))))))))))))))))))))</f>
        <v>F+</v>
      </c>
      <c r="C290" s="936">
        <f>('PlayerGrades+'!$Y$47*(VLOOKUP(E290, 'PlayerGrades+'!$X$3:$Y$23, 2, FALSE)))+('PlayerGrades+'!$Y$48*(VLOOKUP(G290, 'PlayerGrades+'!$X$3:$Y$23, 2, FALSE)))+('PlayerGrades+'!$Y$49*(VLOOKUP(I290, 'PlayerGrades+'!$X$3:$Y$23, 2, FALSE)))+('PlayerGrades+'!$Y$50*(VLOOKUP(K290, 'PlayerGrades+'!$X$3:$Y$23, 2, FALSE)))+('PlayerGrades+'!$Y$51*(VLOOKUP(M290, 'PlayerGrades+'!$X$3:$Y$23, 2, FALSE)))+('PlayerGrades+'!$Y$52*(VLOOKUP(O290, 'PlayerGrades+'!$X$3:$Y$23, 2, FALSE)))+('PlayerGrades+'!$Y$53*(VLOOKUP(Q290, 'PlayerGrades+'!$X$3:$Y$23, 2, FALSE)))+('PlayerGrades+'!$Y$54*(VLOOKUP(S290, 'PlayerGrades+'!$X$3:$Y$23, 2, FALSE)))+('PlayerGrades+'!$Y$55*(VLOOKUP(U290, 'PlayerGrades+'!$X$3:$Y$23, 2, FALSE)))</f>
        <v>10.45</v>
      </c>
      <c r="D290" s="937">
        <f t="shared" si="1"/>
        <v>0.6018054162</v>
      </c>
      <c r="E290" s="937" t="str">
        <f>IF(D290&lt;'PlayerGrades+'!$AA$21,"F-",IF(D290&lt;'PlayerGrades+'!$AA$20,"F",IF(D290&lt;'PlayerGrades+'!$AA$19,"F+",IF(D290&lt;'PlayerGrades+'!$AA$18,"E-",IF(D290&lt;'PlayerGrades+'!$AA$17,"E",IF(D290&lt;'PlayerGrades+'!$AA$16,"E+",IF(D290&lt;'PlayerGrades+'!$AA$15,"D-",IF(D290&lt;'PlayerGrades+'!$AA$14,"D",IF(D290&lt;'PlayerGrades+'!$AA$13,"D+",IF(D290&lt;'PlayerGrades+'!$AA$12,"C-",IF(D290&lt;'PlayerGrades+'!$AA$11,"C",IF(D290&lt;'PlayerGrades+'!$AA$10,"C+",IF(D290&lt;'PlayerGrades+'!$AA$9,"B-",IF(D290&lt;'PlayerGrades+'!$AA$8,"B",IF(D290&lt;'PlayerGrades+'!$AA$7,"B+",IF(D290&lt;'PlayerGrades+'!$AA$6,"A-",IF(D290&lt;'PlayerGrades+'!$AA$5,"A",IF(D290&lt;'PlayerGrades+'!$AA$4,"A+",IF(D290&lt;'PlayerGrades+'!$AA$3,"S-",IF(D290&lt;'PlayerGrades+'!$AA$2,"S","S+"))))))))))))))))))))</f>
        <v>S-</v>
      </c>
      <c r="F290" s="937">
        <f t="shared" si="2"/>
        <v>-0.5416248746</v>
      </c>
      <c r="G290" s="937" t="str">
        <f>IF(F290&lt;'PlayerGrades+'!$AB$21,"F-",IF(F290&lt;'PlayerGrades+'!$AB$20,"F",IF(F290&lt;'PlayerGrades+'!$AB$19,"F+",IF(F290&lt;'PlayerGrades+'!$AB$18,"E-",IF(F290&lt;'PlayerGrades+'!$AB$17,"E",IF(F290&lt;'PlayerGrades+'!$AB$16,"E+",IF(F290&lt;'PlayerGrades+'!$AB$15,"D-",IF(F290&lt;'PlayerGrades+'!$AB$14,"D",IF(F290&lt;'PlayerGrades+'!$AB$13,"D+",IF(F290&lt;'PlayerGrades+'!$AB$12,"C-",IF(F290&lt;'PlayerGrades+'!$AB$11,"C",IF(F290&lt;'PlayerGrades+'!$AB$10,"C+",IF(F290&lt;'PlayerGrades+'!$AB$9,"B-",IF(F290&lt;'PlayerGrades+'!$AB$8,"B",IF(F290&lt;'PlayerGrades+'!$AB$7,"B+",IF(F290&lt;'PlayerGrades+'!$AB$6,"A-",IF(F290&lt;'PlayerGrades+'!$AB$5,"A",IF(F290&lt;'PlayerGrades+'!$AB$4,"A+",IF(F290&lt;'PlayerGrades+'!$AB$3,"S-",IF(F290&lt;'PlayerGrades+'!$AB$2,"S","S+"))))))))))))))))))))</f>
        <v>D</v>
      </c>
      <c r="H290" s="937">
        <f t="shared" si="3"/>
        <v>0</v>
      </c>
      <c r="I290" s="937" t="str">
        <f>IF(H290&lt;'PlayerGrades+'!$AC$21,"F-",IF(H290&lt;'PlayerGrades+'!$AC$20,"F",IF(H290&lt;'PlayerGrades+'!$AC$19,"F+",IF(H290&lt;'PlayerGrades+'!$AC$18,"E-",IF(H290&lt;'PlayerGrades+'!$AC$17,"E",IF(H290&lt;'PlayerGrades+'!$AC$16,"E+",IF(H290&lt;'PlayerGrades+'!$AC$15,"D-",IF(H290&lt;'PlayerGrades+'!$AC$14,"D",IF(H290&lt;'PlayerGrades+'!$AC$13,"D+",IF(H290&lt;'PlayerGrades+'!$AC$12,"C-",IF(H290&lt;'PlayerGrades+'!$AC$11,"C",IF(H290&lt;'PlayerGrades+'!$AC$10,"C+",IF(H290&lt;'PlayerGrades+'!$AC$9,"B-",IF(H290&lt;'PlayerGrades+'!$AC$8,"B",IF(H290&lt;'PlayerGrades+'!$AC$7,"B+",IF(H290&lt;'PlayerGrades+'!$AC$6,"A-",IF(H290&lt;'PlayerGrades+'!$AC$5,"A",IF(H290&lt;'PlayerGrades+'!$AC$4,"A+",IF(H290&lt;'PlayerGrades+'!$AC$3,"S-",IF(H290&lt;'PlayerGrades+'!$AC$2,"S","S+"))))))))))))))))))))</f>
        <v>F-</v>
      </c>
      <c r="J290" s="937">
        <f t="shared" si="4"/>
        <v>0</v>
      </c>
      <c r="K290" s="937" t="str">
        <f>IF(J290&lt;'PlayerGrades+'!$AD$21,"F-",IF(J290&lt;'PlayerGrades+'!$AD$20,"F",IF(J290&lt;'PlayerGrades+'!$AD$19,"F+",IF(J290&lt;'PlayerGrades+'!$AD$18,"E-",IF(J290&lt;'PlayerGrades+'!$AD$17,"E",IF(J290&lt;'PlayerGrades+'!$AD$16,"E+",IF(J290&lt;'PlayerGrades+'!$AD$15,"D-",IF(J290&lt;'PlayerGrades+'!$AD$14,"D",IF(J290&lt;'PlayerGrades+'!$AD$13,"D+",IF(J290&lt;'PlayerGrades+'!$AD$12,"C-",IF(J290&lt;'PlayerGrades+'!$AD$11,"C",IF(J290&lt;'PlayerGrades+'!$AD$10,"C+",IF(J290&lt;'PlayerGrades+'!$AD$9,"B-",IF(J290&lt;'PlayerGrades+'!$AD$8,"B",IF(J290&lt;'PlayerGrades+'!$AD$7,"B+",IF(J290&lt;'PlayerGrades+'!$AD$6,"A-",IF(J290&lt;'PlayerGrades+'!$AD$5,"A",IF(J290&lt;'PlayerGrades+'!$AD$4,"A+",IF(J290&lt;'PlayerGrades+'!$AD$3,"S-",IF(J290&lt;'PlayerGrades+'!$AD$2,"S","S+"))))))))))))))))))))</f>
        <v>F-</v>
      </c>
      <c r="L290" s="677">
        <f t="shared" si="5"/>
        <v>0.1203610832</v>
      </c>
      <c r="M290" s="938" t="str">
        <f>IF(L290&lt;'PlayerGrades+'!$AE$21,"F-",IF(L290&lt;'PlayerGrades+'!$AE$20,"F",IF(L290&lt;'PlayerGrades+'!$AE$19,"F+",IF(L290&lt;'PlayerGrades+'!$AE$18,"E-",IF(L290&lt;'PlayerGrades+'!$AE$17,"E",IF(L290&lt;'PlayerGrades+'!$AE$16,"E+",IF(L290&lt;'PlayerGrades+'!$AE$15,"D-",IF(L290&lt;'PlayerGrades+'!$AE$14,"D",IF(L290&lt;'PlayerGrades+'!$AE$13,"D+",IF(L290&lt;'PlayerGrades+'!$AE$12,"C-",IF(L290&lt;'PlayerGrades+'!$AE$11,"C",IF(L290&lt;'PlayerGrades+'!$AE$10,"C+",IF(L290&lt;'PlayerGrades+'!$AE$9,"B-",IF(L290&lt;'PlayerGrades+'!$AE$8,"B",IF(L290&lt;'PlayerGrades+'!$AE$7,"B+",IF(L290&lt;'PlayerGrades+'!$AE$6,"A-",IF(L290&lt;'PlayerGrades+'!$AE$5,"A",IF(L290&lt;'PlayerGrades+'!$AE$4,"A+",IF(L290&lt;'PlayerGrades+'!$AE$3,"S-",IF(L290&lt;'PlayerGrades+'!$AE$2,"S","S+"))))))))))))))))))))</f>
        <v>F-</v>
      </c>
      <c r="N290" s="937">
        <f t="shared" si="6"/>
        <v>0</v>
      </c>
      <c r="O290" s="937" t="str">
        <f>IF(N290&lt;'PlayerGrades+'!$AF$21,"F-",IF(N290&lt;'PlayerGrades+'!$AF$20,"F",IF(N290&lt;'PlayerGrades+'!$AF$19,"F+",IF(N290&lt;'PlayerGrades+'!$AF$18,"E-",IF(N290&lt;'PlayerGrades+'!$AF$17,"E",IF(N290&lt;'PlayerGrades+'!$AF$16,"E+",IF(N290&lt;'PlayerGrades+'!$AF$15,"D-",IF(N290&lt;'PlayerGrades+'!$AF$14,"D",IF(N290&lt;'PlayerGrades+'!$AF$13,"D+",IF(N290&lt;'PlayerGrades+'!$AF$12,"C-",IF(N290&lt;'PlayerGrades+'!$AF$11,"C",IF(N290&lt;'PlayerGrades+'!$AF$10,"C+",IF(N290&lt;'PlayerGrades+'!$AF$9,"B-",IF(N290&lt;'PlayerGrades+'!$AF$8,"B",IF(N290&lt;'PlayerGrades+'!$AF$7,"B+",IF(N290&lt;'PlayerGrades+'!$AF$6,"A-",IF(N290&lt;'PlayerGrades+'!$AF$5,"A",IF(N290&lt;'PlayerGrades+'!$AF$4,"A+",IF(N290&lt;'PlayerGrades+'!$AF$3,"S-",IF(N290&lt;'PlayerGrades+'!$AF$2,"S","S+"))))))))))))))))))))</f>
        <v>F-</v>
      </c>
      <c r="P290" s="937">
        <f t="shared" si="7"/>
        <v>0</v>
      </c>
      <c r="Q290" s="937" t="str">
        <f>IF(P290&lt;'PlayerGrades+'!$AG$21,"F-",IF(P290&lt;'PlayerGrades+'!$AG$20,"F",IF(P290&lt;'PlayerGrades+'!$AG$19,"F+",IF(P290&lt;'PlayerGrades+'!$AG$18,"E-",IF(P290&lt;'PlayerGrades+'!$AG$17,"E",IF(P290&lt;'PlayerGrades+'!$AG$16,"E+",IF(P290&lt;'PlayerGrades+'!$AG$15,"D-",IF(P290&lt;'PlayerGrades+'!$AG$14,"D",IF(P290&lt;'PlayerGrades+'!$AG$13,"D+",IF(P290&lt;'PlayerGrades+'!$AG$12,"C-",IF(P290&lt;'PlayerGrades+'!$AG$11,"C",IF(P290&lt;'PlayerGrades+'!$AG$10,"C+",IF(P290&lt;'PlayerGrades+'!$AG$9,"B-",IF(P290&lt;'PlayerGrades+'!$AG$8,"B",IF(P290&lt;'PlayerGrades+'!$AG$7,"B+",IF(P290&lt;'PlayerGrades+'!$AG$6,"A-",IF(P290&lt;'PlayerGrades+'!$AG$5,"A",IF(P290&lt;'PlayerGrades+'!$AG$4,"A+",IF(P290&lt;'PlayerGrades+'!$AG$3,"S-",IF(P290&lt;'PlayerGrades+'!$AG$2,"S","S+"))))))))))))))))))))</f>
        <v>F</v>
      </c>
      <c r="R290" s="937">
        <f t="shared" si="8"/>
        <v>0.4212637914</v>
      </c>
      <c r="S290" s="937" t="str">
        <f>IF(R290&lt;'PlayerGrades+'!$AH$21,"F-",IF(R290&lt;'PlayerGrades+'!$AH$20,"F",IF(R290&lt;'PlayerGrades+'!$AH$19,"F+",IF(R290&lt;'PlayerGrades+'!$AH$18,"E-",IF(R290&lt;'PlayerGrades+'!$AH$17,"E",IF(R290&lt;'PlayerGrades+'!$AH$16,"E+",IF(R290&lt;'PlayerGrades+'!$AH$15,"D-",IF(R290&lt;'PlayerGrades+'!$AH$14,"D",IF(R290&lt;'PlayerGrades+'!$AH$13,"D+",IF(R290&lt;'PlayerGrades+'!$AH$12,"C-",IF(R290&lt;'PlayerGrades+'!$AH$11,"C",IF(R290&lt;'PlayerGrades+'!$AH$10,"C+",IF(R290&lt;'PlayerGrades+'!$AH$9,"B-",IF(R290&lt;'PlayerGrades+'!$AH$8,"B",IF(R290&lt;'PlayerGrades+'!$AH$7,"B+",IF(R290&lt;'PlayerGrades+'!$AH$6,"A-",IF(R290&lt;'PlayerGrades+'!$AH$5,"A",IF(R290&lt;'PlayerGrades+'!$AH$4,"A+",IF(R290&lt;'PlayerGrades+'!$AH$3,"S-",IF(R290&lt;'PlayerGrades+'!$AH$2,"S","S+"))))))))))))))))))))</f>
        <v>F+</v>
      </c>
      <c r="T290" s="937">
        <f t="shared" si="9"/>
        <v>1.300902708</v>
      </c>
      <c r="U290" s="937" t="str">
        <f>IF(T290&lt;'PlayerGrades+'!$AI$21,"F-",IF(T290&lt;'PlayerGrades+'!$AI$20,"F",IF(T290&lt;'PlayerGrades+'!$AI$19,"F+",IF(T290&lt;'PlayerGrades+'!$AI$18,"E-",IF(T290&lt;'PlayerGrades+'!$AI$17,"E",IF(T290&lt;'PlayerGrades+'!$AI$16,"E+",IF(T290&lt;'PlayerGrades+'!$AI$15,"D-",IF(T290&lt;'PlayerGrades+'!$AI$14,"D",IF(T290&lt;'PlayerGrades+'!$AI$13,"D+",IF(T290&lt;'PlayerGrades+'!$AI$12,"C-",IF(T290&lt;'PlayerGrades+'!$AI$11,"C",IF(T290&lt;'PlayerGrades+'!$AI$10,"C+",IF(T290&lt;'PlayerGrades+'!$AI$9,"B-",IF(T290&lt;'PlayerGrades+'!$AI$8,"B",IF(T290&lt;'PlayerGrades+'!$AI$7,"B+",IF(T290&lt;'PlayerGrades+'!$AI$6,"A-",IF(T290&lt;'PlayerGrades+'!$AI$5,"A",IF(T290&lt;'PlayerGrades+'!$AI$4,"A+",IF(T290&lt;'PlayerGrades+'!$AI$3,"S-",IF(T290&lt;'PlayerGrades+'!$AI$2,"S","S+"))))))))))))))))))))</f>
        <v>C+</v>
      </c>
      <c r="V290" s="939">
        <v>1.0</v>
      </c>
      <c r="W290" s="939">
        <v>1.0</v>
      </c>
      <c r="X290" s="939">
        <v>0.0</v>
      </c>
      <c r="Y290" s="939">
        <v>4.0</v>
      </c>
      <c r="Z290" s="939">
        <v>6.0</v>
      </c>
      <c r="AA290" s="939">
        <v>34.0</v>
      </c>
      <c r="AB290" s="939">
        <v>43.0</v>
      </c>
      <c r="AC290" s="939">
        <v>-9.0</v>
      </c>
      <c r="AD290" s="939">
        <v>0.0</v>
      </c>
      <c r="AE290" s="939">
        <v>4.0</v>
      </c>
      <c r="AF290" s="939">
        <v>0.0</v>
      </c>
      <c r="AG290" s="939">
        <v>802.0</v>
      </c>
      <c r="AH290" s="939">
        <v>997.0</v>
      </c>
      <c r="AI290" s="939">
        <v>18.0</v>
      </c>
      <c r="AJ290" s="939">
        <v>428.0</v>
      </c>
      <c r="AK290" s="939">
        <v>0.0</v>
      </c>
      <c r="AL290" s="939">
        <v>0.0</v>
      </c>
      <c r="AM290" s="939">
        <v>0.0</v>
      </c>
      <c r="AN290" s="939">
        <v>0.0</v>
      </c>
      <c r="AO290" s="939">
        <v>0.0</v>
      </c>
      <c r="AP290" s="939">
        <v>0.0</v>
      </c>
      <c r="AQ290" s="939">
        <v>0.0</v>
      </c>
      <c r="AR290" s="939">
        <v>2.0</v>
      </c>
      <c r="AS290" s="939">
        <v>0.0</v>
      </c>
      <c r="AT290" s="939">
        <v>0.0</v>
      </c>
      <c r="AU290" s="939">
        <v>0.0</v>
      </c>
      <c r="AV290" s="939">
        <v>0.0</v>
      </c>
      <c r="AW290" s="939">
        <v>0.0</v>
      </c>
      <c r="AX290" s="939">
        <v>0.0</v>
      </c>
      <c r="AY290" s="939">
        <v>0.0</v>
      </c>
      <c r="AZ290" s="939">
        <v>0.0</v>
      </c>
      <c r="BA290" s="939">
        <v>0.0</v>
      </c>
      <c r="BB290" s="939">
        <v>0.0</v>
      </c>
      <c r="BC290" s="939">
        <v>0.0</v>
      </c>
      <c r="BD290" s="939">
        <v>7.0</v>
      </c>
      <c r="BE290" s="939">
        <v>5.0</v>
      </c>
      <c r="BF290" s="939">
        <v>1.0</v>
      </c>
      <c r="BG290" s="940">
        <v>1.0</v>
      </c>
    </row>
    <row r="291">
      <c r="A291" s="935" t="s">
        <v>145</v>
      </c>
      <c r="B291" s="16" t="str">
        <f>IF(C291&lt;'PlayerGrades+'!$Y$44,"F-",IF(C291&lt;'PlayerGrades+'!$Y$43,"F",IF(C291&lt;'PlayerGrades+'!$Y$42,"F+",IF(C291&lt;'PlayerGrades+'!$Y$41,"E-",IF(C291&lt;'PlayerGrades+'!$Y$40,"E",IF(C291&lt;'PlayerGrades+'!$Y$39,"E+",IF(C291&lt;'PlayerGrades+'!$Y$38,"D-",IF(C291&lt;'PlayerGrades+'!$Y$37,"D",IF(C291&lt;'PlayerGrades+'!$Y$36,"D+",IF(C291&lt;'PlayerGrades+'!$Y$35,"C-",IF(C291&lt;'PlayerGrades+'!$Y$34,"C",IF(C291&lt;'PlayerGrades+'!$Y$33,"C+",IF(C291&lt;'PlayerGrades+'!$Y$32,"B-",IF(C291&lt;'PlayerGrades+'!$Y$31,"B",IF(C291&lt;'PlayerGrades+'!$Y$30,"B+",IF(C291&lt;'PlayerGrades+'!$Y$29,"A-",IF(C291&lt;'PlayerGrades+'!$Y$28,"A",IF(C291&lt;'PlayerGrades+'!$Y$27,"A+",IF(C291&lt;'PlayerGrades+'!$Y$26,"S-",IF(C291&lt;'PlayerGrades+'!$Y$25,"S","S+"))))))))))))))))))))</f>
        <v>B+</v>
      </c>
      <c r="C291" s="936">
        <f>('PlayerGrades+'!$Y$47*(VLOOKUP(E291, 'PlayerGrades+'!$X$3:$Y$23, 2, FALSE)))+('PlayerGrades+'!$Y$48*(VLOOKUP(G291, 'PlayerGrades+'!$X$3:$Y$23, 2, FALSE)))+('PlayerGrades+'!$Y$49*(VLOOKUP(I291, 'PlayerGrades+'!$X$3:$Y$23, 2, FALSE)))+('PlayerGrades+'!$Y$50*(VLOOKUP(K291, 'PlayerGrades+'!$X$3:$Y$23, 2, FALSE)))+('PlayerGrades+'!$Y$51*(VLOOKUP(M291, 'PlayerGrades+'!$X$3:$Y$23, 2, FALSE)))+('PlayerGrades+'!$Y$52*(VLOOKUP(O291, 'PlayerGrades+'!$X$3:$Y$23, 2, FALSE)))+('PlayerGrades+'!$Y$53*(VLOOKUP(Q291, 'PlayerGrades+'!$X$3:$Y$23, 2, FALSE)))+('PlayerGrades+'!$Y$54*(VLOOKUP(S291, 'PlayerGrades+'!$X$3:$Y$23, 2, FALSE)))+('PlayerGrades+'!$Y$55*(VLOOKUP(U291, 'PlayerGrades+'!$X$3:$Y$23, 2, FALSE)))</f>
        <v>23.5</v>
      </c>
      <c r="D291" s="937">
        <f t="shared" si="1"/>
        <v>0.06018054162</v>
      </c>
      <c r="E291" s="937" t="str">
        <f>IF(D291&lt;'PlayerGrades+'!$AA$21,"F-",IF(D291&lt;'PlayerGrades+'!$AA$20,"F",IF(D291&lt;'PlayerGrades+'!$AA$19,"F+",IF(D291&lt;'PlayerGrades+'!$AA$18,"E-",IF(D291&lt;'PlayerGrades+'!$AA$17,"E",IF(D291&lt;'PlayerGrades+'!$AA$16,"E+",IF(D291&lt;'PlayerGrades+'!$AA$15,"D-",IF(D291&lt;'PlayerGrades+'!$AA$14,"D",IF(D291&lt;'PlayerGrades+'!$AA$13,"D+",IF(D291&lt;'PlayerGrades+'!$AA$12,"C-",IF(D291&lt;'PlayerGrades+'!$AA$11,"C",IF(D291&lt;'PlayerGrades+'!$AA$10,"C+",IF(D291&lt;'PlayerGrades+'!$AA$9,"B-",IF(D291&lt;'PlayerGrades+'!$AA$8,"B",IF(D291&lt;'PlayerGrades+'!$AA$7,"B+",IF(D291&lt;'PlayerGrades+'!$AA$6,"A-",IF(D291&lt;'PlayerGrades+'!$AA$5,"A",IF(D291&lt;'PlayerGrades+'!$AA$4,"A+",IF(D291&lt;'PlayerGrades+'!$AA$3,"S-",IF(D291&lt;'PlayerGrades+'!$AA$2,"S","S+"))))))))))))))))))))</f>
        <v>B-</v>
      </c>
      <c r="F291" s="937">
        <f t="shared" si="2"/>
        <v>0.1203610832</v>
      </c>
      <c r="G291" s="937" t="str">
        <f>IF(F291&lt;'PlayerGrades+'!$AB$21,"F-",IF(F291&lt;'PlayerGrades+'!$AB$20,"F",IF(F291&lt;'PlayerGrades+'!$AB$19,"F+",IF(F291&lt;'PlayerGrades+'!$AB$18,"E-",IF(F291&lt;'PlayerGrades+'!$AB$17,"E",IF(F291&lt;'PlayerGrades+'!$AB$16,"E+",IF(F291&lt;'PlayerGrades+'!$AB$15,"D-",IF(F291&lt;'PlayerGrades+'!$AB$14,"D",IF(F291&lt;'PlayerGrades+'!$AB$13,"D+",IF(F291&lt;'PlayerGrades+'!$AB$12,"C-",IF(F291&lt;'PlayerGrades+'!$AB$11,"C",IF(F291&lt;'PlayerGrades+'!$AB$10,"C+",IF(F291&lt;'PlayerGrades+'!$AB$9,"B-",IF(F291&lt;'PlayerGrades+'!$AB$8,"B",IF(F291&lt;'PlayerGrades+'!$AB$7,"B+",IF(F291&lt;'PlayerGrades+'!$AB$6,"A-",IF(F291&lt;'PlayerGrades+'!$AB$5,"A",IF(F291&lt;'PlayerGrades+'!$AB$4,"A+",IF(F291&lt;'PlayerGrades+'!$AB$3,"S-",IF(F291&lt;'PlayerGrades+'!$AB$2,"S","S+"))))))))))))))))))))</f>
        <v>B+</v>
      </c>
      <c r="H291" s="937">
        <f t="shared" si="3"/>
        <v>0</v>
      </c>
      <c r="I291" s="937" t="str">
        <f>IF(H291&lt;'PlayerGrades+'!$AC$21,"F-",IF(H291&lt;'PlayerGrades+'!$AC$20,"F",IF(H291&lt;'PlayerGrades+'!$AC$19,"F+",IF(H291&lt;'PlayerGrades+'!$AC$18,"E-",IF(H291&lt;'PlayerGrades+'!$AC$17,"E",IF(H291&lt;'PlayerGrades+'!$AC$16,"E+",IF(H291&lt;'PlayerGrades+'!$AC$15,"D-",IF(H291&lt;'PlayerGrades+'!$AC$14,"D",IF(H291&lt;'PlayerGrades+'!$AC$13,"D+",IF(H291&lt;'PlayerGrades+'!$AC$12,"C-",IF(H291&lt;'PlayerGrades+'!$AC$11,"C",IF(H291&lt;'PlayerGrades+'!$AC$10,"C+",IF(H291&lt;'PlayerGrades+'!$AC$9,"B-",IF(H291&lt;'PlayerGrades+'!$AC$8,"B",IF(H291&lt;'PlayerGrades+'!$AC$7,"B+",IF(H291&lt;'PlayerGrades+'!$AC$6,"A-",IF(H291&lt;'PlayerGrades+'!$AC$5,"A",IF(H291&lt;'PlayerGrades+'!$AC$4,"A+",IF(H291&lt;'PlayerGrades+'!$AC$3,"S-",IF(H291&lt;'PlayerGrades+'!$AC$2,"S","S+"))))))))))))))))))))</f>
        <v>F-</v>
      </c>
      <c r="J291" s="937">
        <f t="shared" si="4"/>
        <v>0</v>
      </c>
      <c r="K291" s="937" t="str">
        <f>IF(J291&lt;'PlayerGrades+'!$AD$21,"F-",IF(J291&lt;'PlayerGrades+'!$AD$20,"F",IF(J291&lt;'PlayerGrades+'!$AD$19,"F+",IF(J291&lt;'PlayerGrades+'!$AD$18,"E-",IF(J291&lt;'PlayerGrades+'!$AD$17,"E",IF(J291&lt;'PlayerGrades+'!$AD$16,"E+",IF(J291&lt;'PlayerGrades+'!$AD$15,"D-",IF(J291&lt;'PlayerGrades+'!$AD$14,"D",IF(J291&lt;'PlayerGrades+'!$AD$13,"D+",IF(J291&lt;'PlayerGrades+'!$AD$12,"C-",IF(J291&lt;'PlayerGrades+'!$AD$11,"C",IF(J291&lt;'PlayerGrades+'!$AD$10,"C+",IF(J291&lt;'PlayerGrades+'!$AD$9,"B-",IF(J291&lt;'PlayerGrades+'!$AD$8,"B",IF(J291&lt;'PlayerGrades+'!$AD$7,"B+",IF(J291&lt;'PlayerGrades+'!$AD$6,"A-",IF(J291&lt;'PlayerGrades+'!$AD$5,"A",IF(J291&lt;'PlayerGrades+'!$AD$4,"A+",IF(J291&lt;'PlayerGrades+'!$AD$3,"S-",IF(J291&lt;'PlayerGrades+'!$AD$2,"S","S+"))))))))))))))))))))</f>
        <v>F-</v>
      </c>
      <c r="L291" s="677">
        <f t="shared" si="5"/>
        <v>0.6018054162</v>
      </c>
      <c r="M291" s="938" t="str">
        <f>IF(L291&lt;'PlayerGrades+'!$AE$21,"F-",IF(L291&lt;'PlayerGrades+'!$AE$20,"F",IF(L291&lt;'PlayerGrades+'!$AE$19,"F+",IF(L291&lt;'PlayerGrades+'!$AE$18,"E-",IF(L291&lt;'PlayerGrades+'!$AE$17,"E",IF(L291&lt;'PlayerGrades+'!$AE$16,"E+",IF(L291&lt;'PlayerGrades+'!$AE$15,"D-",IF(L291&lt;'PlayerGrades+'!$AE$14,"D",IF(L291&lt;'PlayerGrades+'!$AE$13,"D+",IF(L291&lt;'PlayerGrades+'!$AE$12,"C-",IF(L291&lt;'PlayerGrades+'!$AE$11,"C",IF(L291&lt;'PlayerGrades+'!$AE$10,"C+",IF(L291&lt;'PlayerGrades+'!$AE$9,"B-",IF(L291&lt;'PlayerGrades+'!$AE$8,"B",IF(L291&lt;'PlayerGrades+'!$AE$7,"B+",IF(L291&lt;'PlayerGrades+'!$AE$6,"A-",IF(L291&lt;'PlayerGrades+'!$AE$5,"A",IF(L291&lt;'PlayerGrades+'!$AE$4,"A+",IF(L291&lt;'PlayerGrades+'!$AE$3,"S-",IF(L291&lt;'PlayerGrades+'!$AE$2,"S","S+"))))))))))))))))))))</f>
        <v>A+</v>
      </c>
      <c r="N291" s="937">
        <f t="shared" si="6"/>
        <v>0.1203610832</v>
      </c>
      <c r="O291" s="937" t="str">
        <f>IF(N291&lt;'PlayerGrades+'!$AF$21,"F-",IF(N291&lt;'PlayerGrades+'!$AF$20,"F",IF(N291&lt;'PlayerGrades+'!$AF$19,"F+",IF(N291&lt;'PlayerGrades+'!$AF$18,"E-",IF(N291&lt;'PlayerGrades+'!$AF$17,"E",IF(N291&lt;'PlayerGrades+'!$AF$16,"E+",IF(N291&lt;'PlayerGrades+'!$AF$15,"D-",IF(N291&lt;'PlayerGrades+'!$AF$14,"D",IF(N291&lt;'PlayerGrades+'!$AF$13,"D+",IF(N291&lt;'PlayerGrades+'!$AF$12,"C-",IF(N291&lt;'PlayerGrades+'!$AF$11,"C",IF(N291&lt;'PlayerGrades+'!$AF$10,"C+",IF(N291&lt;'PlayerGrades+'!$AF$9,"B-",IF(N291&lt;'PlayerGrades+'!$AF$8,"B",IF(N291&lt;'PlayerGrades+'!$AF$7,"B+",IF(N291&lt;'PlayerGrades+'!$AF$6,"A-",IF(N291&lt;'PlayerGrades+'!$AF$5,"A",IF(N291&lt;'PlayerGrades+'!$AF$4,"A+",IF(N291&lt;'PlayerGrades+'!$AF$3,"S-",IF(N291&lt;'PlayerGrades+'!$AF$2,"S","S+"))))))))))))))))))))</f>
        <v>S-</v>
      </c>
      <c r="P291" s="937">
        <f t="shared" si="7"/>
        <v>0</v>
      </c>
      <c r="Q291" s="937" t="str">
        <f>IF(P291&lt;'PlayerGrades+'!$AG$21,"F-",IF(P291&lt;'PlayerGrades+'!$AG$20,"F",IF(P291&lt;'PlayerGrades+'!$AG$19,"F+",IF(P291&lt;'PlayerGrades+'!$AG$18,"E-",IF(P291&lt;'PlayerGrades+'!$AG$17,"E",IF(P291&lt;'PlayerGrades+'!$AG$16,"E+",IF(P291&lt;'PlayerGrades+'!$AG$15,"D-",IF(P291&lt;'PlayerGrades+'!$AG$14,"D",IF(P291&lt;'PlayerGrades+'!$AG$13,"D+",IF(P291&lt;'PlayerGrades+'!$AG$12,"C-",IF(P291&lt;'PlayerGrades+'!$AG$11,"C",IF(P291&lt;'PlayerGrades+'!$AG$10,"C+",IF(P291&lt;'PlayerGrades+'!$AG$9,"B-",IF(P291&lt;'PlayerGrades+'!$AG$8,"B",IF(P291&lt;'PlayerGrades+'!$AG$7,"B+",IF(P291&lt;'PlayerGrades+'!$AG$6,"A-",IF(P291&lt;'PlayerGrades+'!$AG$5,"A",IF(P291&lt;'PlayerGrades+'!$AG$4,"A+",IF(P291&lt;'PlayerGrades+'!$AG$3,"S-",IF(P291&lt;'PlayerGrades+'!$AG$2,"S","S+"))))))))))))))))))))</f>
        <v>F</v>
      </c>
      <c r="R291" s="937">
        <f t="shared" si="8"/>
        <v>1.143430291</v>
      </c>
      <c r="S291" s="937" t="str">
        <f>IF(R291&lt;'PlayerGrades+'!$AH$21,"F-",IF(R291&lt;'PlayerGrades+'!$AH$20,"F",IF(R291&lt;'PlayerGrades+'!$AH$19,"F+",IF(R291&lt;'PlayerGrades+'!$AH$18,"E-",IF(R291&lt;'PlayerGrades+'!$AH$17,"E",IF(R291&lt;'PlayerGrades+'!$AH$16,"E+",IF(R291&lt;'PlayerGrades+'!$AH$15,"D-",IF(R291&lt;'PlayerGrades+'!$AH$14,"D",IF(R291&lt;'PlayerGrades+'!$AH$13,"D+",IF(R291&lt;'PlayerGrades+'!$AH$12,"C-",IF(R291&lt;'PlayerGrades+'!$AH$11,"C",IF(R291&lt;'PlayerGrades+'!$AH$10,"C+",IF(R291&lt;'PlayerGrades+'!$AH$9,"B-",IF(R291&lt;'PlayerGrades+'!$AH$8,"B",IF(R291&lt;'PlayerGrades+'!$AH$7,"B+",IF(R291&lt;'PlayerGrades+'!$AH$6,"A-",IF(R291&lt;'PlayerGrades+'!$AH$5,"A",IF(R291&lt;'PlayerGrades+'!$AH$4,"A+",IF(R291&lt;'PlayerGrades+'!$AH$3,"S-",IF(R291&lt;'PlayerGrades+'!$AH$2,"S","S+"))))))))))))))))))))</f>
        <v>S+</v>
      </c>
      <c r="T291" s="937">
        <f t="shared" si="9"/>
        <v>0.962888666</v>
      </c>
      <c r="U291" s="937" t="str">
        <f>IF(T291&lt;'PlayerGrades+'!$AI$21,"F-",IF(T291&lt;'PlayerGrades+'!$AI$20,"F",IF(T291&lt;'PlayerGrades+'!$AI$19,"F+",IF(T291&lt;'PlayerGrades+'!$AI$18,"E-",IF(T291&lt;'PlayerGrades+'!$AI$17,"E",IF(T291&lt;'PlayerGrades+'!$AI$16,"E+",IF(T291&lt;'PlayerGrades+'!$AI$15,"D-",IF(T291&lt;'PlayerGrades+'!$AI$14,"D",IF(T291&lt;'PlayerGrades+'!$AI$13,"D+",IF(T291&lt;'PlayerGrades+'!$AI$12,"C-",IF(T291&lt;'PlayerGrades+'!$AI$11,"C",IF(T291&lt;'PlayerGrades+'!$AI$10,"C+",IF(T291&lt;'PlayerGrades+'!$AI$9,"B-",IF(T291&lt;'PlayerGrades+'!$AI$8,"B",IF(T291&lt;'PlayerGrades+'!$AI$7,"B+",IF(T291&lt;'PlayerGrades+'!$AI$6,"A-",IF(T291&lt;'PlayerGrades+'!$AI$5,"A",IF(T291&lt;'PlayerGrades+'!$AI$4,"A+",IF(T291&lt;'PlayerGrades+'!$AI$3,"S-",IF(T291&lt;'PlayerGrades+'!$AI$2,"S","S+"))))))))))))))))))))</f>
        <v>E-</v>
      </c>
      <c r="V291" s="941">
        <v>1.0</v>
      </c>
      <c r="W291" s="941">
        <v>1.0</v>
      </c>
      <c r="X291" s="941">
        <v>0.0</v>
      </c>
      <c r="Y291" s="941">
        <v>1.0</v>
      </c>
      <c r="Z291" s="941">
        <v>0.0</v>
      </c>
      <c r="AA291" s="941">
        <v>65.0</v>
      </c>
      <c r="AB291" s="941">
        <v>63.0</v>
      </c>
      <c r="AC291" s="941">
        <v>2.0</v>
      </c>
      <c r="AD291" s="941">
        <v>9.0</v>
      </c>
      <c r="AE291" s="941">
        <v>4.0</v>
      </c>
      <c r="AF291" s="941">
        <v>0.0</v>
      </c>
      <c r="AG291" s="941">
        <v>737.0</v>
      </c>
      <c r="AH291" s="941">
        <v>997.0</v>
      </c>
      <c r="AI291" s="941">
        <v>11.0</v>
      </c>
      <c r="AJ291" s="941">
        <v>8.0</v>
      </c>
      <c r="AK291" s="941">
        <v>0.0</v>
      </c>
      <c r="AL291" s="941">
        <v>0.0</v>
      </c>
      <c r="AM291" s="941">
        <v>0.0</v>
      </c>
      <c r="AN291" s="941">
        <v>0.0</v>
      </c>
      <c r="AO291" s="941">
        <v>0.0</v>
      </c>
      <c r="AP291" s="941">
        <v>0.0</v>
      </c>
      <c r="AQ291" s="941">
        <v>0.0</v>
      </c>
      <c r="AR291" s="941">
        <v>10.0</v>
      </c>
      <c r="AS291" s="941">
        <v>2.0</v>
      </c>
      <c r="AT291" s="941">
        <v>1.0</v>
      </c>
      <c r="AU291" s="941">
        <v>0.0</v>
      </c>
      <c r="AV291" s="941">
        <v>0.0</v>
      </c>
      <c r="AW291" s="941">
        <v>0.0</v>
      </c>
      <c r="AX291" s="941">
        <v>0.0</v>
      </c>
      <c r="AY291" s="941">
        <v>0.0</v>
      </c>
      <c r="AZ291" s="941">
        <v>0.0</v>
      </c>
      <c r="BA291" s="941">
        <v>0.0</v>
      </c>
      <c r="BB291" s="941">
        <v>0.0</v>
      </c>
      <c r="BC291" s="941">
        <v>0.0</v>
      </c>
      <c r="BD291" s="941">
        <v>10.0</v>
      </c>
      <c r="BE291" s="941">
        <v>16.0</v>
      </c>
      <c r="BF291" s="941">
        <v>0.0</v>
      </c>
      <c r="BG291" s="942">
        <v>1.0</v>
      </c>
    </row>
    <row r="292">
      <c r="A292" s="935" t="s">
        <v>138</v>
      </c>
      <c r="B292" s="16" t="str">
        <f>IF(C292&lt;'PlayerGrades+'!$Y$44,"F-",IF(C292&lt;'PlayerGrades+'!$Y$43,"F",IF(C292&lt;'PlayerGrades+'!$Y$42,"F+",IF(C292&lt;'PlayerGrades+'!$Y$41,"E-",IF(C292&lt;'PlayerGrades+'!$Y$40,"E",IF(C292&lt;'PlayerGrades+'!$Y$39,"E+",IF(C292&lt;'PlayerGrades+'!$Y$38,"D-",IF(C292&lt;'PlayerGrades+'!$Y$37,"D",IF(C292&lt;'PlayerGrades+'!$Y$36,"D+",IF(C292&lt;'PlayerGrades+'!$Y$35,"C-",IF(C292&lt;'PlayerGrades+'!$Y$34,"C",IF(C292&lt;'PlayerGrades+'!$Y$33,"C+",IF(C292&lt;'PlayerGrades+'!$Y$32,"B-",IF(C292&lt;'PlayerGrades+'!$Y$31,"B",IF(C292&lt;'PlayerGrades+'!$Y$30,"B+",IF(C292&lt;'PlayerGrades+'!$Y$29,"A-",IF(C292&lt;'PlayerGrades+'!$Y$28,"A",IF(C292&lt;'PlayerGrades+'!$Y$27,"A+",IF(C292&lt;'PlayerGrades+'!$Y$26,"S-",IF(C292&lt;'PlayerGrades+'!$Y$25,"S","S+"))))))))))))))))))))</f>
        <v>D</v>
      </c>
      <c r="C292" s="936">
        <f>('PlayerGrades+'!$Y$47*(VLOOKUP(E292, 'PlayerGrades+'!$X$3:$Y$23, 2, FALSE)))+('PlayerGrades+'!$Y$48*(VLOOKUP(G292, 'PlayerGrades+'!$X$3:$Y$23, 2, FALSE)))+('PlayerGrades+'!$Y$49*(VLOOKUP(I292, 'PlayerGrades+'!$X$3:$Y$23, 2, FALSE)))+('PlayerGrades+'!$Y$50*(VLOOKUP(K292, 'PlayerGrades+'!$X$3:$Y$23, 2, FALSE)))+('PlayerGrades+'!$Y$51*(VLOOKUP(M292, 'PlayerGrades+'!$X$3:$Y$23, 2, FALSE)))+('PlayerGrades+'!$Y$52*(VLOOKUP(O292, 'PlayerGrades+'!$X$3:$Y$23, 2, FALSE)))+('PlayerGrades+'!$Y$53*(VLOOKUP(Q292, 'PlayerGrades+'!$X$3:$Y$23, 2, FALSE)))+('PlayerGrades+'!$Y$54*(VLOOKUP(S292, 'PlayerGrades+'!$X$3:$Y$23, 2, FALSE)))+('PlayerGrades+'!$Y$55*(VLOOKUP(U292, 'PlayerGrades+'!$X$3:$Y$23, 2, FALSE)))</f>
        <v>16.7</v>
      </c>
      <c r="D292" s="937">
        <f t="shared" si="1"/>
        <v>0</v>
      </c>
      <c r="E292" s="937" t="str">
        <f>IF(D292&lt;'PlayerGrades+'!$AA$21,"F-",IF(D292&lt;'PlayerGrades+'!$AA$20,"F",IF(D292&lt;'PlayerGrades+'!$AA$19,"F+",IF(D292&lt;'PlayerGrades+'!$AA$18,"E-",IF(D292&lt;'PlayerGrades+'!$AA$17,"E",IF(D292&lt;'PlayerGrades+'!$AA$16,"E+",IF(D292&lt;'PlayerGrades+'!$AA$15,"D-",IF(D292&lt;'PlayerGrades+'!$AA$14,"D",IF(D292&lt;'PlayerGrades+'!$AA$13,"D+",IF(D292&lt;'PlayerGrades+'!$AA$12,"C-",IF(D292&lt;'PlayerGrades+'!$AA$11,"C",IF(D292&lt;'PlayerGrades+'!$AA$10,"C+",IF(D292&lt;'PlayerGrades+'!$AA$9,"B-",IF(D292&lt;'PlayerGrades+'!$AA$8,"B",IF(D292&lt;'PlayerGrades+'!$AA$7,"B+",IF(D292&lt;'PlayerGrades+'!$AA$6,"A-",IF(D292&lt;'PlayerGrades+'!$AA$5,"A",IF(D292&lt;'PlayerGrades+'!$AA$4,"A+",IF(D292&lt;'PlayerGrades+'!$AA$3,"S-",IF(D292&lt;'PlayerGrades+'!$AA$2,"S","S+"))))))))))))))))))))</f>
        <v>F-</v>
      </c>
      <c r="F292" s="937">
        <f t="shared" si="2"/>
        <v>0.2407221665</v>
      </c>
      <c r="G292" s="937" t="str">
        <f>IF(F292&lt;'PlayerGrades+'!$AB$21,"F-",IF(F292&lt;'PlayerGrades+'!$AB$20,"F",IF(F292&lt;'PlayerGrades+'!$AB$19,"F+",IF(F292&lt;'PlayerGrades+'!$AB$18,"E-",IF(F292&lt;'PlayerGrades+'!$AB$17,"E",IF(F292&lt;'PlayerGrades+'!$AB$16,"E+",IF(F292&lt;'PlayerGrades+'!$AB$15,"D-",IF(F292&lt;'PlayerGrades+'!$AB$14,"D",IF(F292&lt;'PlayerGrades+'!$AB$13,"D+",IF(F292&lt;'PlayerGrades+'!$AB$12,"C-",IF(F292&lt;'PlayerGrades+'!$AB$11,"C",IF(F292&lt;'PlayerGrades+'!$AB$10,"C+",IF(F292&lt;'PlayerGrades+'!$AB$9,"B-",IF(F292&lt;'PlayerGrades+'!$AB$8,"B",IF(F292&lt;'PlayerGrades+'!$AB$7,"B+",IF(F292&lt;'PlayerGrades+'!$AB$6,"A-",IF(F292&lt;'PlayerGrades+'!$AB$5,"A",IF(F292&lt;'PlayerGrades+'!$AB$4,"A+",IF(F292&lt;'PlayerGrades+'!$AB$3,"S-",IF(F292&lt;'PlayerGrades+'!$AB$2,"S","S+"))))))))))))))))))))</f>
        <v>B+</v>
      </c>
      <c r="H292" s="937">
        <f t="shared" si="3"/>
        <v>0</v>
      </c>
      <c r="I292" s="937" t="str">
        <f>IF(H292&lt;'PlayerGrades+'!$AC$21,"F-",IF(H292&lt;'PlayerGrades+'!$AC$20,"F",IF(H292&lt;'PlayerGrades+'!$AC$19,"F+",IF(H292&lt;'PlayerGrades+'!$AC$18,"E-",IF(H292&lt;'PlayerGrades+'!$AC$17,"E",IF(H292&lt;'PlayerGrades+'!$AC$16,"E+",IF(H292&lt;'PlayerGrades+'!$AC$15,"D-",IF(H292&lt;'PlayerGrades+'!$AC$14,"D",IF(H292&lt;'PlayerGrades+'!$AC$13,"D+",IF(H292&lt;'PlayerGrades+'!$AC$12,"C-",IF(H292&lt;'PlayerGrades+'!$AC$11,"C",IF(H292&lt;'PlayerGrades+'!$AC$10,"C+",IF(H292&lt;'PlayerGrades+'!$AC$9,"B-",IF(H292&lt;'PlayerGrades+'!$AC$8,"B",IF(H292&lt;'PlayerGrades+'!$AC$7,"B+",IF(H292&lt;'PlayerGrades+'!$AC$6,"A-",IF(H292&lt;'PlayerGrades+'!$AC$5,"A",IF(H292&lt;'PlayerGrades+'!$AC$4,"A+",IF(H292&lt;'PlayerGrades+'!$AC$3,"S-",IF(H292&lt;'PlayerGrades+'!$AC$2,"S","S+"))))))))))))))))))))</f>
        <v>F-</v>
      </c>
      <c r="J292" s="937">
        <f t="shared" si="4"/>
        <v>0</v>
      </c>
      <c r="K292" s="937" t="str">
        <f>IF(J292&lt;'PlayerGrades+'!$AD$21,"F-",IF(J292&lt;'PlayerGrades+'!$AD$20,"F",IF(J292&lt;'PlayerGrades+'!$AD$19,"F+",IF(J292&lt;'PlayerGrades+'!$AD$18,"E-",IF(J292&lt;'PlayerGrades+'!$AD$17,"E",IF(J292&lt;'PlayerGrades+'!$AD$16,"E+",IF(J292&lt;'PlayerGrades+'!$AD$15,"D-",IF(J292&lt;'PlayerGrades+'!$AD$14,"D",IF(J292&lt;'PlayerGrades+'!$AD$13,"D+",IF(J292&lt;'PlayerGrades+'!$AD$12,"C-",IF(J292&lt;'PlayerGrades+'!$AD$11,"C",IF(J292&lt;'PlayerGrades+'!$AD$10,"C+",IF(J292&lt;'PlayerGrades+'!$AD$9,"B-",IF(J292&lt;'PlayerGrades+'!$AD$8,"B",IF(J292&lt;'PlayerGrades+'!$AD$7,"B+",IF(J292&lt;'PlayerGrades+'!$AD$6,"A-",IF(J292&lt;'PlayerGrades+'!$AD$5,"A",IF(J292&lt;'PlayerGrades+'!$AD$4,"A+",IF(J292&lt;'PlayerGrades+'!$AD$3,"S-",IF(J292&lt;'PlayerGrades+'!$AD$2,"S","S+"))))))))))))))))))))</f>
        <v>F-</v>
      </c>
      <c r="L292" s="677">
        <f t="shared" si="5"/>
        <v>0.6018054162</v>
      </c>
      <c r="M292" s="938" t="str">
        <f>IF(L292&lt;'PlayerGrades+'!$AE$21,"F-",IF(L292&lt;'PlayerGrades+'!$AE$20,"F",IF(L292&lt;'PlayerGrades+'!$AE$19,"F+",IF(L292&lt;'PlayerGrades+'!$AE$18,"E-",IF(L292&lt;'PlayerGrades+'!$AE$17,"E",IF(L292&lt;'PlayerGrades+'!$AE$16,"E+",IF(L292&lt;'PlayerGrades+'!$AE$15,"D-",IF(L292&lt;'PlayerGrades+'!$AE$14,"D",IF(L292&lt;'PlayerGrades+'!$AE$13,"D+",IF(L292&lt;'PlayerGrades+'!$AE$12,"C-",IF(L292&lt;'PlayerGrades+'!$AE$11,"C",IF(L292&lt;'PlayerGrades+'!$AE$10,"C+",IF(L292&lt;'PlayerGrades+'!$AE$9,"B-",IF(L292&lt;'PlayerGrades+'!$AE$8,"B",IF(L292&lt;'PlayerGrades+'!$AE$7,"B+",IF(L292&lt;'PlayerGrades+'!$AE$6,"A-",IF(L292&lt;'PlayerGrades+'!$AE$5,"A",IF(L292&lt;'PlayerGrades+'!$AE$4,"A+",IF(L292&lt;'PlayerGrades+'!$AE$3,"S-",IF(L292&lt;'PlayerGrades+'!$AE$2,"S","S+"))))))))))))))))))))</f>
        <v>A+</v>
      </c>
      <c r="N292" s="937">
        <f t="shared" si="6"/>
        <v>0</v>
      </c>
      <c r="O292" s="937" t="str">
        <f>IF(N292&lt;'PlayerGrades+'!$AF$21,"F-",IF(N292&lt;'PlayerGrades+'!$AF$20,"F",IF(N292&lt;'PlayerGrades+'!$AF$19,"F+",IF(N292&lt;'PlayerGrades+'!$AF$18,"E-",IF(N292&lt;'PlayerGrades+'!$AF$17,"E",IF(N292&lt;'PlayerGrades+'!$AF$16,"E+",IF(N292&lt;'PlayerGrades+'!$AF$15,"D-",IF(N292&lt;'PlayerGrades+'!$AF$14,"D",IF(N292&lt;'PlayerGrades+'!$AF$13,"D+",IF(N292&lt;'PlayerGrades+'!$AF$12,"C-",IF(N292&lt;'PlayerGrades+'!$AF$11,"C",IF(N292&lt;'PlayerGrades+'!$AF$10,"C+",IF(N292&lt;'PlayerGrades+'!$AF$9,"B-",IF(N292&lt;'PlayerGrades+'!$AF$8,"B",IF(N292&lt;'PlayerGrades+'!$AF$7,"B+",IF(N292&lt;'PlayerGrades+'!$AF$6,"A-",IF(N292&lt;'PlayerGrades+'!$AF$5,"A",IF(N292&lt;'PlayerGrades+'!$AF$4,"A+",IF(N292&lt;'PlayerGrades+'!$AF$3,"S-",IF(N292&lt;'PlayerGrades+'!$AF$2,"S","S+"))))))))))))))))))))</f>
        <v>F-</v>
      </c>
      <c r="P292" s="937">
        <f t="shared" si="7"/>
        <v>0</v>
      </c>
      <c r="Q292" s="937" t="str">
        <f>IF(P292&lt;'PlayerGrades+'!$AG$21,"F-",IF(P292&lt;'PlayerGrades+'!$AG$20,"F",IF(P292&lt;'PlayerGrades+'!$AG$19,"F+",IF(P292&lt;'PlayerGrades+'!$AG$18,"E-",IF(P292&lt;'PlayerGrades+'!$AG$17,"E",IF(P292&lt;'PlayerGrades+'!$AG$16,"E+",IF(P292&lt;'PlayerGrades+'!$AG$15,"D-",IF(P292&lt;'PlayerGrades+'!$AG$14,"D",IF(P292&lt;'PlayerGrades+'!$AG$13,"D+",IF(P292&lt;'PlayerGrades+'!$AG$12,"C-",IF(P292&lt;'PlayerGrades+'!$AG$11,"C",IF(P292&lt;'PlayerGrades+'!$AG$10,"C+",IF(P292&lt;'PlayerGrades+'!$AG$9,"B-",IF(P292&lt;'PlayerGrades+'!$AG$8,"B",IF(P292&lt;'PlayerGrades+'!$AG$7,"B+",IF(P292&lt;'PlayerGrades+'!$AG$6,"A-",IF(P292&lt;'PlayerGrades+'!$AG$5,"A",IF(P292&lt;'PlayerGrades+'!$AG$4,"A+",IF(P292&lt;'PlayerGrades+'!$AG$3,"S-",IF(P292&lt;'PlayerGrades+'!$AG$2,"S","S+"))))))))))))))))))))</f>
        <v>F</v>
      </c>
      <c r="R292" s="937">
        <f t="shared" si="8"/>
        <v>0.962888666</v>
      </c>
      <c r="S292" s="937" t="str">
        <f>IF(R292&lt;'PlayerGrades+'!$AH$21,"F-",IF(R292&lt;'PlayerGrades+'!$AH$20,"F",IF(R292&lt;'PlayerGrades+'!$AH$19,"F+",IF(R292&lt;'PlayerGrades+'!$AH$18,"E-",IF(R292&lt;'PlayerGrades+'!$AH$17,"E",IF(R292&lt;'PlayerGrades+'!$AH$16,"E+",IF(R292&lt;'PlayerGrades+'!$AH$15,"D-",IF(R292&lt;'PlayerGrades+'!$AH$14,"D",IF(R292&lt;'PlayerGrades+'!$AH$13,"D+",IF(R292&lt;'PlayerGrades+'!$AH$12,"C-",IF(R292&lt;'PlayerGrades+'!$AH$11,"C",IF(R292&lt;'PlayerGrades+'!$AH$10,"C+",IF(R292&lt;'PlayerGrades+'!$AH$9,"B-",IF(R292&lt;'PlayerGrades+'!$AH$8,"B",IF(R292&lt;'PlayerGrades+'!$AH$7,"B+",IF(R292&lt;'PlayerGrades+'!$AH$6,"A-",IF(R292&lt;'PlayerGrades+'!$AH$5,"A",IF(R292&lt;'PlayerGrades+'!$AH$4,"A+",IF(R292&lt;'PlayerGrades+'!$AH$3,"S-",IF(R292&lt;'PlayerGrades+'!$AH$2,"S","S+"))))))))))))))))))))</f>
        <v>S+</v>
      </c>
      <c r="T292" s="937">
        <f t="shared" si="9"/>
        <v>1.36108325</v>
      </c>
      <c r="U292" s="937" t="str">
        <f>IF(T292&lt;'PlayerGrades+'!$AI$21,"F-",IF(T292&lt;'PlayerGrades+'!$AI$20,"F",IF(T292&lt;'PlayerGrades+'!$AI$19,"F+",IF(T292&lt;'PlayerGrades+'!$AI$18,"E-",IF(T292&lt;'PlayerGrades+'!$AI$17,"E",IF(T292&lt;'PlayerGrades+'!$AI$16,"E+",IF(T292&lt;'PlayerGrades+'!$AI$15,"D-",IF(T292&lt;'PlayerGrades+'!$AI$14,"D",IF(T292&lt;'PlayerGrades+'!$AI$13,"D+",IF(T292&lt;'PlayerGrades+'!$AI$12,"C-",IF(T292&lt;'PlayerGrades+'!$AI$11,"C",IF(T292&lt;'PlayerGrades+'!$AI$10,"C+",IF(T292&lt;'PlayerGrades+'!$AI$9,"B-",IF(T292&lt;'PlayerGrades+'!$AI$8,"B",IF(T292&lt;'PlayerGrades+'!$AI$7,"B+",IF(T292&lt;'PlayerGrades+'!$AI$6,"A-",IF(T292&lt;'PlayerGrades+'!$AI$5,"A",IF(T292&lt;'PlayerGrades+'!$AI$4,"A+",IF(T292&lt;'PlayerGrades+'!$AI$3,"S-",IF(T292&lt;'PlayerGrades+'!$AI$2,"S","S+"))))))))))))))))))))</f>
        <v>B</v>
      </c>
      <c r="V292" s="941">
        <v>1.0</v>
      </c>
      <c r="W292" s="941">
        <v>1.0</v>
      </c>
      <c r="X292" s="941">
        <v>0.0</v>
      </c>
      <c r="Y292" s="941">
        <v>0.0</v>
      </c>
      <c r="Z292" s="941">
        <v>0.0</v>
      </c>
      <c r="AA292" s="941">
        <v>61.0</v>
      </c>
      <c r="AB292" s="941">
        <v>57.0</v>
      </c>
      <c r="AC292" s="941">
        <v>4.0</v>
      </c>
      <c r="AD292" s="941">
        <v>8.0</v>
      </c>
      <c r="AE292" s="941">
        <v>4.0</v>
      </c>
      <c r="AF292" s="941">
        <v>1.0</v>
      </c>
      <c r="AG292" s="941">
        <v>762.0</v>
      </c>
      <c r="AH292" s="941">
        <v>997.0</v>
      </c>
      <c r="AI292" s="941">
        <v>13.0</v>
      </c>
      <c r="AJ292" s="941">
        <v>5.0</v>
      </c>
      <c r="AK292" s="941">
        <v>0.0</v>
      </c>
      <c r="AL292" s="941">
        <v>0.0</v>
      </c>
      <c r="AM292" s="941">
        <v>0.0</v>
      </c>
      <c r="AN292" s="941">
        <v>0.0</v>
      </c>
      <c r="AO292" s="941">
        <v>0.0</v>
      </c>
      <c r="AP292" s="941">
        <v>0.0</v>
      </c>
      <c r="AQ292" s="941">
        <v>0.0</v>
      </c>
      <c r="AR292" s="941">
        <v>10.0</v>
      </c>
      <c r="AS292" s="941">
        <v>0.0</v>
      </c>
      <c r="AT292" s="941">
        <v>0.0</v>
      </c>
      <c r="AU292" s="941">
        <v>0.0</v>
      </c>
      <c r="AV292" s="941">
        <v>0.0</v>
      </c>
      <c r="AW292" s="941">
        <v>0.0</v>
      </c>
      <c r="AX292" s="941">
        <v>0.0</v>
      </c>
      <c r="AY292" s="941">
        <v>0.0</v>
      </c>
      <c r="AZ292" s="941">
        <v>0.0</v>
      </c>
      <c r="BA292" s="941">
        <v>0.0</v>
      </c>
      <c r="BB292" s="941">
        <v>0.0</v>
      </c>
      <c r="BC292" s="941">
        <v>0.0</v>
      </c>
      <c r="BD292" s="941">
        <v>8.0</v>
      </c>
      <c r="BE292" s="941">
        <v>6.0</v>
      </c>
      <c r="BF292" s="941">
        <v>1.0</v>
      </c>
      <c r="BG292" s="942">
        <v>1.0</v>
      </c>
    </row>
    <row r="293">
      <c r="A293" s="935" t="s">
        <v>120</v>
      </c>
      <c r="B293" s="16" t="str">
        <f>IF(C293&lt;'PlayerGrades+'!$Y$44,"F-",IF(C293&lt;'PlayerGrades+'!$Y$43,"F",IF(C293&lt;'PlayerGrades+'!$Y$42,"F+",IF(C293&lt;'PlayerGrades+'!$Y$41,"E-",IF(C293&lt;'PlayerGrades+'!$Y$40,"E",IF(C293&lt;'PlayerGrades+'!$Y$39,"E+",IF(C293&lt;'PlayerGrades+'!$Y$38,"D-",IF(C293&lt;'PlayerGrades+'!$Y$37,"D",IF(C293&lt;'PlayerGrades+'!$Y$36,"D+",IF(C293&lt;'PlayerGrades+'!$Y$35,"C-",IF(C293&lt;'PlayerGrades+'!$Y$34,"C",IF(C293&lt;'PlayerGrades+'!$Y$33,"C+",IF(C293&lt;'PlayerGrades+'!$Y$32,"B-",IF(C293&lt;'PlayerGrades+'!$Y$31,"B",IF(C293&lt;'PlayerGrades+'!$Y$30,"B+",IF(C293&lt;'PlayerGrades+'!$Y$29,"A-",IF(C293&lt;'PlayerGrades+'!$Y$28,"A",IF(C293&lt;'PlayerGrades+'!$Y$27,"A+",IF(C293&lt;'PlayerGrades+'!$Y$26,"S-",IF(C293&lt;'PlayerGrades+'!$Y$25,"S","S+"))))))))))))))))))))</f>
        <v>S-</v>
      </c>
      <c r="C293" s="936">
        <f>('PlayerGrades+'!$Y$47*(VLOOKUP(E293, 'PlayerGrades+'!$X$3:$Y$23, 2, FALSE)))+('PlayerGrades+'!$Y$48*(VLOOKUP(G293, 'PlayerGrades+'!$X$3:$Y$23, 2, FALSE)))+('PlayerGrades+'!$Y$49*(VLOOKUP(I293, 'PlayerGrades+'!$X$3:$Y$23, 2, FALSE)))+('PlayerGrades+'!$Y$50*(VLOOKUP(K293, 'PlayerGrades+'!$X$3:$Y$23, 2, FALSE)))+('PlayerGrades+'!$Y$51*(VLOOKUP(M293, 'PlayerGrades+'!$X$3:$Y$23, 2, FALSE)))+('PlayerGrades+'!$Y$52*(VLOOKUP(O293, 'PlayerGrades+'!$X$3:$Y$23, 2, FALSE)))+('PlayerGrades+'!$Y$53*(VLOOKUP(Q293, 'PlayerGrades+'!$X$3:$Y$23, 2, FALSE)))+('PlayerGrades+'!$Y$54*(VLOOKUP(S293, 'PlayerGrades+'!$X$3:$Y$23, 2, FALSE)))+('PlayerGrades+'!$Y$55*(VLOOKUP(U293, 'PlayerGrades+'!$X$3:$Y$23, 2, FALSE)))</f>
        <v>30.6</v>
      </c>
      <c r="D293" s="937">
        <f t="shared" si="1"/>
        <v>0.1203610832</v>
      </c>
      <c r="E293" s="937" t="str">
        <f>IF(D293&lt;'PlayerGrades+'!$AA$21,"F-",IF(D293&lt;'PlayerGrades+'!$AA$20,"F",IF(D293&lt;'PlayerGrades+'!$AA$19,"F+",IF(D293&lt;'PlayerGrades+'!$AA$18,"E-",IF(D293&lt;'PlayerGrades+'!$AA$17,"E",IF(D293&lt;'PlayerGrades+'!$AA$16,"E+",IF(D293&lt;'PlayerGrades+'!$AA$15,"D-",IF(D293&lt;'PlayerGrades+'!$AA$14,"D",IF(D293&lt;'PlayerGrades+'!$AA$13,"D+",IF(D293&lt;'PlayerGrades+'!$AA$12,"C-",IF(D293&lt;'PlayerGrades+'!$AA$11,"C",IF(D293&lt;'PlayerGrades+'!$AA$10,"C+",IF(D293&lt;'PlayerGrades+'!$AA$9,"B-",IF(D293&lt;'PlayerGrades+'!$AA$8,"B",IF(D293&lt;'PlayerGrades+'!$AA$7,"B+",IF(D293&lt;'PlayerGrades+'!$AA$6,"A-",IF(D293&lt;'PlayerGrades+'!$AA$5,"A",IF(D293&lt;'PlayerGrades+'!$AA$4,"A+",IF(D293&lt;'PlayerGrades+'!$AA$3,"S-",IF(D293&lt;'PlayerGrades+'!$AA$2,"S","S+"))))))))))))))))))))</f>
        <v>B</v>
      </c>
      <c r="F293" s="937">
        <f t="shared" si="2"/>
        <v>0.962888666</v>
      </c>
      <c r="G293" s="937" t="str">
        <f>IF(F293&lt;'PlayerGrades+'!$AB$21,"F-",IF(F293&lt;'PlayerGrades+'!$AB$20,"F",IF(F293&lt;'PlayerGrades+'!$AB$19,"F+",IF(F293&lt;'PlayerGrades+'!$AB$18,"E-",IF(F293&lt;'PlayerGrades+'!$AB$17,"E",IF(F293&lt;'PlayerGrades+'!$AB$16,"E+",IF(F293&lt;'PlayerGrades+'!$AB$15,"D-",IF(F293&lt;'PlayerGrades+'!$AB$14,"D",IF(F293&lt;'PlayerGrades+'!$AB$13,"D+",IF(F293&lt;'PlayerGrades+'!$AB$12,"C-",IF(F293&lt;'PlayerGrades+'!$AB$11,"C",IF(F293&lt;'PlayerGrades+'!$AB$10,"C+",IF(F293&lt;'PlayerGrades+'!$AB$9,"B-",IF(F293&lt;'PlayerGrades+'!$AB$8,"B",IF(F293&lt;'PlayerGrades+'!$AB$7,"B+",IF(F293&lt;'PlayerGrades+'!$AB$6,"A-",IF(F293&lt;'PlayerGrades+'!$AB$5,"A",IF(F293&lt;'PlayerGrades+'!$AB$4,"A+",IF(F293&lt;'PlayerGrades+'!$AB$3,"S-",IF(F293&lt;'PlayerGrades+'!$AB$2,"S","S+"))))))))))))))))))))</f>
        <v>S+</v>
      </c>
      <c r="H293" s="937">
        <f t="shared" si="3"/>
        <v>0.06018054162</v>
      </c>
      <c r="I293" s="937" t="str">
        <f>IF(H293&lt;'PlayerGrades+'!$AC$21,"F-",IF(H293&lt;'PlayerGrades+'!$AC$20,"F",IF(H293&lt;'PlayerGrades+'!$AC$19,"F+",IF(H293&lt;'PlayerGrades+'!$AC$18,"E-",IF(H293&lt;'PlayerGrades+'!$AC$17,"E",IF(H293&lt;'PlayerGrades+'!$AC$16,"E+",IF(H293&lt;'PlayerGrades+'!$AC$15,"D-",IF(H293&lt;'PlayerGrades+'!$AC$14,"D",IF(H293&lt;'PlayerGrades+'!$AC$13,"D+",IF(H293&lt;'PlayerGrades+'!$AC$12,"C-",IF(H293&lt;'PlayerGrades+'!$AC$11,"C",IF(H293&lt;'PlayerGrades+'!$AC$10,"C+",IF(H293&lt;'PlayerGrades+'!$AC$9,"B-",IF(H293&lt;'PlayerGrades+'!$AC$8,"B",IF(H293&lt;'PlayerGrades+'!$AC$7,"B+",IF(H293&lt;'PlayerGrades+'!$AC$6,"A-",IF(H293&lt;'PlayerGrades+'!$AC$5,"A",IF(H293&lt;'PlayerGrades+'!$AC$4,"A+",IF(H293&lt;'PlayerGrades+'!$AC$3,"S-",IF(H293&lt;'PlayerGrades+'!$AC$2,"S","S+"))))))))))))))))))))</f>
        <v>E-</v>
      </c>
      <c r="J293" s="937">
        <f t="shared" si="4"/>
        <v>0.1805416249</v>
      </c>
      <c r="K293" s="937" t="str">
        <f>IF(J293&lt;'PlayerGrades+'!$AD$21,"F-",IF(J293&lt;'PlayerGrades+'!$AD$20,"F",IF(J293&lt;'PlayerGrades+'!$AD$19,"F+",IF(J293&lt;'PlayerGrades+'!$AD$18,"E-",IF(J293&lt;'PlayerGrades+'!$AD$17,"E",IF(J293&lt;'PlayerGrades+'!$AD$16,"E+",IF(J293&lt;'PlayerGrades+'!$AD$15,"D-",IF(J293&lt;'PlayerGrades+'!$AD$14,"D",IF(J293&lt;'PlayerGrades+'!$AD$13,"D+",IF(J293&lt;'PlayerGrades+'!$AD$12,"C-",IF(J293&lt;'PlayerGrades+'!$AD$11,"C",IF(J293&lt;'PlayerGrades+'!$AD$10,"C+",IF(J293&lt;'PlayerGrades+'!$AD$9,"B-",IF(J293&lt;'PlayerGrades+'!$AD$8,"B",IF(J293&lt;'PlayerGrades+'!$AD$7,"B+",IF(J293&lt;'PlayerGrades+'!$AD$6,"A-",IF(J293&lt;'PlayerGrades+'!$AD$5,"A",IF(J293&lt;'PlayerGrades+'!$AD$4,"A+",IF(J293&lt;'PlayerGrades+'!$AD$3,"S-",IF(J293&lt;'PlayerGrades+'!$AD$2,"S","S+"))))))))))))))))))))</f>
        <v>S+</v>
      </c>
      <c r="L293" s="677">
        <f t="shared" si="5"/>
        <v>0.8425275827</v>
      </c>
      <c r="M293" s="938" t="str">
        <f>IF(L293&lt;'PlayerGrades+'!$AE$21,"F-",IF(L293&lt;'PlayerGrades+'!$AE$20,"F",IF(L293&lt;'PlayerGrades+'!$AE$19,"F+",IF(L293&lt;'PlayerGrades+'!$AE$18,"E-",IF(L293&lt;'PlayerGrades+'!$AE$17,"E",IF(L293&lt;'PlayerGrades+'!$AE$16,"E+",IF(L293&lt;'PlayerGrades+'!$AE$15,"D-",IF(L293&lt;'PlayerGrades+'!$AE$14,"D",IF(L293&lt;'PlayerGrades+'!$AE$13,"D+",IF(L293&lt;'PlayerGrades+'!$AE$12,"C-",IF(L293&lt;'PlayerGrades+'!$AE$11,"C",IF(L293&lt;'PlayerGrades+'!$AE$10,"C+",IF(L293&lt;'PlayerGrades+'!$AE$9,"B-",IF(L293&lt;'PlayerGrades+'!$AE$8,"B",IF(L293&lt;'PlayerGrades+'!$AE$7,"B+",IF(L293&lt;'PlayerGrades+'!$AE$6,"A-",IF(L293&lt;'PlayerGrades+'!$AE$5,"A",IF(L293&lt;'PlayerGrades+'!$AE$4,"A+",IF(L293&lt;'PlayerGrades+'!$AE$3,"S-",IF(L293&lt;'PlayerGrades+'!$AE$2,"S","S+"))))))))))))))))))))</f>
        <v>S+</v>
      </c>
      <c r="N293" s="937">
        <f t="shared" si="6"/>
        <v>0.1805416249</v>
      </c>
      <c r="O293" s="937" t="str">
        <f>IF(N293&lt;'PlayerGrades+'!$AF$21,"F-",IF(N293&lt;'PlayerGrades+'!$AF$20,"F",IF(N293&lt;'PlayerGrades+'!$AF$19,"F+",IF(N293&lt;'PlayerGrades+'!$AF$18,"E-",IF(N293&lt;'PlayerGrades+'!$AF$17,"E",IF(N293&lt;'PlayerGrades+'!$AF$16,"E+",IF(N293&lt;'PlayerGrades+'!$AF$15,"D-",IF(N293&lt;'PlayerGrades+'!$AF$14,"D",IF(N293&lt;'PlayerGrades+'!$AF$13,"D+",IF(N293&lt;'PlayerGrades+'!$AF$12,"C-",IF(N293&lt;'PlayerGrades+'!$AF$11,"C",IF(N293&lt;'PlayerGrades+'!$AF$10,"C+",IF(N293&lt;'PlayerGrades+'!$AF$9,"B-",IF(N293&lt;'PlayerGrades+'!$AF$8,"B",IF(N293&lt;'PlayerGrades+'!$AF$7,"B+",IF(N293&lt;'PlayerGrades+'!$AF$6,"A-",IF(N293&lt;'PlayerGrades+'!$AF$5,"A",IF(N293&lt;'PlayerGrades+'!$AF$4,"A+",IF(N293&lt;'PlayerGrades+'!$AF$3,"S-",IF(N293&lt;'PlayerGrades+'!$AF$2,"S","S+"))))))))))))))))))))</f>
        <v>S+</v>
      </c>
      <c r="P293" s="937">
        <f t="shared" si="7"/>
        <v>0.1203610832</v>
      </c>
      <c r="Q293" s="937" t="str">
        <f>IF(P293&lt;'PlayerGrades+'!$AG$21,"F-",IF(P293&lt;'PlayerGrades+'!$AG$20,"F",IF(P293&lt;'PlayerGrades+'!$AG$19,"F+",IF(P293&lt;'PlayerGrades+'!$AG$18,"E-",IF(P293&lt;'PlayerGrades+'!$AG$17,"E",IF(P293&lt;'PlayerGrades+'!$AG$16,"E+",IF(P293&lt;'PlayerGrades+'!$AG$15,"D-",IF(P293&lt;'PlayerGrades+'!$AG$14,"D",IF(P293&lt;'PlayerGrades+'!$AG$13,"D+",IF(P293&lt;'PlayerGrades+'!$AG$12,"C-",IF(P293&lt;'PlayerGrades+'!$AG$11,"C",IF(P293&lt;'PlayerGrades+'!$AG$10,"C+",IF(P293&lt;'PlayerGrades+'!$AG$9,"B-",IF(P293&lt;'PlayerGrades+'!$AG$8,"B",IF(P293&lt;'PlayerGrades+'!$AG$7,"B+",IF(P293&lt;'PlayerGrades+'!$AG$6,"A-",IF(P293&lt;'PlayerGrades+'!$AG$5,"A",IF(P293&lt;'PlayerGrades+'!$AG$4,"A+",IF(P293&lt;'PlayerGrades+'!$AG$3,"S-",IF(P293&lt;'PlayerGrades+'!$AG$2,"S","S+"))))))))))))))))))))</f>
        <v>S+</v>
      </c>
      <c r="R293" s="937">
        <f t="shared" si="8"/>
        <v>0.9027081244</v>
      </c>
      <c r="S293" s="937" t="str">
        <f>IF(R293&lt;'PlayerGrades+'!$AH$21,"F-",IF(R293&lt;'PlayerGrades+'!$AH$20,"F",IF(R293&lt;'PlayerGrades+'!$AH$19,"F+",IF(R293&lt;'PlayerGrades+'!$AH$18,"E-",IF(R293&lt;'PlayerGrades+'!$AH$17,"E",IF(R293&lt;'PlayerGrades+'!$AH$16,"E+",IF(R293&lt;'PlayerGrades+'!$AH$15,"D-",IF(R293&lt;'PlayerGrades+'!$AH$14,"D",IF(R293&lt;'PlayerGrades+'!$AH$13,"D+",IF(R293&lt;'PlayerGrades+'!$AH$12,"C-",IF(R293&lt;'PlayerGrades+'!$AH$11,"C",IF(R293&lt;'PlayerGrades+'!$AH$10,"C+",IF(R293&lt;'PlayerGrades+'!$AH$9,"B-",IF(R293&lt;'PlayerGrades+'!$AH$8,"B",IF(R293&lt;'PlayerGrades+'!$AH$7,"B+",IF(R293&lt;'PlayerGrades+'!$AH$6,"A-",IF(R293&lt;'PlayerGrades+'!$AH$5,"A",IF(R293&lt;'PlayerGrades+'!$AH$4,"A+",IF(R293&lt;'PlayerGrades+'!$AH$3,"S-",IF(R293&lt;'PlayerGrades+'!$AH$2,"S","S+"))))))))))))))))))))</f>
        <v>S+</v>
      </c>
      <c r="T293" s="937">
        <f t="shared" si="9"/>
        <v>0.4212637914</v>
      </c>
      <c r="U293" s="937" t="str">
        <f>IF(T293&lt;'PlayerGrades+'!$AI$21,"F-",IF(T293&lt;'PlayerGrades+'!$AI$20,"F",IF(T293&lt;'PlayerGrades+'!$AI$19,"F+",IF(T293&lt;'PlayerGrades+'!$AI$18,"E-",IF(T293&lt;'PlayerGrades+'!$AI$17,"E",IF(T293&lt;'PlayerGrades+'!$AI$16,"E+",IF(T293&lt;'PlayerGrades+'!$AI$15,"D-",IF(T293&lt;'PlayerGrades+'!$AI$14,"D",IF(T293&lt;'PlayerGrades+'!$AI$13,"D+",IF(T293&lt;'PlayerGrades+'!$AI$12,"C-",IF(T293&lt;'PlayerGrades+'!$AI$11,"C",IF(T293&lt;'PlayerGrades+'!$AI$10,"C+",IF(T293&lt;'PlayerGrades+'!$AI$9,"B-",IF(T293&lt;'PlayerGrades+'!$AI$8,"B",IF(T293&lt;'PlayerGrades+'!$AI$7,"B+",IF(T293&lt;'PlayerGrades+'!$AI$6,"A-",IF(T293&lt;'PlayerGrades+'!$AI$5,"A",IF(T293&lt;'PlayerGrades+'!$AI$4,"A+",IF(T293&lt;'PlayerGrades+'!$AI$3,"S-",IF(T293&lt;'PlayerGrades+'!$AI$2,"S","S+"))))))))))))))))))))</f>
        <v>F-</v>
      </c>
      <c r="V293" s="941">
        <v>1.0</v>
      </c>
      <c r="W293" s="941">
        <v>1.0</v>
      </c>
      <c r="X293" s="941">
        <v>0.0</v>
      </c>
      <c r="Y293" s="941">
        <v>0.0</v>
      </c>
      <c r="Z293" s="941">
        <v>2.0</v>
      </c>
      <c r="AA293" s="941">
        <v>68.0</v>
      </c>
      <c r="AB293" s="941">
        <v>52.0</v>
      </c>
      <c r="AC293" s="941">
        <v>16.0</v>
      </c>
      <c r="AD293" s="941">
        <v>6.0</v>
      </c>
      <c r="AE293" s="941">
        <v>7.0</v>
      </c>
      <c r="AF293" s="941">
        <v>1.0</v>
      </c>
      <c r="AG293" s="941">
        <v>768.0</v>
      </c>
      <c r="AH293" s="941">
        <v>997.0</v>
      </c>
      <c r="AI293" s="941">
        <v>14.0</v>
      </c>
      <c r="AJ293" s="941">
        <v>4.0</v>
      </c>
      <c r="AK293" s="941">
        <v>0.0</v>
      </c>
      <c r="AL293" s="941">
        <v>3.0</v>
      </c>
      <c r="AM293" s="941">
        <v>0.0</v>
      </c>
      <c r="AN293" s="941">
        <v>0.0</v>
      </c>
      <c r="AO293" s="941">
        <v>0.0</v>
      </c>
      <c r="AP293" s="941">
        <v>2.0</v>
      </c>
      <c r="AQ293" s="941">
        <v>0.0</v>
      </c>
      <c r="AR293" s="941">
        <v>14.0</v>
      </c>
      <c r="AS293" s="941">
        <v>3.0</v>
      </c>
      <c r="AT293" s="941">
        <v>2.0</v>
      </c>
      <c r="AU293" s="941">
        <v>1.0</v>
      </c>
      <c r="AV293" s="941">
        <v>1.0</v>
      </c>
      <c r="AW293" s="941">
        <v>0.0</v>
      </c>
      <c r="AX293" s="941">
        <v>0.0</v>
      </c>
      <c r="AY293" s="941">
        <v>0.0</v>
      </c>
      <c r="AZ293" s="941">
        <v>0.0</v>
      </c>
      <c r="BA293" s="941">
        <v>0.0</v>
      </c>
      <c r="BB293" s="941">
        <v>1.0</v>
      </c>
      <c r="BC293" s="941">
        <v>0.0</v>
      </c>
      <c r="BD293" s="941">
        <v>9.0</v>
      </c>
      <c r="BE293" s="941">
        <v>7.0</v>
      </c>
      <c r="BF293" s="941">
        <v>0.0</v>
      </c>
      <c r="BG293" s="942">
        <v>1.0</v>
      </c>
    </row>
    <row r="294">
      <c r="A294" s="935" t="s">
        <v>147</v>
      </c>
      <c r="B294" s="16" t="str">
        <f>IF(C294&lt;'PlayerGrades+'!$Y$44,"F-",IF(C294&lt;'PlayerGrades+'!$Y$43,"F",IF(C294&lt;'PlayerGrades+'!$Y$42,"F+",IF(C294&lt;'PlayerGrades+'!$Y$41,"E-",IF(C294&lt;'PlayerGrades+'!$Y$40,"E",IF(C294&lt;'PlayerGrades+'!$Y$39,"E+",IF(C294&lt;'PlayerGrades+'!$Y$38,"D-",IF(C294&lt;'PlayerGrades+'!$Y$37,"D",IF(C294&lt;'PlayerGrades+'!$Y$36,"D+",IF(C294&lt;'PlayerGrades+'!$Y$35,"C-",IF(C294&lt;'PlayerGrades+'!$Y$34,"C",IF(C294&lt;'PlayerGrades+'!$Y$33,"C+",IF(C294&lt;'PlayerGrades+'!$Y$32,"B-",IF(C294&lt;'PlayerGrades+'!$Y$31,"B",IF(C294&lt;'PlayerGrades+'!$Y$30,"B+",IF(C294&lt;'PlayerGrades+'!$Y$29,"A-",IF(C294&lt;'PlayerGrades+'!$Y$28,"A",IF(C294&lt;'PlayerGrades+'!$Y$27,"A+",IF(C294&lt;'PlayerGrades+'!$Y$26,"S-",IF(C294&lt;'PlayerGrades+'!$Y$25,"S","S+"))))))))))))))))))))</f>
        <v>E-</v>
      </c>
      <c r="C294" s="936">
        <f>('PlayerGrades+'!$Y$47*(VLOOKUP(E294, 'PlayerGrades+'!$X$3:$Y$23, 2, FALSE)))+('PlayerGrades+'!$Y$48*(VLOOKUP(G294, 'PlayerGrades+'!$X$3:$Y$23, 2, FALSE)))+('PlayerGrades+'!$Y$49*(VLOOKUP(I294, 'PlayerGrades+'!$X$3:$Y$23, 2, FALSE)))+('PlayerGrades+'!$Y$50*(VLOOKUP(K294, 'PlayerGrades+'!$X$3:$Y$23, 2, FALSE)))+('PlayerGrades+'!$Y$51*(VLOOKUP(M294, 'PlayerGrades+'!$X$3:$Y$23, 2, FALSE)))+('PlayerGrades+'!$Y$52*(VLOOKUP(O294, 'PlayerGrades+'!$X$3:$Y$23, 2, FALSE)))+('PlayerGrades+'!$Y$53*(VLOOKUP(Q294, 'PlayerGrades+'!$X$3:$Y$23, 2, FALSE)))+('PlayerGrades+'!$Y$54*(VLOOKUP(S294, 'PlayerGrades+'!$X$3:$Y$23, 2, FALSE)))+('PlayerGrades+'!$Y$55*(VLOOKUP(U294, 'PlayerGrades+'!$X$3:$Y$23, 2, FALSE)))</f>
        <v>11.45</v>
      </c>
      <c r="D294" s="937">
        <f t="shared" si="1"/>
        <v>0</v>
      </c>
      <c r="E294" s="937" t="str">
        <f>IF(D294&lt;'PlayerGrades+'!$AA$21,"F-",IF(D294&lt;'PlayerGrades+'!$AA$20,"F",IF(D294&lt;'PlayerGrades+'!$AA$19,"F+",IF(D294&lt;'PlayerGrades+'!$AA$18,"E-",IF(D294&lt;'PlayerGrades+'!$AA$17,"E",IF(D294&lt;'PlayerGrades+'!$AA$16,"E+",IF(D294&lt;'PlayerGrades+'!$AA$15,"D-",IF(D294&lt;'PlayerGrades+'!$AA$14,"D",IF(D294&lt;'PlayerGrades+'!$AA$13,"D+",IF(D294&lt;'PlayerGrades+'!$AA$12,"C-",IF(D294&lt;'PlayerGrades+'!$AA$11,"C",IF(D294&lt;'PlayerGrades+'!$AA$10,"C+",IF(D294&lt;'PlayerGrades+'!$AA$9,"B-",IF(D294&lt;'PlayerGrades+'!$AA$8,"B",IF(D294&lt;'PlayerGrades+'!$AA$7,"B+",IF(D294&lt;'PlayerGrades+'!$AA$6,"A-",IF(D294&lt;'PlayerGrades+'!$AA$5,"A",IF(D294&lt;'PlayerGrades+'!$AA$4,"A+",IF(D294&lt;'PlayerGrades+'!$AA$3,"S-",IF(D294&lt;'PlayerGrades+'!$AA$2,"S","S+"))))))))))))))))))))</f>
        <v>F-</v>
      </c>
      <c r="F294" s="937">
        <f t="shared" si="2"/>
        <v>-1.083249749</v>
      </c>
      <c r="G294" s="937" t="str">
        <f>IF(F294&lt;'PlayerGrades+'!$AB$21,"F-",IF(F294&lt;'PlayerGrades+'!$AB$20,"F",IF(F294&lt;'PlayerGrades+'!$AB$19,"F+",IF(F294&lt;'PlayerGrades+'!$AB$18,"E-",IF(F294&lt;'PlayerGrades+'!$AB$17,"E",IF(F294&lt;'PlayerGrades+'!$AB$16,"E+",IF(F294&lt;'PlayerGrades+'!$AB$15,"D-",IF(F294&lt;'PlayerGrades+'!$AB$14,"D",IF(F294&lt;'PlayerGrades+'!$AB$13,"D+",IF(F294&lt;'PlayerGrades+'!$AB$12,"C-",IF(F294&lt;'PlayerGrades+'!$AB$11,"C",IF(F294&lt;'PlayerGrades+'!$AB$10,"C+",IF(F294&lt;'PlayerGrades+'!$AB$9,"B-",IF(F294&lt;'PlayerGrades+'!$AB$8,"B",IF(F294&lt;'PlayerGrades+'!$AB$7,"B+",IF(F294&lt;'PlayerGrades+'!$AB$6,"A-",IF(F294&lt;'PlayerGrades+'!$AB$5,"A",IF(F294&lt;'PlayerGrades+'!$AB$4,"A+",IF(F294&lt;'PlayerGrades+'!$AB$3,"S-",IF(F294&lt;'PlayerGrades+'!$AB$2,"S","S+"))))))))))))))))))))</f>
        <v>F</v>
      </c>
      <c r="H294" s="937">
        <f t="shared" si="3"/>
        <v>0.1805416249</v>
      </c>
      <c r="I294" s="937" t="str">
        <f>IF(H294&lt;'PlayerGrades+'!$AC$21,"F-",IF(H294&lt;'PlayerGrades+'!$AC$20,"F",IF(H294&lt;'PlayerGrades+'!$AC$19,"F+",IF(H294&lt;'PlayerGrades+'!$AC$18,"E-",IF(H294&lt;'PlayerGrades+'!$AC$17,"E",IF(H294&lt;'PlayerGrades+'!$AC$16,"E+",IF(H294&lt;'PlayerGrades+'!$AC$15,"D-",IF(H294&lt;'PlayerGrades+'!$AC$14,"D",IF(H294&lt;'PlayerGrades+'!$AC$13,"D+",IF(H294&lt;'PlayerGrades+'!$AC$12,"C-",IF(H294&lt;'PlayerGrades+'!$AC$11,"C",IF(H294&lt;'PlayerGrades+'!$AC$10,"C+",IF(H294&lt;'PlayerGrades+'!$AC$9,"B-",IF(H294&lt;'PlayerGrades+'!$AC$8,"B",IF(H294&lt;'PlayerGrades+'!$AC$7,"B+",IF(H294&lt;'PlayerGrades+'!$AC$6,"A-",IF(H294&lt;'PlayerGrades+'!$AC$5,"A",IF(H294&lt;'PlayerGrades+'!$AC$4,"A+",IF(H294&lt;'PlayerGrades+'!$AC$3,"S-",IF(H294&lt;'PlayerGrades+'!$AC$2,"S","S+"))))))))))))))))))))</f>
        <v>S-</v>
      </c>
      <c r="J294" s="937">
        <f t="shared" si="4"/>
        <v>0</v>
      </c>
      <c r="K294" s="937" t="str">
        <f>IF(J294&lt;'PlayerGrades+'!$AD$21,"F-",IF(J294&lt;'PlayerGrades+'!$AD$20,"F",IF(J294&lt;'PlayerGrades+'!$AD$19,"F+",IF(J294&lt;'PlayerGrades+'!$AD$18,"E-",IF(J294&lt;'PlayerGrades+'!$AD$17,"E",IF(J294&lt;'PlayerGrades+'!$AD$16,"E+",IF(J294&lt;'PlayerGrades+'!$AD$15,"D-",IF(J294&lt;'PlayerGrades+'!$AD$14,"D",IF(J294&lt;'PlayerGrades+'!$AD$13,"D+",IF(J294&lt;'PlayerGrades+'!$AD$12,"C-",IF(J294&lt;'PlayerGrades+'!$AD$11,"C",IF(J294&lt;'PlayerGrades+'!$AD$10,"C+",IF(J294&lt;'PlayerGrades+'!$AD$9,"B-",IF(J294&lt;'PlayerGrades+'!$AD$8,"B",IF(J294&lt;'PlayerGrades+'!$AD$7,"B+",IF(J294&lt;'PlayerGrades+'!$AD$6,"A-",IF(J294&lt;'PlayerGrades+'!$AD$5,"A",IF(J294&lt;'PlayerGrades+'!$AD$4,"A+",IF(J294&lt;'PlayerGrades+'!$AD$3,"S-",IF(J294&lt;'PlayerGrades+'!$AD$2,"S","S+"))))))))))))))))))))</f>
        <v>F-</v>
      </c>
      <c r="L294" s="677">
        <f t="shared" si="5"/>
        <v>0.3610832497</v>
      </c>
      <c r="M294" s="938" t="str">
        <f>IF(L294&lt;'PlayerGrades+'!$AE$21,"F-",IF(L294&lt;'PlayerGrades+'!$AE$20,"F",IF(L294&lt;'PlayerGrades+'!$AE$19,"F+",IF(L294&lt;'PlayerGrades+'!$AE$18,"E-",IF(L294&lt;'PlayerGrades+'!$AE$17,"E",IF(L294&lt;'PlayerGrades+'!$AE$16,"E+",IF(L294&lt;'PlayerGrades+'!$AE$15,"D-",IF(L294&lt;'PlayerGrades+'!$AE$14,"D",IF(L294&lt;'PlayerGrades+'!$AE$13,"D+",IF(L294&lt;'PlayerGrades+'!$AE$12,"C-",IF(L294&lt;'PlayerGrades+'!$AE$11,"C",IF(L294&lt;'PlayerGrades+'!$AE$10,"C+",IF(L294&lt;'PlayerGrades+'!$AE$9,"B-",IF(L294&lt;'PlayerGrades+'!$AE$8,"B",IF(L294&lt;'PlayerGrades+'!$AE$7,"B+",IF(L294&lt;'PlayerGrades+'!$AE$6,"A-",IF(L294&lt;'PlayerGrades+'!$AE$5,"A",IF(L294&lt;'PlayerGrades+'!$AE$4,"A+",IF(L294&lt;'PlayerGrades+'!$AE$3,"S-",IF(L294&lt;'PlayerGrades+'!$AE$2,"S","S+"))))))))))))))))))))</f>
        <v>D+</v>
      </c>
      <c r="N294" s="937">
        <f t="shared" si="6"/>
        <v>0</v>
      </c>
      <c r="O294" s="937" t="str">
        <f>IF(N294&lt;'PlayerGrades+'!$AF$21,"F-",IF(N294&lt;'PlayerGrades+'!$AF$20,"F",IF(N294&lt;'PlayerGrades+'!$AF$19,"F+",IF(N294&lt;'PlayerGrades+'!$AF$18,"E-",IF(N294&lt;'PlayerGrades+'!$AF$17,"E",IF(N294&lt;'PlayerGrades+'!$AF$16,"E+",IF(N294&lt;'PlayerGrades+'!$AF$15,"D-",IF(N294&lt;'PlayerGrades+'!$AF$14,"D",IF(N294&lt;'PlayerGrades+'!$AF$13,"D+",IF(N294&lt;'PlayerGrades+'!$AF$12,"C-",IF(N294&lt;'PlayerGrades+'!$AF$11,"C",IF(N294&lt;'PlayerGrades+'!$AF$10,"C+",IF(N294&lt;'PlayerGrades+'!$AF$9,"B-",IF(N294&lt;'PlayerGrades+'!$AF$8,"B",IF(N294&lt;'PlayerGrades+'!$AF$7,"B+",IF(N294&lt;'PlayerGrades+'!$AF$6,"A-",IF(N294&lt;'PlayerGrades+'!$AF$5,"A",IF(N294&lt;'PlayerGrades+'!$AF$4,"A+",IF(N294&lt;'PlayerGrades+'!$AF$3,"S-",IF(N294&lt;'PlayerGrades+'!$AF$2,"S","S+"))))))))))))))))))))</f>
        <v>F-</v>
      </c>
      <c r="P294" s="937">
        <f t="shared" si="7"/>
        <v>0</v>
      </c>
      <c r="Q294" s="937" t="str">
        <f>IF(P294&lt;'PlayerGrades+'!$AG$21,"F-",IF(P294&lt;'PlayerGrades+'!$AG$20,"F",IF(P294&lt;'PlayerGrades+'!$AG$19,"F+",IF(P294&lt;'PlayerGrades+'!$AG$18,"E-",IF(P294&lt;'PlayerGrades+'!$AG$17,"E",IF(P294&lt;'PlayerGrades+'!$AG$16,"E+",IF(P294&lt;'PlayerGrades+'!$AG$15,"D-",IF(P294&lt;'PlayerGrades+'!$AG$14,"D",IF(P294&lt;'PlayerGrades+'!$AG$13,"D+",IF(P294&lt;'PlayerGrades+'!$AG$12,"C-",IF(P294&lt;'PlayerGrades+'!$AG$11,"C",IF(P294&lt;'PlayerGrades+'!$AG$10,"C+",IF(P294&lt;'PlayerGrades+'!$AG$9,"B-",IF(P294&lt;'PlayerGrades+'!$AG$8,"B",IF(P294&lt;'PlayerGrades+'!$AG$7,"B+",IF(P294&lt;'PlayerGrades+'!$AG$6,"A-",IF(P294&lt;'PlayerGrades+'!$AG$5,"A",IF(P294&lt;'PlayerGrades+'!$AG$4,"A+",IF(P294&lt;'PlayerGrades+'!$AG$3,"S-",IF(P294&lt;'PlayerGrades+'!$AG$2,"S","S+"))))))))))))))))))))</f>
        <v>F</v>
      </c>
      <c r="R294" s="937">
        <f t="shared" si="8"/>
        <v>0.4212637914</v>
      </c>
      <c r="S294" s="937" t="str">
        <f>IF(R294&lt;'PlayerGrades+'!$AH$21,"F-",IF(R294&lt;'PlayerGrades+'!$AH$20,"F",IF(R294&lt;'PlayerGrades+'!$AH$19,"F+",IF(R294&lt;'PlayerGrades+'!$AH$18,"E-",IF(R294&lt;'PlayerGrades+'!$AH$17,"E",IF(R294&lt;'PlayerGrades+'!$AH$16,"E+",IF(R294&lt;'PlayerGrades+'!$AH$15,"D-",IF(R294&lt;'PlayerGrades+'!$AH$14,"D",IF(R294&lt;'PlayerGrades+'!$AH$13,"D+",IF(R294&lt;'PlayerGrades+'!$AH$12,"C-",IF(R294&lt;'PlayerGrades+'!$AH$11,"C",IF(R294&lt;'PlayerGrades+'!$AH$10,"C+",IF(R294&lt;'PlayerGrades+'!$AH$9,"B-",IF(R294&lt;'PlayerGrades+'!$AH$8,"B",IF(R294&lt;'PlayerGrades+'!$AH$7,"B+",IF(R294&lt;'PlayerGrades+'!$AH$6,"A-",IF(R294&lt;'PlayerGrades+'!$AH$5,"A",IF(R294&lt;'PlayerGrades+'!$AH$4,"A+",IF(R294&lt;'PlayerGrades+'!$AH$3,"S-",IF(R294&lt;'PlayerGrades+'!$AH$2,"S","S+"))))))))))))))))))))</f>
        <v>F+</v>
      </c>
      <c r="T294" s="937">
        <f t="shared" si="9"/>
        <v>2.601805416</v>
      </c>
      <c r="U294" s="937" t="str">
        <f>IF(T294&lt;'PlayerGrades+'!$AI$21,"F-",IF(T294&lt;'PlayerGrades+'!$AI$20,"F",IF(T294&lt;'PlayerGrades+'!$AI$19,"F+",IF(T294&lt;'PlayerGrades+'!$AI$18,"E-",IF(T294&lt;'PlayerGrades+'!$AI$17,"E",IF(T294&lt;'PlayerGrades+'!$AI$16,"E+",IF(T294&lt;'PlayerGrades+'!$AI$15,"D-",IF(T294&lt;'PlayerGrades+'!$AI$14,"D",IF(T294&lt;'PlayerGrades+'!$AI$13,"D+",IF(T294&lt;'PlayerGrades+'!$AI$12,"C-",IF(T294&lt;'PlayerGrades+'!$AI$11,"C",IF(T294&lt;'PlayerGrades+'!$AI$10,"C+",IF(T294&lt;'PlayerGrades+'!$AI$9,"B-",IF(T294&lt;'PlayerGrades+'!$AI$8,"B",IF(T294&lt;'PlayerGrades+'!$AI$7,"B+",IF(T294&lt;'PlayerGrades+'!$AI$6,"A-",IF(T294&lt;'PlayerGrades+'!$AI$5,"A",IF(T294&lt;'PlayerGrades+'!$AI$4,"A+",IF(T294&lt;'PlayerGrades+'!$AI$3,"S-",IF(T294&lt;'PlayerGrades+'!$AI$2,"S","S+"))))))))))))))))))))</f>
        <v>S+</v>
      </c>
      <c r="V294" s="941">
        <v>1.0</v>
      </c>
      <c r="W294" s="941">
        <v>0.0</v>
      </c>
      <c r="X294" s="941">
        <v>1.0</v>
      </c>
      <c r="Y294" s="941">
        <v>0.0</v>
      </c>
      <c r="Z294" s="941">
        <v>0.0</v>
      </c>
      <c r="AA294" s="941">
        <v>45.0</v>
      </c>
      <c r="AB294" s="941">
        <v>63.0</v>
      </c>
      <c r="AC294" s="941">
        <v>-18.0</v>
      </c>
      <c r="AD294" s="941">
        <v>2.0</v>
      </c>
      <c r="AE294" s="941">
        <v>3.0</v>
      </c>
      <c r="AF294" s="941">
        <v>0.0</v>
      </c>
      <c r="AG294" s="941">
        <v>742.0</v>
      </c>
      <c r="AH294" s="941">
        <v>997.0</v>
      </c>
      <c r="AI294" s="941">
        <v>11.0</v>
      </c>
      <c r="AJ294" s="941">
        <v>5.0</v>
      </c>
      <c r="AK294" s="941">
        <v>0.0</v>
      </c>
      <c r="AL294" s="941">
        <v>0.0</v>
      </c>
      <c r="AM294" s="941">
        <v>0.0</v>
      </c>
      <c r="AN294" s="941">
        <v>0.0</v>
      </c>
      <c r="AO294" s="941">
        <v>0.0</v>
      </c>
      <c r="AP294" s="941">
        <v>0.0</v>
      </c>
      <c r="AQ294" s="941">
        <v>0.0</v>
      </c>
      <c r="AR294" s="941">
        <v>6.0</v>
      </c>
      <c r="AS294" s="941">
        <v>0.0</v>
      </c>
      <c r="AT294" s="941">
        <v>0.0</v>
      </c>
      <c r="AU294" s="941">
        <v>0.0</v>
      </c>
      <c r="AV294" s="941">
        <v>0.0</v>
      </c>
      <c r="AW294" s="941">
        <v>0.0</v>
      </c>
      <c r="AX294" s="941">
        <v>0.0</v>
      </c>
      <c r="AY294" s="941">
        <v>0.0</v>
      </c>
      <c r="AZ294" s="941">
        <v>0.0</v>
      </c>
      <c r="BA294" s="941">
        <v>0.0</v>
      </c>
      <c r="BB294" s="941">
        <v>3.0</v>
      </c>
      <c r="BC294" s="941">
        <v>0.0</v>
      </c>
      <c r="BD294" s="941">
        <v>5.0</v>
      </c>
      <c r="BE294" s="941">
        <v>10.0</v>
      </c>
      <c r="BF294" s="941">
        <v>2.0</v>
      </c>
      <c r="BG294" s="942">
        <v>0.0</v>
      </c>
    </row>
    <row r="295">
      <c r="A295" s="935" t="s">
        <v>114</v>
      </c>
      <c r="B295" s="16" t="str">
        <f>IF(C295&lt;'PlayerGrades+'!$Y$44,"F-",IF(C295&lt;'PlayerGrades+'!$Y$43,"F",IF(C295&lt;'PlayerGrades+'!$Y$42,"F+",IF(C295&lt;'PlayerGrades+'!$Y$41,"E-",IF(C295&lt;'PlayerGrades+'!$Y$40,"E",IF(C295&lt;'PlayerGrades+'!$Y$39,"E+",IF(C295&lt;'PlayerGrades+'!$Y$38,"D-",IF(C295&lt;'PlayerGrades+'!$Y$37,"D",IF(C295&lt;'PlayerGrades+'!$Y$36,"D+",IF(C295&lt;'PlayerGrades+'!$Y$35,"C-",IF(C295&lt;'PlayerGrades+'!$Y$34,"C",IF(C295&lt;'PlayerGrades+'!$Y$33,"C+",IF(C295&lt;'PlayerGrades+'!$Y$32,"B-",IF(C295&lt;'PlayerGrades+'!$Y$31,"B",IF(C295&lt;'PlayerGrades+'!$Y$30,"B+",IF(C295&lt;'PlayerGrades+'!$Y$29,"A-",IF(C295&lt;'PlayerGrades+'!$Y$28,"A",IF(C295&lt;'PlayerGrades+'!$Y$27,"A+",IF(C295&lt;'PlayerGrades+'!$Y$26,"S-",IF(C295&lt;'PlayerGrades+'!$Y$25,"S","S+"))))))))))))))))))))</f>
        <v>D+</v>
      </c>
      <c r="C295" s="936">
        <f>('PlayerGrades+'!$Y$47*(VLOOKUP(E295, 'PlayerGrades+'!$X$3:$Y$23, 2, FALSE)))+('PlayerGrades+'!$Y$48*(VLOOKUP(G295, 'PlayerGrades+'!$X$3:$Y$23, 2, FALSE)))+('PlayerGrades+'!$Y$49*(VLOOKUP(I295, 'PlayerGrades+'!$X$3:$Y$23, 2, FALSE)))+('PlayerGrades+'!$Y$50*(VLOOKUP(K295, 'PlayerGrades+'!$X$3:$Y$23, 2, FALSE)))+('PlayerGrades+'!$Y$51*(VLOOKUP(M295, 'PlayerGrades+'!$X$3:$Y$23, 2, FALSE)))+('PlayerGrades+'!$Y$52*(VLOOKUP(O295, 'PlayerGrades+'!$X$3:$Y$23, 2, FALSE)))+('PlayerGrades+'!$Y$53*(VLOOKUP(Q295, 'PlayerGrades+'!$X$3:$Y$23, 2, FALSE)))+('PlayerGrades+'!$Y$54*(VLOOKUP(S295, 'PlayerGrades+'!$X$3:$Y$23, 2, FALSE)))+('PlayerGrades+'!$Y$55*(VLOOKUP(U295, 'PlayerGrades+'!$X$3:$Y$23, 2, FALSE)))</f>
        <v>17.4</v>
      </c>
      <c r="D295" s="937">
        <f t="shared" si="1"/>
        <v>0.6619859579</v>
      </c>
      <c r="E295" s="937" t="str">
        <f>IF(D295&lt;'PlayerGrades+'!$AA$21,"F-",IF(D295&lt;'PlayerGrades+'!$AA$20,"F",IF(D295&lt;'PlayerGrades+'!$AA$19,"F+",IF(D295&lt;'PlayerGrades+'!$AA$18,"E-",IF(D295&lt;'PlayerGrades+'!$AA$17,"E",IF(D295&lt;'PlayerGrades+'!$AA$16,"E+",IF(D295&lt;'PlayerGrades+'!$AA$15,"D-",IF(D295&lt;'PlayerGrades+'!$AA$14,"D",IF(D295&lt;'PlayerGrades+'!$AA$13,"D+",IF(D295&lt;'PlayerGrades+'!$AA$12,"C-",IF(D295&lt;'PlayerGrades+'!$AA$11,"C",IF(D295&lt;'PlayerGrades+'!$AA$10,"C+",IF(D295&lt;'PlayerGrades+'!$AA$9,"B-",IF(D295&lt;'PlayerGrades+'!$AA$8,"B",IF(D295&lt;'PlayerGrades+'!$AA$7,"B+",IF(D295&lt;'PlayerGrades+'!$AA$6,"A-",IF(D295&lt;'PlayerGrades+'!$AA$5,"A",IF(D295&lt;'PlayerGrades+'!$AA$4,"A+",IF(D295&lt;'PlayerGrades+'!$AA$3,"S-",IF(D295&lt;'PlayerGrades+'!$AA$2,"S","S+"))))))))))))))))))))</f>
        <v>S</v>
      </c>
      <c r="F295" s="937">
        <f t="shared" si="2"/>
        <v>-0.1203610832</v>
      </c>
      <c r="G295" s="937" t="str">
        <f>IF(F295&lt;'PlayerGrades+'!$AB$21,"F-",IF(F295&lt;'PlayerGrades+'!$AB$20,"F",IF(F295&lt;'PlayerGrades+'!$AB$19,"F+",IF(F295&lt;'PlayerGrades+'!$AB$18,"E-",IF(F295&lt;'PlayerGrades+'!$AB$17,"E",IF(F295&lt;'PlayerGrades+'!$AB$16,"E+",IF(F295&lt;'PlayerGrades+'!$AB$15,"D-",IF(F295&lt;'PlayerGrades+'!$AB$14,"D",IF(F295&lt;'PlayerGrades+'!$AB$13,"D+",IF(F295&lt;'PlayerGrades+'!$AB$12,"C-",IF(F295&lt;'PlayerGrades+'!$AB$11,"C",IF(F295&lt;'PlayerGrades+'!$AB$10,"C+",IF(F295&lt;'PlayerGrades+'!$AB$9,"B-",IF(F295&lt;'PlayerGrades+'!$AB$8,"B",IF(F295&lt;'PlayerGrades+'!$AB$7,"B+",IF(F295&lt;'PlayerGrades+'!$AB$6,"A-",IF(F295&lt;'PlayerGrades+'!$AB$5,"A",IF(F295&lt;'PlayerGrades+'!$AB$4,"A+",IF(F295&lt;'PlayerGrades+'!$AB$3,"S-",IF(F295&lt;'PlayerGrades+'!$AB$2,"S","S+"))))))))))))))))))))</f>
        <v>C+</v>
      </c>
      <c r="H295" s="937">
        <f t="shared" si="3"/>
        <v>0.1203610832</v>
      </c>
      <c r="I295" s="937" t="str">
        <f>IF(H295&lt;'PlayerGrades+'!$AC$21,"F-",IF(H295&lt;'PlayerGrades+'!$AC$20,"F",IF(H295&lt;'PlayerGrades+'!$AC$19,"F+",IF(H295&lt;'PlayerGrades+'!$AC$18,"E-",IF(H295&lt;'PlayerGrades+'!$AC$17,"E",IF(H295&lt;'PlayerGrades+'!$AC$16,"E+",IF(H295&lt;'PlayerGrades+'!$AC$15,"D-",IF(H295&lt;'PlayerGrades+'!$AC$14,"D",IF(H295&lt;'PlayerGrades+'!$AC$13,"D+",IF(H295&lt;'PlayerGrades+'!$AC$12,"C-",IF(H295&lt;'PlayerGrades+'!$AC$11,"C",IF(H295&lt;'PlayerGrades+'!$AC$10,"C+",IF(H295&lt;'PlayerGrades+'!$AC$9,"B-",IF(H295&lt;'PlayerGrades+'!$AC$8,"B",IF(H295&lt;'PlayerGrades+'!$AC$7,"B+",IF(H295&lt;'PlayerGrades+'!$AC$6,"A-",IF(H295&lt;'PlayerGrades+'!$AC$5,"A",IF(H295&lt;'PlayerGrades+'!$AC$4,"A+",IF(H295&lt;'PlayerGrades+'!$AC$3,"S-",IF(H295&lt;'PlayerGrades+'!$AC$2,"S","S+"))))))))))))))))))))</f>
        <v>C+</v>
      </c>
      <c r="J295" s="937">
        <f t="shared" si="4"/>
        <v>0.06018054162</v>
      </c>
      <c r="K295" s="937" t="str">
        <f>IF(J295&lt;'PlayerGrades+'!$AD$21,"F-",IF(J295&lt;'PlayerGrades+'!$AD$20,"F",IF(J295&lt;'PlayerGrades+'!$AD$19,"F+",IF(J295&lt;'PlayerGrades+'!$AD$18,"E-",IF(J295&lt;'PlayerGrades+'!$AD$17,"E",IF(J295&lt;'PlayerGrades+'!$AD$16,"E+",IF(J295&lt;'PlayerGrades+'!$AD$15,"D-",IF(J295&lt;'PlayerGrades+'!$AD$14,"D",IF(J295&lt;'PlayerGrades+'!$AD$13,"D+",IF(J295&lt;'PlayerGrades+'!$AD$12,"C-",IF(J295&lt;'PlayerGrades+'!$AD$11,"C",IF(J295&lt;'PlayerGrades+'!$AD$10,"C+",IF(J295&lt;'PlayerGrades+'!$AD$9,"B-",IF(J295&lt;'PlayerGrades+'!$AD$8,"B",IF(J295&lt;'PlayerGrades+'!$AD$7,"B+",IF(J295&lt;'PlayerGrades+'!$AD$6,"A-",IF(J295&lt;'PlayerGrades+'!$AD$5,"A",IF(J295&lt;'PlayerGrades+'!$AD$4,"A+",IF(J295&lt;'PlayerGrades+'!$AD$3,"S-",IF(J295&lt;'PlayerGrades+'!$AD$2,"S","S+"))))))))))))))))))))</f>
        <v>B+</v>
      </c>
      <c r="L295" s="677">
        <f t="shared" si="5"/>
        <v>0.1203610832</v>
      </c>
      <c r="M295" s="938" t="str">
        <f>IF(L295&lt;'PlayerGrades+'!$AE$21,"F-",IF(L295&lt;'PlayerGrades+'!$AE$20,"F",IF(L295&lt;'PlayerGrades+'!$AE$19,"F+",IF(L295&lt;'PlayerGrades+'!$AE$18,"E-",IF(L295&lt;'PlayerGrades+'!$AE$17,"E",IF(L295&lt;'PlayerGrades+'!$AE$16,"E+",IF(L295&lt;'PlayerGrades+'!$AE$15,"D-",IF(L295&lt;'PlayerGrades+'!$AE$14,"D",IF(L295&lt;'PlayerGrades+'!$AE$13,"D+",IF(L295&lt;'PlayerGrades+'!$AE$12,"C-",IF(L295&lt;'PlayerGrades+'!$AE$11,"C",IF(L295&lt;'PlayerGrades+'!$AE$10,"C+",IF(L295&lt;'PlayerGrades+'!$AE$9,"B-",IF(L295&lt;'PlayerGrades+'!$AE$8,"B",IF(L295&lt;'PlayerGrades+'!$AE$7,"B+",IF(L295&lt;'PlayerGrades+'!$AE$6,"A-",IF(L295&lt;'PlayerGrades+'!$AE$5,"A",IF(L295&lt;'PlayerGrades+'!$AE$4,"A+",IF(L295&lt;'PlayerGrades+'!$AE$3,"S-",IF(L295&lt;'PlayerGrades+'!$AE$2,"S","S+"))))))))))))))))))))</f>
        <v>F-</v>
      </c>
      <c r="N295" s="937">
        <f t="shared" si="6"/>
        <v>0</v>
      </c>
      <c r="O295" s="937" t="str">
        <f>IF(N295&lt;'PlayerGrades+'!$AF$21,"F-",IF(N295&lt;'PlayerGrades+'!$AF$20,"F",IF(N295&lt;'PlayerGrades+'!$AF$19,"F+",IF(N295&lt;'PlayerGrades+'!$AF$18,"E-",IF(N295&lt;'PlayerGrades+'!$AF$17,"E",IF(N295&lt;'PlayerGrades+'!$AF$16,"E+",IF(N295&lt;'PlayerGrades+'!$AF$15,"D-",IF(N295&lt;'PlayerGrades+'!$AF$14,"D",IF(N295&lt;'PlayerGrades+'!$AF$13,"D+",IF(N295&lt;'PlayerGrades+'!$AF$12,"C-",IF(N295&lt;'PlayerGrades+'!$AF$11,"C",IF(N295&lt;'PlayerGrades+'!$AF$10,"C+",IF(N295&lt;'PlayerGrades+'!$AF$9,"B-",IF(N295&lt;'PlayerGrades+'!$AF$8,"B",IF(N295&lt;'PlayerGrades+'!$AF$7,"B+",IF(N295&lt;'PlayerGrades+'!$AF$6,"A-",IF(N295&lt;'PlayerGrades+'!$AF$5,"A",IF(N295&lt;'PlayerGrades+'!$AF$4,"A+",IF(N295&lt;'PlayerGrades+'!$AF$3,"S-",IF(N295&lt;'PlayerGrades+'!$AF$2,"S","S+"))))))))))))))))))))</f>
        <v>F-</v>
      </c>
      <c r="P295" s="937">
        <f t="shared" si="7"/>
        <v>0</v>
      </c>
      <c r="Q295" s="937" t="str">
        <f>IF(P295&lt;'PlayerGrades+'!$AG$21,"F-",IF(P295&lt;'PlayerGrades+'!$AG$20,"F",IF(P295&lt;'PlayerGrades+'!$AG$19,"F+",IF(P295&lt;'PlayerGrades+'!$AG$18,"E-",IF(P295&lt;'PlayerGrades+'!$AG$17,"E",IF(P295&lt;'PlayerGrades+'!$AG$16,"E+",IF(P295&lt;'PlayerGrades+'!$AG$15,"D-",IF(P295&lt;'PlayerGrades+'!$AG$14,"D",IF(P295&lt;'PlayerGrades+'!$AG$13,"D+",IF(P295&lt;'PlayerGrades+'!$AG$12,"C-",IF(P295&lt;'PlayerGrades+'!$AG$11,"C",IF(P295&lt;'PlayerGrades+'!$AG$10,"C+",IF(P295&lt;'PlayerGrades+'!$AG$9,"B-",IF(P295&lt;'PlayerGrades+'!$AG$8,"B",IF(P295&lt;'PlayerGrades+'!$AG$7,"B+",IF(P295&lt;'PlayerGrades+'!$AG$6,"A-",IF(P295&lt;'PlayerGrades+'!$AG$5,"A",IF(P295&lt;'PlayerGrades+'!$AG$4,"A+",IF(P295&lt;'PlayerGrades+'!$AG$3,"S-",IF(P295&lt;'PlayerGrades+'!$AG$2,"S","S+"))))))))))))))))))))</f>
        <v>F</v>
      </c>
      <c r="R295" s="937">
        <f t="shared" si="8"/>
        <v>0.6018054162</v>
      </c>
      <c r="S295" s="937" t="str">
        <f>IF(R295&lt;'PlayerGrades+'!$AH$21,"F-",IF(R295&lt;'PlayerGrades+'!$AH$20,"F",IF(R295&lt;'PlayerGrades+'!$AH$19,"F+",IF(R295&lt;'PlayerGrades+'!$AH$18,"E-",IF(R295&lt;'PlayerGrades+'!$AH$17,"E",IF(R295&lt;'PlayerGrades+'!$AH$16,"E+",IF(R295&lt;'PlayerGrades+'!$AH$15,"D-",IF(R295&lt;'PlayerGrades+'!$AH$14,"D",IF(R295&lt;'PlayerGrades+'!$AH$13,"D+",IF(R295&lt;'PlayerGrades+'!$AH$12,"C-",IF(R295&lt;'PlayerGrades+'!$AH$11,"C",IF(R295&lt;'PlayerGrades+'!$AH$10,"C+",IF(R295&lt;'PlayerGrades+'!$AH$9,"B-",IF(R295&lt;'PlayerGrades+'!$AH$8,"B",IF(R295&lt;'PlayerGrades+'!$AH$7,"B+",IF(R295&lt;'PlayerGrades+'!$AH$6,"A-",IF(R295&lt;'PlayerGrades+'!$AH$5,"A",IF(R295&lt;'PlayerGrades+'!$AH$4,"A+",IF(R295&lt;'PlayerGrades+'!$AH$3,"S-",IF(R295&lt;'PlayerGrades+'!$AH$2,"S","S+"))))))))))))))))))))</f>
        <v>A-</v>
      </c>
      <c r="T295" s="937">
        <f t="shared" si="9"/>
        <v>0.3610832497</v>
      </c>
      <c r="U295" s="937" t="str">
        <f>IF(T295&lt;'PlayerGrades+'!$AI$21,"F-",IF(T295&lt;'PlayerGrades+'!$AI$20,"F",IF(T295&lt;'PlayerGrades+'!$AI$19,"F+",IF(T295&lt;'PlayerGrades+'!$AI$18,"E-",IF(T295&lt;'PlayerGrades+'!$AI$17,"E",IF(T295&lt;'PlayerGrades+'!$AI$16,"E+",IF(T295&lt;'PlayerGrades+'!$AI$15,"D-",IF(T295&lt;'PlayerGrades+'!$AI$14,"D",IF(T295&lt;'PlayerGrades+'!$AI$13,"D+",IF(T295&lt;'PlayerGrades+'!$AI$12,"C-",IF(T295&lt;'PlayerGrades+'!$AI$11,"C",IF(T295&lt;'PlayerGrades+'!$AI$10,"C+",IF(T295&lt;'PlayerGrades+'!$AI$9,"B-",IF(T295&lt;'PlayerGrades+'!$AI$8,"B",IF(T295&lt;'PlayerGrades+'!$AI$7,"B+",IF(T295&lt;'PlayerGrades+'!$AI$6,"A-",IF(T295&lt;'PlayerGrades+'!$AI$5,"A",IF(T295&lt;'PlayerGrades+'!$AI$4,"A+",IF(T295&lt;'PlayerGrades+'!$AI$3,"S-",IF(T295&lt;'PlayerGrades+'!$AI$2,"S","S+"))))))))))))))))))))</f>
        <v>F-</v>
      </c>
      <c r="V295" s="941">
        <v>1.0</v>
      </c>
      <c r="W295" s="941">
        <v>0.0</v>
      </c>
      <c r="X295" s="941">
        <v>1.0</v>
      </c>
      <c r="Y295" s="941">
        <v>0.0</v>
      </c>
      <c r="Z295" s="941">
        <v>11.0</v>
      </c>
      <c r="AA295" s="941">
        <v>30.0</v>
      </c>
      <c r="AB295" s="941">
        <v>32.0</v>
      </c>
      <c r="AC295" s="941">
        <v>-2.0</v>
      </c>
      <c r="AD295" s="941">
        <v>1.0</v>
      </c>
      <c r="AE295" s="941">
        <v>7.0</v>
      </c>
      <c r="AF295" s="941">
        <v>1.0</v>
      </c>
      <c r="AG295" s="941">
        <v>837.0</v>
      </c>
      <c r="AH295" s="941">
        <v>997.0</v>
      </c>
      <c r="AI295" s="941">
        <v>26.0</v>
      </c>
      <c r="AJ295" s="941">
        <v>402.0</v>
      </c>
      <c r="AK295" s="941">
        <v>0.0</v>
      </c>
      <c r="AL295" s="941">
        <v>1.0</v>
      </c>
      <c r="AM295" s="941">
        <v>0.0</v>
      </c>
      <c r="AN295" s="941">
        <v>0.0</v>
      </c>
      <c r="AO295" s="941">
        <v>0.0</v>
      </c>
      <c r="AP295" s="941">
        <v>0.0</v>
      </c>
      <c r="AQ295" s="941">
        <v>0.0</v>
      </c>
      <c r="AR295" s="941">
        <v>2.0</v>
      </c>
      <c r="AS295" s="941">
        <v>0.0</v>
      </c>
      <c r="AT295" s="941">
        <v>0.0</v>
      </c>
      <c r="AU295" s="941">
        <v>0.0</v>
      </c>
      <c r="AV295" s="941">
        <v>0.0</v>
      </c>
      <c r="AW295" s="941">
        <v>0.0</v>
      </c>
      <c r="AX295" s="941">
        <v>0.0</v>
      </c>
      <c r="AY295" s="941">
        <v>0.0</v>
      </c>
      <c r="AZ295" s="941">
        <v>0.0</v>
      </c>
      <c r="BA295" s="941">
        <v>0.0</v>
      </c>
      <c r="BB295" s="941">
        <v>2.0</v>
      </c>
      <c r="BC295" s="941">
        <v>0.0</v>
      </c>
      <c r="BD295" s="941">
        <v>9.0</v>
      </c>
      <c r="BE295" s="941">
        <v>6.0</v>
      </c>
      <c r="BF295" s="941">
        <v>0.0</v>
      </c>
      <c r="BG295" s="942">
        <v>0.0</v>
      </c>
    </row>
    <row r="296">
      <c r="A296" s="935" t="s">
        <v>132</v>
      </c>
      <c r="B296" s="16" t="str">
        <f>IF(C296&lt;'PlayerGrades+'!$Y$44,"F-",IF(C296&lt;'PlayerGrades+'!$Y$43,"F",IF(C296&lt;'PlayerGrades+'!$Y$42,"F+",IF(C296&lt;'PlayerGrades+'!$Y$41,"E-",IF(C296&lt;'PlayerGrades+'!$Y$40,"E",IF(C296&lt;'PlayerGrades+'!$Y$39,"E+",IF(C296&lt;'PlayerGrades+'!$Y$38,"D-",IF(C296&lt;'PlayerGrades+'!$Y$37,"D",IF(C296&lt;'PlayerGrades+'!$Y$36,"D+",IF(C296&lt;'PlayerGrades+'!$Y$35,"C-",IF(C296&lt;'PlayerGrades+'!$Y$34,"C",IF(C296&lt;'PlayerGrades+'!$Y$33,"C+",IF(C296&lt;'PlayerGrades+'!$Y$32,"B-",IF(C296&lt;'PlayerGrades+'!$Y$31,"B",IF(C296&lt;'PlayerGrades+'!$Y$30,"B+",IF(C296&lt;'PlayerGrades+'!$Y$29,"A-",IF(C296&lt;'PlayerGrades+'!$Y$28,"A",IF(C296&lt;'PlayerGrades+'!$Y$27,"A+",IF(C296&lt;'PlayerGrades+'!$Y$26,"S-",IF(C296&lt;'PlayerGrades+'!$Y$25,"S","S+"))))))))))))))))))))</f>
        <v>A</v>
      </c>
      <c r="C296" s="936">
        <f>('PlayerGrades+'!$Y$47*(VLOOKUP(E296, 'PlayerGrades+'!$X$3:$Y$23, 2, FALSE)))+('PlayerGrades+'!$Y$48*(VLOOKUP(G296, 'PlayerGrades+'!$X$3:$Y$23, 2, FALSE)))+('PlayerGrades+'!$Y$49*(VLOOKUP(I296, 'PlayerGrades+'!$X$3:$Y$23, 2, FALSE)))+('PlayerGrades+'!$Y$50*(VLOOKUP(K296, 'PlayerGrades+'!$X$3:$Y$23, 2, FALSE)))+('PlayerGrades+'!$Y$51*(VLOOKUP(M296, 'PlayerGrades+'!$X$3:$Y$23, 2, FALSE)))+('PlayerGrades+'!$Y$52*(VLOOKUP(O296, 'PlayerGrades+'!$X$3:$Y$23, 2, FALSE)))+('PlayerGrades+'!$Y$53*(VLOOKUP(Q296, 'PlayerGrades+'!$X$3:$Y$23, 2, FALSE)))+('PlayerGrades+'!$Y$54*(VLOOKUP(S296, 'PlayerGrades+'!$X$3:$Y$23, 2, FALSE)))+('PlayerGrades+'!$Y$55*(VLOOKUP(U296, 'PlayerGrades+'!$X$3:$Y$23, 2, FALSE)))</f>
        <v>27.65</v>
      </c>
      <c r="D296" s="937">
        <f t="shared" si="1"/>
        <v>0</v>
      </c>
      <c r="E296" s="937" t="str">
        <f>IF(D296&lt;'PlayerGrades+'!$AA$21,"F-",IF(D296&lt;'PlayerGrades+'!$AA$20,"F",IF(D296&lt;'PlayerGrades+'!$AA$19,"F+",IF(D296&lt;'PlayerGrades+'!$AA$18,"E-",IF(D296&lt;'PlayerGrades+'!$AA$17,"E",IF(D296&lt;'PlayerGrades+'!$AA$16,"E+",IF(D296&lt;'PlayerGrades+'!$AA$15,"D-",IF(D296&lt;'PlayerGrades+'!$AA$14,"D",IF(D296&lt;'PlayerGrades+'!$AA$13,"D+",IF(D296&lt;'PlayerGrades+'!$AA$12,"C-",IF(D296&lt;'PlayerGrades+'!$AA$11,"C",IF(D296&lt;'PlayerGrades+'!$AA$10,"C+",IF(D296&lt;'PlayerGrades+'!$AA$9,"B-",IF(D296&lt;'PlayerGrades+'!$AA$8,"B",IF(D296&lt;'PlayerGrades+'!$AA$7,"B+",IF(D296&lt;'PlayerGrades+'!$AA$6,"A-",IF(D296&lt;'PlayerGrades+'!$AA$5,"A",IF(D296&lt;'PlayerGrades+'!$AA$4,"A+",IF(D296&lt;'PlayerGrades+'!$AA$3,"S-",IF(D296&lt;'PlayerGrades+'!$AA$2,"S","S+"))))))))))))))))))))</f>
        <v>F-</v>
      </c>
      <c r="F296" s="937">
        <f t="shared" si="2"/>
        <v>0.6018054162</v>
      </c>
      <c r="G296" s="937" t="str">
        <f>IF(F296&lt;'PlayerGrades+'!$AB$21,"F-",IF(F296&lt;'PlayerGrades+'!$AB$20,"F",IF(F296&lt;'PlayerGrades+'!$AB$19,"F+",IF(F296&lt;'PlayerGrades+'!$AB$18,"E-",IF(F296&lt;'PlayerGrades+'!$AB$17,"E",IF(F296&lt;'PlayerGrades+'!$AB$16,"E+",IF(F296&lt;'PlayerGrades+'!$AB$15,"D-",IF(F296&lt;'PlayerGrades+'!$AB$14,"D",IF(F296&lt;'PlayerGrades+'!$AB$13,"D+",IF(F296&lt;'PlayerGrades+'!$AB$12,"C-",IF(F296&lt;'PlayerGrades+'!$AB$11,"C",IF(F296&lt;'PlayerGrades+'!$AB$10,"C+",IF(F296&lt;'PlayerGrades+'!$AB$9,"B-",IF(F296&lt;'PlayerGrades+'!$AB$8,"B",IF(F296&lt;'PlayerGrades+'!$AB$7,"B+",IF(F296&lt;'PlayerGrades+'!$AB$6,"A-",IF(F296&lt;'PlayerGrades+'!$AB$5,"A",IF(F296&lt;'PlayerGrades+'!$AB$4,"A+",IF(F296&lt;'PlayerGrades+'!$AB$3,"S-",IF(F296&lt;'PlayerGrades+'!$AB$2,"S","S+"))))))))))))))))))))</f>
        <v>S-</v>
      </c>
      <c r="H296" s="937">
        <f t="shared" si="3"/>
        <v>0.2407221665</v>
      </c>
      <c r="I296" s="937" t="str">
        <f>IF(H296&lt;'PlayerGrades+'!$AC$21,"F-",IF(H296&lt;'PlayerGrades+'!$AC$20,"F",IF(H296&lt;'PlayerGrades+'!$AC$19,"F+",IF(H296&lt;'PlayerGrades+'!$AC$18,"E-",IF(H296&lt;'PlayerGrades+'!$AC$17,"E",IF(H296&lt;'PlayerGrades+'!$AC$16,"E+",IF(H296&lt;'PlayerGrades+'!$AC$15,"D-",IF(H296&lt;'PlayerGrades+'!$AC$14,"D",IF(H296&lt;'PlayerGrades+'!$AC$13,"D+",IF(H296&lt;'PlayerGrades+'!$AC$12,"C-",IF(H296&lt;'PlayerGrades+'!$AC$11,"C",IF(H296&lt;'PlayerGrades+'!$AC$10,"C+",IF(H296&lt;'PlayerGrades+'!$AC$9,"B-",IF(H296&lt;'PlayerGrades+'!$AC$8,"B",IF(H296&lt;'PlayerGrades+'!$AC$7,"B+",IF(H296&lt;'PlayerGrades+'!$AC$6,"A-",IF(H296&lt;'PlayerGrades+'!$AC$5,"A",IF(H296&lt;'PlayerGrades+'!$AC$4,"A+",IF(H296&lt;'PlayerGrades+'!$AC$3,"S-",IF(H296&lt;'PlayerGrades+'!$AC$2,"S","S+"))))))))))))))))))))</f>
        <v>S</v>
      </c>
      <c r="J296" s="937">
        <f t="shared" si="4"/>
        <v>0.1203610832</v>
      </c>
      <c r="K296" s="937" t="str">
        <f>IF(J296&lt;'PlayerGrades+'!$AD$21,"F-",IF(J296&lt;'PlayerGrades+'!$AD$20,"F",IF(J296&lt;'PlayerGrades+'!$AD$19,"F+",IF(J296&lt;'PlayerGrades+'!$AD$18,"E-",IF(J296&lt;'PlayerGrades+'!$AD$17,"E",IF(J296&lt;'PlayerGrades+'!$AD$16,"E+",IF(J296&lt;'PlayerGrades+'!$AD$15,"D-",IF(J296&lt;'PlayerGrades+'!$AD$14,"D",IF(J296&lt;'PlayerGrades+'!$AD$13,"D+",IF(J296&lt;'PlayerGrades+'!$AD$12,"C-",IF(J296&lt;'PlayerGrades+'!$AD$11,"C",IF(J296&lt;'PlayerGrades+'!$AD$10,"C+",IF(J296&lt;'PlayerGrades+'!$AD$9,"B-",IF(J296&lt;'PlayerGrades+'!$AD$8,"B",IF(J296&lt;'PlayerGrades+'!$AD$7,"B+",IF(J296&lt;'PlayerGrades+'!$AD$6,"A-",IF(J296&lt;'PlayerGrades+'!$AD$5,"A",IF(J296&lt;'PlayerGrades+'!$AD$4,"A+",IF(J296&lt;'PlayerGrades+'!$AD$3,"S-",IF(J296&lt;'PlayerGrades+'!$AD$2,"S","S+"))))))))))))))))))))</f>
        <v>S+</v>
      </c>
      <c r="L296" s="677">
        <f t="shared" si="5"/>
        <v>0.7221664995</v>
      </c>
      <c r="M296" s="938" t="str">
        <f>IF(L296&lt;'PlayerGrades+'!$AE$21,"F-",IF(L296&lt;'PlayerGrades+'!$AE$20,"F",IF(L296&lt;'PlayerGrades+'!$AE$19,"F+",IF(L296&lt;'PlayerGrades+'!$AE$18,"E-",IF(L296&lt;'PlayerGrades+'!$AE$17,"E",IF(L296&lt;'PlayerGrades+'!$AE$16,"E+",IF(L296&lt;'PlayerGrades+'!$AE$15,"D-",IF(L296&lt;'PlayerGrades+'!$AE$14,"D",IF(L296&lt;'PlayerGrades+'!$AE$13,"D+",IF(L296&lt;'PlayerGrades+'!$AE$12,"C-",IF(L296&lt;'PlayerGrades+'!$AE$11,"C",IF(L296&lt;'PlayerGrades+'!$AE$10,"C+",IF(L296&lt;'PlayerGrades+'!$AE$9,"B-",IF(L296&lt;'PlayerGrades+'!$AE$8,"B",IF(L296&lt;'PlayerGrades+'!$AE$7,"B+",IF(L296&lt;'PlayerGrades+'!$AE$6,"A-",IF(L296&lt;'PlayerGrades+'!$AE$5,"A",IF(L296&lt;'PlayerGrades+'!$AE$4,"A+",IF(L296&lt;'PlayerGrades+'!$AE$3,"S-",IF(L296&lt;'PlayerGrades+'!$AE$2,"S","S+"))))))))))))))))))))</f>
        <v>S+</v>
      </c>
      <c r="N296" s="937">
        <f t="shared" si="6"/>
        <v>0.1203610832</v>
      </c>
      <c r="O296" s="937" t="str">
        <f>IF(N296&lt;'PlayerGrades+'!$AF$21,"F-",IF(N296&lt;'PlayerGrades+'!$AF$20,"F",IF(N296&lt;'PlayerGrades+'!$AF$19,"F+",IF(N296&lt;'PlayerGrades+'!$AF$18,"E-",IF(N296&lt;'PlayerGrades+'!$AF$17,"E",IF(N296&lt;'PlayerGrades+'!$AF$16,"E+",IF(N296&lt;'PlayerGrades+'!$AF$15,"D-",IF(N296&lt;'PlayerGrades+'!$AF$14,"D",IF(N296&lt;'PlayerGrades+'!$AF$13,"D+",IF(N296&lt;'PlayerGrades+'!$AF$12,"C-",IF(N296&lt;'PlayerGrades+'!$AF$11,"C",IF(N296&lt;'PlayerGrades+'!$AF$10,"C+",IF(N296&lt;'PlayerGrades+'!$AF$9,"B-",IF(N296&lt;'PlayerGrades+'!$AF$8,"B",IF(N296&lt;'PlayerGrades+'!$AF$7,"B+",IF(N296&lt;'PlayerGrades+'!$AF$6,"A-",IF(N296&lt;'PlayerGrades+'!$AF$5,"A",IF(N296&lt;'PlayerGrades+'!$AF$4,"A+",IF(N296&lt;'PlayerGrades+'!$AF$3,"S-",IF(N296&lt;'PlayerGrades+'!$AF$2,"S","S+"))))))))))))))))))))</f>
        <v>S-</v>
      </c>
      <c r="P296" s="937">
        <f t="shared" si="7"/>
        <v>0.06018054162</v>
      </c>
      <c r="Q296" s="937" t="str">
        <f>IF(P296&lt;'PlayerGrades+'!$AG$21,"F-",IF(P296&lt;'PlayerGrades+'!$AG$20,"F",IF(P296&lt;'PlayerGrades+'!$AG$19,"F+",IF(P296&lt;'PlayerGrades+'!$AG$18,"E-",IF(P296&lt;'PlayerGrades+'!$AG$17,"E",IF(P296&lt;'PlayerGrades+'!$AG$16,"E+",IF(P296&lt;'PlayerGrades+'!$AG$15,"D-",IF(P296&lt;'PlayerGrades+'!$AG$14,"D",IF(P296&lt;'PlayerGrades+'!$AG$13,"D+",IF(P296&lt;'PlayerGrades+'!$AG$12,"C-",IF(P296&lt;'PlayerGrades+'!$AG$11,"C",IF(P296&lt;'PlayerGrades+'!$AG$10,"C+",IF(P296&lt;'PlayerGrades+'!$AG$9,"B-",IF(P296&lt;'PlayerGrades+'!$AG$8,"B",IF(P296&lt;'PlayerGrades+'!$AG$7,"B+",IF(P296&lt;'PlayerGrades+'!$AG$6,"A-",IF(P296&lt;'PlayerGrades+'!$AG$5,"A",IF(P296&lt;'PlayerGrades+'!$AG$4,"A+",IF(P296&lt;'PlayerGrades+'!$AG$3,"S-",IF(P296&lt;'PlayerGrades+'!$AG$2,"S","S+"))))))))))))))))))))</f>
        <v>A</v>
      </c>
      <c r="R296" s="937">
        <f t="shared" si="8"/>
        <v>0.5416248746</v>
      </c>
      <c r="S296" s="937" t="str">
        <f>IF(R296&lt;'PlayerGrades+'!$AH$21,"F-",IF(R296&lt;'PlayerGrades+'!$AH$20,"F",IF(R296&lt;'PlayerGrades+'!$AH$19,"F+",IF(R296&lt;'PlayerGrades+'!$AH$18,"E-",IF(R296&lt;'PlayerGrades+'!$AH$17,"E",IF(R296&lt;'PlayerGrades+'!$AH$16,"E+",IF(R296&lt;'PlayerGrades+'!$AH$15,"D-",IF(R296&lt;'PlayerGrades+'!$AH$14,"D",IF(R296&lt;'PlayerGrades+'!$AH$13,"D+",IF(R296&lt;'PlayerGrades+'!$AH$12,"C-",IF(R296&lt;'PlayerGrades+'!$AH$11,"C",IF(R296&lt;'PlayerGrades+'!$AH$10,"C+",IF(R296&lt;'PlayerGrades+'!$AH$9,"B-",IF(R296&lt;'PlayerGrades+'!$AH$8,"B",IF(R296&lt;'PlayerGrades+'!$AH$7,"B+",IF(R296&lt;'PlayerGrades+'!$AH$6,"A-",IF(R296&lt;'PlayerGrades+'!$AH$5,"A",IF(R296&lt;'PlayerGrades+'!$AH$4,"A+",IF(R296&lt;'PlayerGrades+'!$AH$3,"S-",IF(R296&lt;'PlayerGrades+'!$AH$2,"S","S+"))))))))))))))))))))</f>
        <v>C+</v>
      </c>
      <c r="T296" s="937">
        <f t="shared" si="9"/>
        <v>0.8425275827</v>
      </c>
      <c r="U296" s="937" t="str">
        <f>IF(T296&lt;'PlayerGrades+'!$AI$21,"F-",IF(T296&lt;'PlayerGrades+'!$AI$20,"F",IF(T296&lt;'PlayerGrades+'!$AI$19,"F+",IF(T296&lt;'PlayerGrades+'!$AI$18,"E-",IF(T296&lt;'PlayerGrades+'!$AI$17,"E",IF(T296&lt;'PlayerGrades+'!$AI$16,"E+",IF(T296&lt;'PlayerGrades+'!$AI$15,"D-",IF(T296&lt;'PlayerGrades+'!$AI$14,"D",IF(T296&lt;'PlayerGrades+'!$AI$13,"D+",IF(T296&lt;'PlayerGrades+'!$AI$12,"C-",IF(T296&lt;'PlayerGrades+'!$AI$11,"C",IF(T296&lt;'PlayerGrades+'!$AI$10,"C+",IF(T296&lt;'PlayerGrades+'!$AI$9,"B-",IF(T296&lt;'PlayerGrades+'!$AI$8,"B",IF(T296&lt;'PlayerGrades+'!$AI$7,"B+",IF(T296&lt;'PlayerGrades+'!$AI$6,"A-",IF(T296&lt;'PlayerGrades+'!$AI$5,"A",IF(T296&lt;'PlayerGrades+'!$AI$4,"A+",IF(T296&lt;'PlayerGrades+'!$AI$3,"S-",IF(T296&lt;'PlayerGrades+'!$AI$2,"S","S+"))))))))))))))))))))</f>
        <v>F+</v>
      </c>
      <c r="V296" s="941">
        <v>1.0</v>
      </c>
      <c r="W296" s="941">
        <v>0.0</v>
      </c>
      <c r="X296" s="941">
        <v>1.0</v>
      </c>
      <c r="Y296" s="941">
        <v>0.0</v>
      </c>
      <c r="Z296" s="941">
        <v>0.0</v>
      </c>
      <c r="AA296" s="941">
        <v>71.0</v>
      </c>
      <c r="AB296" s="941">
        <v>61.0</v>
      </c>
      <c r="AC296" s="941">
        <v>10.0</v>
      </c>
      <c r="AD296" s="941">
        <v>2.0</v>
      </c>
      <c r="AE296" s="941">
        <v>5.0</v>
      </c>
      <c r="AF296" s="941">
        <v>1.0</v>
      </c>
      <c r="AG296" s="941">
        <v>755.0</v>
      </c>
      <c r="AH296" s="941">
        <v>997.0</v>
      </c>
      <c r="AI296" s="941">
        <v>12.0</v>
      </c>
      <c r="AJ296" s="941">
        <v>0.0</v>
      </c>
      <c r="AK296" s="941">
        <v>0.0</v>
      </c>
      <c r="AL296" s="941">
        <v>2.0</v>
      </c>
      <c r="AM296" s="941">
        <v>0.0</v>
      </c>
      <c r="AN296" s="941">
        <v>0.0</v>
      </c>
      <c r="AO296" s="941">
        <v>0.0</v>
      </c>
      <c r="AP296" s="941">
        <v>1.0</v>
      </c>
      <c r="AQ296" s="941">
        <v>0.0</v>
      </c>
      <c r="AR296" s="941">
        <v>12.0</v>
      </c>
      <c r="AS296" s="941">
        <v>2.0</v>
      </c>
      <c r="AT296" s="941">
        <v>1.0</v>
      </c>
      <c r="AU296" s="941">
        <v>0.0</v>
      </c>
      <c r="AV296" s="941">
        <v>0.0</v>
      </c>
      <c r="AW296" s="941">
        <v>0.0</v>
      </c>
      <c r="AX296" s="941">
        <v>0.0</v>
      </c>
      <c r="AY296" s="941">
        <v>0.0</v>
      </c>
      <c r="AZ296" s="941">
        <v>0.0</v>
      </c>
      <c r="BA296" s="941">
        <v>0.0</v>
      </c>
      <c r="BB296" s="941">
        <v>4.0</v>
      </c>
      <c r="BC296" s="941">
        <v>0.0</v>
      </c>
      <c r="BD296" s="941">
        <v>7.0</v>
      </c>
      <c r="BE296" s="941">
        <v>14.0</v>
      </c>
      <c r="BF296" s="941">
        <v>0.0</v>
      </c>
      <c r="BG296" s="942">
        <v>0.0</v>
      </c>
    </row>
    <row r="297">
      <c r="A297" s="943" t="s">
        <v>136</v>
      </c>
      <c r="B297" s="16" t="str">
        <f>IF(C297&lt;'PlayerGrades+'!$Y$44,"F-",IF(C297&lt;'PlayerGrades+'!$Y$43,"F",IF(C297&lt;'PlayerGrades+'!$Y$42,"F+",IF(C297&lt;'PlayerGrades+'!$Y$41,"E-",IF(C297&lt;'PlayerGrades+'!$Y$40,"E",IF(C297&lt;'PlayerGrades+'!$Y$39,"E+",IF(C297&lt;'PlayerGrades+'!$Y$38,"D-",IF(C297&lt;'PlayerGrades+'!$Y$37,"D",IF(C297&lt;'PlayerGrades+'!$Y$36,"D+",IF(C297&lt;'PlayerGrades+'!$Y$35,"C-",IF(C297&lt;'PlayerGrades+'!$Y$34,"C",IF(C297&lt;'PlayerGrades+'!$Y$33,"C+",IF(C297&lt;'PlayerGrades+'!$Y$32,"B-",IF(C297&lt;'PlayerGrades+'!$Y$31,"B",IF(C297&lt;'PlayerGrades+'!$Y$30,"B+",IF(C297&lt;'PlayerGrades+'!$Y$29,"A-",IF(C297&lt;'PlayerGrades+'!$Y$28,"A",IF(C297&lt;'PlayerGrades+'!$Y$27,"A+",IF(C297&lt;'PlayerGrades+'!$Y$26,"S-",IF(C297&lt;'PlayerGrades+'!$Y$25,"S","S+"))))))))))))))))))))</f>
        <v>A</v>
      </c>
      <c r="C297" s="936">
        <f>('PlayerGrades+'!$Y$47*(VLOOKUP(E297, 'PlayerGrades+'!$X$3:$Y$23, 2, FALSE)))+('PlayerGrades+'!$Y$48*(VLOOKUP(G297, 'PlayerGrades+'!$X$3:$Y$23, 2, FALSE)))+('PlayerGrades+'!$Y$49*(VLOOKUP(I297, 'PlayerGrades+'!$X$3:$Y$23, 2, FALSE)))+('PlayerGrades+'!$Y$50*(VLOOKUP(K297, 'PlayerGrades+'!$X$3:$Y$23, 2, FALSE)))+('PlayerGrades+'!$Y$51*(VLOOKUP(M297, 'PlayerGrades+'!$X$3:$Y$23, 2, FALSE)))+('PlayerGrades+'!$Y$52*(VLOOKUP(O297, 'PlayerGrades+'!$X$3:$Y$23, 2, FALSE)))+('PlayerGrades+'!$Y$53*(VLOOKUP(Q297, 'PlayerGrades+'!$X$3:$Y$23, 2, FALSE)))+('PlayerGrades+'!$Y$54*(VLOOKUP(S297, 'PlayerGrades+'!$X$3:$Y$23, 2, FALSE)))+('PlayerGrades+'!$Y$55*(VLOOKUP(U297, 'PlayerGrades+'!$X$3:$Y$23, 2, FALSE)))</f>
        <v>25.4</v>
      </c>
      <c r="D297" s="937">
        <f t="shared" si="1"/>
        <v>0.06018054162</v>
      </c>
      <c r="E297" s="937" t="str">
        <f>IF(D297&lt;'PlayerGrades+'!$AA$21,"F-",IF(D297&lt;'PlayerGrades+'!$AA$20,"F",IF(D297&lt;'PlayerGrades+'!$AA$19,"F+",IF(D297&lt;'PlayerGrades+'!$AA$18,"E-",IF(D297&lt;'PlayerGrades+'!$AA$17,"E",IF(D297&lt;'PlayerGrades+'!$AA$16,"E+",IF(D297&lt;'PlayerGrades+'!$AA$15,"D-",IF(D297&lt;'PlayerGrades+'!$AA$14,"D",IF(D297&lt;'PlayerGrades+'!$AA$13,"D+",IF(D297&lt;'PlayerGrades+'!$AA$12,"C-",IF(D297&lt;'PlayerGrades+'!$AA$11,"C",IF(D297&lt;'PlayerGrades+'!$AA$10,"C+",IF(D297&lt;'PlayerGrades+'!$AA$9,"B-",IF(D297&lt;'PlayerGrades+'!$AA$8,"B",IF(D297&lt;'PlayerGrades+'!$AA$7,"B+",IF(D297&lt;'PlayerGrades+'!$AA$6,"A-",IF(D297&lt;'PlayerGrades+'!$AA$5,"A",IF(D297&lt;'PlayerGrades+'!$AA$4,"A+",IF(D297&lt;'PlayerGrades+'!$AA$3,"S-",IF(D297&lt;'PlayerGrades+'!$AA$2,"S","S+"))))))))))))))))))))</f>
        <v>B-</v>
      </c>
      <c r="F297" s="937">
        <f t="shared" si="2"/>
        <v>-1.203610832</v>
      </c>
      <c r="G297" s="937" t="str">
        <f>IF(F297&lt;'PlayerGrades+'!$AB$21,"F-",IF(F297&lt;'PlayerGrades+'!$AB$20,"F",IF(F297&lt;'PlayerGrades+'!$AB$19,"F+",IF(F297&lt;'PlayerGrades+'!$AB$18,"E-",IF(F297&lt;'PlayerGrades+'!$AB$17,"E",IF(F297&lt;'PlayerGrades+'!$AB$16,"E+",IF(F297&lt;'PlayerGrades+'!$AB$15,"D-",IF(F297&lt;'PlayerGrades+'!$AB$14,"D",IF(F297&lt;'PlayerGrades+'!$AB$13,"D+",IF(F297&lt;'PlayerGrades+'!$AB$12,"C-",IF(F297&lt;'PlayerGrades+'!$AB$11,"C",IF(F297&lt;'PlayerGrades+'!$AB$10,"C+",IF(F297&lt;'PlayerGrades+'!$AB$9,"B-",IF(F297&lt;'PlayerGrades+'!$AB$8,"B",IF(F297&lt;'PlayerGrades+'!$AB$7,"B+",IF(F297&lt;'PlayerGrades+'!$AB$6,"A-",IF(F297&lt;'PlayerGrades+'!$AB$5,"A",IF(F297&lt;'PlayerGrades+'!$AB$4,"A+",IF(F297&lt;'PlayerGrades+'!$AB$3,"S-",IF(F297&lt;'PlayerGrades+'!$AB$2,"S","S+"))))))))))))))))))))</f>
        <v>F-</v>
      </c>
      <c r="H297" s="937">
        <f t="shared" si="3"/>
        <v>0.2407221665</v>
      </c>
      <c r="I297" s="937" t="str">
        <f>IF(H297&lt;'PlayerGrades+'!$AC$21,"F-",IF(H297&lt;'PlayerGrades+'!$AC$20,"F",IF(H297&lt;'PlayerGrades+'!$AC$19,"F+",IF(H297&lt;'PlayerGrades+'!$AC$18,"E-",IF(H297&lt;'PlayerGrades+'!$AC$17,"E",IF(H297&lt;'PlayerGrades+'!$AC$16,"E+",IF(H297&lt;'PlayerGrades+'!$AC$15,"D-",IF(H297&lt;'PlayerGrades+'!$AC$14,"D",IF(H297&lt;'PlayerGrades+'!$AC$13,"D+",IF(H297&lt;'PlayerGrades+'!$AC$12,"C-",IF(H297&lt;'PlayerGrades+'!$AC$11,"C",IF(H297&lt;'PlayerGrades+'!$AC$10,"C+",IF(H297&lt;'PlayerGrades+'!$AC$9,"B-",IF(H297&lt;'PlayerGrades+'!$AC$8,"B",IF(H297&lt;'PlayerGrades+'!$AC$7,"B+",IF(H297&lt;'PlayerGrades+'!$AC$6,"A-",IF(H297&lt;'PlayerGrades+'!$AC$5,"A",IF(H297&lt;'PlayerGrades+'!$AC$4,"A+",IF(H297&lt;'PlayerGrades+'!$AC$3,"S-",IF(H297&lt;'PlayerGrades+'!$AC$2,"S","S+"))))))))))))))))))))</f>
        <v>S</v>
      </c>
      <c r="J297" s="937">
        <f t="shared" si="4"/>
        <v>0</v>
      </c>
      <c r="K297" s="937" t="str">
        <f>IF(J297&lt;'PlayerGrades+'!$AD$21,"F-",IF(J297&lt;'PlayerGrades+'!$AD$20,"F",IF(J297&lt;'PlayerGrades+'!$AD$19,"F+",IF(J297&lt;'PlayerGrades+'!$AD$18,"E-",IF(J297&lt;'PlayerGrades+'!$AD$17,"E",IF(J297&lt;'PlayerGrades+'!$AD$16,"E+",IF(J297&lt;'PlayerGrades+'!$AD$15,"D-",IF(J297&lt;'PlayerGrades+'!$AD$14,"D",IF(J297&lt;'PlayerGrades+'!$AD$13,"D+",IF(J297&lt;'PlayerGrades+'!$AD$12,"C-",IF(J297&lt;'PlayerGrades+'!$AD$11,"C",IF(J297&lt;'PlayerGrades+'!$AD$10,"C+",IF(J297&lt;'PlayerGrades+'!$AD$9,"B-",IF(J297&lt;'PlayerGrades+'!$AD$8,"B",IF(J297&lt;'PlayerGrades+'!$AD$7,"B+",IF(J297&lt;'PlayerGrades+'!$AD$6,"A-",IF(J297&lt;'PlayerGrades+'!$AD$5,"A",IF(J297&lt;'PlayerGrades+'!$AD$4,"A+",IF(J297&lt;'PlayerGrades+'!$AD$3,"S-",IF(J297&lt;'PlayerGrades+'!$AD$2,"S","S+"))))))))))))))))))))</f>
        <v>F-</v>
      </c>
      <c r="L297" s="677">
        <f t="shared" si="5"/>
        <v>0.6619859579</v>
      </c>
      <c r="M297" s="938" t="str">
        <f>IF(L297&lt;'PlayerGrades+'!$AE$21,"F-",IF(L297&lt;'PlayerGrades+'!$AE$20,"F",IF(L297&lt;'PlayerGrades+'!$AE$19,"F+",IF(L297&lt;'PlayerGrades+'!$AE$18,"E-",IF(L297&lt;'PlayerGrades+'!$AE$17,"E",IF(L297&lt;'PlayerGrades+'!$AE$16,"E+",IF(L297&lt;'PlayerGrades+'!$AE$15,"D-",IF(L297&lt;'PlayerGrades+'!$AE$14,"D",IF(L297&lt;'PlayerGrades+'!$AE$13,"D+",IF(L297&lt;'PlayerGrades+'!$AE$12,"C-",IF(L297&lt;'PlayerGrades+'!$AE$11,"C",IF(L297&lt;'PlayerGrades+'!$AE$10,"C+",IF(L297&lt;'PlayerGrades+'!$AE$9,"B-",IF(L297&lt;'PlayerGrades+'!$AE$8,"B",IF(L297&lt;'PlayerGrades+'!$AE$7,"B+",IF(L297&lt;'PlayerGrades+'!$AE$6,"A-",IF(L297&lt;'PlayerGrades+'!$AE$5,"A",IF(L297&lt;'PlayerGrades+'!$AE$4,"A+",IF(L297&lt;'PlayerGrades+'!$AE$3,"S-",IF(L297&lt;'PlayerGrades+'!$AE$2,"S","S+"))))))))))))))))))))</f>
        <v>S</v>
      </c>
      <c r="N297" s="937">
        <f t="shared" si="6"/>
        <v>0.1203610832</v>
      </c>
      <c r="O297" s="937" t="str">
        <f>IF(N297&lt;'PlayerGrades+'!$AF$21,"F-",IF(N297&lt;'PlayerGrades+'!$AF$20,"F",IF(N297&lt;'PlayerGrades+'!$AF$19,"F+",IF(N297&lt;'PlayerGrades+'!$AF$18,"E-",IF(N297&lt;'PlayerGrades+'!$AF$17,"E",IF(N297&lt;'PlayerGrades+'!$AF$16,"E+",IF(N297&lt;'PlayerGrades+'!$AF$15,"D-",IF(N297&lt;'PlayerGrades+'!$AF$14,"D",IF(N297&lt;'PlayerGrades+'!$AF$13,"D+",IF(N297&lt;'PlayerGrades+'!$AF$12,"C-",IF(N297&lt;'PlayerGrades+'!$AF$11,"C",IF(N297&lt;'PlayerGrades+'!$AF$10,"C+",IF(N297&lt;'PlayerGrades+'!$AF$9,"B-",IF(N297&lt;'PlayerGrades+'!$AF$8,"B",IF(N297&lt;'PlayerGrades+'!$AF$7,"B+",IF(N297&lt;'PlayerGrades+'!$AF$6,"A-",IF(N297&lt;'PlayerGrades+'!$AF$5,"A",IF(N297&lt;'PlayerGrades+'!$AF$4,"A+",IF(N297&lt;'PlayerGrades+'!$AF$3,"S-",IF(N297&lt;'PlayerGrades+'!$AF$2,"S","S+"))))))))))))))))))))</f>
        <v>S-</v>
      </c>
      <c r="P297" s="937">
        <f t="shared" si="7"/>
        <v>0</v>
      </c>
      <c r="Q297" s="937" t="str">
        <f>IF(P297&lt;'PlayerGrades+'!$AG$21,"F-",IF(P297&lt;'PlayerGrades+'!$AG$20,"F",IF(P297&lt;'PlayerGrades+'!$AG$19,"F+",IF(P297&lt;'PlayerGrades+'!$AG$18,"E-",IF(P297&lt;'PlayerGrades+'!$AG$17,"E",IF(P297&lt;'PlayerGrades+'!$AG$16,"E+",IF(P297&lt;'PlayerGrades+'!$AG$15,"D-",IF(P297&lt;'PlayerGrades+'!$AG$14,"D",IF(P297&lt;'PlayerGrades+'!$AG$13,"D+",IF(P297&lt;'PlayerGrades+'!$AG$12,"C-",IF(P297&lt;'PlayerGrades+'!$AG$11,"C",IF(P297&lt;'PlayerGrades+'!$AG$10,"C+",IF(P297&lt;'PlayerGrades+'!$AG$9,"B-",IF(P297&lt;'PlayerGrades+'!$AG$8,"B",IF(P297&lt;'PlayerGrades+'!$AG$7,"B+",IF(P297&lt;'PlayerGrades+'!$AG$6,"A-",IF(P297&lt;'PlayerGrades+'!$AG$5,"A",IF(P297&lt;'PlayerGrades+'!$AG$4,"A+",IF(P297&lt;'PlayerGrades+'!$AG$3,"S-",IF(P297&lt;'PlayerGrades+'!$AG$2,"S","S+"))))))))))))))))))))</f>
        <v>F</v>
      </c>
      <c r="R297" s="937">
        <f t="shared" si="8"/>
        <v>0.9027081244</v>
      </c>
      <c r="S297" s="937" t="str">
        <f>IF(R297&lt;'PlayerGrades+'!$AH$21,"F-",IF(R297&lt;'PlayerGrades+'!$AH$20,"F",IF(R297&lt;'PlayerGrades+'!$AH$19,"F+",IF(R297&lt;'PlayerGrades+'!$AH$18,"E-",IF(R297&lt;'PlayerGrades+'!$AH$17,"E",IF(R297&lt;'PlayerGrades+'!$AH$16,"E+",IF(R297&lt;'PlayerGrades+'!$AH$15,"D-",IF(R297&lt;'PlayerGrades+'!$AH$14,"D",IF(R297&lt;'PlayerGrades+'!$AH$13,"D+",IF(R297&lt;'PlayerGrades+'!$AH$12,"C-",IF(R297&lt;'PlayerGrades+'!$AH$11,"C",IF(R297&lt;'PlayerGrades+'!$AH$10,"C+",IF(R297&lt;'PlayerGrades+'!$AH$9,"B-",IF(R297&lt;'PlayerGrades+'!$AH$8,"B",IF(R297&lt;'PlayerGrades+'!$AH$7,"B+",IF(R297&lt;'PlayerGrades+'!$AH$6,"A-",IF(R297&lt;'PlayerGrades+'!$AH$5,"A",IF(R297&lt;'PlayerGrades+'!$AH$4,"A+",IF(R297&lt;'PlayerGrades+'!$AH$3,"S-",IF(R297&lt;'PlayerGrades+'!$AH$2,"S","S+"))))))))))))))))))))</f>
        <v>S+</v>
      </c>
      <c r="T297" s="937">
        <f t="shared" si="9"/>
        <v>1.481444333</v>
      </c>
      <c r="U297" s="937" t="str">
        <f>IF(T297&lt;'PlayerGrades+'!$AI$21,"F-",IF(T297&lt;'PlayerGrades+'!$AI$20,"F",IF(T297&lt;'PlayerGrades+'!$AI$19,"F+",IF(T297&lt;'PlayerGrades+'!$AI$18,"E-",IF(T297&lt;'PlayerGrades+'!$AI$17,"E",IF(T297&lt;'PlayerGrades+'!$AI$16,"E+",IF(T297&lt;'PlayerGrades+'!$AI$15,"D-",IF(T297&lt;'PlayerGrades+'!$AI$14,"D",IF(T297&lt;'PlayerGrades+'!$AI$13,"D+",IF(T297&lt;'PlayerGrades+'!$AI$12,"C-",IF(T297&lt;'PlayerGrades+'!$AI$11,"C",IF(T297&lt;'PlayerGrades+'!$AI$10,"C+",IF(T297&lt;'PlayerGrades+'!$AI$9,"B-",IF(T297&lt;'PlayerGrades+'!$AI$8,"B",IF(T297&lt;'PlayerGrades+'!$AI$7,"B+",IF(T297&lt;'PlayerGrades+'!$AI$6,"A-",IF(T297&lt;'PlayerGrades+'!$AI$5,"A",IF(T297&lt;'PlayerGrades+'!$AI$4,"A+",IF(T297&lt;'PlayerGrades+'!$AI$3,"S-",IF(T297&lt;'PlayerGrades+'!$AI$2,"S","S+"))))))))))))))))))))</f>
        <v>A-</v>
      </c>
      <c r="V297" s="944">
        <v>1.0</v>
      </c>
      <c r="W297" s="944">
        <v>0.0</v>
      </c>
      <c r="X297" s="944">
        <v>1.0</v>
      </c>
      <c r="Y297" s="944">
        <v>0.0</v>
      </c>
      <c r="Z297" s="944">
        <v>1.0</v>
      </c>
      <c r="AA297" s="944">
        <v>63.0</v>
      </c>
      <c r="AB297" s="944">
        <v>83.0</v>
      </c>
      <c r="AC297" s="944">
        <v>-20.0</v>
      </c>
      <c r="AD297" s="944">
        <v>6.0</v>
      </c>
      <c r="AE297" s="944">
        <v>4.0</v>
      </c>
      <c r="AF297" s="944">
        <v>0.0</v>
      </c>
      <c r="AG297" s="944">
        <v>687.0</v>
      </c>
      <c r="AH297" s="944">
        <v>997.0</v>
      </c>
      <c r="AI297" s="944">
        <v>8.0</v>
      </c>
      <c r="AJ297" s="944">
        <v>3.0</v>
      </c>
      <c r="AK297" s="944">
        <v>0.0</v>
      </c>
      <c r="AL297" s="944">
        <v>0.0</v>
      </c>
      <c r="AM297" s="944">
        <v>0.0</v>
      </c>
      <c r="AN297" s="944">
        <v>0.0</v>
      </c>
      <c r="AO297" s="944">
        <v>0.0</v>
      </c>
      <c r="AP297" s="944">
        <v>0.0</v>
      </c>
      <c r="AQ297" s="944">
        <v>0.0</v>
      </c>
      <c r="AR297" s="944">
        <v>11.0</v>
      </c>
      <c r="AS297" s="944">
        <v>2.0</v>
      </c>
      <c r="AT297" s="944">
        <v>1.0</v>
      </c>
      <c r="AU297" s="944">
        <v>0.0</v>
      </c>
      <c r="AV297" s="944">
        <v>0.0</v>
      </c>
      <c r="AW297" s="944">
        <v>0.0</v>
      </c>
      <c r="AX297" s="944">
        <v>0.0</v>
      </c>
      <c r="AY297" s="944">
        <v>0.0</v>
      </c>
      <c r="AZ297" s="944">
        <v>0.0</v>
      </c>
      <c r="BA297" s="944">
        <v>0.0</v>
      </c>
      <c r="BB297" s="944">
        <v>4.0</v>
      </c>
      <c r="BC297" s="944">
        <v>0.0</v>
      </c>
      <c r="BD297" s="944">
        <v>9.0</v>
      </c>
      <c r="BE297" s="944">
        <v>8.0</v>
      </c>
      <c r="BF297" s="944">
        <v>1.0</v>
      </c>
      <c r="BG297" s="945">
        <v>0.0</v>
      </c>
    </row>
    <row r="298">
      <c r="A298" s="946" t="s">
        <v>153</v>
      </c>
      <c r="B298" s="16" t="str">
        <f>IF(C298&lt;'PlayerGrades+'!$Y$44,"F-",IF(C298&lt;'PlayerGrades+'!$Y$43,"F",IF(C298&lt;'PlayerGrades+'!$Y$42,"F+",IF(C298&lt;'PlayerGrades+'!$Y$41,"E-",IF(C298&lt;'PlayerGrades+'!$Y$40,"E",IF(C298&lt;'PlayerGrades+'!$Y$39,"E+",IF(C298&lt;'PlayerGrades+'!$Y$38,"D-",IF(C298&lt;'PlayerGrades+'!$Y$37,"D",IF(C298&lt;'PlayerGrades+'!$Y$36,"D+",IF(C298&lt;'PlayerGrades+'!$Y$35,"C-",IF(C298&lt;'PlayerGrades+'!$Y$34,"C",IF(C298&lt;'PlayerGrades+'!$Y$33,"C+",IF(C298&lt;'PlayerGrades+'!$Y$32,"B-",IF(C298&lt;'PlayerGrades+'!$Y$31,"B",IF(C298&lt;'PlayerGrades+'!$Y$30,"B+",IF(C298&lt;'PlayerGrades+'!$Y$29,"A-",IF(C298&lt;'PlayerGrades+'!$Y$28,"A",IF(C298&lt;'PlayerGrades+'!$Y$27,"A+",IF(C298&lt;'PlayerGrades+'!$Y$26,"S-",IF(C298&lt;'PlayerGrades+'!$Y$25,"S","S+"))))))))))))))))))))</f>
        <v>E-</v>
      </c>
      <c r="C298" s="936">
        <f>('PlayerGrades+'!$Y$47*(VLOOKUP(E298, 'PlayerGrades+'!$X$3:$Y$23, 2, FALSE)))+('PlayerGrades+'!$Y$48*(VLOOKUP(G298, 'PlayerGrades+'!$X$3:$Y$23, 2, FALSE)))+('PlayerGrades+'!$Y$49*(VLOOKUP(I298, 'PlayerGrades+'!$X$3:$Y$23, 2, FALSE)))+('PlayerGrades+'!$Y$50*(VLOOKUP(K298, 'PlayerGrades+'!$X$3:$Y$23, 2, FALSE)))+('PlayerGrades+'!$Y$51*(VLOOKUP(M298, 'PlayerGrades+'!$X$3:$Y$23, 2, FALSE)))+('PlayerGrades+'!$Y$52*(VLOOKUP(O298, 'PlayerGrades+'!$X$3:$Y$23, 2, FALSE)))+('PlayerGrades+'!$Y$53*(VLOOKUP(Q298, 'PlayerGrades+'!$X$3:$Y$23, 2, FALSE)))+('PlayerGrades+'!$Y$54*(VLOOKUP(S298, 'PlayerGrades+'!$X$3:$Y$23, 2, FALSE)))+('PlayerGrades+'!$Y$55*(VLOOKUP(U298, 'PlayerGrades+'!$X$3:$Y$23, 2, FALSE)))</f>
        <v>10.85</v>
      </c>
      <c r="D298" s="937">
        <f t="shared" si="1"/>
        <v>0.4567600487</v>
      </c>
      <c r="E298" s="937" t="str">
        <f>IF(D298&lt;'PlayerGrades+'!$AA$21,"F-",IF(D298&lt;'PlayerGrades+'!$AA$20,"F",IF(D298&lt;'PlayerGrades+'!$AA$19,"F+",IF(D298&lt;'PlayerGrades+'!$AA$18,"E-",IF(D298&lt;'PlayerGrades+'!$AA$17,"E",IF(D298&lt;'PlayerGrades+'!$AA$16,"E+",IF(D298&lt;'PlayerGrades+'!$AA$15,"D-",IF(D298&lt;'PlayerGrades+'!$AA$14,"D",IF(D298&lt;'PlayerGrades+'!$AA$13,"D+",IF(D298&lt;'PlayerGrades+'!$AA$12,"C-",IF(D298&lt;'PlayerGrades+'!$AA$11,"C",IF(D298&lt;'PlayerGrades+'!$AA$10,"C+",IF(D298&lt;'PlayerGrades+'!$AA$9,"B-",IF(D298&lt;'PlayerGrades+'!$AA$8,"B",IF(D298&lt;'PlayerGrades+'!$AA$7,"B+",IF(D298&lt;'PlayerGrades+'!$AA$6,"A-",IF(D298&lt;'PlayerGrades+'!$AA$5,"A",IF(D298&lt;'PlayerGrades+'!$AA$4,"A+",IF(D298&lt;'PlayerGrades+'!$AA$3,"S-",IF(D298&lt;'PlayerGrades+'!$AA$2,"S","S+"))))))))))))))))))))</f>
        <v>A+</v>
      </c>
      <c r="F298" s="937">
        <f t="shared" si="2"/>
        <v>-0.1096224117</v>
      </c>
      <c r="G298" s="937" t="str">
        <f>IF(F298&lt;'PlayerGrades+'!$AB$21,"F-",IF(F298&lt;'PlayerGrades+'!$AB$20,"F",IF(F298&lt;'PlayerGrades+'!$AB$19,"F+",IF(F298&lt;'PlayerGrades+'!$AB$18,"E-",IF(F298&lt;'PlayerGrades+'!$AB$17,"E",IF(F298&lt;'PlayerGrades+'!$AB$16,"E+",IF(F298&lt;'PlayerGrades+'!$AB$15,"D-",IF(F298&lt;'PlayerGrades+'!$AB$14,"D",IF(F298&lt;'PlayerGrades+'!$AB$13,"D+",IF(F298&lt;'PlayerGrades+'!$AB$12,"C-",IF(F298&lt;'PlayerGrades+'!$AB$11,"C",IF(F298&lt;'PlayerGrades+'!$AB$10,"C+",IF(F298&lt;'PlayerGrades+'!$AB$9,"B-",IF(F298&lt;'PlayerGrades+'!$AB$8,"B",IF(F298&lt;'PlayerGrades+'!$AB$7,"B+",IF(F298&lt;'PlayerGrades+'!$AB$6,"A-",IF(F298&lt;'PlayerGrades+'!$AB$5,"A",IF(F298&lt;'PlayerGrades+'!$AB$4,"A+",IF(F298&lt;'PlayerGrades+'!$AB$3,"S-",IF(F298&lt;'PlayerGrades+'!$AB$2,"S","S+"))))))))))))))))))))</f>
        <v>C+</v>
      </c>
      <c r="H298" s="937">
        <f t="shared" si="3"/>
        <v>0.01827040195</v>
      </c>
      <c r="I298" s="937" t="str">
        <f>IF(H298&lt;'PlayerGrades+'!$AC$21,"F-",IF(H298&lt;'PlayerGrades+'!$AC$20,"F",IF(H298&lt;'PlayerGrades+'!$AC$19,"F+",IF(H298&lt;'PlayerGrades+'!$AC$18,"E-",IF(H298&lt;'PlayerGrades+'!$AC$17,"E",IF(H298&lt;'PlayerGrades+'!$AC$16,"E+",IF(H298&lt;'PlayerGrades+'!$AC$15,"D-",IF(H298&lt;'PlayerGrades+'!$AC$14,"D",IF(H298&lt;'PlayerGrades+'!$AC$13,"D+",IF(H298&lt;'PlayerGrades+'!$AC$12,"C-",IF(H298&lt;'PlayerGrades+'!$AC$11,"C",IF(H298&lt;'PlayerGrades+'!$AC$10,"C+",IF(H298&lt;'PlayerGrades+'!$AC$9,"B-",IF(H298&lt;'PlayerGrades+'!$AC$8,"B",IF(H298&lt;'PlayerGrades+'!$AC$7,"B+",IF(H298&lt;'PlayerGrades+'!$AC$6,"A-",IF(H298&lt;'PlayerGrades+'!$AC$5,"A",IF(H298&lt;'PlayerGrades+'!$AC$4,"A+",IF(H298&lt;'PlayerGrades+'!$AC$3,"S-",IF(H298&lt;'PlayerGrades+'!$AC$2,"S","S+"))))))))))))))))))))</f>
        <v>F-</v>
      </c>
      <c r="J298" s="937">
        <f t="shared" si="4"/>
        <v>0</v>
      </c>
      <c r="K298" s="937" t="str">
        <f>IF(J298&lt;'PlayerGrades+'!$AD$21,"F-",IF(J298&lt;'PlayerGrades+'!$AD$20,"F",IF(J298&lt;'PlayerGrades+'!$AD$19,"F+",IF(J298&lt;'PlayerGrades+'!$AD$18,"E-",IF(J298&lt;'PlayerGrades+'!$AD$17,"E",IF(J298&lt;'PlayerGrades+'!$AD$16,"E+",IF(J298&lt;'PlayerGrades+'!$AD$15,"D-",IF(J298&lt;'PlayerGrades+'!$AD$14,"D",IF(J298&lt;'PlayerGrades+'!$AD$13,"D+",IF(J298&lt;'PlayerGrades+'!$AD$12,"C-",IF(J298&lt;'PlayerGrades+'!$AD$11,"C",IF(J298&lt;'PlayerGrades+'!$AD$10,"C+",IF(J298&lt;'PlayerGrades+'!$AD$9,"B-",IF(J298&lt;'PlayerGrades+'!$AD$8,"B",IF(J298&lt;'PlayerGrades+'!$AD$7,"B+",IF(J298&lt;'PlayerGrades+'!$AD$6,"A-",IF(J298&lt;'PlayerGrades+'!$AD$5,"A",IF(J298&lt;'PlayerGrades+'!$AD$4,"A+",IF(J298&lt;'PlayerGrades+'!$AD$3,"S-",IF(J298&lt;'PlayerGrades+'!$AD$2,"S","S+"))))))))))))))))))))</f>
        <v>F-</v>
      </c>
      <c r="L298" s="677">
        <f t="shared" si="5"/>
        <v>0.2740560292</v>
      </c>
      <c r="M298" s="938" t="str">
        <f>IF(L298&lt;'PlayerGrades+'!$AE$21,"F-",IF(L298&lt;'PlayerGrades+'!$AE$20,"F",IF(L298&lt;'PlayerGrades+'!$AE$19,"F+",IF(L298&lt;'PlayerGrades+'!$AE$18,"E-",IF(L298&lt;'PlayerGrades+'!$AE$17,"E",IF(L298&lt;'PlayerGrades+'!$AE$16,"E+",IF(L298&lt;'PlayerGrades+'!$AE$15,"D-",IF(L298&lt;'PlayerGrades+'!$AE$14,"D",IF(L298&lt;'PlayerGrades+'!$AE$13,"D+",IF(L298&lt;'PlayerGrades+'!$AE$12,"C-",IF(L298&lt;'PlayerGrades+'!$AE$11,"C",IF(L298&lt;'PlayerGrades+'!$AE$10,"C+",IF(L298&lt;'PlayerGrades+'!$AE$9,"B-",IF(L298&lt;'PlayerGrades+'!$AE$8,"B",IF(L298&lt;'PlayerGrades+'!$AE$7,"B+",IF(L298&lt;'PlayerGrades+'!$AE$6,"A-",IF(L298&lt;'PlayerGrades+'!$AE$5,"A",IF(L298&lt;'PlayerGrades+'!$AE$4,"A+",IF(L298&lt;'PlayerGrades+'!$AE$3,"S-",IF(L298&lt;'PlayerGrades+'!$AE$2,"S","S+"))))))))))))))))))))</f>
        <v>F+</v>
      </c>
      <c r="N298" s="937">
        <f t="shared" si="6"/>
        <v>0.01827040195</v>
      </c>
      <c r="O298" s="937" t="str">
        <f>IF(N298&lt;'PlayerGrades+'!$AF$21,"F-",IF(N298&lt;'PlayerGrades+'!$AF$20,"F",IF(N298&lt;'PlayerGrades+'!$AF$19,"F+",IF(N298&lt;'PlayerGrades+'!$AF$18,"E-",IF(N298&lt;'PlayerGrades+'!$AF$17,"E",IF(N298&lt;'PlayerGrades+'!$AF$16,"E+",IF(N298&lt;'PlayerGrades+'!$AF$15,"D-",IF(N298&lt;'PlayerGrades+'!$AF$14,"D",IF(N298&lt;'PlayerGrades+'!$AF$13,"D+",IF(N298&lt;'PlayerGrades+'!$AF$12,"C-",IF(N298&lt;'PlayerGrades+'!$AF$11,"C",IF(N298&lt;'PlayerGrades+'!$AF$10,"C+",IF(N298&lt;'PlayerGrades+'!$AF$9,"B-",IF(N298&lt;'PlayerGrades+'!$AF$8,"B",IF(N298&lt;'PlayerGrades+'!$AF$7,"B+",IF(N298&lt;'PlayerGrades+'!$AF$6,"A-",IF(N298&lt;'PlayerGrades+'!$AF$5,"A",IF(N298&lt;'PlayerGrades+'!$AF$4,"A+",IF(N298&lt;'PlayerGrades+'!$AF$3,"S-",IF(N298&lt;'PlayerGrades+'!$AF$2,"S","S+"))))))))))))))))))))</f>
        <v>F-</v>
      </c>
      <c r="P298" s="937">
        <f t="shared" si="7"/>
        <v>0</v>
      </c>
      <c r="Q298" s="937" t="str">
        <f>IF(P298&lt;'PlayerGrades+'!$AG$21,"F-",IF(P298&lt;'PlayerGrades+'!$AG$20,"F",IF(P298&lt;'PlayerGrades+'!$AG$19,"F+",IF(P298&lt;'PlayerGrades+'!$AG$18,"E-",IF(P298&lt;'PlayerGrades+'!$AG$17,"E",IF(P298&lt;'PlayerGrades+'!$AG$16,"E+",IF(P298&lt;'PlayerGrades+'!$AG$15,"D-",IF(P298&lt;'PlayerGrades+'!$AG$14,"D",IF(P298&lt;'PlayerGrades+'!$AG$13,"D+",IF(P298&lt;'PlayerGrades+'!$AG$12,"C-",IF(P298&lt;'PlayerGrades+'!$AG$11,"C",IF(P298&lt;'PlayerGrades+'!$AG$10,"C+",IF(P298&lt;'PlayerGrades+'!$AG$9,"B-",IF(P298&lt;'PlayerGrades+'!$AG$8,"B",IF(P298&lt;'PlayerGrades+'!$AG$7,"B+",IF(P298&lt;'PlayerGrades+'!$AG$6,"A-",IF(P298&lt;'PlayerGrades+'!$AG$5,"A",IF(P298&lt;'PlayerGrades+'!$AG$4,"A+",IF(P298&lt;'PlayerGrades+'!$AG$3,"S-",IF(P298&lt;'PlayerGrades+'!$AG$2,"S","S+"))))))))))))))))))))</f>
        <v>F</v>
      </c>
      <c r="R298" s="937">
        <f t="shared" si="8"/>
        <v>0.2557856273</v>
      </c>
      <c r="S298" s="937" t="str">
        <f>IF(R298&lt;'PlayerGrades+'!$AH$21,"F-",IF(R298&lt;'PlayerGrades+'!$AH$20,"F",IF(R298&lt;'PlayerGrades+'!$AH$19,"F+",IF(R298&lt;'PlayerGrades+'!$AH$18,"E-",IF(R298&lt;'PlayerGrades+'!$AH$17,"E",IF(R298&lt;'PlayerGrades+'!$AH$16,"E+",IF(R298&lt;'PlayerGrades+'!$AH$15,"D-",IF(R298&lt;'PlayerGrades+'!$AH$14,"D",IF(R298&lt;'PlayerGrades+'!$AH$13,"D+",IF(R298&lt;'PlayerGrades+'!$AH$12,"C-",IF(R298&lt;'PlayerGrades+'!$AH$11,"C",IF(R298&lt;'PlayerGrades+'!$AH$10,"C+",IF(R298&lt;'PlayerGrades+'!$AH$9,"B-",IF(R298&lt;'PlayerGrades+'!$AH$8,"B",IF(R298&lt;'PlayerGrades+'!$AH$7,"B+",IF(R298&lt;'PlayerGrades+'!$AH$6,"A-",IF(R298&lt;'PlayerGrades+'!$AH$5,"A",IF(R298&lt;'PlayerGrades+'!$AH$4,"A+",IF(R298&lt;'PlayerGrades+'!$AH$3,"S-",IF(R298&lt;'PlayerGrades+'!$AH$2,"S","S+"))))))))))))))))))))</f>
        <v>F-</v>
      </c>
      <c r="T298" s="937">
        <f t="shared" si="9"/>
        <v>1.182704019</v>
      </c>
      <c r="U298" s="937" t="str">
        <f>IF(T298&lt;'PlayerGrades+'!$AI$21,"F-",IF(T298&lt;'PlayerGrades+'!$AI$20,"F",IF(T298&lt;'PlayerGrades+'!$AI$19,"F+",IF(T298&lt;'PlayerGrades+'!$AI$18,"E-",IF(T298&lt;'PlayerGrades+'!$AI$17,"E",IF(T298&lt;'PlayerGrades+'!$AI$16,"E+",IF(T298&lt;'PlayerGrades+'!$AI$15,"D-",IF(T298&lt;'PlayerGrades+'!$AI$14,"D",IF(T298&lt;'PlayerGrades+'!$AI$13,"D+",IF(T298&lt;'PlayerGrades+'!$AI$12,"C-",IF(T298&lt;'PlayerGrades+'!$AI$11,"C",IF(T298&lt;'PlayerGrades+'!$AI$10,"C+",IF(T298&lt;'PlayerGrades+'!$AI$9,"B-",IF(T298&lt;'PlayerGrades+'!$AI$8,"B",IF(T298&lt;'PlayerGrades+'!$AI$7,"B+",IF(T298&lt;'PlayerGrades+'!$AI$6,"A-",IF(T298&lt;'PlayerGrades+'!$AI$5,"A",IF(T298&lt;'PlayerGrades+'!$AI$4,"A+",IF(T298&lt;'PlayerGrades+'!$AI$3,"S-",IF(T298&lt;'PlayerGrades+'!$AI$2,"S","S+"))))))))))))))))))))</f>
        <v>D+</v>
      </c>
      <c r="V298" s="939">
        <v>1.0</v>
      </c>
      <c r="W298" s="939">
        <v>1.0</v>
      </c>
      <c r="X298" s="939">
        <v>0.0</v>
      </c>
      <c r="Y298" s="939">
        <v>5.0</v>
      </c>
      <c r="Z298" s="939">
        <v>20.0</v>
      </c>
      <c r="AA298" s="939">
        <v>95.0</v>
      </c>
      <c r="AB298" s="939">
        <v>101.0</v>
      </c>
      <c r="AC298" s="939">
        <v>-6.0</v>
      </c>
      <c r="AD298" s="939">
        <v>1.0</v>
      </c>
      <c r="AE298" s="939">
        <v>4.0</v>
      </c>
      <c r="AF298" s="939">
        <v>1.0</v>
      </c>
      <c r="AG298" s="939">
        <v>2891.0</v>
      </c>
      <c r="AH298" s="939">
        <v>3284.0</v>
      </c>
      <c r="AI298" s="939">
        <v>28.0</v>
      </c>
      <c r="AJ298" s="939">
        <v>2055.0</v>
      </c>
      <c r="AK298" s="939">
        <v>0.0</v>
      </c>
      <c r="AL298" s="939">
        <v>0.0</v>
      </c>
      <c r="AM298" s="939">
        <v>0.0</v>
      </c>
      <c r="AN298" s="939">
        <v>0.0</v>
      </c>
      <c r="AO298" s="939">
        <v>0.0</v>
      </c>
      <c r="AP298" s="939">
        <v>0.0</v>
      </c>
      <c r="AQ298" s="939">
        <v>0.0</v>
      </c>
      <c r="AR298" s="939">
        <v>15.0</v>
      </c>
      <c r="AS298" s="939">
        <v>1.0</v>
      </c>
      <c r="AT298" s="939">
        <v>0.0</v>
      </c>
      <c r="AU298" s="939">
        <v>0.0</v>
      </c>
      <c r="AV298" s="939">
        <v>0.0</v>
      </c>
      <c r="AW298" s="939">
        <v>0.0</v>
      </c>
      <c r="AX298" s="939">
        <v>0.0</v>
      </c>
      <c r="AY298" s="939">
        <v>0.0</v>
      </c>
      <c r="AZ298" s="939">
        <v>0.0</v>
      </c>
      <c r="BA298" s="939">
        <v>0.0</v>
      </c>
      <c r="BB298" s="939">
        <v>1.0</v>
      </c>
      <c r="BC298" s="939">
        <v>0.0</v>
      </c>
      <c r="BD298" s="939">
        <v>13.0</v>
      </c>
      <c r="BE298" s="939">
        <v>10.0</v>
      </c>
      <c r="BF298" s="939">
        <v>1.0</v>
      </c>
      <c r="BG298" s="940">
        <v>1.0</v>
      </c>
    </row>
    <row r="299">
      <c r="A299" s="935" t="s">
        <v>145</v>
      </c>
      <c r="B299" s="16" t="str">
        <f>IF(C299&lt;'PlayerGrades+'!$Y$44,"F-",IF(C299&lt;'PlayerGrades+'!$Y$43,"F",IF(C299&lt;'PlayerGrades+'!$Y$42,"F+",IF(C299&lt;'PlayerGrades+'!$Y$41,"E-",IF(C299&lt;'PlayerGrades+'!$Y$40,"E",IF(C299&lt;'PlayerGrades+'!$Y$39,"E+",IF(C299&lt;'PlayerGrades+'!$Y$38,"D-",IF(C299&lt;'PlayerGrades+'!$Y$37,"D",IF(C299&lt;'PlayerGrades+'!$Y$36,"D+",IF(C299&lt;'PlayerGrades+'!$Y$35,"C-",IF(C299&lt;'PlayerGrades+'!$Y$34,"C",IF(C299&lt;'PlayerGrades+'!$Y$33,"C+",IF(C299&lt;'PlayerGrades+'!$Y$32,"B-",IF(C299&lt;'PlayerGrades+'!$Y$31,"B",IF(C299&lt;'PlayerGrades+'!$Y$30,"B+",IF(C299&lt;'PlayerGrades+'!$Y$29,"A-",IF(C299&lt;'PlayerGrades+'!$Y$28,"A",IF(C299&lt;'PlayerGrades+'!$Y$27,"A+",IF(C299&lt;'PlayerGrades+'!$Y$26,"S-",IF(C299&lt;'PlayerGrades+'!$Y$25,"S","S+"))))))))))))))))))))</f>
        <v>A+</v>
      </c>
      <c r="C299" s="936">
        <f>('PlayerGrades+'!$Y$47*(VLOOKUP(E299, 'PlayerGrades+'!$X$3:$Y$23, 2, FALSE)))+('PlayerGrades+'!$Y$48*(VLOOKUP(G299, 'PlayerGrades+'!$X$3:$Y$23, 2, FALSE)))+('PlayerGrades+'!$Y$49*(VLOOKUP(I299, 'PlayerGrades+'!$X$3:$Y$23, 2, FALSE)))+('PlayerGrades+'!$Y$50*(VLOOKUP(K299, 'PlayerGrades+'!$X$3:$Y$23, 2, FALSE)))+('PlayerGrades+'!$Y$51*(VLOOKUP(M299, 'PlayerGrades+'!$X$3:$Y$23, 2, FALSE)))+('PlayerGrades+'!$Y$52*(VLOOKUP(O299, 'PlayerGrades+'!$X$3:$Y$23, 2, FALSE)))+('PlayerGrades+'!$Y$53*(VLOOKUP(Q299, 'PlayerGrades+'!$X$3:$Y$23, 2, FALSE)))+('PlayerGrades+'!$Y$54*(VLOOKUP(S299, 'PlayerGrades+'!$X$3:$Y$23, 2, FALSE)))+('PlayerGrades+'!$Y$55*(VLOOKUP(U299, 'PlayerGrades+'!$X$3:$Y$23, 2, FALSE)))</f>
        <v>29.1</v>
      </c>
      <c r="D299" s="937">
        <f t="shared" si="1"/>
        <v>0</v>
      </c>
      <c r="E299" s="937" t="str">
        <f>IF(D299&lt;'PlayerGrades+'!$AA$21,"F-",IF(D299&lt;'PlayerGrades+'!$AA$20,"F",IF(D299&lt;'PlayerGrades+'!$AA$19,"F+",IF(D299&lt;'PlayerGrades+'!$AA$18,"E-",IF(D299&lt;'PlayerGrades+'!$AA$17,"E",IF(D299&lt;'PlayerGrades+'!$AA$16,"E+",IF(D299&lt;'PlayerGrades+'!$AA$15,"D-",IF(D299&lt;'PlayerGrades+'!$AA$14,"D",IF(D299&lt;'PlayerGrades+'!$AA$13,"D+",IF(D299&lt;'PlayerGrades+'!$AA$12,"C-",IF(D299&lt;'PlayerGrades+'!$AA$11,"C",IF(D299&lt;'PlayerGrades+'!$AA$10,"C+",IF(D299&lt;'PlayerGrades+'!$AA$9,"B-",IF(D299&lt;'PlayerGrades+'!$AA$8,"B",IF(D299&lt;'PlayerGrades+'!$AA$7,"B+",IF(D299&lt;'PlayerGrades+'!$AA$6,"A-",IF(D299&lt;'PlayerGrades+'!$AA$5,"A",IF(D299&lt;'PlayerGrades+'!$AA$4,"A+",IF(D299&lt;'PlayerGrades+'!$AA$3,"S-",IF(D299&lt;'PlayerGrades+'!$AA$2,"S","S+"))))))))))))))))))))</f>
        <v>F-</v>
      </c>
      <c r="F299" s="937">
        <f t="shared" si="2"/>
        <v>0.3105968331</v>
      </c>
      <c r="G299" s="937" t="str">
        <f>IF(F299&lt;'PlayerGrades+'!$AB$21,"F-",IF(F299&lt;'PlayerGrades+'!$AB$20,"F",IF(F299&lt;'PlayerGrades+'!$AB$19,"F+",IF(F299&lt;'PlayerGrades+'!$AB$18,"E-",IF(F299&lt;'PlayerGrades+'!$AB$17,"E",IF(F299&lt;'PlayerGrades+'!$AB$16,"E+",IF(F299&lt;'PlayerGrades+'!$AB$15,"D-",IF(F299&lt;'PlayerGrades+'!$AB$14,"D",IF(F299&lt;'PlayerGrades+'!$AB$13,"D+",IF(F299&lt;'PlayerGrades+'!$AB$12,"C-",IF(F299&lt;'PlayerGrades+'!$AB$11,"C",IF(F299&lt;'PlayerGrades+'!$AB$10,"C+",IF(F299&lt;'PlayerGrades+'!$AB$9,"B-",IF(F299&lt;'PlayerGrades+'!$AB$8,"B",IF(F299&lt;'PlayerGrades+'!$AB$7,"B+",IF(F299&lt;'PlayerGrades+'!$AB$6,"A-",IF(F299&lt;'PlayerGrades+'!$AB$5,"A",IF(F299&lt;'PlayerGrades+'!$AB$4,"A+",IF(F299&lt;'PlayerGrades+'!$AB$3,"S-",IF(F299&lt;'PlayerGrades+'!$AB$2,"S","S+"))))))))))))))))))))</f>
        <v>A-</v>
      </c>
      <c r="H299" s="937">
        <f t="shared" si="3"/>
        <v>0.1644336175</v>
      </c>
      <c r="I299" s="937" t="str">
        <f>IF(H299&lt;'PlayerGrades+'!$AC$21,"F-",IF(H299&lt;'PlayerGrades+'!$AC$20,"F",IF(H299&lt;'PlayerGrades+'!$AC$19,"F+",IF(H299&lt;'PlayerGrades+'!$AC$18,"E-",IF(H299&lt;'PlayerGrades+'!$AC$17,"E",IF(H299&lt;'PlayerGrades+'!$AC$16,"E+",IF(H299&lt;'PlayerGrades+'!$AC$15,"D-",IF(H299&lt;'PlayerGrades+'!$AC$14,"D",IF(H299&lt;'PlayerGrades+'!$AC$13,"D+",IF(H299&lt;'PlayerGrades+'!$AC$12,"C-",IF(H299&lt;'PlayerGrades+'!$AC$11,"C",IF(H299&lt;'PlayerGrades+'!$AC$10,"C+",IF(H299&lt;'PlayerGrades+'!$AC$9,"B-",IF(H299&lt;'PlayerGrades+'!$AC$8,"B",IF(H299&lt;'PlayerGrades+'!$AC$7,"B+",IF(H299&lt;'PlayerGrades+'!$AC$6,"A-",IF(H299&lt;'PlayerGrades+'!$AC$5,"A",IF(H299&lt;'PlayerGrades+'!$AC$4,"A+",IF(H299&lt;'PlayerGrades+'!$AC$3,"S-",IF(H299&lt;'PlayerGrades+'!$AC$2,"S","S+"))))))))))))))))))))</f>
        <v>A+</v>
      </c>
      <c r="J299" s="937">
        <f t="shared" si="4"/>
        <v>0.09135200974</v>
      </c>
      <c r="K299" s="937" t="str">
        <f>IF(J299&lt;'PlayerGrades+'!$AD$21,"F-",IF(J299&lt;'PlayerGrades+'!$AD$20,"F",IF(J299&lt;'PlayerGrades+'!$AD$19,"F+",IF(J299&lt;'PlayerGrades+'!$AD$18,"E-",IF(J299&lt;'PlayerGrades+'!$AD$17,"E",IF(J299&lt;'PlayerGrades+'!$AD$16,"E+",IF(J299&lt;'PlayerGrades+'!$AD$15,"D-",IF(J299&lt;'PlayerGrades+'!$AD$14,"D",IF(J299&lt;'PlayerGrades+'!$AD$13,"D+",IF(J299&lt;'PlayerGrades+'!$AD$12,"C-",IF(J299&lt;'PlayerGrades+'!$AD$11,"C",IF(J299&lt;'PlayerGrades+'!$AD$10,"C+",IF(J299&lt;'PlayerGrades+'!$AD$9,"B-",IF(J299&lt;'PlayerGrades+'!$AD$8,"B",IF(J299&lt;'PlayerGrades+'!$AD$7,"B+",IF(J299&lt;'PlayerGrades+'!$AD$6,"A-",IF(J299&lt;'PlayerGrades+'!$AD$5,"A",IF(J299&lt;'PlayerGrades+'!$AD$4,"A+",IF(J299&lt;'PlayerGrades+'!$AD$3,"S-",IF(J299&lt;'PlayerGrades+'!$AD$2,"S","S+"))))))))))))))))))))</f>
        <v>S-</v>
      </c>
      <c r="L299" s="677">
        <f t="shared" si="5"/>
        <v>0.730816078</v>
      </c>
      <c r="M299" s="938" t="str">
        <f>IF(L299&lt;'PlayerGrades+'!$AE$21,"F-",IF(L299&lt;'PlayerGrades+'!$AE$20,"F",IF(L299&lt;'PlayerGrades+'!$AE$19,"F+",IF(L299&lt;'PlayerGrades+'!$AE$18,"E-",IF(L299&lt;'PlayerGrades+'!$AE$17,"E",IF(L299&lt;'PlayerGrades+'!$AE$16,"E+",IF(L299&lt;'PlayerGrades+'!$AE$15,"D-",IF(L299&lt;'PlayerGrades+'!$AE$14,"D",IF(L299&lt;'PlayerGrades+'!$AE$13,"D+",IF(L299&lt;'PlayerGrades+'!$AE$12,"C-",IF(L299&lt;'PlayerGrades+'!$AE$11,"C",IF(L299&lt;'PlayerGrades+'!$AE$10,"C+",IF(L299&lt;'PlayerGrades+'!$AE$9,"B-",IF(L299&lt;'PlayerGrades+'!$AE$8,"B",IF(L299&lt;'PlayerGrades+'!$AE$7,"B+",IF(L299&lt;'PlayerGrades+'!$AE$6,"A-",IF(L299&lt;'PlayerGrades+'!$AE$5,"A",IF(L299&lt;'PlayerGrades+'!$AE$4,"A+",IF(L299&lt;'PlayerGrades+'!$AE$3,"S-",IF(L299&lt;'PlayerGrades+'!$AE$2,"S","S+"))))))))))))))))))))</f>
        <v>S+</v>
      </c>
      <c r="N299" s="937">
        <f t="shared" si="6"/>
        <v>0.1827040195</v>
      </c>
      <c r="O299" s="937" t="str">
        <f>IF(N299&lt;'PlayerGrades+'!$AF$21,"F-",IF(N299&lt;'PlayerGrades+'!$AF$20,"F",IF(N299&lt;'PlayerGrades+'!$AF$19,"F+",IF(N299&lt;'PlayerGrades+'!$AF$18,"E-",IF(N299&lt;'PlayerGrades+'!$AF$17,"E",IF(N299&lt;'PlayerGrades+'!$AF$16,"E+",IF(N299&lt;'PlayerGrades+'!$AF$15,"D-",IF(N299&lt;'PlayerGrades+'!$AF$14,"D",IF(N299&lt;'PlayerGrades+'!$AF$13,"D+",IF(N299&lt;'PlayerGrades+'!$AF$12,"C-",IF(N299&lt;'PlayerGrades+'!$AF$11,"C",IF(N299&lt;'PlayerGrades+'!$AF$10,"C+",IF(N299&lt;'PlayerGrades+'!$AF$9,"B-",IF(N299&lt;'PlayerGrades+'!$AF$8,"B",IF(N299&lt;'PlayerGrades+'!$AF$7,"B+",IF(N299&lt;'PlayerGrades+'!$AF$6,"A-",IF(N299&lt;'PlayerGrades+'!$AF$5,"A",IF(N299&lt;'PlayerGrades+'!$AF$4,"A+",IF(N299&lt;'PlayerGrades+'!$AF$3,"S-",IF(N299&lt;'PlayerGrades+'!$AF$2,"S","S+"))))))))))))))))))))</f>
        <v>S+</v>
      </c>
      <c r="P299" s="937">
        <f t="shared" si="7"/>
        <v>0.09135200974</v>
      </c>
      <c r="Q299" s="937" t="str">
        <f>IF(P299&lt;'PlayerGrades+'!$AG$21,"F-",IF(P299&lt;'PlayerGrades+'!$AG$20,"F",IF(P299&lt;'PlayerGrades+'!$AG$19,"F+",IF(P299&lt;'PlayerGrades+'!$AG$18,"E-",IF(P299&lt;'PlayerGrades+'!$AG$17,"E",IF(P299&lt;'PlayerGrades+'!$AG$16,"E+",IF(P299&lt;'PlayerGrades+'!$AG$15,"D-",IF(P299&lt;'PlayerGrades+'!$AG$14,"D",IF(P299&lt;'PlayerGrades+'!$AG$13,"D+",IF(P299&lt;'PlayerGrades+'!$AG$12,"C-",IF(P299&lt;'PlayerGrades+'!$AG$11,"C",IF(P299&lt;'PlayerGrades+'!$AG$10,"C+",IF(P299&lt;'PlayerGrades+'!$AG$9,"B-",IF(P299&lt;'PlayerGrades+'!$AG$8,"B",IF(P299&lt;'PlayerGrades+'!$AG$7,"B+",IF(P299&lt;'PlayerGrades+'!$AG$6,"A-",IF(P299&lt;'PlayerGrades+'!$AG$5,"A",IF(P299&lt;'PlayerGrades+'!$AG$4,"A+",IF(P299&lt;'PlayerGrades+'!$AG$3,"S-",IF(P299&lt;'PlayerGrades+'!$AG$2,"S","S+"))))))))))))))))))))</f>
        <v>S+</v>
      </c>
      <c r="R299" s="937">
        <f t="shared" si="8"/>
        <v>0.730816078</v>
      </c>
      <c r="S299" s="937" t="str">
        <f>IF(R299&lt;'PlayerGrades+'!$AH$21,"F-",IF(R299&lt;'PlayerGrades+'!$AH$20,"F",IF(R299&lt;'PlayerGrades+'!$AH$19,"F+",IF(R299&lt;'PlayerGrades+'!$AH$18,"E-",IF(R299&lt;'PlayerGrades+'!$AH$17,"E",IF(R299&lt;'PlayerGrades+'!$AH$16,"E+",IF(R299&lt;'PlayerGrades+'!$AH$15,"D-",IF(R299&lt;'PlayerGrades+'!$AH$14,"D",IF(R299&lt;'PlayerGrades+'!$AH$13,"D+",IF(R299&lt;'PlayerGrades+'!$AH$12,"C-",IF(R299&lt;'PlayerGrades+'!$AH$11,"C",IF(R299&lt;'PlayerGrades+'!$AH$10,"C+",IF(R299&lt;'PlayerGrades+'!$AH$9,"B-",IF(R299&lt;'PlayerGrades+'!$AH$8,"B",IF(R299&lt;'PlayerGrades+'!$AH$7,"B+",IF(R299&lt;'PlayerGrades+'!$AH$6,"A-",IF(R299&lt;'PlayerGrades+'!$AH$5,"A",IF(R299&lt;'PlayerGrades+'!$AH$4,"A+",IF(R299&lt;'PlayerGrades+'!$AH$3,"S-",IF(R299&lt;'PlayerGrades+'!$AH$2,"S","S+"))))))))))))))))))))</f>
        <v>S</v>
      </c>
      <c r="T299" s="937">
        <f t="shared" si="9"/>
        <v>0.6211936663</v>
      </c>
      <c r="U299" s="937" t="str">
        <f>IF(T299&lt;'PlayerGrades+'!$AI$21,"F-",IF(T299&lt;'PlayerGrades+'!$AI$20,"F",IF(T299&lt;'PlayerGrades+'!$AI$19,"F+",IF(T299&lt;'PlayerGrades+'!$AI$18,"E-",IF(T299&lt;'PlayerGrades+'!$AI$17,"E",IF(T299&lt;'PlayerGrades+'!$AI$16,"E+",IF(T299&lt;'PlayerGrades+'!$AI$15,"D-",IF(T299&lt;'PlayerGrades+'!$AI$14,"D",IF(T299&lt;'PlayerGrades+'!$AI$13,"D+",IF(T299&lt;'PlayerGrades+'!$AI$12,"C-",IF(T299&lt;'PlayerGrades+'!$AI$11,"C",IF(T299&lt;'PlayerGrades+'!$AI$10,"C+",IF(T299&lt;'PlayerGrades+'!$AI$9,"B-",IF(T299&lt;'PlayerGrades+'!$AI$8,"B",IF(T299&lt;'PlayerGrades+'!$AI$7,"B+",IF(T299&lt;'PlayerGrades+'!$AI$6,"A-",IF(T299&lt;'PlayerGrades+'!$AI$5,"A",IF(T299&lt;'PlayerGrades+'!$AI$4,"A+",IF(T299&lt;'PlayerGrades+'!$AI$3,"S-",IF(T299&lt;'PlayerGrades+'!$AI$2,"S","S+"))))))))))))))))))))</f>
        <v>F-</v>
      </c>
      <c r="V299" s="941">
        <v>1.0</v>
      </c>
      <c r="W299" s="941">
        <v>1.0</v>
      </c>
      <c r="X299" s="941">
        <v>0.0</v>
      </c>
      <c r="Y299" s="941">
        <v>0.0</v>
      </c>
      <c r="Z299" s="941">
        <v>0.0</v>
      </c>
      <c r="AA299" s="941">
        <v>242.0</v>
      </c>
      <c r="AB299" s="941">
        <v>225.0</v>
      </c>
      <c r="AC299" s="941">
        <v>17.0</v>
      </c>
      <c r="AD299" s="941">
        <v>15.0</v>
      </c>
      <c r="AE299" s="941">
        <v>7.0</v>
      </c>
      <c r="AF299" s="941">
        <v>3.0</v>
      </c>
      <c r="AG299" s="941">
        <v>2511.0</v>
      </c>
      <c r="AH299" s="941">
        <v>3284.0</v>
      </c>
      <c r="AI299" s="941">
        <v>11.0</v>
      </c>
      <c r="AJ299" s="941">
        <v>18.0</v>
      </c>
      <c r="AK299" s="941">
        <v>0.0</v>
      </c>
      <c r="AL299" s="941">
        <v>5.0</v>
      </c>
      <c r="AM299" s="941">
        <v>0.0</v>
      </c>
      <c r="AN299" s="941">
        <v>0.0</v>
      </c>
      <c r="AO299" s="941">
        <v>0.0</v>
      </c>
      <c r="AP299" s="941">
        <v>5.0</v>
      </c>
      <c r="AQ299" s="941">
        <v>0.0</v>
      </c>
      <c r="AR299" s="941">
        <v>40.0</v>
      </c>
      <c r="AS299" s="941">
        <v>10.0</v>
      </c>
      <c r="AT299" s="941">
        <v>2.0</v>
      </c>
      <c r="AU299" s="941">
        <v>1.0</v>
      </c>
      <c r="AV299" s="941">
        <v>0.0</v>
      </c>
      <c r="AW299" s="941">
        <v>0.0</v>
      </c>
      <c r="AX299" s="941">
        <v>0.0</v>
      </c>
      <c r="AY299" s="941">
        <v>0.0</v>
      </c>
      <c r="AZ299" s="941">
        <v>0.0</v>
      </c>
      <c r="BA299" s="941">
        <v>0.0</v>
      </c>
      <c r="BB299" s="941">
        <v>9.0</v>
      </c>
      <c r="BC299" s="941">
        <v>0.0</v>
      </c>
      <c r="BD299" s="941">
        <v>25.0</v>
      </c>
      <c r="BE299" s="941">
        <v>34.0</v>
      </c>
      <c r="BF299" s="941">
        <v>0.0</v>
      </c>
      <c r="BG299" s="942">
        <v>1.0</v>
      </c>
    </row>
    <row r="300">
      <c r="A300" s="935" t="s">
        <v>120</v>
      </c>
      <c r="B300" s="16" t="str">
        <f>IF(C300&lt;'PlayerGrades+'!$Y$44,"F-",IF(C300&lt;'PlayerGrades+'!$Y$43,"F",IF(C300&lt;'PlayerGrades+'!$Y$42,"F+",IF(C300&lt;'PlayerGrades+'!$Y$41,"E-",IF(C300&lt;'PlayerGrades+'!$Y$40,"E",IF(C300&lt;'PlayerGrades+'!$Y$39,"E+",IF(C300&lt;'PlayerGrades+'!$Y$38,"D-",IF(C300&lt;'PlayerGrades+'!$Y$37,"D",IF(C300&lt;'PlayerGrades+'!$Y$36,"D+",IF(C300&lt;'PlayerGrades+'!$Y$35,"C-",IF(C300&lt;'PlayerGrades+'!$Y$34,"C",IF(C300&lt;'PlayerGrades+'!$Y$33,"C+",IF(C300&lt;'PlayerGrades+'!$Y$32,"B-",IF(C300&lt;'PlayerGrades+'!$Y$31,"B",IF(C300&lt;'PlayerGrades+'!$Y$30,"B+",IF(C300&lt;'PlayerGrades+'!$Y$29,"A-",IF(C300&lt;'PlayerGrades+'!$Y$28,"A",IF(C300&lt;'PlayerGrades+'!$Y$27,"A+",IF(C300&lt;'PlayerGrades+'!$Y$26,"S-",IF(C300&lt;'PlayerGrades+'!$Y$25,"S","S+"))))))))))))))))))))</f>
        <v>S</v>
      </c>
      <c r="C300" s="936">
        <f>('PlayerGrades+'!$Y$47*(VLOOKUP(E300, 'PlayerGrades+'!$X$3:$Y$23, 2, FALSE)))+('PlayerGrades+'!$Y$48*(VLOOKUP(G300, 'PlayerGrades+'!$X$3:$Y$23, 2, FALSE)))+('PlayerGrades+'!$Y$49*(VLOOKUP(I300, 'PlayerGrades+'!$X$3:$Y$23, 2, FALSE)))+('PlayerGrades+'!$Y$50*(VLOOKUP(K300, 'PlayerGrades+'!$X$3:$Y$23, 2, FALSE)))+('PlayerGrades+'!$Y$51*(VLOOKUP(M300, 'PlayerGrades+'!$X$3:$Y$23, 2, FALSE)))+('PlayerGrades+'!$Y$52*(VLOOKUP(O300, 'PlayerGrades+'!$X$3:$Y$23, 2, FALSE)))+('PlayerGrades+'!$Y$53*(VLOOKUP(Q300, 'PlayerGrades+'!$X$3:$Y$23, 2, FALSE)))+('PlayerGrades+'!$Y$54*(VLOOKUP(S300, 'PlayerGrades+'!$X$3:$Y$23, 2, FALSE)))+('PlayerGrades+'!$Y$55*(VLOOKUP(U300, 'PlayerGrades+'!$X$3:$Y$23, 2, FALSE)))</f>
        <v>32.65</v>
      </c>
      <c r="D300" s="937">
        <f t="shared" si="1"/>
        <v>0</v>
      </c>
      <c r="E300" s="937" t="str">
        <f>IF(D300&lt;'PlayerGrades+'!$AA$21,"F-",IF(D300&lt;'PlayerGrades+'!$AA$20,"F",IF(D300&lt;'PlayerGrades+'!$AA$19,"F+",IF(D300&lt;'PlayerGrades+'!$AA$18,"E-",IF(D300&lt;'PlayerGrades+'!$AA$17,"E",IF(D300&lt;'PlayerGrades+'!$AA$16,"E+",IF(D300&lt;'PlayerGrades+'!$AA$15,"D-",IF(D300&lt;'PlayerGrades+'!$AA$14,"D",IF(D300&lt;'PlayerGrades+'!$AA$13,"D+",IF(D300&lt;'PlayerGrades+'!$AA$12,"C-",IF(D300&lt;'PlayerGrades+'!$AA$11,"C",IF(D300&lt;'PlayerGrades+'!$AA$10,"C+",IF(D300&lt;'PlayerGrades+'!$AA$9,"B-",IF(D300&lt;'PlayerGrades+'!$AA$8,"B",IF(D300&lt;'PlayerGrades+'!$AA$7,"B+",IF(D300&lt;'PlayerGrades+'!$AA$6,"A-",IF(D300&lt;'PlayerGrades+'!$AA$5,"A",IF(D300&lt;'PlayerGrades+'!$AA$4,"A+",IF(D300&lt;'PlayerGrades+'!$AA$3,"S-",IF(D300&lt;'PlayerGrades+'!$AA$2,"S","S+"))))))))))))))))))))</f>
        <v>F-</v>
      </c>
      <c r="F300" s="937">
        <f t="shared" si="2"/>
        <v>0.9317904994</v>
      </c>
      <c r="G300" s="937" t="str">
        <f>IF(F300&lt;'PlayerGrades+'!$AB$21,"F-",IF(F300&lt;'PlayerGrades+'!$AB$20,"F",IF(F300&lt;'PlayerGrades+'!$AB$19,"F+",IF(F300&lt;'PlayerGrades+'!$AB$18,"E-",IF(F300&lt;'PlayerGrades+'!$AB$17,"E",IF(F300&lt;'PlayerGrades+'!$AB$16,"E+",IF(F300&lt;'PlayerGrades+'!$AB$15,"D-",IF(F300&lt;'PlayerGrades+'!$AB$14,"D",IF(F300&lt;'PlayerGrades+'!$AB$13,"D+",IF(F300&lt;'PlayerGrades+'!$AB$12,"C-",IF(F300&lt;'PlayerGrades+'!$AB$11,"C",IF(F300&lt;'PlayerGrades+'!$AB$10,"C+",IF(F300&lt;'PlayerGrades+'!$AB$9,"B-",IF(F300&lt;'PlayerGrades+'!$AB$8,"B",IF(F300&lt;'PlayerGrades+'!$AB$7,"B+",IF(F300&lt;'PlayerGrades+'!$AB$6,"A-",IF(F300&lt;'PlayerGrades+'!$AB$5,"A",IF(F300&lt;'PlayerGrades+'!$AB$4,"A+",IF(F300&lt;'PlayerGrades+'!$AB$3,"S-",IF(F300&lt;'PlayerGrades+'!$AB$2,"S","S+"))))))))))))))))))))</f>
        <v>S</v>
      </c>
      <c r="H300" s="937">
        <f t="shared" si="3"/>
        <v>0.2375152253</v>
      </c>
      <c r="I300" s="937" t="str">
        <f>IF(H300&lt;'PlayerGrades+'!$AC$21,"F-",IF(H300&lt;'PlayerGrades+'!$AC$20,"F",IF(H300&lt;'PlayerGrades+'!$AC$19,"F+",IF(H300&lt;'PlayerGrades+'!$AC$18,"E-",IF(H300&lt;'PlayerGrades+'!$AC$17,"E",IF(H300&lt;'PlayerGrades+'!$AC$16,"E+",IF(H300&lt;'PlayerGrades+'!$AC$15,"D-",IF(H300&lt;'PlayerGrades+'!$AC$14,"D",IF(H300&lt;'PlayerGrades+'!$AC$13,"D+",IF(H300&lt;'PlayerGrades+'!$AC$12,"C-",IF(H300&lt;'PlayerGrades+'!$AC$11,"C",IF(H300&lt;'PlayerGrades+'!$AC$10,"C+",IF(H300&lt;'PlayerGrades+'!$AC$9,"B-",IF(H300&lt;'PlayerGrades+'!$AC$8,"B",IF(H300&lt;'PlayerGrades+'!$AC$7,"B+",IF(H300&lt;'PlayerGrades+'!$AC$6,"A-",IF(H300&lt;'PlayerGrades+'!$AC$5,"A",IF(H300&lt;'PlayerGrades+'!$AC$4,"A+",IF(H300&lt;'PlayerGrades+'!$AC$3,"S-",IF(H300&lt;'PlayerGrades+'!$AC$2,"S","S+"))))))))))))))))))))</f>
        <v>S</v>
      </c>
      <c r="J300" s="937">
        <f t="shared" si="4"/>
        <v>0.1096224117</v>
      </c>
      <c r="K300" s="937" t="str">
        <f>IF(J300&lt;'PlayerGrades+'!$AD$21,"F-",IF(J300&lt;'PlayerGrades+'!$AD$20,"F",IF(J300&lt;'PlayerGrades+'!$AD$19,"F+",IF(J300&lt;'PlayerGrades+'!$AD$18,"E-",IF(J300&lt;'PlayerGrades+'!$AD$17,"E",IF(J300&lt;'PlayerGrades+'!$AD$16,"E+",IF(J300&lt;'PlayerGrades+'!$AD$15,"D-",IF(J300&lt;'PlayerGrades+'!$AD$14,"D",IF(J300&lt;'PlayerGrades+'!$AD$13,"D+",IF(J300&lt;'PlayerGrades+'!$AD$12,"C-",IF(J300&lt;'PlayerGrades+'!$AD$11,"C",IF(J300&lt;'PlayerGrades+'!$AD$10,"C+",IF(J300&lt;'PlayerGrades+'!$AD$9,"B-",IF(J300&lt;'PlayerGrades+'!$AD$8,"B",IF(J300&lt;'PlayerGrades+'!$AD$7,"B+",IF(J300&lt;'PlayerGrades+'!$AD$6,"A-",IF(J300&lt;'PlayerGrades+'!$AD$5,"A",IF(J300&lt;'PlayerGrades+'!$AD$4,"A+",IF(J300&lt;'PlayerGrades+'!$AD$3,"S-",IF(J300&lt;'PlayerGrades+'!$AD$2,"S","S+"))))))))))))))))))))</f>
        <v>S+</v>
      </c>
      <c r="L300" s="677">
        <f t="shared" si="5"/>
        <v>0.7673568819</v>
      </c>
      <c r="M300" s="938" t="str">
        <f>IF(L300&lt;'PlayerGrades+'!$AE$21,"F-",IF(L300&lt;'PlayerGrades+'!$AE$20,"F",IF(L300&lt;'PlayerGrades+'!$AE$19,"F+",IF(L300&lt;'PlayerGrades+'!$AE$18,"E-",IF(L300&lt;'PlayerGrades+'!$AE$17,"E",IF(L300&lt;'PlayerGrades+'!$AE$16,"E+",IF(L300&lt;'PlayerGrades+'!$AE$15,"D-",IF(L300&lt;'PlayerGrades+'!$AE$14,"D",IF(L300&lt;'PlayerGrades+'!$AE$13,"D+",IF(L300&lt;'PlayerGrades+'!$AE$12,"C-",IF(L300&lt;'PlayerGrades+'!$AE$11,"C",IF(L300&lt;'PlayerGrades+'!$AE$10,"C+",IF(L300&lt;'PlayerGrades+'!$AE$9,"B-",IF(L300&lt;'PlayerGrades+'!$AE$8,"B",IF(L300&lt;'PlayerGrades+'!$AE$7,"B+",IF(L300&lt;'PlayerGrades+'!$AE$6,"A-",IF(L300&lt;'PlayerGrades+'!$AE$5,"A",IF(L300&lt;'PlayerGrades+'!$AE$4,"A+",IF(L300&lt;'PlayerGrades+'!$AE$3,"S-",IF(L300&lt;'PlayerGrades+'!$AE$2,"S","S+"))))))))))))))))))))</f>
        <v>S+</v>
      </c>
      <c r="N300" s="937">
        <f t="shared" si="6"/>
        <v>0.1461632156</v>
      </c>
      <c r="O300" s="937" t="str">
        <f>IF(N300&lt;'PlayerGrades+'!$AF$21,"F-",IF(N300&lt;'PlayerGrades+'!$AF$20,"F",IF(N300&lt;'PlayerGrades+'!$AF$19,"F+",IF(N300&lt;'PlayerGrades+'!$AF$18,"E-",IF(N300&lt;'PlayerGrades+'!$AF$17,"E",IF(N300&lt;'PlayerGrades+'!$AF$16,"E+",IF(N300&lt;'PlayerGrades+'!$AF$15,"D-",IF(N300&lt;'PlayerGrades+'!$AF$14,"D",IF(N300&lt;'PlayerGrades+'!$AF$13,"D+",IF(N300&lt;'PlayerGrades+'!$AF$12,"C-",IF(N300&lt;'PlayerGrades+'!$AF$11,"C",IF(N300&lt;'PlayerGrades+'!$AF$10,"C+",IF(N300&lt;'PlayerGrades+'!$AF$9,"B-",IF(N300&lt;'PlayerGrades+'!$AF$8,"B",IF(N300&lt;'PlayerGrades+'!$AF$7,"B+",IF(N300&lt;'PlayerGrades+'!$AF$6,"A-",IF(N300&lt;'PlayerGrades+'!$AF$5,"A",IF(N300&lt;'PlayerGrades+'!$AF$4,"A+",IF(N300&lt;'PlayerGrades+'!$AF$3,"S-",IF(N300&lt;'PlayerGrades+'!$AF$2,"S","S+"))))))))))))))))))))</f>
        <v>S</v>
      </c>
      <c r="P300" s="937">
        <f t="shared" si="7"/>
        <v>0.09135200974</v>
      </c>
      <c r="Q300" s="937" t="str">
        <f>IF(P300&lt;'PlayerGrades+'!$AG$21,"F-",IF(P300&lt;'PlayerGrades+'!$AG$20,"F",IF(P300&lt;'PlayerGrades+'!$AG$19,"F+",IF(P300&lt;'PlayerGrades+'!$AG$18,"E-",IF(P300&lt;'PlayerGrades+'!$AG$17,"E",IF(P300&lt;'PlayerGrades+'!$AG$16,"E+",IF(P300&lt;'PlayerGrades+'!$AG$15,"D-",IF(P300&lt;'PlayerGrades+'!$AG$14,"D",IF(P300&lt;'PlayerGrades+'!$AG$13,"D+",IF(P300&lt;'PlayerGrades+'!$AG$12,"C-",IF(P300&lt;'PlayerGrades+'!$AG$11,"C",IF(P300&lt;'PlayerGrades+'!$AG$10,"C+",IF(P300&lt;'PlayerGrades+'!$AG$9,"B-",IF(P300&lt;'PlayerGrades+'!$AG$8,"B",IF(P300&lt;'PlayerGrades+'!$AG$7,"B+",IF(P300&lt;'PlayerGrades+'!$AG$6,"A-",IF(P300&lt;'PlayerGrades+'!$AG$5,"A",IF(P300&lt;'PlayerGrades+'!$AG$4,"A+",IF(P300&lt;'PlayerGrades+'!$AG$3,"S-",IF(P300&lt;'PlayerGrades+'!$AG$2,"S","S+"))))))))))))))))))))</f>
        <v>S+</v>
      </c>
      <c r="R300" s="937">
        <f t="shared" si="8"/>
        <v>0.7856272838</v>
      </c>
      <c r="S300" s="937" t="str">
        <f>IF(R300&lt;'PlayerGrades+'!$AH$21,"F-",IF(R300&lt;'PlayerGrades+'!$AH$20,"F",IF(R300&lt;'PlayerGrades+'!$AH$19,"F+",IF(R300&lt;'PlayerGrades+'!$AH$18,"E-",IF(R300&lt;'PlayerGrades+'!$AH$17,"E",IF(R300&lt;'PlayerGrades+'!$AH$16,"E+",IF(R300&lt;'PlayerGrades+'!$AH$15,"D-",IF(R300&lt;'PlayerGrades+'!$AH$14,"D",IF(R300&lt;'PlayerGrades+'!$AH$13,"D+",IF(R300&lt;'PlayerGrades+'!$AH$12,"C-",IF(R300&lt;'PlayerGrades+'!$AH$11,"C",IF(R300&lt;'PlayerGrades+'!$AH$10,"C+",IF(R300&lt;'PlayerGrades+'!$AH$9,"B-",IF(R300&lt;'PlayerGrades+'!$AH$8,"B",IF(R300&lt;'PlayerGrades+'!$AH$7,"B+",IF(R300&lt;'PlayerGrades+'!$AH$6,"A-",IF(R300&lt;'PlayerGrades+'!$AH$5,"A",IF(R300&lt;'PlayerGrades+'!$AH$4,"A+",IF(R300&lt;'PlayerGrades+'!$AH$3,"S-",IF(R300&lt;'PlayerGrades+'!$AH$2,"S","S+"))))))))))))))))))))</f>
        <v>S+</v>
      </c>
      <c r="T300" s="937">
        <f t="shared" si="9"/>
        <v>2.712545676</v>
      </c>
      <c r="U300" s="937" t="str">
        <f>IF(T300&lt;'PlayerGrades+'!$AI$21,"F-",IF(T300&lt;'PlayerGrades+'!$AI$20,"F",IF(T300&lt;'PlayerGrades+'!$AI$19,"F+",IF(T300&lt;'PlayerGrades+'!$AI$18,"E-",IF(T300&lt;'PlayerGrades+'!$AI$17,"E",IF(T300&lt;'PlayerGrades+'!$AI$16,"E+",IF(T300&lt;'PlayerGrades+'!$AI$15,"D-",IF(T300&lt;'PlayerGrades+'!$AI$14,"D",IF(T300&lt;'PlayerGrades+'!$AI$13,"D+",IF(T300&lt;'PlayerGrades+'!$AI$12,"C-",IF(T300&lt;'PlayerGrades+'!$AI$11,"C",IF(T300&lt;'PlayerGrades+'!$AI$10,"C+",IF(T300&lt;'PlayerGrades+'!$AI$9,"B-",IF(T300&lt;'PlayerGrades+'!$AI$8,"B",IF(T300&lt;'PlayerGrades+'!$AI$7,"B+",IF(T300&lt;'PlayerGrades+'!$AI$6,"A-",IF(T300&lt;'PlayerGrades+'!$AI$5,"A",IF(T300&lt;'PlayerGrades+'!$AI$4,"A+",IF(T300&lt;'PlayerGrades+'!$AI$3,"S-",IF(T300&lt;'PlayerGrades+'!$AI$2,"S","S+"))))))))))))))))))))</f>
        <v>S+</v>
      </c>
      <c r="V300" s="941">
        <v>1.0</v>
      </c>
      <c r="W300" s="941">
        <v>1.0</v>
      </c>
      <c r="X300" s="941">
        <v>0.0</v>
      </c>
      <c r="Y300" s="941">
        <v>0.0</v>
      </c>
      <c r="Z300" s="941">
        <v>0.0</v>
      </c>
      <c r="AA300" s="941">
        <v>234.0</v>
      </c>
      <c r="AB300" s="941">
        <v>183.0</v>
      </c>
      <c r="AC300" s="941">
        <v>51.0</v>
      </c>
      <c r="AD300" s="941">
        <v>22.0</v>
      </c>
      <c r="AE300" s="941">
        <v>6.0</v>
      </c>
      <c r="AF300" s="941">
        <v>4.0</v>
      </c>
      <c r="AG300" s="941">
        <v>2642.0</v>
      </c>
      <c r="AH300" s="941">
        <v>3284.0</v>
      </c>
      <c r="AI300" s="941">
        <v>14.0</v>
      </c>
      <c r="AJ300" s="941">
        <v>17.0</v>
      </c>
      <c r="AK300" s="941">
        <v>0.0</v>
      </c>
      <c r="AL300" s="941">
        <v>6.0</v>
      </c>
      <c r="AM300" s="941">
        <v>0.0</v>
      </c>
      <c r="AN300" s="941">
        <v>0.0</v>
      </c>
      <c r="AO300" s="941">
        <v>0.0</v>
      </c>
      <c r="AP300" s="941">
        <v>5.0</v>
      </c>
      <c r="AQ300" s="941">
        <v>0.0</v>
      </c>
      <c r="AR300" s="941">
        <v>42.0</v>
      </c>
      <c r="AS300" s="941">
        <v>8.0</v>
      </c>
      <c r="AT300" s="941">
        <v>3.0</v>
      </c>
      <c r="AU300" s="941">
        <v>0.0</v>
      </c>
      <c r="AV300" s="941">
        <v>0.0</v>
      </c>
      <c r="AW300" s="941">
        <v>0.0</v>
      </c>
      <c r="AX300" s="941">
        <v>0.0</v>
      </c>
      <c r="AY300" s="941">
        <v>0.0</v>
      </c>
      <c r="AZ300" s="941">
        <v>0.0</v>
      </c>
      <c r="BA300" s="941">
        <v>0.0</v>
      </c>
      <c r="BB300" s="941">
        <v>13.0</v>
      </c>
      <c r="BC300" s="941">
        <v>0.0</v>
      </c>
      <c r="BD300" s="941">
        <v>21.0</v>
      </c>
      <c r="BE300" s="941">
        <v>39.0</v>
      </c>
      <c r="BF300" s="941">
        <v>2.0</v>
      </c>
      <c r="BG300" s="942">
        <v>1.0</v>
      </c>
    </row>
    <row r="301">
      <c r="A301" s="935" t="s">
        <v>131</v>
      </c>
      <c r="B301" s="16" t="str">
        <f>IF(C301&lt;'PlayerGrades+'!$Y$44,"F-",IF(C301&lt;'PlayerGrades+'!$Y$43,"F",IF(C301&lt;'PlayerGrades+'!$Y$42,"F+",IF(C301&lt;'PlayerGrades+'!$Y$41,"E-",IF(C301&lt;'PlayerGrades+'!$Y$40,"E",IF(C301&lt;'PlayerGrades+'!$Y$39,"E+",IF(C301&lt;'PlayerGrades+'!$Y$38,"D-",IF(C301&lt;'PlayerGrades+'!$Y$37,"D",IF(C301&lt;'PlayerGrades+'!$Y$36,"D+",IF(C301&lt;'PlayerGrades+'!$Y$35,"C-",IF(C301&lt;'PlayerGrades+'!$Y$34,"C",IF(C301&lt;'PlayerGrades+'!$Y$33,"C+",IF(C301&lt;'PlayerGrades+'!$Y$32,"B-",IF(C301&lt;'PlayerGrades+'!$Y$31,"B",IF(C301&lt;'PlayerGrades+'!$Y$30,"B+",IF(C301&lt;'PlayerGrades+'!$Y$29,"A-",IF(C301&lt;'PlayerGrades+'!$Y$28,"A",IF(C301&lt;'PlayerGrades+'!$Y$27,"A+",IF(C301&lt;'PlayerGrades+'!$Y$26,"S-",IF(C301&lt;'PlayerGrades+'!$Y$25,"S","S+"))))))))))))))))))))</f>
        <v>B</v>
      </c>
      <c r="C301" s="936">
        <f>('PlayerGrades+'!$Y$47*(VLOOKUP(E301, 'PlayerGrades+'!$X$3:$Y$23, 2, FALSE)))+('PlayerGrades+'!$Y$48*(VLOOKUP(G301, 'PlayerGrades+'!$X$3:$Y$23, 2, FALSE)))+('PlayerGrades+'!$Y$49*(VLOOKUP(I301, 'PlayerGrades+'!$X$3:$Y$23, 2, FALSE)))+('PlayerGrades+'!$Y$50*(VLOOKUP(K301, 'PlayerGrades+'!$X$3:$Y$23, 2, FALSE)))+('PlayerGrades+'!$Y$51*(VLOOKUP(M301, 'PlayerGrades+'!$X$3:$Y$23, 2, FALSE)))+('PlayerGrades+'!$Y$52*(VLOOKUP(O301, 'PlayerGrades+'!$X$3:$Y$23, 2, FALSE)))+('PlayerGrades+'!$Y$53*(VLOOKUP(Q301, 'PlayerGrades+'!$X$3:$Y$23, 2, FALSE)))+('PlayerGrades+'!$Y$54*(VLOOKUP(S301, 'PlayerGrades+'!$X$3:$Y$23, 2, FALSE)))+('PlayerGrades+'!$Y$55*(VLOOKUP(U301, 'PlayerGrades+'!$X$3:$Y$23, 2, FALSE)))</f>
        <v>23.25</v>
      </c>
      <c r="D301" s="937">
        <f t="shared" si="1"/>
        <v>0.01827040195</v>
      </c>
      <c r="E301" s="937" t="str">
        <f>IF(D301&lt;'PlayerGrades+'!$AA$21,"F-",IF(D301&lt;'PlayerGrades+'!$AA$20,"F",IF(D301&lt;'PlayerGrades+'!$AA$19,"F+",IF(D301&lt;'PlayerGrades+'!$AA$18,"E-",IF(D301&lt;'PlayerGrades+'!$AA$17,"E",IF(D301&lt;'PlayerGrades+'!$AA$16,"E+",IF(D301&lt;'PlayerGrades+'!$AA$15,"D-",IF(D301&lt;'PlayerGrades+'!$AA$14,"D",IF(D301&lt;'PlayerGrades+'!$AA$13,"D+",IF(D301&lt;'PlayerGrades+'!$AA$12,"C-",IF(D301&lt;'PlayerGrades+'!$AA$11,"C",IF(D301&lt;'PlayerGrades+'!$AA$10,"C+",IF(D301&lt;'PlayerGrades+'!$AA$9,"B-",IF(D301&lt;'PlayerGrades+'!$AA$8,"B",IF(D301&lt;'PlayerGrades+'!$AA$7,"B+",IF(D301&lt;'PlayerGrades+'!$AA$6,"A-",IF(D301&lt;'PlayerGrades+'!$AA$5,"A",IF(D301&lt;'PlayerGrades+'!$AA$4,"A+",IF(D301&lt;'PlayerGrades+'!$AA$3,"S-",IF(D301&lt;'PlayerGrades+'!$AA$2,"S","S+"))))))))))))))))))))</f>
        <v>E-</v>
      </c>
      <c r="F301" s="937">
        <f t="shared" si="2"/>
        <v>0.4567600487</v>
      </c>
      <c r="G301" s="937" t="str">
        <f>IF(F301&lt;'PlayerGrades+'!$AB$21,"F-",IF(F301&lt;'PlayerGrades+'!$AB$20,"F",IF(F301&lt;'PlayerGrades+'!$AB$19,"F+",IF(F301&lt;'PlayerGrades+'!$AB$18,"E-",IF(F301&lt;'PlayerGrades+'!$AB$17,"E",IF(F301&lt;'PlayerGrades+'!$AB$16,"E+",IF(F301&lt;'PlayerGrades+'!$AB$15,"D-",IF(F301&lt;'PlayerGrades+'!$AB$14,"D",IF(F301&lt;'PlayerGrades+'!$AB$13,"D+",IF(F301&lt;'PlayerGrades+'!$AB$12,"C-",IF(F301&lt;'PlayerGrades+'!$AB$11,"C",IF(F301&lt;'PlayerGrades+'!$AB$10,"C+",IF(F301&lt;'PlayerGrades+'!$AB$9,"B-",IF(F301&lt;'PlayerGrades+'!$AB$8,"B",IF(F301&lt;'PlayerGrades+'!$AB$7,"B+",IF(F301&lt;'PlayerGrades+'!$AB$6,"A-",IF(F301&lt;'PlayerGrades+'!$AB$5,"A",IF(F301&lt;'PlayerGrades+'!$AB$4,"A+",IF(F301&lt;'PlayerGrades+'!$AB$3,"S-",IF(F301&lt;'PlayerGrades+'!$AB$2,"S","S+"))))))))))))))))))))</f>
        <v>A+</v>
      </c>
      <c r="H301" s="937">
        <f t="shared" si="3"/>
        <v>0.1461632156</v>
      </c>
      <c r="I301" s="937" t="str">
        <f>IF(H301&lt;'PlayerGrades+'!$AC$21,"F-",IF(H301&lt;'PlayerGrades+'!$AC$20,"F",IF(H301&lt;'PlayerGrades+'!$AC$19,"F+",IF(H301&lt;'PlayerGrades+'!$AC$18,"E-",IF(H301&lt;'PlayerGrades+'!$AC$17,"E",IF(H301&lt;'PlayerGrades+'!$AC$16,"E+",IF(H301&lt;'PlayerGrades+'!$AC$15,"D-",IF(H301&lt;'PlayerGrades+'!$AC$14,"D",IF(H301&lt;'PlayerGrades+'!$AC$13,"D+",IF(H301&lt;'PlayerGrades+'!$AC$12,"C-",IF(H301&lt;'PlayerGrades+'!$AC$11,"C",IF(H301&lt;'PlayerGrades+'!$AC$10,"C+",IF(H301&lt;'PlayerGrades+'!$AC$9,"B-",IF(H301&lt;'PlayerGrades+'!$AC$8,"B",IF(H301&lt;'PlayerGrades+'!$AC$7,"B+",IF(H301&lt;'PlayerGrades+'!$AC$6,"A-",IF(H301&lt;'PlayerGrades+'!$AC$5,"A",IF(H301&lt;'PlayerGrades+'!$AC$4,"A+",IF(H301&lt;'PlayerGrades+'!$AC$3,"S-",IF(H301&lt;'PlayerGrades+'!$AC$2,"S","S+"))))))))))))))))))))</f>
        <v>A</v>
      </c>
      <c r="J301" s="937">
        <f t="shared" si="4"/>
        <v>0.0730816078</v>
      </c>
      <c r="K301" s="937" t="str">
        <f>IF(J301&lt;'PlayerGrades+'!$AD$21,"F-",IF(J301&lt;'PlayerGrades+'!$AD$20,"F",IF(J301&lt;'PlayerGrades+'!$AD$19,"F+",IF(J301&lt;'PlayerGrades+'!$AD$18,"E-",IF(J301&lt;'PlayerGrades+'!$AD$17,"E",IF(J301&lt;'PlayerGrades+'!$AD$16,"E+",IF(J301&lt;'PlayerGrades+'!$AD$15,"D-",IF(J301&lt;'PlayerGrades+'!$AD$14,"D",IF(J301&lt;'PlayerGrades+'!$AD$13,"D+",IF(J301&lt;'PlayerGrades+'!$AD$12,"C-",IF(J301&lt;'PlayerGrades+'!$AD$11,"C",IF(J301&lt;'PlayerGrades+'!$AD$10,"C+",IF(J301&lt;'PlayerGrades+'!$AD$9,"B-",IF(J301&lt;'PlayerGrades+'!$AD$8,"B",IF(J301&lt;'PlayerGrades+'!$AD$7,"B+",IF(J301&lt;'PlayerGrades+'!$AD$6,"A-",IF(J301&lt;'PlayerGrades+'!$AD$5,"A",IF(J301&lt;'PlayerGrades+'!$AD$4,"A+",IF(J301&lt;'PlayerGrades+'!$AD$3,"S-",IF(J301&lt;'PlayerGrades+'!$AD$2,"S","S+"))))))))))))))))))))</f>
        <v>A</v>
      </c>
      <c r="L301" s="677">
        <f t="shared" si="5"/>
        <v>0.4933008526</v>
      </c>
      <c r="M301" s="938" t="str">
        <f>IF(L301&lt;'PlayerGrades+'!$AE$21,"F-",IF(L301&lt;'PlayerGrades+'!$AE$20,"F",IF(L301&lt;'PlayerGrades+'!$AE$19,"F+",IF(L301&lt;'PlayerGrades+'!$AE$18,"E-",IF(L301&lt;'PlayerGrades+'!$AE$17,"E",IF(L301&lt;'PlayerGrades+'!$AE$16,"E+",IF(L301&lt;'PlayerGrades+'!$AE$15,"D-",IF(L301&lt;'PlayerGrades+'!$AE$14,"D",IF(L301&lt;'PlayerGrades+'!$AE$13,"D+",IF(L301&lt;'PlayerGrades+'!$AE$12,"C-",IF(L301&lt;'PlayerGrades+'!$AE$11,"C",IF(L301&lt;'PlayerGrades+'!$AE$10,"C+",IF(L301&lt;'PlayerGrades+'!$AE$9,"B-",IF(L301&lt;'PlayerGrades+'!$AE$8,"B",IF(L301&lt;'PlayerGrades+'!$AE$7,"B+",IF(L301&lt;'PlayerGrades+'!$AE$6,"A-",IF(L301&lt;'PlayerGrades+'!$AE$5,"A",IF(L301&lt;'PlayerGrades+'!$AE$4,"A+",IF(L301&lt;'PlayerGrades+'!$AE$3,"S-",IF(L301&lt;'PlayerGrades+'!$AE$2,"S","S+"))))))))))))))))))))</f>
        <v>A-</v>
      </c>
      <c r="N301" s="937">
        <f t="shared" si="6"/>
        <v>0.05481120585</v>
      </c>
      <c r="O301" s="937" t="str">
        <f>IF(N301&lt;'PlayerGrades+'!$AF$21,"F-",IF(N301&lt;'PlayerGrades+'!$AF$20,"F",IF(N301&lt;'PlayerGrades+'!$AF$19,"F+",IF(N301&lt;'PlayerGrades+'!$AF$18,"E-",IF(N301&lt;'PlayerGrades+'!$AF$17,"E",IF(N301&lt;'PlayerGrades+'!$AF$16,"E+",IF(N301&lt;'PlayerGrades+'!$AF$15,"D-",IF(N301&lt;'PlayerGrades+'!$AF$14,"D",IF(N301&lt;'PlayerGrades+'!$AF$13,"D+",IF(N301&lt;'PlayerGrades+'!$AF$12,"C-",IF(N301&lt;'PlayerGrades+'!$AF$11,"C",IF(N301&lt;'PlayerGrades+'!$AF$10,"C+",IF(N301&lt;'PlayerGrades+'!$AF$9,"B-",IF(N301&lt;'PlayerGrades+'!$AF$8,"B",IF(N301&lt;'PlayerGrades+'!$AF$7,"B+",IF(N301&lt;'PlayerGrades+'!$AF$6,"A-",IF(N301&lt;'PlayerGrades+'!$AF$5,"A",IF(N301&lt;'PlayerGrades+'!$AF$4,"A+",IF(N301&lt;'PlayerGrades+'!$AF$3,"S-",IF(N301&lt;'PlayerGrades+'!$AF$2,"S","S+"))))))))))))))))))))</f>
        <v>D</v>
      </c>
      <c r="P301" s="937">
        <f t="shared" si="7"/>
        <v>0.05481120585</v>
      </c>
      <c r="Q301" s="937" t="str">
        <f>IF(P301&lt;'PlayerGrades+'!$AG$21,"F-",IF(P301&lt;'PlayerGrades+'!$AG$20,"F",IF(P301&lt;'PlayerGrades+'!$AG$19,"F+",IF(P301&lt;'PlayerGrades+'!$AG$18,"E-",IF(P301&lt;'PlayerGrades+'!$AG$17,"E",IF(P301&lt;'PlayerGrades+'!$AG$16,"E+",IF(P301&lt;'PlayerGrades+'!$AG$15,"D-",IF(P301&lt;'PlayerGrades+'!$AG$14,"D",IF(P301&lt;'PlayerGrades+'!$AG$13,"D+",IF(P301&lt;'PlayerGrades+'!$AG$12,"C-",IF(P301&lt;'PlayerGrades+'!$AG$11,"C",IF(P301&lt;'PlayerGrades+'!$AG$10,"C+",IF(P301&lt;'PlayerGrades+'!$AG$9,"B-",IF(P301&lt;'PlayerGrades+'!$AG$8,"B",IF(P301&lt;'PlayerGrades+'!$AG$7,"B+",IF(P301&lt;'PlayerGrades+'!$AG$6,"A-",IF(P301&lt;'PlayerGrades+'!$AG$5,"A",IF(P301&lt;'PlayerGrades+'!$AG$4,"A+",IF(P301&lt;'PlayerGrades+'!$AG$3,"S-",IF(P301&lt;'PlayerGrades+'!$AG$2,"S","S+"))))))))))))))))))))</f>
        <v>A</v>
      </c>
      <c r="R301" s="937">
        <f t="shared" si="8"/>
        <v>0.5846528624</v>
      </c>
      <c r="S301" s="937" t="str">
        <f>IF(R301&lt;'PlayerGrades+'!$AH$21,"F-",IF(R301&lt;'PlayerGrades+'!$AH$20,"F",IF(R301&lt;'PlayerGrades+'!$AH$19,"F+",IF(R301&lt;'PlayerGrades+'!$AH$18,"E-",IF(R301&lt;'PlayerGrades+'!$AH$17,"E",IF(R301&lt;'PlayerGrades+'!$AH$16,"E+",IF(R301&lt;'PlayerGrades+'!$AH$15,"D-",IF(R301&lt;'PlayerGrades+'!$AH$14,"D",IF(R301&lt;'PlayerGrades+'!$AH$13,"D+",IF(R301&lt;'PlayerGrades+'!$AH$12,"C-",IF(R301&lt;'PlayerGrades+'!$AH$11,"C",IF(R301&lt;'PlayerGrades+'!$AH$10,"C+",IF(R301&lt;'PlayerGrades+'!$AH$9,"B-",IF(R301&lt;'PlayerGrades+'!$AH$8,"B",IF(R301&lt;'PlayerGrades+'!$AH$7,"B+",IF(R301&lt;'PlayerGrades+'!$AH$6,"A-",IF(R301&lt;'PlayerGrades+'!$AH$5,"A",IF(R301&lt;'PlayerGrades+'!$AH$4,"A+",IF(R301&lt;'PlayerGrades+'!$AH$3,"S-",IF(R301&lt;'PlayerGrades+'!$AH$2,"S","S+"))))))))))))))))))))</f>
        <v>B+</v>
      </c>
      <c r="T301" s="937">
        <f t="shared" si="9"/>
        <v>0.5115712546</v>
      </c>
      <c r="U301" s="937" t="str">
        <f>IF(T301&lt;'PlayerGrades+'!$AI$21,"F-",IF(T301&lt;'PlayerGrades+'!$AI$20,"F",IF(T301&lt;'PlayerGrades+'!$AI$19,"F+",IF(T301&lt;'PlayerGrades+'!$AI$18,"E-",IF(T301&lt;'PlayerGrades+'!$AI$17,"E",IF(T301&lt;'PlayerGrades+'!$AI$16,"E+",IF(T301&lt;'PlayerGrades+'!$AI$15,"D-",IF(T301&lt;'PlayerGrades+'!$AI$14,"D",IF(T301&lt;'PlayerGrades+'!$AI$13,"D+",IF(T301&lt;'PlayerGrades+'!$AI$12,"C-",IF(T301&lt;'PlayerGrades+'!$AI$11,"C",IF(T301&lt;'PlayerGrades+'!$AI$10,"C+",IF(T301&lt;'PlayerGrades+'!$AI$9,"B-",IF(T301&lt;'PlayerGrades+'!$AI$8,"B",IF(T301&lt;'PlayerGrades+'!$AI$7,"B+",IF(T301&lt;'PlayerGrades+'!$AI$6,"A-",IF(T301&lt;'PlayerGrades+'!$AI$5,"A",IF(T301&lt;'PlayerGrades+'!$AI$4,"A+",IF(T301&lt;'PlayerGrades+'!$AI$3,"S-",IF(T301&lt;'PlayerGrades+'!$AI$2,"S","S+"))))))))))))))))))))</f>
        <v>F-</v>
      </c>
      <c r="V301" s="941">
        <v>1.0</v>
      </c>
      <c r="W301" s="941">
        <v>1.0</v>
      </c>
      <c r="X301" s="941">
        <v>0.0</v>
      </c>
      <c r="Y301" s="941">
        <v>0.0</v>
      </c>
      <c r="Z301" s="941">
        <v>1.0</v>
      </c>
      <c r="AA301" s="941">
        <v>204.0</v>
      </c>
      <c r="AB301" s="941">
        <v>179.0</v>
      </c>
      <c r="AC301" s="941">
        <v>25.0</v>
      </c>
      <c r="AD301" s="941">
        <v>11.0</v>
      </c>
      <c r="AE301" s="941">
        <v>7.0</v>
      </c>
      <c r="AF301" s="941">
        <v>4.0</v>
      </c>
      <c r="AG301" s="941">
        <v>2660.0</v>
      </c>
      <c r="AH301" s="941">
        <v>3284.0</v>
      </c>
      <c r="AI301" s="941">
        <v>14.0</v>
      </c>
      <c r="AJ301" s="941">
        <v>66.0</v>
      </c>
      <c r="AK301" s="941">
        <v>0.0</v>
      </c>
      <c r="AL301" s="941">
        <v>4.0</v>
      </c>
      <c r="AM301" s="941">
        <v>0.0</v>
      </c>
      <c r="AN301" s="941">
        <v>0.0</v>
      </c>
      <c r="AO301" s="941">
        <v>0.0</v>
      </c>
      <c r="AP301" s="941">
        <v>3.0</v>
      </c>
      <c r="AQ301" s="941">
        <v>0.0</v>
      </c>
      <c r="AR301" s="941">
        <v>27.0</v>
      </c>
      <c r="AS301" s="941">
        <v>3.0</v>
      </c>
      <c r="AT301" s="941">
        <v>1.0</v>
      </c>
      <c r="AU301" s="941">
        <v>0.0</v>
      </c>
      <c r="AV301" s="941">
        <v>0.0</v>
      </c>
      <c r="AW301" s="941">
        <v>0.0</v>
      </c>
      <c r="AX301" s="941">
        <v>0.0</v>
      </c>
      <c r="AY301" s="941">
        <v>0.0</v>
      </c>
      <c r="AZ301" s="941">
        <v>0.0</v>
      </c>
      <c r="BA301" s="941">
        <v>0.0</v>
      </c>
      <c r="BB301" s="941">
        <v>8.0</v>
      </c>
      <c r="BC301" s="941">
        <v>0.0</v>
      </c>
      <c r="BD301" s="941">
        <v>21.0</v>
      </c>
      <c r="BE301" s="941">
        <v>28.0</v>
      </c>
      <c r="BF301" s="941">
        <v>0.0</v>
      </c>
      <c r="BG301" s="942">
        <v>1.0</v>
      </c>
    </row>
    <row r="302">
      <c r="A302" s="935" t="s">
        <v>119</v>
      </c>
      <c r="B302" s="16" t="str">
        <f>IF(C302&lt;'PlayerGrades+'!$Y$44,"F-",IF(C302&lt;'PlayerGrades+'!$Y$43,"F",IF(C302&lt;'PlayerGrades+'!$Y$42,"F+",IF(C302&lt;'PlayerGrades+'!$Y$41,"E-",IF(C302&lt;'PlayerGrades+'!$Y$40,"E",IF(C302&lt;'PlayerGrades+'!$Y$39,"E+",IF(C302&lt;'PlayerGrades+'!$Y$38,"D-",IF(C302&lt;'PlayerGrades+'!$Y$37,"D",IF(C302&lt;'PlayerGrades+'!$Y$36,"D+",IF(C302&lt;'PlayerGrades+'!$Y$35,"C-",IF(C302&lt;'PlayerGrades+'!$Y$34,"C",IF(C302&lt;'PlayerGrades+'!$Y$33,"C+",IF(C302&lt;'PlayerGrades+'!$Y$32,"B-",IF(C302&lt;'PlayerGrades+'!$Y$31,"B",IF(C302&lt;'PlayerGrades+'!$Y$30,"B+",IF(C302&lt;'PlayerGrades+'!$Y$29,"A-",IF(C302&lt;'PlayerGrades+'!$Y$28,"A",IF(C302&lt;'PlayerGrades+'!$Y$27,"A+",IF(C302&lt;'PlayerGrades+'!$Y$26,"S-",IF(C302&lt;'PlayerGrades+'!$Y$25,"S","S+"))))))))))))))))))))</f>
        <v>C</v>
      </c>
      <c r="C302" s="936">
        <f>('PlayerGrades+'!$Y$47*(VLOOKUP(E302, 'PlayerGrades+'!$X$3:$Y$23, 2, FALSE)))+('PlayerGrades+'!$Y$48*(VLOOKUP(G302, 'PlayerGrades+'!$X$3:$Y$23, 2, FALSE)))+('PlayerGrades+'!$Y$49*(VLOOKUP(I302, 'PlayerGrades+'!$X$3:$Y$23, 2, FALSE)))+('PlayerGrades+'!$Y$50*(VLOOKUP(K302, 'PlayerGrades+'!$X$3:$Y$23, 2, FALSE)))+('PlayerGrades+'!$Y$51*(VLOOKUP(M302, 'PlayerGrades+'!$X$3:$Y$23, 2, FALSE)))+('PlayerGrades+'!$Y$52*(VLOOKUP(O302, 'PlayerGrades+'!$X$3:$Y$23, 2, FALSE)))+('PlayerGrades+'!$Y$53*(VLOOKUP(Q302, 'PlayerGrades+'!$X$3:$Y$23, 2, FALSE)))+('PlayerGrades+'!$Y$54*(VLOOKUP(S302, 'PlayerGrades+'!$X$3:$Y$23, 2, FALSE)))+('PlayerGrades+'!$Y$55*(VLOOKUP(U302, 'PlayerGrades+'!$X$3:$Y$23, 2, FALSE)))</f>
        <v>19.55</v>
      </c>
      <c r="D302" s="937">
        <f t="shared" si="1"/>
        <v>0.347137637</v>
      </c>
      <c r="E302" s="937" t="str">
        <f>IF(D302&lt;'PlayerGrades+'!$AA$21,"F-",IF(D302&lt;'PlayerGrades+'!$AA$20,"F",IF(D302&lt;'PlayerGrades+'!$AA$19,"F+",IF(D302&lt;'PlayerGrades+'!$AA$18,"E-",IF(D302&lt;'PlayerGrades+'!$AA$17,"E",IF(D302&lt;'PlayerGrades+'!$AA$16,"E+",IF(D302&lt;'PlayerGrades+'!$AA$15,"D-",IF(D302&lt;'PlayerGrades+'!$AA$14,"D",IF(D302&lt;'PlayerGrades+'!$AA$13,"D+",IF(D302&lt;'PlayerGrades+'!$AA$12,"C-",IF(D302&lt;'PlayerGrades+'!$AA$11,"C",IF(D302&lt;'PlayerGrades+'!$AA$10,"C+",IF(D302&lt;'PlayerGrades+'!$AA$9,"B-",IF(D302&lt;'PlayerGrades+'!$AA$8,"B",IF(D302&lt;'PlayerGrades+'!$AA$7,"B+",IF(D302&lt;'PlayerGrades+'!$AA$6,"A-",IF(D302&lt;'PlayerGrades+'!$AA$5,"A",IF(D302&lt;'PlayerGrades+'!$AA$4,"A+",IF(D302&lt;'PlayerGrades+'!$AA$3,"S-",IF(D302&lt;'PlayerGrades+'!$AA$2,"S","S+"))))))))))))))))))))</f>
        <v>A</v>
      </c>
      <c r="F302" s="937">
        <f t="shared" si="2"/>
        <v>-0.01827040195</v>
      </c>
      <c r="G302" s="937" t="str">
        <f>IF(F302&lt;'PlayerGrades+'!$AB$21,"F-",IF(F302&lt;'PlayerGrades+'!$AB$20,"F",IF(F302&lt;'PlayerGrades+'!$AB$19,"F+",IF(F302&lt;'PlayerGrades+'!$AB$18,"E-",IF(F302&lt;'PlayerGrades+'!$AB$17,"E",IF(F302&lt;'PlayerGrades+'!$AB$16,"E+",IF(F302&lt;'PlayerGrades+'!$AB$15,"D-",IF(F302&lt;'PlayerGrades+'!$AB$14,"D",IF(F302&lt;'PlayerGrades+'!$AB$13,"D+",IF(F302&lt;'PlayerGrades+'!$AB$12,"C-",IF(F302&lt;'PlayerGrades+'!$AB$11,"C",IF(F302&lt;'PlayerGrades+'!$AB$10,"C+",IF(F302&lt;'PlayerGrades+'!$AB$9,"B-",IF(F302&lt;'PlayerGrades+'!$AB$8,"B",IF(F302&lt;'PlayerGrades+'!$AB$7,"B+",IF(F302&lt;'PlayerGrades+'!$AB$6,"A-",IF(F302&lt;'PlayerGrades+'!$AB$5,"A",IF(F302&lt;'PlayerGrades+'!$AB$4,"A+",IF(F302&lt;'PlayerGrades+'!$AB$3,"S-",IF(F302&lt;'PlayerGrades+'!$AB$2,"S","S+"))))))))))))))))))))</f>
        <v>B-</v>
      </c>
      <c r="H302" s="937">
        <f t="shared" si="3"/>
        <v>0.0365408039</v>
      </c>
      <c r="I302" s="937" t="str">
        <f>IF(H302&lt;'PlayerGrades+'!$AC$21,"F-",IF(H302&lt;'PlayerGrades+'!$AC$20,"F",IF(H302&lt;'PlayerGrades+'!$AC$19,"F+",IF(H302&lt;'PlayerGrades+'!$AC$18,"E-",IF(H302&lt;'PlayerGrades+'!$AC$17,"E",IF(H302&lt;'PlayerGrades+'!$AC$16,"E+",IF(H302&lt;'PlayerGrades+'!$AC$15,"D-",IF(H302&lt;'PlayerGrades+'!$AC$14,"D",IF(H302&lt;'PlayerGrades+'!$AC$13,"D+",IF(H302&lt;'PlayerGrades+'!$AC$12,"C-",IF(H302&lt;'PlayerGrades+'!$AC$11,"C",IF(H302&lt;'PlayerGrades+'!$AC$10,"C+",IF(H302&lt;'PlayerGrades+'!$AC$9,"B-",IF(H302&lt;'PlayerGrades+'!$AC$8,"B",IF(H302&lt;'PlayerGrades+'!$AC$7,"B+",IF(H302&lt;'PlayerGrades+'!$AC$6,"A-",IF(H302&lt;'PlayerGrades+'!$AC$5,"A",IF(H302&lt;'PlayerGrades+'!$AC$4,"A+",IF(H302&lt;'PlayerGrades+'!$AC$3,"S-",IF(H302&lt;'PlayerGrades+'!$AC$2,"S","S+"))))))))))))))))))))</f>
        <v>F</v>
      </c>
      <c r="J302" s="937">
        <f t="shared" si="4"/>
        <v>0.0365408039</v>
      </c>
      <c r="K302" s="937" t="str">
        <f>IF(J302&lt;'PlayerGrades+'!$AD$21,"F-",IF(J302&lt;'PlayerGrades+'!$AD$20,"F",IF(J302&lt;'PlayerGrades+'!$AD$19,"F+",IF(J302&lt;'PlayerGrades+'!$AD$18,"E-",IF(J302&lt;'PlayerGrades+'!$AD$17,"E",IF(J302&lt;'PlayerGrades+'!$AD$16,"E+",IF(J302&lt;'PlayerGrades+'!$AD$15,"D-",IF(J302&lt;'PlayerGrades+'!$AD$14,"D",IF(J302&lt;'PlayerGrades+'!$AD$13,"D+",IF(J302&lt;'PlayerGrades+'!$AD$12,"C-",IF(J302&lt;'PlayerGrades+'!$AD$11,"C",IF(J302&lt;'PlayerGrades+'!$AD$10,"C+",IF(J302&lt;'PlayerGrades+'!$AD$9,"B-",IF(J302&lt;'PlayerGrades+'!$AD$8,"B",IF(J302&lt;'PlayerGrades+'!$AD$7,"B+",IF(J302&lt;'PlayerGrades+'!$AD$6,"A-",IF(J302&lt;'PlayerGrades+'!$AD$5,"A",IF(J302&lt;'PlayerGrades+'!$AD$4,"A+",IF(J302&lt;'PlayerGrades+'!$AD$3,"S-",IF(J302&lt;'PlayerGrades+'!$AD$2,"S","S+"))))))))))))))))))))</f>
        <v>C</v>
      </c>
      <c r="L302" s="677">
        <f t="shared" si="5"/>
        <v>0.4019488429</v>
      </c>
      <c r="M302" s="938" t="str">
        <f>IF(L302&lt;'PlayerGrades+'!$AE$21,"F-",IF(L302&lt;'PlayerGrades+'!$AE$20,"F",IF(L302&lt;'PlayerGrades+'!$AE$19,"F+",IF(L302&lt;'PlayerGrades+'!$AE$18,"E-",IF(L302&lt;'PlayerGrades+'!$AE$17,"E",IF(L302&lt;'PlayerGrades+'!$AE$16,"E+",IF(L302&lt;'PlayerGrades+'!$AE$15,"D-",IF(L302&lt;'PlayerGrades+'!$AE$14,"D",IF(L302&lt;'PlayerGrades+'!$AE$13,"D+",IF(L302&lt;'PlayerGrades+'!$AE$12,"C-",IF(L302&lt;'PlayerGrades+'!$AE$11,"C",IF(L302&lt;'PlayerGrades+'!$AE$10,"C+",IF(L302&lt;'PlayerGrades+'!$AE$9,"B-",IF(L302&lt;'PlayerGrades+'!$AE$8,"B",IF(L302&lt;'PlayerGrades+'!$AE$7,"B+",IF(L302&lt;'PlayerGrades+'!$AE$6,"A-",IF(L302&lt;'PlayerGrades+'!$AE$5,"A",IF(L302&lt;'PlayerGrades+'!$AE$4,"A+",IF(L302&lt;'PlayerGrades+'!$AE$3,"S-",IF(L302&lt;'PlayerGrades+'!$AE$2,"S","S+"))))))))))))))))))))</f>
        <v>C</v>
      </c>
      <c r="N302" s="937">
        <f t="shared" si="6"/>
        <v>0.09135200974</v>
      </c>
      <c r="O302" s="937" t="str">
        <f>IF(N302&lt;'PlayerGrades+'!$AF$21,"F-",IF(N302&lt;'PlayerGrades+'!$AF$20,"F",IF(N302&lt;'PlayerGrades+'!$AF$19,"F+",IF(N302&lt;'PlayerGrades+'!$AF$18,"E-",IF(N302&lt;'PlayerGrades+'!$AF$17,"E",IF(N302&lt;'PlayerGrades+'!$AF$16,"E+",IF(N302&lt;'PlayerGrades+'!$AF$15,"D-",IF(N302&lt;'PlayerGrades+'!$AF$14,"D",IF(N302&lt;'PlayerGrades+'!$AF$13,"D+",IF(N302&lt;'PlayerGrades+'!$AF$12,"C-",IF(N302&lt;'PlayerGrades+'!$AF$11,"C",IF(N302&lt;'PlayerGrades+'!$AF$10,"C+",IF(N302&lt;'PlayerGrades+'!$AF$9,"B-",IF(N302&lt;'PlayerGrades+'!$AF$8,"B",IF(N302&lt;'PlayerGrades+'!$AF$7,"B+",IF(N302&lt;'PlayerGrades+'!$AF$6,"A-",IF(N302&lt;'PlayerGrades+'!$AF$5,"A",IF(N302&lt;'PlayerGrades+'!$AF$4,"A+",IF(N302&lt;'PlayerGrades+'!$AF$3,"S-",IF(N302&lt;'PlayerGrades+'!$AF$2,"S","S+"))))))))))))))))))))</f>
        <v>B+</v>
      </c>
      <c r="P302" s="937">
        <f t="shared" si="7"/>
        <v>0.01827040195</v>
      </c>
      <c r="Q302" s="937" t="str">
        <f>IF(P302&lt;'PlayerGrades+'!$AG$21,"F-",IF(P302&lt;'PlayerGrades+'!$AG$20,"F",IF(P302&lt;'PlayerGrades+'!$AG$19,"F+",IF(P302&lt;'PlayerGrades+'!$AG$18,"E-",IF(P302&lt;'PlayerGrades+'!$AG$17,"E",IF(P302&lt;'PlayerGrades+'!$AG$16,"E+",IF(P302&lt;'PlayerGrades+'!$AG$15,"D-",IF(P302&lt;'PlayerGrades+'!$AG$14,"D",IF(P302&lt;'PlayerGrades+'!$AG$13,"D+",IF(P302&lt;'PlayerGrades+'!$AG$12,"C-",IF(P302&lt;'PlayerGrades+'!$AG$11,"C",IF(P302&lt;'PlayerGrades+'!$AG$10,"C+",IF(P302&lt;'PlayerGrades+'!$AG$9,"B-",IF(P302&lt;'PlayerGrades+'!$AG$8,"B",IF(P302&lt;'PlayerGrades+'!$AG$7,"B+",IF(P302&lt;'PlayerGrades+'!$AG$6,"A-",IF(P302&lt;'PlayerGrades+'!$AG$5,"A",IF(P302&lt;'PlayerGrades+'!$AG$4,"A+",IF(P302&lt;'PlayerGrades+'!$AG$3,"S-",IF(P302&lt;'PlayerGrades+'!$AG$2,"S","S+"))))))))))))))))))))</f>
        <v>D+</v>
      </c>
      <c r="R302" s="937">
        <f t="shared" si="8"/>
        <v>0.5115712546</v>
      </c>
      <c r="S302" s="937" t="str">
        <f>IF(R302&lt;'PlayerGrades+'!$AH$21,"F-",IF(R302&lt;'PlayerGrades+'!$AH$20,"F",IF(R302&lt;'PlayerGrades+'!$AH$19,"F+",IF(R302&lt;'PlayerGrades+'!$AH$18,"E-",IF(R302&lt;'PlayerGrades+'!$AH$17,"E",IF(R302&lt;'PlayerGrades+'!$AH$16,"E+",IF(R302&lt;'PlayerGrades+'!$AH$15,"D-",IF(R302&lt;'PlayerGrades+'!$AH$14,"D",IF(R302&lt;'PlayerGrades+'!$AH$13,"D+",IF(R302&lt;'PlayerGrades+'!$AH$12,"C-",IF(R302&lt;'PlayerGrades+'!$AH$11,"C",IF(R302&lt;'PlayerGrades+'!$AH$10,"C+",IF(R302&lt;'PlayerGrades+'!$AH$9,"B-",IF(R302&lt;'PlayerGrades+'!$AH$8,"B",IF(R302&lt;'PlayerGrades+'!$AH$7,"B+",IF(R302&lt;'PlayerGrades+'!$AH$6,"A-",IF(R302&lt;'PlayerGrades+'!$AH$5,"A",IF(R302&lt;'PlayerGrades+'!$AH$4,"A+",IF(R302&lt;'PlayerGrades+'!$AH$3,"S-",IF(R302&lt;'PlayerGrades+'!$AH$2,"S","S+"))))))))))))))))))))</f>
        <v>D</v>
      </c>
      <c r="T302" s="937">
        <f t="shared" si="9"/>
        <v>0.4933008526</v>
      </c>
      <c r="U302" s="937" t="str">
        <f>IF(T302&lt;'PlayerGrades+'!$AI$21,"F-",IF(T302&lt;'PlayerGrades+'!$AI$20,"F",IF(T302&lt;'PlayerGrades+'!$AI$19,"F+",IF(T302&lt;'PlayerGrades+'!$AI$18,"E-",IF(T302&lt;'PlayerGrades+'!$AI$17,"E",IF(T302&lt;'PlayerGrades+'!$AI$16,"E+",IF(T302&lt;'PlayerGrades+'!$AI$15,"D-",IF(T302&lt;'PlayerGrades+'!$AI$14,"D",IF(T302&lt;'PlayerGrades+'!$AI$13,"D+",IF(T302&lt;'PlayerGrades+'!$AI$12,"C-",IF(T302&lt;'PlayerGrades+'!$AI$11,"C",IF(T302&lt;'PlayerGrades+'!$AI$10,"C+",IF(T302&lt;'PlayerGrades+'!$AI$9,"B-",IF(T302&lt;'PlayerGrades+'!$AI$8,"B",IF(T302&lt;'PlayerGrades+'!$AI$7,"B+",IF(T302&lt;'PlayerGrades+'!$AI$6,"A-",IF(T302&lt;'PlayerGrades+'!$AI$5,"A",IF(T302&lt;'PlayerGrades+'!$AI$4,"A+",IF(T302&lt;'PlayerGrades+'!$AI$3,"S-",IF(T302&lt;'PlayerGrades+'!$AI$2,"S","S+"))))))))))))))))))))</f>
        <v>F-</v>
      </c>
      <c r="V302" s="941">
        <v>1.0</v>
      </c>
      <c r="W302" s="941">
        <v>0.0</v>
      </c>
      <c r="X302" s="941">
        <v>1.0</v>
      </c>
      <c r="Y302" s="941">
        <v>1.0</v>
      </c>
      <c r="Z302" s="941">
        <v>18.0</v>
      </c>
      <c r="AA302" s="941">
        <v>159.0</v>
      </c>
      <c r="AB302" s="941">
        <v>160.0</v>
      </c>
      <c r="AC302" s="941">
        <v>-1.0</v>
      </c>
      <c r="AD302" s="941">
        <v>13.0</v>
      </c>
      <c r="AE302" s="941">
        <v>7.0</v>
      </c>
      <c r="AF302" s="941">
        <v>0.0</v>
      </c>
      <c r="AG302" s="941">
        <v>2722.0</v>
      </c>
      <c r="AH302" s="941">
        <v>3284.0</v>
      </c>
      <c r="AI302" s="941">
        <v>17.0</v>
      </c>
      <c r="AJ302" s="941">
        <v>750.0</v>
      </c>
      <c r="AK302" s="941">
        <v>0.0</v>
      </c>
      <c r="AL302" s="941">
        <v>2.0</v>
      </c>
      <c r="AM302" s="941">
        <v>0.0</v>
      </c>
      <c r="AN302" s="941">
        <v>0.0</v>
      </c>
      <c r="AO302" s="941">
        <v>0.0</v>
      </c>
      <c r="AP302" s="941">
        <v>1.0</v>
      </c>
      <c r="AQ302" s="941">
        <v>0.0</v>
      </c>
      <c r="AR302" s="941">
        <v>22.0</v>
      </c>
      <c r="AS302" s="941">
        <v>5.0</v>
      </c>
      <c r="AT302" s="941">
        <v>0.0</v>
      </c>
      <c r="AU302" s="941">
        <v>0.0</v>
      </c>
      <c r="AV302" s="941">
        <v>0.0</v>
      </c>
      <c r="AW302" s="941">
        <v>0.0</v>
      </c>
      <c r="AX302" s="941">
        <v>0.0</v>
      </c>
      <c r="AY302" s="941">
        <v>0.0</v>
      </c>
      <c r="AZ302" s="941">
        <v>0.0</v>
      </c>
      <c r="BA302" s="941">
        <v>0.0</v>
      </c>
      <c r="BB302" s="941">
        <v>2.0</v>
      </c>
      <c r="BC302" s="941">
        <v>0.0</v>
      </c>
      <c r="BD302" s="941">
        <v>15.0</v>
      </c>
      <c r="BE302" s="941">
        <v>27.0</v>
      </c>
      <c r="BF302" s="941">
        <v>0.0</v>
      </c>
      <c r="BG302" s="942">
        <v>0.0</v>
      </c>
    </row>
    <row r="303">
      <c r="A303" s="935" t="s">
        <v>141</v>
      </c>
      <c r="B303" s="16" t="str">
        <f>IF(C303&lt;'PlayerGrades+'!$Y$44,"F-",IF(C303&lt;'PlayerGrades+'!$Y$43,"F",IF(C303&lt;'PlayerGrades+'!$Y$42,"F+",IF(C303&lt;'PlayerGrades+'!$Y$41,"E-",IF(C303&lt;'PlayerGrades+'!$Y$40,"E",IF(C303&lt;'PlayerGrades+'!$Y$39,"E+",IF(C303&lt;'PlayerGrades+'!$Y$38,"D-",IF(C303&lt;'PlayerGrades+'!$Y$37,"D",IF(C303&lt;'PlayerGrades+'!$Y$36,"D+",IF(C303&lt;'PlayerGrades+'!$Y$35,"C-",IF(C303&lt;'PlayerGrades+'!$Y$34,"C",IF(C303&lt;'PlayerGrades+'!$Y$33,"C+",IF(C303&lt;'PlayerGrades+'!$Y$32,"B-",IF(C303&lt;'PlayerGrades+'!$Y$31,"B",IF(C303&lt;'PlayerGrades+'!$Y$30,"B+",IF(C303&lt;'PlayerGrades+'!$Y$29,"A-",IF(C303&lt;'PlayerGrades+'!$Y$28,"A",IF(C303&lt;'PlayerGrades+'!$Y$27,"A+",IF(C303&lt;'PlayerGrades+'!$Y$26,"S-",IF(C303&lt;'PlayerGrades+'!$Y$25,"S","S+"))))))))))))))))))))</f>
        <v>E</v>
      </c>
      <c r="C303" s="936">
        <f>('PlayerGrades+'!$Y$47*(VLOOKUP(E303, 'PlayerGrades+'!$X$3:$Y$23, 2, FALSE)))+('PlayerGrades+'!$Y$48*(VLOOKUP(G303, 'PlayerGrades+'!$X$3:$Y$23, 2, FALSE)))+('PlayerGrades+'!$Y$49*(VLOOKUP(I303, 'PlayerGrades+'!$X$3:$Y$23, 2, FALSE)))+('PlayerGrades+'!$Y$50*(VLOOKUP(K303, 'PlayerGrades+'!$X$3:$Y$23, 2, FALSE)))+('PlayerGrades+'!$Y$51*(VLOOKUP(M303, 'PlayerGrades+'!$X$3:$Y$23, 2, FALSE)))+('PlayerGrades+'!$Y$52*(VLOOKUP(O303, 'PlayerGrades+'!$X$3:$Y$23, 2, FALSE)))+('PlayerGrades+'!$Y$53*(VLOOKUP(Q303, 'PlayerGrades+'!$X$3:$Y$23, 2, FALSE)))+('PlayerGrades+'!$Y$54*(VLOOKUP(S303, 'PlayerGrades+'!$X$3:$Y$23, 2, FALSE)))+('PlayerGrades+'!$Y$55*(VLOOKUP(U303, 'PlayerGrades+'!$X$3:$Y$23, 2, FALSE)))</f>
        <v>13.3</v>
      </c>
      <c r="D303" s="937">
        <f t="shared" si="1"/>
        <v>0.05481120585</v>
      </c>
      <c r="E303" s="937" t="str">
        <f>IF(D303&lt;'PlayerGrades+'!$AA$21,"F-",IF(D303&lt;'PlayerGrades+'!$AA$20,"F",IF(D303&lt;'PlayerGrades+'!$AA$19,"F+",IF(D303&lt;'PlayerGrades+'!$AA$18,"E-",IF(D303&lt;'PlayerGrades+'!$AA$17,"E",IF(D303&lt;'PlayerGrades+'!$AA$16,"E+",IF(D303&lt;'PlayerGrades+'!$AA$15,"D-",IF(D303&lt;'PlayerGrades+'!$AA$14,"D",IF(D303&lt;'PlayerGrades+'!$AA$13,"D+",IF(D303&lt;'PlayerGrades+'!$AA$12,"C-",IF(D303&lt;'PlayerGrades+'!$AA$11,"C",IF(D303&lt;'PlayerGrades+'!$AA$10,"C+",IF(D303&lt;'PlayerGrades+'!$AA$9,"B-",IF(D303&lt;'PlayerGrades+'!$AA$8,"B",IF(D303&lt;'PlayerGrades+'!$AA$7,"B+",IF(D303&lt;'PlayerGrades+'!$AA$6,"A-",IF(D303&lt;'PlayerGrades+'!$AA$5,"A",IF(D303&lt;'PlayerGrades+'!$AA$4,"A+",IF(D303&lt;'PlayerGrades+'!$AA$3,"S-",IF(D303&lt;'PlayerGrades+'!$AA$2,"S","S+"))))))))))))))))))))</f>
        <v>B-</v>
      </c>
      <c r="F303" s="937">
        <f t="shared" si="2"/>
        <v>-1.808769793</v>
      </c>
      <c r="G303" s="937" t="str">
        <f>IF(F303&lt;'PlayerGrades+'!$AB$21,"F-",IF(F303&lt;'PlayerGrades+'!$AB$20,"F",IF(F303&lt;'PlayerGrades+'!$AB$19,"F+",IF(F303&lt;'PlayerGrades+'!$AB$18,"E-",IF(F303&lt;'PlayerGrades+'!$AB$17,"E",IF(F303&lt;'PlayerGrades+'!$AB$16,"E+",IF(F303&lt;'PlayerGrades+'!$AB$15,"D-",IF(F303&lt;'PlayerGrades+'!$AB$14,"D",IF(F303&lt;'PlayerGrades+'!$AB$13,"D+",IF(F303&lt;'PlayerGrades+'!$AB$12,"C-",IF(F303&lt;'PlayerGrades+'!$AB$11,"C",IF(F303&lt;'PlayerGrades+'!$AB$10,"C+",IF(F303&lt;'PlayerGrades+'!$AB$9,"B-",IF(F303&lt;'PlayerGrades+'!$AB$8,"B",IF(F303&lt;'PlayerGrades+'!$AB$7,"B+",IF(F303&lt;'PlayerGrades+'!$AB$6,"A-",IF(F303&lt;'PlayerGrades+'!$AB$5,"A",IF(F303&lt;'PlayerGrades+'!$AB$4,"A+",IF(F303&lt;'PlayerGrades+'!$AB$3,"S-",IF(F303&lt;'PlayerGrades+'!$AB$2,"S","S+"))))))))))))))))))))</f>
        <v>F-</v>
      </c>
      <c r="H303" s="937">
        <f t="shared" si="3"/>
        <v>0.09135200974</v>
      </c>
      <c r="I303" s="937" t="str">
        <f>IF(H303&lt;'PlayerGrades+'!$AC$21,"F-",IF(H303&lt;'PlayerGrades+'!$AC$20,"F",IF(H303&lt;'PlayerGrades+'!$AC$19,"F+",IF(H303&lt;'PlayerGrades+'!$AC$18,"E-",IF(H303&lt;'PlayerGrades+'!$AC$17,"E",IF(H303&lt;'PlayerGrades+'!$AC$16,"E+",IF(H303&lt;'PlayerGrades+'!$AC$15,"D-",IF(H303&lt;'PlayerGrades+'!$AC$14,"D",IF(H303&lt;'PlayerGrades+'!$AC$13,"D+",IF(H303&lt;'PlayerGrades+'!$AC$12,"C-",IF(H303&lt;'PlayerGrades+'!$AC$11,"C",IF(H303&lt;'PlayerGrades+'!$AC$10,"C+",IF(H303&lt;'PlayerGrades+'!$AC$9,"B-",IF(H303&lt;'PlayerGrades+'!$AC$8,"B",IF(H303&lt;'PlayerGrades+'!$AC$7,"B+",IF(H303&lt;'PlayerGrades+'!$AC$6,"A-",IF(H303&lt;'PlayerGrades+'!$AC$5,"A",IF(H303&lt;'PlayerGrades+'!$AC$4,"A+",IF(H303&lt;'PlayerGrades+'!$AC$3,"S-",IF(H303&lt;'PlayerGrades+'!$AC$2,"S","S+"))))))))))))))))))))</f>
        <v>D</v>
      </c>
      <c r="J303" s="937">
        <f t="shared" si="4"/>
        <v>0</v>
      </c>
      <c r="K303" s="937" t="str">
        <f>IF(J303&lt;'PlayerGrades+'!$AD$21,"F-",IF(J303&lt;'PlayerGrades+'!$AD$20,"F",IF(J303&lt;'PlayerGrades+'!$AD$19,"F+",IF(J303&lt;'PlayerGrades+'!$AD$18,"E-",IF(J303&lt;'PlayerGrades+'!$AD$17,"E",IF(J303&lt;'PlayerGrades+'!$AD$16,"E+",IF(J303&lt;'PlayerGrades+'!$AD$15,"D-",IF(J303&lt;'PlayerGrades+'!$AD$14,"D",IF(J303&lt;'PlayerGrades+'!$AD$13,"D+",IF(J303&lt;'PlayerGrades+'!$AD$12,"C-",IF(J303&lt;'PlayerGrades+'!$AD$11,"C",IF(J303&lt;'PlayerGrades+'!$AD$10,"C+",IF(J303&lt;'PlayerGrades+'!$AD$9,"B-",IF(J303&lt;'PlayerGrades+'!$AD$8,"B",IF(J303&lt;'PlayerGrades+'!$AD$7,"B+",IF(J303&lt;'PlayerGrades+'!$AD$6,"A-",IF(J303&lt;'PlayerGrades+'!$AD$5,"A",IF(J303&lt;'PlayerGrades+'!$AD$4,"A+",IF(J303&lt;'PlayerGrades+'!$AD$3,"S-",IF(J303&lt;'PlayerGrades+'!$AD$2,"S","S+"))))))))))))))))))))</f>
        <v>F-</v>
      </c>
      <c r="L303" s="677">
        <f t="shared" si="5"/>
        <v>0.2923264312</v>
      </c>
      <c r="M303" s="938" t="str">
        <f>IF(L303&lt;'PlayerGrades+'!$AE$21,"F-",IF(L303&lt;'PlayerGrades+'!$AE$20,"F",IF(L303&lt;'PlayerGrades+'!$AE$19,"F+",IF(L303&lt;'PlayerGrades+'!$AE$18,"E-",IF(L303&lt;'PlayerGrades+'!$AE$17,"E",IF(L303&lt;'PlayerGrades+'!$AE$16,"E+",IF(L303&lt;'PlayerGrades+'!$AE$15,"D-",IF(L303&lt;'PlayerGrades+'!$AE$14,"D",IF(L303&lt;'PlayerGrades+'!$AE$13,"D+",IF(L303&lt;'PlayerGrades+'!$AE$12,"C-",IF(L303&lt;'PlayerGrades+'!$AE$11,"C",IF(L303&lt;'PlayerGrades+'!$AE$10,"C+",IF(L303&lt;'PlayerGrades+'!$AE$9,"B-",IF(L303&lt;'PlayerGrades+'!$AE$8,"B",IF(L303&lt;'PlayerGrades+'!$AE$7,"B+",IF(L303&lt;'PlayerGrades+'!$AE$6,"A-",IF(L303&lt;'PlayerGrades+'!$AE$5,"A",IF(L303&lt;'PlayerGrades+'!$AE$4,"A+",IF(L303&lt;'PlayerGrades+'!$AE$3,"S-",IF(L303&lt;'PlayerGrades+'!$AE$2,"S","S+"))))))))))))))))))))</f>
        <v>F+</v>
      </c>
      <c r="N303" s="937">
        <f t="shared" si="6"/>
        <v>0.05481120585</v>
      </c>
      <c r="O303" s="937" t="str">
        <f>IF(N303&lt;'PlayerGrades+'!$AF$21,"F-",IF(N303&lt;'PlayerGrades+'!$AF$20,"F",IF(N303&lt;'PlayerGrades+'!$AF$19,"F+",IF(N303&lt;'PlayerGrades+'!$AF$18,"E-",IF(N303&lt;'PlayerGrades+'!$AF$17,"E",IF(N303&lt;'PlayerGrades+'!$AF$16,"E+",IF(N303&lt;'PlayerGrades+'!$AF$15,"D-",IF(N303&lt;'PlayerGrades+'!$AF$14,"D",IF(N303&lt;'PlayerGrades+'!$AF$13,"D+",IF(N303&lt;'PlayerGrades+'!$AF$12,"C-",IF(N303&lt;'PlayerGrades+'!$AF$11,"C",IF(N303&lt;'PlayerGrades+'!$AF$10,"C+",IF(N303&lt;'PlayerGrades+'!$AF$9,"B-",IF(N303&lt;'PlayerGrades+'!$AF$8,"B",IF(N303&lt;'PlayerGrades+'!$AF$7,"B+",IF(N303&lt;'PlayerGrades+'!$AF$6,"A-",IF(N303&lt;'PlayerGrades+'!$AF$5,"A",IF(N303&lt;'PlayerGrades+'!$AF$4,"A+",IF(N303&lt;'PlayerGrades+'!$AF$3,"S-",IF(N303&lt;'PlayerGrades+'!$AF$2,"S","S+"))))))))))))))))))))</f>
        <v>D</v>
      </c>
      <c r="P303" s="937">
        <f t="shared" si="7"/>
        <v>0</v>
      </c>
      <c r="Q303" s="937" t="str">
        <f>IF(P303&lt;'PlayerGrades+'!$AG$21,"F-",IF(P303&lt;'PlayerGrades+'!$AG$20,"F",IF(P303&lt;'PlayerGrades+'!$AG$19,"F+",IF(P303&lt;'PlayerGrades+'!$AG$18,"E-",IF(P303&lt;'PlayerGrades+'!$AG$17,"E",IF(P303&lt;'PlayerGrades+'!$AG$16,"E+",IF(P303&lt;'PlayerGrades+'!$AG$15,"D-",IF(P303&lt;'PlayerGrades+'!$AG$14,"D",IF(P303&lt;'PlayerGrades+'!$AG$13,"D+",IF(P303&lt;'PlayerGrades+'!$AG$12,"C-",IF(P303&lt;'PlayerGrades+'!$AG$11,"C",IF(P303&lt;'PlayerGrades+'!$AG$10,"C+",IF(P303&lt;'PlayerGrades+'!$AG$9,"B-",IF(P303&lt;'PlayerGrades+'!$AG$8,"B",IF(P303&lt;'PlayerGrades+'!$AG$7,"B+",IF(P303&lt;'PlayerGrades+'!$AG$6,"A-",IF(P303&lt;'PlayerGrades+'!$AG$5,"A",IF(P303&lt;'PlayerGrades+'!$AG$4,"A+",IF(P303&lt;'PlayerGrades+'!$AG$3,"S-",IF(P303&lt;'PlayerGrades+'!$AG$2,"S","S+"))))))))))))))))))))</f>
        <v>F</v>
      </c>
      <c r="R303" s="937">
        <f t="shared" si="8"/>
        <v>0.4933008526</v>
      </c>
      <c r="S303" s="937" t="str">
        <f>IF(R303&lt;'PlayerGrades+'!$AH$21,"F-",IF(R303&lt;'PlayerGrades+'!$AH$20,"F",IF(R303&lt;'PlayerGrades+'!$AH$19,"F+",IF(R303&lt;'PlayerGrades+'!$AH$18,"E-",IF(R303&lt;'PlayerGrades+'!$AH$17,"E",IF(R303&lt;'PlayerGrades+'!$AH$16,"E+",IF(R303&lt;'PlayerGrades+'!$AH$15,"D-",IF(R303&lt;'PlayerGrades+'!$AH$14,"D",IF(R303&lt;'PlayerGrades+'!$AH$13,"D+",IF(R303&lt;'PlayerGrades+'!$AH$12,"C-",IF(R303&lt;'PlayerGrades+'!$AH$11,"C",IF(R303&lt;'PlayerGrades+'!$AH$10,"C+",IF(R303&lt;'PlayerGrades+'!$AH$9,"B-",IF(R303&lt;'PlayerGrades+'!$AH$8,"B",IF(R303&lt;'PlayerGrades+'!$AH$7,"B+",IF(R303&lt;'PlayerGrades+'!$AH$6,"A-",IF(R303&lt;'PlayerGrades+'!$AH$5,"A",IF(R303&lt;'PlayerGrades+'!$AH$4,"A+",IF(R303&lt;'PlayerGrades+'!$AH$3,"S-",IF(R303&lt;'PlayerGrades+'!$AH$2,"S","S+"))))))))))))))))))))</f>
        <v>D-</v>
      </c>
      <c r="T303" s="937">
        <f t="shared" si="9"/>
        <v>2.292326431</v>
      </c>
      <c r="U303" s="937" t="str">
        <f>IF(T303&lt;'PlayerGrades+'!$AI$21,"F-",IF(T303&lt;'PlayerGrades+'!$AI$20,"F",IF(T303&lt;'PlayerGrades+'!$AI$19,"F+",IF(T303&lt;'PlayerGrades+'!$AI$18,"E-",IF(T303&lt;'PlayerGrades+'!$AI$17,"E",IF(T303&lt;'PlayerGrades+'!$AI$16,"E+",IF(T303&lt;'PlayerGrades+'!$AI$15,"D-",IF(T303&lt;'PlayerGrades+'!$AI$14,"D",IF(T303&lt;'PlayerGrades+'!$AI$13,"D+",IF(T303&lt;'PlayerGrades+'!$AI$12,"C-",IF(T303&lt;'PlayerGrades+'!$AI$11,"C",IF(T303&lt;'PlayerGrades+'!$AI$10,"C+",IF(T303&lt;'PlayerGrades+'!$AI$9,"B-",IF(T303&lt;'PlayerGrades+'!$AI$8,"B",IF(T303&lt;'PlayerGrades+'!$AI$7,"B+",IF(T303&lt;'PlayerGrades+'!$AI$6,"A-",IF(T303&lt;'PlayerGrades+'!$AI$5,"A",IF(T303&lt;'PlayerGrades+'!$AI$4,"A+",IF(T303&lt;'PlayerGrades+'!$AI$3,"S-",IF(T303&lt;'PlayerGrades+'!$AI$2,"S","S+"))))))))))))))))))))</f>
        <v>S+</v>
      </c>
      <c r="V303" s="941">
        <v>1.0</v>
      </c>
      <c r="W303" s="941">
        <v>0.0</v>
      </c>
      <c r="X303" s="941">
        <v>1.0</v>
      </c>
      <c r="Y303" s="941">
        <v>1.0</v>
      </c>
      <c r="Z303" s="941">
        <v>2.0</v>
      </c>
      <c r="AA303" s="941">
        <v>174.0</v>
      </c>
      <c r="AB303" s="941">
        <v>273.0</v>
      </c>
      <c r="AC303" s="941">
        <v>-99.0</v>
      </c>
      <c r="AD303" s="941">
        <v>10.0</v>
      </c>
      <c r="AE303" s="941">
        <v>4.0</v>
      </c>
      <c r="AF303" s="941">
        <v>1.0</v>
      </c>
      <c r="AG303" s="941">
        <v>2370.0</v>
      </c>
      <c r="AH303" s="941">
        <v>3284.0</v>
      </c>
      <c r="AI303" s="941">
        <v>8.0</v>
      </c>
      <c r="AJ303" s="941">
        <v>50.0</v>
      </c>
      <c r="AK303" s="941">
        <v>0.0</v>
      </c>
      <c r="AL303" s="941">
        <v>0.0</v>
      </c>
      <c r="AM303" s="941">
        <v>0.0</v>
      </c>
      <c r="AN303" s="941">
        <v>0.0</v>
      </c>
      <c r="AO303" s="941">
        <v>0.0</v>
      </c>
      <c r="AP303" s="941">
        <v>0.0</v>
      </c>
      <c r="AQ303" s="941">
        <v>0.0</v>
      </c>
      <c r="AR303" s="941">
        <v>16.0</v>
      </c>
      <c r="AS303" s="941">
        <v>3.0</v>
      </c>
      <c r="AT303" s="941">
        <v>0.0</v>
      </c>
      <c r="AU303" s="941">
        <v>0.0</v>
      </c>
      <c r="AV303" s="941">
        <v>0.0</v>
      </c>
      <c r="AW303" s="941">
        <v>0.0</v>
      </c>
      <c r="AX303" s="941">
        <v>0.0</v>
      </c>
      <c r="AY303" s="941">
        <v>0.0</v>
      </c>
      <c r="AZ303" s="941">
        <v>0.0</v>
      </c>
      <c r="BA303" s="941">
        <v>0.0</v>
      </c>
      <c r="BB303" s="941">
        <v>5.0</v>
      </c>
      <c r="BC303" s="941">
        <v>0.0</v>
      </c>
      <c r="BD303" s="941">
        <v>17.0</v>
      </c>
      <c r="BE303" s="941">
        <v>16.0</v>
      </c>
      <c r="BF303" s="941">
        <v>2.0</v>
      </c>
      <c r="BG303" s="942">
        <v>0.0</v>
      </c>
    </row>
    <row r="304">
      <c r="A304" s="935" t="s">
        <v>130</v>
      </c>
      <c r="B304" s="16" t="str">
        <f>IF(C304&lt;'PlayerGrades+'!$Y$44,"F-",IF(C304&lt;'PlayerGrades+'!$Y$43,"F",IF(C304&lt;'PlayerGrades+'!$Y$42,"F+",IF(C304&lt;'PlayerGrades+'!$Y$41,"E-",IF(C304&lt;'PlayerGrades+'!$Y$40,"E",IF(C304&lt;'PlayerGrades+'!$Y$39,"E+",IF(C304&lt;'PlayerGrades+'!$Y$38,"D-",IF(C304&lt;'PlayerGrades+'!$Y$37,"D",IF(C304&lt;'PlayerGrades+'!$Y$36,"D+",IF(C304&lt;'PlayerGrades+'!$Y$35,"C-",IF(C304&lt;'PlayerGrades+'!$Y$34,"C",IF(C304&lt;'PlayerGrades+'!$Y$33,"C+",IF(C304&lt;'PlayerGrades+'!$Y$32,"B-",IF(C304&lt;'PlayerGrades+'!$Y$31,"B",IF(C304&lt;'PlayerGrades+'!$Y$30,"B+",IF(C304&lt;'PlayerGrades+'!$Y$29,"A-",IF(C304&lt;'PlayerGrades+'!$Y$28,"A",IF(C304&lt;'PlayerGrades+'!$Y$27,"A+",IF(C304&lt;'PlayerGrades+'!$Y$26,"S-",IF(C304&lt;'PlayerGrades+'!$Y$25,"S","S+"))))))))))))))))))))</f>
        <v>B-</v>
      </c>
      <c r="C304" s="936">
        <f>('PlayerGrades+'!$Y$47*(VLOOKUP(E304, 'PlayerGrades+'!$X$3:$Y$23, 2, FALSE)))+('PlayerGrades+'!$Y$48*(VLOOKUP(G304, 'PlayerGrades+'!$X$3:$Y$23, 2, FALSE)))+('PlayerGrades+'!$Y$49*(VLOOKUP(I304, 'PlayerGrades+'!$X$3:$Y$23, 2, FALSE)))+('PlayerGrades+'!$Y$50*(VLOOKUP(K304, 'PlayerGrades+'!$X$3:$Y$23, 2, FALSE)))+('PlayerGrades+'!$Y$51*(VLOOKUP(M304, 'PlayerGrades+'!$X$3:$Y$23, 2, FALSE)))+('PlayerGrades+'!$Y$52*(VLOOKUP(O304, 'PlayerGrades+'!$X$3:$Y$23, 2, FALSE)))+('PlayerGrades+'!$Y$53*(VLOOKUP(Q304, 'PlayerGrades+'!$X$3:$Y$23, 2, FALSE)))+('PlayerGrades+'!$Y$54*(VLOOKUP(S304, 'PlayerGrades+'!$X$3:$Y$23, 2, FALSE)))+('PlayerGrades+'!$Y$55*(VLOOKUP(U304, 'PlayerGrades+'!$X$3:$Y$23, 2, FALSE)))</f>
        <v>21.85</v>
      </c>
      <c r="D304" s="937">
        <f t="shared" si="1"/>
        <v>0.01827040195</v>
      </c>
      <c r="E304" s="937" t="str">
        <f>IF(D304&lt;'PlayerGrades+'!$AA$21,"F-",IF(D304&lt;'PlayerGrades+'!$AA$20,"F",IF(D304&lt;'PlayerGrades+'!$AA$19,"F+",IF(D304&lt;'PlayerGrades+'!$AA$18,"E-",IF(D304&lt;'PlayerGrades+'!$AA$17,"E",IF(D304&lt;'PlayerGrades+'!$AA$16,"E+",IF(D304&lt;'PlayerGrades+'!$AA$15,"D-",IF(D304&lt;'PlayerGrades+'!$AA$14,"D",IF(D304&lt;'PlayerGrades+'!$AA$13,"D+",IF(D304&lt;'PlayerGrades+'!$AA$12,"C-",IF(D304&lt;'PlayerGrades+'!$AA$11,"C",IF(D304&lt;'PlayerGrades+'!$AA$10,"C+",IF(D304&lt;'PlayerGrades+'!$AA$9,"B-",IF(D304&lt;'PlayerGrades+'!$AA$8,"B",IF(D304&lt;'PlayerGrades+'!$AA$7,"B+",IF(D304&lt;'PlayerGrades+'!$AA$6,"A-",IF(D304&lt;'PlayerGrades+'!$AA$5,"A",IF(D304&lt;'PlayerGrades+'!$AA$4,"A+",IF(D304&lt;'PlayerGrades+'!$AA$3,"S-",IF(D304&lt;'PlayerGrades+'!$AA$2,"S","S+"))))))))))))))))))))</f>
        <v>E-</v>
      </c>
      <c r="F304" s="937">
        <f t="shared" si="2"/>
        <v>0.5298416565</v>
      </c>
      <c r="G304" s="937" t="str">
        <f>IF(F304&lt;'PlayerGrades+'!$AB$21,"F-",IF(F304&lt;'PlayerGrades+'!$AB$20,"F",IF(F304&lt;'PlayerGrades+'!$AB$19,"F+",IF(F304&lt;'PlayerGrades+'!$AB$18,"E-",IF(F304&lt;'PlayerGrades+'!$AB$17,"E",IF(F304&lt;'PlayerGrades+'!$AB$16,"E+",IF(F304&lt;'PlayerGrades+'!$AB$15,"D-",IF(F304&lt;'PlayerGrades+'!$AB$14,"D",IF(F304&lt;'PlayerGrades+'!$AB$13,"D+",IF(F304&lt;'PlayerGrades+'!$AB$12,"C-",IF(F304&lt;'PlayerGrades+'!$AB$11,"C",IF(F304&lt;'PlayerGrades+'!$AB$10,"C+",IF(F304&lt;'PlayerGrades+'!$AB$9,"B-",IF(F304&lt;'PlayerGrades+'!$AB$8,"B",IF(F304&lt;'PlayerGrades+'!$AB$7,"B+",IF(F304&lt;'PlayerGrades+'!$AB$6,"A-",IF(F304&lt;'PlayerGrades+'!$AB$5,"A",IF(F304&lt;'PlayerGrades+'!$AB$4,"A+",IF(F304&lt;'PlayerGrades+'!$AB$3,"S-",IF(F304&lt;'PlayerGrades+'!$AB$2,"S","S+"))))))))))))))))))))</f>
        <v>A+</v>
      </c>
      <c r="H304" s="937">
        <f t="shared" si="3"/>
        <v>0.1096224117</v>
      </c>
      <c r="I304" s="937" t="str">
        <f>IF(H304&lt;'PlayerGrades+'!$AC$21,"F-",IF(H304&lt;'PlayerGrades+'!$AC$20,"F",IF(H304&lt;'PlayerGrades+'!$AC$19,"F+",IF(H304&lt;'PlayerGrades+'!$AC$18,"E-",IF(H304&lt;'PlayerGrades+'!$AC$17,"E",IF(H304&lt;'PlayerGrades+'!$AC$16,"E+",IF(H304&lt;'PlayerGrades+'!$AC$15,"D-",IF(H304&lt;'PlayerGrades+'!$AC$14,"D",IF(H304&lt;'PlayerGrades+'!$AC$13,"D+",IF(H304&lt;'PlayerGrades+'!$AC$12,"C-",IF(H304&lt;'PlayerGrades+'!$AC$11,"C",IF(H304&lt;'PlayerGrades+'!$AC$10,"C+",IF(H304&lt;'PlayerGrades+'!$AC$9,"B-",IF(H304&lt;'PlayerGrades+'!$AC$8,"B",IF(H304&lt;'PlayerGrades+'!$AC$7,"B+",IF(H304&lt;'PlayerGrades+'!$AC$6,"A-",IF(H304&lt;'PlayerGrades+'!$AC$5,"A",IF(H304&lt;'PlayerGrades+'!$AC$4,"A+",IF(H304&lt;'PlayerGrades+'!$AC$3,"S-",IF(H304&lt;'PlayerGrades+'!$AC$2,"S","S+"))))))))))))))))))))</f>
        <v>C</v>
      </c>
      <c r="J304" s="937">
        <f t="shared" si="4"/>
        <v>0.05481120585</v>
      </c>
      <c r="K304" s="937" t="str">
        <f>IF(J304&lt;'PlayerGrades+'!$AD$21,"F-",IF(J304&lt;'PlayerGrades+'!$AD$20,"F",IF(J304&lt;'PlayerGrades+'!$AD$19,"F+",IF(J304&lt;'PlayerGrades+'!$AD$18,"E-",IF(J304&lt;'PlayerGrades+'!$AD$17,"E",IF(J304&lt;'PlayerGrades+'!$AD$16,"E+",IF(J304&lt;'PlayerGrades+'!$AD$15,"D-",IF(J304&lt;'PlayerGrades+'!$AD$14,"D",IF(J304&lt;'PlayerGrades+'!$AD$13,"D+",IF(J304&lt;'PlayerGrades+'!$AD$12,"C-",IF(J304&lt;'PlayerGrades+'!$AD$11,"C",IF(J304&lt;'PlayerGrades+'!$AD$10,"C+",IF(J304&lt;'PlayerGrades+'!$AD$9,"B-",IF(J304&lt;'PlayerGrades+'!$AD$8,"B",IF(J304&lt;'PlayerGrades+'!$AD$7,"B+",IF(J304&lt;'PlayerGrades+'!$AD$6,"A-",IF(J304&lt;'PlayerGrades+'!$AD$5,"A",IF(J304&lt;'PlayerGrades+'!$AD$4,"A+",IF(J304&lt;'PlayerGrades+'!$AD$3,"S-",IF(J304&lt;'PlayerGrades+'!$AD$2,"S","S+"))))))))))))))))))))</f>
        <v>B+</v>
      </c>
      <c r="L304" s="677">
        <f t="shared" si="5"/>
        <v>0.3288672351</v>
      </c>
      <c r="M304" s="938" t="str">
        <f>IF(L304&lt;'PlayerGrades+'!$AE$21,"F-",IF(L304&lt;'PlayerGrades+'!$AE$20,"F",IF(L304&lt;'PlayerGrades+'!$AE$19,"F+",IF(L304&lt;'PlayerGrades+'!$AE$18,"E-",IF(L304&lt;'PlayerGrades+'!$AE$17,"E",IF(L304&lt;'PlayerGrades+'!$AE$16,"E+",IF(L304&lt;'PlayerGrades+'!$AE$15,"D-",IF(L304&lt;'PlayerGrades+'!$AE$14,"D",IF(L304&lt;'PlayerGrades+'!$AE$13,"D+",IF(L304&lt;'PlayerGrades+'!$AE$12,"C-",IF(L304&lt;'PlayerGrades+'!$AE$11,"C",IF(L304&lt;'PlayerGrades+'!$AE$10,"C+",IF(L304&lt;'PlayerGrades+'!$AE$9,"B-",IF(L304&lt;'PlayerGrades+'!$AE$8,"B",IF(L304&lt;'PlayerGrades+'!$AE$7,"B+",IF(L304&lt;'PlayerGrades+'!$AE$6,"A-",IF(L304&lt;'PlayerGrades+'!$AE$5,"A",IF(L304&lt;'PlayerGrades+'!$AE$4,"A+",IF(L304&lt;'PlayerGrades+'!$AE$3,"S-",IF(L304&lt;'PlayerGrades+'!$AE$2,"S","S+"))))))))))))))))))))</f>
        <v>E+</v>
      </c>
      <c r="N304" s="937">
        <f t="shared" si="6"/>
        <v>0.0365408039</v>
      </c>
      <c r="O304" s="937" t="str">
        <f>IF(N304&lt;'PlayerGrades+'!$AF$21,"F-",IF(N304&lt;'PlayerGrades+'!$AF$20,"F",IF(N304&lt;'PlayerGrades+'!$AF$19,"F+",IF(N304&lt;'PlayerGrades+'!$AF$18,"E-",IF(N304&lt;'PlayerGrades+'!$AF$17,"E",IF(N304&lt;'PlayerGrades+'!$AF$16,"E+",IF(N304&lt;'PlayerGrades+'!$AF$15,"D-",IF(N304&lt;'PlayerGrades+'!$AF$14,"D",IF(N304&lt;'PlayerGrades+'!$AF$13,"D+",IF(N304&lt;'PlayerGrades+'!$AF$12,"C-",IF(N304&lt;'PlayerGrades+'!$AF$11,"C",IF(N304&lt;'PlayerGrades+'!$AF$10,"C+",IF(N304&lt;'PlayerGrades+'!$AF$9,"B-",IF(N304&lt;'PlayerGrades+'!$AF$8,"B",IF(N304&lt;'PlayerGrades+'!$AF$7,"B+",IF(N304&lt;'PlayerGrades+'!$AF$6,"A-",IF(N304&lt;'PlayerGrades+'!$AF$5,"A",IF(N304&lt;'PlayerGrades+'!$AF$4,"A+",IF(N304&lt;'PlayerGrades+'!$AF$3,"S-",IF(N304&lt;'PlayerGrades+'!$AF$2,"S","S+"))))))))))))))))))))</f>
        <v>F+</v>
      </c>
      <c r="P304" s="937">
        <f t="shared" si="7"/>
        <v>0.05481120585</v>
      </c>
      <c r="Q304" s="937" t="str">
        <f>IF(P304&lt;'PlayerGrades+'!$AG$21,"F-",IF(P304&lt;'PlayerGrades+'!$AG$20,"F",IF(P304&lt;'PlayerGrades+'!$AG$19,"F+",IF(P304&lt;'PlayerGrades+'!$AG$18,"E-",IF(P304&lt;'PlayerGrades+'!$AG$17,"E",IF(P304&lt;'PlayerGrades+'!$AG$16,"E+",IF(P304&lt;'PlayerGrades+'!$AG$15,"D-",IF(P304&lt;'PlayerGrades+'!$AG$14,"D",IF(P304&lt;'PlayerGrades+'!$AG$13,"D+",IF(P304&lt;'PlayerGrades+'!$AG$12,"C-",IF(P304&lt;'PlayerGrades+'!$AG$11,"C",IF(P304&lt;'PlayerGrades+'!$AG$10,"C+",IF(P304&lt;'PlayerGrades+'!$AG$9,"B-",IF(P304&lt;'PlayerGrades+'!$AG$8,"B",IF(P304&lt;'PlayerGrades+'!$AG$7,"B+",IF(P304&lt;'PlayerGrades+'!$AG$6,"A-",IF(P304&lt;'PlayerGrades+'!$AG$5,"A",IF(P304&lt;'PlayerGrades+'!$AG$4,"A+",IF(P304&lt;'PlayerGrades+'!$AG$3,"S-",IF(P304&lt;'PlayerGrades+'!$AG$2,"S","S+"))))))))))))))))))))</f>
        <v>A</v>
      </c>
      <c r="R304" s="937">
        <f t="shared" si="8"/>
        <v>0.8952496955</v>
      </c>
      <c r="S304" s="937" t="str">
        <f>IF(R304&lt;'PlayerGrades+'!$AH$21,"F-",IF(R304&lt;'PlayerGrades+'!$AH$20,"F",IF(R304&lt;'PlayerGrades+'!$AH$19,"F+",IF(R304&lt;'PlayerGrades+'!$AH$18,"E-",IF(R304&lt;'PlayerGrades+'!$AH$17,"E",IF(R304&lt;'PlayerGrades+'!$AH$16,"E+",IF(R304&lt;'PlayerGrades+'!$AH$15,"D-",IF(R304&lt;'PlayerGrades+'!$AH$14,"D",IF(R304&lt;'PlayerGrades+'!$AH$13,"D+",IF(R304&lt;'PlayerGrades+'!$AH$12,"C-",IF(R304&lt;'PlayerGrades+'!$AH$11,"C",IF(R304&lt;'PlayerGrades+'!$AH$10,"C+",IF(R304&lt;'PlayerGrades+'!$AH$9,"B-",IF(R304&lt;'PlayerGrades+'!$AH$8,"B",IF(R304&lt;'PlayerGrades+'!$AH$7,"B+",IF(R304&lt;'PlayerGrades+'!$AH$6,"A-",IF(R304&lt;'PlayerGrades+'!$AH$5,"A",IF(R304&lt;'PlayerGrades+'!$AH$4,"A+",IF(R304&lt;'PlayerGrades+'!$AH$3,"S-",IF(R304&lt;'PlayerGrades+'!$AH$2,"S","S+"))))))))))))))))))))</f>
        <v>S+</v>
      </c>
      <c r="T304" s="937">
        <f t="shared" si="9"/>
        <v>2.438489647</v>
      </c>
      <c r="U304" s="937" t="str">
        <f>IF(T304&lt;'PlayerGrades+'!$AI$21,"F-",IF(T304&lt;'PlayerGrades+'!$AI$20,"F",IF(T304&lt;'PlayerGrades+'!$AI$19,"F+",IF(T304&lt;'PlayerGrades+'!$AI$18,"E-",IF(T304&lt;'PlayerGrades+'!$AI$17,"E",IF(T304&lt;'PlayerGrades+'!$AI$16,"E+",IF(T304&lt;'PlayerGrades+'!$AI$15,"D-",IF(T304&lt;'PlayerGrades+'!$AI$14,"D",IF(T304&lt;'PlayerGrades+'!$AI$13,"D+",IF(T304&lt;'PlayerGrades+'!$AI$12,"C-",IF(T304&lt;'PlayerGrades+'!$AI$11,"C",IF(T304&lt;'PlayerGrades+'!$AI$10,"C+",IF(T304&lt;'PlayerGrades+'!$AI$9,"B-",IF(T304&lt;'PlayerGrades+'!$AI$8,"B",IF(T304&lt;'PlayerGrades+'!$AI$7,"B+",IF(T304&lt;'PlayerGrades+'!$AI$6,"A-",IF(T304&lt;'PlayerGrades+'!$AI$5,"A",IF(T304&lt;'PlayerGrades+'!$AI$4,"A+",IF(T304&lt;'PlayerGrades+'!$AI$3,"S-",IF(T304&lt;'PlayerGrades+'!$AI$2,"S","S+"))))))))))))))))))))</f>
        <v>S+</v>
      </c>
      <c r="V304" s="941">
        <v>1.0</v>
      </c>
      <c r="W304" s="941">
        <v>0.0</v>
      </c>
      <c r="X304" s="941">
        <v>1.0</v>
      </c>
      <c r="Y304" s="941">
        <v>0.0</v>
      </c>
      <c r="Z304" s="941">
        <v>1.0</v>
      </c>
      <c r="AA304" s="941">
        <v>175.0</v>
      </c>
      <c r="AB304" s="941">
        <v>146.0</v>
      </c>
      <c r="AC304" s="941">
        <v>29.0</v>
      </c>
      <c r="AD304" s="941">
        <v>16.0</v>
      </c>
      <c r="AE304" s="941">
        <v>6.0</v>
      </c>
      <c r="AF304" s="941">
        <v>10.0</v>
      </c>
      <c r="AG304" s="941">
        <v>2762.0</v>
      </c>
      <c r="AH304" s="941">
        <v>3284.0</v>
      </c>
      <c r="AI304" s="941">
        <v>18.0</v>
      </c>
      <c r="AJ304" s="941">
        <v>32.0</v>
      </c>
      <c r="AK304" s="941">
        <v>0.0</v>
      </c>
      <c r="AL304" s="941">
        <v>3.0</v>
      </c>
      <c r="AM304" s="941">
        <v>0.0</v>
      </c>
      <c r="AN304" s="941">
        <v>0.0</v>
      </c>
      <c r="AO304" s="941">
        <v>0.0</v>
      </c>
      <c r="AP304" s="941">
        <v>3.0</v>
      </c>
      <c r="AQ304" s="941">
        <v>0.0</v>
      </c>
      <c r="AR304" s="941">
        <v>18.0</v>
      </c>
      <c r="AS304" s="941">
        <v>2.0</v>
      </c>
      <c r="AT304" s="941">
        <v>0.0</v>
      </c>
      <c r="AU304" s="941">
        <v>0.0</v>
      </c>
      <c r="AV304" s="941">
        <v>0.0</v>
      </c>
      <c r="AW304" s="941">
        <v>0.0</v>
      </c>
      <c r="AX304" s="941">
        <v>0.0</v>
      </c>
      <c r="AY304" s="941">
        <v>0.0</v>
      </c>
      <c r="AZ304" s="941">
        <v>0.0</v>
      </c>
      <c r="BA304" s="941">
        <v>0.0</v>
      </c>
      <c r="BB304" s="941">
        <v>6.0</v>
      </c>
      <c r="BC304" s="941">
        <v>0.0</v>
      </c>
      <c r="BD304" s="941">
        <v>33.0</v>
      </c>
      <c r="BE304" s="941">
        <v>24.0</v>
      </c>
      <c r="BF304" s="941">
        <v>2.0</v>
      </c>
      <c r="BG304" s="942">
        <v>0.0</v>
      </c>
    </row>
    <row r="305">
      <c r="A305" s="943" t="s">
        <v>152</v>
      </c>
      <c r="B305" s="16" t="str">
        <f>IF(C305&lt;'PlayerGrades+'!$Y$44,"F-",IF(C305&lt;'PlayerGrades+'!$Y$43,"F",IF(C305&lt;'PlayerGrades+'!$Y$42,"F+",IF(C305&lt;'PlayerGrades+'!$Y$41,"E-",IF(C305&lt;'PlayerGrades+'!$Y$40,"E",IF(C305&lt;'PlayerGrades+'!$Y$39,"E+",IF(C305&lt;'PlayerGrades+'!$Y$38,"D-",IF(C305&lt;'PlayerGrades+'!$Y$37,"D",IF(C305&lt;'PlayerGrades+'!$Y$36,"D+",IF(C305&lt;'PlayerGrades+'!$Y$35,"C-",IF(C305&lt;'PlayerGrades+'!$Y$34,"C",IF(C305&lt;'PlayerGrades+'!$Y$33,"C+",IF(C305&lt;'PlayerGrades+'!$Y$32,"B-",IF(C305&lt;'PlayerGrades+'!$Y$31,"B",IF(C305&lt;'PlayerGrades+'!$Y$30,"B+",IF(C305&lt;'PlayerGrades+'!$Y$29,"A-",IF(C305&lt;'PlayerGrades+'!$Y$28,"A",IF(C305&lt;'PlayerGrades+'!$Y$27,"A+",IF(C305&lt;'PlayerGrades+'!$Y$26,"S-",IF(C305&lt;'PlayerGrades+'!$Y$25,"S","S+"))))))))))))))))))))</f>
        <v>F</v>
      </c>
      <c r="C305" s="936">
        <f>('PlayerGrades+'!$Y$47*(VLOOKUP(E305, 'PlayerGrades+'!$X$3:$Y$23, 2, FALSE)))+('PlayerGrades+'!$Y$48*(VLOOKUP(G305, 'PlayerGrades+'!$X$3:$Y$23, 2, FALSE)))+('PlayerGrades+'!$Y$49*(VLOOKUP(I305, 'PlayerGrades+'!$X$3:$Y$23, 2, FALSE)))+('PlayerGrades+'!$Y$50*(VLOOKUP(K305, 'PlayerGrades+'!$X$3:$Y$23, 2, FALSE)))+('PlayerGrades+'!$Y$51*(VLOOKUP(M305, 'PlayerGrades+'!$X$3:$Y$23, 2, FALSE)))+('PlayerGrades+'!$Y$52*(VLOOKUP(O305, 'PlayerGrades+'!$X$3:$Y$23, 2, FALSE)))+('PlayerGrades+'!$Y$53*(VLOOKUP(Q305, 'PlayerGrades+'!$X$3:$Y$23, 2, FALSE)))+('PlayerGrades+'!$Y$54*(VLOOKUP(S305, 'PlayerGrades+'!$X$3:$Y$23, 2, FALSE)))+('PlayerGrades+'!$Y$55*(VLOOKUP(U305, 'PlayerGrades+'!$X$3:$Y$23, 2, FALSE)))</f>
        <v>9.05</v>
      </c>
      <c r="D305" s="937">
        <f t="shared" si="1"/>
        <v>0</v>
      </c>
      <c r="E305" s="937" t="str">
        <f>IF(D305&lt;'PlayerGrades+'!$AA$21,"F-",IF(D305&lt;'PlayerGrades+'!$AA$20,"F",IF(D305&lt;'PlayerGrades+'!$AA$19,"F+",IF(D305&lt;'PlayerGrades+'!$AA$18,"E-",IF(D305&lt;'PlayerGrades+'!$AA$17,"E",IF(D305&lt;'PlayerGrades+'!$AA$16,"E+",IF(D305&lt;'PlayerGrades+'!$AA$15,"D-",IF(D305&lt;'PlayerGrades+'!$AA$14,"D",IF(D305&lt;'PlayerGrades+'!$AA$13,"D+",IF(D305&lt;'PlayerGrades+'!$AA$12,"C-",IF(D305&lt;'PlayerGrades+'!$AA$11,"C",IF(D305&lt;'PlayerGrades+'!$AA$10,"C+",IF(D305&lt;'PlayerGrades+'!$AA$9,"B-",IF(D305&lt;'PlayerGrades+'!$AA$8,"B",IF(D305&lt;'PlayerGrades+'!$AA$7,"B+",IF(D305&lt;'PlayerGrades+'!$AA$6,"A-",IF(D305&lt;'PlayerGrades+'!$AA$5,"A",IF(D305&lt;'PlayerGrades+'!$AA$4,"A+",IF(D305&lt;'PlayerGrades+'!$AA$3,"S-",IF(D305&lt;'PlayerGrades+'!$AA$2,"S","S+"))))))))))))))))))))</f>
        <v>F-</v>
      </c>
      <c r="F305" s="937">
        <f t="shared" si="2"/>
        <v>-1.077953715</v>
      </c>
      <c r="G305" s="937" t="str">
        <f>IF(F305&lt;'PlayerGrades+'!$AB$21,"F-",IF(F305&lt;'PlayerGrades+'!$AB$20,"F",IF(F305&lt;'PlayerGrades+'!$AB$19,"F+",IF(F305&lt;'PlayerGrades+'!$AB$18,"E-",IF(F305&lt;'PlayerGrades+'!$AB$17,"E",IF(F305&lt;'PlayerGrades+'!$AB$16,"E+",IF(F305&lt;'PlayerGrades+'!$AB$15,"D-",IF(F305&lt;'PlayerGrades+'!$AB$14,"D",IF(F305&lt;'PlayerGrades+'!$AB$13,"D+",IF(F305&lt;'PlayerGrades+'!$AB$12,"C-",IF(F305&lt;'PlayerGrades+'!$AB$11,"C",IF(F305&lt;'PlayerGrades+'!$AB$10,"C+",IF(F305&lt;'PlayerGrades+'!$AB$9,"B-",IF(F305&lt;'PlayerGrades+'!$AB$8,"B",IF(F305&lt;'PlayerGrades+'!$AB$7,"B+",IF(F305&lt;'PlayerGrades+'!$AB$6,"A-",IF(F305&lt;'PlayerGrades+'!$AB$5,"A",IF(F305&lt;'PlayerGrades+'!$AB$4,"A+",IF(F305&lt;'PlayerGrades+'!$AB$3,"S-",IF(F305&lt;'PlayerGrades+'!$AB$2,"S","S+"))))))))))))))))))))</f>
        <v>F</v>
      </c>
      <c r="H305" s="937">
        <f t="shared" si="3"/>
        <v>0.09135200974</v>
      </c>
      <c r="I305" s="937" t="str">
        <f>IF(H305&lt;'PlayerGrades+'!$AC$21,"F-",IF(H305&lt;'PlayerGrades+'!$AC$20,"F",IF(H305&lt;'PlayerGrades+'!$AC$19,"F+",IF(H305&lt;'PlayerGrades+'!$AC$18,"E-",IF(H305&lt;'PlayerGrades+'!$AC$17,"E",IF(H305&lt;'PlayerGrades+'!$AC$16,"E+",IF(H305&lt;'PlayerGrades+'!$AC$15,"D-",IF(H305&lt;'PlayerGrades+'!$AC$14,"D",IF(H305&lt;'PlayerGrades+'!$AC$13,"D+",IF(H305&lt;'PlayerGrades+'!$AC$12,"C-",IF(H305&lt;'PlayerGrades+'!$AC$11,"C",IF(H305&lt;'PlayerGrades+'!$AC$10,"C+",IF(H305&lt;'PlayerGrades+'!$AC$9,"B-",IF(H305&lt;'PlayerGrades+'!$AC$8,"B",IF(H305&lt;'PlayerGrades+'!$AC$7,"B+",IF(H305&lt;'PlayerGrades+'!$AC$6,"A-",IF(H305&lt;'PlayerGrades+'!$AC$5,"A",IF(H305&lt;'PlayerGrades+'!$AC$4,"A+",IF(H305&lt;'PlayerGrades+'!$AC$3,"S-",IF(H305&lt;'PlayerGrades+'!$AC$2,"S","S+"))))))))))))))))))))</f>
        <v>D</v>
      </c>
      <c r="J305" s="937">
        <f t="shared" si="4"/>
        <v>0.01827040195</v>
      </c>
      <c r="K305" s="937" t="str">
        <f>IF(J305&lt;'PlayerGrades+'!$AD$21,"F-",IF(J305&lt;'PlayerGrades+'!$AD$20,"F",IF(J305&lt;'PlayerGrades+'!$AD$19,"F+",IF(J305&lt;'PlayerGrades+'!$AD$18,"E-",IF(J305&lt;'PlayerGrades+'!$AD$17,"E",IF(J305&lt;'PlayerGrades+'!$AD$16,"E+",IF(J305&lt;'PlayerGrades+'!$AD$15,"D-",IF(J305&lt;'PlayerGrades+'!$AD$14,"D",IF(J305&lt;'PlayerGrades+'!$AD$13,"D+",IF(J305&lt;'PlayerGrades+'!$AD$12,"C-",IF(J305&lt;'PlayerGrades+'!$AD$11,"C",IF(J305&lt;'PlayerGrades+'!$AD$10,"C+",IF(J305&lt;'PlayerGrades+'!$AD$9,"B-",IF(J305&lt;'PlayerGrades+'!$AD$8,"B",IF(J305&lt;'PlayerGrades+'!$AD$7,"B+",IF(J305&lt;'PlayerGrades+'!$AD$6,"A-",IF(J305&lt;'PlayerGrades+'!$AD$5,"A",IF(J305&lt;'PlayerGrades+'!$AD$4,"A+",IF(J305&lt;'PlayerGrades+'!$AD$3,"S-",IF(J305&lt;'PlayerGrades+'!$AD$2,"S","S+"))))))))))))))))))))</f>
        <v>E</v>
      </c>
      <c r="L305" s="677">
        <f t="shared" si="5"/>
        <v>0.4202192448</v>
      </c>
      <c r="M305" s="938" t="str">
        <f>IF(L305&lt;'PlayerGrades+'!$AE$21,"F-",IF(L305&lt;'PlayerGrades+'!$AE$20,"F",IF(L305&lt;'PlayerGrades+'!$AE$19,"F+",IF(L305&lt;'PlayerGrades+'!$AE$18,"E-",IF(L305&lt;'PlayerGrades+'!$AE$17,"E",IF(L305&lt;'PlayerGrades+'!$AE$16,"E+",IF(L305&lt;'PlayerGrades+'!$AE$15,"D-",IF(L305&lt;'PlayerGrades+'!$AE$14,"D",IF(L305&lt;'PlayerGrades+'!$AE$13,"D+",IF(L305&lt;'PlayerGrades+'!$AE$12,"C-",IF(L305&lt;'PlayerGrades+'!$AE$11,"C",IF(L305&lt;'PlayerGrades+'!$AE$10,"C+",IF(L305&lt;'PlayerGrades+'!$AE$9,"B-",IF(L305&lt;'PlayerGrades+'!$AE$8,"B",IF(L305&lt;'PlayerGrades+'!$AE$7,"B+",IF(L305&lt;'PlayerGrades+'!$AE$6,"A-",IF(L305&lt;'PlayerGrades+'!$AE$5,"A",IF(L305&lt;'PlayerGrades+'!$AE$4,"A+",IF(L305&lt;'PlayerGrades+'!$AE$3,"S-",IF(L305&lt;'PlayerGrades+'!$AE$2,"S","S+"))))))))))))))))))))</f>
        <v>C+</v>
      </c>
      <c r="N305" s="937">
        <f t="shared" si="6"/>
        <v>0.0365408039</v>
      </c>
      <c r="O305" s="937" t="str">
        <f>IF(N305&lt;'PlayerGrades+'!$AF$21,"F-",IF(N305&lt;'PlayerGrades+'!$AF$20,"F",IF(N305&lt;'PlayerGrades+'!$AF$19,"F+",IF(N305&lt;'PlayerGrades+'!$AF$18,"E-",IF(N305&lt;'PlayerGrades+'!$AF$17,"E",IF(N305&lt;'PlayerGrades+'!$AF$16,"E+",IF(N305&lt;'PlayerGrades+'!$AF$15,"D-",IF(N305&lt;'PlayerGrades+'!$AF$14,"D",IF(N305&lt;'PlayerGrades+'!$AF$13,"D+",IF(N305&lt;'PlayerGrades+'!$AF$12,"C-",IF(N305&lt;'PlayerGrades+'!$AF$11,"C",IF(N305&lt;'PlayerGrades+'!$AF$10,"C+",IF(N305&lt;'PlayerGrades+'!$AF$9,"B-",IF(N305&lt;'PlayerGrades+'!$AF$8,"B",IF(N305&lt;'PlayerGrades+'!$AF$7,"B+",IF(N305&lt;'PlayerGrades+'!$AF$6,"A-",IF(N305&lt;'PlayerGrades+'!$AF$5,"A",IF(N305&lt;'PlayerGrades+'!$AF$4,"A+",IF(N305&lt;'PlayerGrades+'!$AF$3,"S-",IF(N305&lt;'PlayerGrades+'!$AF$2,"S","S+"))))))))))))))))))))</f>
        <v>F+</v>
      </c>
      <c r="P305" s="937">
        <f t="shared" si="7"/>
        <v>0.01827040195</v>
      </c>
      <c r="Q305" s="937" t="str">
        <f>IF(P305&lt;'PlayerGrades+'!$AG$21,"F-",IF(P305&lt;'PlayerGrades+'!$AG$20,"F",IF(P305&lt;'PlayerGrades+'!$AG$19,"F+",IF(P305&lt;'PlayerGrades+'!$AG$18,"E-",IF(P305&lt;'PlayerGrades+'!$AG$17,"E",IF(P305&lt;'PlayerGrades+'!$AG$16,"E+",IF(P305&lt;'PlayerGrades+'!$AG$15,"D-",IF(P305&lt;'PlayerGrades+'!$AG$14,"D",IF(P305&lt;'PlayerGrades+'!$AG$13,"D+",IF(P305&lt;'PlayerGrades+'!$AG$12,"C-",IF(P305&lt;'PlayerGrades+'!$AG$11,"C",IF(P305&lt;'PlayerGrades+'!$AG$10,"C+",IF(P305&lt;'PlayerGrades+'!$AG$9,"B-",IF(P305&lt;'PlayerGrades+'!$AG$8,"B",IF(P305&lt;'PlayerGrades+'!$AG$7,"B+",IF(P305&lt;'PlayerGrades+'!$AG$6,"A-",IF(P305&lt;'PlayerGrades+'!$AG$5,"A",IF(P305&lt;'PlayerGrades+'!$AG$4,"A+",IF(P305&lt;'PlayerGrades+'!$AG$3,"S-",IF(P305&lt;'PlayerGrades+'!$AG$2,"S","S+"))))))))))))))))))))</f>
        <v>D+</v>
      </c>
      <c r="R305" s="937">
        <f t="shared" si="8"/>
        <v>0.3105968331</v>
      </c>
      <c r="S305" s="937" t="str">
        <f>IF(R305&lt;'PlayerGrades+'!$AH$21,"F-",IF(R305&lt;'PlayerGrades+'!$AH$20,"F",IF(R305&lt;'PlayerGrades+'!$AH$19,"F+",IF(R305&lt;'PlayerGrades+'!$AH$18,"E-",IF(R305&lt;'PlayerGrades+'!$AH$17,"E",IF(R305&lt;'PlayerGrades+'!$AH$16,"E+",IF(R305&lt;'PlayerGrades+'!$AH$15,"D-",IF(R305&lt;'PlayerGrades+'!$AH$14,"D",IF(R305&lt;'PlayerGrades+'!$AH$13,"D+",IF(R305&lt;'PlayerGrades+'!$AH$12,"C-",IF(R305&lt;'PlayerGrades+'!$AH$11,"C",IF(R305&lt;'PlayerGrades+'!$AH$10,"C+",IF(R305&lt;'PlayerGrades+'!$AH$9,"B-",IF(R305&lt;'PlayerGrades+'!$AH$8,"B",IF(R305&lt;'PlayerGrades+'!$AH$7,"B+",IF(R305&lt;'PlayerGrades+'!$AH$6,"A-",IF(R305&lt;'PlayerGrades+'!$AH$5,"A",IF(R305&lt;'PlayerGrades+'!$AH$4,"A+",IF(R305&lt;'PlayerGrades+'!$AH$3,"S-",IF(R305&lt;'PlayerGrades+'!$AH$2,"S","S+"))))))))))))))))))))</f>
        <v>F-</v>
      </c>
      <c r="T305" s="937">
        <f t="shared" si="9"/>
        <v>0.5663824604</v>
      </c>
      <c r="U305" s="937" t="str">
        <f>IF(T305&lt;'PlayerGrades+'!$AI$21,"F-",IF(T305&lt;'PlayerGrades+'!$AI$20,"F",IF(T305&lt;'PlayerGrades+'!$AI$19,"F+",IF(T305&lt;'PlayerGrades+'!$AI$18,"E-",IF(T305&lt;'PlayerGrades+'!$AI$17,"E",IF(T305&lt;'PlayerGrades+'!$AI$16,"E+",IF(T305&lt;'PlayerGrades+'!$AI$15,"D-",IF(T305&lt;'PlayerGrades+'!$AI$14,"D",IF(T305&lt;'PlayerGrades+'!$AI$13,"D+",IF(T305&lt;'PlayerGrades+'!$AI$12,"C-",IF(T305&lt;'PlayerGrades+'!$AI$11,"C",IF(T305&lt;'PlayerGrades+'!$AI$10,"C+",IF(T305&lt;'PlayerGrades+'!$AI$9,"B-",IF(T305&lt;'PlayerGrades+'!$AI$8,"B",IF(T305&lt;'PlayerGrades+'!$AI$7,"B+",IF(T305&lt;'PlayerGrades+'!$AI$6,"A-",IF(T305&lt;'PlayerGrades+'!$AI$5,"A",IF(T305&lt;'PlayerGrades+'!$AI$4,"A+",IF(T305&lt;'PlayerGrades+'!$AI$3,"S-",IF(T305&lt;'PlayerGrades+'!$AI$2,"S","S+"))))))))))))))))))))</f>
        <v>F-</v>
      </c>
      <c r="V305" s="944">
        <v>1.0</v>
      </c>
      <c r="W305" s="944">
        <v>0.0</v>
      </c>
      <c r="X305" s="944">
        <v>1.0</v>
      </c>
      <c r="Y305" s="944">
        <v>0.0</v>
      </c>
      <c r="Z305" s="944">
        <v>0.0</v>
      </c>
      <c r="AA305" s="944">
        <v>161.0</v>
      </c>
      <c r="AB305" s="944">
        <v>220.0</v>
      </c>
      <c r="AC305" s="944">
        <v>-59.0</v>
      </c>
      <c r="AD305" s="944">
        <v>7.0</v>
      </c>
      <c r="AE305" s="944">
        <v>6.0</v>
      </c>
      <c r="AF305" s="944">
        <v>3.0</v>
      </c>
      <c r="AG305" s="944">
        <v>2532.0</v>
      </c>
      <c r="AH305" s="944">
        <v>3284.0</v>
      </c>
      <c r="AI305" s="944">
        <v>11.0</v>
      </c>
      <c r="AJ305" s="944">
        <v>3.0</v>
      </c>
      <c r="AK305" s="944">
        <v>0.0</v>
      </c>
      <c r="AL305" s="944">
        <v>1.0</v>
      </c>
      <c r="AM305" s="944">
        <v>0.0</v>
      </c>
      <c r="AN305" s="944">
        <v>0.0</v>
      </c>
      <c r="AO305" s="944">
        <v>0.0</v>
      </c>
      <c r="AP305" s="944">
        <v>1.0</v>
      </c>
      <c r="AQ305" s="944">
        <v>0.0</v>
      </c>
      <c r="AR305" s="944">
        <v>23.0</v>
      </c>
      <c r="AS305" s="944">
        <v>2.0</v>
      </c>
      <c r="AT305" s="944">
        <v>1.0</v>
      </c>
      <c r="AU305" s="944">
        <v>0.0</v>
      </c>
      <c r="AV305" s="944">
        <v>0.0</v>
      </c>
      <c r="AW305" s="944">
        <v>0.0</v>
      </c>
      <c r="AX305" s="944">
        <v>0.0</v>
      </c>
      <c r="AY305" s="944">
        <v>0.0</v>
      </c>
      <c r="AZ305" s="944">
        <v>0.0</v>
      </c>
      <c r="BA305" s="944">
        <v>0.0</v>
      </c>
      <c r="BB305" s="944">
        <v>5.0</v>
      </c>
      <c r="BC305" s="944">
        <v>0.0</v>
      </c>
      <c r="BD305" s="944">
        <v>10.0</v>
      </c>
      <c r="BE305" s="944">
        <v>31.0</v>
      </c>
      <c r="BF305" s="944">
        <v>0.0</v>
      </c>
      <c r="BG305" s="945">
        <v>0.0</v>
      </c>
    </row>
    <row r="306">
      <c r="A306" s="946" t="s">
        <v>123</v>
      </c>
      <c r="B306" s="16" t="str">
        <f>IF(C306&lt;'PlayerGrades+'!$Y$44,"F-",IF(C306&lt;'PlayerGrades+'!$Y$43,"F",IF(C306&lt;'PlayerGrades+'!$Y$42,"F+",IF(C306&lt;'PlayerGrades+'!$Y$41,"E-",IF(C306&lt;'PlayerGrades+'!$Y$40,"E",IF(C306&lt;'PlayerGrades+'!$Y$39,"E+",IF(C306&lt;'PlayerGrades+'!$Y$38,"D-",IF(C306&lt;'PlayerGrades+'!$Y$37,"D",IF(C306&lt;'PlayerGrades+'!$Y$36,"D+",IF(C306&lt;'PlayerGrades+'!$Y$35,"C-",IF(C306&lt;'PlayerGrades+'!$Y$34,"C",IF(C306&lt;'PlayerGrades+'!$Y$33,"C+",IF(C306&lt;'PlayerGrades+'!$Y$32,"B-",IF(C306&lt;'PlayerGrades+'!$Y$31,"B",IF(C306&lt;'PlayerGrades+'!$Y$30,"B+",IF(C306&lt;'PlayerGrades+'!$Y$29,"A-",IF(C306&lt;'PlayerGrades+'!$Y$28,"A",IF(C306&lt;'PlayerGrades+'!$Y$27,"A+",IF(C306&lt;'PlayerGrades+'!$Y$26,"S-",IF(C306&lt;'PlayerGrades+'!$Y$25,"S","S+"))))))))))))))))))))</f>
        <v>C</v>
      </c>
      <c r="C306" s="936">
        <f>('PlayerGrades+'!$Y$47*(VLOOKUP(E306, 'PlayerGrades+'!$X$3:$Y$23, 2, FALSE)))+('PlayerGrades+'!$Y$48*(VLOOKUP(G306, 'PlayerGrades+'!$X$3:$Y$23, 2, FALSE)))+('PlayerGrades+'!$Y$49*(VLOOKUP(I306, 'PlayerGrades+'!$X$3:$Y$23, 2, FALSE)))+('PlayerGrades+'!$Y$50*(VLOOKUP(K306, 'PlayerGrades+'!$X$3:$Y$23, 2, FALSE)))+('PlayerGrades+'!$Y$51*(VLOOKUP(M306, 'PlayerGrades+'!$X$3:$Y$23, 2, FALSE)))+('PlayerGrades+'!$Y$52*(VLOOKUP(O306, 'PlayerGrades+'!$X$3:$Y$23, 2, FALSE)))+('PlayerGrades+'!$Y$53*(VLOOKUP(Q306, 'PlayerGrades+'!$X$3:$Y$23, 2, FALSE)))+('PlayerGrades+'!$Y$54*(VLOOKUP(S306, 'PlayerGrades+'!$X$3:$Y$23, 2, FALSE)))+('PlayerGrades+'!$Y$55*(VLOOKUP(U306, 'PlayerGrades+'!$X$3:$Y$23, 2, FALSE)))</f>
        <v>20.45</v>
      </c>
      <c r="D306" s="937">
        <f t="shared" si="1"/>
        <v>2.142857143</v>
      </c>
      <c r="E306" s="937" t="str">
        <f>IF(D306&lt;'PlayerGrades+'!$AA$21,"F-",IF(D306&lt;'PlayerGrades+'!$AA$20,"F",IF(D306&lt;'PlayerGrades+'!$AA$19,"F+",IF(D306&lt;'PlayerGrades+'!$AA$18,"E-",IF(D306&lt;'PlayerGrades+'!$AA$17,"E",IF(D306&lt;'PlayerGrades+'!$AA$16,"E+",IF(D306&lt;'PlayerGrades+'!$AA$15,"D-",IF(D306&lt;'PlayerGrades+'!$AA$14,"D",IF(D306&lt;'PlayerGrades+'!$AA$13,"D+",IF(D306&lt;'PlayerGrades+'!$AA$12,"C-",IF(D306&lt;'PlayerGrades+'!$AA$11,"C",IF(D306&lt;'PlayerGrades+'!$AA$10,"C+",IF(D306&lt;'PlayerGrades+'!$AA$9,"B-",IF(D306&lt;'PlayerGrades+'!$AA$8,"B",IF(D306&lt;'PlayerGrades+'!$AA$7,"B+",IF(D306&lt;'PlayerGrades+'!$AA$6,"A-",IF(D306&lt;'PlayerGrades+'!$AA$5,"A",IF(D306&lt;'PlayerGrades+'!$AA$4,"A+",IF(D306&lt;'PlayerGrades+'!$AA$3,"S-",IF(D306&lt;'PlayerGrades+'!$AA$2,"S","S+"))))))))))))))))))))</f>
        <v>S+</v>
      </c>
      <c r="F306" s="937">
        <f t="shared" si="2"/>
        <v>1.8</v>
      </c>
      <c r="G306" s="937" t="str">
        <f>IF(F306&lt;'PlayerGrades+'!$AB$21,"F-",IF(F306&lt;'PlayerGrades+'!$AB$20,"F",IF(F306&lt;'PlayerGrades+'!$AB$19,"F+",IF(F306&lt;'PlayerGrades+'!$AB$18,"E-",IF(F306&lt;'PlayerGrades+'!$AB$17,"E",IF(F306&lt;'PlayerGrades+'!$AB$16,"E+",IF(F306&lt;'PlayerGrades+'!$AB$15,"D-",IF(F306&lt;'PlayerGrades+'!$AB$14,"D",IF(F306&lt;'PlayerGrades+'!$AB$13,"D+",IF(F306&lt;'PlayerGrades+'!$AB$12,"C-",IF(F306&lt;'PlayerGrades+'!$AB$11,"C",IF(F306&lt;'PlayerGrades+'!$AB$10,"C+",IF(F306&lt;'PlayerGrades+'!$AB$9,"B-",IF(F306&lt;'PlayerGrades+'!$AB$8,"B",IF(F306&lt;'PlayerGrades+'!$AB$7,"B+",IF(F306&lt;'PlayerGrades+'!$AB$6,"A-",IF(F306&lt;'PlayerGrades+'!$AB$5,"A",IF(F306&lt;'PlayerGrades+'!$AB$4,"A+",IF(F306&lt;'PlayerGrades+'!$AB$3,"S-",IF(F306&lt;'PlayerGrades+'!$AB$2,"S","S+"))))))))))))))))))))</f>
        <v>S+</v>
      </c>
      <c r="H306" s="937">
        <f t="shared" si="3"/>
        <v>0.08571428571</v>
      </c>
      <c r="I306" s="937" t="str">
        <f>IF(H306&lt;'PlayerGrades+'!$AC$21,"F-",IF(H306&lt;'PlayerGrades+'!$AC$20,"F",IF(H306&lt;'PlayerGrades+'!$AC$19,"F+",IF(H306&lt;'PlayerGrades+'!$AC$18,"E-",IF(H306&lt;'PlayerGrades+'!$AC$17,"E",IF(H306&lt;'PlayerGrades+'!$AC$16,"E+",IF(H306&lt;'PlayerGrades+'!$AC$15,"D-",IF(H306&lt;'PlayerGrades+'!$AC$14,"D",IF(H306&lt;'PlayerGrades+'!$AC$13,"D+",IF(H306&lt;'PlayerGrades+'!$AC$12,"C-",IF(H306&lt;'PlayerGrades+'!$AC$11,"C",IF(H306&lt;'PlayerGrades+'!$AC$10,"C+",IF(H306&lt;'PlayerGrades+'!$AC$9,"B-",IF(H306&lt;'PlayerGrades+'!$AC$8,"B",IF(H306&lt;'PlayerGrades+'!$AC$7,"B+",IF(H306&lt;'PlayerGrades+'!$AC$6,"A-",IF(H306&lt;'PlayerGrades+'!$AC$5,"A",IF(H306&lt;'PlayerGrades+'!$AC$4,"A+",IF(H306&lt;'PlayerGrades+'!$AC$3,"S-",IF(H306&lt;'PlayerGrades+'!$AC$2,"S","S+"))))))))))))))))))))</f>
        <v>D-</v>
      </c>
      <c r="J306" s="937">
        <f t="shared" si="4"/>
        <v>0.1714285714</v>
      </c>
      <c r="K306" s="937" t="str">
        <f>IF(J306&lt;'PlayerGrades+'!$AD$21,"F-",IF(J306&lt;'PlayerGrades+'!$AD$20,"F",IF(J306&lt;'PlayerGrades+'!$AD$19,"F+",IF(J306&lt;'PlayerGrades+'!$AD$18,"E-",IF(J306&lt;'PlayerGrades+'!$AD$17,"E",IF(J306&lt;'PlayerGrades+'!$AD$16,"E+",IF(J306&lt;'PlayerGrades+'!$AD$15,"D-",IF(J306&lt;'PlayerGrades+'!$AD$14,"D",IF(J306&lt;'PlayerGrades+'!$AD$13,"D+",IF(J306&lt;'PlayerGrades+'!$AD$12,"C-",IF(J306&lt;'PlayerGrades+'!$AD$11,"C",IF(J306&lt;'PlayerGrades+'!$AD$10,"C+",IF(J306&lt;'PlayerGrades+'!$AD$9,"B-",IF(J306&lt;'PlayerGrades+'!$AD$8,"B",IF(J306&lt;'PlayerGrades+'!$AD$7,"B+",IF(J306&lt;'PlayerGrades+'!$AD$6,"A-",IF(J306&lt;'PlayerGrades+'!$AD$5,"A",IF(J306&lt;'PlayerGrades+'!$AD$4,"A+",IF(J306&lt;'PlayerGrades+'!$AD$3,"S-",IF(J306&lt;'PlayerGrades+'!$AD$2,"S","S+"))))))))))))))))))))</f>
        <v>S+</v>
      </c>
      <c r="L306" s="677">
        <f t="shared" si="5"/>
        <v>0.5142857143</v>
      </c>
      <c r="M306" s="938" t="str">
        <f>IF(L306&lt;'PlayerGrades+'!$AE$21,"F-",IF(L306&lt;'PlayerGrades+'!$AE$20,"F",IF(L306&lt;'PlayerGrades+'!$AE$19,"F+",IF(L306&lt;'PlayerGrades+'!$AE$18,"E-",IF(L306&lt;'PlayerGrades+'!$AE$17,"E",IF(L306&lt;'PlayerGrades+'!$AE$16,"E+",IF(L306&lt;'PlayerGrades+'!$AE$15,"D-",IF(L306&lt;'PlayerGrades+'!$AE$14,"D",IF(L306&lt;'PlayerGrades+'!$AE$13,"D+",IF(L306&lt;'PlayerGrades+'!$AE$12,"C-",IF(L306&lt;'PlayerGrades+'!$AE$11,"C",IF(L306&lt;'PlayerGrades+'!$AE$10,"C+",IF(L306&lt;'PlayerGrades+'!$AE$9,"B-",IF(L306&lt;'PlayerGrades+'!$AE$8,"B",IF(L306&lt;'PlayerGrades+'!$AE$7,"B+",IF(L306&lt;'PlayerGrades+'!$AE$6,"A-",IF(L306&lt;'PlayerGrades+'!$AE$5,"A",IF(L306&lt;'PlayerGrades+'!$AE$4,"A+",IF(L306&lt;'PlayerGrades+'!$AE$3,"S-",IF(L306&lt;'PlayerGrades+'!$AE$2,"S","S+"))))))))))))))))))))</f>
        <v>A-</v>
      </c>
      <c r="N306" s="937">
        <f t="shared" si="6"/>
        <v>0</v>
      </c>
      <c r="O306" s="937" t="str">
        <f>IF(N306&lt;'PlayerGrades+'!$AF$21,"F-",IF(N306&lt;'PlayerGrades+'!$AF$20,"F",IF(N306&lt;'PlayerGrades+'!$AF$19,"F+",IF(N306&lt;'PlayerGrades+'!$AF$18,"E-",IF(N306&lt;'PlayerGrades+'!$AF$17,"E",IF(N306&lt;'PlayerGrades+'!$AF$16,"E+",IF(N306&lt;'PlayerGrades+'!$AF$15,"D-",IF(N306&lt;'PlayerGrades+'!$AF$14,"D",IF(N306&lt;'PlayerGrades+'!$AF$13,"D+",IF(N306&lt;'PlayerGrades+'!$AF$12,"C-",IF(N306&lt;'PlayerGrades+'!$AF$11,"C",IF(N306&lt;'PlayerGrades+'!$AF$10,"C+",IF(N306&lt;'PlayerGrades+'!$AF$9,"B-",IF(N306&lt;'PlayerGrades+'!$AF$8,"B",IF(N306&lt;'PlayerGrades+'!$AF$7,"B+",IF(N306&lt;'PlayerGrades+'!$AF$6,"A-",IF(N306&lt;'PlayerGrades+'!$AF$5,"A",IF(N306&lt;'PlayerGrades+'!$AF$4,"A+",IF(N306&lt;'PlayerGrades+'!$AF$3,"S-",IF(N306&lt;'PlayerGrades+'!$AF$2,"S","S+"))))))))))))))))))))</f>
        <v>F-</v>
      </c>
      <c r="P306" s="937">
        <f t="shared" si="7"/>
        <v>0</v>
      </c>
      <c r="Q306" s="937" t="str">
        <f>IF(P306&lt;'PlayerGrades+'!$AG$21,"F-",IF(P306&lt;'PlayerGrades+'!$AG$20,"F",IF(P306&lt;'PlayerGrades+'!$AG$19,"F+",IF(P306&lt;'PlayerGrades+'!$AG$18,"E-",IF(P306&lt;'PlayerGrades+'!$AG$17,"E",IF(P306&lt;'PlayerGrades+'!$AG$16,"E+",IF(P306&lt;'PlayerGrades+'!$AG$15,"D-",IF(P306&lt;'PlayerGrades+'!$AG$14,"D",IF(P306&lt;'PlayerGrades+'!$AG$13,"D+",IF(P306&lt;'PlayerGrades+'!$AG$12,"C-",IF(P306&lt;'PlayerGrades+'!$AG$11,"C",IF(P306&lt;'PlayerGrades+'!$AG$10,"C+",IF(P306&lt;'PlayerGrades+'!$AG$9,"B-",IF(P306&lt;'PlayerGrades+'!$AG$8,"B",IF(P306&lt;'PlayerGrades+'!$AG$7,"B+",IF(P306&lt;'PlayerGrades+'!$AG$6,"A-",IF(P306&lt;'PlayerGrades+'!$AG$5,"A",IF(P306&lt;'PlayerGrades+'!$AG$4,"A+",IF(P306&lt;'PlayerGrades+'!$AG$3,"S-",IF(P306&lt;'PlayerGrades+'!$AG$2,"S","S+"))))))))))))))))))))</f>
        <v>F</v>
      </c>
      <c r="R306" s="937">
        <f t="shared" si="8"/>
        <v>0.5142857143</v>
      </c>
      <c r="S306" s="937" t="str">
        <f>IF(R306&lt;'PlayerGrades+'!$AH$21,"F-",IF(R306&lt;'PlayerGrades+'!$AH$20,"F",IF(R306&lt;'PlayerGrades+'!$AH$19,"F+",IF(R306&lt;'PlayerGrades+'!$AH$18,"E-",IF(R306&lt;'PlayerGrades+'!$AH$17,"E",IF(R306&lt;'PlayerGrades+'!$AH$16,"E+",IF(R306&lt;'PlayerGrades+'!$AH$15,"D-",IF(R306&lt;'PlayerGrades+'!$AH$14,"D",IF(R306&lt;'PlayerGrades+'!$AH$13,"D+",IF(R306&lt;'PlayerGrades+'!$AH$12,"C-",IF(R306&lt;'PlayerGrades+'!$AH$11,"C",IF(R306&lt;'PlayerGrades+'!$AH$10,"C+",IF(R306&lt;'PlayerGrades+'!$AH$9,"B-",IF(R306&lt;'PlayerGrades+'!$AH$8,"B",IF(R306&lt;'PlayerGrades+'!$AH$7,"B+",IF(R306&lt;'PlayerGrades+'!$AH$6,"A-",IF(R306&lt;'PlayerGrades+'!$AH$5,"A",IF(R306&lt;'PlayerGrades+'!$AH$4,"A+",IF(R306&lt;'PlayerGrades+'!$AH$3,"S-",IF(R306&lt;'PlayerGrades+'!$AH$2,"S","S+"))))))))))))))))))))</f>
        <v>D</v>
      </c>
      <c r="T306" s="937">
        <f t="shared" si="9"/>
        <v>0.08571428571</v>
      </c>
      <c r="U306" s="937" t="str">
        <f>IF(T306&lt;'PlayerGrades+'!$AI$21,"F-",IF(T306&lt;'PlayerGrades+'!$AI$20,"F",IF(T306&lt;'PlayerGrades+'!$AI$19,"F+",IF(T306&lt;'PlayerGrades+'!$AI$18,"E-",IF(T306&lt;'PlayerGrades+'!$AI$17,"E",IF(T306&lt;'PlayerGrades+'!$AI$16,"E+",IF(T306&lt;'PlayerGrades+'!$AI$15,"D-",IF(T306&lt;'PlayerGrades+'!$AI$14,"D",IF(T306&lt;'PlayerGrades+'!$AI$13,"D+",IF(T306&lt;'PlayerGrades+'!$AI$12,"C-",IF(T306&lt;'PlayerGrades+'!$AI$11,"C",IF(T306&lt;'PlayerGrades+'!$AI$10,"C+",IF(T306&lt;'PlayerGrades+'!$AI$9,"B-",IF(T306&lt;'PlayerGrades+'!$AI$8,"B",IF(T306&lt;'PlayerGrades+'!$AI$7,"B+",IF(T306&lt;'PlayerGrades+'!$AI$6,"A-",IF(T306&lt;'PlayerGrades+'!$AI$5,"A",IF(T306&lt;'PlayerGrades+'!$AI$4,"A+",IF(T306&lt;'PlayerGrades+'!$AI$3,"S-",IF(T306&lt;'PlayerGrades+'!$AI$2,"S","S+"))))))))))))))))))))</f>
        <v>F-</v>
      </c>
      <c r="V306" s="939">
        <v>1.0</v>
      </c>
      <c r="W306" s="939">
        <v>1.0</v>
      </c>
      <c r="X306" s="939">
        <v>0.0</v>
      </c>
      <c r="Y306" s="939">
        <v>3.0</v>
      </c>
      <c r="Z306" s="939">
        <v>22.0</v>
      </c>
      <c r="AA306" s="939">
        <v>33.0</v>
      </c>
      <c r="AB306" s="939">
        <v>12.0</v>
      </c>
      <c r="AC306" s="939">
        <v>21.0</v>
      </c>
      <c r="AD306" s="939">
        <v>0.0</v>
      </c>
      <c r="AE306" s="939">
        <v>10.0</v>
      </c>
      <c r="AF306" s="939">
        <v>0.0</v>
      </c>
      <c r="AG306" s="939">
        <v>595.0</v>
      </c>
      <c r="AH306" s="939">
        <v>700.0</v>
      </c>
      <c r="AI306" s="939">
        <v>49.0</v>
      </c>
      <c r="AJ306" s="939">
        <v>478.0</v>
      </c>
      <c r="AK306" s="939">
        <v>0.0</v>
      </c>
      <c r="AL306" s="939">
        <v>2.0</v>
      </c>
      <c r="AM306" s="939">
        <v>1.0</v>
      </c>
      <c r="AN306" s="939">
        <v>0.0</v>
      </c>
      <c r="AO306" s="939">
        <v>0.0</v>
      </c>
      <c r="AP306" s="939">
        <v>0.0</v>
      </c>
      <c r="AQ306" s="939">
        <v>0.0</v>
      </c>
      <c r="AR306" s="939">
        <v>6.0</v>
      </c>
      <c r="AS306" s="939">
        <v>0.0</v>
      </c>
      <c r="AT306" s="939">
        <v>0.0</v>
      </c>
      <c r="AU306" s="939">
        <v>0.0</v>
      </c>
      <c r="AV306" s="939">
        <v>0.0</v>
      </c>
      <c r="AW306" s="939">
        <v>0.0</v>
      </c>
      <c r="AX306" s="939">
        <v>0.0</v>
      </c>
      <c r="AY306" s="939">
        <v>0.0</v>
      </c>
      <c r="AZ306" s="939">
        <v>0.0</v>
      </c>
      <c r="BA306" s="939">
        <v>0.0</v>
      </c>
      <c r="BB306" s="939">
        <v>1.0</v>
      </c>
      <c r="BC306" s="939">
        <v>0.0</v>
      </c>
      <c r="BD306" s="939">
        <v>6.0</v>
      </c>
      <c r="BE306" s="939">
        <v>1.0</v>
      </c>
      <c r="BF306" s="939">
        <v>0.0</v>
      </c>
      <c r="BG306" s="940">
        <v>1.0</v>
      </c>
    </row>
    <row r="307">
      <c r="A307" s="935" t="s">
        <v>156</v>
      </c>
      <c r="B307" s="16" t="str">
        <f>IF(C307&lt;'PlayerGrades+'!$Y$44,"F-",IF(C307&lt;'PlayerGrades+'!$Y$43,"F",IF(C307&lt;'PlayerGrades+'!$Y$42,"F+",IF(C307&lt;'PlayerGrades+'!$Y$41,"E-",IF(C307&lt;'PlayerGrades+'!$Y$40,"E",IF(C307&lt;'PlayerGrades+'!$Y$39,"E+",IF(C307&lt;'PlayerGrades+'!$Y$38,"D-",IF(C307&lt;'PlayerGrades+'!$Y$37,"D",IF(C307&lt;'PlayerGrades+'!$Y$36,"D+",IF(C307&lt;'PlayerGrades+'!$Y$35,"C-",IF(C307&lt;'PlayerGrades+'!$Y$34,"C",IF(C307&lt;'PlayerGrades+'!$Y$33,"C+",IF(C307&lt;'PlayerGrades+'!$Y$32,"B-",IF(C307&lt;'PlayerGrades+'!$Y$31,"B",IF(C307&lt;'PlayerGrades+'!$Y$30,"B+",IF(C307&lt;'PlayerGrades+'!$Y$29,"A-",IF(C307&lt;'PlayerGrades+'!$Y$28,"A",IF(C307&lt;'PlayerGrades+'!$Y$27,"A+",IF(C307&lt;'PlayerGrades+'!$Y$26,"S-",IF(C307&lt;'PlayerGrades+'!$Y$25,"S","S+"))))))))))))))))))))</f>
        <v>D</v>
      </c>
      <c r="C307" s="936">
        <f>('PlayerGrades+'!$Y$47*(VLOOKUP(E307, 'PlayerGrades+'!$X$3:$Y$23, 2, FALSE)))+('PlayerGrades+'!$Y$48*(VLOOKUP(G307, 'PlayerGrades+'!$X$3:$Y$23, 2, FALSE)))+('PlayerGrades+'!$Y$49*(VLOOKUP(I307, 'PlayerGrades+'!$X$3:$Y$23, 2, FALSE)))+('PlayerGrades+'!$Y$50*(VLOOKUP(K307, 'PlayerGrades+'!$X$3:$Y$23, 2, FALSE)))+('PlayerGrades+'!$Y$51*(VLOOKUP(M307, 'PlayerGrades+'!$X$3:$Y$23, 2, FALSE)))+('PlayerGrades+'!$Y$52*(VLOOKUP(O307, 'PlayerGrades+'!$X$3:$Y$23, 2, FALSE)))+('PlayerGrades+'!$Y$53*(VLOOKUP(Q307, 'PlayerGrades+'!$X$3:$Y$23, 2, FALSE)))+('PlayerGrades+'!$Y$54*(VLOOKUP(S307, 'PlayerGrades+'!$X$3:$Y$23, 2, FALSE)))+('PlayerGrades+'!$Y$55*(VLOOKUP(U307, 'PlayerGrades+'!$X$3:$Y$23, 2, FALSE)))</f>
        <v>17.05</v>
      </c>
      <c r="D307" s="937">
        <f t="shared" si="1"/>
        <v>0.1714285714</v>
      </c>
      <c r="E307" s="937" t="str">
        <f>IF(D307&lt;'PlayerGrades+'!$AA$21,"F-",IF(D307&lt;'PlayerGrades+'!$AA$20,"F",IF(D307&lt;'PlayerGrades+'!$AA$19,"F+",IF(D307&lt;'PlayerGrades+'!$AA$18,"E-",IF(D307&lt;'PlayerGrades+'!$AA$17,"E",IF(D307&lt;'PlayerGrades+'!$AA$16,"E+",IF(D307&lt;'PlayerGrades+'!$AA$15,"D-",IF(D307&lt;'PlayerGrades+'!$AA$14,"D",IF(D307&lt;'PlayerGrades+'!$AA$13,"D+",IF(D307&lt;'PlayerGrades+'!$AA$12,"C-",IF(D307&lt;'PlayerGrades+'!$AA$11,"C",IF(D307&lt;'PlayerGrades+'!$AA$10,"C+",IF(D307&lt;'PlayerGrades+'!$AA$9,"B-",IF(D307&lt;'PlayerGrades+'!$AA$8,"B",IF(D307&lt;'PlayerGrades+'!$AA$7,"B+",IF(D307&lt;'PlayerGrades+'!$AA$6,"A-",IF(D307&lt;'PlayerGrades+'!$AA$5,"A",IF(D307&lt;'PlayerGrades+'!$AA$4,"A+",IF(D307&lt;'PlayerGrades+'!$AA$3,"S-",IF(D307&lt;'PlayerGrades+'!$AA$2,"S","S+"))))))))))))))))))))</f>
        <v>B+</v>
      </c>
      <c r="F307" s="937">
        <f t="shared" si="2"/>
        <v>-0.8571428571</v>
      </c>
      <c r="G307" s="937" t="str">
        <f>IF(F307&lt;'PlayerGrades+'!$AB$21,"F-",IF(F307&lt;'PlayerGrades+'!$AB$20,"F",IF(F307&lt;'PlayerGrades+'!$AB$19,"F+",IF(F307&lt;'PlayerGrades+'!$AB$18,"E-",IF(F307&lt;'PlayerGrades+'!$AB$17,"E",IF(F307&lt;'PlayerGrades+'!$AB$16,"E+",IF(F307&lt;'PlayerGrades+'!$AB$15,"D-",IF(F307&lt;'PlayerGrades+'!$AB$14,"D",IF(F307&lt;'PlayerGrades+'!$AB$13,"D+",IF(F307&lt;'PlayerGrades+'!$AB$12,"C-",IF(F307&lt;'PlayerGrades+'!$AB$11,"C",IF(F307&lt;'PlayerGrades+'!$AB$10,"C+",IF(F307&lt;'PlayerGrades+'!$AB$9,"B-",IF(F307&lt;'PlayerGrades+'!$AB$8,"B",IF(F307&lt;'PlayerGrades+'!$AB$7,"B+",IF(F307&lt;'PlayerGrades+'!$AB$6,"A-",IF(F307&lt;'PlayerGrades+'!$AB$5,"A",IF(F307&lt;'PlayerGrades+'!$AB$4,"A+",IF(F307&lt;'PlayerGrades+'!$AB$3,"S-",IF(F307&lt;'PlayerGrades+'!$AB$2,"S","S+"))))))))))))))))))))</f>
        <v>E</v>
      </c>
      <c r="H307" s="937">
        <f t="shared" si="3"/>
        <v>0.2571428571</v>
      </c>
      <c r="I307" s="937" t="str">
        <f>IF(H307&lt;'PlayerGrades+'!$AC$21,"F-",IF(H307&lt;'PlayerGrades+'!$AC$20,"F",IF(H307&lt;'PlayerGrades+'!$AC$19,"F+",IF(H307&lt;'PlayerGrades+'!$AC$18,"E-",IF(H307&lt;'PlayerGrades+'!$AC$17,"E",IF(H307&lt;'PlayerGrades+'!$AC$16,"E+",IF(H307&lt;'PlayerGrades+'!$AC$15,"D-",IF(H307&lt;'PlayerGrades+'!$AC$14,"D",IF(H307&lt;'PlayerGrades+'!$AC$13,"D+",IF(H307&lt;'PlayerGrades+'!$AC$12,"C-",IF(H307&lt;'PlayerGrades+'!$AC$11,"C",IF(H307&lt;'PlayerGrades+'!$AC$10,"C+",IF(H307&lt;'PlayerGrades+'!$AC$9,"B-",IF(H307&lt;'PlayerGrades+'!$AC$8,"B",IF(H307&lt;'PlayerGrades+'!$AC$7,"B+",IF(H307&lt;'PlayerGrades+'!$AC$6,"A-",IF(H307&lt;'PlayerGrades+'!$AC$5,"A",IF(H307&lt;'PlayerGrades+'!$AC$4,"A+",IF(H307&lt;'PlayerGrades+'!$AC$3,"S-",IF(H307&lt;'PlayerGrades+'!$AC$2,"S","S+"))))))))))))))))))))</f>
        <v>S</v>
      </c>
      <c r="J307" s="937">
        <f t="shared" si="4"/>
        <v>0</v>
      </c>
      <c r="K307" s="937" t="str">
        <f>IF(J307&lt;'PlayerGrades+'!$AD$21,"F-",IF(J307&lt;'PlayerGrades+'!$AD$20,"F",IF(J307&lt;'PlayerGrades+'!$AD$19,"F+",IF(J307&lt;'PlayerGrades+'!$AD$18,"E-",IF(J307&lt;'PlayerGrades+'!$AD$17,"E",IF(J307&lt;'PlayerGrades+'!$AD$16,"E+",IF(J307&lt;'PlayerGrades+'!$AD$15,"D-",IF(J307&lt;'PlayerGrades+'!$AD$14,"D",IF(J307&lt;'PlayerGrades+'!$AD$13,"D+",IF(J307&lt;'PlayerGrades+'!$AD$12,"C-",IF(J307&lt;'PlayerGrades+'!$AD$11,"C",IF(J307&lt;'PlayerGrades+'!$AD$10,"C+",IF(J307&lt;'PlayerGrades+'!$AD$9,"B-",IF(J307&lt;'PlayerGrades+'!$AD$8,"B",IF(J307&lt;'PlayerGrades+'!$AD$7,"B+",IF(J307&lt;'PlayerGrades+'!$AD$6,"A-",IF(J307&lt;'PlayerGrades+'!$AD$5,"A",IF(J307&lt;'PlayerGrades+'!$AD$4,"A+",IF(J307&lt;'PlayerGrades+'!$AD$3,"S-",IF(J307&lt;'PlayerGrades+'!$AD$2,"S","S+"))))))))))))))))))))</f>
        <v>F-</v>
      </c>
      <c r="L307" s="677">
        <f t="shared" si="5"/>
        <v>0.4285714286</v>
      </c>
      <c r="M307" s="938" t="str">
        <f>IF(L307&lt;'PlayerGrades+'!$AE$21,"F-",IF(L307&lt;'PlayerGrades+'!$AE$20,"F",IF(L307&lt;'PlayerGrades+'!$AE$19,"F+",IF(L307&lt;'PlayerGrades+'!$AE$18,"E-",IF(L307&lt;'PlayerGrades+'!$AE$17,"E",IF(L307&lt;'PlayerGrades+'!$AE$16,"E+",IF(L307&lt;'PlayerGrades+'!$AE$15,"D-",IF(L307&lt;'PlayerGrades+'!$AE$14,"D",IF(L307&lt;'PlayerGrades+'!$AE$13,"D+",IF(L307&lt;'PlayerGrades+'!$AE$12,"C-",IF(L307&lt;'PlayerGrades+'!$AE$11,"C",IF(L307&lt;'PlayerGrades+'!$AE$10,"C+",IF(L307&lt;'PlayerGrades+'!$AE$9,"B-",IF(L307&lt;'PlayerGrades+'!$AE$8,"B",IF(L307&lt;'PlayerGrades+'!$AE$7,"B+",IF(L307&lt;'PlayerGrades+'!$AE$6,"A-",IF(L307&lt;'PlayerGrades+'!$AE$5,"A",IF(L307&lt;'PlayerGrades+'!$AE$4,"A+",IF(L307&lt;'PlayerGrades+'!$AE$3,"S-",IF(L307&lt;'PlayerGrades+'!$AE$2,"S","S+"))))))))))))))))))))</f>
        <v>C+</v>
      </c>
      <c r="N307" s="937">
        <f t="shared" si="6"/>
        <v>0</v>
      </c>
      <c r="O307" s="937" t="str">
        <f>IF(N307&lt;'PlayerGrades+'!$AF$21,"F-",IF(N307&lt;'PlayerGrades+'!$AF$20,"F",IF(N307&lt;'PlayerGrades+'!$AF$19,"F+",IF(N307&lt;'PlayerGrades+'!$AF$18,"E-",IF(N307&lt;'PlayerGrades+'!$AF$17,"E",IF(N307&lt;'PlayerGrades+'!$AF$16,"E+",IF(N307&lt;'PlayerGrades+'!$AF$15,"D-",IF(N307&lt;'PlayerGrades+'!$AF$14,"D",IF(N307&lt;'PlayerGrades+'!$AF$13,"D+",IF(N307&lt;'PlayerGrades+'!$AF$12,"C-",IF(N307&lt;'PlayerGrades+'!$AF$11,"C",IF(N307&lt;'PlayerGrades+'!$AF$10,"C+",IF(N307&lt;'PlayerGrades+'!$AF$9,"B-",IF(N307&lt;'PlayerGrades+'!$AF$8,"B",IF(N307&lt;'PlayerGrades+'!$AF$7,"B+",IF(N307&lt;'PlayerGrades+'!$AF$6,"A-",IF(N307&lt;'PlayerGrades+'!$AF$5,"A",IF(N307&lt;'PlayerGrades+'!$AF$4,"A+",IF(N307&lt;'PlayerGrades+'!$AF$3,"S-",IF(N307&lt;'PlayerGrades+'!$AF$2,"S","S+"))))))))))))))))))))</f>
        <v>F-</v>
      </c>
      <c r="P307" s="937">
        <f t="shared" si="7"/>
        <v>0</v>
      </c>
      <c r="Q307" s="937" t="str">
        <f>IF(P307&lt;'PlayerGrades+'!$AG$21,"F-",IF(P307&lt;'PlayerGrades+'!$AG$20,"F",IF(P307&lt;'PlayerGrades+'!$AG$19,"F+",IF(P307&lt;'PlayerGrades+'!$AG$18,"E-",IF(P307&lt;'PlayerGrades+'!$AG$17,"E",IF(P307&lt;'PlayerGrades+'!$AG$16,"E+",IF(P307&lt;'PlayerGrades+'!$AG$15,"D-",IF(P307&lt;'PlayerGrades+'!$AG$14,"D",IF(P307&lt;'PlayerGrades+'!$AG$13,"D+",IF(P307&lt;'PlayerGrades+'!$AG$12,"C-",IF(P307&lt;'PlayerGrades+'!$AG$11,"C",IF(P307&lt;'PlayerGrades+'!$AG$10,"C+",IF(P307&lt;'PlayerGrades+'!$AG$9,"B-",IF(P307&lt;'PlayerGrades+'!$AG$8,"B",IF(P307&lt;'PlayerGrades+'!$AG$7,"B+",IF(P307&lt;'PlayerGrades+'!$AG$6,"A-",IF(P307&lt;'PlayerGrades+'!$AG$5,"A",IF(P307&lt;'PlayerGrades+'!$AG$4,"A+",IF(P307&lt;'PlayerGrades+'!$AG$3,"S-",IF(P307&lt;'PlayerGrades+'!$AG$2,"S","S+"))))))))))))))))))))</f>
        <v>F</v>
      </c>
      <c r="R307" s="937">
        <f t="shared" si="8"/>
        <v>0.6</v>
      </c>
      <c r="S307" s="937" t="str">
        <f>IF(R307&lt;'PlayerGrades+'!$AH$21,"F-",IF(R307&lt;'PlayerGrades+'!$AH$20,"F",IF(R307&lt;'PlayerGrades+'!$AH$19,"F+",IF(R307&lt;'PlayerGrades+'!$AH$18,"E-",IF(R307&lt;'PlayerGrades+'!$AH$17,"E",IF(R307&lt;'PlayerGrades+'!$AH$16,"E+",IF(R307&lt;'PlayerGrades+'!$AH$15,"D-",IF(R307&lt;'PlayerGrades+'!$AH$14,"D",IF(R307&lt;'PlayerGrades+'!$AH$13,"D+",IF(R307&lt;'PlayerGrades+'!$AH$12,"C-",IF(R307&lt;'PlayerGrades+'!$AH$11,"C",IF(R307&lt;'PlayerGrades+'!$AH$10,"C+",IF(R307&lt;'PlayerGrades+'!$AH$9,"B-",IF(R307&lt;'PlayerGrades+'!$AH$8,"B",IF(R307&lt;'PlayerGrades+'!$AH$7,"B+",IF(R307&lt;'PlayerGrades+'!$AH$6,"A-",IF(R307&lt;'PlayerGrades+'!$AH$5,"A",IF(R307&lt;'PlayerGrades+'!$AH$4,"A+",IF(R307&lt;'PlayerGrades+'!$AH$3,"S-",IF(R307&lt;'PlayerGrades+'!$AH$2,"S","S+"))))))))))))))))))))</f>
        <v>A-</v>
      </c>
      <c r="T307" s="937">
        <f t="shared" si="9"/>
        <v>0.4285714286</v>
      </c>
      <c r="U307" s="937" t="str">
        <f>IF(T307&lt;'PlayerGrades+'!$AI$21,"F-",IF(T307&lt;'PlayerGrades+'!$AI$20,"F",IF(T307&lt;'PlayerGrades+'!$AI$19,"F+",IF(T307&lt;'PlayerGrades+'!$AI$18,"E-",IF(T307&lt;'PlayerGrades+'!$AI$17,"E",IF(T307&lt;'PlayerGrades+'!$AI$16,"E+",IF(T307&lt;'PlayerGrades+'!$AI$15,"D-",IF(T307&lt;'PlayerGrades+'!$AI$14,"D",IF(T307&lt;'PlayerGrades+'!$AI$13,"D+",IF(T307&lt;'PlayerGrades+'!$AI$12,"C-",IF(T307&lt;'PlayerGrades+'!$AI$11,"C",IF(T307&lt;'PlayerGrades+'!$AI$10,"C+",IF(T307&lt;'PlayerGrades+'!$AI$9,"B-",IF(T307&lt;'PlayerGrades+'!$AI$8,"B",IF(T307&lt;'PlayerGrades+'!$AI$7,"B+",IF(T307&lt;'PlayerGrades+'!$AI$6,"A-",IF(T307&lt;'PlayerGrades+'!$AI$5,"A",IF(T307&lt;'PlayerGrades+'!$AI$4,"A+",IF(T307&lt;'PlayerGrades+'!$AI$3,"S-",IF(T307&lt;'PlayerGrades+'!$AI$2,"S","S+"))))))))))))))))))))</f>
        <v>F-</v>
      </c>
      <c r="V307" s="941">
        <v>1.0</v>
      </c>
      <c r="W307" s="941">
        <v>1.0</v>
      </c>
      <c r="X307" s="941">
        <v>0.0</v>
      </c>
      <c r="Y307" s="941">
        <v>2.0</v>
      </c>
      <c r="Z307" s="941">
        <v>0.0</v>
      </c>
      <c r="AA307" s="941">
        <v>32.0</v>
      </c>
      <c r="AB307" s="941">
        <v>42.0</v>
      </c>
      <c r="AC307" s="941">
        <v>-10.0</v>
      </c>
      <c r="AD307" s="941">
        <v>5.0</v>
      </c>
      <c r="AE307" s="941">
        <v>3.0</v>
      </c>
      <c r="AF307" s="941">
        <v>0.0</v>
      </c>
      <c r="AG307" s="941">
        <v>502.0</v>
      </c>
      <c r="AH307" s="941">
        <v>700.0</v>
      </c>
      <c r="AI307" s="941">
        <v>11.0</v>
      </c>
      <c r="AJ307" s="941">
        <v>6.0</v>
      </c>
      <c r="AK307" s="941">
        <v>0.0</v>
      </c>
      <c r="AL307" s="941">
        <v>0.0</v>
      </c>
      <c r="AM307" s="941">
        <v>0.0</v>
      </c>
      <c r="AN307" s="941">
        <v>0.0</v>
      </c>
      <c r="AO307" s="941">
        <v>0.0</v>
      </c>
      <c r="AP307" s="941">
        <v>0.0</v>
      </c>
      <c r="AQ307" s="941">
        <v>0.0</v>
      </c>
      <c r="AR307" s="941">
        <v>5.0</v>
      </c>
      <c r="AS307" s="941">
        <v>0.0</v>
      </c>
      <c r="AT307" s="941">
        <v>0.0</v>
      </c>
      <c r="AU307" s="941">
        <v>0.0</v>
      </c>
      <c r="AV307" s="941">
        <v>0.0</v>
      </c>
      <c r="AW307" s="941">
        <v>0.0</v>
      </c>
      <c r="AX307" s="941">
        <v>0.0</v>
      </c>
      <c r="AY307" s="941">
        <v>0.0</v>
      </c>
      <c r="AZ307" s="941">
        <v>0.0</v>
      </c>
      <c r="BA307" s="941">
        <v>0.0</v>
      </c>
      <c r="BB307" s="941">
        <v>3.0</v>
      </c>
      <c r="BC307" s="941">
        <v>0.0</v>
      </c>
      <c r="BD307" s="941">
        <v>2.0</v>
      </c>
      <c r="BE307" s="941">
        <v>5.0</v>
      </c>
      <c r="BF307" s="941">
        <v>0.0</v>
      </c>
      <c r="BG307" s="942">
        <v>1.0</v>
      </c>
    </row>
    <row r="308">
      <c r="A308" s="935" t="s">
        <v>145</v>
      </c>
      <c r="B308" s="16" t="str">
        <f>IF(C308&lt;'PlayerGrades+'!$Y$44,"F-",IF(C308&lt;'PlayerGrades+'!$Y$43,"F",IF(C308&lt;'PlayerGrades+'!$Y$42,"F+",IF(C308&lt;'PlayerGrades+'!$Y$41,"E-",IF(C308&lt;'PlayerGrades+'!$Y$40,"E",IF(C308&lt;'PlayerGrades+'!$Y$39,"E+",IF(C308&lt;'PlayerGrades+'!$Y$38,"D-",IF(C308&lt;'PlayerGrades+'!$Y$37,"D",IF(C308&lt;'PlayerGrades+'!$Y$36,"D+",IF(C308&lt;'PlayerGrades+'!$Y$35,"C-",IF(C308&lt;'PlayerGrades+'!$Y$34,"C",IF(C308&lt;'PlayerGrades+'!$Y$33,"C+",IF(C308&lt;'PlayerGrades+'!$Y$32,"B-",IF(C308&lt;'PlayerGrades+'!$Y$31,"B",IF(C308&lt;'PlayerGrades+'!$Y$30,"B+",IF(C308&lt;'PlayerGrades+'!$Y$29,"A-",IF(C308&lt;'PlayerGrades+'!$Y$28,"A",IF(C308&lt;'PlayerGrades+'!$Y$27,"A+",IF(C308&lt;'PlayerGrades+'!$Y$26,"S-",IF(C308&lt;'PlayerGrades+'!$Y$25,"S","S+"))))))))))))))))))))</f>
        <v>S-</v>
      </c>
      <c r="C308" s="936">
        <f>('PlayerGrades+'!$Y$47*(VLOOKUP(E308, 'PlayerGrades+'!$X$3:$Y$23, 2, FALSE)))+('PlayerGrades+'!$Y$48*(VLOOKUP(G308, 'PlayerGrades+'!$X$3:$Y$23, 2, FALSE)))+('PlayerGrades+'!$Y$49*(VLOOKUP(I308, 'PlayerGrades+'!$X$3:$Y$23, 2, FALSE)))+('PlayerGrades+'!$Y$50*(VLOOKUP(K308, 'PlayerGrades+'!$X$3:$Y$23, 2, FALSE)))+('PlayerGrades+'!$Y$51*(VLOOKUP(M308, 'PlayerGrades+'!$X$3:$Y$23, 2, FALSE)))+('PlayerGrades+'!$Y$52*(VLOOKUP(O308, 'PlayerGrades+'!$X$3:$Y$23, 2, FALSE)))+('PlayerGrades+'!$Y$53*(VLOOKUP(Q308, 'PlayerGrades+'!$X$3:$Y$23, 2, FALSE)))+('PlayerGrades+'!$Y$54*(VLOOKUP(S308, 'PlayerGrades+'!$X$3:$Y$23, 2, FALSE)))+('PlayerGrades+'!$Y$55*(VLOOKUP(U308, 'PlayerGrades+'!$X$3:$Y$23, 2, FALSE)))</f>
        <v>31.1</v>
      </c>
      <c r="D308" s="937">
        <f t="shared" si="1"/>
        <v>0</v>
      </c>
      <c r="E308" s="937" t="str">
        <f>IF(D308&lt;'PlayerGrades+'!$AA$21,"F-",IF(D308&lt;'PlayerGrades+'!$AA$20,"F",IF(D308&lt;'PlayerGrades+'!$AA$19,"F+",IF(D308&lt;'PlayerGrades+'!$AA$18,"E-",IF(D308&lt;'PlayerGrades+'!$AA$17,"E",IF(D308&lt;'PlayerGrades+'!$AA$16,"E+",IF(D308&lt;'PlayerGrades+'!$AA$15,"D-",IF(D308&lt;'PlayerGrades+'!$AA$14,"D",IF(D308&lt;'PlayerGrades+'!$AA$13,"D+",IF(D308&lt;'PlayerGrades+'!$AA$12,"C-",IF(D308&lt;'PlayerGrades+'!$AA$11,"C",IF(D308&lt;'PlayerGrades+'!$AA$10,"C+",IF(D308&lt;'PlayerGrades+'!$AA$9,"B-",IF(D308&lt;'PlayerGrades+'!$AA$8,"B",IF(D308&lt;'PlayerGrades+'!$AA$7,"B+",IF(D308&lt;'PlayerGrades+'!$AA$6,"A-",IF(D308&lt;'PlayerGrades+'!$AA$5,"A",IF(D308&lt;'PlayerGrades+'!$AA$4,"A+",IF(D308&lt;'PlayerGrades+'!$AA$3,"S-",IF(D308&lt;'PlayerGrades+'!$AA$2,"S","S+"))))))))))))))))))))</f>
        <v>F-</v>
      </c>
      <c r="F308" s="937">
        <f t="shared" si="2"/>
        <v>1.2</v>
      </c>
      <c r="G308" s="937" t="str">
        <f>IF(F308&lt;'PlayerGrades+'!$AB$21,"F-",IF(F308&lt;'PlayerGrades+'!$AB$20,"F",IF(F308&lt;'PlayerGrades+'!$AB$19,"F+",IF(F308&lt;'PlayerGrades+'!$AB$18,"E-",IF(F308&lt;'PlayerGrades+'!$AB$17,"E",IF(F308&lt;'PlayerGrades+'!$AB$16,"E+",IF(F308&lt;'PlayerGrades+'!$AB$15,"D-",IF(F308&lt;'PlayerGrades+'!$AB$14,"D",IF(F308&lt;'PlayerGrades+'!$AB$13,"D+",IF(F308&lt;'PlayerGrades+'!$AB$12,"C-",IF(F308&lt;'PlayerGrades+'!$AB$11,"C",IF(F308&lt;'PlayerGrades+'!$AB$10,"C+",IF(F308&lt;'PlayerGrades+'!$AB$9,"B-",IF(F308&lt;'PlayerGrades+'!$AB$8,"B",IF(F308&lt;'PlayerGrades+'!$AB$7,"B+",IF(F308&lt;'PlayerGrades+'!$AB$6,"A-",IF(F308&lt;'PlayerGrades+'!$AB$5,"A",IF(F308&lt;'PlayerGrades+'!$AB$4,"A+",IF(F308&lt;'PlayerGrades+'!$AB$3,"S-",IF(F308&lt;'PlayerGrades+'!$AB$2,"S","S+"))))))))))))))))))))</f>
        <v>S+</v>
      </c>
      <c r="H308" s="937">
        <f t="shared" si="3"/>
        <v>0.6</v>
      </c>
      <c r="I308" s="937" t="str">
        <f>IF(H308&lt;'PlayerGrades+'!$AC$21,"F-",IF(H308&lt;'PlayerGrades+'!$AC$20,"F",IF(H308&lt;'PlayerGrades+'!$AC$19,"F+",IF(H308&lt;'PlayerGrades+'!$AC$18,"E-",IF(H308&lt;'PlayerGrades+'!$AC$17,"E",IF(H308&lt;'PlayerGrades+'!$AC$16,"E+",IF(H308&lt;'PlayerGrades+'!$AC$15,"D-",IF(H308&lt;'PlayerGrades+'!$AC$14,"D",IF(H308&lt;'PlayerGrades+'!$AC$13,"D+",IF(H308&lt;'PlayerGrades+'!$AC$12,"C-",IF(H308&lt;'PlayerGrades+'!$AC$11,"C",IF(H308&lt;'PlayerGrades+'!$AC$10,"C+",IF(H308&lt;'PlayerGrades+'!$AC$9,"B-",IF(H308&lt;'PlayerGrades+'!$AC$8,"B",IF(H308&lt;'PlayerGrades+'!$AC$7,"B+",IF(H308&lt;'PlayerGrades+'!$AC$6,"A-",IF(H308&lt;'PlayerGrades+'!$AC$5,"A",IF(H308&lt;'PlayerGrades+'!$AC$4,"A+",IF(H308&lt;'PlayerGrades+'!$AC$3,"S-",IF(H308&lt;'PlayerGrades+'!$AC$2,"S","S+"))))))))))))))))))))</f>
        <v>S+</v>
      </c>
      <c r="J308" s="937">
        <f t="shared" si="4"/>
        <v>0.08571428571</v>
      </c>
      <c r="K308" s="937" t="str">
        <f>IF(J308&lt;'PlayerGrades+'!$AD$21,"F-",IF(J308&lt;'PlayerGrades+'!$AD$20,"F",IF(J308&lt;'PlayerGrades+'!$AD$19,"F+",IF(J308&lt;'PlayerGrades+'!$AD$18,"E-",IF(J308&lt;'PlayerGrades+'!$AD$17,"E",IF(J308&lt;'PlayerGrades+'!$AD$16,"E+",IF(J308&lt;'PlayerGrades+'!$AD$15,"D-",IF(J308&lt;'PlayerGrades+'!$AD$14,"D",IF(J308&lt;'PlayerGrades+'!$AD$13,"D+",IF(J308&lt;'PlayerGrades+'!$AD$12,"C-",IF(J308&lt;'PlayerGrades+'!$AD$11,"C",IF(J308&lt;'PlayerGrades+'!$AD$10,"C+",IF(J308&lt;'PlayerGrades+'!$AD$9,"B-",IF(J308&lt;'PlayerGrades+'!$AD$8,"B",IF(J308&lt;'PlayerGrades+'!$AD$7,"B+",IF(J308&lt;'PlayerGrades+'!$AD$6,"A-",IF(J308&lt;'PlayerGrades+'!$AD$5,"A",IF(J308&lt;'PlayerGrades+'!$AD$4,"A+",IF(J308&lt;'PlayerGrades+'!$AD$3,"S-",IF(J308&lt;'PlayerGrades+'!$AD$2,"S","S+"))))))))))))))))))))</f>
        <v>S-</v>
      </c>
      <c r="L308" s="677">
        <f t="shared" si="5"/>
        <v>1.028571429</v>
      </c>
      <c r="M308" s="938" t="str">
        <f>IF(L308&lt;'PlayerGrades+'!$AE$21,"F-",IF(L308&lt;'PlayerGrades+'!$AE$20,"F",IF(L308&lt;'PlayerGrades+'!$AE$19,"F+",IF(L308&lt;'PlayerGrades+'!$AE$18,"E-",IF(L308&lt;'PlayerGrades+'!$AE$17,"E",IF(L308&lt;'PlayerGrades+'!$AE$16,"E+",IF(L308&lt;'PlayerGrades+'!$AE$15,"D-",IF(L308&lt;'PlayerGrades+'!$AE$14,"D",IF(L308&lt;'PlayerGrades+'!$AE$13,"D+",IF(L308&lt;'PlayerGrades+'!$AE$12,"C-",IF(L308&lt;'PlayerGrades+'!$AE$11,"C",IF(L308&lt;'PlayerGrades+'!$AE$10,"C+",IF(L308&lt;'PlayerGrades+'!$AE$9,"B-",IF(L308&lt;'PlayerGrades+'!$AE$8,"B",IF(L308&lt;'PlayerGrades+'!$AE$7,"B+",IF(L308&lt;'PlayerGrades+'!$AE$6,"A-",IF(L308&lt;'PlayerGrades+'!$AE$5,"A",IF(L308&lt;'PlayerGrades+'!$AE$4,"A+",IF(L308&lt;'PlayerGrades+'!$AE$3,"S-",IF(L308&lt;'PlayerGrades+'!$AE$2,"S","S+"))))))))))))))))))))</f>
        <v>S+</v>
      </c>
      <c r="N308" s="937">
        <f t="shared" si="6"/>
        <v>0.3428571429</v>
      </c>
      <c r="O308" s="937" t="str">
        <f>IF(N308&lt;'PlayerGrades+'!$AF$21,"F-",IF(N308&lt;'PlayerGrades+'!$AF$20,"F",IF(N308&lt;'PlayerGrades+'!$AF$19,"F+",IF(N308&lt;'PlayerGrades+'!$AF$18,"E-",IF(N308&lt;'PlayerGrades+'!$AF$17,"E",IF(N308&lt;'PlayerGrades+'!$AF$16,"E+",IF(N308&lt;'PlayerGrades+'!$AF$15,"D-",IF(N308&lt;'PlayerGrades+'!$AF$14,"D",IF(N308&lt;'PlayerGrades+'!$AF$13,"D+",IF(N308&lt;'PlayerGrades+'!$AF$12,"C-",IF(N308&lt;'PlayerGrades+'!$AF$11,"C",IF(N308&lt;'PlayerGrades+'!$AF$10,"C+",IF(N308&lt;'PlayerGrades+'!$AF$9,"B-",IF(N308&lt;'PlayerGrades+'!$AF$8,"B",IF(N308&lt;'PlayerGrades+'!$AF$7,"B+",IF(N308&lt;'PlayerGrades+'!$AF$6,"A-",IF(N308&lt;'PlayerGrades+'!$AF$5,"A",IF(N308&lt;'PlayerGrades+'!$AF$4,"A+",IF(N308&lt;'PlayerGrades+'!$AF$3,"S-",IF(N308&lt;'PlayerGrades+'!$AF$2,"S","S+"))))))))))))))))))))</f>
        <v>S+</v>
      </c>
      <c r="P308" s="937">
        <f t="shared" si="7"/>
        <v>0.08571428571</v>
      </c>
      <c r="Q308" s="937" t="str">
        <f>IF(P308&lt;'PlayerGrades+'!$AG$21,"F-",IF(P308&lt;'PlayerGrades+'!$AG$20,"F",IF(P308&lt;'PlayerGrades+'!$AG$19,"F+",IF(P308&lt;'PlayerGrades+'!$AG$18,"E-",IF(P308&lt;'PlayerGrades+'!$AG$17,"E",IF(P308&lt;'PlayerGrades+'!$AG$16,"E+",IF(P308&lt;'PlayerGrades+'!$AG$15,"D-",IF(P308&lt;'PlayerGrades+'!$AG$14,"D",IF(P308&lt;'PlayerGrades+'!$AG$13,"D+",IF(P308&lt;'PlayerGrades+'!$AG$12,"C-",IF(P308&lt;'PlayerGrades+'!$AG$11,"C",IF(P308&lt;'PlayerGrades+'!$AG$10,"C+",IF(P308&lt;'PlayerGrades+'!$AG$9,"B-",IF(P308&lt;'PlayerGrades+'!$AG$8,"B",IF(P308&lt;'PlayerGrades+'!$AG$7,"B+",IF(P308&lt;'PlayerGrades+'!$AG$6,"A-",IF(P308&lt;'PlayerGrades+'!$AG$5,"A",IF(P308&lt;'PlayerGrades+'!$AG$4,"A+",IF(P308&lt;'PlayerGrades+'!$AG$3,"S-",IF(P308&lt;'PlayerGrades+'!$AG$2,"S","S+"))))))))))))))))))))</f>
        <v>S</v>
      </c>
      <c r="R308" s="937">
        <f t="shared" si="8"/>
        <v>1.2</v>
      </c>
      <c r="S308" s="937" t="str">
        <f>IF(R308&lt;'PlayerGrades+'!$AH$21,"F-",IF(R308&lt;'PlayerGrades+'!$AH$20,"F",IF(R308&lt;'PlayerGrades+'!$AH$19,"F+",IF(R308&lt;'PlayerGrades+'!$AH$18,"E-",IF(R308&lt;'PlayerGrades+'!$AH$17,"E",IF(R308&lt;'PlayerGrades+'!$AH$16,"E+",IF(R308&lt;'PlayerGrades+'!$AH$15,"D-",IF(R308&lt;'PlayerGrades+'!$AH$14,"D",IF(R308&lt;'PlayerGrades+'!$AH$13,"D+",IF(R308&lt;'PlayerGrades+'!$AH$12,"C-",IF(R308&lt;'PlayerGrades+'!$AH$11,"C",IF(R308&lt;'PlayerGrades+'!$AH$10,"C+",IF(R308&lt;'PlayerGrades+'!$AH$9,"B-",IF(R308&lt;'PlayerGrades+'!$AH$8,"B",IF(R308&lt;'PlayerGrades+'!$AH$7,"B+",IF(R308&lt;'PlayerGrades+'!$AH$6,"A-",IF(R308&lt;'PlayerGrades+'!$AH$5,"A",IF(R308&lt;'PlayerGrades+'!$AH$4,"A+",IF(R308&lt;'PlayerGrades+'!$AH$3,"S-",IF(R308&lt;'PlayerGrades+'!$AH$2,"S","S+"))))))))))))))))))))</f>
        <v>S+</v>
      </c>
      <c r="T308" s="937">
        <f t="shared" si="9"/>
        <v>0.6857142857</v>
      </c>
      <c r="U308" s="937" t="str">
        <f>IF(T308&lt;'PlayerGrades+'!$AI$21,"F-",IF(T308&lt;'PlayerGrades+'!$AI$20,"F",IF(T308&lt;'PlayerGrades+'!$AI$19,"F+",IF(T308&lt;'PlayerGrades+'!$AI$18,"E-",IF(T308&lt;'PlayerGrades+'!$AI$17,"E",IF(T308&lt;'PlayerGrades+'!$AI$16,"E+",IF(T308&lt;'PlayerGrades+'!$AI$15,"D-",IF(T308&lt;'PlayerGrades+'!$AI$14,"D",IF(T308&lt;'PlayerGrades+'!$AI$13,"D+",IF(T308&lt;'PlayerGrades+'!$AI$12,"C-",IF(T308&lt;'PlayerGrades+'!$AI$11,"C",IF(T308&lt;'PlayerGrades+'!$AI$10,"C+",IF(T308&lt;'PlayerGrades+'!$AI$9,"B-",IF(T308&lt;'PlayerGrades+'!$AI$8,"B",IF(T308&lt;'PlayerGrades+'!$AI$7,"B+",IF(T308&lt;'PlayerGrades+'!$AI$6,"A-",IF(T308&lt;'PlayerGrades+'!$AI$5,"A",IF(T308&lt;'PlayerGrades+'!$AI$4,"A+",IF(T308&lt;'PlayerGrades+'!$AI$3,"S-",IF(T308&lt;'PlayerGrades+'!$AI$2,"S","S+"))))))))))))))))))))</f>
        <v>F-</v>
      </c>
      <c r="V308" s="941">
        <v>1.0</v>
      </c>
      <c r="W308" s="941">
        <v>1.0</v>
      </c>
      <c r="X308" s="941">
        <v>0.0</v>
      </c>
      <c r="Y308" s="941">
        <v>0.0</v>
      </c>
      <c r="Z308" s="941">
        <v>0.0</v>
      </c>
      <c r="AA308" s="941">
        <v>55.0</v>
      </c>
      <c r="AB308" s="941">
        <v>41.0</v>
      </c>
      <c r="AC308" s="941">
        <v>14.0</v>
      </c>
      <c r="AD308" s="941">
        <v>7.0</v>
      </c>
      <c r="AE308" s="941">
        <v>5.0</v>
      </c>
      <c r="AF308" s="941">
        <v>0.0</v>
      </c>
      <c r="AG308" s="941">
        <v>508.0</v>
      </c>
      <c r="AH308" s="941">
        <v>700.0</v>
      </c>
      <c r="AI308" s="941">
        <v>12.0</v>
      </c>
      <c r="AJ308" s="941">
        <v>0.0</v>
      </c>
      <c r="AK308" s="941">
        <v>0.0</v>
      </c>
      <c r="AL308" s="941">
        <v>1.0</v>
      </c>
      <c r="AM308" s="941">
        <v>0.0</v>
      </c>
      <c r="AN308" s="941">
        <v>0.0</v>
      </c>
      <c r="AO308" s="941">
        <v>0.0</v>
      </c>
      <c r="AP308" s="941">
        <v>1.0</v>
      </c>
      <c r="AQ308" s="941">
        <v>0.0</v>
      </c>
      <c r="AR308" s="941">
        <v>12.0</v>
      </c>
      <c r="AS308" s="941">
        <v>4.0</v>
      </c>
      <c r="AT308" s="941">
        <v>1.0</v>
      </c>
      <c r="AU308" s="941">
        <v>0.0</v>
      </c>
      <c r="AV308" s="941">
        <v>0.0</v>
      </c>
      <c r="AW308" s="941">
        <v>0.0</v>
      </c>
      <c r="AX308" s="941">
        <v>0.0</v>
      </c>
      <c r="AY308" s="941">
        <v>0.0</v>
      </c>
      <c r="AZ308" s="941">
        <v>0.0</v>
      </c>
      <c r="BA308" s="941">
        <v>0.0</v>
      </c>
      <c r="BB308" s="941">
        <v>7.0</v>
      </c>
      <c r="BC308" s="941">
        <v>0.0</v>
      </c>
      <c r="BD308" s="941">
        <v>7.0</v>
      </c>
      <c r="BE308" s="941">
        <v>8.0</v>
      </c>
      <c r="BF308" s="941">
        <v>0.0</v>
      </c>
      <c r="BG308" s="942">
        <v>1.0</v>
      </c>
    </row>
    <row r="309">
      <c r="A309" s="935" t="s">
        <v>138</v>
      </c>
      <c r="B309" s="16" t="str">
        <f>IF(C309&lt;'PlayerGrades+'!$Y$44,"F-",IF(C309&lt;'PlayerGrades+'!$Y$43,"F",IF(C309&lt;'PlayerGrades+'!$Y$42,"F+",IF(C309&lt;'PlayerGrades+'!$Y$41,"E-",IF(C309&lt;'PlayerGrades+'!$Y$40,"E",IF(C309&lt;'PlayerGrades+'!$Y$39,"E+",IF(C309&lt;'PlayerGrades+'!$Y$38,"D-",IF(C309&lt;'PlayerGrades+'!$Y$37,"D",IF(C309&lt;'PlayerGrades+'!$Y$36,"D+",IF(C309&lt;'PlayerGrades+'!$Y$35,"C-",IF(C309&lt;'PlayerGrades+'!$Y$34,"C",IF(C309&lt;'PlayerGrades+'!$Y$33,"C+",IF(C309&lt;'PlayerGrades+'!$Y$32,"B-",IF(C309&lt;'PlayerGrades+'!$Y$31,"B",IF(C309&lt;'PlayerGrades+'!$Y$30,"B+",IF(C309&lt;'PlayerGrades+'!$Y$29,"A-",IF(C309&lt;'PlayerGrades+'!$Y$28,"A",IF(C309&lt;'PlayerGrades+'!$Y$27,"A+",IF(C309&lt;'PlayerGrades+'!$Y$26,"S-",IF(C309&lt;'PlayerGrades+'!$Y$25,"S","S+"))))))))))))))))))))</f>
        <v>A</v>
      </c>
      <c r="C309" s="936">
        <f>('PlayerGrades+'!$Y$47*(VLOOKUP(E309, 'PlayerGrades+'!$X$3:$Y$23, 2, FALSE)))+('PlayerGrades+'!$Y$48*(VLOOKUP(G309, 'PlayerGrades+'!$X$3:$Y$23, 2, FALSE)))+('PlayerGrades+'!$Y$49*(VLOOKUP(I309, 'PlayerGrades+'!$X$3:$Y$23, 2, FALSE)))+('PlayerGrades+'!$Y$50*(VLOOKUP(K309, 'PlayerGrades+'!$X$3:$Y$23, 2, FALSE)))+('PlayerGrades+'!$Y$51*(VLOOKUP(M309, 'PlayerGrades+'!$X$3:$Y$23, 2, FALSE)))+('PlayerGrades+'!$Y$52*(VLOOKUP(O309, 'PlayerGrades+'!$X$3:$Y$23, 2, FALSE)))+('PlayerGrades+'!$Y$53*(VLOOKUP(Q309, 'PlayerGrades+'!$X$3:$Y$23, 2, FALSE)))+('PlayerGrades+'!$Y$54*(VLOOKUP(S309, 'PlayerGrades+'!$X$3:$Y$23, 2, FALSE)))+('PlayerGrades+'!$Y$55*(VLOOKUP(U309, 'PlayerGrades+'!$X$3:$Y$23, 2, FALSE)))</f>
        <v>26.35</v>
      </c>
      <c r="D309" s="937">
        <f t="shared" si="1"/>
        <v>0</v>
      </c>
      <c r="E309" s="937" t="str">
        <f>IF(D309&lt;'PlayerGrades+'!$AA$21,"F-",IF(D309&lt;'PlayerGrades+'!$AA$20,"F",IF(D309&lt;'PlayerGrades+'!$AA$19,"F+",IF(D309&lt;'PlayerGrades+'!$AA$18,"E-",IF(D309&lt;'PlayerGrades+'!$AA$17,"E",IF(D309&lt;'PlayerGrades+'!$AA$16,"E+",IF(D309&lt;'PlayerGrades+'!$AA$15,"D-",IF(D309&lt;'PlayerGrades+'!$AA$14,"D",IF(D309&lt;'PlayerGrades+'!$AA$13,"D+",IF(D309&lt;'PlayerGrades+'!$AA$12,"C-",IF(D309&lt;'PlayerGrades+'!$AA$11,"C",IF(D309&lt;'PlayerGrades+'!$AA$10,"C+",IF(D309&lt;'PlayerGrades+'!$AA$9,"B-",IF(D309&lt;'PlayerGrades+'!$AA$8,"B",IF(D309&lt;'PlayerGrades+'!$AA$7,"B+",IF(D309&lt;'PlayerGrades+'!$AA$6,"A-",IF(D309&lt;'PlayerGrades+'!$AA$5,"A",IF(D309&lt;'PlayerGrades+'!$AA$4,"A+",IF(D309&lt;'PlayerGrades+'!$AA$3,"S-",IF(D309&lt;'PlayerGrades+'!$AA$2,"S","S+"))))))))))))))))))))</f>
        <v>F-</v>
      </c>
      <c r="F309" s="937">
        <f t="shared" si="2"/>
        <v>1.8</v>
      </c>
      <c r="G309" s="937" t="str">
        <f>IF(F309&lt;'PlayerGrades+'!$AB$21,"F-",IF(F309&lt;'PlayerGrades+'!$AB$20,"F",IF(F309&lt;'PlayerGrades+'!$AB$19,"F+",IF(F309&lt;'PlayerGrades+'!$AB$18,"E-",IF(F309&lt;'PlayerGrades+'!$AB$17,"E",IF(F309&lt;'PlayerGrades+'!$AB$16,"E+",IF(F309&lt;'PlayerGrades+'!$AB$15,"D-",IF(F309&lt;'PlayerGrades+'!$AB$14,"D",IF(F309&lt;'PlayerGrades+'!$AB$13,"D+",IF(F309&lt;'PlayerGrades+'!$AB$12,"C-",IF(F309&lt;'PlayerGrades+'!$AB$11,"C",IF(F309&lt;'PlayerGrades+'!$AB$10,"C+",IF(F309&lt;'PlayerGrades+'!$AB$9,"B-",IF(F309&lt;'PlayerGrades+'!$AB$8,"B",IF(F309&lt;'PlayerGrades+'!$AB$7,"B+",IF(F309&lt;'PlayerGrades+'!$AB$6,"A-",IF(F309&lt;'PlayerGrades+'!$AB$5,"A",IF(F309&lt;'PlayerGrades+'!$AB$4,"A+",IF(F309&lt;'PlayerGrades+'!$AB$3,"S-",IF(F309&lt;'PlayerGrades+'!$AB$2,"S","S+"))))))))))))))))))))</f>
        <v>S+</v>
      </c>
      <c r="H309" s="937">
        <f t="shared" si="3"/>
        <v>0.2571428571</v>
      </c>
      <c r="I309" s="937" t="str">
        <f>IF(H309&lt;'PlayerGrades+'!$AC$21,"F-",IF(H309&lt;'PlayerGrades+'!$AC$20,"F",IF(H309&lt;'PlayerGrades+'!$AC$19,"F+",IF(H309&lt;'PlayerGrades+'!$AC$18,"E-",IF(H309&lt;'PlayerGrades+'!$AC$17,"E",IF(H309&lt;'PlayerGrades+'!$AC$16,"E+",IF(H309&lt;'PlayerGrades+'!$AC$15,"D-",IF(H309&lt;'PlayerGrades+'!$AC$14,"D",IF(H309&lt;'PlayerGrades+'!$AC$13,"D+",IF(H309&lt;'PlayerGrades+'!$AC$12,"C-",IF(H309&lt;'PlayerGrades+'!$AC$11,"C",IF(H309&lt;'PlayerGrades+'!$AC$10,"C+",IF(H309&lt;'PlayerGrades+'!$AC$9,"B-",IF(H309&lt;'PlayerGrades+'!$AC$8,"B",IF(H309&lt;'PlayerGrades+'!$AC$7,"B+",IF(H309&lt;'PlayerGrades+'!$AC$6,"A-",IF(H309&lt;'PlayerGrades+'!$AC$5,"A",IF(H309&lt;'PlayerGrades+'!$AC$4,"A+",IF(H309&lt;'PlayerGrades+'!$AC$3,"S-",IF(H309&lt;'PlayerGrades+'!$AC$2,"S","S+"))))))))))))))))))))</f>
        <v>S</v>
      </c>
      <c r="J309" s="937">
        <f t="shared" si="4"/>
        <v>0.08571428571</v>
      </c>
      <c r="K309" s="937" t="str">
        <f>IF(J309&lt;'PlayerGrades+'!$AD$21,"F-",IF(J309&lt;'PlayerGrades+'!$AD$20,"F",IF(J309&lt;'PlayerGrades+'!$AD$19,"F+",IF(J309&lt;'PlayerGrades+'!$AD$18,"E-",IF(J309&lt;'PlayerGrades+'!$AD$17,"E",IF(J309&lt;'PlayerGrades+'!$AD$16,"E+",IF(J309&lt;'PlayerGrades+'!$AD$15,"D-",IF(J309&lt;'PlayerGrades+'!$AD$14,"D",IF(J309&lt;'PlayerGrades+'!$AD$13,"D+",IF(J309&lt;'PlayerGrades+'!$AD$12,"C-",IF(J309&lt;'PlayerGrades+'!$AD$11,"C",IF(J309&lt;'PlayerGrades+'!$AD$10,"C+",IF(J309&lt;'PlayerGrades+'!$AD$9,"B-",IF(J309&lt;'PlayerGrades+'!$AD$8,"B",IF(J309&lt;'PlayerGrades+'!$AD$7,"B+",IF(J309&lt;'PlayerGrades+'!$AD$6,"A-",IF(J309&lt;'PlayerGrades+'!$AD$5,"A",IF(J309&lt;'PlayerGrades+'!$AD$4,"A+",IF(J309&lt;'PlayerGrades+'!$AD$3,"S-",IF(J309&lt;'PlayerGrades+'!$AD$2,"S","S+"))))))))))))))))))))</f>
        <v>S-</v>
      </c>
      <c r="L309" s="677">
        <f t="shared" si="5"/>
        <v>1.028571429</v>
      </c>
      <c r="M309" s="938" t="str">
        <f>IF(L309&lt;'PlayerGrades+'!$AE$21,"F-",IF(L309&lt;'PlayerGrades+'!$AE$20,"F",IF(L309&lt;'PlayerGrades+'!$AE$19,"F+",IF(L309&lt;'PlayerGrades+'!$AE$18,"E-",IF(L309&lt;'PlayerGrades+'!$AE$17,"E",IF(L309&lt;'PlayerGrades+'!$AE$16,"E+",IF(L309&lt;'PlayerGrades+'!$AE$15,"D-",IF(L309&lt;'PlayerGrades+'!$AE$14,"D",IF(L309&lt;'PlayerGrades+'!$AE$13,"D+",IF(L309&lt;'PlayerGrades+'!$AE$12,"C-",IF(L309&lt;'PlayerGrades+'!$AE$11,"C",IF(L309&lt;'PlayerGrades+'!$AE$10,"C+",IF(L309&lt;'PlayerGrades+'!$AE$9,"B-",IF(L309&lt;'PlayerGrades+'!$AE$8,"B",IF(L309&lt;'PlayerGrades+'!$AE$7,"B+",IF(L309&lt;'PlayerGrades+'!$AE$6,"A-",IF(L309&lt;'PlayerGrades+'!$AE$5,"A",IF(L309&lt;'PlayerGrades+'!$AE$4,"A+",IF(L309&lt;'PlayerGrades+'!$AE$3,"S-",IF(L309&lt;'PlayerGrades+'!$AE$2,"S","S+"))))))))))))))))))))</f>
        <v>S+</v>
      </c>
      <c r="N309" s="937">
        <f t="shared" si="6"/>
        <v>0.3428571429</v>
      </c>
      <c r="O309" s="937" t="str">
        <f>IF(N309&lt;'PlayerGrades+'!$AF$21,"F-",IF(N309&lt;'PlayerGrades+'!$AF$20,"F",IF(N309&lt;'PlayerGrades+'!$AF$19,"F+",IF(N309&lt;'PlayerGrades+'!$AF$18,"E-",IF(N309&lt;'PlayerGrades+'!$AF$17,"E",IF(N309&lt;'PlayerGrades+'!$AF$16,"E+",IF(N309&lt;'PlayerGrades+'!$AF$15,"D-",IF(N309&lt;'PlayerGrades+'!$AF$14,"D",IF(N309&lt;'PlayerGrades+'!$AF$13,"D+",IF(N309&lt;'PlayerGrades+'!$AF$12,"C-",IF(N309&lt;'PlayerGrades+'!$AF$11,"C",IF(N309&lt;'PlayerGrades+'!$AF$10,"C+",IF(N309&lt;'PlayerGrades+'!$AF$9,"B-",IF(N309&lt;'PlayerGrades+'!$AF$8,"B",IF(N309&lt;'PlayerGrades+'!$AF$7,"B+",IF(N309&lt;'PlayerGrades+'!$AF$6,"A-",IF(N309&lt;'PlayerGrades+'!$AF$5,"A",IF(N309&lt;'PlayerGrades+'!$AF$4,"A+",IF(N309&lt;'PlayerGrades+'!$AF$3,"S-",IF(N309&lt;'PlayerGrades+'!$AF$2,"S","S+"))))))))))))))))))))</f>
        <v>S+</v>
      </c>
      <c r="P309" s="937">
        <f t="shared" si="7"/>
        <v>0</v>
      </c>
      <c r="Q309" s="937" t="str">
        <f>IF(P309&lt;'PlayerGrades+'!$AG$21,"F-",IF(P309&lt;'PlayerGrades+'!$AG$20,"F",IF(P309&lt;'PlayerGrades+'!$AG$19,"F+",IF(P309&lt;'PlayerGrades+'!$AG$18,"E-",IF(P309&lt;'PlayerGrades+'!$AG$17,"E",IF(P309&lt;'PlayerGrades+'!$AG$16,"E+",IF(P309&lt;'PlayerGrades+'!$AG$15,"D-",IF(P309&lt;'PlayerGrades+'!$AG$14,"D",IF(P309&lt;'PlayerGrades+'!$AG$13,"D+",IF(P309&lt;'PlayerGrades+'!$AG$12,"C-",IF(P309&lt;'PlayerGrades+'!$AG$11,"C",IF(P309&lt;'PlayerGrades+'!$AG$10,"C+",IF(P309&lt;'PlayerGrades+'!$AG$9,"B-",IF(P309&lt;'PlayerGrades+'!$AG$8,"B",IF(P309&lt;'PlayerGrades+'!$AG$7,"B+",IF(P309&lt;'PlayerGrades+'!$AG$6,"A-",IF(P309&lt;'PlayerGrades+'!$AG$5,"A",IF(P309&lt;'PlayerGrades+'!$AG$4,"A+",IF(P309&lt;'PlayerGrades+'!$AG$3,"S-",IF(P309&lt;'PlayerGrades+'!$AG$2,"S","S+"))))))))))))))))))))</f>
        <v>F</v>
      </c>
      <c r="R309" s="937">
        <f t="shared" si="8"/>
        <v>0.3428571429</v>
      </c>
      <c r="S309" s="937" t="str">
        <f>IF(R309&lt;'PlayerGrades+'!$AH$21,"F-",IF(R309&lt;'PlayerGrades+'!$AH$20,"F",IF(R309&lt;'PlayerGrades+'!$AH$19,"F+",IF(R309&lt;'PlayerGrades+'!$AH$18,"E-",IF(R309&lt;'PlayerGrades+'!$AH$17,"E",IF(R309&lt;'PlayerGrades+'!$AH$16,"E+",IF(R309&lt;'PlayerGrades+'!$AH$15,"D-",IF(R309&lt;'PlayerGrades+'!$AH$14,"D",IF(R309&lt;'PlayerGrades+'!$AH$13,"D+",IF(R309&lt;'PlayerGrades+'!$AH$12,"C-",IF(R309&lt;'PlayerGrades+'!$AH$11,"C",IF(R309&lt;'PlayerGrades+'!$AH$10,"C+",IF(R309&lt;'PlayerGrades+'!$AH$9,"B-",IF(R309&lt;'PlayerGrades+'!$AH$8,"B",IF(R309&lt;'PlayerGrades+'!$AH$7,"B+",IF(R309&lt;'PlayerGrades+'!$AH$6,"A-",IF(R309&lt;'PlayerGrades+'!$AH$5,"A",IF(R309&lt;'PlayerGrades+'!$AH$4,"A+",IF(R309&lt;'PlayerGrades+'!$AH$3,"S-",IF(R309&lt;'PlayerGrades+'!$AH$2,"S","S+"))))))))))))))))))))</f>
        <v>F</v>
      </c>
      <c r="T309" s="937">
        <f t="shared" si="9"/>
        <v>2.428571429</v>
      </c>
      <c r="U309" s="937" t="str">
        <f>IF(T309&lt;'PlayerGrades+'!$AI$21,"F-",IF(T309&lt;'PlayerGrades+'!$AI$20,"F",IF(T309&lt;'PlayerGrades+'!$AI$19,"F+",IF(T309&lt;'PlayerGrades+'!$AI$18,"E-",IF(T309&lt;'PlayerGrades+'!$AI$17,"E",IF(T309&lt;'PlayerGrades+'!$AI$16,"E+",IF(T309&lt;'PlayerGrades+'!$AI$15,"D-",IF(T309&lt;'PlayerGrades+'!$AI$14,"D",IF(T309&lt;'PlayerGrades+'!$AI$13,"D+",IF(T309&lt;'PlayerGrades+'!$AI$12,"C-",IF(T309&lt;'PlayerGrades+'!$AI$11,"C",IF(T309&lt;'PlayerGrades+'!$AI$10,"C+",IF(T309&lt;'PlayerGrades+'!$AI$9,"B-",IF(T309&lt;'PlayerGrades+'!$AI$8,"B",IF(T309&lt;'PlayerGrades+'!$AI$7,"B+",IF(T309&lt;'PlayerGrades+'!$AI$6,"A-",IF(T309&lt;'PlayerGrades+'!$AI$5,"A",IF(T309&lt;'PlayerGrades+'!$AI$4,"A+",IF(T309&lt;'PlayerGrades+'!$AI$3,"S-",IF(T309&lt;'PlayerGrades+'!$AI$2,"S","S+"))))))))))))))))))))</f>
        <v>S+</v>
      </c>
      <c r="V309" s="941">
        <v>1.0</v>
      </c>
      <c r="W309" s="941">
        <v>1.0</v>
      </c>
      <c r="X309" s="941">
        <v>0.0</v>
      </c>
      <c r="Y309" s="941">
        <v>0.0</v>
      </c>
      <c r="Z309" s="941">
        <v>0.0</v>
      </c>
      <c r="AA309" s="941">
        <v>56.0</v>
      </c>
      <c r="AB309" s="941">
        <v>35.0</v>
      </c>
      <c r="AC309" s="941">
        <v>21.0</v>
      </c>
      <c r="AD309" s="941">
        <v>1.0</v>
      </c>
      <c r="AE309" s="941">
        <v>5.0</v>
      </c>
      <c r="AF309" s="941">
        <v>0.0</v>
      </c>
      <c r="AG309" s="941">
        <v>531.0</v>
      </c>
      <c r="AH309" s="941">
        <v>700.0</v>
      </c>
      <c r="AI309" s="941">
        <v>15.0</v>
      </c>
      <c r="AJ309" s="941">
        <v>5.0</v>
      </c>
      <c r="AK309" s="941">
        <v>0.0</v>
      </c>
      <c r="AL309" s="941">
        <v>1.0</v>
      </c>
      <c r="AM309" s="941">
        <v>0.0</v>
      </c>
      <c r="AN309" s="941">
        <v>0.0</v>
      </c>
      <c r="AO309" s="941">
        <v>0.0</v>
      </c>
      <c r="AP309" s="941">
        <v>0.0</v>
      </c>
      <c r="AQ309" s="941">
        <v>0.0</v>
      </c>
      <c r="AR309" s="941">
        <v>12.0</v>
      </c>
      <c r="AS309" s="941">
        <v>4.0</v>
      </c>
      <c r="AT309" s="941">
        <v>0.0</v>
      </c>
      <c r="AU309" s="941">
        <v>0.0</v>
      </c>
      <c r="AV309" s="941">
        <v>0.0</v>
      </c>
      <c r="AW309" s="941">
        <v>0.0</v>
      </c>
      <c r="AX309" s="941">
        <v>0.0</v>
      </c>
      <c r="AY309" s="941">
        <v>0.0</v>
      </c>
      <c r="AZ309" s="941">
        <v>0.0</v>
      </c>
      <c r="BA309" s="941">
        <v>0.0</v>
      </c>
      <c r="BB309" s="941">
        <v>3.0</v>
      </c>
      <c r="BC309" s="941">
        <v>0.0</v>
      </c>
      <c r="BD309" s="941">
        <v>3.0</v>
      </c>
      <c r="BE309" s="941">
        <v>5.0</v>
      </c>
      <c r="BF309" s="941">
        <v>2.0</v>
      </c>
      <c r="BG309" s="942">
        <v>1.0</v>
      </c>
    </row>
    <row r="310">
      <c r="A310" s="935" t="s">
        <v>117</v>
      </c>
      <c r="B310" s="16" t="str">
        <f>IF(C310&lt;'PlayerGrades+'!$Y$44,"F-",IF(C310&lt;'PlayerGrades+'!$Y$43,"F",IF(C310&lt;'PlayerGrades+'!$Y$42,"F+",IF(C310&lt;'PlayerGrades+'!$Y$41,"E-",IF(C310&lt;'PlayerGrades+'!$Y$40,"E",IF(C310&lt;'PlayerGrades+'!$Y$39,"E+",IF(C310&lt;'PlayerGrades+'!$Y$38,"D-",IF(C310&lt;'PlayerGrades+'!$Y$37,"D",IF(C310&lt;'PlayerGrades+'!$Y$36,"D+",IF(C310&lt;'PlayerGrades+'!$Y$35,"C-",IF(C310&lt;'PlayerGrades+'!$Y$34,"C",IF(C310&lt;'PlayerGrades+'!$Y$33,"C+",IF(C310&lt;'PlayerGrades+'!$Y$32,"B-",IF(C310&lt;'PlayerGrades+'!$Y$31,"B",IF(C310&lt;'PlayerGrades+'!$Y$30,"B+",IF(C310&lt;'PlayerGrades+'!$Y$29,"A-",IF(C310&lt;'PlayerGrades+'!$Y$28,"A",IF(C310&lt;'PlayerGrades+'!$Y$27,"A+",IF(C310&lt;'PlayerGrades+'!$Y$26,"S-",IF(C310&lt;'PlayerGrades+'!$Y$25,"S","S+"))))))))))))))))))))</f>
        <v>C-</v>
      </c>
      <c r="C310" s="936">
        <f>('PlayerGrades+'!$Y$47*(VLOOKUP(E310, 'PlayerGrades+'!$X$3:$Y$23, 2, FALSE)))+('PlayerGrades+'!$Y$48*(VLOOKUP(G310, 'PlayerGrades+'!$X$3:$Y$23, 2, FALSE)))+('PlayerGrades+'!$Y$49*(VLOOKUP(I310, 'PlayerGrades+'!$X$3:$Y$23, 2, FALSE)))+('PlayerGrades+'!$Y$50*(VLOOKUP(K310, 'PlayerGrades+'!$X$3:$Y$23, 2, FALSE)))+('PlayerGrades+'!$Y$51*(VLOOKUP(M310, 'PlayerGrades+'!$X$3:$Y$23, 2, FALSE)))+('PlayerGrades+'!$Y$52*(VLOOKUP(O310, 'PlayerGrades+'!$X$3:$Y$23, 2, FALSE)))+('PlayerGrades+'!$Y$53*(VLOOKUP(Q310, 'PlayerGrades+'!$X$3:$Y$23, 2, FALSE)))+('PlayerGrades+'!$Y$54*(VLOOKUP(S310, 'PlayerGrades+'!$X$3:$Y$23, 2, FALSE)))+('PlayerGrades+'!$Y$55*(VLOOKUP(U310, 'PlayerGrades+'!$X$3:$Y$23, 2, FALSE)))</f>
        <v>19.1</v>
      </c>
      <c r="D310" s="937">
        <f t="shared" si="1"/>
        <v>0</v>
      </c>
      <c r="E310" s="937" t="str">
        <f>IF(D310&lt;'PlayerGrades+'!$AA$21,"F-",IF(D310&lt;'PlayerGrades+'!$AA$20,"F",IF(D310&lt;'PlayerGrades+'!$AA$19,"F+",IF(D310&lt;'PlayerGrades+'!$AA$18,"E-",IF(D310&lt;'PlayerGrades+'!$AA$17,"E",IF(D310&lt;'PlayerGrades+'!$AA$16,"E+",IF(D310&lt;'PlayerGrades+'!$AA$15,"D-",IF(D310&lt;'PlayerGrades+'!$AA$14,"D",IF(D310&lt;'PlayerGrades+'!$AA$13,"D+",IF(D310&lt;'PlayerGrades+'!$AA$12,"C-",IF(D310&lt;'PlayerGrades+'!$AA$11,"C",IF(D310&lt;'PlayerGrades+'!$AA$10,"C+",IF(D310&lt;'PlayerGrades+'!$AA$9,"B-",IF(D310&lt;'PlayerGrades+'!$AA$8,"B",IF(D310&lt;'PlayerGrades+'!$AA$7,"B+",IF(D310&lt;'PlayerGrades+'!$AA$6,"A-",IF(D310&lt;'PlayerGrades+'!$AA$5,"A",IF(D310&lt;'PlayerGrades+'!$AA$4,"A+",IF(D310&lt;'PlayerGrades+'!$AA$3,"S-",IF(D310&lt;'PlayerGrades+'!$AA$2,"S","S+"))))))))))))))))))))</f>
        <v>F-</v>
      </c>
      <c r="F310" s="937">
        <f t="shared" si="2"/>
        <v>-0.9428571429</v>
      </c>
      <c r="G310" s="937" t="str">
        <f>IF(F310&lt;'PlayerGrades+'!$AB$21,"F-",IF(F310&lt;'PlayerGrades+'!$AB$20,"F",IF(F310&lt;'PlayerGrades+'!$AB$19,"F+",IF(F310&lt;'PlayerGrades+'!$AB$18,"E-",IF(F310&lt;'PlayerGrades+'!$AB$17,"E",IF(F310&lt;'PlayerGrades+'!$AB$16,"E+",IF(F310&lt;'PlayerGrades+'!$AB$15,"D-",IF(F310&lt;'PlayerGrades+'!$AB$14,"D",IF(F310&lt;'PlayerGrades+'!$AB$13,"D+",IF(F310&lt;'PlayerGrades+'!$AB$12,"C-",IF(F310&lt;'PlayerGrades+'!$AB$11,"C",IF(F310&lt;'PlayerGrades+'!$AB$10,"C+",IF(F310&lt;'PlayerGrades+'!$AB$9,"B-",IF(F310&lt;'PlayerGrades+'!$AB$8,"B",IF(F310&lt;'PlayerGrades+'!$AB$7,"B+",IF(F310&lt;'PlayerGrades+'!$AB$6,"A-",IF(F310&lt;'PlayerGrades+'!$AB$5,"A",IF(F310&lt;'PlayerGrades+'!$AB$4,"A+",IF(F310&lt;'PlayerGrades+'!$AB$3,"S-",IF(F310&lt;'PlayerGrades+'!$AB$2,"S","S+"))))))))))))))))))))</f>
        <v>F+</v>
      </c>
      <c r="H310" s="937">
        <f t="shared" si="3"/>
        <v>0.08571428571</v>
      </c>
      <c r="I310" s="937" t="str">
        <f>IF(H310&lt;'PlayerGrades+'!$AC$21,"F-",IF(H310&lt;'PlayerGrades+'!$AC$20,"F",IF(H310&lt;'PlayerGrades+'!$AC$19,"F+",IF(H310&lt;'PlayerGrades+'!$AC$18,"E-",IF(H310&lt;'PlayerGrades+'!$AC$17,"E",IF(H310&lt;'PlayerGrades+'!$AC$16,"E+",IF(H310&lt;'PlayerGrades+'!$AC$15,"D-",IF(H310&lt;'PlayerGrades+'!$AC$14,"D",IF(H310&lt;'PlayerGrades+'!$AC$13,"D+",IF(H310&lt;'PlayerGrades+'!$AC$12,"C-",IF(H310&lt;'PlayerGrades+'!$AC$11,"C",IF(H310&lt;'PlayerGrades+'!$AC$10,"C+",IF(H310&lt;'PlayerGrades+'!$AC$9,"B-",IF(H310&lt;'PlayerGrades+'!$AC$8,"B",IF(H310&lt;'PlayerGrades+'!$AC$7,"B+",IF(H310&lt;'PlayerGrades+'!$AC$6,"A-",IF(H310&lt;'PlayerGrades+'!$AC$5,"A",IF(H310&lt;'PlayerGrades+'!$AC$4,"A+",IF(H310&lt;'PlayerGrades+'!$AC$3,"S-",IF(H310&lt;'PlayerGrades+'!$AC$2,"S","S+"))))))))))))))))))))</f>
        <v>D-</v>
      </c>
      <c r="J310" s="937">
        <f t="shared" si="4"/>
        <v>0</v>
      </c>
      <c r="K310" s="937" t="str">
        <f>IF(J310&lt;'PlayerGrades+'!$AD$21,"F-",IF(J310&lt;'PlayerGrades+'!$AD$20,"F",IF(J310&lt;'PlayerGrades+'!$AD$19,"F+",IF(J310&lt;'PlayerGrades+'!$AD$18,"E-",IF(J310&lt;'PlayerGrades+'!$AD$17,"E",IF(J310&lt;'PlayerGrades+'!$AD$16,"E+",IF(J310&lt;'PlayerGrades+'!$AD$15,"D-",IF(J310&lt;'PlayerGrades+'!$AD$14,"D",IF(J310&lt;'PlayerGrades+'!$AD$13,"D+",IF(J310&lt;'PlayerGrades+'!$AD$12,"C-",IF(J310&lt;'PlayerGrades+'!$AD$11,"C",IF(J310&lt;'PlayerGrades+'!$AD$10,"C+",IF(J310&lt;'PlayerGrades+'!$AD$9,"B-",IF(J310&lt;'PlayerGrades+'!$AD$8,"B",IF(J310&lt;'PlayerGrades+'!$AD$7,"B+",IF(J310&lt;'PlayerGrades+'!$AD$6,"A-",IF(J310&lt;'PlayerGrades+'!$AD$5,"A",IF(J310&lt;'PlayerGrades+'!$AD$4,"A+",IF(J310&lt;'PlayerGrades+'!$AD$3,"S-",IF(J310&lt;'PlayerGrades+'!$AD$2,"S","S+"))))))))))))))))))))</f>
        <v>F-</v>
      </c>
      <c r="L310" s="677">
        <f t="shared" si="5"/>
        <v>0.6</v>
      </c>
      <c r="M310" s="938" t="str">
        <f>IF(L310&lt;'PlayerGrades+'!$AE$21,"F-",IF(L310&lt;'PlayerGrades+'!$AE$20,"F",IF(L310&lt;'PlayerGrades+'!$AE$19,"F+",IF(L310&lt;'PlayerGrades+'!$AE$18,"E-",IF(L310&lt;'PlayerGrades+'!$AE$17,"E",IF(L310&lt;'PlayerGrades+'!$AE$16,"E+",IF(L310&lt;'PlayerGrades+'!$AE$15,"D-",IF(L310&lt;'PlayerGrades+'!$AE$14,"D",IF(L310&lt;'PlayerGrades+'!$AE$13,"D+",IF(L310&lt;'PlayerGrades+'!$AE$12,"C-",IF(L310&lt;'PlayerGrades+'!$AE$11,"C",IF(L310&lt;'PlayerGrades+'!$AE$10,"C+",IF(L310&lt;'PlayerGrades+'!$AE$9,"B-",IF(L310&lt;'PlayerGrades+'!$AE$8,"B",IF(L310&lt;'PlayerGrades+'!$AE$7,"B+",IF(L310&lt;'PlayerGrades+'!$AE$6,"A-",IF(L310&lt;'PlayerGrades+'!$AE$5,"A",IF(L310&lt;'PlayerGrades+'!$AE$4,"A+",IF(L310&lt;'PlayerGrades+'!$AE$3,"S-",IF(L310&lt;'PlayerGrades+'!$AE$2,"S","S+"))))))))))))))))))))</f>
        <v>A+</v>
      </c>
      <c r="N310" s="937">
        <f t="shared" si="6"/>
        <v>0.2571428571</v>
      </c>
      <c r="O310" s="937" t="str">
        <f>IF(N310&lt;'PlayerGrades+'!$AF$21,"F-",IF(N310&lt;'PlayerGrades+'!$AF$20,"F",IF(N310&lt;'PlayerGrades+'!$AF$19,"F+",IF(N310&lt;'PlayerGrades+'!$AF$18,"E-",IF(N310&lt;'PlayerGrades+'!$AF$17,"E",IF(N310&lt;'PlayerGrades+'!$AF$16,"E+",IF(N310&lt;'PlayerGrades+'!$AF$15,"D-",IF(N310&lt;'PlayerGrades+'!$AF$14,"D",IF(N310&lt;'PlayerGrades+'!$AF$13,"D+",IF(N310&lt;'PlayerGrades+'!$AF$12,"C-",IF(N310&lt;'PlayerGrades+'!$AF$11,"C",IF(N310&lt;'PlayerGrades+'!$AF$10,"C+",IF(N310&lt;'PlayerGrades+'!$AF$9,"B-",IF(N310&lt;'PlayerGrades+'!$AF$8,"B",IF(N310&lt;'PlayerGrades+'!$AF$7,"B+",IF(N310&lt;'PlayerGrades+'!$AF$6,"A-",IF(N310&lt;'PlayerGrades+'!$AF$5,"A",IF(N310&lt;'PlayerGrades+'!$AF$4,"A+",IF(N310&lt;'PlayerGrades+'!$AF$3,"S-",IF(N310&lt;'PlayerGrades+'!$AF$2,"S","S+"))))))))))))))))))))</f>
        <v>S+</v>
      </c>
      <c r="P310" s="937">
        <f t="shared" si="7"/>
        <v>0</v>
      </c>
      <c r="Q310" s="937" t="str">
        <f>IF(P310&lt;'PlayerGrades+'!$AG$21,"F-",IF(P310&lt;'PlayerGrades+'!$AG$20,"F",IF(P310&lt;'PlayerGrades+'!$AG$19,"F+",IF(P310&lt;'PlayerGrades+'!$AG$18,"E-",IF(P310&lt;'PlayerGrades+'!$AG$17,"E",IF(P310&lt;'PlayerGrades+'!$AG$16,"E+",IF(P310&lt;'PlayerGrades+'!$AG$15,"D-",IF(P310&lt;'PlayerGrades+'!$AG$14,"D",IF(P310&lt;'PlayerGrades+'!$AG$13,"D+",IF(P310&lt;'PlayerGrades+'!$AG$12,"C-",IF(P310&lt;'PlayerGrades+'!$AG$11,"C",IF(P310&lt;'PlayerGrades+'!$AG$10,"C+",IF(P310&lt;'PlayerGrades+'!$AG$9,"B-",IF(P310&lt;'PlayerGrades+'!$AG$8,"B",IF(P310&lt;'PlayerGrades+'!$AG$7,"B+",IF(P310&lt;'PlayerGrades+'!$AG$6,"A-",IF(P310&lt;'PlayerGrades+'!$AG$5,"A",IF(P310&lt;'PlayerGrades+'!$AG$4,"A+",IF(P310&lt;'PlayerGrades+'!$AG$3,"S-",IF(P310&lt;'PlayerGrades+'!$AG$2,"S","S+"))))))))))))))))))))</f>
        <v>F</v>
      </c>
      <c r="R310" s="937">
        <f t="shared" si="8"/>
        <v>0.6857142857</v>
      </c>
      <c r="S310" s="937" t="str">
        <f>IF(R310&lt;'PlayerGrades+'!$AH$21,"F-",IF(R310&lt;'PlayerGrades+'!$AH$20,"F",IF(R310&lt;'PlayerGrades+'!$AH$19,"F+",IF(R310&lt;'PlayerGrades+'!$AH$18,"E-",IF(R310&lt;'PlayerGrades+'!$AH$17,"E",IF(R310&lt;'PlayerGrades+'!$AH$16,"E+",IF(R310&lt;'PlayerGrades+'!$AH$15,"D-",IF(R310&lt;'PlayerGrades+'!$AH$14,"D",IF(R310&lt;'PlayerGrades+'!$AH$13,"D+",IF(R310&lt;'PlayerGrades+'!$AH$12,"C-",IF(R310&lt;'PlayerGrades+'!$AH$11,"C",IF(R310&lt;'PlayerGrades+'!$AH$10,"C+",IF(R310&lt;'PlayerGrades+'!$AH$9,"B-",IF(R310&lt;'PlayerGrades+'!$AH$8,"B",IF(R310&lt;'PlayerGrades+'!$AH$7,"B+",IF(R310&lt;'PlayerGrades+'!$AH$6,"A-",IF(R310&lt;'PlayerGrades+'!$AH$5,"A",IF(R310&lt;'PlayerGrades+'!$AH$4,"A+",IF(R310&lt;'PlayerGrades+'!$AH$3,"S-",IF(R310&lt;'PlayerGrades+'!$AH$2,"S","S+"))))))))))))))))))))</f>
        <v>S-</v>
      </c>
      <c r="T310" s="937">
        <f t="shared" si="9"/>
        <v>0.3428571429</v>
      </c>
      <c r="U310" s="937" t="str">
        <f>IF(T310&lt;'PlayerGrades+'!$AI$21,"F-",IF(T310&lt;'PlayerGrades+'!$AI$20,"F",IF(T310&lt;'PlayerGrades+'!$AI$19,"F+",IF(T310&lt;'PlayerGrades+'!$AI$18,"E-",IF(T310&lt;'PlayerGrades+'!$AI$17,"E",IF(T310&lt;'PlayerGrades+'!$AI$16,"E+",IF(T310&lt;'PlayerGrades+'!$AI$15,"D-",IF(T310&lt;'PlayerGrades+'!$AI$14,"D",IF(T310&lt;'PlayerGrades+'!$AI$13,"D+",IF(T310&lt;'PlayerGrades+'!$AI$12,"C-",IF(T310&lt;'PlayerGrades+'!$AI$11,"C",IF(T310&lt;'PlayerGrades+'!$AI$10,"C+",IF(T310&lt;'PlayerGrades+'!$AI$9,"B-",IF(T310&lt;'PlayerGrades+'!$AI$8,"B",IF(T310&lt;'PlayerGrades+'!$AI$7,"B+",IF(T310&lt;'PlayerGrades+'!$AI$6,"A-",IF(T310&lt;'PlayerGrades+'!$AI$5,"A",IF(T310&lt;'PlayerGrades+'!$AI$4,"A+",IF(T310&lt;'PlayerGrades+'!$AI$3,"S-",IF(T310&lt;'PlayerGrades+'!$AI$2,"S","S+"))))))))))))))))))))</f>
        <v>F-</v>
      </c>
      <c r="V310" s="941">
        <v>1.0</v>
      </c>
      <c r="W310" s="941">
        <v>0.0</v>
      </c>
      <c r="X310" s="941">
        <v>1.0</v>
      </c>
      <c r="Y310" s="941">
        <v>0.0</v>
      </c>
      <c r="Z310" s="941">
        <v>0.0</v>
      </c>
      <c r="AA310" s="941">
        <v>33.0</v>
      </c>
      <c r="AB310" s="941">
        <v>44.0</v>
      </c>
      <c r="AC310" s="941">
        <v>-11.0</v>
      </c>
      <c r="AD310" s="941">
        <v>2.0</v>
      </c>
      <c r="AE310" s="941">
        <v>4.0</v>
      </c>
      <c r="AF310" s="941">
        <v>1.0</v>
      </c>
      <c r="AG310" s="941">
        <v>507.0</v>
      </c>
      <c r="AH310" s="941">
        <v>700.0</v>
      </c>
      <c r="AI310" s="941">
        <v>11.0</v>
      </c>
      <c r="AJ310" s="941">
        <v>12.0</v>
      </c>
      <c r="AK310" s="941">
        <v>0.0</v>
      </c>
      <c r="AL310" s="941">
        <v>0.0</v>
      </c>
      <c r="AM310" s="941">
        <v>0.0</v>
      </c>
      <c r="AN310" s="941">
        <v>0.0</v>
      </c>
      <c r="AO310" s="941">
        <v>0.0</v>
      </c>
      <c r="AP310" s="941">
        <v>0.0</v>
      </c>
      <c r="AQ310" s="941">
        <v>0.0</v>
      </c>
      <c r="AR310" s="941">
        <v>7.0</v>
      </c>
      <c r="AS310" s="941">
        <v>3.0</v>
      </c>
      <c r="AT310" s="941">
        <v>0.0</v>
      </c>
      <c r="AU310" s="941">
        <v>0.0</v>
      </c>
      <c r="AV310" s="941">
        <v>0.0</v>
      </c>
      <c r="AW310" s="941">
        <v>0.0</v>
      </c>
      <c r="AX310" s="941">
        <v>0.0</v>
      </c>
      <c r="AY310" s="941">
        <v>0.0</v>
      </c>
      <c r="AZ310" s="941">
        <v>0.0</v>
      </c>
      <c r="BA310" s="941">
        <v>0.0</v>
      </c>
      <c r="BB310" s="941">
        <v>1.0</v>
      </c>
      <c r="BC310" s="941">
        <v>0.0</v>
      </c>
      <c r="BD310" s="941">
        <v>6.0</v>
      </c>
      <c r="BE310" s="941">
        <v>4.0</v>
      </c>
      <c r="BF310" s="941">
        <v>0.0</v>
      </c>
      <c r="BG310" s="942">
        <v>0.0</v>
      </c>
    </row>
    <row r="311">
      <c r="A311" s="935" t="s">
        <v>139</v>
      </c>
      <c r="B311" s="16" t="str">
        <f>IF(C311&lt;'PlayerGrades+'!$Y$44,"F-",IF(C311&lt;'PlayerGrades+'!$Y$43,"F",IF(C311&lt;'PlayerGrades+'!$Y$42,"F+",IF(C311&lt;'PlayerGrades+'!$Y$41,"E-",IF(C311&lt;'PlayerGrades+'!$Y$40,"E",IF(C311&lt;'PlayerGrades+'!$Y$39,"E+",IF(C311&lt;'PlayerGrades+'!$Y$38,"D-",IF(C311&lt;'PlayerGrades+'!$Y$37,"D",IF(C311&lt;'PlayerGrades+'!$Y$36,"D+",IF(C311&lt;'PlayerGrades+'!$Y$35,"C-",IF(C311&lt;'PlayerGrades+'!$Y$34,"C",IF(C311&lt;'PlayerGrades+'!$Y$33,"C+",IF(C311&lt;'PlayerGrades+'!$Y$32,"B-",IF(C311&lt;'PlayerGrades+'!$Y$31,"B",IF(C311&lt;'PlayerGrades+'!$Y$30,"B+",IF(C311&lt;'PlayerGrades+'!$Y$29,"A-",IF(C311&lt;'PlayerGrades+'!$Y$28,"A",IF(C311&lt;'PlayerGrades+'!$Y$27,"A+",IF(C311&lt;'PlayerGrades+'!$Y$26,"S-",IF(C311&lt;'PlayerGrades+'!$Y$25,"S","S+"))))))))))))))))))))</f>
        <v>D-</v>
      </c>
      <c r="C311" s="936">
        <f>('PlayerGrades+'!$Y$47*(VLOOKUP(E311, 'PlayerGrades+'!$X$3:$Y$23, 2, FALSE)))+('PlayerGrades+'!$Y$48*(VLOOKUP(G311, 'PlayerGrades+'!$X$3:$Y$23, 2, FALSE)))+('PlayerGrades+'!$Y$49*(VLOOKUP(I311, 'PlayerGrades+'!$X$3:$Y$23, 2, FALSE)))+('PlayerGrades+'!$Y$50*(VLOOKUP(K311, 'PlayerGrades+'!$X$3:$Y$23, 2, FALSE)))+('PlayerGrades+'!$Y$51*(VLOOKUP(M311, 'PlayerGrades+'!$X$3:$Y$23, 2, FALSE)))+('PlayerGrades+'!$Y$52*(VLOOKUP(O311, 'PlayerGrades+'!$X$3:$Y$23, 2, FALSE)))+('PlayerGrades+'!$Y$53*(VLOOKUP(Q311, 'PlayerGrades+'!$X$3:$Y$23, 2, FALSE)))+('PlayerGrades+'!$Y$54*(VLOOKUP(S311, 'PlayerGrades+'!$X$3:$Y$23, 2, FALSE)))+('PlayerGrades+'!$Y$55*(VLOOKUP(U311, 'PlayerGrades+'!$X$3:$Y$23, 2, FALSE)))</f>
        <v>13.85</v>
      </c>
      <c r="D311" s="937">
        <f t="shared" si="1"/>
        <v>0.08571428571</v>
      </c>
      <c r="E311" s="937" t="str">
        <f>IF(D311&lt;'PlayerGrades+'!$AA$21,"F-",IF(D311&lt;'PlayerGrades+'!$AA$20,"F",IF(D311&lt;'PlayerGrades+'!$AA$19,"F+",IF(D311&lt;'PlayerGrades+'!$AA$18,"E-",IF(D311&lt;'PlayerGrades+'!$AA$17,"E",IF(D311&lt;'PlayerGrades+'!$AA$16,"E+",IF(D311&lt;'PlayerGrades+'!$AA$15,"D-",IF(D311&lt;'PlayerGrades+'!$AA$14,"D",IF(D311&lt;'PlayerGrades+'!$AA$13,"D+",IF(D311&lt;'PlayerGrades+'!$AA$12,"C-",IF(D311&lt;'PlayerGrades+'!$AA$11,"C",IF(D311&lt;'PlayerGrades+'!$AA$10,"C+",IF(D311&lt;'PlayerGrades+'!$AA$9,"B-",IF(D311&lt;'PlayerGrades+'!$AA$8,"B",IF(D311&lt;'PlayerGrades+'!$AA$7,"B+",IF(D311&lt;'PlayerGrades+'!$AA$6,"A-",IF(D311&lt;'PlayerGrades+'!$AA$5,"A",IF(D311&lt;'PlayerGrades+'!$AA$4,"A+",IF(D311&lt;'PlayerGrades+'!$AA$3,"S-",IF(D311&lt;'PlayerGrades+'!$AA$2,"S","S+"))))))))))))))))))))</f>
        <v>B</v>
      </c>
      <c r="F311" s="937">
        <f t="shared" si="2"/>
        <v>-0.6857142857</v>
      </c>
      <c r="G311" s="937" t="str">
        <f>IF(F311&lt;'PlayerGrades+'!$AB$21,"F-",IF(F311&lt;'PlayerGrades+'!$AB$20,"F",IF(F311&lt;'PlayerGrades+'!$AB$19,"F+",IF(F311&lt;'PlayerGrades+'!$AB$18,"E-",IF(F311&lt;'PlayerGrades+'!$AB$17,"E",IF(F311&lt;'PlayerGrades+'!$AB$16,"E+",IF(F311&lt;'PlayerGrades+'!$AB$15,"D-",IF(F311&lt;'PlayerGrades+'!$AB$14,"D",IF(F311&lt;'PlayerGrades+'!$AB$13,"D+",IF(F311&lt;'PlayerGrades+'!$AB$12,"C-",IF(F311&lt;'PlayerGrades+'!$AB$11,"C",IF(F311&lt;'PlayerGrades+'!$AB$10,"C+",IF(F311&lt;'PlayerGrades+'!$AB$9,"B-",IF(F311&lt;'PlayerGrades+'!$AB$8,"B",IF(F311&lt;'PlayerGrades+'!$AB$7,"B+",IF(F311&lt;'PlayerGrades+'!$AB$6,"A-",IF(F311&lt;'PlayerGrades+'!$AB$5,"A",IF(F311&lt;'PlayerGrades+'!$AB$4,"A+",IF(F311&lt;'PlayerGrades+'!$AB$3,"S-",IF(F311&lt;'PlayerGrades+'!$AB$2,"S","S+"))))))))))))))))))))</f>
        <v>E+</v>
      </c>
      <c r="H311" s="937">
        <f t="shared" si="3"/>
        <v>0</v>
      </c>
      <c r="I311" s="937" t="str">
        <f>IF(H311&lt;'PlayerGrades+'!$AC$21,"F-",IF(H311&lt;'PlayerGrades+'!$AC$20,"F",IF(H311&lt;'PlayerGrades+'!$AC$19,"F+",IF(H311&lt;'PlayerGrades+'!$AC$18,"E-",IF(H311&lt;'PlayerGrades+'!$AC$17,"E",IF(H311&lt;'PlayerGrades+'!$AC$16,"E+",IF(H311&lt;'PlayerGrades+'!$AC$15,"D-",IF(H311&lt;'PlayerGrades+'!$AC$14,"D",IF(H311&lt;'PlayerGrades+'!$AC$13,"D+",IF(H311&lt;'PlayerGrades+'!$AC$12,"C-",IF(H311&lt;'PlayerGrades+'!$AC$11,"C",IF(H311&lt;'PlayerGrades+'!$AC$10,"C+",IF(H311&lt;'PlayerGrades+'!$AC$9,"B-",IF(H311&lt;'PlayerGrades+'!$AC$8,"B",IF(H311&lt;'PlayerGrades+'!$AC$7,"B+",IF(H311&lt;'PlayerGrades+'!$AC$6,"A-",IF(H311&lt;'PlayerGrades+'!$AC$5,"A",IF(H311&lt;'PlayerGrades+'!$AC$4,"A+",IF(H311&lt;'PlayerGrades+'!$AC$3,"S-",IF(H311&lt;'PlayerGrades+'!$AC$2,"S","S+"))))))))))))))))))))</f>
        <v>F-</v>
      </c>
      <c r="J311" s="937">
        <f t="shared" si="4"/>
        <v>0</v>
      </c>
      <c r="K311" s="937" t="str">
        <f>IF(J311&lt;'PlayerGrades+'!$AD$21,"F-",IF(J311&lt;'PlayerGrades+'!$AD$20,"F",IF(J311&lt;'PlayerGrades+'!$AD$19,"F+",IF(J311&lt;'PlayerGrades+'!$AD$18,"E-",IF(J311&lt;'PlayerGrades+'!$AD$17,"E",IF(J311&lt;'PlayerGrades+'!$AD$16,"E+",IF(J311&lt;'PlayerGrades+'!$AD$15,"D-",IF(J311&lt;'PlayerGrades+'!$AD$14,"D",IF(J311&lt;'PlayerGrades+'!$AD$13,"D+",IF(J311&lt;'PlayerGrades+'!$AD$12,"C-",IF(J311&lt;'PlayerGrades+'!$AD$11,"C",IF(J311&lt;'PlayerGrades+'!$AD$10,"C+",IF(J311&lt;'PlayerGrades+'!$AD$9,"B-",IF(J311&lt;'PlayerGrades+'!$AD$8,"B",IF(J311&lt;'PlayerGrades+'!$AD$7,"B+",IF(J311&lt;'PlayerGrades+'!$AD$6,"A-",IF(J311&lt;'PlayerGrades+'!$AD$5,"A",IF(J311&lt;'PlayerGrades+'!$AD$4,"A+",IF(J311&lt;'PlayerGrades+'!$AD$3,"S-",IF(J311&lt;'PlayerGrades+'!$AD$2,"S","S+"))))))))))))))))))))</f>
        <v>F-</v>
      </c>
      <c r="L311" s="677">
        <f t="shared" si="5"/>
        <v>0.2571428571</v>
      </c>
      <c r="M311" s="938" t="str">
        <f>IF(L311&lt;'PlayerGrades+'!$AE$21,"F-",IF(L311&lt;'PlayerGrades+'!$AE$20,"F",IF(L311&lt;'PlayerGrades+'!$AE$19,"F+",IF(L311&lt;'PlayerGrades+'!$AE$18,"E-",IF(L311&lt;'PlayerGrades+'!$AE$17,"E",IF(L311&lt;'PlayerGrades+'!$AE$16,"E+",IF(L311&lt;'PlayerGrades+'!$AE$15,"D-",IF(L311&lt;'PlayerGrades+'!$AE$14,"D",IF(L311&lt;'PlayerGrades+'!$AE$13,"D+",IF(L311&lt;'PlayerGrades+'!$AE$12,"C-",IF(L311&lt;'PlayerGrades+'!$AE$11,"C",IF(L311&lt;'PlayerGrades+'!$AE$10,"C+",IF(L311&lt;'PlayerGrades+'!$AE$9,"B-",IF(L311&lt;'PlayerGrades+'!$AE$8,"B",IF(L311&lt;'PlayerGrades+'!$AE$7,"B+",IF(L311&lt;'PlayerGrades+'!$AE$6,"A-",IF(L311&lt;'PlayerGrades+'!$AE$5,"A",IF(L311&lt;'PlayerGrades+'!$AE$4,"A+",IF(L311&lt;'PlayerGrades+'!$AE$3,"S-",IF(L311&lt;'PlayerGrades+'!$AE$2,"S","S+"))))))))))))))))))))</f>
        <v>F</v>
      </c>
      <c r="N311" s="937">
        <f t="shared" si="6"/>
        <v>0</v>
      </c>
      <c r="O311" s="937" t="str">
        <f>IF(N311&lt;'PlayerGrades+'!$AF$21,"F-",IF(N311&lt;'PlayerGrades+'!$AF$20,"F",IF(N311&lt;'PlayerGrades+'!$AF$19,"F+",IF(N311&lt;'PlayerGrades+'!$AF$18,"E-",IF(N311&lt;'PlayerGrades+'!$AF$17,"E",IF(N311&lt;'PlayerGrades+'!$AF$16,"E+",IF(N311&lt;'PlayerGrades+'!$AF$15,"D-",IF(N311&lt;'PlayerGrades+'!$AF$14,"D",IF(N311&lt;'PlayerGrades+'!$AF$13,"D+",IF(N311&lt;'PlayerGrades+'!$AF$12,"C-",IF(N311&lt;'PlayerGrades+'!$AF$11,"C",IF(N311&lt;'PlayerGrades+'!$AF$10,"C+",IF(N311&lt;'PlayerGrades+'!$AF$9,"B-",IF(N311&lt;'PlayerGrades+'!$AF$8,"B",IF(N311&lt;'PlayerGrades+'!$AF$7,"B+",IF(N311&lt;'PlayerGrades+'!$AF$6,"A-",IF(N311&lt;'PlayerGrades+'!$AF$5,"A",IF(N311&lt;'PlayerGrades+'!$AF$4,"A+",IF(N311&lt;'PlayerGrades+'!$AF$3,"S-",IF(N311&lt;'PlayerGrades+'!$AF$2,"S","S+"))))))))))))))))))))</f>
        <v>F-</v>
      </c>
      <c r="P311" s="937">
        <f t="shared" si="7"/>
        <v>0</v>
      </c>
      <c r="Q311" s="937" t="str">
        <f>IF(P311&lt;'PlayerGrades+'!$AG$21,"F-",IF(P311&lt;'PlayerGrades+'!$AG$20,"F",IF(P311&lt;'PlayerGrades+'!$AG$19,"F+",IF(P311&lt;'PlayerGrades+'!$AG$18,"E-",IF(P311&lt;'PlayerGrades+'!$AG$17,"E",IF(P311&lt;'PlayerGrades+'!$AG$16,"E+",IF(P311&lt;'PlayerGrades+'!$AG$15,"D-",IF(P311&lt;'PlayerGrades+'!$AG$14,"D",IF(P311&lt;'PlayerGrades+'!$AG$13,"D+",IF(P311&lt;'PlayerGrades+'!$AG$12,"C-",IF(P311&lt;'PlayerGrades+'!$AG$11,"C",IF(P311&lt;'PlayerGrades+'!$AG$10,"C+",IF(P311&lt;'PlayerGrades+'!$AG$9,"B-",IF(P311&lt;'PlayerGrades+'!$AG$8,"B",IF(P311&lt;'PlayerGrades+'!$AG$7,"B+",IF(P311&lt;'PlayerGrades+'!$AG$6,"A-",IF(P311&lt;'PlayerGrades+'!$AG$5,"A",IF(P311&lt;'PlayerGrades+'!$AG$4,"A+",IF(P311&lt;'PlayerGrades+'!$AG$3,"S-",IF(P311&lt;'PlayerGrades+'!$AG$2,"S","S+"))))))))))))))))))))</f>
        <v>F</v>
      </c>
      <c r="R311" s="937">
        <f t="shared" si="8"/>
        <v>0.6857142857</v>
      </c>
      <c r="S311" s="937" t="str">
        <f>IF(R311&lt;'PlayerGrades+'!$AH$21,"F-",IF(R311&lt;'PlayerGrades+'!$AH$20,"F",IF(R311&lt;'PlayerGrades+'!$AH$19,"F+",IF(R311&lt;'PlayerGrades+'!$AH$18,"E-",IF(R311&lt;'PlayerGrades+'!$AH$17,"E",IF(R311&lt;'PlayerGrades+'!$AH$16,"E+",IF(R311&lt;'PlayerGrades+'!$AH$15,"D-",IF(R311&lt;'PlayerGrades+'!$AH$14,"D",IF(R311&lt;'PlayerGrades+'!$AH$13,"D+",IF(R311&lt;'PlayerGrades+'!$AH$12,"C-",IF(R311&lt;'PlayerGrades+'!$AH$11,"C",IF(R311&lt;'PlayerGrades+'!$AH$10,"C+",IF(R311&lt;'PlayerGrades+'!$AH$9,"B-",IF(R311&lt;'PlayerGrades+'!$AH$8,"B",IF(R311&lt;'PlayerGrades+'!$AH$7,"B+",IF(R311&lt;'PlayerGrades+'!$AH$6,"A-",IF(R311&lt;'PlayerGrades+'!$AH$5,"A",IF(R311&lt;'PlayerGrades+'!$AH$4,"A+",IF(R311&lt;'PlayerGrades+'!$AH$3,"S-",IF(R311&lt;'PlayerGrades+'!$AH$2,"S","S+"))))))))))))))))))))</f>
        <v>S-</v>
      </c>
      <c r="T311" s="937">
        <f t="shared" si="9"/>
        <v>1.6</v>
      </c>
      <c r="U311" s="937" t="str">
        <f>IF(T311&lt;'PlayerGrades+'!$AI$21,"F-",IF(T311&lt;'PlayerGrades+'!$AI$20,"F",IF(T311&lt;'PlayerGrades+'!$AI$19,"F+",IF(T311&lt;'PlayerGrades+'!$AI$18,"E-",IF(T311&lt;'PlayerGrades+'!$AI$17,"E",IF(T311&lt;'PlayerGrades+'!$AI$16,"E+",IF(T311&lt;'PlayerGrades+'!$AI$15,"D-",IF(T311&lt;'PlayerGrades+'!$AI$14,"D",IF(T311&lt;'PlayerGrades+'!$AI$13,"D+",IF(T311&lt;'PlayerGrades+'!$AI$12,"C-",IF(T311&lt;'PlayerGrades+'!$AI$11,"C",IF(T311&lt;'PlayerGrades+'!$AI$10,"C+",IF(T311&lt;'PlayerGrades+'!$AI$9,"B-",IF(T311&lt;'PlayerGrades+'!$AI$8,"B",IF(T311&lt;'PlayerGrades+'!$AI$7,"B+",IF(T311&lt;'PlayerGrades+'!$AI$6,"A-",IF(T311&lt;'PlayerGrades+'!$AI$5,"A",IF(T311&lt;'PlayerGrades+'!$AI$4,"A+",IF(T311&lt;'PlayerGrades+'!$AI$3,"S-",IF(T311&lt;'PlayerGrades+'!$AI$2,"S","S+"))))))))))))))))))))</f>
        <v>S-</v>
      </c>
      <c r="V311" s="941">
        <v>1.0</v>
      </c>
      <c r="W311" s="941">
        <v>0.0</v>
      </c>
      <c r="X311" s="941">
        <v>1.0</v>
      </c>
      <c r="Y311" s="941">
        <v>0.0</v>
      </c>
      <c r="Z311" s="941">
        <v>1.0</v>
      </c>
      <c r="AA311" s="941">
        <v>34.0</v>
      </c>
      <c r="AB311" s="941">
        <v>42.0</v>
      </c>
      <c r="AC311" s="941">
        <v>-8.0</v>
      </c>
      <c r="AD311" s="941">
        <v>5.0</v>
      </c>
      <c r="AE311" s="941">
        <v>3.0</v>
      </c>
      <c r="AF311" s="941">
        <v>1.0</v>
      </c>
      <c r="AG311" s="941">
        <v>513.0</v>
      </c>
      <c r="AH311" s="941">
        <v>700.0</v>
      </c>
      <c r="AI311" s="941">
        <v>12.0</v>
      </c>
      <c r="AJ311" s="941">
        <v>0.0</v>
      </c>
      <c r="AK311" s="941">
        <v>0.0</v>
      </c>
      <c r="AL311" s="941">
        <v>0.0</v>
      </c>
      <c r="AM311" s="941">
        <v>0.0</v>
      </c>
      <c r="AN311" s="941">
        <v>0.0</v>
      </c>
      <c r="AO311" s="941">
        <v>0.0</v>
      </c>
      <c r="AP311" s="941">
        <v>0.0</v>
      </c>
      <c r="AQ311" s="941">
        <v>0.0</v>
      </c>
      <c r="AR311" s="941">
        <v>3.0</v>
      </c>
      <c r="AS311" s="941">
        <v>0.0</v>
      </c>
      <c r="AT311" s="941">
        <v>0.0</v>
      </c>
      <c r="AU311" s="941">
        <v>0.0</v>
      </c>
      <c r="AV311" s="941">
        <v>0.0</v>
      </c>
      <c r="AW311" s="941">
        <v>0.0</v>
      </c>
      <c r="AX311" s="941">
        <v>0.0</v>
      </c>
      <c r="AY311" s="941">
        <v>0.0</v>
      </c>
      <c r="AZ311" s="941">
        <v>0.0</v>
      </c>
      <c r="BA311" s="941">
        <v>0.0</v>
      </c>
      <c r="BB311" s="941">
        <v>0.0</v>
      </c>
      <c r="BC311" s="941">
        <v>0.0</v>
      </c>
      <c r="BD311" s="941">
        <v>3.0</v>
      </c>
      <c r="BE311" s="941">
        <v>7.0</v>
      </c>
      <c r="BF311" s="941">
        <v>1.0</v>
      </c>
      <c r="BG311" s="942">
        <v>0.0</v>
      </c>
    </row>
    <row r="312">
      <c r="A312" s="935" t="s">
        <v>150</v>
      </c>
      <c r="B312" s="16" t="str">
        <f>IF(C312&lt;'PlayerGrades+'!$Y$44,"F-",IF(C312&lt;'PlayerGrades+'!$Y$43,"F",IF(C312&lt;'PlayerGrades+'!$Y$42,"F+",IF(C312&lt;'PlayerGrades+'!$Y$41,"E-",IF(C312&lt;'PlayerGrades+'!$Y$40,"E",IF(C312&lt;'PlayerGrades+'!$Y$39,"E+",IF(C312&lt;'PlayerGrades+'!$Y$38,"D-",IF(C312&lt;'PlayerGrades+'!$Y$37,"D",IF(C312&lt;'PlayerGrades+'!$Y$36,"D+",IF(C312&lt;'PlayerGrades+'!$Y$35,"C-",IF(C312&lt;'PlayerGrades+'!$Y$34,"C",IF(C312&lt;'PlayerGrades+'!$Y$33,"C+",IF(C312&lt;'PlayerGrades+'!$Y$32,"B-",IF(C312&lt;'PlayerGrades+'!$Y$31,"B",IF(C312&lt;'PlayerGrades+'!$Y$30,"B+",IF(C312&lt;'PlayerGrades+'!$Y$29,"A-",IF(C312&lt;'PlayerGrades+'!$Y$28,"A",IF(C312&lt;'PlayerGrades+'!$Y$27,"A+",IF(C312&lt;'PlayerGrades+'!$Y$26,"S-",IF(C312&lt;'PlayerGrades+'!$Y$25,"S","S+"))))))))))))))))))))</f>
        <v>F-</v>
      </c>
      <c r="C312" s="936">
        <f>('PlayerGrades+'!$Y$47*(VLOOKUP(E312, 'PlayerGrades+'!$X$3:$Y$23, 2, FALSE)))+('PlayerGrades+'!$Y$48*(VLOOKUP(G312, 'PlayerGrades+'!$X$3:$Y$23, 2, FALSE)))+('PlayerGrades+'!$Y$49*(VLOOKUP(I312, 'PlayerGrades+'!$X$3:$Y$23, 2, FALSE)))+('PlayerGrades+'!$Y$50*(VLOOKUP(K312, 'PlayerGrades+'!$X$3:$Y$23, 2, FALSE)))+('PlayerGrades+'!$Y$51*(VLOOKUP(M312, 'PlayerGrades+'!$X$3:$Y$23, 2, FALSE)))+('PlayerGrades+'!$Y$52*(VLOOKUP(O312, 'PlayerGrades+'!$X$3:$Y$23, 2, FALSE)))+('PlayerGrades+'!$Y$53*(VLOOKUP(Q312, 'PlayerGrades+'!$X$3:$Y$23, 2, FALSE)))+('PlayerGrades+'!$Y$54*(VLOOKUP(S312, 'PlayerGrades+'!$X$3:$Y$23, 2, FALSE)))+('PlayerGrades+'!$Y$55*(VLOOKUP(U312, 'PlayerGrades+'!$X$3:$Y$23, 2, FALSE)))</f>
        <v>6.1</v>
      </c>
      <c r="D312" s="937">
        <f t="shared" si="1"/>
        <v>0.08571428571</v>
      </c>
      <c r="E312" s="937" t="str">
        <f>IF(D312&lt;'PlayerGrades+'!$AA$21,"F-",IF(D312&lt;'PlayerGrades+'!$AA$20,"F",IF(D312&lt;'PlayerGrades+'!$AA$19,"F+",IF(D312&lt;'PlayerGrades+'!$AA$18,"E-",IF(D312&lt;'PlayerGrades+'!$AA$17,"E",IF(D312&lt;'PlayerGrades+'!$AA$16,"E+",IF(D312&lt;'PlayerGrades+'!$AA$15,"D-",IF(D312&lt;'PlayerGrades+'!$AA$14,"D",IF(D312&lt;'PlayerGrades+'!$AA$13,"D+",IF(D312&lt;'PlayerGrades+'!$AA$12,"C-",IF(D312&lt;'PlayerGrades+'!$AA$11,"C",IF(D312&lt;'PlayerGrades+'!$AA$10,"C+",IF(D312&lt;'PlayerGrades+'!$AA$9,"B-",IF(D312&lt;'PlayerGrades+'!$AA$8,"B",IF(D312&lt;'PlayerGrades+'!$AA$7,"B+",IF(D312&lt;'PlayerGrades+'!$AA$6,"A-",IF(D312&lt;'PlayerGrades+'!$AA$5,"A",IF(D312&lt;'PlayerGrades+'!$AA$4,"A+",IF(D312&lt;'PlayerGrades+'!$AA$3,"S-",IF(D312&lt;'PlayerGrades+'!$AA$2,"S","S+"))))))))))))))))))))</f>
        <v>B</v>
      </c>
      <c r="F312" s="937">
        <f t="shared" si="2"/>
        <v>-2.571428571</v>
      </c>
      <c r="G312" s="937" t="str">
        <f>IF(F312&lt;'PlayerGrades+'!$AB$21,"F-",IF(F312&lt;'PlayerGrades+'!$AB$20,"F",IF(F312&lt;'PlayerGrades+'!$AB$19,"F+",IF(F312&lt;'PlayerGrades+'!$AB$18,"E-",IF(F312&lt;'PlayerGrades+'!$AB$17,"E",IF(F312&lt;'PlayerGrades+'!$AB$16,"E+",IF(F312&lt;'PlayerGrades+'!$AB$15,"D-",IF(F312&lt;'PlayerGrades+'!$AB$14,"D",IF(F312&lt;'PlayerGrades+'!$AB$13,"D+",IF(F312&lt;'PlayerGrades+'!$AB$12,"C-",IF(F312&lt;'PlayerGrades+'!$AB$11,"C",IF(F312&lt;'PlayerGrades+'!$AB$10,"C+",IF(F312&lt;'PlayerGrades+'!$AB$9,"B-",IF(F312&lt;'PlayerGrades+'!$AB$8,"B",IF(F312&lt;'PlayerGrades+'!$AB$7,"B+",IF(F312&lt;'PlayerGrades+'!$AB$6,"A-",IF(F312&lt;'PlayerGrades+'!$AB$5,"A",IF(F312&lt;'PlayerGrades+'!$AB$4,"A+",IF(F312&lt;'PlayerGrades+'!$AB$3,"S-",IF(F312&lt;'PlayerGrades+'!$AB$2,"S","S+"))))))))))))))))))))</f>
        <v>F-</v>
      </c>
      <c r="H312" s="937">
        <f t="shared" si="3"/>
        <v>0</v>
      </c>
      <c r="I312" s="937" t="str">
        <f>IF(H312&lt;'PlayerGrades+'!$AC$21,"F-",IF(H312&lt;'PlayerGrades+'!$AC$20,"F",IF(H312&lt;'PlayerGrades+'!$AC$19,"F+",IF(H312&lt;'PlayerGrades+'!$AC$18,"E-",IF(H312&lt;'PlayerGrades+'!$AC$17,"E",IF(H312&lt;'PlayerGrades+'!$AC$16,"E+",IF(H312&lt;'PlayerGrades+'!$AC$15,"D-",IF(H312&lt;'PlayerGrades+'!$AC$14,"D",IF(H312&lt;'PlayerGrades+'!$AC$13,"D+",IF(H312&lt;'PlayerGrades+'!$AC$12,"C-",IF(H312&lt;'PlayerGrades+'!$AC$11,"C",IF(H312&lt;'PlayerGrades+'!$AC$10,"C+",IF(H312&lt;'PlayerGrades+'!$AC$9,"B-",IF(H312&lt;'PlayerGrades+'!$AC$8,"B",IF(H312&lt;'PlayerGrades+'!$AC$7,"B+",IF(H312&lt;'PlayerGrades+'!$AC$6,"A-",IF(H312&lt;'PlayerGrades+'!$AC$5,"A",IF(H312&lt;'PlayerGrades+'!$AC$4,"A+",IF(H312&lt;'PlayerGrades+'!$AC$3,"S-",IF(H312&lt;'PlayerGrades+'!$AC$2,"S","S+"))))))))))))))))))))</f>
        <v>F-</v>
      </c>
      <c r="J312" s="937">
        <f t="shared" si="4"/>
        <v>0</v>
      </c>
      <c r="K312" s="937" t="str">
        <f>IF(J312&lt;'PlayerGrades+'!$AD$21,"F-",IF(J312&lt;'PlayerGrades+'!$AD$20,"F",IF(J312&lt;'PlayerGrades+'!$AD$19,"F+",IF(J312&lt;'PlayerGrades+'!$AD$18,"E-",IF(J312&lt;'PlayerGrades+'!$AD$17,"E",IF(J312&lt;'PlayerGrades+'!$AD$16,"E+",IF(J312&lt;'PlayerGrades+'!$AD$15,"D-",IF(J312&lt;'PlayerGrades+'!$AD$14,"D",IF(J312&lt;'PlayerGrades+'!$AD$13,"D+",IF(J312&lt;'PlayerGrades+'!$AD$12,"C-",IF(J312&lt;'PlayerGrades+'!$AD$11,"C",IF(J312&lt;'PlayerGrades+'!$AD$10,"C+",IF(J312&lt;'PlayerGrades+'!$AD$9,"B-",IF(J312&lt;'PlayerGrades+'!$AD$8,"B",IF(J312&lt;'PlayerGrades+'!$AD$7,"B+",IF(J312&lt;'PlayerGrades+'!$AD$6,"A-",IF(J312&lt;'PlayerGrades+'!$AD$5,"A",IF(J312&lt;'PlayerGrades+'!$AD$4,"A+",IF(J312&lt;'PlayerGrades+'!$AD$3,"S-",IF(J312&lt;'PlayerGrades+'!$AD$2,"S","S+"))))))))))))))))))))</f>
        <v>F-</v>
      </c>
      <c r="L312" s="677">
        <f t="shared" si="5"/>
        <v>0.08571428571</v>
      </c>
      <c r="M312" s="938" t="str">
        <f>IF(L312&lt;'PlayerGrades+'!$AE$21,"F-",IF(L312&lt;'PlayerGrades+'!$AE$20,"F",IF(L312&lt;'PlayerGrades+'!$AE$19,"F+",IF(L312&lt;'PlayerGrades+'!$AE$18,"E-",IF(L312&lt;'PlayerGrades+'!$AE$17,"E",IF(L312&lt;'PlayerGrades+'!$AE$16,"E+",IF(L312&lt;'PlayerGrades+'!$AE$15,"D-",IF(L312&lt;'PlayerGrades+'!$AE$14,"D",IF(L312&lt;'PlayerGrades+'!$AE$13,"D+",IF(L312&lt;'PlayerGrades+'!$AE$12,"C-",IF(L312&lt;'PlayerGrades+'!$AE$11,"C",IF(L312&lt;'PlayerGrades+'!$AE$10,"C+",IF(L312&lt;'PlayerGrades+'!$AE$9,"B-",IF(L312&lt;'PlayerGrades+'!$AE$8,"B",IF(L312&lt;'PlayerGrades+'!$AE$7,"B+",IF(L312&lt;'PlayerGrades+'!$AE$6,"A-",IF(L312&lt;'PlayerGrades+'!$AE$5,"A",IF(L312&lt;'PlayerGrades+'!$AE$4,"A+",IF(L312&lt;'PlayerGrades+'!$AE$3,"S-",IF(L312&lt;'PlayerGrades+'!$AE$2,"S","S+"))))))))))))))))))))</f>
        <v>F-</v>
      </c>
      <c r="N312" s="937">
        <f t="shared" si="6"/>
        <v>0</v>
      </c>
      <c r="O312" s="937" t="str">
        <f>IF(N312&lt;'PlayerGrades+'!$AF$21,"F-",IF(N312&lt;'PlayerGrades+'!$AF$20,"F",IF(N312&lt;'PlayerGrades+'!$AF$19,"F+",IF(N312&lt;'PlayerGrades+'!$AF$18,"E-",IF(N312&lt;'PlayerGrades+'!$AF$17,"E",IF(N312&lt;'PlayerGrades+'!$AF$16,"E+",IF(N312&lt;'PlayerGrades+'!$AF$15,"D-",IF(N312&lt;'PlayerGrades+'!$AF$14,"D",IF(N312&lt;'PlayerGrades+'!$AF$13,"D+",IF(N312&lt;'PlayerGrades+'!$AF$12,"C-",IF(N312&lt;'PlayerGrades+'!$AF$11,"C",IF(N312&lt;'PlayerGrades+'!$AF$10,"C+",IF(N312&lt;'PlayerGrades+'!$AF$9,"B-",IF(N312&lt;'PlayerGrades+'!$AF$8,"B",IF(N312&lt;'PlayerGrades+'!$AF$7,"B+",IF(N312&lt;'PlayerGrades+'!$AF$6,"A-",IF(N312&lt;'PlayerGrades+'!$AF$5,"A",IF(N312&lt;'PlayerGrades+'!$AF$4,"A+",IF(N312&lt;'PlayerGrades+'!$AF$3,"S-",IF(N312&lt;'PlayerGrades+'!$AF$2,"S","S+"))))))))))))))))))))</f>
        <v>F-</v>
      </c>
      <c r="P312" s="937">
        <f t="shared" si="7"/>
        <v>0</v>
      </c>
      <c r="Q312" s="937" t="str">
        <f>IF(P312&lt;'PlayerGrades+'!$AG$21,"F-",IF(P312&lt;'PlayerGrades+'!$AG$20,"F",IF(P312&lt;'PlayerGrades+'!$AG$19,"F+",IF(P312&lt;'PlayerGrades+'!$AG$18,"E-",IF(P312&lt;'PlayerGrades+'!$AG$17,"E",IF(P312&lt;'PlayerGrades+'!$AG$16,"E+",IF(P312&lt;'PlayerGrades+'!$AG$15,"D-",IF(P312&lt;'PlayerGrades+'!$AG$14,"D",IF(P312&lt;'PlayerGrades+'!$AG$13,"D+",IF(P312&lt;'PlayerGrades+'!$AG$12,"C-",IF(P312&lt;'PlayerGrades+'!$AG$11,"C",IF(P312&lt;'PlayerGrades+'!$AG$10,"C+",IF(P312&lt;'PlayerGrades+'!$AG$9,"B-",IF(P312&lt;'PlayerGrades+'!$AG$8,"B",IF(P312&lt;'PlayerGrades+'!$AG$7,"B+",IF(P312&lt;'PlayerGrades+'!$AG$6,"A-",IF(P312&lt;'PlayerGrades+'!$AG$5,"A",IF(P312&lt;'PlayerGrades+'!$AG$4,"A+",IF(P312&lt;'PlayerGrades+'!$AG$3,"S-",IF(P312&lt;'PlayerGrades+'!$AG$2,"S","S+"))))))))))))))))))))</f>
        <v>F</v>
      </c>
      <c r="R312" s="937">
        <f t="shared" si="8"/>
        <v>0.2571428571</v>
      </c>
      <c r="S312" s="937" t="str">
        <f>IF(R312&lt;'PlayerGrades+'!$AH$21,"F-",IF(R312&lt;'PlayerGrades+'!$AH$20,"F",IF(R312&lt;'PlayerGrades+'!$AH$19,"F+",IF(R312&lt;'PlayerGrades+'!$AH$18,"E-",IF(R312&lt;'PlayerGrades+'!$AH$17,"E",IF(R312&lt;'PlayerGrades+'!$AH$16,"E+",IF(R312&lt;'PlayerGrades+'!$AH$15,"D-",IF(R312&lt;'PlayerGrades+'!$AH$14,"D",IF(R312&lt;'PlayerGrades+'!$AH$13,"D+",IF(R312&lt;'PlayerGrades+'!$AH$12,"C-",IF(R312&lt;'PlayerGrades+'!$AH$11,"C",IF(R312&lt;'PlayerGrades+'!$AH$10,"C+",IF(R312&lt;'PlayerGrades+'!$AH$9,"B-",IF(R312&lt;'PlayerGrades+'!$AH$8,"B",IF(R312&lt;'PlayerGrades+'!$AH$7,"B+",IF(R312&lt;'PlayerGrades+'!$AH$6,"A-",IF(R312&lt;'PlayerGrades+'!$AH$5,"A",IF(R312&lt;'PlayerGrades+'!$AH$4,"A+",IF(R312&lt;'PlayerGrades+'!$AH$3,"S-",IF(R312&lt;'PlayerGrades+'!$AH$2,"S","S+"))))))))))))))))))))</f>
        <v>F-</v>
      </c>
      <c r="T312" s="937">
        <f t="shared" si="9"/>
        <v>0.4285714286</v>
      </c>
      <c r="U312" s="937" t="str">
        <f>IF(T312&lt;'PlayerGrades+'!$AI$21,"F-",IF(T312&lt;'PlayerGrades+'!$AI$20,"F",IF(T312&lt;'PlayerGrades+'!$AI$19,"F+",IF(T312&lt;'PlayerGrades+'!$AI$18,"E-",IF(T312&lt;'PlayerGrades+'!$AI$17,"E",IF(T312&lt;'PlayerGrades+'!$AI$16,"E+",IF(T312&lt;'PlayerGrades+'!$AI$15,"D-",IF(T312&lt;'PlayerGrades+'!$AI$14,"D",IF(T312&lt;'PlayerGrades+'!$AI$13,"D+",IF(T312&lt;'PlayerGrades+'!$AI$12,"C-",IF(T312&lt;'PlayerGrades+'!$AI$11,"C",IF(T312&lt;'PlayerGrades+'!$AI$10,"C+",IF(T312&lt;'PlayerGrades+'!$AI$9,"B-",IF(T312&lt;'PlayerGrades+'!$AI$8,"B",IF(T312&lt;'PlayerGrades+'!$AI$7,"B+",IF(T312&lt;'PlayerGrades+'!$AI$6,"A-",IF(T312&lt;'PlayerGrades+'!$AI$5,"A",IF(T312&lt;'PlayerGrades+'!$AI$4,"A+",IF(T312&lt;'PlayerGrades+'!$AI$3,"S-",IF(T312&lt;'PlayerGrades+'!$AI$2,"S","S+"))))))))))))))))))))</f>
        <v>F-</v>
      </c>
      <c r="V312" s="941">
        <v>1.0</v>
      </c>
      <c r="W312" s="941">
        <v>0.0</v>
      </c>
      <c r="X312" s="941">
        <v>1.0</v>
      </c>
      <c r="Y312" s="941">
        <v>0.0</v>
      </c>
      <c r="Z312" s="941">
        <v>1.0</v>
      </c>
      <c r="AA312" s="941">
        <v>21.0</v>
      </c>
      <c r="AB312" s="941">
        <v>51.0</v>
      </c>
      <c r="AC312" s="941">
        <v>-30.0</v>
      </c>
      <c r="AD312" s="941">
        <v>0.0</v>
      </c>
      <c r="AE312" s="941">
        <v>2.0</v>
      </c>
      <c r="AF312" s="941">
        <v>0.0</v>
      </c>
      <c r="AG312" s="941">
        <v>480.0</v>
      </c>
      <c r="AH312" s="941">
        <v>700.0</v>
      </c>
      <c r="AI312" s="941">
        <v>9.0</v>
      </c>
      <c r="AJ312" s="941">
        <v>70.0</v>
      </c>
      <c r="AK312" s="941">
        <v>0.0</v>
      </c>
      <c r="AL312" s="941">
        <v>0.0</v>
      </c>
      <c r="AM312" s="941">
        <v>0.0</v>
      </c>
      <c r="AN312" s="941">
        <v>0.0</v>
      </c>
      <c r="AO312" s="941">
        <v>0.0</v>
      </c>
      <c r="AP312" s="941">
        <v>0.0</v>
      </c>
      <c r="AQ312" s="941">
        <v>0.0</v>
      </c>
      <c r="AR312" s="941">
        <v>1.0</v>
      </c>
      <c r="AS312" s="941">
        <v>0.0</v>
      </c>
      <c r="AT312" s="941">
        <v>0.0</v>
      </c>
      <c r="AU312" s="941">
        <v>0.0</v>
      </c>
      <c r="AV312" s="941">
        <v>0.0</v>
      </c>
      <c r="AW312" s="941">
        <v>0.0</v>
      </c>
      <c r="AX312" s="941">
        <v>0.0</v>
      </c>
      <c r="AY312" s="941">
        <v>0.0</v>
      </c>
      <c r="AZ312" s="941">
        <v>0.0</v>
      </c>
      <c r="BA312" s="941">
        <v>0.0</v>
      </c>
      <c r="BB312" s="941">
        <v>0.0</v>
      </c>
      <c r="BC312" s="941">
        <v>0.0</v>
      </c>
      <c r="BD312" s="941">
        <v>3.0</v>
      </c>
      <c r="BE312" s="941">
        <v>5.0</v>
      </c>
      <c r="BF312" s="941">
        <v>0.0</v>
      </c>
      <c r="BG312" s="942">
        <v>0.0</v>
      </c>
    </row>
    <row r="313">
      <c r="A313" s="943" t="s">
        <v>128</v>
      </c>
      <c r="B313" s="16" t="str">
        <f>IF(C313&lt;'PlayerGrades+'!$Y$44,"F-",IF(C313&lt;'PlayerGrades+'!$Y$43,"F",IF(C313&lt;'PlayerGrades+'!$Y$42,"F+",IF(C313&lt;'PlayerGrades+'!$Y$41,"E-",IF(C313&lt;'PlayerGrades+'!$Y$40,"E",IF(C313&lt;'PlayerGrades+'!$Y$39,"E+",IF(C313&lt;'PlayerGrades+'!$Y$38,"D-",IF(C313&lt;'PlayerGrades+'!$Y$37,"D",IF(C313&lt;'PlayerGrades+'!$Y$36,"D+",IF(C313&lt;'PlayerGrades+'!$Y$35,"C-",IF(C313&lt;'PlayerGrades+'!$Y$34,"C",IF(C313&lt;'PlayerGrades+'!$Y$33,"C+",IF(C313&lt;'PlayerGrades+'!$Y$32,"B-",IF(C313&lt;'PlayerGrades+'!$Y$31,"B",IF(C313&lt;'PlayerGrades+'!$Y$30,"B+",IF(C313&lt;'PlayerGrades+'!$Y$29,"A-",IF(C313&lt;'PlayerGrades+'!$Y$28,"A",IF(C313&lt;'PlayerGrades+'!$Y$27,"A+",IF(C313&lt;'PlayerGrades+'!$Y$26,"S-",IF(C313&lt;'PlayerGrades+'!$Y$25,"S","S+"))))))))))))))))))))</f>
        <v>C-</v>
      </c>
      <c r="C313" s="936">
        <f>('PlayerGrades+'!$Y$47*(VLOOKUP(E313, 'PlayerGrades+'!$X$3:$Y$23, 2, FALSE)))+('PlayerGrades+'!$Y$48*(VLOOKUP(G313, 'PlayerGrades+'!$X$3:$Y$23, 2, FALSE)))+('PlayerGrades+'!$Y$49*(VLOOKUP(I313, 'PlayerGrades+'!$X$3:$Y$23, 2, FALSE)))+('PlayerGrades+'!$Y$50*(VLOOKUP(K313, 'PlayerGrades+'!$X$3:$Y$23, 2, FALSE)))+('PlayerGrades+'!$Y$51*(VLOOKUP(M313, 'PlayerGrades+'!$X$3:$Y$23, 2, FALSE)))+('PlayerGrades+'!$Y$52*(VLOOKUP(O313, 'PlayerGrades+'!$X$3:$Y$23, 2, FALSE)))+('PlayerGrades+'!$Y$53*(VLOOKUP(Q313, 'PlayerGrades+'!$X$3:$Y$23, 2, FALSE)))+('PlayerGrades+'!$Y$54*(VLOOKUP(S313, 'PlayerGrades+'!$X$3:$Y$23, 2, FALSE)))+('PlayerGrades+'!$Y$55*(VLOOKUP(U313, 'PlayerGrades+'!$X$3:$Y$23, 2, FALSE)))</f>
        <v>18.55</v>
      </c>
      <c r="D313" s="937">
        <f t="shared" si="1"/>
        <v>0.08571428571</v>
      </c>
      <c r="E313" s="937" t="str">
        <f>IF(D313&lt;'PlayerGrades+'!$AA$21,"F-",IF(D313&lt;'PlayerGrades+'!$AA$20,"F",IF(D313&lt;'PlayerGrades+'!$AA$19,"F+",IF(D313&lt;'PlayerGrades+'!$AA$18,"E-",IF(D313&lt;'PlayerGrades+'!$AA$17,"E",IF(D313&lt;'PlayerGrades+'!$AA$16,"E+",IF(D313&lt;'PlayerGrades+'!$AA$15,"D-",IF(D313&lt;'PlayerGrades+'!$AA$14,"D",IF(D313&lt;'PlayerGrades+'!$AA$13,"D+",IF(D313&lt;'PlayerGrades+'!$AA$12,"C-",IF(D313&lt;'PlayerGrades+'!$AA$11,"C",IF(D313&lt;'PlayerGrades+'!$AA$10,"C+",IF(D313&lt;'PlayerGrades+'!$AA$9,"B-",IF(D313&lt;'PlayerGrades+'!$AA$8,"B",IF(D313&lt;'PlayerGrades+'!$AA$7,"B+",IF(D313&lt;'PlayerGrades+'!$AA$6,"A-",IF(D313&lt;'PlayerGrades+'!$AA$5,"A",IF(D313&lt;'PlayerGrades+'!$AA$4,"A+",IF(D313&lt;'PlayerGrades+'!$AA$3,"S-",IF(D313&lt;'PlayerGrades+'!$AA$2,"S","S+"))))))))))))))))))))</f>
        <v>B</v>
      </c>
      <c r="F313" s="937">
        <f t="shared" si="2"/>
        <v>-1.028571429</v>
      </c>
      <c r="G313" s="937" t="str">
        <f>IF(F313&lt;'PlayerGrades+'!$AB$21,"F-",IF(F313&lt;'PlayerGrades+'!$AB$20,"F",IF(F313&lt;'PlayerGrades+'!$AB$19,"F+",IF(F313&lt;'PlayerGrades+'!$AB$18,"E-",IF(F313&lt;'PlayerGrades+'!$AB$17,"E",IF(F313&lt;'PlayerGrades+'!$AB$16,"E+",IF(F313&lt;'PlayerGrades+'!$AB$15,"D-",IF(F313&lt;'PlayerGrades+'!$AB$14,"D",IF(F313&lt;'PlayerGrades+'!$AB$13,"D+",IF(F313&lt;'PlayerGrades+'!$AB$12,"C-",IF(F313&lt;'PlayerGrades+'!$AB$11,"C",IF(F313&lt;'PlayerGrades+'!$AB$10,"C+",IF(F313&lt;'PlayerGrades+'!$AB$9,"B-",IF(F313&lt;'PlayerGrades+'!$AB$8,"B",IF(F313&lt;'PlayerGrades+'!$AB$7,"B+",IF(F313&lt;'PlayerGrades+'!$AB$6,"A-",IF(F313&lt;'PlayerGrades+'!$AB$5,"A",IF(F313&lt;'PlayerGrades+'!$AB$4,"A+",IF(F313&lt;'PlayerGrades+'!$AB$3,"S-",IF(F313&lt;'PlayerGrades+'!$AB$2,"S","S+"))))))))))))))))))))</f>
        <v>F</v>
      </c>
      <c r="H313" s="937">
        <f t="shared" si="3"/>
        <v>0.1714285714</v>
      </c>
      <c r="I313" s="937" t="str">
        <f>IF(H313&lt;'PlayerGrades+'!$AC$21,"F-",IF(H313&lt;'PlayerGrades+'!$AC$20,"F",IF(H313&lt;'PlayerGrades+'!$AC$19,"F+",IF(H313&lt;'PlayerGrades+'!$AC$18,"E-",IF(H313&lt;'PlayerGrades+'!$AC$17,"E",IF(H313&lt;'PlayerGrades+'!$AC$16,"E+",IF(H313&lt;'PlayerGrades+'!$AC$15,"D-",IF(H313&lt;'PlayerGrades+'!$AC$14,"D",IF(H313&lt;'PlayerGrades+'!$AC$13,"D+",IF(H313&lt;'PlayerGrades+'!$AC$12,"C-",IF(H313&lt;'PlayerGrades+'!$AC$11,"C",IF(H313&lt;'PlayerGrades+'!$AC$10,"C+",IF(H313&lt;'PlayerGrades+'!$AC$9,"B-",IF(H313&lt;'PlayerGrades+'!$AC$8,"B",IF(H313&lt;'PlayerGrades+'!$AC$7,"B+",IF(H313&lt;'PlayerGrades+'!$AC$6,"A-",IF(H313&lt;'PlayerGrades+'!$AC$5,"A",IF(H313&lt;'PlayerGrades+'!$AC$4,"A+",IF(H313&lt;'PlayerGrades+'!$AC$3,"S-",IF(H313&lt;'PlayerGrades+'!$AC$2,"S","S+"))))))))))))))))))))</f>
        <v>S-</v>
      </c>
      <c r="J313" s="937">
        <f t="shared" si="4"/>
        <v>0</v>
      </c>
      <c r="K313" s="937" t="str">
        <f>IF(J313&lt;'PlayerGrades+'!$AD$21,"F-",IF(J313&lt;'PlayerGrades+'!$AD$20,"F",IF(J313&lt;'PlayerGrades+'!$AD$19,"F+",IF(J313&lt;'PlayerGrades+'!$AD$18,"E-",IF(J313&lt;'PlayerGrades+'!$AD$17,"E",IF(J313&lt;'PlayerGrades+'!$AD$16,"E+",IF(J313&lt;'PlayerGrades+'!$AD$15,"D-",IF(J313&lt;'PlayerGrades+'!$AD$14,"D",IF(J313&lt;'PlayerGrades+'!$AD$13,"D+",IF(J313&lt;'PlayerGrades+'!$AD$12,"C-",IF(J313&lt;'PlayerGrades+'!$AD$11,"C",IF(J313&lt;'PlayerGrades+'!$AD$10,"C+",IF(J313&lt;'PlayerGrades+'!$AD$9,"B-",IF(J313&lt;'PlayerGrades+'!$AD$8,"B",IF(J313&lt;'PlayerGrades+'!$AD$7,"B+",IF(J313&lt;'PlayerGrades+'!$AD$6,"A-",IF(J313&lt;'PlayerGrades+'!$AD$5,"A",IF(J313&lt;'PlayerGrades+'!$AD$4,"A+",IF(J313&lt;'PlayerGrades+'!$AD$3,"S-",IF(J313&lt;'PlayerGrades+'!$AD$2,"S","S+"))))))))))))))))))))</f>
        <v>F-</v>
      </c>
      <c r="L313" s="677">
        <f t="shared" si="5"/>
        <v>0.4285714286</v>
      </c>
      <c r="M313" s="938" t="str">
        <f>IF(L313&lt;'PlayerGrades+'!$AE$21,"F-",IF(L313&lt;'PlayerGrades+'!$AE$20,"F",IF(L313&lt;'PlayerGrades+'!$AE$19,"F+",IF(L313&lt;'PlayerGrades+'!$AE$18,"E-",IF(L313&lt;'PlayerGrades+'!$AE$17,"E",IF(L313&lt;'PlayerGrades+'!$AE$16,"E+",IF(L313&lt;'PlayerGrades+'!$AE$15,"D-",IF(L313&lt;'PlayerGrades+'!$AE$14,"D",IF(L313&lt;'PlayerGrades+'!$AE$13,"D+",IF(L313&lt;'PlayerGrades+'!$AE$12,"C-",IF(L313&lt;'PlayerGrades+'!$AE$11,"C",IF(L313&lt;'PlayerGrades+'!$AE$10,"C+",IF(L313&lt;'PlayerGrades+'!$AE$9,"B-",IF(L313&lt;'PlayerGrades+'!$AE$8,"B",IF(L313&lt;'PlayerGrades+'!$AE$7,"B+",IF(L313&lt;'PlayerGrades+'!$AE$6,"A-",IF(L313&lt;'PlayerGrades+'!$AE$5,"A",IF(L313&lt;'PlayerGrades+'!$AE$4,"A+",IF(L313&lt;'PlayerGrades+'!$AE$3,"S-",IF(L313&lt;'PlayerGrades+'!$AE$2,"S","S+"))))))))))))))))))))</f>
        <v>C+</v>
      </c>
      <c r="N313" s="937">
        <f t="shared" si="6"/>
        <v>0.08571428571</v>
      </c>
      <c r="O313" s="937" t="str">
        <f>IF(N313&lt;'PlayerGrades+'!$AF$21,"F-",IF(N313&lt;'PlayerGrades+'!$AF$20,"F",IF(N313&lt;'PlayerGrades+'!$AF$19,"F+",IF(N313&lt;'PlayerGrades+'!$AF$18,"E-",IF(N313&lt;'PlayerGrades+'!$AF$17,"E",IF(N313&lt;'PlayerGrades+'!$AF$16,"E+",IF(N313&lt;'PlayerGrades+'!$AF$15,"D-",IF(N313&lt;'PlayerGrades+'!$AF$14,"D",IF(N313&lt;'PlayerGrades+'!$AF$13,"D+",IF(N313&lt;'PlayerGrades+'!$AF$12,"C-",IF(N313&lt;'PlayerGrades+'!$AF$11,"C",IF(N313&lt;'PlayerGrades+'!$AF$10,"C+",IF(N313&lt;'PlayerGrades+'!$AF$9,"B-",IF(N313&lt;'PlayerGrades+'!$AF$8,"B",IF(N313&lt;'PlayerGrades+'!$AF$7,"B+",IF(N313&lt;'PlayerGrades+'!$AF$6,"A-",IF(N313&lt;'PlayerGrades+'!$AF$5,"A",IF(N313&lt;'PlayerGrades+'!$AF$4,"A+",IF(N313&lt;'PlayerGrades+'!$AF$3,"S-",IF(N313&lt;'PlayerGrades+'!$AF$2,"S","S+"))))))))))))))))))))</f>
        <v>B</v>
      </c>
      <c r="P313" s="937">
        <f t="shared" si="7"/>
        <v>0</v>
      </c>
      <c r="Q313" s="937" t="str">
        <f>IF(P313&lt;'PlayerGrades+'!$AG$21,"F-",IF(P313&lt;'PlayerGrades+'!$AG$20,"F",IF(P313&lt;'PlayerGrades+'!$AG$19,"F+",IF(P313&lt;'PlayerGrades+'!$AG$18,"E-",IF(P313&lt;'PlayerGrades+'!$AG$17,"E",IF(P313&lt;'PlayerGrades+'!$AG$16,"E+",IF(P313&lt;'PlayerGrades+'!$AG$15,"D-",IF(P313&lt;'PlayerGrades+'!$AG$14,"D",IF(P313&lt;'PlayerGrades+'!$AG$13,"D+",IF(P313&lt;'PlayerGrades+'!$AG$12,"C-",IF(P313&lt;'PlayerGrades+'!$AG$11,"C",IF(P313&lt;'PlayerGrades+'!$AG$10,"C+",IF(P313&lt;'PlayerGrades+'!$AG$9,"B-",IF(P313&lt;'PlayerGrades+'!$AG$8,"B",IF(P313&lt;'PlayerGrades+'!$AG$7,"B+",IF(P313&lt;'PlayerGrades+'!$AG$6,"A-",IF(P313&lt;'PlayerGrades+'!$AG$5,"A",IF(P313&lt;'PlayerGrades+'!$AG$4,"A+",IF(P313&lt;'PlayerGrades+'!$AG$3,"S-",IF(P313&lt;'PlayerGrades+'!$AG$2,"S","S+"))))))))))))))))))))</f>
        <v>F</v>
      </c>
      <c r="R313" s="937">
        <f t="shared" si="8"/>
        <v>0.4285714286</v>
      </c>
      <c r="S313" s="937" t="str">
        <f>IF(R313&lt;'PlayerGrades+'!$AH$21,"F-",IF(R313&lt;'PlayerGrades+'!$AH$20,"F",IF(R313&lt;'PlayerGrades+'!$AH$19,"F+",IF(R313&lt;'PlayerGrades+'!$AH$18,"E-",IF(R313&lt;'PlayerGrades+'!$AH$17,"E",IF(R313&lt;'PlayerGrades+'!$AH$16,"E+",IF(R313&lt;'PlayerGrades+'!$AH$15,"D-",IF(R313&lt;'PlayerGrades+'!$AH$14,"D",IF(R313&lt;'PlayerGrades+'!$AH$13,"D+",IF(R313&lt;'PlayerGrades+'!$AH$12,"C-",IF(R313&lt;'PlayerGrades+'!$AH$11,"C",IF(R313&lt;'PlayerGrades+'!$AH$10,"C+",IF(R313&lt;'PlayerGrades+'!$AH$9,"B-",IF(R313&lt;'PlayerGrades+'!$AH$8,"B",IF(R313&lt;'PlayerGrades+'!$AH$7,"B+",IF(R313&lt;'PlayerGrades+'!$AH$6,"A-",IF(R313&lt;'PlayerGrades+'!$AH$5,"A",IF(R313&lt;'PlayerGrades+'!$AH$4,"A+",IF(R313&lt;'PlayerGrades+'!$AH$3,"S-",IF(R313&lt;'PlayerGrades+'!$AH$2,"S","S+"))))))))))))))))))))</f>
        <v>F+</v>
      </c>
      <c r="T313" s="937">
        <f t="shared" si="9"/>
        <v>2.514285714</v>
      </c>
      <c r="U313" s="937" t="str">
        <f>IF(T313&lt;'PlayerGrades+'!$AI$21,"F-",IF(T313&lt;'PlayerGrades+'!$AI$20,"F",IF(T313&lt;'PlayerGrades+'!$AI$19,"F+",IF(T313&lt;'PlayerGrades+'!$AI$18,"E-",IF(T313&lt;'PlayerGrades+'!$AI$17,"E",IF(T313&lt;'PlayerGrades+'!$AI$16,"E+",IF(T313&lt;'PlayerGrades+'!$AI$15,"D-",IF(T313&lt;'PlayerGrades+'!$AI$14,"D",IF(T313&lt;'PlayerGrades+'!$AI$13,"D+",IF(T313&lt;'PlayerGrades+'!$AI$12,"C-",IF(T313&lt;'PlayerGrades+'!$AI$11,"C",IF(T313&lt;'PlayerGrades+'!$AI$10,"C+",IF(T313&lt;'PlayerGrades+'!$AI$9,"B-",IF(T313&lt;'PlayerGrades+'!$AI$8,"B",IF(T313&lt;'PlayerGrades+'!$AI$7,"B+",IF(T313&lt;'PlayerGrades+'!$AI$6,"A-",IF(T313&lt;'PlayerGrades+'!$AI$5,"A",IF(T313&lt;'PlayerGrades+'!$AI$4,"A+",IF(T313&lt;'PlayerGrades+'!$AI$3,"S-",IF(T313&lt;'PlayerGrades+'!$AI$2,"S","S+"))))))))))))))))))))</f>
        <v>S+</v>
      </c>
      <c r="V313" s="944">
        <v>1.0</v>
      </c>
      <c r="W313" s="944">
        <v>0.0</v>
      </c>
      <c r="X313" s="944">
        <v>1.0</v>
      </c>
      <c r="Y313" s="944">
        <v>0.0</v>
      </c>
      <c r="Z313" s="944">
        <v>1.0</v>
      </c>
      <c r="AA313" s="944">
        <v>37.0</v>
      </c>
      <c r="AB313" s="944">
        <v>49.0</v>
      </c>
      <c r="AC313" s="944">
        <v>-12.0</v>
      </c>
      <c r="AD313" s="944">
        <v>2.0</v>
      </c>
      <c r="AE313" s="944">
        <v>4.0</v>
      </c>
      <c r="AF313" s="944">
        <v>0.0</v>
      </c>
      <c r="AG313" s="944">
        <v>493.0</v>
      </c>
      <c r="AH313" s="944">
        <v>700.0</v>
      </c>
      <c r="AI313" s="944">
        <v>10.0</v>
      </c>
      <c r="AJ313" s="944">
        <v>2.0</v>
      </c>
      <c r="AK313" s="944">
        <v>0.0</v>
      </c>
      <c r="AL313" s="944">
        <v>0.0</v>
      </c>
      <c r="AM313" s="944">
        <v>0.0</v>
      </c>
      <c r="AN313" s="944">
        <v>0.0</v>
      </c>
      <c r="AO313" s="944">
        <v>0.0</v>
      </c>
      <c r="AP313" s="944">
        <v>0.0</v>
      </c>
      <c r="AQ313" s="944">
        <v>0.0</v>
      </c>
      <c r="AR313" s="944">
        <v>5.0</v>
      </c>
      <c r="AS313" s="944">
        <v>1.0</v>
      </c>
      <c r="AT313" s="944">
        <v>0.0</v>
      </c>
      <c r="AU313" s="944">
        <v>0.0</v>
      </c>
      <c r="AV313" s="944">
        <v>0.0</v>
      </c>
      <c r="AW313" s="944">
        <v>0.0</v>
      </c>
      <c r="AX313" s="944">
        <v>0.0</v>
      </c>
      <c r="AY313" s="944">
        <v>0.0</v>
      </c>
      <c r="AZ313" s="944">
        <v>0.0</v>
      </c>
      <c r="BA313" s="944">
        <v>0.0</v>
      </c>
      <c r="BB313" s="944">
        <v>2.0</v>
      </c>
      <c r="BC313" s="944">
        <v>0.0</v>
      </c>
      <c r="BD313" s="944">
        <v>3.0</v>
      </c>
      <c r="BE313" s="944">
        <v>6.0</v>
      </c>
      <c r="BF313" s="944">
        <v>2.0</v>
      </c>
      <c r="BG313" s="945">
        <v>0.0</v>
      </c>
    </row>
    <row r="314">
      <c r="A314" s="946" t="s">
        <v>154</v>
      </c>
      <c r="B314" s="16" t="str">
        <f>IF(C314&lt;'PlayerGrades+'!$Y$44,"F-",IF(C314&lt;'PlayerGrades+'!$Y$43,"F",IF(C314&lt;'PlayerGrades+'!$Y$42,"F+",IF(C314&lt;'PlayerGrades+'!$Y$41,"E-",IF(C314&lt;'PlayerGrades+'!$Y$40,"E",IF(C314&lt;'PlayerGrades+'!$Y$39,"E+",IF(C314&lt;'PlayerGrades+'!$Y$38,"D-",IF(C314&lt;'PlayerGrades+'!$Y$37,"D",IF(C314&lt;'PlayerGrades+'!$Y$36,"D+",IF(C314&lt;'PlayerGrades+'!$Y$35,"C-",IF(C314&lt;'PlayerGrades+'!$Y$34,"C",IF(C314&lt;'PlayerGrades+'!$Y$33,"C+",IF(C314&lt;'PlayerGrades+'!$Y$32,"B-",IF(C314&lt;'PlayerGrades+'!$Y$31,"B",IF(C314&lt;'PlayerGrades+'!$Y$30,"B+",IF(C314&lt;'PlayerGrades+'!$Y$29,"A-",IF(C314&lt;'PlayerGrades+'!$Y$28,"A",IF(C314&lt;'PlayerGrades+'!$Y$27,"A+",IF(C314&lt;'PlayerGrades+'!$Y$26,"S-",IF(C314&lt;'PlayerGrades+'!$Y$25,"S","S+"))))))))))))))))))))</f>
        <v>F+</v>
      </c>
      <c r="C314" s="936">
        <f>('PlayerGrades+'!$Y$47*(VLOOKUP(E314, 'PlayerGrades+'!$X$3:$Y$23, 2, FALSE)))+('PlayerGrades+'!$Y$48*(VLOOKUP(G314, 'PlayerGrades+'!$X$3:$Y$23, 2, FALSE)))+('PlayerGrades+'!$Y$49*(VLOOKUP(I314, 'PlayerGrades+'!$X$3:$Y$23, 2, FALSE)))+('PlayerGrades+'!$Y$50*(VLOOKUP(K314, 'PlayerGrades+'!$X$3:$Y$23, 2, FALSE)))+('PlayerGrades+'!$Y$51*(VLOOKUP(M314, 'PlayerGrades+'!$X$3:$Y$23, 2, FALSE)))+('PlayerGrades+'!$Y$52*(VLOOKUP(O314, 'PlayerGrades+'!$X$3:$Y$23, 2, FALSE)))+('PlayerGrades+'!$Y$53*(VLOOKUP(Q314, 'PlayerGrades+'!$X$3:$Y$23, 2, FALSE)))+('PlayerGrades+'!$Y$54*(VLOOKUP(S314, 'PlayerGrades+'!$X$3:$Y$23, 2, FALSE)))+('PlayerGrades+'!$Y$55*(VLOOKUP(U314, 'PlayerGrades+'!$X$3:$Y$23, 2, FALSE)))</f>
        <v>10.2</v>
      </c>
      <c r="D314" s="937">
        <f t="shared" si="1"/>
        <v>0.3131524008</v>
      </c>
      <c r="E314" s="937" t="str">
        <f>IF(D314&lt;'PlayerGrades+'!$AA$21,"F-",IF(D314&lt;'PlayerGrades+'!$AA$20,"F",IF(D314&lt;'PlayerGrades+'!$AA$19,"F+",IF(D314&lt;'PlayerGrades+'!$AA$18,"E-",IF(D314&lt;'PlayerGrades+'!$AA$17,"E",IF(D314&lt;'PlayerGrades+'!$AA$16,"E+",IF(D314&lt;'PlayerGrades+'!$AA$15,"D-",IF(D314&lt;'PlayerGrades+'!$AA$14,"D",IF(D314&lt;'PlayerGrades+'!$AA$13,"D+",IF(D314&lt;'PlayerGrades+'!$AA$12,"C-",IF(D314&lt;'PlayerGrades+'!$AA$11,"C",IF(D314&lt;'PlayerGrades+'!$AA$10,"C+",IF(D314&lt;'PlayerGrades+'!$AA$9,"B-",IF(D314&lt;'PlayerGrades+'!$AA$8,"B",IF(D314&lt;'PlayerGrades+'!$AA$7,"B+",IF(D314&lt;'PlayerGrades+'!$AA$6,"A-",IF(D314&lt;'PlayerGrades+'!$AA$5,"A",IF(D314&lt;'PlayerGrades+'!$AA$4,"A+",IF(D314&lt;'PlayerGrades+'!$AA$3,"S-",IF(D314&lt;'PlayerGrades+'!$AA$2,"S","S+"))))))))))))))))))))</f>
        <v>A</v>
      </c>
      <c r="F314" s="937">
        <f t="shared" si="2"/>
        <v>-0.3131524008</v>
      </c>
      <c r="G314" s="937" t="str">
        <f>IF(F314&lt;'PlayerGrades+'!$AB$21,"F-",IF(F314&lt;'PlayerGrades+'!$AB$20,"F",IF(F314&lt;'PlayerGrades+'!$AB$19,"F+",IF(F314&lt;'PlayerGrades+'!$AB$18,"E-",IF(F314&lt;'PlayerGrades+'!$AB$17,"E",IF(F314&lt;'PlayerGrades+'!$AB$16,"E+",IF(F314&lt;'PlayerGrades+'!$AB$15,"D-",IF(F314&lt;'PlayerGrades+'!$AB$14,"D",IF(F314&lt;'PlayerGrades+'!$AB$13,"D+",IF(F314&lt;'PlayerGrades+'!$AB$12,"C-",IF(F314&lt;'PlayerGrades+'!$AB$11,"C",IF(F314&lt;'PlayerGrades+'!$AB$10,"C+",IF(F314&lt;'PlayerGrades+'!$AB$9,"B-",IF(F314&lt;'PlayerGrades+'!$AB$8,"B",IF(F314&lt;'PlayerGrades+'!$AB$7,"B+",IF(F314&lt;'PlayerGrades+'!$AB$6,"A-",IF(F314&lt;'PlayerGrades+'!$AB$5,"A",IF(F314&lt;'PlayerGrades+'!$AB$4,"A+",IF(F314&lt;'PlayerGrades+'!$AB$3,"S-",IF(F314&lt;'PlayerGrades+'!$AB$2,"S","S+"))))))))))))))))))))</f>
        <v>C</v>
      </c>
      <c r="H314" s="937">
        <f t="shared" si="3"/>
        <v>0.03131524008</v>
      </c>
      <c r="I314" s="937" t="str">
        <f>IF(H314&lt;'PlayerGrades+'!$AC$21,"F-",IF(H314&lt;'PlayerGrades+'!$AC$20,"F",IF(H314&lt;'PlayerGrades+'!$AC$19,"F+",IF(H314&lt;'PlayerGrades+'!$AC$18,"E-",IF(H314&lt;'PlayerGrades+'!$AC$17,"E",IF(H314&lt;'PlayerGrades+'!$AC$16,"E+",IF(H314&lt;'PlayerGrades+'!$AC$15,"D-",IF(H314&lt;'PlayerGrades+'!$AC$14,"D",IF(H314&lt;'PlayerGrades+'!$AC$13,"D+",IF(H314&lt;'PlayerGrades+'!$AC$12,"C-",IF(H314&lt;'PlayerGrades+'!$AC$11,"C",IF(H314&lt;'PlayerGrades+'!$AC$10,"C+",IF(H314&lt;'PlayerGrades+'!$AC$9,"B-",IF(H314&lt;'PlayerGrades+'!$AC$8,"B",IF(H314&lt;'PlayerGrades+'!$AC$7,"B+",IF(H314&lt;'PlayerGrades+'!$AC$6,"A-",IF(H314&lt;'PlayerGrades+'!$AC$5,"A",IF(H314&lt;'PlayerGrades+'!$AC$4,"A+",IF(H314&lt;'PlayerGrades+'!$AC$3,"S-",IF(H314&lt;'PlayerGrades+'!$AC$2,"S","S+"))))))))))))))))))))</f>
        <v>F-</v>
      </c>
      <c r="J314" s="937">
        <f t="shared" si="4"/>
        <v>0.03131524008</v>
      </c>
      <c r="K314" s="937" t="str">
        <f>IF(J314&lt;'PlayerGrades+'!$AD$21,"F-",IF(J314&lt;'PlayerGrades+'!$AD$20,"F",IF(J314&lt;'PlayerGrades+'!$AD$19,"F+",IF(J314&lt;'PlayerGrades+'!$AD$18,"E-",IF(J314&lt;'PlayerGrades+'!$AD$17,"E",IF(J314&lt;'PlayerGrades+'!$AD$16,"E+",IF(J314&lt;'PlayerGrades+'!$AD$15,"D-",IF(J314&lt;'PlayerGrades+'!$AD$14,"D",IF(J314&lt;'PlayerGrades+'!$AD$13,"D+",IF(J314&lt;'PlayerGrades+'!$AD$12,"C-",IF(J314&lt;'PlayerGrades+'!$AD$11,"C",IF(J314&lt;'PlayerGrades+'!$AD$10,"C+",IF(J314&lt;'PlayerGrades+'!$AD$9,"B-",IF(J314&lt;'PlayerGrades+'!$AD$8,"B",IF(J314&lt;'PlayerGrades+'!$AD$7,"B+",IF(J314&lt;'PlayerGrades+'!$AD$6,"A-",IF(J314&lt;'PlayerGrades+'!$AD$5,"A",IF(J314&lt;'PlayerGrades+'!$AD$4,"A+",IF(J314&lt;'PlayerGrades+'!$AD$3,"S-",IF(J314&lt;'PlayerGrades+'!$AD$2,"S","S+"))))))))))))))))))))</f>
        <v>C</v>
      </c>
      <c r="L314" s="677">
        <f t="shared" si="5"/>
        <v>0.06263048017</v>
      </c>
      <c r="M314" s="938" t="str">
        <f>IF(L314&lt;'PlayerGrades+'!$AE$21,"F-",IF(L314&lt;'PlayerGrades+'!$AE$20,"F",IF(L314&lt;'PlayerGrades+'!$AE$19,"F+",IF(L314&lt;'PlayerGrades+'!$AE$18,"E-",IF(L314&lt;'PlayerGrades+'!$AE$17,"E",IF(L314&lt;'PlayerGrades+'!$AE$16,"E+",IF(L314&lt;'PlayerGrades+'!$AE$15,"D-",IF(L314&lt;'PlayerGrades+'!$AE$14,"D",IF(L314&lt;'PlayerGrades+'!$AE$13,"D+",IF(L314&lt;'PlayerGrades+'!$AE$12,"C-",IF(L314&lt;'PlayerGrades+'!$AE$11,"C",IF(L314&lt;'PlayerGrades+'!$AE$10,"C+",IF(L314&lt;'PlayerGrades+'!$AE$9,"B-",IF(L314&lt;'PlayerGrades+'!$AE$8,"B",IF(L314&lt;'PlayerGrades+'!$AE$7,"B+",IF(L314&lt;'PlayerGrades+'!$AE$6,"A-",IF(L314&lt;'PlayerGrades+'!$AE$5,"A",IF(L314&lt;'PlayerGrades+'!$AE$4,"A+",IF(L314&lt;'PlayerGrades+'!$AE$3,"S-",IF(L314&lt;'PlayerGrades+'!$AE$2,"S","S+"))))))))))))))))))))</f>
        <v>F-</v>
      </c>
      <c r="N314" s="937">
        <f t="shared" si="6"/>
        <v>0</v>
      </c>
      <c r="O314" s="937" t="str">
        <f>IF(N314&lt;'PlayerGrades+'!$AF$21,"F-",IF(N314&lt;'PlayerGrades+'!$AF$20,"F",IF(N314&lt;'PlayerGrades+'!$AF$19,"F+",IF(N314&lt;'PlayerGrades+'!$AF$18,"E-",IF(N314&lt;'PlayerGrades+'!$AF$17,"E",IF(N314&lt;'PlayerGrades+'!$AF$16,"E+",IF(N314&lt;'PlayerGrades+'!$AF$15,"D-",IF(N314&lt;'PlayerGrades+'!$AF$14,"D",IF(N314&lt;'PlayerGrades+'!$AF$13,"D+",IF(N314&lt;'PlayerGrades+'!$AF$12,"C-",IF(N314&lt;'PlayerGrades+'!$AF$11,"C",IF(N314&lt;'PlayerGrades+'!$AF$10,"C+",IF(N314&lt;'PlayerGrades+'!$AF$9,"B-",IF(N314&lt;'PlayerGrades+'!$AF$8,"B",IF(N314&lt;'PlayerGrades+'!$AF$7,"B+",IF(N314&lt;'PlayerGrades+'!$AF$6,"A-",IF(N314&lt;'PlayerGrades+'!$AF$5,"A",IF(N314&lt;'PlayerGrades+'!$AF$4,"A+",IF(N314&lt;'PlayerGrades+'!$AF$3,"S-",IF(N314&lt;'PlayerGrades+'!$AF$2,"S","S+"))))))))))))))))))))</f>
        <v>F-</v>
      </c>
      <c r="P314" s="937">
        <f t="shared" si="7"/>
        <v>0</v>
      </c>
      <c r="Q314" s="937" t="str">
        <f>IF(P314&lt;'PlayerGrades+'!$AG$21,"F-",IF(P314&lt;'PlayerGrades+'!$AG$20,"F",IF(P314&lt;'PlayerGrades+'!$AG$19,"F+",IF(P314&lt;'PlayerGrades+'!$AG$18,"E-",IF(P314&lt;'PlayerGrades+'!$AG$17,"E",IF(P314&lt;'PlayerGrades+'!$AG$16,"E+",IF(P314&lt;'PlayerGrades+'!$AG$15,"D-",IF(P314&lt;'PlayerGrades+'!$AG$14,"D",IF(P314&lt;'PlayerGrades+'!$AG$13,"D+",IF(P314&lt;'PlayerGrades+'!$AG$12,"C-",IF(P314&lt;'PlayerGrades+'!$AG$11,"C",IF(P314&lt;'PlayerGrades+'!$AG$10,"C+",IF(P314&lt;'PlayerGrades+'!$AG$9,"B-",IF(P314&lt;'PlayerGrades+'!$AG$8,"B",IF(P314&lt;'PlayerGrades+'!$AG$7,"B+",IF(P314&lt;'PlayerGrades+'!$AG$6,"A-",IF(P314&lt;'PlayerGrades+'!$AG$5,"A",IF(P314&lt;'PlayerGrades+'!$AG$4,"A+",IF(P314&lt;'PlayerGrades+'!$AG$3,"S-",IF(P314&lt;'PlayerGrades+'!$AG$2,"S","S+"))))))))))))))))))))</f>
        <v>F</v>
      </c>
      <c r="R314" s="937">
        <f t="shared" si="8"/>
        <v>0.2192066806</v>
      </c>
      <c r="S314" s="937" t="str">
        <f>IF(R314&lt;'PlayerGrades+'!$AH$21,"F-",IF(R314&lt;'PlayerGrades+'!$AH$20,"F",IF(R314&lt;'PlayerGrades+'!$AH$19,"F+",IF(R314&lt;'PlayerGrades+'!$AH$18,"E-",IF(R314&lt;'PlayerGrades+'!$AH$17,"E",IF(R314&lt;'PlayerGrades+'!$AH$16,"E+",IF(R314&lt;'PlayerGrades+'!$AH$15,"D-",IF(R314&lt;'PlayerGrades+'!$AH$14,"D",IF(R314&lt;'PlayerGrades+'!$AH$13,"D+",IF(R314&lt;'PlayerGrades+'!$AH$12,"C-",IF(R314&lt;'PlayerGrades+'!$AH$11,"C",IF(R314&lt;'PlayerGrades+'!$AH$10,"C+",IF(R314&lt;'PlayerGrades+'!$AH$9,"B-",IF(R314&lt;'PlayerGrades+'!$AH$8,"B",IF(R314&lt;'PlayerGrades+'!$AH$7,"B+",IF(R314&lt;'PlayerGrades+'!$AH$6,"A-",IF(R314&lt;'PlayerGrades+'!$AH$5,"A",IF(R314&lt;'PlayerGrades+'!$AH$4,"A+",IF(R314&lt;'PlayerGrades+'!$AH$3,"S-",IF(R314&lt;'PlayerGrades+'!$AH$2,"S","S+"))))))))))))))))))))</f>
        <v>F-</v>
      </c>
      <c r="T314" s="937">
        <f t="shared" si="9"/>
        <v>0.2192066806</v>
      </c>
      <c r="U314" s="937" t="str">
        <f>IF(T314&lt;'PlayerGrades+'!$AI$21,"F-",IF(T314&lt;'PlayerGrades+'!$AI$20,"F",IF(T314&lt;'PlayerGrades+'!$AI$19,"F+",IF(T314&lt;'PlayerGrades+'!$AI$18,"E-",IF(T314&lt;'PlayerGrades+'!$AI$17,"E",IF(T314&lt;'PlayerGrades+'!$AI$16,"E+",IF(T314&lt;'PlayerGrades+'!$AI$15,"D-",IF(T314&lt;'PlayerGrades+'!$AI$14,"D",IF(T314&lt;'PlayerGrades+'!$AI$13,"D+",IF(T314&lt;'PlayerGrades+'!$AI$12,"C-",IF(T314&lt;'PlayerGrades+'!$AI$11,"C",IF(T314&lt;'PlayerGrades+'!$AI$10,"C+",IF(T314&lt;'PlayerGrades+'!$AI$9,"B-",IF(T314&lt;'PlayerGrades+'!$AI$8,"B",IF(T314&lt;'PlayerGrades+'!$AI$7,"B+",IF(T314&lt;'PlayerGrades+'!$AI$6,"A-",IF(T314&lt;'PlayerGrades+'!$AI$5,"A",IF(T314&lt;'PlayerGrades+'!$AI$4,"A+",IF(T314&lt;'PlayerGrades+'!$AI$3,"S-",IF(T314&lt;'PlayerGrades+'!$AI$2,"S","S+"))))))))))))))))))))</f>
        <v>F-</v>
      </c>
      <c r="V314" s="939">
        <v>1.0</v>
      </c>
      <c r="W314" s="939">
        <v>1.0</v>
      </c>
      <c r="X314" s="939">
        <v>0.0</v>
      </c>
      <c r="Y314" s="939">
        <v>4.0</v>
      </c>
      <c r="Z314" s="939">
        <v>6.0</v>
      </c>
      <c r="AA314" s="939">
        <v>45.0</v>
      </c>
      <c r="AB314" s="939">
        <v>55.0</v>
      </c>
      <c r="AC314" s="939">
        <v>-10.0</v>
      </c>
      <c r="AD314" s="939">
        <v>2.0</v>
      </c>
      <c r="AE314" s="939">
        <v>5.0</v>
      </c>
      <c r="AF314" s="939">
        <v>3.0</v>
      </c>
      <c r="AG314" s="939">
        <v>1662.0</v>
      </c>
      <c r="AH314" s="939">
        <v>1916.0</v>
      </c>
      <c r="AI314" s="939">
        <v>30.0</v>
      </c>
      <c r="AJ314" s="939">
        <v>1011.0</v>
      </c>
      <c r="AK314" s="939">
        <v>0.0</v>
      </c>
      <c r="AL314" s="939">
        <v>1.0</v>
      </c>
      <c r="AM314" s="939">
        <v>0.0</v>
      </c>
      <c r="AN314" s="939">
        <v>0.0</v>
      </c>
      <c r="AO314" s="939">
        <v>0.0</v>
      </c>
      <c r="AP314" s="939">
        <v>0.0</v>
      </c>
      <c r="AQ314" s="939">
        <v>0.0</v>
      </c>
      <c r="AR314" s="939">
        <v>2.0</v>
      </c>
      <c r="AS314" s="939">
        <v>0.0</v>
      </c>
      <c r="AT314" s="939">
        <v>0.0</v>
      </c>
      <c r="AU314" s="939">
        <v>0.0</v>
      </c>
      <c r="AV314" s="939">
        <v>0.0</v>
      </c>
      <c r="AW314" s="939">
        <v>0.0</v>
      </c>
      <c r="AX314" s="939">
        <v>0.0</v>
      </c>
      <c r="AY314" s="939">
        <v>0.0</v>
      </c>
      <c r="AZ314" s="939">
        <v>0.0</v>
      </c>
      <c r="BA314" s="939">
        <v>0.0</v>
      </c>
      <c r="BB314" s="939">
        <v>1.0</v>
      </c>
      <c r="BC314" s="939">
        <v>0.0</v>
      </c>
      <c r="BD314" s="939">
        <v>5.0</v>
      </c>
      <c r="BE314" s="939">
        <v>7.0</v>
      </c>
      <c r="BF314" s="939">
        <v>0.0</v>
      </c>
      <c r="BG314" s="940">
        <v>0.0</v>
      </c>
    </row>
    <row r="315">
      <c r="A315" s="935" t="s">
        <v>151</v>
      </c>
      <c r="B315" s="16" t="str">
        <f>IF(C315&lt;'PlayerGrades+'!$Y$44,"F-",IF(C315&lt;'PlayerGrades+'!$Y$43,"F",IF(C315&lt;'PlayerGrades+'!$Y$42,"F+",IF(C315&lt;'PlayerGrades+'!$Y$41,"E-",IF(C315&lt;'PlayerGrades+'!$Y$40,"E",IF(C315&lt;'PlayerGrades+'!$Y$39,"E+",IF(C315&lt;'PlayerGrades+'!$Y$38,"D-",IF(C315&lt;'PlayerGrades+'!$Y$37,"D",IF(C315&lt;'PlayerGrades+'!$Y$36,"D+",IF(C315&lt;'PlayerGrades+'!$Y$35,"C-",IF(C315&lt;'PlayerGrades+'!$Y$34,"C",IF(C315&lt;'PlayerGrades+'!$Y$33,"C+",IF(C315&lt;'PlayerGrades+'!$Y$32,"B-",IF(C315&lt;'PlayerGrades+'!$Y$31,"B",IF(C315&lt;'PlayerGrades+'!$Y$30,"B+",IF(C315&lt;'PlayerGrades+'!$Y$29,"A-",IF(C315&lt;'PlayerGrades+'!$Y$28,"A",IF(C315&lt;'PlayerGrades+'!$Y$27,"A+",IF(C315&lt;'PlayerGrades+'!$Y$26,"S-",IF(C315&lt;'PlayerGrades+'!$Y$25,"S","S+"))))))))))))))))))))</f>
        <v>A</v>
      </c>
      <c r="C315" s="936">
        <f>('PlayerGrades+'!$Y$47*(VLOOKUP(E315, 'PlayerGrades+'!$X$3:$Y$23, 2, FALSE)))+('PlayerGrades+'!$Y$48*(VLOOKUP(G315, 'PlayerGrades+'!$X$3:$Y$23, 2, FALSE)))+('PlayerGrades+'!$Y$49*(VLOOKUP(I315, 'PlayerGrades+'!$X$3:$Y$23, 2, FALSE)))+('PlayerGrades+'!$Y$50*(VLOOKUP(K315, 'PlayerGrades+'!$X$3:$Y$23, 2, FALSE)))+('PlayerGrades+'!$Y$51*(VLOOKUP(M315, 'PlayerGrades+'!$X$3:$Y$23, 2, FALSE)))+('PlayerGrades+'!$Y$52*(VLOOKUP(O315, 'PlayerGrades+'!$X$3:$Y$23, 2, FALSE)))+('PlayerGrades+'!$Y$53*(VLOOKUP(Q315, 'PlayerGrades+'!$X$3:$Y$23, 2, FALSE)))+('PlayerGrades+'!$Y$54*(VLOOKUP(S315, 'PlayerGrades+'!$X$3:$Y$23, 2, FALSE)))+('PlayerGrades+'!$Y$55*(VLOOKUP(U315, 'PlayerGrades+'!$X$3:$Y$23, 2, FALSE)))</f>
        <v>27.05</v>
      </c>
      <c r="D315" s="937">
        <f t="shared" si="1"/>
        <v>0.03131524008</v>
      </c>
      <c r="E315" s="937" t="str">
        <f>IF(D315&lt;'PlayerGrades+'!$AA$21,"F-",IF(D315&lt;'PlayerGrades+'!$AA$20,"F",IF(D315&lt;'PlayerGrades+'!$AA$19,"F+",IF(D315&lt;'PlayerGrades+'!$AA$18,"E-",IF(D315&lt;'PlayerGrades+'!$AA$17,"E",IF(D315&lt;'PlayerGrades+'!$AA$16,"E+",IF(D315&lt;'PlayerGrades+'!$AA$15,"D-",IF(D315&lt;'PlayerGrades+'!$AA$14,"D",IF(D315&lt;'PlayerGrades+'!$AA$13,"D+",IF(D315&lt;'PlayerGrades+'!$AA$12,"C-",IF(D315&lt;'PlayerGrades+'!$AA$11,"C",IF(D315&lt;'PlayerGrades+'!$AA$10,"C+",IF(D315&lt;'PlayerGrades+'!$AA$9,"B-",IF(D315&lt;'PlayerGrades+'!$AA$8,"B",IF(D315&lt;'PlayerGrades+'!$AA$7,"B+",IF(D315&lt;'PlayerGrades+'!$AA$6,"A-",IF(D315&lt;'PlayerGrades+'!$AA$5,"A",IF(D315&lt;'PlayerGrades+'!$AA$4,"A+",IF(D315&lt;'PlayerGrades+'!$AA$3,"S-",IF(D315&lt;'PlayerGrades+'!$AA$2,"S","S+"))))))))))))))))))))</f>
        <v>D+</v>
      </c>
      <c r="F315" s="937">
        <f t="shared" si="2"/>
        <v>0.3131524008</v>
      </c>
      <c r="G315" s="937" t="str">
        <f>IF(F315&lt;'PlayerGrades+'!$AB$21,"F-",IF(F315&lt;'PlayerGrades+'!$AB$20,"F",IF(F315&lt;'PlayerGrades+'!$AB$19,"F+",IF(F315&lt;'PlayerGrades+'!$AB$18,"E-",IF(F315&lt;'PlayerGrades+'!$AB$17,"E",IF(F315&lt;'PlayerGrades+'!$AB$16,"E+",IF(F315&lt;'PlayerGrades+'!$AB$15,"D-",IF(F315&lt;'PlayerGrades+'!$AB$14,"D",IF(F315&lt;'PlayerGrades+'!$AB$13,"D+",IF(F315&lt;'PlayerGrades+'!$AB$12,"C-",IF(F315&lt;'PlayerGrades+'!$AB$11,"C",IF(F315&lt;'PlayerGrades+'!$AB$10,"C+",IF(F315&lt;'PlayerGrades+'!$AB$9,"B-",IF(F315&lt;'PlayerGrades+'!$AB$8,"B",IF(F315&lt;'PlayerGrades+'!$AB$7,"B+",IF(F315&lt;'PlayerGrades+'!$AB$6,"A-",IF(F315&lt;'PlayerGrades+'!$AB$5,"A",IF(F315&lt;'PlayerGrades+'!$AB$4,"A+",IF(F315&lt;'PlayerGrades+'!$AB$3,"S-",IF(F315&lt;'PlayerGrades+'!$AB$2,"S","S+"))))))))))))))))))))</f>
        <v>A-</v>
      </c>
      <c r="H315" s="937">
        <f t="shared" si="3"/>
        <v>0.06263048017</v>
      </c>
      <c r="I315" s="937" t="str">
        <f>IF(H315&lt;'PlayerGrades+'!$AC$21,"F-",IF(H315&lt;'PlayerGrades+'!$AC$20,"F",IF(H315&lt;'PlayerGrades+'!$AC$19,"F+",IF(H315&lt;'PlayerGrades+'!$AC$18,"E-",IF(H315&lt;'PlayerGrades+'!$AC$17,"E",IF(H315&lt;'PlayerGrades+'!$AC$16,"E+",IF(H315&lt;'PlayerGrades+'!$AC$15,"D-",IF(H315&lt;'PlayerGrades+'!$AC$14,"D",IF(H315&lt;'PlayerGrades+'!$AC$13,"D+",IF(H315&lt;'PlayerGrades+'!$AC$12,"C-",IF(H315&lt;'PlayerGrades+'!$AC$11,"C",IF(H315&lt;'PlayerGrades+'!$AC$10,"C+",IF(H315&lt;'PlayerGrades+'!$AC$9,"B-",IF(H315&lt;'PlayerGrades+'!$AC$8,"B",IF(H315&lt;'PlayerGrades+'!$AC$7,"B+",IF(H315&lt;'PlayerGrades+'!$AC$6,"A-",IF(H315&lt;'PlayerGrades+'!$AC$5,"A",IF(H315&lt;'PlayerGrades+'!$AC$4,"A+",IF(H315&lt;'PlayerGrades+'!$AC$3,"S-",IF(H315&lt;'PlayerGrades+'!$AC$2,"S","S+"))))))))))))))))))))</f>
        <v>E-</v>
      </c>
      <c r="J315" s="937">
        <f t="shared" si="4"/>
        <v>0.09394572025</v>
      </c>
      <c r="K315" s="937" t="str">
        <f>IF(J315&lt;'PlayerGrades+'!$AD$21,"F-",IF(J315&lt;'PlayerGrades+'!$AD$20,"F",IF(J315&lt;'PlayerGrades+'!$AD$19,"F+",IF(J315&lt;'PlayerGrades+'!$AD$18,"E-",IF(J315&lt;'PlayerGrades+'!$AD$17,"E",IF(J315&lt;'PlayerGrades+'!$AD$16,"E+",IF(J315&lt;'PlayerGrades+'!$AD$15,"D-",IF(J315&lt;'PlayerGrades+'!$AD$14,"D",IF(J315&lt;'PlayerGrades+'!$AD$13,"D+",IF(J315&lt;'PlayerGrades+'!$AD$12,"C-",IF(J315&lt;'PlayerGrades+'!$AD$11,"C",IF(J315&lt;'PlayerGrades+'!$AD$10,"C+",IF(J315&lt;'PlayerGrades+'!$AD$9,"B-",IF(J315&lt;'PlayerGrades+'!$AD$8,"B",IF(J315&lt;'PlayerGrades+'!$AD$7,"B+",IF(J315&lt;'PlayerGrades+'!$AD$6,"A-",IF(J315&lt;'PlayerGrades+'!$AD$5,"A",IF(J315&lt;'PlayerGrades+'!$AD$4,"A+",IF(J315&lt;'PlayerGrades+'!$AD$3,"S-",IF(J315&lt;'PlayerGrades+'!$AD$2,"S","S+"))))))))))))))))))))</f>
        <v>S-</v>
      </c>
      <c r="L315" s="677">
        <f t="shared" si="5"/>
        <v>0.5636743215</v>
      </c>
      <c r="M315" s="938" t="str">
        <f>IF(L315&lt;'PlayerGrades+'!$AE$21,"F-",IF(L315&lt;'PlayerGrades+'!$AE$20,"F",IF(L315&lt;'PlayerGrades+'!$AE$19,"F+",IF(L315&lt;'PlayerGrades+'!$AE$18,"E-",IF(L315&lt;'PlayerGrades+'!$AE$17,"E",IF(L315&lt;'PlayerGrades+'!$AE$16,"E+",IF(L315&lt;'PlayerGrades+'!$AE$15,"D-",IF(L315&lt;'PlayerGrades+'!$AE$14,"D",IF(L315&lt;'PlayerGrades+'!$AE$13,"D+",IF(L315&lt;'PlayerGrades+'!$AE$12,"C-",IF(L315&lt;'PlayerGrades+'!$AE$11,"C",IF(L315&lt;'PlayerGrades+'!$AE$10,"C+",IF(L315&lt;'PlayerGrades+'!$AE$9,"B-",IF(L315&lt;'PlayerGrades+'!$AE$8,"B",IF(L315&lt;'PlayerGrades+'!$AE$7,"B+",IF(L315&lt;'PlayerGrades+'!$AE$6,"A-",IF(L315&lt;'PlayerGrades+'!$AE$5,"A",IF(L315&lt;'PlayerGrades+'!$AE$4,"A+",IF(L315&lt;'PlayerGrades+'!$AE$3,"S-",IF(L315&lt;'PlayerGrades+'!$AE$2,"S","S+"))))))))))))))))))))</f>
        <v>A</v>
      </c>
      <c r="N315" s="937">
        <f t="shared" si="6"/>
        <v>0.1252609603</v>
      </c>
      <c r="O315" s="937" t="str">
        <f>IF(N315&lt;'PlayerGrades+'!$AF$21,"F-",IF(N315&lt;'PlayerGrades+'!$AF$20,"F",IF(N315&lt;'PlayerGrades+'!$AF$19,"F+",IF(N315&lt;'PlayerGrades+'!$AF$18,"E-",IF(N315&lt;'PlayerGrades+'!$AF$17,"E",IF(N315&lt;'PlayerGrades+'!$AF$16,"E+",IF(N315&lt;'PlayerGrades+'!$AF$15,"D-",IF(N315&lt;'PlayerGrades+'!$AF$14,"D",IF(N315&lt;'PlayerGrades+'!$AF$13,"D+",IF(N315&lt;'PlayerGrades+'!$AF$12,"C-",IF(N315&lt;'PlayerGrades+'!$AF$11,"C",IF(N315&lt;'PlayerGrades+'!$AF$10,"C+",IF(N315&lt;'PlayerGrades+'!$AF$9,"B-",IF(N315&lt;'PlayerGrades+'!$AF$8,"B",IF(N315&lt;'PlayerGrades+'!$AF$7,"B+",IF(N315&lt;'PlayerGrades+'!$AF$6,"A-",IF(N315&lt;'PlayerGrades+'!$AF$5,"A",IF(N315&lt;'PlayerGrades+'!$AF$4,"A+",IF(N315&lt;'PlayerGrades+'!$AF$3,"S-",IF(N315&lt;'PlayerGrades+'!$AF$2,"S","S+"))))))))))))))))))))</f>
        <v>S</v>
      </c>
      <c r="P315" s="937">
        <f t="shared" si="7"/>
        <v>0.09394572025</v>
      </c>
      <c r="Q315" s="937" t="str">
        <f>IF(P315&lt;'PlayerGrades+'!$AG$21,"F-",IF(P315&lt;'PlayerGrades+'!$AG$20,"F",IF(P315&lt;'PlayerGrades+'!$AG$19,"F+",IF(P315&lt;'PlayerGrades+'!$AG$18,"E-",IF(P315&lt;'PlayerGrades+'!$AG$17,"E",IF(P315&lt;'PlayerGrades+'!$AG$16,"E+",IF(P315&lt;'PlayerGrades+'!$AG$15,"D-",IF(P315&lt;'PlayerGrades+'!$AG$14,"D",IF(P315&lt;'PlayerGrades+'!$AG$13,"D+",IF(P315&lt;'PlayerGrades+'!$AG$12,"C-",IF(P315&lt;'PlayerGrades+'!$AG$11,"C",IF(P315&lt;'PlayerGrades+'!$AG$10,"C+",IF(P315&lt;'PlayerGrades+'!$AG$9,"B-",IF(P315&lt;'PlayerGrades+'!$AG$8,"B",IF(P315&lt;'PlayerGrades+'!$AG$7,"B+",IF(P315&lt;'PlayerGrades+'!$AG$6,"A-",IF(P315&lt;'PlayerGrades+'!$AG$5,"A",IF(P315&lt;'PlayerGrades+'!$AG$4,"A+",IF(P315&lt;'PlayerGrades+'!$AG$3,"S-",IF(P315&lt;'PlayerGrades+'!$AG$2,"S","S+"))))))))))))))))))))</f>
        <v>S+</v>
      </c>
      <c r="R315" s="937">
        <f t="shared" si="8"/>
        <v>0.9394572025</v>
      </c>
      <c r="S315" s="937" t="str">
        <f>IF(R315&lt;'PlayerGrades+'!$AH$21,"F-",IF(R315&lt;'PlayerGrades+'!$AH$20,"F",IF(R315&lt;'PlayerGrades+'!$AH$19,"F+",IF(R315&lt;'PlayerGrades+'!$AH$18,"E-",IF(R315&lt;'PlayerGrades+'!$AH$17,"E",IF(R315&lt;'PlayerGrades+'!$AH$16,"E+",IF(R315&lt;'PlayerGrades+'!$AH$15,"D-",IF(R315&lt;'PlayerGrades+'!$AH$14,"D",IF(R315&lt;'PlayerGrades+'!$AH$13,"D+",IF(R315&lt;'PlayerGrades+'!$AH$12,"C-",IF(R315&lt;'PlayerGrades+'!$AH$11,"C",IF(R315&lt;'PlayerGrades+'!$AH$10,"C+",IF(R315&lt;'PlayerGrades+'!$AH$9,"B-",IF(R315&lt;'PlayerGrades+'!$AH$8,"B",IF(R315&lt;'PlayerGrades+'!$AH$7,"B+",IF(R315&lt;'PlayerGrades+'!$AH$6,"A-",IF(R315&lt;'PlayerGrades+'!$AH$5,"A",IF(R315&lt;'PlayerGrades+'!$AH$4,"A+",IF(R315&lt;'PlayerGrades+'!$AH$3,"S-",IF(R315&lt;'PlayerGrades+'!$AH$2,"S","S+"))))))))))))))))))))</f>
        <v>S+</v>
      </c>
      <c r="T315" s="937">
        <f t="shared" si="9"/>
        <v>0.4070981211</v>
      </c>
      <c r="U315" s="937" t="str">
        <f>IF(T315&lt;'PlayerGrades+'!$AI$21,"F-",IF(T315&lt;'PlayerGrades+'!$AI$20,"F",IF(T315&lt;'PlayerGrades+'!$AI$19,"F+",IF(T315&lt;'PlayerGrades+'!$AI$18,"E-",IF(T315&lt;'PlayerGrades+'!$AI$17,"E",IF(T315&lt;'PlayerGrades+'!$AI$16,"E+",IF(T315&lt;'PlayerGrades+'!$AI$15,"D-",IF(T315&lt;'PlayerGrades+'!$AI$14,"D",IF(T315&lt;'PlayerGrades+'!$AI$13,"D+",IF(T315&lt;'PlayerGrades+'!$AI$12,"C-",IF(T315&lt;'PlayerGrades+'!$AI$11,"C",IF(T315&lt;'PlayerGrades+'!$AI$10,"C+",IF(T315&lt;'PlayerGrades+'!$AI$9,"B-",IF(T315&lt;'PlayerGrades+'!$AI$8,"B",IF(T315&lt;'PlayerGrades+'!$AI$7,"B+",IF(T315&lt;'PlayerGrades+'!$AI$6,"A-",IF(T315&lt;'PlayerGrades+'!$AI$5,"A",IF(T315&lt;'PlayerGrades+'!$AI$4,"A+",IF(T315&lt;'PlayerGrades+'!$AI$3,"S-",IF(T315&lt;'PlayerGrades+'!$AI$2,"S","S+"))))))))))))))))))))</f>
        <v>F-</v>
      </c>
      <c r="V315" s="941">
        <v>1.0</v>
      </c>
      <c r="W315" s="941">
        <v>1.0</v>
      </c>
      <c r="X315" s="941">
        <v>0.0</v>
      </c>
      <c r="Y315" s="941">
        <v>1.0</v>
      </c>
      <c r="Z315" s="941">
        <v>0.0</v>
      </c>
      <c r="AA315" s="941">
        <v>115.0</v>
      </c>
      <c r="AB315" s="941">
        <v>105.0</v>
      </c>
      <c r="AC315" s="941">
        <v>10.0</v>
      </c>
      <c r="AD315" s="941">
        <v>15.0</v>
      </c>
      <c r="AE315" s="941">
        <v>10.0</v>
      </c>
      <c r="AF315" s="941">
        <v>2.0</v>
      </c>
      <c r="AG315" s="941">
        <v>1528.0</v>
      </c>
      <c r="AH315" s="941">
        <v>1916.0</v>
      </c>
      <c r="AI315" s="941">
        <v>14.0</v>
      </c>
      <c r="AJ315" s="941">
        <v>0.0</v>
      </c>
      <c r="AK315" s="941">
        <v>0.0</v>
      </c>
      <c r="AL315" s="941">
        <v>3.0</v>
      </c>
      <c r="AM315" s="941">
        <v>1.0</v>
      </c>
      <c r="AN315" s="941">
        <v>0.0</v>
      </c>
      <c r="AO315" s="941">
        <v>0.0</v>
      </c>
      <c r="AP315" s="941">
        <v>3.0</v>
      </c>
      <c r="AQ315" s="941">
        <v>0.0</v>
      </c>
      <c r="AR315" s="941">
        <v>18.0</v>
      </c>
      <c r="AS315" s="941">
        <v>4.0</v>
      </c>
      <c r="AT315" s="941">
        <v>2.0</v>
      </c>
      <c r="AU315" s="941">
        <v>0.0</v>
      </c>
      <c r="AV315" s="941">
        <v>0.0</v>
      </c>
      <c r="AW315" s="941">
        <v>0.0</v>
      </c>
      <c r="AX315" s="941">
        <v>0.0</v>
      </c>
      <c r="AY315" s="941">
        <v>0.0</v>
      </c>
      <c r="AZ315" s="941">
        <v>0.0</v>
      </c>
      <c r="BA315" s="941">
        <v>0.0</v>
      </c>
      <c r="BB315" s="941">
        <v>2.0</v>
      </c>
      <c r="BC315" s="941">
        <v>0.0</v>
      </c>
      <c r="BD315" s="941">
        <v>15.0</v>
      </c>
      <c r="BE315" s="941">
        <v>13.0</v>
      </c>
      <c r="BF315" s="941">
        <v>0.0</v>
      </c>
      <c r="BG315" s="942">
        <v>0.0</v>
      </c>
    </row>
    <row r="316">
      <c r="A316" s="935" t="s">
        <v>132</v>
      </c>
      <c r="B316" s="16" t="str">
        <f>IF(C316&lt;'PlayerGrades+'!$Y$44,"F-",IF(C316&lt;'PlayerGrades+'!$Y$43,"F",IF(C316&lt;'PlayerGrades+'!$Y$42,"F+",IF(C316&lt;'PlayerGrades+'!$Y$41,"E-",IF(C316&lt;'PlayerGrades+'!$Y$40,"E",IF(C316&lt;'PlayerGrades+'!$Y$39,"E+",IF(C316&lt;'PlayerGrades+'!$Y$38,"D-",IF(C316&lt;'PlayerGrades+'!$Y$37,"D",IF(C316&lt;'PlayerGrades+'!$Y$36,"D+",IF(C316&lt;'PlayerGrades+'!$Y$35,"C-",IF(C316&lt;'PlayerGrades+'!$Y$34,"C",IF(C316&lt;'PlayerGrades+'!$Y$33,"C+",IF(C316&lt;'PlayerGrades+'!$Y$32,"B-",IF(C316&lt;'PlayerGrades+'!$Y$31,"B",IF(C316&lt;'PlayerGrades+'!$Y$30,"B+",IF(C316&lt;'PlayerGrades+'!$Y$29,"A-",IF(C316&lt;'PlayerGrades+'!$Y$28,"A",IF(C316&lt;'PlayerGrades+'!$Y$27,"A+",IF(C316&lt;'PlayerGrades+'!$Y$26,"S-",IF(C316&lt;'PlayerGrades+'!$Y$25,"S","S+"))))))))))))))))))))</f>
        <v>A+</v>
      </c>
      <c r="C316" s="936">
        <f>('PlayerGrades+'!$Y$47*(VLOOKUP(E316, 'PlayerGrades+'!$X$3:$Y$23, 2, FALSE)))+('PlayerGrades+'!$Y$48*(VLOOKUP(G316, 'PlayerGrades+'!$X$3:$Y$23, 2, FALSE)))+('PlayerGrades+'!$Y$49*(VLOOKUP(I316, 'PlayerGrades+'!$X$3:$Y$23, 2, FALSE)))+('PlayerGrades+'!$Y$50*(VLOOKUP(K316, 'PlayerGrades+'!$X$3:$Y$23, 2, FALSE)))+('PlayerGrades+'!$Y$51*(VLOOKUP(M316, 'PlayerGrades+'!$X$3:$Y$23, 2, FALSE)))+('PlayerGrades+'!$Y$52*(VLOOKUP(O316, 'PlayerGrades+'!$X$3:$Y$23, 2, FALSE)))+('PlayerGrades+'!$Y$53*(VLOOKUP(Q316, 'PlayerGrades+'!$X$3:$Y$23, 2, FALSE)))+('PlayerGrades+'!$Y$54*(VLOOKUP(S316, 'PlayerGrades+'!$X$3:$Y$23, 2, FALSE)))+('PlayerGrades+'!$Y$55*(VLOOKUP(U316, 'PlayerGrades+'!$X$3:$Y$23, 2, FALSE)))</f>
        <v>28.2</v>
      </c>
      <c r="D316" s="937">
        <f t="shared" si="1"/>
        <v>0.06263048017</v>
      </c>
      <c r="E316" s="937" t="str">
        <f>IF(D316&lt;'PlayerGrades+'!$AA$21,"F-",IF(D316&lt;'PlayerGrades+'!$AA$20,"F",IF(D316&lt;'PlayerGrades+'!$AA$19,"F+",IF(D316&lt;'PlayerGrades+'!$AA$18,"E-",IF(D316&lt;'PlayerGrades+'!$AA$17,"E",IF(D316&lt;'PlayerGrades+'!$AA$16,"E+",IF(D316&lt;'PlayerGrades+'!$AA$15,"D-",IF(D316&lt;'PlayerGrades+'!$AA$14,"D",IF(D316&lt;'PlayerGrades+'!$AA$13,"D+",IF(D316&lt;'PlayerGrades+'!$AA$12,"C-",IF(D316&lt;'PlayerGrades+'!$AA$11,"C",IF(D316&lt;'PlayerGrades+'!$AA$10,"C+",IF(D316&lt;'PlayerGrades+'!$AA$9,"B-",IF(D316&lt;'PlayerGrades+'!$AA$8,"B",IF(D316&lt;'PlayerGrades+'!$AA$7,"B+",IF(D316&lt;'PlayerGrades+'!$AA$6,"A-",IF(D316&lt;'PlayerGrades+'!$AA$5,"A",IF(D316&lt;'PlayerGrades+'!$AA$4,"A+",IF(D316&lt;'PlayerGrades+'!$AA$3,"S-",IF(D316&lt;'PlayerGrades+'!$AA$2,"S","S+"))))))))))))))))))))</f>
        <v>B-</v>
      </c>
      <c r="F316" s="937">
        <f t="shared" si="2"/>
        <v>0.4070981211</v>
      </c>
      <c r="G316" s="937" t="str">
        <f>IF(F316&lt;'PlayerGrades+'!$AB$21,"F-",IF(F316&lt;'PlayerGrades+'!$AB$20,"F",IF(F316&lt;'PlayerGrades+'!$AB$19,"F+",IF(F316&lt;'PlayerGrades+'!$AB$18,"E-",IF(F316&lt;'PlayerGrades+'!$AB$17,"E",IF(F316&lt;'PlayerGrades+'!$AB$16,"E+",IF(F316&lt;'PlayerGrades+'!$AB$15,"D-",IF(F316&lt;'PlayerGrades+'!$AB$14,"D",IF(F316&lt;'PlayerGrades+'!$AB$13,"D+",IF(F316&lt;'PlayerGrades+'!$AB$12,"C-",IF(F316&lt;'PlayerGrades+'!$AB$11,"C",IF(F316&lt;'PlayerGrades+'!$AB$10,"C+",IF(F316&lt;'PlayerGrades+'!$AB$9,"B-",IF(F316&lt;'PlayerGrades+'!$AB$8,"B",IF(F316&lt;'PlayerGrades+'!$AB$7,"B+",IF(F316&lt;'PlayerGrades+'!$AB$6,"A-",IF(F316&lt;'PlayerGrades+'!$AB$5,"A",IF(F316&lt;'PlayerGrades+'!$AB$4,"A+",IF(F316&lt;'PlayerGrades+'!$AB$3,"S-",IF(F316&lt;'PlayerGrades+'!$AB$2,"S","S+"))))))))))))))))))))</f>
        <v>A</v>
      </c>
      <c r="H316" s="937">
        <f t="shared" si="3"/>
        <v>0.03131524008</v>
      </c>
      <c r="I316" s="937" t="str">
        <f>IF(H316&lt;'PlayerGrades+'!$AC$21,"F-",IF(H316&lt;'PlayerGrades+'!$AC$20,"F",IF(H316&lt;'PlayerGrades+'!$AC$19,"F+",IF(H316&lt;'PlayerGrades+'!$AC$18,"E-",IF(H316&lt;'PlayerGrades+'!$AC$17,"E",IF(H316&lt;'PlayerGrades+'!$AC$16,"E+",IF(H316&lt;'PlayerGrades+'!$AC$15,"D-",IF(H316&lt;'PlayerGrades+'!$AC$14,"D",IF(H316&lt;'PlayerGrades+'!$AC$13,"D+",IF(H316&lt;'PlayerGrades+'!$AC$12,"C-",IF(H316&lt;'PlayerGrades+'!$AC$11,"C",IF(H316&lt;'PlayerGrades+'!$AC$10,"C+",IF(H316&lt;'PlayerGrades+'!$AC$9,"B-",IF(H316&lt;'PlayerGrades+'!$AC$8,"B",IF(H316&lt;'PlayerGrades+'!$AC$7,"B+",IF(H316&lt;'PlayerGrades+'!$AC$6,"A-",IF(H316&lt;'PlayerGrades+'!$AC$5,"A",IF(H316&lt;'PlayerGrades+'!$AC$4,"A+",IF(H316&lt;'PlayerGrades+'!$AC$3,"S-",IF(H316&lt;'PlayerGrades+'!$AC$2,"S","S+"))))))))))))))))))))</f>
        <v>F-</v>
      </c>
      <c r="J316" s="937">
        <f t="shared" si="4"/>
        <v>0.03131524008</v>
      </c>
      <c r="K316" s="937" t="str">
        <f>IF(J316&lt;'PlayerGrades+'!$AD$21,"F-",IF(J316&lt;'PlayerGrades+'!$AD$20,"F",IF(J316&lt;'PlayerGrades+'!$AD$19,"F+",IF(J316&lt;'PlayerGrades+'!$AD$18,"E-",IF(J316&lt;'PlayerGrades+'!$AD$17,"E",IF(J316&lt;'PlayerGrades+'!$AD$16,"E+",IF(J316&lt;'PlayerGrades+'!$AD$15,"D-",IF(J316&lt;'PlayerGrades+'!$AD$14,"D",IF(J316&lt;'PlayerGrades+'!$AD$13,"D+",IF(J316&lt;'PlayerGrades+'!$AD$12,"C-",IF(J316&lt;'PlayerGrades+'!$AD$11,"C",IF(J316&lt;'PlayerGrades+'!$AD$10,"C+",IF(J316&lt;'PlayerGrades+'!$AD$9,"B-",IF(J316&lt;'PlayerGrades+'!$AD$8,"B",IF(J316&lt;'PlayerGrades+'!$AD$7,"B+",IF(J316&lt;'PlayerGrades+'!$AD$6,"A-",IF(J316&lt;'PlayerGrades+'!$AD$5,"A",IF(J316&lt;'PlayerGrades+'!$AD$4,"A+",IF(J316&lt;'PlayerGrades+'!$AD$3,"S-",IF(J316&lt;'PlayerGrades+'!$AD$2,"S","S+"))))))))))))))))))))</f>
        <v>C</v>
      </c>
      <c r="L316" s="677">
        <f t="shared" si="5"/>
        <v>0.7202505219</v>
      </c>
      <c r="M316" s="938" t="str">
        <f>IF(L316&lt;'PlayerGrades+'!$AE$21,"F-",IF(L316&lt;'PlayerGrades+'!$AE$20,"F",IF(L316&lt;'PlayerGrades+'!$AE$19,"F+",IF(L316&lt;'PlayerGrades+'!$AE$18,"E-",IF(L316&lt;'PlayerGrades+'!$AE$17,"E",IF(L316&lt;'PlayerGrades+'!$AE$16,"E+",IF(L316&lt;'PlayerGrades+'!$AE$15,"D-",IF(L316&lt;'PlayerGrades+'!$AE$14,"D",IF(L316&lt;'PlayerGrades+'!$AE$13,"D+",IF(L316&lt;'PlayerGrades+'!$AE$12,"C-",IF(L316&lt;'PlayerGrades+'!$AE$11,"C",IF(L316&lt;'PlayerGrades+'!$AE$10,"C+",IF(L316&lt;'PlayerGrades+'!$AE$9,"B-",IF(L316&lt;'PlayerGrades+'!$AE$8,"B",IF(L316&lt;'PlayerGrades+'!$AE$7,"B+",IF(L316&lt;'PlayerGrades+'!$AE$6,"A-",IF(L316&lt;'PlayerGrades+'!$AE$5,"A",IF(L316&lt;'PlayerGrades+'!$AE$4,"A+",IF(L316&lt;'PlayerGrades+'!$AE$3,"S-",IF(L316&lt;'PlayerGrades+'!$AE$2,"S","S+"))))))))))))))))))))</f>
        <v>S+</v>
      </c>
      <c r="N316" s="937">
        <f t="shared" si="6"/>
        <v>0.1252609603</v>
      </c>
      <c r="O316" s="937" t="str">
        <f>IF(N316&lt;'PlayerGrades+'!$AF$21,"F-",IF(N316&lt;'PlayerGrades+'!$AF$20,"F",IF(N316&lt;'PlayerGrades+'!$AF$19,"F+",IF(N316&lt;'PlayerGrades+'!$AF$18,"E-",IF(N316&lt;'PlayerGrades+'!$AF$17,"E",IF(N316&lt;'PlayerGrades+'!$AF$16,"E+",IF(N316&lt;'PlayerGrades+'!$AF$15,"D-",IF(N316&lt;'PlayerGrades+'!$AF$14,"D",IF(N316&lt;'PlayerGrades+'!$AF$13,"D+",IF(N316&lt;'PlayerGrades+'!$AF$12,"C-",IF(N316&lt;'PlayerGrades+'!$AF$11,"C",IF(N316&lt;'PlayerGrades+'!$AF$10,"C+",IF(N316&lt;'PlayerGrades+'!$AF$9,"B-",IF(N316&lt;'PlayerGrades+'!$AF$8,"B",IF(N316&lt;'PlayerGrades+'!$AF$7,"B+",IF(N316&lt;'PlayerGrades+'!$AF$6,"A-",IF(N316&lt;'PlayerGrades+'!$AF$5,"A",IF(N316&lt;'PlayerGrades+'!$AF$4,"A+",IF(N316&lt;'PlayerGrades+'!$AF$3,"S-",IF(N316&lt;'PlayerGrades+'!$AF$2,"S","S+"))))))))))))))))))))</f>
        <v>S</v>
      </c>
      <c r="P316" s="937">
        <f t="shared" si="7"/>
        <v>0.03131524008</v>
      </c>
      <c r="Q316" s="937" t="str">
        <f>IF(P316&lt;'PlayerGrades+'!$AG$21,"F-",IF(P316&lt;'PlayerGrades+'!$AG$20,"F",IF(P316&lt;'PlayerGrades+'!$AG$19,"F+",IF(P316&lt;'PlayerGrades+'!$AG$18,"E-",IF(P316&lt;'PlayerGrades+'!$AG$17,"E",IF(P316&lt;'PlayerGrades+'!$AG$16,"E+",IF(P316&lt;'PlayerGrades+'!$AG$15,"D-",IF(P316&lt;'PlayerGrades+'!$AG$14,"D",IF(P316&lt;'PlayerGrades+'!$AG$13,"D+",IF(P316&lt;'PlayerGrades+'!$AG$12,"C-",IF(P316&lt;'PlayerGrades+'!$AG$11,"C",IF(P316&lt;'PlayerGrades+'!$AG$10,"C+",IF(P316&lt;'PlayerGrades+'!$AG$9,"B-",IF(P316&lt;'PlayerGrades+'!$AG$8,"B",IF(P316&lt;'PlayerGrades+'!$AG$7,"B+",IF(P316&lt;'PlayerGrades+'!$AG$6,"A-",IF(P316&lt;'PlayerGrades+'!$AG$5,"A",IF(P316&lt;'PlayerGrades+'!$AG$4,"A+",IF(P316&lt;'PlayerGrades+'!$AG$3,"S-",IF(P316&lt;'PlayerGrades+'!$AG$2,"S","S+"))))))))))))))))))))</f>
        <v>B+</v>
      </c>
      <c r="R316" s="937">
        <f t="shared" si="8"/>
        <v>0.8455114823</v>
      </c>
      <c r="S316" s="937" t="str">
        <f>IF(R316&lt;'PlayerGrades+'!$AH$21,"F-",IF(R316&lt;'PlayerGrades+'!$AH$20,"F",IF(R316&lt;'PlayerGrades+'!$AH$19,"F+",IF(R316&lt;'PlayerGrades+'!$AH$18,"E-",IF(R316&lt;'PlayerGrades+'!$AH$17,"E",IF(R316&lt;'PlayerGrades+'!$AH$16,"E+",IF(R316&lt;'PlayerGrades+'!$AH$15,"D-",IF(R316&lt;'PlayerGrades+'!$AH$14,"D",IF(R316&lt;'PlayerGrades+'!$AH$13,"D+",IF(R316&lt;'PlayerGrades+'!$AH$12,"C-",IF(R316&lt;'PlayerGrades+'!$AH$11,"C",IF(R316&lt;'PlayerGrades+'!$AH$10,"C+",IF(R316&lt;'PlayerGrades+'!$AH$9,"B-",IF(R316&lt;'PlayerGrades+'!$AH$8,"B",IF(R316&lt;'PlayerGrades+'!$AH$7,"B+",IF(R316&lt;'PlayerGrades+'!$AH$6,"A-",IF(R316&lt;'PlayerGrades+'!$AH$5,"A",IF(R316&lt;'PlayerGrades+'!$AH$4,"A+",IF(R316&lt;'PlayerGrades+'!$AH$3,"S-",IF(R316&lt;'PlayerGrades+'!$AH$2,"S","S+"))))))))))))))))))))</f>
        <v>S+</v>
      </c>
      <c r="T316" s="937">
        <f t="shared" si="9"/>
        <v>1.407098121</v>
      </c>
      <c r="U316" s="937" t="str">
        <f>IF(T316&lt;'PlayerGrades+'!$AI$21,"F-",IF(T316&lt;'PlayerGrades+'!$AI$20,"F",IF(T316&lt;'PlayerGrades+'!$AI$19,"F+",IF(T316&lt;'PlayerGrades+'!$AI$18,"E-",IF(T316&lt;'PlayerGrades+'!$AI$17,"E",IF(T316&lt;'PlayerGrades+'!$AI$16,"E+",IF(T316&lt;'PlayerGrades+'!$AI$15,"D-",IF(T316&lt;'PlayerGrades+'!$AI$14,"D",IF(T316&lt;'PlayerGrades+'!$AI$13,"D+",IF(T316&lt;'PlayerGrades+'!$AI$12,"C-",IF(T316&lt;'PlayerGrades+'!$AI$11,"C",IF(T316&lt;'PlayerGrades+'!$AI$10,"C+",IF(T316&lt;'PlayerGrades+'!$AI$9,"B-",IF(T316&lt;'PlayerGrades+'!$AI$8,"B",IF(T316&lt;'PlayerGrades+'!$AI$7,"B+",IF(T316&lt;'PlayerGrades+'!$AI$6,"A-",IF(T316&lt;'PlayerGrades+'!$AI$5,"A",IF(T316&lt;'PlayerGrades+'!$AI$4,"A+",IF(T316&lt;'PlayerGrades+'!$AI$3,"S-",IF(T316&lt;'PlayerGrades+'!$AI$2,"S","S+"))))))))))))))))))))</f>
        <v>B</v>
      </c>
      <c r="V316" s="941">
        <v>1.0</v>
      </c>
      <c r="W316" s="941">
        <v>1.0</v>
      </c>
      <c r="X316" s="941">
        <v>0.0</v>
      </c>
      <c r="Y316" s="941">
        <v>0.0</v>
      </c>
      <c r="Z316" s="941">
        <v>2.0</v>
      </c>
      <c r="AA316" s="941">
        <v>128.0</v>
      </c>
      <c r="AB316" s="941">
        <v>115.0</v>
      </c>
      <c r="AC316" s="941">
        <v>13.0</v>
      </c>
      <c r="AD316" s="941">
        <v>12.0</v>
      </c>
      <c r="AE316" s="941">
        <v>5.0</v>
      </c>
      <c r="AF316" s="941">
        <v>3.0</v>
      </c>
      <c r="AG316" s="941">
        <v>1494.0</v>
      </c>
      <c r="AH316" s="941">
        <v>1916.0</v>
      </c>
      <c r="AI316" s="941">
        <v>12.0</v>
      </c>
      <c r="AJ316" s="941">
        <v>108.0</v>
      </c>
      <c r="AK316" s="941">
        <v>0.0</v>
      </c>
      <c r="AL316" s="941">
        <v>1.0</v>
      </c>
      <c r="AM316" s="941">
        <v>0.0</v>
      </c>
      <c r="AN316" s="941">
        <v>0.0</v>
      </c>
      <c r="AO316" s="941">
        <v>0.0</v>
      </c>
      <c r="AP316" s="941">
        <v>1.0</v>
      </c>
      <c r="AQ316" s="941">
        <v>0.0</v>
      </c>
      <c r="AR316" s="941">
        <v>23.0</v>
      </c>
      <c r="AS316" s="941">
        <v>4.0</v>
      </c>
      <c r="AT316" s="941">
        <v>1.0</v>
      </c>
      <c r="AU316" s="941">
        <v>1.0</v>
      </c>
      <c r="AV316" s="941">
        <v>0.0</v>
      </c>
      <c r="AW316" s="941">
        <v>0.0</v>
      </c>
      <c r="AX316" s="941">
        <v>0.0</v>
      </c>
      <c r="AY316" s="941">
        <v>0.0</v>
      </c>
      <c r="AZ316" s="941">
        <v>0.0</v>
      </c>
      <c r="BA316" s="941">
        <v>0.0</v>
      </c>
      <c r="BB316" s="941">
        <v>1.0</v>
      </c>
      <c r="BC316" s="941">
        <v>0.0</v>
      </c>
      <c r="BD316" s="941">
        <v>15.0</v>
      </c>
      <c r="BE316" s="941">
        <v>13.0</v>
      </c>
      <c r="BF316" s="941">
        <v>1.0</v>
      </c>
      <c r="BG316" s="942">
        <v>0.0</v>
      </c>
    </row>
    <row r="317">
      <c r="A317" s="935" t="s">
        <v>121</v>
      </c>
      <c r="B317" s="16" t="str">
        <f>IF(C317&lt;'PlayerGrades+'!$Y$44,"F-",IF(C317&lt;'PlayerGrades+'!$Y$43,"F",IF(C317&lt;'PlayerGrades+'!$Y$42,"F+",IF(C317&lt;'PlayerGrades+'!$Y$41,"E-",IF(C317&lt;'PlayerGrades+'!$Y$40,"E",IF(C317&lt;'PlayerGrades+'!$Y$39,"E+",IF(C317&lt;'PlayerGrades+'!$Y$38,"D-",IF(C317&lt;'PlayerGrades+'!$Y$37,"D",IF(C317&lt;'PlayerGrades+'!$Y$36,"D+",IF(C317&lt;'PlayerGrades+'!$Y$35,"C-",IF(C317&lt;'PlayerGrades+'!$Y$34,"C",IF(C317&lt;'PlayerGrades+'!$Y$33,"C+",IF(C317&lt;'PlayerGrades+'!$Y$32,"B-",IF(C317&lt;'PlayerGrades+'!$Y$31,"B",IF(C317&lt;'PlayerGrades+'!$Y$30,"B+",IF(C317&lt;'PlayerGrades+'!$Y$29,"A-",IF(C317&lt;'PlayerGrades+'!$Y$28,"A",IF(C317&lt;'PlayerGrades+'!$Y$27,"A+",IF(C317&lt;'PlayerGrades+'!$Y$26,"S-",IF(C317&lt;'PlayerGrades+'!$Y$25,"S","S+"))))))))))))))))))))</f>
        <v>S+</v>
      </c>
      <c r="C317" s="936">
        <f>('PlayerGrades+'!$Y$47*(VLOOKUP(E317, 'PlayerGrades+'!$X$3:$Y$23, 2, FALSE)))+('PlayerGrades+'!$Y$48*(VLOOKUP(G317, 'PlayerGrades+'!$X$3:$Y$23, 2, FALSE)))+('PlayerGrades+'!$Y$49*(VLOOKUP(I317, 'PlayerGrades+'!$X$3:$Y$23, 2, FALSE)))+('PlayerGrades+'!$Y$50*(VLOOKUP(K317, 'PlayerGrades+'!$X$3:$Y$23, 2, FALSE)))+('PlayerGrades+'!$Y$51*(VLOOKUP(M317, 'PlayerGrades+'!$X$3:$Y$23, 2, FALSE)))+('PlayerGrades+'!$Y$52*(VLOOKUP(O317, 'PlayerGrades+'!$X$3:$Y$23, 2, FALSE)))+('PlayerGrades+'!$Y$53*(VLOOKUP(Q317, 'PlayerGrades+'!$X$3:$Y$23, 2, FALSE)))+('PlayerGrades+'!$Y$54*(VLOOKUP(S317, 'PlayerGrades+'!$X$3:$Y$23, 2, FALSE)))+('PlayerGrades+'!$Y$55*(VLOOKUP(U317, 'PlayerGrades+'!$X$3:$Y$23, 2, FALSE)))</f>
        <v>33.15</v>
      </c>
      <c r="D317" s="937">
        <f t="shared" si="1"/>
        <v>0.03131524008</v>
      </c>
      <c r="E317" s="937" t="str">
        <f>IF(D317&lt;'PlayerGrades+'!$AA$21,"F-",IF(D317&lt;'PlayerGrades+'!$AA$20,"F",IF(D317&lt;'PlayerGrades+'!$AA$19,"F+",IF(D317&lt;'PlayerGrades+'!$AA$18,"E-",IF(D317&lt;'PlayerGrades+'!$AA$17,"E",IF(D317&lt;'PlayerGrades+'!$AA$16,"E+",IF(D317&lt;'PlayerGrades+'!$AA$15,"D-",IF(D317&lt;'PlayerGrades+'!$AA$14,"D",IF(D317&lt;'PlayerGrades+'!$AA$13,"D+",IF(D317&lt;'PlayerGrades+'!$AA$12,"C-",IF(D317&lt;'PlayerGrades+'!$AA$11,"C",IF(D317&lt;'PlayerGrades+'!$AA$10,"C+",IF(D317&lt;'PlayerGrades+'!$AA$9,"B-",IF(D317&lt;'PlayerGrades+'!$AA$8,"B",IF(D317&lt;'PlayerGrades+'!$AA$7,"B+",IF(D317&lt;'PlayerGrades+'!$AA$6,"A-",IF(D317&lt;'PlayerGrades+'!$AA$5,"A",IF(D317&lt;'PlayerGrades+'!$AA$4,"A+",IF(D317&lt;'PlayerGrades+'!$AA$3,"S-",IF(D317&lt;'PlayerGrades+'!$AA$2,"S","S+"))))))))))))))))))))</f>
        <v>D+</v>
      </c>
      <c r="F317" s="937">
        <f t="shared" si="2"/>
        <v>1.565762004</v>
      </c>
      <c r="G317" s="937" t="str">
        <f>IF(F317&lt;'PlayerGrades+'!$AB$21,"F-",IF(F317&lt;'PlayerGrades+'!$AB$20,"F",IF(F317&lt;'PlayerGrades+'!$AB$19,"F+",IF(F317&lt;'PlayerGrades+'!$AB$18,"E-",IF(F317&lt;'PlayerGrades+'!$AB$17,"E",IF(F317&lt;'PlayerGrades+'!$AB$16,"E+",IF(F317&lt;'PlayerGrades+'!$AB$15,"D-",IF(F317&lt;'PlayerGrades+'!$AB$14,"D",IF(F317&lt;'PlayerGrades+'!$AB$13,"D+",IF(F317&lt;'PlayerGrades+'!$AB$12,"C-",IF(F317&lt;'PlayerGrades+'!$AB$11,"C",IF(F317&lt;'PlayerGrades+'!$AB$10,"C+",IF(F317&lt;'PlayerGrades+'!$AB$9,"B-",IF(F317&lt;'PlayerGrades+'!$AB$8,"B",IF(F317&lt;'PlayerGrades+'!$AB$7,"B+",IF(F317&lt;'PlayerGrades+'!$AB$6,"A-",IF(F317&lt;'PlayerGrades+'!$AB$5,"A",IF(F317&lt;'PlayerGrades+'!$AB$4,"A+",IF(F317&lt;'PlayerGrades+'!$AB$3,"S-",IF(F317&lt;'PlayerGrades+'!$AB$2,"S","S+"))))))))))))))))))))</f>
        <v>S+</v>
      </c>
      <c r="H317" s="937">
        <f t="shared" si="3"/>
        <v>0.1252609603</v>
      </c>
      <c r="I317" s="937" t="str">
        <f>IF(H317&lt;'PlayerGrades+'!$AC$21,"F-",IF(H317&lt;'PlayerGrades+'!$AC$20,"F",IF(H317&lt;'PlayerGrades+'!$AC$19,"F+",IF(H317&lt;'PlayerGrades+'!$AC$18,"E-",IF(H317&lt;'PlayerGrades+'!$AC$17,"E",IF(H317&lt;'PlayerGrades+'!$AC$16,"E+",IF(H317&lt;'PlayerGrades+'!$AC$15,"D-",IF(H317&lt;'PlayerGrades+'!$AC$14,"D",IF(H317&lt;'PlayerGrades+'!$AC$13,"D+",IF(H317&lt;'PlayerGrades+'!$AC$12,"C-",IF(H317&lt;'PlayerGrades+'!$AC$11,"C",IF(H317&lt;'PlayerGrades+'!$AC$10,"C+",IF(H317&lt;'PlayerGrades+'!$AC$9,"B-",IF(H317&lt;'PlayerGrades+'!$AC$8,"B",IF(H317&lt;'PlayerGrades+'!$AC$7,"B+",IF(H317&lt;'PlayerGrades+'!$AC$6,"A-",IF(H317&lt;'PlayerGrades+'!$AC$5,"A",IF(H317&lt;'PlayerGrades+'!$AC$4,"A+",IF(H317&lt;'PlayerGrades+'!$AC$3,"S-",IF(H317&lt;'PlayerGrades+'!$AC$2,"S","S+"))))))))))))))))))))</f>
        <v>B-</v>
      </c>
      <c r="J317" s="937">
        <f t="shared" si="4"/>
        <v>0.1252609603</v>
      </c>
      <c r="K317" s="937" t="str">
        <f>IF(J317&lt;'PlayerGrades+'!$AD$21,"F-",IF(J317&lt;'PlayerGrades+'!$AD$20,"F",IF(J317&lt;'PlayerGrades+'!$AD$19,"F+",IF(J317&lt;'PlayerGrades+'!$AD$18,"E-",IF(J317&lt;'PlayerGrades+'!$AD$17,"E",IF(J317&lt;'PlayerGrades+'!$AD$16,"E+",IF(J317&lt;'PlayerGrades+'!$AD$15,"D-",IF(J317&lt;'PlayerGrades+'!$AD$14,"D",IF(J317&lt;'PlayerGrades+'!$AD$13,"D+",IF(J317&lt;'PlayerGrades+'!$AD$12,"C-",IF(J317&lt;'PlayerGrades+'!$AD$11,"C",IF(J317&lt;'PlayerGrades+'!$AD$10,"C+",IF(J317&lt;'PlayerGrades+'!$AD$9,"B-",IF(J317&lt;'PlayerGrades+'!$AD$8,"B",IF(J317&lt;'PlayerGrades+'!$AD$7,"B+",IF(J317&lt;'PlayerGrades+'!$AD$6,"A-",IF(J317&lt;'PlayerGrades+'!$AD$5,"A",IF(J317&lt;'PlayerGrades+'!$AD$4,"A+",IF(J317&lt;'PlayerGrades+'!$AD$3,"S-",IF(J317&lt;'PlayerGrades+'!$AD$2,"S","S+"))))))))))))))))))))</f>
        <v>S+</v>
      </c>
      <c r="L317" s="677">
        <f t="shared" si="5"/>
        <v>0.8768267223</v>
      </c>
      <c r="M317" s="938" t="str">
        <f>IF(L317&lt;'PlayerGrades+'!$AE$21,"F-",IF(L317&lt;'PlayerGrades+'!$AE$20,"F",IF(L317&lt;'PlayerGrades+'!$AE$19,"F+",IF(L317&lt;'PlayerGrades+'!$AE$18,"E-",IF(L317&lt;'PlayerGrades+'!$AE$17,"E",IF(L317&lt;'PlayerGrades+'!$AE$16,"E+",IF(L317&lt;'PlayerGrades+'!$AE$15,"D-",IF(L317&lt;'PlayerGrades+'!$AE$14,"D",IF(L317&lt;'PlayerGrades+'!$AE$13,"D+",IF(L317&lt;'PlayerGrades+'!$AE$12,"C-",IF(L317&lt;'PlayerGrades+'!$AE$11,"C",IF(L317&lt;'PlayerGrades+'!$AE$10,"C+",IF(L317&lt;'PlayerGrades+'!$AE$9,"B-",IF(L317&lt;'PlayerGrades+'!$AE$8,"B",IF(L317&lt;'PlayerGrades+'!$AE$7,"B+",IF(L317&lt;'PlayerGrades+'!$AE$6,"A-",IF(L317&lt;'PlayerGrades+'!$AE$5,"A",IF(L317&lt;'PlayerGrades+'!$AE$4,"A+",IF(L317&lt;'PlayerGrades+'!$AE$3,"S-",IF(L317&lt;'PlayerGrades+'!$AE$2,"S","S+"))))))))))))))))))))</f>
        <v>S+</v>
      </c>
      <c r="N317" s="937">
        <f t="shared" si="6"/>
        <v>0.1565762004</v>
      </c>
      <c r="O317" s="937" t="str">
        <f>IF(N317&lt;'PlayerGrades+'!$AF$21,"F-",IF(N317&lt;'PlayerGrades+'!$AF$20,"F",IF(N317&lt;'PlayerGrades+'!$AF$19,"F+",IF(N317&lt;'PlayerGrades+'!$AF$18,"E-",IF(N317&lt;'PlayerGrades+'!$AF$17,"E",IF(N317&lt;'PlayerGrades+'!$AF$16,"E+",IF(N317&lt;'PlayerGrades+'!$AF$15,"D-",IF(N317&lt;'PlayerGrades+'!$AF$14,"D",IF(N317&lt;'PlayerGrades+'!$AF$13,"D+",IF(N317&lt;'PlayerGrades+'!$AF$12,"C-",IF(N317&lt;'PlayerGrades+'!$AF$11,"C",IF(N317&lt;'PlayerGrades+'!$AF$10,"C+",IF(N317&lt;'PlayerGrades+'!$AF$9,"B-",IF(N317&lt;'PlayerGrades+'!$AF$8,"B",IF(N317&lt;'PlayerGrades+'!$AF$7,"B+",IF(N317&lt;'PlayerGrades+'!$AF$6,"A-",IF(N317&lt;'PlayerGrades+'!$AF$5,"A",IF(N317&lt;'PlayerGrades+'!$AF$4,"A+",IF(N317&lt;'PlayerGrades+'!$AF$3,"S-",IF(N317&lt;'PlayerGrades+'!$AF$2,"S","S+"))))))))))))))))))))</f>
        <v>S+</v>
      </c>
      <c r="P317" s="937">
        <f t="shared" si="7"/>
        <v>0.1252609603</v>
      </c>
      <c r="Q317" s="937" t="str">
        <f>IF(P317&lt;'PlayerGrades+'!$AG$21,"F-",IF(P317&lt;'PlayerGrades+'!$AG$20,"F",IF(P317&lt;'PlayerGrades+'!$AG$19,"F+",IF(P317&lt;'PlayerGrades+'!$AG$18,"E-",IF(P317&lt;'PlayerGrades+'!$AG$17,"E",IF(P317&lt;'PlayerGrades+'!$AG$16,"E+",IF(P317&lt;'PlayerGrades+'!$AG$15,"D-",IF(P317&lt;'PlayerGrades+'!$AG$14,"D",IF(P317&lt;'PlayerGrades+'!$AG$13,"D+",IF(P317&lt;'PlayerGrades+'!$AG$12,"C-",IF(P317&lt;'PlayerGrades+'!$AG$11,"C",IF(P317&lt;'PlayerGrades+'!$AG$10,"C+",IF(P317&lt;'PlayerGrades+'!$AG$9,"B-",IF(P317&lt;'PlayerGrades+'!$AG$8,"B",IF(P317&lt;'PlayerGrades+'!$AG$7,"B+",IF(P317&lt;'PlayerGrades+'!$AG$6,"A-",IF(P317&lt;'PlayerGrades+'!$AG$5,"A",IF(P317&lt;'PlayerGrades+'!$AG$4,"A+",IF(P317&lt;'PlayerGrades+'!$AG$3,"S-",IF(P317&lt;'PlayerGrades+'!$AG$2,"S","S+"))))))))))))))))))))</f>
        <v>S+</v>
      </c>
      <c r="R317" s="937">
        <f t="shared" si="8"/>
        <v>0.751565762</v>
      </c>
      <c r="S317" s="937" t="str">
        <f>IF(R317&lt;'PlayerGrades+'!$AH$21,"F-",IF(R317&lt;'PlayerGrades+'!$AH$20,"F",IF(R317&lt;'PlayerGrades+'!$AH$19,"F+",IF(R317&lt;'PlayerGrades+'!$AH$18,"E-",IF(R317&lt;'PlayerGrades+'!$AH$17,"E",IF(R317&lt;'PlayerGrades+'!$AH$16,"E+",IF(R317&lt;'PlayerGrades+'!$AH$15,"D-",IF(R317&lt;'PlayerGrades+'!$AH$14,"D",IF(R317&lt;'PlayerGrades+'!$AH$13,"D+",IF(R317&lt;'PlayerGrades+'!$AH$12,"C-",IF(R317&lt;'PlayerGrades+'!$AH$11,"C",IF(R317&lt;'PlayerGrades+'!$AH$10,"C+",IF(R317&lt;'PlayerGrades+'!$AH$9,"B-",IF(R317&lt;'PlayerGrades+'!$AH$8,"B",IF(R317&lt;'PlayerGrades+'!$AH$7,"B+",IF(R317&lt;'PlayerGrades+'!$AH$6,"A-",IF(R317&lt;'PlayerGrades+'!$AH$5,"A",IF(R317&lt;'PlayerGrades+'!$AH$4,"A+",IF(R317&lt;'PlayerGrades+'!$AH$3,"S-",IF(R317&lt;'PlayerGrades+'!$AH$2,"S","S+"))))))))))))))))))))</f>
        <v>S</v>
      </c>
      <c r="T317" s="937">
        <f t="shared" si="9"/>
        <v>2.407098121</v>
      </c>
      <c r="U317" s="937" t="str">
        <f>IF(T317&lt;'PlayerGrades+'!$AI$21,"F-",IF(T317&lt;'PlayerGrades+'!$AI$20,"F",IF(T317&lt;'PlayerGrades+'!$AI$19,"F+",IF(T317&lt;'PlayerGrades+'!$AI$18,"E-",IF(T317&lt;'PlayerGrades+'!$AI$17,"E",IF(T317&lt;'PlayerGrades+'!$AI$16,"E+",IF(T317&lt;'PlayerGrades+'!$AI$15,"D-",IF(T317&lt;'PlayerGrades+'!$AI$14,"D",IF(T317&lt;'PlayerGrades+'!$AI$13,"D+",IF(T317&lt;'PlayerGrades+'!$AI$12,"C-",IF(T317&lt;'PlayerGrades+'!$AI$11,"C",IF(T317&lt;'PlayerGrades+'!$AI$10,"C+",IF(T317&lt;'PlayerGrades+'!$AI$9,"B-",IF(T317&lt;'PlayerGrades+'!$AI$8,"B",IF(T317&lt;'PlayerGrades+'!$AI$7,"B+",IF(T317&lt;'PlayerGrades+'!$AI$6,"A-",IF(T317&lt;'PlayerGrades+'!$AI$5,"A",IF(T317&lt;'PlayerGrades+'!$AI$4,"A+",IF(T317&lt;'PlayerGrades+'!$AI$3,"S-",IF(T317&lt;'PlayerGrades+'!$AI$2,"S","S+"))))))))))))))))))))</f>
        <v>S+</v>
      </c>
      <c r="V317" s="941">
        <v>1.0</v>
      </c>
      <c r="W317" s="941">
        <v>1.0</v>
      </c>
      <c r="X317" s="941">
        <v>0.0</v>
      </c>
      <c r="Y317" s="941">
        <v>0.0</v>
      </c>
      <c r="Z317" s="941">
        <v>1.0</v>
      </c>
      <c r="AA317" s="941">
        <v>145.0</v>
      </c>
      <c r="AB317" s="941">
        <v>95.0</v>
      </c>
      <c r="AC317" s="941">
        <v>50.0</v>
      </c>
      <c r="AD317" s="941">
        <v>9.0</v>
      </c>
      <c r="AE317" s="941">
        <v>8.0</v>
      </c>
      <c r="AF317" s="941">
        <v>0.0</v>
      </c>
      <c r="AG317" s="941">
        <v>1548.0</v>
      </c>
      <c r="AH317" s="941">
        <v>1916.0</v>
      </c>
      <c r="AI317" s="941">
        <v>16.0</v>
      </c>
      <c r="AJ317" s="941">
        <v>113.0</v>
      </c>
      <c r="AK317" s="941">
        <v>0.0</v>
      </c>
      <c r="AL317" s="941">
        <v>4.0</v>
      </c>
      <c r="AM317" s="941">
        <v>0.0</v>
      </c>
      <c r="AN317" s="941">
        <v>0.0</v>
      </c>
      <c r="AO317" s="941">
        <v>0.0</v>
      </c>
      <c r="AP317" s="941">
        <v>4.0</v>
      </c>
      <c r="AQ317" s="941">
        <v>0.0</v>
      </c>
      <c r="AR317" s="941">
        <v>28.0</v>
      </c>
      <c r="AS317" s="941">
        <v>5.0</v>
      </c>
      <c r="AT317" s="941">
        <v>1.0</v>
      </c>
      <c r="AU317" s="941">
        <v>1.0</v>
      </c>
      <c r="AV317" s="941">
        <v>1.0</v>
      </c>
      <c r="AW317" s="941">
        <v>1.0</v>
      </c>
      <c r="AX317" s="941">
        <v>0.0</v>
      </c>
      <c r="AY317" s="941">
        <v>0.0</v>
      </c>
      <c r="AZ317" s="941">
        <v>0.0</v>
      </c>
      <c r="BA317" s="941">
        <v>0.0</v>
      </c>
      <c r="BB317" s="941">
        <v>4.0</v>
      </c>
      <c r="BC317" s="941">
        <v>0.0</v>
      </c>
      <c r="BD317" s="941">
        <v>15.0</v>
      </c>
      <c r="BE317" s="941">
        <v>13.0</v>
      </c>
      <c r="BF317" s="941">
        <v>2.0</v>
      </c>
      <c r="BG317" s="942">
        <v>0.0</v>
      </c>
    </row>
    <row r="318">
      <c r="A318" s="935" t="s">
        <v>114</v>
      </c>
      <c r="B318" s="16" t="str">
        <f>IF(C318&lt;'PlayerGrades+'!$Y$44,"F-",IF(C318&lt;'PlayerGrades+'!$Y$43,"F",IF(C318&lt;'PlayerGrades+'!$Y$42,"F+",IF(C318&lt;'PlayerGrades+'!$Y$41,"E-",IF(C318&lt;'PlayerGrades+'!$Y$40,"E",IF(C318&lt;'PlayerGrades+'!$Y$39,"E+",IF(C318&lt;'PlayerGrades+'!$Y$38,"D-",IF(C318&lt;'PlayerGrades+'!$Y$37,"D",IF(C318&lt;'PlayerGrades+'!$Y$36,"D+",IF(C318&lt;'PlayerGrades+'!$Y$35,"C-",IF(C318&lt;'PlayerGrades+'!$Y$34,"C",IF(C318&lt;'PlayerGrades+'!$Y$33,"C+",IF(C318&lt;'PlayerGrades+'!$Y$32,"B-",IF(C318&lt;'PlayerGrades+'!$Y$31,"B",IF(C318&lt;'PlayerGrades+'!$Y$30,"B+",IF(C318&lt;'PlayerGrades+'!$Y$29,"A-",IF(C318&lt;'PlayerGrades+'!$Y$28,"A",IF(C318&lt;'PlayerGrades+'!$Y$27,"A+",IF(C318&lt;'PlayerGrades+'!$Y$26,"S-",IF(C318&lt;'PlayerGrades+'!$Y$25,"S","S+"))))))))))))))))))))</f>
        <v>E-</v>
      </c>
      <c r="C318" s="936">
        <f>('PlayerGrades+'!$Y$47*(VLOOKUP(E318, 'PlayerGrades+'!$X$3:$Y$23, 2, FALSE)))+('PlayerGrades+'!$Y$48*(VLOOKUP(G318, 'PlayerGrades+'!$X$3:$Y$23, 2, FALSE)))+('PlayerGrades+'!$Y$49*(VLOOKUP(I318, 'PlayerGrades+'!$X$3:$Y$23, 2, FALSE)))+('PlayerGrades+'!$Y$50*(VLOOKUP(K318, 'PlayerGrades+'!$X$3:$Y$23, 2, FALSE)))+('PlayerGrades+'!$Y$51*(VLOOKUP(M318, 'PlayerGrades+'!$X$3:$Y$23, 2, FALSE)))+('PlayerGrades+'!$Y$52*(VLOOKUP(O318, 'PlayerGrades+'!$X$3:$Y$23, 2, FALSE)))+('PlayerGrades+'!$Y$53*(VLOOKUP(Q318, 'PlayerGrades+'!$X$3:$Y$23, 2, FALSE)))+('PlayerGrades+'!$Y$54*(VLOOKUP(S318, 'PlayerGrades+'!$X$3:$Y$23, 2, FALSE)))+('PlayerGrades+'!$Y$55*(VLOOKUP(U318, 'PlayerGrades+'!$X$3:$Y$23, 2, FALSE)))</f>
        <v>11.3</v>
      </c>
      <c r="D318" s="937">
        <f t="shared" si="1"/>
        <v>0.09394572025</v>
      </c>
      <c r="E318" s="937" t="str">
        <f>IF(D318&lt;'PlayerGrades+'!$AA$21,"F-",IF(D318&lt;'PlayerGrades+'!$AA$20,"F",IF(D318&lt;'PlayerGrades+'!$AA$19,"F+",IF(D318&lt;'PlayerGrades+'!$AA$18,"E-",IF(D318&lt;'PlayerGrades+'!$AA$17,"E",IF(D318&lt;'PlayerGrades+'!$AA$16,"E+",IF(D318&lt;'PlayerGrades+'!$AA$15,"D-",IF(D318&lt;'PlayerGrades+'!$AA$14,"D",IF(D318&lt;'PlayerGrades+'!$AA$13,"D+",IF(D318&lt;'PlayerGrades+'!$AA$12,"C-",IF(D318&lt;'PlayerGrades+'!$AA$11,"C",IF(D318&lt;'PlayerGrades+'!$AA$10,"C+",IF(D318&lt;'PlayerGrades+'!$AA$9,"B-",IF(D318&lt;'PlayerGrades+'!$AA$8,"B",IF(D318&lt;'PlayerGrades+'!$AA$7,"B+",IF(D318&lt;'PlayerGrades+'!$AA$6,"A-",IF(D318&lt;'PlayerGrades+'!$AA$5,"A",IF(D318&lt;'PlayerGrades+'!$AA$4,"A+",IF(D318&lt;'PlayerGrades+'!$AA$3,"S-",IF(D318&lt;'PlayerGrades+'!$AA$2,"S","S+"))))))))))))))))))))</f>
        <v>B</v>
      </c>
      <c r="F318" s="937">
        <f t="shared" si="2"/>
        <v>-0.03131524008</v>
      </c>
      <c r="G318" s="937" t="str">
        <f>IF(F318&lt;'PlayerGrades+'!$AB$21,"F-",IF(F318&lt;'PlayerGrades+'!$AB$20,"F",IF(F318&lt;'PlayerGrades+'!$AB$19,"F+",IF(F318&lt;'PlayerGrades+'!$AB$18,"E-",IF(F318&lt;'PlayerGrades+'!$AB$17,"E",IF(F318&lt;'PlayerGrades+'!$AB$16,"E+",IF(F318&lt;'PlayerGrades+'!$AB$15,"D-",IF(F318&lt;'PlayerGrades+'!$AB$14,"D",IF(F318&lt;'PlayerGrades+'!$AB$13,"D+",IF(F318&lt;'PlayerGrades+'!$AB$12,"C-",IF(F318&lt;'PlayerGrades+'!$AB$11,"C",IF(F318&lt;'PlayerGrades+'!$AB$10,"C+",IF(F318&lt;'PlayerGrades+'!$AB$9,"B-",IF(F318&lt;'PlayerGrades+'!$AB$8,"B",IF(F318&lt;'PlayerGrades+'!$AB$7,"B+",IF(F318&lt;'PlayerGrades+'!$AB$6,"A-",IF(F318&lt;'PlayerGrades+'!$AB$5,"A",IF(F318&lt;'PlayerGrades+'!$AB$4,"A+",IF(F318&lt;'PlayerGrades+'!$AB$3,"S-",IF(F318&lt;'PlayerGrades+'!$AB$2,"S","S+"))))))))))))))))))))</f>
        <v>B-</v>
      </c>
      <c r="H318" s="937">
        <f t="shared" si="3"/>
        <v>0</v>
      </c>
      <c r="I318" s="937" t="str">
        <f>IF(H318&lt;'PlayerGrades+'!$AC$21,"F-",IF(H318&lt;'PlayerGrades+'!$AC$20,"F",IF(H318&lt;'PlayerGrades+'!$AC$19,"F+",IF(H318&lt;'PlayerGrades+'!$AC$18,"E-",IF(H318&lt;'PlayerGrades+'!$AC$17,"E",IF(H318&lt;'PlayerGrades+'!$AC$16,"E+",IF(H318&lt;'PlayerGrades+'!$AC$15,"D-",IF(H318&lt;'PlayerGrades+'!$AC$14,"D",IF(H318&lt;'PlayerGrades+'!$AC$13,"D+",IF(H318&lt;'PlayerGrades+'!$AC$12,"C-",IF(H318&lt;'PlayerGrades+'!$AC$11,"C",IF(H318&lt;'PlayerGrades+'!$AC$10,"C+",IF(H318&lt;'PlayerGrades+'!$AC$9,"B-",IF(H318&lt;'PlayerGrades+'!$AC$8,"B",IF(H318&lt;'PlayerGrades+'!$AC$7,"B+",IF(H318&lt;'PlayerGrades+'!$AC$6,"A-",IF(H318&lt;'PlayerGrades+'!$AC$5,"A",IF(H318&lt;'PlayerGrades+'!$AC$4,"A+",IF(H318&lt;'PlayerGrades+'!$AC$3,"S-",IF(H318&lt;'PlayerGrades+'!$AC$2,"S","S+"))))))))))))))))))))</f>
        <v>F-</v>
      </c>
      <c r="J318" s="937">
        <f t="shared" si="4"/>
        <v>0</v>
      </c>
      <c r="K318" s="937" t="str">
        <f>IF(J318&lt;'PlayerGrades+'!$AD$21,"F-",IF(J318&lt;'PlayerGrades+'!$AD$20,"F",IF(J318&lt;'PlayerGrades+'!$AD$19,"F+",IF(J318&lt;'PlayerGrades+'!$AD$18,"E-",IF(J318&lt;'PlayerGrades+'!$AD$17,"E",IF(J318&lt;'PlayerGrades+'!$AD$16,"E+",IF(J318&lt;'PlayerGrades+'!$AD$15,"D-",IF(J318&lt;'PlayerGrades+'!$AD$14,"D",IF(J318&lt;'PlayerGrades+'!$AD$13,"D+",IF(J318&lt;'PlayerGrades+'!$AD$12,"C-",IF(J318&lt;'PlayerGrades+'!$AD$11,"C",IF(J318&lt;'PlayerGrades+'!$AD$10,"C+",IF(J318&lt;'PlayerGrades+'!$AD$9,"B-",IF(J318&lt;'PlayerGrades+'!$AD$8,"B",IF(J318&lt;'PlayerGrades+'!$AD$7,"B+",IF(J318&lt;'PlayerGrades+'!$AD$6,"A-",IF(J318&lt;'PlayerGrades+'!$AD$5,"A",IF(J318&lt;'PlayerGrades+'!$AD$4,"A+",IF(J318&lt;'PlayerGrades+'!$AD$3,"S-",IF(J318&lt;'PlayerGrades+'!$AD$2,"S","S+"))))))))))))))))))))</f>
        <v>F-</v>
      </c>
      <c r="L318" s="677">
        <f t="shared" si="5"/>
        <v>0.2505219207</v>
      </c>
      <c r="M318" s="938" t="str">
        <f>IF(L318&lt;'PlayerGrades+'!$AE$21,"F-",IF(L318&lt;'PlayerGrades+'!$AE$20,"F",IF(L318&lt;'PlayerGrades+'!$AE$19,"F+",IF(L318&lt;'PlayerGrades+'!$AE$18,"E-",IF(L318&lt;'PlayerGrades+'!$AE$17,"E",IF(L318&lt;'PlayerGrades+'!$AE$16,"E+",IF(L318&lt;'PlayerGrades+'!$AE$15,"D-",IF(L318&lt;'PlayerGrades+'!$AE$14,"D",IF(L318&lt;'PlayerGrades+'!$AE$13,"D+",IF(L318&lt;'PlayerGrades+'!$AE$12,"C-",IF(L318&lt;'PlayerGrades+'!$AE$11,"C",IF(L318&lt;'PlayerGrades+'!$AE$10,"C+",IF(L318&lt;'PlayerGrades+'!$AE$9,"B-",IF(L318&lt;'PlayerGrades+'!$AE$8,"B",IF(L318&lt;'PlayerGrades+'!$AE$7,"B+",IF(L318&lt;'PlayerGrades+'!$AE$6,"A-",IF(L318&lt;'PlayerGrades+'!$AE$5,"A",IF(L318&lt;'PlayerGrades+'!$AE$4,"A+",IF(L318&lt;'PlayerGrades+'!$AE$3,"S-",IF(L318&lt;'PlayerGrades+'!$AE$2,"S","S+"))))))))))))))))))))</f>
        <v>F</v>
      </c>
      <c r="N318" s="937">
        <f t="shared" si="6"/>
        <v>0</v>
      </c>
      <c r="O318" s="937" t="str">
        <f>IF(N318&lt;'PlayerGrades+'!$AF$21,"F-",IF(N318&lt;'PlayerGrades+'!$AF$20,"F",IF(N318&lt;'PlayerGrades+'!$AF$19,"F+",IF(N318&lt;'PlayerGrades+'!$AF$18,"E-",IF(N318&lt;'PlayerGrades+'!$AF$17,"E",IF(N318&lt;'PlayerGrades+'!$AF$16,"E+",IF(N318&lt;'PlayerGrades+'!$AF$15,"D-",IF(N318&lt;'PlayerGrades+'!$AF$14,"D",IF(N318&lt;'PlayerGrades+'!$AF$13,"D+",IF(N318&lt;'PlayerGrades+'!$AF$12,"C-",IF(N318&lt;'PlayerGrades+'!$AF$11,"C",IF(N318&lt;'PlayerGrades+'!$AF$10,"C+",IF(N318&lt;'PlayerGrades+'!$AF$9,"B-",IF(N318&lt;'PlayerGrades+'!$AF$8,"B",IF(N318&lt;'PlayerGrades+'!$AF$7,"B+",IF(N318&lt;'PlayerGrades+'!$AF$6,"A-",IF(N318&lt;'PlayerGrades+'!$AF$5,"A",IF(N318&lt;'PlayerGrades+'!$AF$4,"A+",IF(N318&lt;'PlayerGrades+'!$AF$3,"S-",IF(N318&lt;'PlayerGrades+'!$AF$2,"S","S+"))))))))))))))))))))</f>
        <v>F-</v>
      </c>
      <c r="P318" s="937">
        <f t="shared" si="7"/>
        <v>0</v>
      </c>
      <c r="Q318" s="937" t="str">
        <f>IF(P318&lt;'PlayerGrades+'!$AG$21,"F-",IF(P318&lt;'PlayerGrades+'!$AG$20,"F",IF(P318&lt;'PlayerGrades+'!$AG$19,"F+",IF(P318&lt;'PlayerGrades+'!$AG$18,"E-",IF(P318&lt;'PlayerGrades+'!$AG$17,"E",IF(P318&lt;'PlayerGrades+'!$AG$16,"E+",IF(P318&lt;'PlayerGrades+'!$AG$15,"D-",IF(P318&lt;'PlayerGrades+'!$AG$14,"D",IF(P318&lt;'PlayerGrades+'!$AG$13,"D+",IF(P318&lt;'PlayerGrades+'!$AG$12,"C-",IF(P318&lt;'PlayerGrades+'!$AG$11,"C",IF(P318&lt;'PlayerGrades+'!$AG$10,"C+",IF(P318&lt;'PlayerGrades+'!$AG$9,"B-",IF(P318&lt;'PlayerGrades+'!$AG$8,"B",IF(P318&lt;'PlayerGrades+'!$AG$7,"B+",IF(P318&lt;'PlayerGrades+'!$AG$6,"A-",IF(P318&lt;'PlayerGrades+'!$AG$5,"A",IF(P318&lt;'PlayerGrades+'!$AG$4,"A+",IF(P318&lt;'PlayerGrades+'!$AG$3,"S-",IF(P318&lt;'PlayerGrades+'!$AG$2,"S","S+"))))))))))))))))))))</f>
        <v>F</v>
      </c>
      <c r="R318" s="937">
        <f t="shared" si="8"/>
        <v>0.4697286013</v>
      </c>
      <c r="S318" s="937" t="str">
        <f>IF(R318&lt;'PlayerGrades+'!$AH$21,"F-",IF(R318&lt;'PlayerGrades+'!$AH$20,"F",IF(R318&lt;'PlayerGrades+'!$AH$19,"F+",IF(R318&lt;'PlayerGrades+'!$AH$18,"E-",IF(R318&lt;'PlayerGrades+'!$AH$17,"E",IF(R318&lt;'PlayerGrades+'!$AH$16,"E+",IF(R318&lt;'PlayerGrades+'!$AH$15,"D-",IF(R318&lt;'PlayerGrades+'!$AH$14,"D",IF(R318&lt;'PlayerGrades+'!$AH$13,"D+",IF(R318&lt;'PlayerGrades+'!$AH$12,"C-",IF(R318&lt;'PlayerGrades+'!$AH$11,"C",IF(R318&lt;'PlayerGrades+'!$AH$10,"C+",IF(R318&lt;'PlayerGrades+'!$AH$9,"B-",IF(R318&lt;'PlayerGrades+'!$AH$8,"B",IF(R318&lt;'PlayerGrades+'!$AH$7,"B+",IF(R318&lt;'PlayerGrades+'!$AH$6,"A-",IF(R318&lt;'PlayerGrades+'!$AH$5,"A",IF(R318&lt;'PlayerGrades+'!$AH$4,"A+",IF(R318&lt;'PlayerGrades+'!$AH$3,"S-",IF(R318&lt;'PlayerGrades+'!$AH$2,"S","S+"))))))))))))))))))))</f>
        <v>E</v>
      </c>
      <c r="T318" s="937">
        <f t="shared" si="9"/>
        <v>1.281837161</v>
      </c>
      <c r="U318" s="937" t="str">
        <f>IF(T318&lt;'PlayerGrades+'!$AI$21,"F-",IF(T318&lt;'PlayerGrades+'!$AI$20,"F",IF(T318&lt;'PlayerGrades+'!$AI$19,"F+",IF(T318&lt;'PlayerGrades+'!$AI$18,"E-",IF(T318&lt;'PlayerGrades+'!$AI$17,"E",IF(T318&lt;'PlayerGrades+'!$AI$16,"E+",IF(T318&lt;'PlayerGrades+'!$AI$15,"D-",IF(T318&lt;'PlayerGrades+'!$AI$14,"D",IF(T318&lt;'PlayerGrades+'!$AI$13,"D+",IF(T318&lt;'PlayerGrades+'!$AI$12,"C-",IF(T318&lt;'PlayerGrades+'!$AI$11,"C",IF(T318&lt;'PlayerGrades+'!$AI$10,"C+",IF(T318&lt;'PlayerGrades+'!$AI$9,"B-",IF(T318&lt;'PlayerGrades+'!$AI$8,"B",IF(T318&lt;'PlayerGrades+'!$AI$7,"B+",IF(T318&lt;'PlayerGrades+'!$AI$6,"A-",IF(T318&lt;'PlayerGrades+'!$AI$5,"A",IF(T318&lt;'PlayerGrades+'!$AI$4,"A+",IF(T318&lt;'PlayerGrades+'!$AI$3,"S-",IF(T318&lt;'PlayerGrades+'!$AI$2,"S","S+"))))))))))))))))))))</f>
        <v>C</v>
      </c>
      <c r="V318" s="941">
        <v>1.0</v>
      </c>
      <c r="W318" s="941">
        <v>0.0</v>
      </c>
      <c r="X318" s="941">
        <v>1.0</v>
      </c>
      <c r="Y318" s="941">
        <v>1.0</v>
      </c>
      <c r="Z318" s="941">
        <v>2.0</v>
      </c>
      <c r="AA318" s="941">
        <v>63.0</v>
      </c>
      <c r="AB318" s="941">
        <v>64.0</v>
      </c>
      <c r="AC318" s="941">
        <v>-1.0</v>
      </c>
      <c r="AD318" s="941">
        <v>4.0</v>
      </c>
      <c r="AE318" s="941">
        <v>3.0</v>
      </c>
      <c r="AF318" s="941">
        <v>1.0</v>
      </c>
      <c r="AG318" s="941">
        <v>1642.0</v>
      </c>
      <c r="AH318" s="941">
        <v>1916.0</v>
      </c>
      <c r="AI318" s="941">
        <v>25.0</v>
      </c>
      <c r="AJ318" s="941">
        <v>494.0</v>
      </c>
      <c r="AK318" s="941">
        <v>0.0</v>
      </c>
      <c r="AL318" s="941">
        <v>0.0</v>
      </c>
      <c r="AM318" s="941">
        <v>0.0</v>
      </c>
      <c r="AN318" s="941">
        <v>0.0</v>
      </c>
      <c r="AO318" s="941">
        <v>0.0</v>
      </c>
      <c r="AP318" s="941">
        <v>0.0</v>
      </c>
      <c r="AQ318" s="941">
        <v>0.0</v>
      </c>
      <c r="AR318" s="941">
        <v>8.0</v>
      </c>
      <c r="AS318" s="941">
        <v>0.0</v>
      </c>
      <c r="AT318" s="941">
        <v>0.0</v>
      </c>
      <c r="AU318" s="941">
        <v>0.0</v>
      </c>
      <c r="AV318" s="941">
        <v>0.0</v>
      </c>
      <c r="AW318" s="941">
        <v>0.0</v>
      </c>
      <c r="AX318" s="941">
        <v>0.0</v>
      </c>
      <c r="AY318" s="941">
        <v>0.0</v>
      </c>
      <c r="AZ318" s="941">
        <v>0.0</v>
      </c>
      <c r="BA318" s="941">
        <v>0.0</v>
      </c>
      <c r="BB318" s="941">
        <v>0.0</v>
      </c>
      <c r="BC318" s="941">
        <v>0.0</v>
      </c>
      <c r="BD318" s="941">
        <v>11.0</v>
      </c>
      <c r="BE318" s="941">
        <v>9.0</v>
      </c>
      <c r="BF318" s="941">
        <v>1.0</v>
      </c>
      <c r="BG318" s="942">
        <v>1.0</v>
      </c>
    </row>
    <row r="319">
      <c r="A319" s="935" t="s">
        <v>129</v>
      </c>
      <c r="B319" s="16" t="str">
        <f>IF(C319&lt;'PlayerGrades+'!$Y$44,"F-",IF(C319&lt;'PlayerGrades+'!$Y$43,"F",IF(C319&lt;'PlayerGrades+'!$Y$42,"F+",IF(C319&lt;'PlayerGrades+'!$Y$41,"E-",IF(C319&lt;'PlayerGrades+'!$Y$40,"E",IF(C319&lt;'PlayerGrades+'!$Y$39,"E+",IF(C319&lt;'PlayerGrades+'!$Y$38,"D-",IF(C319&lt;'PlayerGrades+'!$Y$37,"D",IF(C319&lt;'PlayerGrades+'!$Y$36,"D+",IF(C319&lt;'PlayerGrades+'!$Y$35,"C-",IF(C319&lt;'PlayerGrades+'!$Y$34,"C",IF(C319&lt;'PlayerGrades+'!$Y$33,"C+",IF(C319&lt;'PlayerGrades+'!$Y$32,"B-",IF(C319&lt;'PlayerGrades+'!$Y$31,"B",IF(C319&lt;'PlayerGrades+'!$Y$30,"B+",IF(C319&lt;'PlayerGrades+'!$Y$29,"A-",IF(C319&lt;'PlayerGrades+'!$Y$28,"A",IF(C319&lt;'PlayerGrades+'!$Y$27,"A+",IF(C319&lt;'PlayerGrades+'!$Y$26,"S-",IF(C319&lt;'PlayerGrades+'!$Y$25,"S","S+"))))))))))))))))))))</f>
        <v>C-</v>
      </c>
      <c r="C319" s="936">
        <f>('PlayerGrades+'!$Y$47*(VLOOKUP(E319, 'PlayerGrades+'!$X$3:$Y$23, 2, FALSE)))+('PlayerGrades+'!$Y$48*(VLOOKUP(G319, 'PlayerGrades+'!$X$3:$Y$23, 2, FALSE)))+('PlayerGrades+'!$Y$49*(VLOOKUP(I319, 'PlayerGrades+'!$X$3:$Y$23, 2, FALSE)))+('PlayerGrades+'!$Y$50*(VLOOKUP(K319, 'PlayerGrades+'!$X$3:$Y$23, 2, FALSE)))+('PlayerGrades+'!$Y$51*(VLOOKUP(M319, 'PlayerGrades+'!$X$3:$Y$23, 2, FALSE)))+('PlayerGrades+'!$Y$52*(VLOOKUP(O319, 'PlayerGrades+'!$X$3:$Y$23, 2, FALSE)))+('PlayerGrades+'!$Y$53*(VLOOKUP(Q319, 'PlayerGrades+'!$X$3:$Y$23, 2, FALSE)))+('PlayerGrades+'!$Y$54*(VLOOKUP(S319, 'PlayerGrades+'!$X$3:$Y$23, 2, FALSE)))+('PlayerGrades+'!$Y$55*(VLOOKUP(U319, 'PlayerGrades+'!$X$3:$Y$23, 2, FALSE)))</f>
        <v>18.8</v>
      </c>
      <c r="D319" s="937">
        <f t="shared" si="1"/>
        <v>0</v>
      </c>
      <c r="E319" s="937" t="str">
        <f>IF(D319&lt;'PlayerGrades+'!$AA$21,"F-",IF(D319&lt;'PlayerGrades+'!$AA$20,"F",IF(D319&lt;'PlayerGrades+'!$AA$19,"F+",IF(D319&lt;'PlayerGrades+'!$AA$18,"E-",IF(D319&lt;'PlayerGrades+'!$AA$17,"E",IF(D319&lt;'PlayerGrades+'!$AA$16,"E+",IF(D319&lt;'PlayerGrades+'!$AA$15,"D-",IF(D319&lt;'PlayerGrades+'!$AA$14,"D",IF(D319&lt;'PlayerGrades+'!$AA$13,"D+",IF(D319&lt;'PlayerGrades+'!$AA$12,"C-",IF(D319&lt;'PlayerGrades+'!$AA$11,"C",IF(D319&lt;'PlayerGrades+'!$AA$10,"C+",IF(D319&lt;'PlayerGrades+'!$AA$9,"B-",IF(D319&lt;'PlayerGrades+'!$AA$8,"B",IF(D319&lt;'PlayerGrades+'!$AA$7,"B+",IF(D319&lt;'PlayerGrades+'!$AA$6,"A-",IF(D319&lt;'PlayerGrades+'!$AA$5,"A",IF(D319&lt;'PlayerGrades+'!$AA$4,"A+",IF(D319&lt;'PlayerGrades+'!$AA$3,"S-",IF(D319&lt;'PlayerGrades+'!$AA$2,"S","S+"))))))))))))))))))))</f>
        <v>F-</v>
      </c>
      <c r="F319" s="937">
        <f t="shared" si="2"/>
        <v>0.2192066806</v>
      </c>
      <c r="G319" s="937" t="str">
        <f>IF(F319&lt;'PlayerGrades+'!$AB$21,"F-",IF(F319&lt;'PlayerGrades+'!$AB$20,"F",IF(F319&lt;'PlayerGrades+'!$AB$19,"F+",IF(F319&lt;'PlayerGrades+'!$AB$18,"E-",IF(F319&lt;'PlayerGrades+'!$AB$17,"E",IF(F319&lt;'PlayerGrades+'!$AB$16,"E+",IF(F319&lt;'PlayerGrades+'!$AB$15,"D-",IF(F319&lt;'PlayerGrades+'!$AB$14,"D",IF(F319&lt;'PlayerGrades+'!$AB$13,"D+",IF(F319&lt;'PlayerGrades+'!$AB$12,"C-",IF(F319&lt;'PlayerGrades+'!$AB$11,"C",IF(F319&lt;'PlayerGrades+'!$AB$10,"C+",IF(F319&lt;'PlayerGrades+'!$AB$9,"B-",IF(F319&lt;'PlayerGrades+'!$AB$8,"B",IF(F319&lt;'PlayerGrades+'!$AB$7,"B+",IF(F319&lt;'PlayerGrades+'!$AB$6,"A-",IF(F319&lt;'PlayerGrades+'!$AB$5,"A",IF(F319&lt;'PlayerGrades+'!$AB$4,"A+",IF(F319&lt;'PlayerGrades+'!$AB$3,"S-",IF(F319&lt;'PlayerGrades+'!$AB$2,"S","S+"))))))))))))))))))))</f>
        <v>B+</v>
      </c>
      <c r="H319" s="937">
        <f t="shared" si="3"/>
        <v>0.1252609603</v>
      </c>
      <c r="I319" s="937" t="str">
        <f>IF(H319&lt;'PlayerGrades+'!$AC$21,"F-",IF(H319&lt;'PlayerGrades+'!$AC$20,"F",IF(H319&lt;'PlayerGrades+'!$AC$19,"F+",IF(H319&lt;'PlayerGrades+'!$AC$18,"E-",IF(H319&lt;'PlayerGrades+'!$AC$17,"E",IF(H319&lt;'PlayerGrades+'!$AC$16,"E+",IF(H319&lt;'PlayerGrades+'!$AC$15,"D-",IF(H319&lt;'PlayerGrades+'!$AC$14,"D",IF(H319&lt;'PlayerGrades+'!$AC$13,"D+",IF(H319&lt;'PlayerGrades+'!$AC$12,"C-",IF(H319&lt;'PlayerGrades+'!$AC$11,"C",IF(H319&lt;'PlayerGrades+'!$AC$10,"C+",IF(H319&lt;'PlayerGrades+'!$AC$9,"B-",IF(H319&lt;'PlayerGrades+'!$AC$8,"B",IF(H319&lt;'PlayerGrades+'!$AC$7,"B+",IF(H319&lt;'PlayerGrades+'!$AC$6,"A-",IF(H319&lt;'PlayerGrades+'!$AC$5,"A",IF(H319&lt;'PlayerGrades+'!$AC$4,"A+",IF(H319&lt;'PlayerGrades+'!$AC$3,"S-",IF(H319&lt;'PlayerGrades+'!$AC$2,"S","S+"))))))))))))))))))))</f>
        <v>B-</v>
      </c>
      <c r="J319" s="937">
        <f t="shared" si="4"/>
        <v>0.03131524008</v>
      </c>
      <c r="K319" s="937" t="str">
        <f>IF(J319&lt;'PlayerGrades+'!$AD$21,"F-",IF(J319&lt;'PlayerGrades+'!$AD$20,"F",IF(J319&lt;'PlayerGrades+'!$AD$19,"F+",IF(J319&lt;'PlayerGrades+'!$AD$18,"E-",IF(J319&lt;'PlayerGrades+'!$AD$17,"E",IF(J319&lt;'PlayerGrades+'!$AD$16,"E+",IF(J319&lt;'PlayerGrades+'!$AD$15,"D-",IF(J319&lt;'PlayerGrades+'!$AD$14,"D",IF(J319&lt;'PlayerGrades+'!$AD$13,"D+",IF(J319&lt;'PlayerGrades+'!$AD$12,"C-",IF(J319&lt;'PlayerGrades+'!$AD$11,"C",IF(J319&lt;'PlayerGrades+'!$AD$10,"C+",IF(J319&lt;'PlayerGrades+'!$AD$9,"B-",IF(J319&lt;'PlayerGrades+'!$AD$8,"B",IF(J319&lt;'PlayerGrades+'!$AD$7,"B+",IF(J319&lt;'PlayerGrades+'!$AD$6,"A-",IF(J319&lt;'PlayerGrades+'!$AD$5,"A",IF(J319&lt;'PlayerGrades+'!$AD$4,"A+",IF(J319&lt;'PlayerGrades+'!$AD$3,"S-",IF(J319&lt;'PlayerGrades+'!$AD$2,"S","S+"))))))))))))))))))))</f>
        <v>C</v>
      </c>
      <c r="L319" s="677">
        <f t="shared" si="5"/>
        <v>0.3131524008</v>
      </c>
      <c r="M319" s="938" t="str">
        <f>IF(L319&lt;'PlayerGrades+'!$AE$21,"F-",IF(L319&lt;'PlayerGrades+'!$AE$20,"F",IF(L319&lt;'PlayerGrades+'!$AE$19,"F+",IF(L319&lt;'PlayerGrades+'!$AE$18,"E-",IF(L319&lt;'PlayerGrades+'!$AE$17,"E",IF(L319&lt;'PlayerGrades+'!$AE$16,"E+",IF(L319&lt;'PlayerGrades+'!$AE$15,"D-",IF(L319&lt;'PlayerGrades+'!$AE$14,"D",IF(L319&lt;'PlayerGrades+'!$AE$13,"D+",IF(L319&lt;'PlayerGrades+'!$AE$12,"C-",IF(L319&lt;'PlayerGrades+'!$AE$11,"C",IF(L319&lt;'PlayerGrades+'!$AE$10,"C+",IF(L319&lt;'PlayerGrades+'!$AE$9,"B-",IF(L319&lt;'PlayerGrades+'!$AE$8,"B",IF(L319&lt;'PlayerGrades+'!$AE$7,"B+",IF(L319&lt;'PlayerGrades+'!$AE$6,"A-",IF(L319&lt;'PlayerGrades+'!$AE$5,"A",IF(L319&lt;'PlayerGrades+'!$AE$4,"A+",IF(L319&lt;'PlayerGrades+'!$AE$3,"S-",IF(L319&lt;'PlayerGrades+'!$AE$2,"S","S+"))))))))))))))))))))</f>
        <v>E</v>
      </c>
      <c r="N319" s="937">
        <f t="shared" si="6"/>
        <v>0.09394572025</v>
      </c>
      <c r="O319" s="937" t="str">
        <f>IF(N319&lt;'PlayerGrades+'!$AF$21,"F-",IF(N319&lt;'PlayerGrades+'!$AF$20,"F",IF(N319&lt;'PlayerGrades+'!$AF$19,"F+",IF(N319&lt;'PlayerGrades+'!$AF$18,"E-",IF(N319&lt;'PlayerGrades+'!$AF$17,"E",IF(N319&lt;'PlayerGrades+'!$AF$16,"E+",IF(N319&lt;'PlayerGrades+'!$AF$15,"D-",IF(N319&lt;'PlayerGrades+'!$AF$14,"D",IF(N319&lt;'PlayerGrades+'!$AF$13,"D+",IF(N319&lt;'PlayerGrades+'!$AF$12,"C-",IF(N319&lt;'PlayerGrades+'!$AF$11,"C",IF(N319&lt;'PlayerGrades+'!$AF$10,"C+",IF(N319&lt;'PlayerGrades+'!$AF$9,"B-",IF(N319&lt;'PlayerGrades+'!$AF$8,"B",IF(N319&lt;'PlayerGrades+'!$AF$7,"B+",IF(N319&lt;'PlayerGrades+'!$AF$6,"A-",IF(N319&lt;'PlayerGrades+'!$AF$5,"A",IF(N319&lt;'PlayerGrades+'!$AF$4,"A+",IF(N319&lt;'PlayerGrades+'!$AF$3,"S-",IF(N319&lt;'PlayerGrades+'!$AF$2,"S","S+"))))))))))))))))))))</f>
        <v>A-</v>
      </c>
      <c r="P319" s="937">
        <f t="shared" si="7"/>
        <v>0</v>
      </c>
      <c r="Q319" s="937" t="str">
        <f>IF(P319&lt;'PlayerGrades+'!$AG$21,"F-",IF(P319&lt;'PlayerGrades+'!$AG$20,"F",IF(P319&lt;'PlayerGrades+'!$AG$19,"F+",IF(P319&lt;'PlayerGrades+'!$AG$18,"E-",IF(P319&lt;'PlayerGrades+'!$AG$17,"E",IF(P319&lt;'PlayerGrades+'!$AG$16,"E+",IF(P319&lt;'PlayerGrades+'!$AG$15,"D-",IF(P319&lt;'PlayerGrades+'!$AG$14,"D",IF(P319&lt;'PlayerGrades+'!$AG$13,"D+",IF(P319&lt;'PlayerGrades+'!$AG$12,"C-",IF(P319&lt;'PlayerGrades+'!$AG$11,"C",IF(P319&lt;'PlayerGrades+'!$AG$10,"C+",IF(P319&lt;'PlayerGrades+'!$AG$9,"B-",IF(P319&lt;'PlayerGrades+'!$AG$8,"B",IF(P319&lt;'PlayerGrades+'!$AG$7,"B+",IF(P319&lt;'PlayerGrades+'!$AG$6,"A-",IF(P319&lt;'PlayerGrades+'!$AG$5,"A",IF(P319&lt;'PlayerGrades+'!$AG$4,"A+",IF(P319&lt;'PlayerGrades+'!$AG$3,"S-",IF(P319&lt;'PlayerGrades+'!$AG$2,"S","S+"))))))))))))))))))))</f>
        <v>F</v>
      </c>
      <c r="R319" s="937">
        <f t="shared" si="8"/>
        <v>0.5010438413</v>
      </c>
      <c r="S319" s="937" t="str">
        <f>IF(R319&lt;'PlayerGrades+'!$AH$21,"F-",IF(R319&lt;'PlayerGrades+'!$AH$20,"F",IF(R319&lt;'PlayerGrades+'!$AH$19,"F+",IF(R319&lt;'PlayerGrades+'!$AH$18,"E-",IF(R319&lt;'PlayerGrades+'!$AH$17,"E",IF(R319&lt;'PlayerGrades+'!$AH$16,"E+",IF(R319&lt;'PlayerGrades+'!$AH$15,"D-",IF(R319&lt;'PlayerGrades+'!$AH$14,"D",IF(R319&lt;'PlayerGrades+'!$AH$13,"D+",IF(R319&lt;'PlayerGrades+'!$AH$12,"C-",IF(R319&lt;'PlayerGrades+'!$AH$11,"C",IF(R319&lt;'PlayerGrades+'!$AH$10,"C+",IF(R319&lt;'PlayerGrades+'!$AH$9,"B-",IF(R319&lt;'PlayerGrades+'!$AH$8,"B",IF(R319&lt;'PlayerGrades+'!$AH$7,"B+",IF(R319&lt;'PlayerGrades+'!$AH$6,"A-",IF(R319&lt;'PlayerGrades+'!$AH$5,"A",IF(R319&lt;'PlayerGrades+'!$AH$4,"A+",IF(R319&lt;'PlayerGrades+'!$AH$3,"S-",IF(R319&lt;'PlayerGrades+'!$AH$2,"S","S+"))))))))))))))))))))</f>
        <v>D-</v>
      </c>
      <c r="T319" s="937">
        <f t="shared" si="9"/>
        <v>1.501043841</v>
      </c>
      <c r="U319" s="937" t="str">
        <f>IF(T319&lt;'PlayerGrades+'!$AI$21,"F-",IF(T319&lt;'PlayerGrades+'!$AI$20,"F",IF(T319&lt;'PlayerGrades+'!$AI$19,"F+",IF(T319&lt;'PlayerGrades+'!$AI$18,"E-",IF(T319&lt;'PlayerGrades+'!$AI$17,"E",IF(T319&lt;'PlayerGrades+'!$AI$16,"E+",IF(T319&lt;'PlayerGrades+'!$AI$15,"D-",IF(T319&lt;'PlayerGrades+'!$AI$14,"D",IF(T319&lt;'PlayerGrades+'!$AI$13,"D+",IF(T319&lt;'PlayerGrades+'!$AI$12,"C-",IF(T319&lt;'PlayerGrades+'!$AI$11,"C",IF(T319&lt;'PlayerGrades+'!$AI$10,"C+",IF(T319&lt;'PlayerGrades+'!$AI$9,"B-",IF(T319&lt;'PlayerGrades+'!$AI$8,"B",IF(T319&lt;'PlayerGrades+'!$AI$7,"B+",IF(T319&lt;'PlayerGrades+'!$AI$6,"A-",IF(T319&lt;'PlayerGrades+'!$AI$5,"A",IF(T319&lt;'PlayerGrades+'!$AI$4,"A+",IF(T319&lt;'PlayerGrades+'!$AI$3,"S-",IF(T319&lt;'PlayerGrades+'!$AI$2,"S","S+"))))))))))))))))))))</f>
        <v>A</v>
      </c>
      <c r="V319" s="941">
        <v>1.0</v>
      </c>
      <c r="W319" s="941">
        <v>0.0</v>
      </c>
      <c r="X319" s="941">
        <v>1.0</v>
      </c>
      <c r="Y319" s="941">
        <v>0.0</v>
      </c>
      <c r="Z319" s="941">
        <v>0.0</v>
      </c>
      <c r="AA319" s="941">
        <v>108.0</v>
      </c>
      <c r="AB319" s="941">
        <v>101.0</v>
      </c>
      <c r="AC319" s="941">
        <v>7.0</v>
      </c>
      <c r="AD319" s="941">
        <v>3.0</v>
      </c>
      <c r="AE319" s="941">
        <v>5.0</v>
      </c>
      <c r="AF319" s="941">
        <v>2.0</v>
      </c>
      <c r="AG319" s="941">
        <v>1534.0</v>
      </c>
      <c r="AH319" s="941">
        <v>1916.0</v>
      </c>
      <c r="AI319" s="941">
        <v>15.0</v>
      </c>
      <c r="AJ319" s="941">
        <v>3.0</v>
      </c>
      <c r="AK319" s="941">
        <v>0.0</v>
      </c>
      <c r="AL319" s="941">
        <v>1.0</v>
      </c>
      <c r="AM319" s="941">
        <v>0.0</v>
      </c>
      <c r="AN319" s="941">
        <v>0.0</v>
      </c>
      <c r="AO319" s="941">
        <v>0.0</v>
      </c>
      <c r="AP319" s="941">
        <v>0.0</v>
      </c>
      <c r="AQ319" s="941">
        <v>0.0</v>
      </c>
      <c r="AR319" s="941">
        <v>10.0</v>
      </c>
      <c r="AS319" s="941">
        <v>3.0</v>
      </c>
      <c r="AT319" s="941">
        <v>1.0</v>
      </c>
      <c r="AU319" s="941">
        <v>0.0</v>
      </c>
      <c r="AV319" s="941">
        <v>0.0</v>
      </c>
      <c r="AW319" s="941">
        <v>0.0</v>
      </c>
      <c r="AX319" s="941">
        <v>0.0</v>
      </c>
      <c r="AY319" s="941">
        <v>0.0</v>
      </c>
      <c r="AZ319" s="941">
        <v>0.0</v>
      </c>
      <c r="BA319" s="941">
        <v>0.0</v>
      </c>
      <c r="BB319" s="941">
        <v>4.0</v>
      </c>
      <c r="BC319" s="941">
        <v>0.0</v>
      </c>
      <c r="BD319" s="941">
        <v>13.0</v>
      </c>
      <c r="BE319" s="941">
        <v>16.0</v>
      </c>
      <c r="BF319" s="941">
        <v>1.0</v>
      </c>
      <c r="BG319" s="942">
        <v>1.0</v>
      </c>
    </row>
    <row r="320">
      <c r="A320" s="935" t="s">
        <v>147</v>
      </c>
      <c r="B320" s="16" t="str">
        <f>IF(C320&lt;'PlayerGrades+'!$Y$44,"F-",IF(C320&lt;'PlayerGrades+'!$Y$43,"F",IF(C320&lt;'PlayerGrades+'!$Y$42,"F+",IF(C320&lt;'PlayerGrades+'!$Y$41,"E-",IF(C320&lt;'PlayerGrades+'!$Y$40,"E",IF(C320&lt;'PlayerGrades+'!$Y$39,"E+",IF(C320&lt;'PlayerGrades+'!$Y$38,"D-",IF(C320&lt;'PlayerGrades+'!$Y$37,"D",IF(C320&lt;'PlayerGrades+'!$Y$36,"D+",IF(C320&lt;'PlayerGrades+'!$Y$35,"C-",IF(C320&lt;'PlayerGrades+'!$Y$34,"C",IF(C320&lt;'PlayerGrades+'!$Y$33,"C+",IF(C320&lt;'PlayerGrades+'!$Y$32,"B-",IF(C320&lt;'PlayerGrades+'!$Y$31,"B",IF(C320&lt;'PlayerGrades+'!$Y$30,"B+",IF(C320&lt;'PlayerGrades+'!$Y$29,"A-",IF(C320&lt;'PlayerGrades+'!$Y$28,"A",IF(C320&lt;'PlayerGrades+'!$Y$27,"A+",IF(C320&lt;'PlayerGrades+'!$Y$26,"S-",IF(C320&lt;'PlayerGrades+'!$Y$25,"S","S+"))))))))))))))))))))</f>
        <v>D</v>
      </c>
      <c r="C320" s="936">
        <f>('PlayerGrades+'!$Y$47*(VLOOKUP(E320, 'PlayerGrades+'!$X$3:$Y$23, 2, FALSE)))+('PlayerGrades+'!$Y$48*(VLOOKUP(G320, 'PlayerGrades+'!$X$3:$Y$23, 2, FALSE)))+('PlayerGrades+'!$Y$49*(VLOOKUP(I320, 'PlayerGrades+'!$X$3:$Y$23, 2, FALSE)))+('PlayerGrades+'!$Y$50*(VLOOKUP(K320, 'PlayerGrades+'!$X$3:$Y$23, 2, FALSE)))+('PlayerGrades+'!$Y$51*(VLOOKUP(M320, 'PlayerGrades+'!$X$3:$Y$23, 2, FALSE)))+('PlayerGrades+'!$Y$52*(VLOOKUP(O320, 'PlayerGrades+'!$X$3:$Y$23, 2, FALSE)))+('PlayerGrades+'!$Y$53*(VLOOKUP(Q320, 'PlayerGrades+'!$X$3:$Y$23, 2, FALSE)))+('PlayerGrades+'!$Y$54*(VLOOKUP(S320, 'PlayerGrades+'!$X$3:$Y$23, 2, FALSE)))+('PlayerGrades+'!$Y$55*(VLOOKUP(U320, 'PlayerGrades+'!$X$3:$Y$23, 2, FALSE)))</f>
        <v>17.05</v>
      </c>
      <c r="D320" s="937">
        <f t="shared" si="1"/>
        <v>0</v>
      </c>
      <c r="E320" s="937" t="str">
        <f>IF(D320&lt;'PlayerGrades+'!$AA$21,"F-",IF(D320&lt;'PlayerGrades+'!$AA$20,"F",IF(D320&lt;'PlayerGrades+'!$AA$19,"F+",IF(D320&lt;'PlayerGrades+'!$AA$18,"E-",IF(D320&lt;'PlayerGrades+'!$AA$17,"E",IF(D320&lt;'PlayerGrades+'!$AA$16,"E+",IF(D320&lt;'PlayerGrades+'!$AA$15,"D-",IF(D320&lt;'PlayerGrades+'!$AA$14,"D",IF(D320&lt;'PlayerGrades+'!$AA$13,"D+",IF(D320&lt;'PlayerGrades+'!$AA$12,"C-",IF(D320&lt;'PlayerGrades+'!$AA$11,"C",IF(D320&lt;'PlayerGrades+'!$AA$10,"C+",IF(D320&lt;'PlayerGrades+'!$AA$9,"B-",IF(D320&lt;'PlayerGrades+'!$AA$8,"B",IF(D320&lt;'PlayerGrades+'!$AA$7,"B+",IF(D320&lt;'PlayerGrades+'!$AA$6,"A-",IF(D320&lt;'PlayerGrades+'!$AA$5,"A",IF(D320&lt;'PlayerGrades+'!$AA$4,"A+",IF(D320&lt;'PlayerGrades+'!$AA$3,"S-",IF(D320&lt;'PlayerGrades+'!$AA$2,"S","S+"))))))))))))))))))))</f>
        <v>F-</v>
      </c>
      <c r="F320" s="937">
        <f t="shared" si="2"/>
        <v>-1.471816284</v>
      </c>
      <c r="G320" s="937" t="str">
        <f>IF(F320&lt;'PlayerGrades+'!$AB$21,"F-",IF(F320&lt;'PlayerGrades+'!$AB$20,"F",IF(F320&lt;'PlayerGrades+'!$AB$19,"F+",IF(F320&lt;'PlayerGrades+'!$AB$18,"E-",IF(F320&lt;'PlayerGrades+'!$AB$17,"E",IF(F320&lt;'PlayerGrades+'!$AB$16,"E+",IF(F320&lt;'PlayerGrades+'!$AB$15,"D-",IF(F320&lt;'PlayerGrades+'!$AB$14,"D",IF(F320&lt;'PlayerGrades+'!$AB$13,"D+",IF(F320&lt;'PlayerGrades+'!$AB$12,"C-",IF(F320&lt;'PlayerGrades+'!$AB$11,"C",IF(F320&lt;'PlayerGrades+'!$AB$10,"C+",IF(F320&lt;'PlayerGrades+'!$AB$9,"B-",IF(F320&lt;'PlayerGrades+'!$AB$8,"B",IF(F320&lt;'PlayerGrades+'!$AB$7,"B+",IF(F320&lt;'PlayerGrades+'!$AB$6,"A-",IF(F320&lt;'PlayerGrades+'!$AB$5,"A",IF(F320&lt;'PlayerGrades+'!$AB$4,"A+",IF(F320&lt;'PlayerGrades+'!$AB$3,"S-",IF(F320&lt;'PlayerGrades+'!$AB$2,"S","S+"))))))))))))))))))))</f>
        <v>F-</v>
      </c>
      <c r="H320" s="937">
        <f t="shared" si="3"/>
        <v>0</v>
      </c>
      <c r="I320" s="937" t="str">
        <f>IF(H320&lt;'PlayerGrades+'!$AC$21,"F-",IF(H320&lt;'PlayerGrades+'!$AC$20,"F",IF(H320&lt;'PlayerGrades+'!$AC$19,"F+",IF(H320&lt;'PlayerGrades+'!$AC$18,"E-",IF(H320&lt;'PlayerGrades+'!$AC$17,"E",IF(H320&lt;'PlayerGrades+'!$AC$16,"E+",IF(H320&lt;'PlayerGrades+'!$AC$15,"D-",IF(H320&lt;'PlayerGrades+'!$AC$14,"D",IF(H320&lt;'PlayerGrades+'!$AC$13,"D+",IF(H320&lt;'PlayerGrades+'!$AC$12,"C-",IF(H320&lt;'PlayerGrades+'!$AC$11,"C",IF(H320&lt;'PlayerGrades+'!$AC$10,"C+",IF(H320&lt;'PlayerGrades+'!$AC$9,"B-",IF(H320&lt;'PlayerGrades+'!$AC$8,"B",IF(H320&lt;'PlayerGrades+'!$AC$7,"B+",IF(H320&lt;'PlayerGrades+'!$AC$6,"A-",IF(H320&lt;'PlayerGrades+'!$AC$5,"A",IF(H320&lt;'PlayerGrades+'!$AC$4,"A+",IF(H320&lt;'PlayerGrades+'!$AC$3,"S-",IF(H320&lt;'PlayerGrades+'!$AC$2,"S","S+"))))))))))))))))))))</f>
        <v>F-</v>
      </c>
      <c r="J320" s="937">
        <f t="shared" si="4"/>
        <v>0.06263048017</v>
      </c>
      <c r="K320" s="937" t="str">
        <f>IF(J320&lt;'PlayerGrades+'!$AD$21,"F-",IF(J320&lt;'PlayerGrades+'!$AD$20,"F",IF(J320&lt;'PlayerGrades+'!$AD$19,"F+",IF(J320&lt;'PlayerGrades+'!$AD$18,"E-",IF(J320&lt;'PlayerGrades+'!$AD$17,"E",IF(J320&lt;'PlayerGrades+'!$AD$16,"E+",IF(J320&lt;'PlayerGrades+'!$AD$15,"D-",IF(J320&lt;'PlayerGrades+'!$AD$14,"D",IF(J320&lt;'PlayerGrades+'!$AD$13,"D+",IF(J320&lt;'PlayerGrades+'!$AD$12,"C-",IF(J320&lt;'PlayerGrades+'!$AD$11,"C",IF(J320&lt;'PlayerGrades+'!$AD$10,"C+",IF(J320&lt;'PlayerGrades+'!$AD$9,"B-",IF(J320&lt;'PlayerGrades+'!$AD$8,"B",IF(J320&lt;'PlayerGrades+'!$AD$7,"B+",IF(J320&lt;'PlayerGrades+'!$AD$6,"A-",IF(J320&lt;'PlayerGrades+'!$AD$5,"A",IF(J320&lt;'PlayerGrades+'!$AD$4,"A+",IF(J320&lt;'PlayerGrades+'!$AD$3,"S-",IF(J320&lt;'PlayerGrades+'!$AD$2,"S","S+"))))))))))))))))))))</f>
        <v>A-</v>
      </c>
      <c r="L320" s="677">
        <f t="shared" si="5"/>
        <v>0.4070981211</v>
      </c>
      <c r="M320" s="938" t="str">
        <f>IF(L320&lt;'PlayerGrades+'!$AE$21,"F-",IF(L320&lt;'PlayerGrades+'!$AE$20,"F",IF(L320&lt;'PlayerGrades+'!$AE$19,"F+",IF(L320&lt;'PlayerGrades+'!$AE$18,"E-",IF(L320&lt;'PlayerGrades+'!$AE$17,"E",IF(L320&lt;'PlayerGrades+'!$AE$16,"E+",IF(L320&lt;'PlayerGrades+'!$AE$15,"D-",IF(L320&lt;'PlayerGrades+'!$AE$14,"D",IF(L320&lt;'PlayerGrades+'!$AE$13,"D+",IF(L320&lt;'PlayerGrades+'!$AE$12,"C-",IF(L320&lt;'PlayerGrades+'!$AE$11,"C",IF(L320&lt;'PlayerGrades+'!$AE$10,"C+",IF(L320&lt;'PlayerGrades+'!$AE$9,"B-",IF(L320&lt;'PlayerGrades+'!$AE$8,"B",IF(L320&lt;'PlayerGrades+'!$AE$7,"B+",IF(L320&lt;'PlayerGrades+'!$AE$6,"A-",IF(L320&lt;'PlayerGrades+'!$AE$5,"A",IF(L320&lt;'PlayerGrades+'!$AE$4,"A+",IF(L320&lt;'PlayerGrades+'!$AE$3,"S-",IF(L320&lt;'PlayerGrades+'!$AE$2,"S","S+"))))))))))))))))))))</f>
        <v>C+</v>
      </c>
      <c r="N320" s="937">
        <f t="shared" si="6"/>
        <v>0.09394572025</v>
      </c>
      <c r="O320" s="937" t="str">
        <f>IF(N320&lt;'PlayerGrades+'!$AF$21,"F-",IF(N320&lt;'PlayerGrades+'!$AF$20,"F",IF(N320&lt;'PlayerGrades+'!$AF$19,"F+",IF(N320&lt;'PlayerGrades+'!$AF$18,"E-",IF(N320&lt;'PlayerGrades+'!$AF$17,"E",IF(N320&lt;'PlayerGrades+'!$AF$16,"E+",IF(N320&lt;'PlayerGrades+'!$AF$15,"D-",IF(N320&lt;'PlayerGrades+'!$AF$14,"D",IF(N320&lt;'PlayerGrades+'!$AF$13,"D+",IF(N320&lt;'PlayerGrades+'!$AF$12,"C-",IF(N320&lt;'PlayerGrades+'!$AF$11,"C",IF(N320&lt;'PlayerGrades+'!$AF$10,"C+",IF(N320&lt;'PlayerGrades+'!$AF$9,"B-",IF(N320&lt;'PlayerGrades+'!$AF$8,"B",IF(N320&lt;'PlayerGrades+'!$AF$7,"B+",IF(N320&lt;'PlayerGrades+'!$AF$6,"A-",IF(N320&lt;'PlayerGrades+'!$AF$5,"A",IF(N320&lt;'PlayerGrades+'!$AF$4,"A+",IF(N320&lt;'PlayerGrades+'!$AF$3,"S-",IF(N320&lt;'PlayerGrades+'!$AF$2,"S","S+"))))))))))))))))))))</f>
        <v>A-</v>
      </c>
      <c r="P320" s="937">
        <f t="shared" si="7"/>
        <v>0.06263048017</v>
      </c>
      <c r="Q320" s="937" t="str">
        <f>IF(P320&lt;'PlayerGrades+'!$AG$21,"F-",IF(P320&lt;'PlayerGrades+'!$AG$20,"F",IF(P320&lt;'PlayerGrades+'!$AG$19,"F+",IF(P320&lt;'PlayerGrades+'!$AG$18,"E-",IF(P320&lt;'PlayerGrades+'!$AG$17,"E",IF(P320&lt;'PlayerGrades+'!$AG$16,"E+",IF(P320&lt;'PlayerGrades+'!$AG$15,"D-",IF(P320&lt;'PlayerGrades+'!$AG$14,"D",IF(P320&lt;'PlayerGrades+'!$AG$13,"D+",IF(P320&lt;'PlayerGrades+'!$AG$12,"C-",IF(P320&lt;'PlayerGrades+'!$AG$11,"C",IF(P320&lt;'PlayerGrades+'!$AG$10,"C+",IF(P320&lt;'PlayerGrades+'!$AG$9,"B-",IF(P320&lt;'PlayerGrades+'!$AG$8,"B",IF(P320&lt;'PlayerGrades+'!$AG$7,"B+",IF(P320&lt;'PlayerGrades+'!$AG$6,"A-",IF(P320&lt;'PlayerGrades+'!$AG$5,"A",IF(P320&lt;'PlayerGrades+'!$AG$4,"A+",IF(P320&lt;'PlayerGrades+'!$AG$3,"S-",IF(P320&lt;'PlayerGrades+'!$AG$2,"S","S+"))))))))))))))))))))</f>
        <v>A+</v>
      </c>
      <c r="R320" s="937">
        <f t="shared" si="8"/>
        <v>0.5949895616</v>
      </c>
      <c r="S320" s="937" t="str">
        <f>IF(R320&lt;'PlayerGrades+'!$AH$21,"F-",IF(R320&lt;'PlayerGrades+'!$AH$20,"F",IF(R320&lt;'PlayerGrades+'!$AH$19,"F+",IF(R320&lt;'PlayerGrades+'!$AH$18,"E-",IF(R320&lt;'PlayerGrades+'!$AH$17,"E",IF(R320&lt;'PlayerGrades+'!$AH$16,"E+",IF(R320&lt;'PlayerGrades+'!$AH$15,"D-",IF(R320&lt;'PlayerGrades+'!$AH$14,"D",IF(R320&lt;'PlayerGrades+'!$AH$13,"D+",IF(R320&lt;'PlayerGrades+'!$AH$12,"C-",IF(R320&lt;'PlayerGrades+'!$AH$11,"C",IF(R320&lt;'PlayerGrades+'!$AH$10,"C+",IF(R320&lt;'PlayerGrades+'!$AH$9,"B-",IF(R320&lt;'PlayerGrades+'!$AH$8,"B",IF(R320&lt;'PlayerGrades+'!$AH$7,"B+",IF(R320&lt;'PlayerGrades+'!$AH$6,"A-",IF(R320&lt;'PlayerGrades+'!$AH$5,"A",IF(R320&lt;'PlayerGrades+'!$AH$4,"A+",IF(R320&lt;'PlayerGrades+'!$AH$3,"S-",IF(R320&lt;'PlayerGrades+'!$AH$2,"S","S+"))))))))))))))))))))</f>
        <v>A-</v>
      </c>
      <c r="T320" s="937">
        <f t="shared" si="9"/>
        <v>0.4070981211</v>
      </c>
      <c r="U320" s="937" t="str">
        <f>IF(T320&lt;'PlayerGrades+'!$AI$21,"F-",IF(T320&lt;'PlayerGrades+'!$AI$20,"F",IF(T320&lt;'PlayerGrades+'!$AI$19,"F+",IF(T320&lt;'PlayerGrades+'!$AI$18,"E-",IF(T320&lt;'PlayerGrades+'!$AI$17,"E",IF(T320&lt;'PlayerGrades+'!$AI$16,"E+",IF(T320&lt;'PlayerGrades+'!$AI$15,"D-",IF(T320&lt;'PlayerGrades+'!$AI$14,"D",IF(T320&lt;'PlayerGrades+'!$AI$13,"D+",IF(T320&lt;'PlayerGrades+'!$AI$12,"C-",IF(T320&lt;'PlayerGrades+'!$AI$11,"C",IF(T320&lt;'PlayerGrades+'!$AI$10,"C+",IF(T320&lt;'PlayerGrades+'!$AI$9,"B-",IF(T320&lt;'PlayerGrades+'!$AI$8,"B",IF(T320&lt;'PlayerGrades+'!$AI$7,"B+",IF(T320&lt;'PlayerGrades+'!$AI$6,"A-",IF(T320&lt;'PlayerGrades+'!$AI$5,"A",IF(T320&lt;'PlayerGrades+'!$AI$4,"A+",IF(T320&lt;'PlayerGrades+'!$AI$3,"S-",IF(T320&lt;'PlayerGrades+'!$AI$2,"S","S+"))))))))))))))))))))</f>
        <v>F-</v>
      </c>
      <c r="V320" s="941">
        <v>1.0</v>
      </c>
      <c r="W320" s="941">
        <v>0.0</v>
      </c>
      <c r="X320" s="941">
        <v>1.0</v>
      </c>
      <c r="Y320" s="941">
        <v>0.0</v>
      </c>
      <c r="Z320" s="941">
        <v>0.0</v>
      </c>
      <c r="AA320" s="941">
        <v>82.0</v>
      </c>
      <c r="AB320" s="941">
        <v>129.0</v>
      </c>
      <c r="AC320" s="941">
        <v>-47.0</v>
      </c>
      <c r="AD320" s="941">
        <v>7.0</v>
      </c>
      <c r="AE320" s="941">
        <v>5.0</v>
      </c>
      <c r="AF320" s="941">
        <v>3.0</v>
      </c>
      <c r="AG320" s="941">
        <v>1452.0</v>
      </c>
      <c r="AH320" s="941">
        <v>1916.0</v>
      </c>
      <c r="AI320" s="941">
        <v>11.0</v>
      </c>
      <c r="AJ320" s="941">
        <v>0.0</v>
      </c>
      <c r="AK320" s="941">
        <v>0.0</v>
      </c>
      <c r="AL320" s="941">
        <v>2.0</v>
      </c>
      <c r="AM320" s="941">
        <v>0.0</v>
      </c>
      <c r="AN320" s="941">
        <v>0.0</v>
      </c>
      <c r="AO320" s="941">
        <v>0.0</v>
      </c>
      <c r="AP320" s="941">
        <v>2.0</v>
      </c>
      <c r="AQ320" s="941">
        <v>0.0</v>
      </c>
      <c r="AR320" s="941">
        <v>13.0</v>
      </c>
      <c r="AS320" s="941">
        <v>3.0</v>
      </c>
      <c r="AT320" s="941">
        <v>1.0</v>
      </c>
      <c r="AU320" s="941">
        <v>0.0</v>
      </c>
      <c r="AV320" s="941">
        <v>0.0</v>
      </c>
      <c r="AW320" s="941">
        <v>0.0</v>
      </c>
      <c r="AX320" s="941">
        <v>0.0</v>
      </c>
      <c r="AY320" s="941">
        <v>0.0</v>
      </c>
      <c r="AZ320" s="941">
        <v>0.0</v>
      </c>
      <c r="BA320" s="941">
        <v>0.0</v>
      </c>
      <c r="BB320" s="941">
        <v>0.0</v>
      </c>
      <c r="BC320" s="941">
        <v>0.0</v>
      </c>
      <c r="BD320" s="941">
        <v>12.0</v>
      </c>
      <c r="BE320" s="941">
        <v>13.0</v>
      </c>
      <c r="BF320" s="941">
        <v>0.0</v>
      </c>
      <c r="BG320" s="942">
        <v>1.0</v>
      </c>
    </row>
    <row r="321">
      <c r="A321" s="943" t="s">
        <v>136</v>
      </c>
      <c r="B321" s="16" t="str">
        <f>IF(C321&lt;'PlayerGrades+'!$Y$44,"F-",IF(C321&lt;'PlayerGrades+'!$Y$43,"F",IF(C321&lt;'PlayerGrades+'!$Y$42,"F+",IF(C321&lt;'PlayerGrades+'!$Y$41,"E-",IF(C321&lt;'PlayerGrades+'!$Y$40,"E",IF(C321&lt;'PlayerGrades+'!$Y$39,"E+",IF(C321&lt;'PlayerGrades+'!$Y$38,"D-",IF(C321&lt;'PlayerGrades+'!$Y$37,"D",IF(C321&lt;'PlayerGrades+'!$Y$36,"D+",IF(C321&lt;'PlayerGrades+'!$Y$35,"C-",IF(C321&lt;'PlayerGrades+'!$Y$34,"C",IF(C321&lt;'PlayerGrades+'!$Y$33,"C+",IF(C321&lt;'PlayerGrades+'!$Y$32,"B-",IF(C321&lt;'PlayerGrades+'!$Y$31,"B",IF(C321&lt;'PlayerGrades+'!$Y$30,"B+",IF(C321&lt;'PlayerGrades+'!$Y$29,"A-",IF(C321&lt;'PlayerGrades+'!$Y$28,"A",IF(C321&lt;'PlayerGrades+'!$Y$27,"A+",IF(C321&lt;'PlayerGrades+'!$Y$26,"S-",IF(C321&lt;'PlayerGrades+'!$Y$25,"S","S+"))))))))))))))))))))</f>
        <v>D</v>
      </c>
      <c r="C321" s="936">
        <f>('PlayerGrades+'!$Y$47*(VLOOKUP(E321, 'PlayerGrades+'!$X$3:$Y$23, 2, FALSE)))+('PlayerGrades+'!$Y$48*(VLOOKUP(G321, 'PlayerGrades+'!$X$3:$Y$23, 2, FALSE)))+('PlayerGrades+'!$Y$49*(VLOOKUP(I321, 'PlayerGrades+'!$X$3:$Y$23, 2, FALSE)))+('PlayerGrades+'!$Y$50*(VLOOKUP(K321, 'PlayerGrades+'!$X$3:$Y$23, 2, FALSE)))+('PlayerGrades+'!$Y$51*(VLOOKUP(M321, 'PlayerGrades+'!$X$3:$Y$23, 2, FALSE)))+('PlayerGrades+'!$Y$52*(VLOOKUP(O321, 'PlayerGrades+'!$X$3:$Y$23, 2, FALSE)))+('PlayerGrades+'!$Y$53*(VLOOKUP(Q321, 'PlayerGrades+'!$X$3:$Y$23, 2, FALSE)))+('PlayerGrades+'!$Y$54*(VLOOKUP(S321, 'PlayerGrades+'!$X$3:$Y$23, 2, FALSE)))+('PlayerGrades+'!$Y$55*(VLOOKUP(U321, 'PlayerGrades+'!$X$3:$Y$23, 2, FALSE)))</f>
        <v>16.5</v>
      </c>
      <c r="D321" s="937">
        <f t="shared" si="1"/>
        <v>0</v>
      </c>
      <c r="E321" s="937" t="str">
        <f>IF(D321&lt;'PlayerGrades+'!$AA$21,"F-",IF(D321&lt;'PlayerGrades+'!$AA$20,"F",IF(D321&lt;'PlayerGrades+'!$AA$19,"F+",IF(D321&lt;'PlayerGrades+'!$AA$18,"E-",IF(D321&lt;'PlayerGrades+'!$AA$17,"E",IF(D321&lt;'PlayerGrades+'!$AA$16,"E+",IF(D321&lt;'PlayerGrades+'!$AA$15,"D-",IF(D321&lt;'PlayerGrades+'!$AA$14,"D",IF(D321&lt;'PlayerGrades+'!$AA$13,"D+",IF(D321&lt;'PlayerGrades+'!$AA$12,"C-",IF(D321&lt;'PlayerGrades+'!$AA$11,"C",IF(D321&lt;'PlayerGrades+'!$AA$10,"C+",IF(D321&lt;'PlayerGrades+'!$AA$9,"B-",IF(D321&lt;'PlayerGrades+'!$AA$8,"B",IF(D321&lt;'PlayerGrades+'!$AA$7,"B+",IF(D321&lt;'PlayerGrades+'!$AA$6,"A-",IF(D321&lt;'PlayerGrades+'!$AA$5,"A",IF(D321&lt;'PlayerGrades+'!$AA$4,"A+",IF(D321&lt;'PlayerGrades+'!$AA$3,"S-",IF(D321&lt;'PlayerGrades+'!$AA$2,"S","S+"))))))))))))))))))))</f>
        <v>F-</v>
      </c>
      <c r="F321" s="937">
        <f t="shared" si="2"/>
        <v>-1.440501044</v>
      </c>
      <c r="G321" s="937" t="str">
        <f>IF(F321&lt;'PlayerGrades+'!$AB$21,"F-",IF(F321&lt;'PlayerGrades+'!$AB$20,"F",IF(F321&lt;'PlayerGrades+'!$AB$19,"F+",IF(F321&lt;'PlayerGrades+'!$AB$18,"E-",IF(F321&lt;'PlayerGrades+'!$AB$17,"E",IF(F321&lt;'PlayerGrades+'!$AB$16,"E+",IF(F321&lt;'PlayerGrades+'!$AB$15,"D-",IF(F321&lt;'PlayerGrades+'!$AB$14,"D",IF(F321&lt;'PlayerGrades+'!$AB$13,"D+",IF(F321&lt;'PlayerGrades+'!$AB$12,"C-",IF(F321&lt;'PlayerGrades+'!$AB$11,"C",IF(F321&lt;'PlayerGrades+'!$AB$10,"C+",IF(F321&lt;'PlayerGrades+'!$AB$9,"B-",IF(F321&lt;'PlayerGrades+'!$AB$8,"B",IF(F321&lt;'PlayerGrades+'!$AB$7,"B+",IF(F321&lt;'PlayerGrades+'!$AB$6,"A-",IF(F321&lt;'PlayerGrades+'!$AB$5,"A",IF(F321&lt;'PlayerGrades+'!$AB$4,"A+",IF(F321&lt;'PlayerGrades+'!$AB$3,"S-",IF(F321&lt;'PlayerGrades+'!$AB$2,"S","S+"))))))))))))))))))))</f>
        <v>F-</v>
      </c>
      <c r="H321" s="937">
        <f t="shared" si="3"/>
        <v>0.03131524008</v>
      </c>
      <c r="I321" s="937" t="str">
        <f>IF(H321&lt;'PlayerGrades+'!$AC$21,"F-",IF(H321&lt;'PlayerGrades+'!$AC$20,"F",IF(H321&lt;'PlayerGrades+'!$AC$19,"F+",IF(H321&lt;'PlayerGrades+'!$AC$18,"E-",IF(H321&lt;'PlayerGrades+'!$AC$17,"E",IF(H321&lt;'PlayerGrades+'!$AC$16,"E+",IF(H321&lt;'PlayerGrades+'!$AC$15,"D-",IF(H321&lt;'PlayerGrades+'!$AC$14,"D",IF(H321&lt;'PlayerGrades+'!$AC$13,"D+",IF(H321&lt;'PlayerGrades+'!$AC$12,"C-",IF(H321&lt;'PlayerGrades+'!$AC$11,"C",IF(H321&lt;'PlayerGrades+'!$AC$10,"C+",IF(H321&lt;'PlayerGrades+'!$AC$9,"B-",IF(H321&lt;'PlayerGrades+'!$AC$8,"B",IF(H321&lt;'PlayerGrades+'!$AC$7,"B+",IF(H321&lt;'PlayerGrades+'!$AC$6,"A-",IF(H321&lt;'PlayerGrades+'!$AC$5,"A",IF(H321&lt;'PlayerGrades+'!$AC$4,"A+",IF(H321&lt;'PlayerGrades+'!$AC$3,"S-",IF(H321&lt;'PlayerGrades+'!$AC$2,"S","S+"))))))))))))))))))))</f>
        <v>F-</v>
      </c>
      <c r="J321" s="937">
        <f t="shared" si="4"/>
        <v>0</v>
      </c>
      <c r="K321" s="937" t="str">
        <f>IF(J321&lt;'PlayerGrades+'!$AD$21,"F-",IF(J321&lt;'PlayerGrades+'!$AD$20,"F",IF(J321&lt;'PlayerGrades+'!$AD$19,"F+",IF(J321&lt;'PlayerGrades+'!$AD$18,"E-",IF(J321&lt;'PlayerGrades+'!$AD$17,"E",IF(J321&lt;'PlayerGrades+'!$AD$16,"E+",IF(J321&lt;'PlayerGrades+'!$AD$15,"D-",IF(J321&lt;'PlayerGrades+'!$AD$14,"D",IF(J321&lt;'PlayerGrades+'!$AD$13,"D+",IF(J321&lt;'PlayerGrades+'!$AD$12,"C-",IF(J321&lt;'PlayerGrades+'!$AD$11,"C",IF(J321&lt;'PlayerGrades+'!$AD$10,"C+",IF(J321&lt;'PlayerGrades+'!$AD$9,"B-",IF(J321&lt;'PlayerGrades+'!$AD$8,"B",IF(J321&lt;'PlayerGrades+'!$AD$7,"B+",IF(J321&lt;'PlayerGrades+'!$AD$6,"A-",IF(J321&lt;'PlayerGrades+'!$AD$5,"A",IF(J321&lt;'PlayerGrades+'!$AD$4,"A+",IF(J321&lt;'PlayerGrades+'!$AD$3,"S-",IF(J321&lt;'PlayerGrades+'!$AD$2,"S","S+"))))))))))))))))))))</f>
        <v>F-</v>
      </c>
      <c r="L321" s="677">
        <f t="shared" si="5"/>
        <v>0.5636743215</v>
      </c>
      <c r="M321" s="938" t="str">
        <f>IF(L321&lt;'PlayerGrades+'!$AE$21,"F-",IF(L321&lt;'PlayerGrades+'!$AE$20,"F",IF(L321&lt;'PlayerGrades+'!$AE$19,"F+",IF(L321&lt;'PlayerGrades+'!$AE$18,"E-",IF(L321&lt;'PlayerGrades+'!$AE$17,"E",IF(L321&lt;'PlayerGrades+'!$AE$16,"E+",IF(L321&lt;'PlayerGrades+'!$AE$15,"D-",IF(L321&lt;'PlayerGrades+'!$AE$14,"D",IF(L321&lt;'PlayerGrades+'!$AE$13,"D+",IF(L321&lt;'PlayerGrades+'!$AE$12,"C-",IF(L321&lt;'PlayerGrades+'!$AE$11,"C",IF(L321&lt;'PlayerGrades+'!$AE$10,"C+",IF(L321&lt;'PlayerGrades+'!$AE$9,"B-",IF(L321&lt;'PlayerGrades+'!$AE$8,"B",IF(L321&lt;'PlayerGrades+'!$AE$7,"B+",IF(L321&lt;'PlayerGrades+'!$AE$6,"A-",IF(L321&lt;'PlayerGrades+'!$AE$5,"A",IF(L321&lt;'PlayerGrades+'!$AE$4,"A+",IF(L321&lt;'PlayerGrades+'!$AE$3,"S-",IF(L321&lt;'PlayerGrades+'!$AE$2,"S","S+"))))))))))))))))))))</f>
        <v>A</v>
      </c>
      <c r="N321" s="937">
        <f t="shared" si="6"/>
        <v>0.09394572025</v>
      </c>
      <c r="O321" s="937" t="str">
        <f>IF(N321&lt;'PlayerGrades+'!$AF$21,"F-",IF(N321&lt;'PlayerGrades+'!$AF$20,"F",IF(N321&lt;'PlayerGrades+'!$AF$19,"F+",IF(N321&lt;'PlayerGrades+'!$AF$18,"E-",IF(N321&lt;'PlayerGrades+'!$AF$17,"E",IF(N321&lt;'PlayerGrades+'!$AF$16,"E+",IF(N321&lt;'PlayerGrades+'!$AF$15,"D-",IF(N321&lt;'PlayerGrades+'!$AF$14,"D",IF(N321&lt;'PlayerGrades+'!$AF$13,"D+",IF(N321&lt;'PlayerGrades+'!$AF$12,"C-",IF(N321&lt;'PlayerGrades+'!$AF$11,"C",IF(N321&lt;'PlayerGrades+'!$AF$10,"C+",IF(N321&lt;'PlayerGrades+'!$AF$9,"B-",IF(N321&lt;'PlayerGrades+'!$AF$8,"B",IF(N321&lt;'PlayerGrades+'!$AF$7,"B+",IF(N321&lt;'PlayerGrades+'!$AF$6,"A-",IF(N321&lt;'PlayerGrades+'!$AF$5,"A",IF(N321&lt;'PlayerGrades+'!$AF$4,"A+",IF(N321&lt;'PlayerGrades+'!$AF$3,"S-",IF(N321&lt;'PlayerGrades+'!$AF$2,"S","S+"))))))))))))))))))))</f>
        <v>A-</v>
      </c>
      <c r="P321" s="937">
        <f t="shared" si="7"/>
        <v>0</v>
      </c>
      <c r="Q321" s="937" t="str">
        <f>IF(P321&lt;'PlayerGrades+'!$AG$21,"F-",IF(P321&lt;'PlayerGrades+'!$AG$20,"F",IF(P321&lt;'PlayerGrades+'!$AG$19,"F+",IF(P321&lt;'PlayerGrades+'!$AG$18,"E-",IF(P321&lt;'PlayerGrades+'!$AG$17,"E",IF(P321&lt;'PlayerGrades+'!$AG$16,"E+",IF(P321&lt;'PlayerGrades+'!$AG$15,"D-",IF(P321&lt;'PlayerGrades+'!$AG$14,"D",IF(P321&lt;'PlayerGrades+'!$AG$13,"D+",IF(P321&lt;'PlayerGrades+'!$AG$12,"C-",IF(P321&lt;'PlayerGrades+'!$AG$11,"C",IF(P321&lt;'PlayerGrades+'!$AG$10,"C+",IF(P321&lt;'PlayerGrades+'!$AG$9,"B-",IF(P321&lt;'PlayerGrades+'!$AG$8,"B",IF(P321&lt;'PlayerGrades+'!$AG$7,"B+",IF(P321&lt;'PlayerGrades+'!$AG$6,"A-",IF(P321&lt;'PlayerGrades+'!$AG$5,"A",IF(P321&lt;'PlayerGrades+'!$AG$4,"A+",IF(P321&lt;'PlayerGrades+'!$AG$3,"S-",IF(P321&lt;'PlayerGrades+'!$AG$2,"S","S+"))))))))))))))))))))</f>
        <v>F</v>
      </c>
      <c r="R321" s="937">
        <f t="shared" si="8"/>
        <v>0.6263048017</v>
      </c>
      <c r="S321" s="937" t="str">
        <f>IF(R321&lt;'PlayerGrades+'!$AH$21,"F-",IF(R321&lt;'PlayerGrades+'!$AH$20,"F",IF(R321&lt;'PlayerGrades+'!$AH$19,"F+",IF(R321&lt;'PlayerGrades+'!$AH$18,"E-",IF(R321&lt;'PlayerGrades+'!$AH$17,"E",IF(R321&lt;'PlayerGrades+'!$AH$16,"E+",IF(R321&lt;'PlayerGrades+'!$AH$15,"D-",IF(R321&lt;'PlayerGrades+'!$AH$14,"D",IF(R321&lt;'PlayerGrades+'!$AH$13,"D+",IF(R321&lt;'PlayerGrades+'!$AH$12,"C-",IF(R321&lt;'PlayerGrades+'!$AH$11,"C",IF(R321&lt;'PlayerGrades+'!$AH$10,"C+",IF(R321&lt;'PlayerGrades+'!$AH$9,"B-",IF(R321&lt;'PlayerGrades+'!$AH$8,"B",IF(R321&lt;'PlayerGrades+'!$AH$7,"B+",IF(R321&lt;'PlayerGrades+'!$AH$6,"A-",IF(R321&lt;'PlayerGrades+'!$AH$5,"A",IF(R321&lt;'PlayerGrades+'!$AH$4,"A+",IF(R321&lt;'PlayerGrades+'!$AH$3,"S-",IF(R321&lt;'PlayerGrades+'!$AH$2,"S","S+"))))))))))))))))))))</f>
        <v>A</v>
      </c>
      <c r="T321" s="937">
        <f t="shared" si="9"/>
        <v>1.407098121</v>
      </c>
      <c r="U321" s="937" t="str">
        <f>IF(T321&lt;'PlayerGrades+'!$AI$21,"F-",IF(T321&lt;'PlayerGrades+'!$AI$20,"F",IF(T321&lt;'PlayerGrades+'!$AI$19,"F+",IF(T321&lt;'PlayerGrades+'!$AI$18,"E-",IF(T321&lt;'PlayerGrades+'!$AI$17,"E",IF(T321&lt;'PlayerGrades+'!$AI$16,"E+",IF(T321&lt;'PlayerGrades+'!$AI$15,"D-",IF(T321&lt;'PlayerGrades+'!$AI$14,"D",IF(T321&lt;'PlayerGrades+'!$AI$13,"D+",IF(T321&lt;'PlayerGrades+'!$AI$12,"C-",IF(T321&lt;'PlayerGrades+'!$AI$11,"C",IF(T321&lt;'PlayerGrades+'!$AI$10,"C+",IF(T321&lt;'PlayerGrades+'!$AI$9,"B-",IF(T321&lt;'PlayerGrades+'!$AI$8,"B",IF(T321&lt;'PlayerGrades+'!$AI$7,"B+",IF(T321&lt;'PlayerGrades+'!$AI$6,"A-",IF(T321&lt;'PlayerGrades+'!$AI$5,"A",IF(T321&lt;'PlayerGrades+'!$AI$4,"A+",IF(T321&lt;'PlayerGrades+'!$AI$3,"S-",IF(T321&lt;'PlayerGrades+'!$AI$2,"S","S+"))))))))))))))))))))</f>
        <v>B</v>
      </c>
      <c r="V321" s="944">
        <v>1.0</v>
      </c>
      <c r="W321" s="944">
        <v>0.0</v>
      </c>
      <c r="X321" s="944">
        <v>1.0</v>
      </c>
      <c r="Y321" s="944">
        <v>0.0</v>
      </c>
      <c r="Z321" s="944">
        <v>0.0</v>
      </c>
      <c r="AA321" s="944">
        <v>105.0</v>
      </c>
      <c r="AB321" s="944">
        <v>151.0</v>
      </c>
      <c r="AC321" s="944">
        <v>-46.0</v>
      </c>
      <c r="AD321" s="944">
        <v>7.0</v>
      </c>
      <c r="AE321" s="944">
        <v>4.0</v>
      </c>
      <c r="AF321" s="944">
        <v>1.0</v>
      </c>
      <c r="AG321" s="944">
        <v>1386.0</v>
      </c>
      <c r="AH321" s="944">
        <v>1916.0</v>
      </c>
      <c r="AI321" s="944">
        <v>9.0</v>
      </c>
      <c r="AJ321" s="944">
        <v>7.0</v>
      </c>
      <c r="AK321" s="944">
        <v>0.0</v>
      </c>
      <c r="AL321" s="944">
        <v>0.0</v>
      </c>
      <c r="AM321" s="944">
        <v>0.0</v>
      </c>
      <c r="AN321" s="944">
        <v>0.0</v>
      </c>
      <c r="AO321" s="944">
        <v>0.0</v>
      </c>
      <c r="AP321" s="944">
        <v>0.0</v>
      </c>
      <c r="AQ321" s="944">
        <v>0.0</v>
      </c>
      <c r="AR321" s="944">
        <v>18.0</v>
      </c>
      <c r="AS321" s="944">
        <v>3.0</v>
      </c>
      <c r="AT321" s="944">
        <v>1.0</v>
      </c>
      <c r="AU321" s="944">
        <v>0.0</v>
      </c>
      <c r="AV321" s="944">
        <v>0.0</v>
      </c>
      <c r="AW321" s="944">
        <v>0.0</v>
      </c>
      <c r="AX321" s="944">
        <v>0.0</v>
      </c>
      <c r="AY321" s="944">
        <v>0.0</v>
      </c>
      <c r="AZ321" s="944">
        <v>0.0</v>
      </c>
      <c r="BA321" s="944">
        <v>0.0</v>
      </c>
      <c r="BB321" s="944">
        <v>1.0</v>
      </c>
      <c r="BC321" s="944">
        <v>0.0</v>
      </c>
      <c r="BD321" s="944">
        <v>13.0</v>
      </c>
      <c r="BE321" s="944">
        <v>13.0</v>
      </c>
      <c r="BF321" s="944">
        <v>1.0</v>
      </c>
      <c r="BG321" s="945">
        <v>1.0</v>
      </c>
    </row>
    <row r="322">
      <c r="A322" s="946" t="s">
        <v>123</v>
      </c>
      <c r="B322" s="16" t="str">
        <f>IF(C322&lt;'PlayerGrades+'!$Y$44,"F-",IF(C322&lt;'PlayerGrades+'!$Y$43,"F",IF(C322&lt;'PlayerGrades+'!$Y$42,"F+",IF(C322&lt;'PlayerGrades+'!$Y$41,"E-",IF(C322&lt;'PlayerGrades+'!$Y$40,"E",IF(C322&lt;'PlayerGrades+'!$Y$39,"E+",IF(C322&lt;'PlayerGrades+'!$Y$38,"D-",IF(C322&lt;'PlayerGrades+'!$Y$37,"D",IF(C322&lt;'PlayerGrades+'!$Y$36,"D+",IF(C322&lt;'PlayerGrades+'!$Y$35,"C-",IF(C322&lt;'PlayerGrades+'!$Y$34,"C",IF(C322&lt;'PlayerGrades+'!$Y$33,"C+",IF(C322&lt;'PlayerGrades+'!$Y$32,"B-",IF(C322&lt;'PlayerGrades+'!$Y$31,"B",IF(C322&lt;'PlayerGrades+'!$Y$30,"B+",IF(C322&lt;'PlayerGrades+'!$Y$29,"A-",IF(C322&lt;'PlayerGrades+'!$Y$28,"A",IF(C322&lt;'PlayerGrades+'!$Y$27,"A+",IF(C322&lt;'PlayerGrades+'!$Y$26,"S-",IF(C322&lt;'PlayerGrades+'!$Y$25,"S","S+"))))))))))))))))))))</f>
        <v>C+</v>
      </c>
      <c r="C322" s="936">
        <f>('PlayerGrades+'!$Y$47*(VLOOKUP(E322, 'PlayerGrades+'!$X$3:$Y$23, 2, FALSE)))+('PlayerGrades+'!$Y$48*(VLOOKUP(G322, 'PlayerGrades+'!$X$3:$Y$23, 2, FALSE)))+('PlayerGrades+'!$Y$49*(VLOOKUP(I322, 'PlayerGrades+'!$X$3:$Y$23, 2, FALSE)))+('PlayerGrades+'!$Y$50*(VLOOKUP(K322, 'PlayerGrades+'!$X$3:$Y$23, 2, FALSE)))+('PlayerGrades+'!$Y$51*(VLOOKUP(M322, 'PlayerGrades+'!$X$3:$Y$23, 2, FALSE)))+('PlayerGrades+'!$Y$52*(VLOOKUP(O322, 'PlayerGrades+'!$X$3:$Y$23, 2, FALSE)))+('PlayerGrades+'!$Y$53*(VLOOKUP(Q322, 'PlayerGrades+'!$X$3:$Y$23, 2, FALSE)))+('PlayerGrades+'!$Y$54*(VLOOKUP(S322, 'PlayerGrades+'!$X$3:$Y$23, 2, FALSE)))+('PlayerGrades+'!$Y$55*(VLOOKUP(U322, 'PlayerGrades+'!$X$3:$Y$23, 2, FALSE)))</f>
        <v>21.2</v>
      </c>
      <c r="D322" s="937">
        <f t="shared" si="1"/>
        <v>1.436740529</v>
      </c>
      <c r="E322" s="937" t="str">
        <f>IF(D322&lt;'PlayerGrades+'!$AA$21,"F-",IF(D322&lt;'PlayerGrades+'!$AA$20,"F",IF(D322&lt;'PlayerGrades+'!$AA$19,"F+",IF(D322&lt;'PlayerGrades+'!$AA$18,"E-",IF(D322&lt;'PlayerGrades+'!$AA$17,"E",IF(D322&lt;'PlayerGrades+'!$AA$16,"E+",IF(D322&lt;'PlayerGrades+'!$AA$15,"D-",IF(D322&lt;'PlayerGrades+'!$AA$14,"D",IF(D322&lt;'PlayerGrades+'!$AA$13,"D+",IF(D322&lt;'PlayerGrades+'!$AA$12,"C-",IF(D322&lt;'PlayerGrades+'!$AA$11,"C",IF(D322&lt;'PlayerGrades+'!$AA$10,"C+",IF(D322&lt;'PlayerGrades+'!$AA$9,"B-",IF(D322&lt;'PlayerGrades+'!$AA$8,"B",IF(D322&lt;'PlayerGrades+'!$AA$7,"B+",IF(D322&lt;'PlayerGrades+'!$AA$6,"A-",IF(D322&lt;'PlayerGrades+'!$AA$5,"A",IF(D322&lt;'PlayerGrades+'!$AA$4,"A+",IF(D322&lt;'PlayerGrades+'!$AA$3,"S-",IF(D322&lt;'PlayerGrades+'!$AA$2,"S","S+"))))))))))))))))))))</f>
        <v>S+</v>
      </c>
      <c r="F322" s="937">
        <f t="shared" si="2"/>
        <v>1.501072194</v>
      </c>
      <c r="G322" s="937" t="str">
        <f>IF(F322&lt;'PlayerGrades+'!$AB$21,"F-",IF(F322&lt;'PlayerGrades+'!$AB$20,"F",IF(F322&lt;'PlayerGrades+'!$AB$19,"F+",IF(F322&lt;'PlayerGrades+'!$AB$18,"E-",IF(F322&lt;'PlayerGrades+'!$AB$17,"E",IF(F322&lt;'PlayerGrades+'!$AB$16,"E+",IF(F322&lt;'PlayerGrades+'!$AB$15,"D-",IF(F322&lt;'PlayerGrades+'!$AB$14,"D",IF(F322&lt;'PlayerGrades+'!$AB$13,"D+",IF(F322&lt;'PlayerGrades+'!$AB$12,"C-",IF(F322&lt;'PlayerGrades+'!$AB$11,"C",IF(F322&lt;'PlayerGrades+'!$AB$10,"C+",IF(F322&lt;'PlayerGrades+'!$AB$9,"B-",IF(F322&lt;'PlayerGrades+'!$AB$8,"B",IF(F322&lt;'PlayerGrades+'!$AB$7,"B+",IF(F322&lt;'PlayerGrades+'!$AB$6,"A-",IF(F322&lt;'PlayerGrades+'!$AB$5,"A",IF(F322&lt;'PlayerGrades+'!$AB$4,"A+",IF(F322&lt;'PlayerGrades+'!$AB$3,"S-",IF(F322&lt;'PlayerGrades+'!$AB$2,"S","S+"))))))))))))))))))))</f>
        <v>S+</v>
      </c>
      <c r="H322" s="937">
        <f t="shared" si="3"/>
        <v>0.02144388849</v>
      </c>
      <c r="I322" s="937" t="str">
        <f>IF(H322&lt;'PlayerGrades+'!$AC$21,"F-",IF(H322&lt;'PlayerGrades+'!$AC$20,"F",IF(H322&lt;'PlayerGrades+'!$AC$19,"F+",IF(H322&lt;'PlayerGrades+'!$AC$18,"E-",IF(H322&lt;'PlayerGrades+'!$AC$17,"E",IF(H322&lt;'PlayerGrades+'!$AC$16,"E+",IF(H322&lt;'PlayerGrades+'!$AC$15,"D-",IF(H322&lt;'PlayerGrades+'!$AC$14,"D",IF(H322&lt;'PlayerGrades+'!$AC$13,"D+",IF(H322&lt;'PlayerGrades+'!$AC$12,"C-",IF(H322&lt;'PlayerGrades+'!$AC$11,"C",IF(H322&lt;'PlayerGrades+'!$AC$10,"C+",IF(H322&lt;'PlayerGrades+'!$AC$9,"B-",IF(H322&lt;'PlayerGrades+'!$AC$8,"B",IF(H322&lt;'PlayerGrades+'!$AC$7,"B+",IF(H322&lt;'PlayerGrades+'!$AC$6,"A-",IF(H322&lt;'PlayerGrades+'!$AC$5,"A",IF(H322&lt;'PlayerGrades+'!$AC$4,"A+",IF(H322&lt;'PlayerGrades+'!$AC$3,"S-",IF(H322&lt;'PlayerGrades+'!$AC$2,"S","S+"))))))))))))))))))))</f>
        <v>F-</v>
      </c>
      <c r="J322" s="937">
        <f t="shared" si="4"/>
        <v>0.128663331</v>
      </c>
      <c r="K322" s="937" t="str">
        <f>IF(J322&lt;'PlayerGrades+'!$AD$21,"F-",IF(J322&lt;'PlayerGrades+'!$AD$20,"F",IF(J322&lt;'PlayerGrades+'!$AD$19,"F+",IF(J322&lt;'PlayerGrades+'!$AD$18,"E-",IF(J322&lt;'PlayerGrades+'!$AD$17,"E",IF(J322&lt;'PlayerGrades+'!$AD$16,"E+",IF(J322&lt;'PlayerGrades+'!$AD$15,"D-",IF(J322&lt;'PlayerGrades+'!$AD$14,"D",IF(J322&lt;'PlayerGrades+'!$AD$13,"D+",IF(J322&lt;'PlayerGrades+'!$AD$12,"C-",IF(J322&lt;'PlayerGrades+'!$AD$11,"C",IF(J322&lt;'PlayerGrades+'!$AD$10,"C+",IF(J322&lt;'PlayerGrades+'!$AD$9,"B-",IF(J322&lt;'PlayerGrades+'!$AD$8,"B",IF(J322&lt;'PlayerGrades+'!$AD$7,"B+",IF(J322&lt;'PlayerGrades+'!$AD$6,"A-",IF(J322&lt;'PlayerGrades+'!$AD$5,"A",IF(J322&lt;'PlayerGrades+'!$AD$4,"A+",IF(J322&lt;'PlayerGrades+'!$AD$3,"S-",IF(J322&lt;'PlayerGrades+'!$AD$2,"S","S+"))))))))))))))))))))</f>
        <v>S+</v>
      </c>
      <c r="L322" s="677">
        <f t="shared" si="5"/>
        <v>0.2144388849</v>
      </c>
      <c r="M322" s="938" t="str">
        <f>IF(L322&lt;'PlayerGrades+'!$AE$21,"F-",IF(L322&lt;'PlayerGrades+'!$AE$20,"F",IF(L322&lt;'PlayerGrades+'!$AE$19,"F+",IF(L322&lt;'PlayerGrades+'!$AE$18,"E-",IF(L322&lt;'PlayerGrades+'!$AE$17,"E",IF(L322&lt;'PlayerGrades+'!$AE$16,"E+",IF(L322&lt;'PlayerGrades+'!$AE$15,"D-",IF(L322&lt;'PlayerGrades+'!$AE$14,"D",IF(L322&lt;'PlayerGrades+'!$AE$13,"D+",IF(L322&lt;'PlayerGrades+'!$AE$12,"C-",IF(L322&lt;'PlayerGrades+'!$AE$11,"C",IF(L322&lt;'PlayerGrades+'!$AE$10,"C+",IF(L322&lt;'PlayerGrades+'!$AE$9,"B-",IF(L322&lt;'PlayerGrades+'!$AE$8,"B",IF(L322&lt;'PlayerGrades+'!$AE$7,"B+",IF(L322&lt;'PlayerGrades+'!$AE$6,"A-",IF(L322&lt;'PlayerGrades+'!$AE$5,"A",IF(L322&lt;'PlayerGrades+'!$AE$4,"A+",IF(L322&lt;'PlayerGrades+'!$AE$3,"S-",IF(L322&lt;'PlayerGrades+'!$AE$2,"S","S+"))))))))))))))))))))</f>
        <v>F</v>
      </c>
      <c r="N322" s="937">
        <f t="shared" si="6"/>
        <v>0.02144388849</v>
      </c>
      <c r="O322" s="937" t="str">
        <f>IF(N322&lt;'PlayerGrades+'!$AF$21,"F-",IF(N322&lt;'PlayerGrades+'!$AF$20,"F",IF(N322&lt;'PlayerGrades+'!$AF$19,"F+",IF(N322&lt;'PlayerGrades+'!$AF$18,"E-",IF(N322&lt;'PlayerGrades+'!$AF$17,"E",IF(N322&lt;'PlayerGrades+'!$AF$16,"E+",IF(N322&lt;'PlayerGrades+'!$AF$15,"D-",IF(N322&lt;'PlayerGrades+'!$AF$14,"D",IF(N322&lt;'PlayerGrades+'!$AF$13,"D+",IF(N322&lt;'PlayerGrades+'!$AF$12,"C-",IF(N322&lt;'PlayerGrades+'!$AF$11,"C",IF(N322&lt;'PlayerGrades+'!$AF$10,"C+",IF(N322&lt;'PlayerGrades+'!$AF$9,"B-",IF(N322&lt;'PlayerGrades+'!$AF$8,"B",IF(N322&lt;'PlayerGrades+'!$AF$7,"B+",IF(N322&lt;'PlayerGrades+'!$AF$6,"A-",IF(N322&lt;'PlayerGrades+'!$AF$5,"A",IF(N322&lt;'PlayerGrades+'!$AF$4,"A+",IF(N322&lt;'PlayerGrades+'!$AF$3,"S-",IF(N322&lt;'PlayerGrades+'!$AF$2,"S","S+"))))))))))))))))))))</f>
        <v>F-</v>
      </c>
      <c r="P322" s="937">
        <f t="shared" si="7"/>
        <v>0</v>
      </c>
      <c r="Q322" s="937" t="str">
        <f>IF(P322&lt;'PlayerGrades+'!$AG$21,"F-",IF(P322&lt;'PlayerGrades+'!$AG$20,"F",IF(P322&lt;'PlayerGrades+'!$AG$19,"F+",IF(P322&lt;'PlayerGrades+'!$AG$18,"E-",IF(P322&lt;'PlayerGrades+'!$AG$17,"E",IF(P322&lt;'PlayerGrades+'!$AG$16,"E+",IF(P322&lt;'PlayerGrades+'!$AG$15,"D-",IF(P322&lt;'PlayerGrades+'!$AG$14,"D",IF(P322&lt;'PlayerGrades+'!$AG$13,"D+",IF(P322&lt;'PlayerGrades+'!$AG$12,"C-",IF(P322&lt;'PlayerGrades+'!$AG$11,"C",IF(P322&lt;'PlayerGrades+'!$AG$10,"C+",IF(P322&lt;'PlayerGrades+'!$AG$9,"B-",IF(P322&lt;'PlayerGrades+'!$AG$8,"B",IF(P322&lt;'PlayerGrades+'!$AG$7,"B+",IF(P322&lt;'PlayerGrades+'!$AG$6,"A-",IF(P322&lt;'PlayerGrades+'!$AG$5,"A",IF(P322&lt;'PlayerGrades+'!$AG$4,"A+",IF(P322&lt;'PlayerGrades+'!$AG$3,"S-",IF(P322&lt;'PlayerGrades+'!$AG$2,"S","S+"))))))))))))))))))))</f>
        <v>F</v>
      </c>
      <c r="R322" s="937">
        <f t="shared" si="8"/>
        <v>0.7076483202</v>
      </c>
      <c r="S322" s="937" t="str">
        <f>IF(R322&lt;'PlayerGrades+'!$AH$21,"F-",IF(R322&lt;'PlayerGrades+'!$AH$20,"F",IF(R322&lt;'PlayerGrades+'!$AH$19,"F+",IF(R322&lt;'PlayerGrades+'!$AH$18,"E-",IF(R322&lt;'PlayerGrades+'!$AH$17,"E",IF(R322&lt;'PlayerGrades+'!$AH$16,"E+",IF(R322&lt;'PlayerGrades+'!$AH$15,"D-",IF(R322&lt;'PlayerGrades+'!$AH$14,"D",IF(R322&lt;'PlayerGrades+'!$AH$13,"D+",IF(R322&lt;'PlayerGrades+'!$AH$12,"C-",IF(R322&lt;'PlayerGrades+'!$AH$11,"C",IF(R322&lt;'PlayerGrades+'!$AH$10,"C+",IF(R322&lt;'PlayerGrades+'!$AH$9,"B-",IF(R322&lt;'PlayerGrades+'!$AH$8,"B",IF(R322&lt;'PlayerGrades+'!$AH$7,"B+",IF(R322&lt;'PlayerGrades+'!$AH$6,"A-",IF(R322&lt;'PlayerGrades+'!$AH$5,"A",IF(R322&lt;'PlayerGrades+'!$AH$4,"A+",IF(R322&lt;'PlayerGrades+'!$AH$3,"S-",IF(R322&lt;'PlayerGrades+'!$AH$2,"S","S+"))))))))))))))))))))</f>
        <v>S-</v>
      </c>
      <c r="T322" s="937">
        <f t="shared" si="9"/>
        <v>3.171551108</v>
      </c>
      <c r="U322" s="937" t="str">
        <f>IF(T322&lt;'PlayerGrades+'!$AI$21,"F-",IF(T322&lt;'PlayerGrades+'!$AI$20,"F",IF(T322&lt;'PlayerGrades+'!$AI$19,"F+",IF(T322&lt;'PlayerGrades+'!$AI$18,"E-",IF(T322&lt;'PlayerGrades+'!$AI$17,"E",IF(T322&lt;'PlayerGrades+'!$AI$16,"E+",IF(T322&lt;'PlayerGrades+'!$AI$15,"D-",IF(T322&lt;'PlayerGrades+'!$AI$14,"D",IF(T322&lt;'PlayerGrades+'!$AI$13,"D+",IF(T322&lt;'PlayerGrades+'!$AI$12,"C-",IF(T322&lt;'PlayerGrades+'!$AI$11,"C",IF(T322&lt;'PlayerGrades+'!$AI$10,"C+",IF(T322&lt;'PlayerGrades+'!$AI$9,"B-",IF(T322&lt;'PlayerGrades+'!$AI$8,"B",IF(T322&lt;'PlayerGrades+'!$AI$7,"B+",IF(T322&lt;'PlayerGrades+'!$AI$6,"A-",IF(T322&lt;'PlayerGrades+'!$AI$5,"A",IF(T322&lt;'PlayerGrades+'!$AI$4,"A+",IF(T322&lt;'PlayerGrades+'!$AI$3,"S-",IF(T322&lt;'PlayerGrades+'!$AI$2,"S","S+"))))))))))))))))))))</f>
        <v>S+</v>
      </c>
      <c r="V322" s="939">
        <v>1.0</v>
      </c>
      <c r="W322" s="939">
        <v>1.0</v>
      </c>
      <c r="X322" s="939">
        <v>0.0</v>
      </c>
      <c r="Y322" s="939">
        <v>4.0</v>
      </c>
      <c r="Z322" s="939">
        <v>63.0</v>
      </c>
      <c r="AA322" s="939">
        <v>126.0</v>
      </c>
      <c r="AB322" s="939">
        <v>56.0</v>
      </c>
      <c r="AC322" s="939">
        <v>70.0</v>
      </c>
      <c r="AD322" s="939">
        <v>3.0</v>
      </c>
      <c r="AE322" s="939">
        <v>22.0</v>
      </c>
      <c r="AF322" s="939">
        <v>3.0</v>
      </c>
      <c r="AG322" s="939">
        <v>2612.0</v>
      </c>
      <c r="AH322" s="895">
        <v>2798.0</v>
      </c>
      <c r="AI322" s="939">
        <v>46.0</v>
      </c>
      <c r="AJ322" s="939">
        <v>1900.0</v>
      </c>
      <c r="AK322" s="939">
        <v>0.0</v>
      </c>
      <c r="AL322" s="939">
        <v>6.0</v>
      </c>
      <c r="AM322" s="939">
        <v>3.0</v>
      </c>
      <c r="AN322" s="939">
        <v>2.0</v>
      </c>
      <c r="AO322" s="939">
        <v>1.0</v>
      </c>
      <c r="AP322" s="939">
        <v>0.0</v>
      </c>
      <c r="AQ322" s="939">
        <v>0.0</v>
      </c>
      <c r="AR322" s="939">
        <v>10.0</v>
      </c>
      <c r="AS322" s="939">
        <v>1.0</v>
      </c>
      <c r="AT322" s="939">
        <v>1.0</v>
      </c>
      <c r="AU322" s="939">
        <v>0.0</v>
      </c>
      <c r="AV322" s="939">
        <v>0.0</v>
      </c>
      <c r="AW322" s="939">
        <v>0.0</v>
      </c>
      <c r="AX322" s="939">
        <v>0.0</v>
      </c>
      <c r="AY322" s="939">
        <v>0.0</v>
      </c>
      <c r="AZ322" s="939">
        <v>0.0</v>
      </c>
      <c r="BA322" s="939">
        <v>0.0</v>
      </c>
      <c r="BB322" s="939">
        <v>1.0</v>
      </c>
      <c r="BC322" s="939">
        <v>0.0</v>
      </c>
      <c r="BD322" s="939">
        <v>30.0</v>
      </c>
      <c r="BE322" s="939">
        <v>8.0</v>
      </c>
      <c r="BF322" s="939">
        <v>3.0</v>
      </c>
      <c r="BG322" s="940">
        <v>0.0</v>
      </c>
    </row>
    <row r="323">
      <c r="A323" s="935" t="s">
        <v>138</v>
      </c>
      <c r="B323" s="16" t="str">
        <f>IF(C323&lt;'PlayerGrades+'!$Y$44,"F-",IF(C323&lt;'PlayerGrades+'!$Y$43,"F",IF(C323&lt;'PlayerGrades+'!$Y$42,"F+",IF(C323&lt;'PlayerGrades+'!$Y$41,"E-",IF(C323&lt;'PlayerGrades+'!$Y$40,"E",IF(C323&lt;'PlayerGrades+'!$Y$39,"E+",IF(C323&lt;'PlayerGrades+'!$Y$38,"D-",IF(C323&lt;'PlayerGrades+'!$Y$37,"D",IF(C323&lt;'PlayerGrades+'!$Y$36,"D+",IF(C323&lt;'PlayerGrades+'!$Y$35,"C-",IF(C323&lt;'PlayerGrades+'!$Y$34,"C",IF(C323&lt;'PlayerGrades+'!$Y$33,"C+",IF(C323&lt;'PlayerGrades+'!$Y$32,"B-",IF(C323&lt;'PlayerGrades+'!$Y$31,"B",IF(C323&lt;'PlayerGrades+'!$Y$30,"B+",IF(C323&lt;'PlayerGrades+'!$Y$29,"A-",IF(C323&lt;'PlayerGrades+'!$Y$28,"A",IF(C323&lt;'PlayerGrades+'!$Y$27,"A+",IF(C323&lt;'PlayerGrades+'!$Y$26,"S-",IF(C323&lt;'PlayerGrades+'!$Y$25,"S","S+"))))))))))))))))))))</f>
        <v>S-</v>
      </c>
      <c r="C323" s="936">
        <f>('PlayerGrades+'!$Y$47*(VLOOKUP(E323, 'PlayerGrades+'!$X$3:$Y$23, 2, FALSE)))+('PlayerGrades+'!$Y$48*(VLOOKUP(G323, 'PlayerGrades+'!$X$3:$Y$23, 2, FALSE)))+('PlayerGrades+'!$Y$49*(VLOOKUP(I323, 'PlayerGrades+'!$X$3:$Y$23, 2, FALSE)))+('PlayerGrades+'!$Y$50*(VLOOKUP(K323, 'PlayerGrades+'!$X$3:$Y$23, 2, FALSE)))+('PlayerGrades+'!$Y$51*(VLOOKUP(M323, 'PlayerGrades+'!$X$3:$Y$23, 2, FALSE)))+('PlayerGrades+'!$Y$52*(VLOOKUP(O323, 'PlayerGrades+'!$X$3:$Y$23, 2, FALSE)))+('PlayerGrades+'!$Y$53*(VLOOKUP(Q323, 'PlayerGrades+'!$X$3:$Y$23, 2, FALSE)))+('PlayerGrades+'!$Y$54*(VLOOKUP(S323, 'PlayerGrades+'!$X$3:$Y$23, 2, FALSE)))+('PlayerGrades+'!$Y$55*(VLOOKUP(U323, 'PlayerGrades+'!$X$3:$Y$23, 2, FALSE)))</f>
        <v>30.2</v>
      </c>
      <c r="D323" s="937">
        <f t="shared" si="1"/>
        <v>0.08577555397</v>
      </c>
      <c r="E323" s="937" t="str">
        <f>IF(D323&lt;'PlayerGrades+'!$AA$21,"F-",IF(D323&lt;'PlayerGrades+'!$AA$20,"F",IF(D323&lt;'PlayerGrades+'!$AA$19,"F+",IF(D323&lt;'PlayerGrades+'!$AA$18,"E-",IF(D323&lt;'PlayerGrades+'!$AA$17,"E",IF(D323&lt;'PlayerGrades+'!$AA$16,"E+",IF(D323&lt;'PlayerGrades+'!$AA$15,"D-",IF(D323&lt;'PlayerGrades+'!$AA$14,"D",IF(D323&lt;'PlayerGrades+'!$AA$13,"D+",IF(D323&lt;'PlayerGrades+'!$AA$12,"C-",IF(D323&lt;'PlayerGrades+'!$AA$11,"C",IF(D323&lt;'PlayerGrades+'!$AA$10,"C+",IF(D323&lt;'PlayerGrades+'!$AA$9,"B-",IF(D323&lt;'PlayerGrades+'!$AA$8,"B",IF(D323&lt;'PlayerGrades+'!$AA$7,"B+",IF(D323&lt;'PlayerGrades+'!$AA$6,"A-",IF(D323&lt;'PlayerGrades+'!$AA$5,"A",IF(D323&lt;'PlayerGrades+'!$AA$4,"A+",IF(D323&lt;'PlayerGrades+'!$AA$3,"S-",IF(D323&lt;'PlayerGrades+'!$AA$2,"S","S+"))))))))))))))))))))</f>
        <v>B</v>
      </c>
      <c r="F323" s="937">
        <f t="shared" si="2"/>
        <v>0.3645461044</v>
      </c>
      <c r="G323" s="937" t="str">
        <f>IF(F323&lt;'PlayerGrades+'!$AB$21,"F-",IF(F323&lt;'PlayerGrades+'!$AB$20,"F",IF(F323&lt;'PlayerGrades+'!$AB$19,"F+",IF(F323&lt;'PlayerGrades+'!$AB$18,"E-",IF(F323&lt;'PlayerGrades+'!$AB$17,"E",IF(F323&lt;'PlayerGrades+'!$AB$16,"E+",IF(F323&lt;'PlayerGrades+'!$AB$15,"D-",IF(F323&lt;'PlayerGrades+'!$AB$14,"D",IF(F323&lt;'PlayerGrades+'!$AB$13,"D+",IF(F323&lt;'PlayerGrades+'!$AB$12,"C-",IF(F323&lt;'PlayerGrades+'!$AB$11,"C",IF(F323&lt;'PlayerGrades+'!$AB$10,"C+",IF(F323&lt;'PlayerGrades+'!$AB$9,"B-",IF(F323&lt;'PlayerGrades+'!$AB$8,"B",IF(F323&lt;'PlayerGrades+'!$AB$7,"B+",IF(F323&lt;'PlayerGrades+'!$AB$6,"A-",IF(F323&lt;'PlayerGrades+'!$AB$5,"A",IF(F323&lt;'PlayerGrades+'!$AB$4,"A+",IF(F323&lt;'PlayerGrades+'!$AB$3,"S-",IF(F323&lt;'PlayerGrades+'!$AB$2,"S","S+"))))))))))))))))))))</f>
        <v>A-</v>
      </c>
      <c r="H323" s="937">
        <f t="shared" si="3"/>
        <v>0.3431022159</v>
      </c>
      <c r="I323" s="937" t="str">
        <f>IF(H323&lt;'PlayerGrades+'!$AC$21,"F-",IF(H323&lt;'PlayerGrades+'!$AC$20,"F",IF(H323&lt;'PlayerGrades+'!$AC$19,"F+",IF(H323&lt;'PlayerGrades+'!$AC$18,"E-",IF(H323&lt;'PlayerGrades+'!$AC$17,"E",IF(H323&lt;'PlayerGrades+'!$AC$16,"E+",IF(H323&lt;'PlayerGrades+'!$AC$15,"D-",IF(H323&lt;'PlayerGrades+'!$AC$14,"D",IF(H323&lt;'PlayerGrades+'!$AC$13,"D+",IF(H323&lt;'PlayerGrades+'!$AC$12,"C-",IF(H323&lt;'PlayerGrades+'!$AC$11,"C",IF(H323&lt;'PlayerGrades+'!$AC$10,"C+",IF(H323&lt;'PlayerGrades+'!$AC$9,"B-",IF(H323&lt;'PlayerGrades+'!$AC$8,"B",IF(H323&lt;'PlayerGrades+'!$AC$7,"B+",IF(H323&lt;'PlayerGrades+'!$AC$6,"A-",IF(H323&lt;'PlayerGrades+'!$AC$5,"A",IF(H323&lt;'PlayerGrades+'!$AC$4,"A+",IF(H323&lt;'PlayerGrades+'!$AC$3,"S-",IF(H323&lt;'PlayerGrades+'!$AC$2,"S","S+"))))))))))))))))))))</f>
        <v>S+</v>
      </c>
      <c r="J323" s="937">
        <f t="shared" si="4"/>
        <v>0.06433166548</v>
      </c>
      <c r="K323" s="937" t="str">
        <f>IF(J323&lt;'PlayerGrades+'!$AD$21,"F-",IF(J323&lt;'PlayerGrades+'!$AD$20,"F",IF(J323&lt;'PlayerGrades+'!$AD$19,"F+",IF(J323&lt;'PlayerGrades+'!$AD$18,"E-",IF(J323&lt;'PlayerGrades+'!$AD$17,"E",IF(J323&lt;'PlayerGrades+'!$AD$16,"E+",IF(J323&lt;'PlayerGrades+'!$AD$15,"D-",IF(J323&lt;'PlayerGrades+'!$AD$14,"D",IF(J323&lt;'PlayerGrades+'!$AD$13,"D+",IF(J323&lt;'PlayerGrades+'!$AD$12,"C-",IF(J323&lt;'PlayerGrades+'!$AD$11,"C",IF(J323&lt;'PlayerGrades+'!$AD$10,"C+",IF(J323&lt;'PlayerGrades+'!$AD$9,"B-",IF(J323&lt;'PlayerGrades+'!$AD$8,"B",IF(J323&lt;'PlayerGrades+'!$AD$7,"B+",IF(J323&lt;'PlayerGrades+'!$AD$6,"A-",IF(J323&lt;'PlayerGrades+'!$AD$5,"A",IF(J323&lt;'PlayerGrades+'!$AD$4,"A+",IF(J323&lt;'PlayerGrades+'!$AD$3,"S-",IF(J323&lt;'PlayerGrades+'!$AD$2,"S","S+"))))))))))))))))))))</f>
        <v>A-</v>
      </c>
      <c r="L323" s="677">
        <f t="shared" si="5"/>
        <v>0.7076483202</v>
      </c>
      <c r="M323" s="938" t="str">
        <f>IF(L323&lt;'PlayerGrades+'!$AE$21,"F-",IF(L323&lt;'PlayerGrades+'!$AE$20,"F",IF(L323&lt;'PlayerGrades+'!$AE$19,"F+",IF(L323&lt;'PlayerGrades+'!$AE$18,"E-",IF(L323&lt;'PlayerGrades+'!$AE$17,"E",IF(L323&lt;'PlayerGrades+'!$AE$16,"E+",IF(L323&lt;'PlayerGrades+'!$AE$15,"D-",IF(L323&lt;'PlayerGrades+'!$AE$14,"D",IF(L323&lt;'PlayerGrades+'!$AE$13,"D+",IF(L323&lt;'PlayerGrades+'!$AE$12,"C-",IF(L323&lt;'PlayerGrades+'!$AE$11,"C",IF(L323&lt;'PlayerGrades+'!$AE$10,"C+",IF(L323&lt;'PlayerGrades+'!$AE$9,"B-",IF(L323&lt;'PlayerGrades+'!$AE$8,"B",IF(L323&lt;'PlayerGrades+'!$AE$7,"B+",IF(L323&lt;'PlayerGrades+'!$AE$6,"A-",IF(L323&lt;'PlayerGrades+'!$AE$5,"A",IF(L323&lt;'PlayerGrades+'!$AE$4,"A+",IF(L323&lt;'PlayerGrades+'!$AE$3,"S-",IF(L323&lt;'PlayerGrades+'!$AE$2,"S","S+"))))))))))))))))))))</f>
        <v>S+</v>
      </c>
      <c r="N323" s="937">
        <f t="shared" si="6"/>
        <v>0.06433166548</v>
      </c>
      <c r="O323" s="937" t="str">
        <f>IF(N323&lt;'PlayerGrades+'!$AF$21,"F-",IF(N323&lt;'PlayerGrades+'!$AF$20,"F",IF(N323&lt;'PlayerGrades+'!$AF$19,"F+",IF(N323&lt;'PlayerGrades+'!$AF$18,"E-",IF(N323&lt;'PlayerGrades+'!$AF$17,"E",IF(N323&lt;'PlayerGrades+'!$AF$16,"E+",IF(N323&lt;'PlayerGrades+'!$AF$15,"D-",IF(N323&lt;'PlayerGrades+'!$AF$14,"D",IF(N323&lt;'PlayerGrades+'!$AF$13,"D+",IF(N323&lt;'PlayerGrades+'!$AF$12,"C-",IF(N323&lt;'PlayerGrades+'!$AF$11,"C",IF(N323&lt;'PlayerGrades+'!$AF$10,"C+",IF(N323&lt;'PlayerGrades+'!$AF$9,"B-",IF(N323&lt;'PlayerGrades+'!$AF$8,"B",IF(N323&lt;'PlayerGrades+'!$AF$7,"B+",IF(N323&lt;'PlayerGrades+'!$AF$6,"A-",IF(N323&lt;'PlayerGrades+'!$AF$5,"A",IF(N323&lt;'PlayerGrades+'!$AF$4,"A+",IF(N323&lt;'PlayerGrades+'!$AF$3,"S-",IF(N323&lt;'PlayerGrades+'!$AF$2,"S","S+"))))))))))))))))))))</f>
        <v>C-</v>
      </c>
      <c r="P323" s="937">
        <f t="shared" si="7"/>
        <v>0.06433166548</v>
      </c>
      <c r="Q323" s="937" t="str">
        <f>IF(P323&lt;'PlayerGrades+'!$AG$21,"F-",IF(P323&lt;'PlayerGrades+'!$AG$20,"F",IF(P323&lt;'PlayerGrades+'!$AG$19,"F+",IF(P323&lt;'PlayerGrades+'!$AG$18,"E-",IF(P323&lt;'PlayerGrades+'!$AG$17,"E",IF(P323&lt;'PlayerGrades+'!$AG$16,"E+",IF(P323&lt;'PlayerGrades+'!$AG$15,"D-",IF(P323&lt;'PlayerGrades+'!$AG$14,"D",IF(P323&lt;'PlayerGrades+'!$AG$13,"D+",IF(P323&lt;'PlayerGrades+'!$AG$12,"C-",IF(P323&lt;'PlayerGrades+'!$AG$11,"C",IF(P323&lt;'PlayerGrades+'!$AG$10,"C+",IF(P323&lt;'PlayerGrades+'!$AG$9,"B-",IF(P323&lt;'PlayerGrades+'!$AG$8,"B",IF(P323&lt;'PlayerGrades+'!$AG$7,"B+",IF(P323&lt;'PlayerGrades+'!$AG$6,"A-",IF(P323&lt;'PlayerGrades+'!$AG$5,"A",IF(P323&lt;'PlayerGrades+'!$AG$4,"A+",IF(P323&lt;'PlayerGrades+'!$AG$3,"S-",IF(P323&lt;'PlayerGrades+'!$AG$2,"S","S+"))))))))))))))))))))</f>
        <v>A+</v>
      </c>
      <c r="R323" s="937">
        <f t="shared" si="8"/>
        <v>0.7505360972</v>
      </c>
      <c r="S323" s="937" t="str">
        <f>IF(R323&lt;'PlayerGrades+'!$AH$21,"F-",IF(R323&lt;'PlayerGrades+'!$AH$20,"F",IF(R323&lt;'PlayerGrades+'!$AH$19,"F+",IF(R323&lt;'PlayerGrades+'!$AH$18,"E-",IF(R323&lt;'PlayerGrades+'!$AH$17,"E",IF(R323&lt;'PlayerGrades+'!$AH$16,"E+",IF(R323&lt;'PlayerGrades+'!$AH$15,"D-",IF(R323&lt;'PlayerGrades+'!$AH$14,"D",IF(R323&lt;'PlayerGrades+'!$AH$13,"D+",IF(R323&lt;'PlayerGrades+'!$AH$12,"C-",IF(R323&lt;'PlayerGrades+'!$AH$11,"C",IF(R323&lt;'PlayerGrades+'!$AH$10,"C+",IF(R323&lt;'PlayerGrades+'!$AH$9,"B-",IF(R323&lt;'PlayerGrades+'!$AH$8,"B",IF(R323&lt;'PlayerGrades+'!$AH$7,"B+",IF(R323&lt;'PlayerGrades+'!$AH$6,"A-",IF(R323&lt;'PlayerGrades+'!$AH$5,"A",IF(R323&lt;'PlayerGrades+'!$AH$4,"A+",IF(R323&lt;'PlayerGrades+'!$AH$3,"S-",IF(R323&lt;'PlayerGrades+'!$AH$2,"S","S+"))))))))))))))))))))</f>
        <v>S</v>
      </c>
      <c r="T323" s="937">
        <f t="shared" si="9"/>
        <v>1.643316655</v>
      </c>
      <c r="U323" s="937" t="str">
        <f>IF(T323&lt;'PlayerGrades+'!$AI$21,"F-",IF(T323&lt;'PlayerGrades+'!$AI$20,"F",IF(T323&lt;'PlayerGrades+'!$AI$19,"F+",IF(T323&lt;'PlayerGrades+'!$AI$18,"E-",IF(T323&lt;'PlayerGrades+'!$AI$17,"E",IF(T323&lt;'PlayerGrades+'!$AI$16,"E+",IF(T323&lt;'PlayerGrades+'!$AI$15,"D-",IF(T323&lt;'PlayerGrades+'!$AI$14,"D",IF(T323&lt;'PlayerGrades+'!$AI$13,"D+",IF(T323&lt;'PlayerGrades+'!$AI$12,"C-",IF(T323&lt;'PlayerGrades+'!$AI$11,"C",IF(T323&lt;'PlayerGrades+'!$AI$10,"C+",IF(T323&lt;'PlayerGrades+'!$AI$9,"B-",IF(T323&lt;'PlayerGrades+'!$AI$8,"B",IF(T323&lt;'PlayerGrades+'!$AI$7,"B+",IF(T323&lt;'PlayerGrades+'!$AI$6,"A-",IF(T323&lt;'PlayerGrades+'!$AI$5,"A",IF(T323&lt;'PlayerGrades+'!$AI$4,"A+",IF(T323&lt;'PlayerGrades+'!$AI$3,"S-",IF(T323&lt;'PlayerGrades+'!$AI$2,"S","S+"))))))))))))))))))))</f>
        <v>S-</v>
      </c>
      <c r="V323" s="941">
        <v>1.0</v>
      </c>
      <c r="W323" s="941">
        <v>1.0</v>
      </c>
      <c r="X323" s="941">
        <v>0.0</v>
      </c>
      <c r="Y323" s="941">
        <v>1.0</v>
      </c>
      <c r="Z323" s="941">
        <v>3.0</v>
      </c>
      <c r="AA323" s="941">
        <v>199.0</v>
      </c>
      <c r="AB323" s="941">
        <v>182.0</v>
      </c>
      <c r="AC323" s="941">
        <v>17.0</v>
      </c>
      <c r="AD323" s="941">
        <v>14.0</v>
      </c>
      <c r="AE323" s="941">
        <v>7.0</v>
      </c>
      <c r="AF323" s="941">
        <v>1.0</v>
      </c>
      <c r="AG323" s="941">
        <v>2230.0</v>
      </c>
      <c r="AH323" s="1">
        <v>2798.0</v>
      </c>
      <c r="AI323" s="941">
        <v>12.0</v>
      </c>
      <c r="AJ323" s="941">
        <v>25.0</v>
      </c>
      <c r="AK323" s="941">
        <v>0.0</v>
      </c>
      <c r="AL323" s="941">
        <v>3.0</v>
      </c>
      <c r="AM323" s="941">
        <v>0.0</v>
      </c>
      <c r="AN323" s="941">
        <v>0.0</v>
      </c>
      <c r="AO323" s="941">
        <v>0.0</v>
      </c>
      <c r="AP323" s="941">
        <v>3.0</v>
      </c>
      <c r="AQ323" s="941">
        <v>0.0</v>
      </c>
      <c r="AR323" s="941">
        <v>33.0</v>
      </c>
      <c r="AS323" s="941">
        <v>3.0</v>
      </c>
      <c r="AT323" s="941">
        <v>1.0</v>
      </c>
      <c r="AU323" s="941">
        <v>0.0</v>
      </c>
      <c r="AV323" s="941">
        <v>0.0</v>
      </c>
      <c r="AW323" s="941">
        <v>0.0</v>
      </c>
      <c r="AX323" s="941">
        <v>0.0</v>
      </c>
      <c r="AY323" s="941">
        <v>0.0</v>
      </c>
      <c r="AZ323" s="941">
        <v>0.0</v>
      </c>
      <c r="BA323" s="941">
        <v>0.0</v>
      </c>
      <c r="BB323" s="941">
        <v>16.0</v>
      </c>
      <c r="BC323" s="941">
        <v>0.0</v>
      </c>
      <c r="BD323" s="941">
        <v>21.0</v>
      </c>
      <c r="BE323" s="941">
        <v>30.0</v>
      </c>
      <c r="BF323" s="941">
        <v>1.0</v>
      </c>
      <c r="BG323" s="942">
        <v>0.0</v>
      </c>
    </row>
    <row r="324">
      <c r="A324" s="935" t="s">
        <v>145</v>
      </c>
      <c r="B324" s="16" t="str">
        <f>IF(C324&lt;'PlayerGrades+'!$Y$44,"F-",IF(C324&lt;'PlayerGrades+'!$Y$43,"F",IF(C324&lt;'PlayerGrades+'!$Y$42,"F+",IF(C324&lt;'PlayerGrades+'!$Y$41,"E-",IF(C324&lt;'PlayerGrades+'!$Y$40,"E",IF(C324&lt;'PlayerGrades+'!$Y$39,"E+",IF(C324&lt;'PlayerGrades+'!$Y$38,"D-",IF(C324&lt;'PlayerGrades+'!$Y$37,"D",IF(C324&lt;'PlayerGrades+'!$Y$36,"D+",IF(C324&lt;'PlayerGrades+'!$Y$35,"C-",IF(C324&lt;'PlayerGrades+'!$Y$34,"C",IF(C324&lt;'PlayerGrades+'!$Y$33,"C+",IF(C324&lt;'PlayerGrades+'!$Y$32,"B-",IF(C324&lt;'PlayerGrades+'!$Y$31,"B",IF(C324&lt;'PlayerGrades+'!$Y$30,"B+",IF(C324&lt;'PlayerGrades+'!$Y$29,"A-",IF(C324&lt;'PlayerGrades+'!$Y$28,"A",IF(C324&lt;'PlayerGrades+'!$Y$27,"A+",IF(C324&lt;'PlayerGrades+'!$Y$26,"S-",IF(C324&lt;'PlayerGrades+'!$Y$25,"S","S+"))))))))))))))))))))</f>
        <v>A+</v>
      </c>
      <c r="C324" s="936">
        <f>('PlayerGrades+'!$Y$47*(VLOOKUP(E324, 'PlayerGrades+'!$X$3:$Y$23, 2, FALSE)))+('PlayerGrades+'!$Y$48*(VLOOKUP(G324, 'PlayerGrades+'!$X$3:$Y$23, 2, FALSE)))+('PlayerGrades+'!$Y$49*(VLOOKUP(I324, 'PlayerGrades+'!$X$3:$Y$23, 2, FALSE)))+('PlayerGrades+'!$Y$50*(VLOOKUP(K324, 'PlayerGrades+'!$X$3:$Y$23, 2, FALSE)))+('PlayerGrades+'!$Y$51*(VLOOKUP(M324, 'PlayerGrades+'!$X$3:$Y$23, 2, FALSE)))+('PlayerGrades+'!$Y$52*(VLOOKUP(O324, 'PlayerGrades+'!$X$3:$Y$23, 2, FALSE)))+('PlayerGrades+'!$Y$53*(VLOOKUP(Q324, 'PlayerGrades+'!$X$3:$Y$23, 2, FALSE)))+('PlayerGrades+'!$Y$54*(VLOOKUP(S324, 'PlayerGrades+'!$X$3:$Y$23, 2, FALSE)))+('PlayerGrades+'!$Y$55*(VLOOKUP(U324, 'PlayerGrades+'!$X$3:$Y$23, 2, FALSE)))</f>
        <v>29.15</v>
      </c>
      <c r="D324" s="937">
        <f t="shared" si="1"/>
        <v>0</v>
      </c>
      <c r="E324" s="937" t="str">
        <f>IF(D324&lt;'PlayerGrades+'!$AA$21,"F-",IF(D324&lt;'PlayerGrades+'!$AA$20,"F",IF(D324&lt;'PlayerGrades+'!$AA$19,"F+",IF(D324&lt;'PlayerGrades+'!$AA$18,"E-",IF(D324&lt;'PlayerGrades+'!$AA$17,"E",IF(D324&lt;'PlayerGrades+'!$AA$16,"E+",IF(D324&lt;'PlayerGrades+'!$AA$15,"D-",IF(D324&lt;'PlayerGrades+'!$AA$14,"D",IF(D324&lt;'PlayerGrades+'!$AA$13,"D+",IF(D324&lt;'PlayerGrades+'!$AA$12,"C-",IF(D324&lt;'PlayerGrades+'!$AA$11,"C",IF(D324&lt;'PlayerGrades+'!$AA$10,"C+",IF(D324&lt;'PlayerGrades+'!$AA$9,"B-",IF(D324&lt;'PlayerGrades+'!$AA$8,"B",IF(D324&lt;'PlayerGrades+'!$AA$7,"B+",IF(D324&lt;'PlayerGrades+'!$AA$6,"A-",IF(D324&lt;'PlayerGrades+'!$AA$5,"A",IF(D324&lt;'PlayerGrades+'!$AA$4,"A+",IF(D324&lt;'PlayerGrades+'!$AA$3,"S-",IF(D324&lt;'PlayerGrades+'!$AA$2,"S","S+"))))))))))))))))))))</f>
        <v>F-</v>
      </c>
      <c r="F324" s="937">
        <f t="shared" si="2"/>
        <v>0</v>
      </c>
      <c r="G324" s="937" t="str">
        <f>IF(F324&lt;'PlayerGrades+'!$AB$21,"F-",IF(F324&lt;'PlayerGrades+'!$AB$20,"F",IF(F324&lt;'PlayerGrades+'!$AB$19,"F+",IF(F324&lt;'PlayerGrades+'!$AB$18,"E-",IF(F324&lt;'PlayerGrades+'!$AB$17,"E",IF(F324&lt;'PlayerGrades+'!$AB$16,"E+",IF(F324&lt;'PlayerGrades+'!$AB$15,"D-",IF(F324&lt;'PlayerGrades+'!$AB$14,"D",IF(F324&lt;'PlayerGrades+'!$AB$13,"D+",IF(F324&lt;'PlayerGrades+'!$AB$12,"C-",IF(F324&lt;'PlayerGrades+'!$AB$11,"C",IF(F324&lt;'PlayerGrades+'!$AB$10,"C+",IF(F324&lt;'PlayerGrades+'!$AB$9,"B-",IF(F324&lt;'PlayerGrades+'!$AB$8,"B",IF(F324&lt;'PlayerGrades+'!$AB$7,"B+",IF(F324&lt;'PlayerGrades+'!$AB$6,"A-",IF(F324&lt;'PlayerGrades+'!$AB$5,"A",IF(F324&lt;'PlayerGrades+'!$AB$4,"A+",IF(F324&lt;'PlayerGrades+'!$AB$3,"S-",IF(F324&lt;'PlayerGrades+'!$AB$2,"S","S+"))))))))))))))))))))</f>
        <v>B</v>
      </c>
      <c r="H324" s="937">
        <f t="shared" si="3"/>
        <v>0.2144388849</v>
      </c>
      <c r="I324" s="937" t="str">
        <f>IF(H324&lt;'PlayerGrades+'!$AC$21,"F-",IF(H324&lt;'PlayerGrades+'!$AC$20,"F",IF(H324&lt;'PlayerGrades+'!$AC$19,"F+",IF(H324&lt;'PlayerGrades+'!$AC$18,"E-",IF(H324&lt;'PlayerGrades+'!$AC$17,"E",IF(H324&lt;'PlayerGrades+'!$AC$16,"E+",IF(H324&lt;'PlayerGrades+'!$AC$15,"D-",IF(H324&lt;'PlayerGrades+'!$AC$14,"D",IF(H324&lt;'PlayerGrades+'!$AC$13,"D+",IF(H324&lt;'PlayerGrades+'!$AC$12,"C-",IF(H324&lt;'PlayerGrades+'!$AC$11,"C",IF(H324&lt;'PlayerGrades+'!$AC$10,"C+",IF(H324&lt;'PlayerGrades+'!$AC$9,"B-",IF(H324&lt;'PlayerGrades+'!$AC$8,"B",IF(H324&lt;'PlayerGrades+'!$AC$7,"B+",IF(H324&lt;'PlayerGrades+'!$AC$6,"A-",IF(H324&lt;'PlayerGrades+'!$AC$5,"A",IF(H324&lt;'PlayerGrades+'!$AC$4,"A+",IF(H324&lt;'PlayerGrades+'!$AC$3,"S-",IF(H324&lt;'PlayerGrades+'!$AC$2,"S","S+"))))))))))))))))))))</f>
        <v>S</v>
      </c>
      <c r="J324" s="937">
        <f t="shared" si="4"/>
        <v>0.04288777698</v>
      </c>
      <c r="K324" s="937" t="str">
        <f>IF(J324&lt;'PlayerGrades+'!$AD$21,"F-",IF(J324&lt;'PlayerGrades+'!$AD$20,"F",IF(J324&lt;'PlayerGrades+'!$AD$19,"F+",IF(J324&lt;'PlayerGrades+'!$AD$18,"E-",IF(J324&lt;'PlayerGrades+'!$AD$17,"E",IF(J324&lt;'PlayerGrades+'!$AD$16,"E+",IF(J324&lt;'PlayerGrades+'!$AD$15,"D-",IF(J324&lt;'PlayerGrades+'!$AD$14,"D",IF(J324&lt;'PlayerGrades+'!$AD$13,"D+",IF(J324&lt;'PlayerGrades+'!$AD$12,"C-",IF(J324&lt;'PlayerGrades+'!$AD$11,"C",IF(J324&lt;'PlayerGrades+'!$AD$10,"C+",IF(J324&lt;'PlayerGrades+'!$AD$9,"B-",IF(J324&lt;'PlayerGrades+'!$AD$8,"B",IF(J324&lt;'PlayerGrades+'!$AD$7,"B+",IF(J324&lt;'PlayerGrades+'!$AD$6,"A-",IF(J324&lt;'PlayerGrades+'!$AD$5,"A",IF(J324&lt;'PlayerGrades+'!$AD$4,"A+",IF(J324&lt;'PlayerGrades+'!$AD$3,"S-",IF(J324&lt;'PlayerGrades+'!$AD$2,"S","S+"))))))))))))))))))))</f>
        <v>C+</v>
      </c>
      <c r="L324" s="677">
        <f t="shared" si="5"/>
        <v>0.8148677627</v>
      </c>
      <c r="M324" s="938" t="str">
        <f>IF(L324&lt;'PlayerGrades+'!$AE$21,"F-",IF(L324&lt;'PlayerGrades+'!$AE$20,"F",IF(L324&lt;'PlayerGrades+'!$AE$19,"F+",IF(L324&lt;'PlayerGrades+'!$AE$18,"E-",IF(L324&lt;'PlayerGrades+'!$AE$17,"E",IF(L324&lt;'PlayerGrades+'!$AE$16,"E+",IF(L324&lt;'PlayerGrades+'!$AE$15,"D-",IF(L324&lt;'PlayerGrades+'!$AE$14,"D",IF(L324&lt;'PlayerGrades+'!$AE$13,"D+",IF(L324&lt;'PlayerGrades+'!$AE$12,"C-",IF(L324&lt;'PlayerGrades+'!$AE$11,"C",IF(L324&lt;'PlayerGrades+'!$AE$10,"C+",IF(L324&lt;'PlayerGrades+'!$AE$9,"B-",IF(L324&lt;'PlayerGrades+'!$AE$8,"B",IF(L324&lt;'PlayerGrades+'!$AE$7,"B+",IF(L324&lt;'PlayerGrades+'!$AE$6,"A-",IF(L324&lt;'PlayerGrades+'!$AE$5,"A",IF(L324&lt;'PlayerGrades+'!$AE$4,"A+",IF(L324&lt;'PlayerGrades+'!$AE$3,"S-",IF(L324&lt;'PlayerGrades+'!$AE$2,"S","S+"))))))))))))))))))))</f>
        <v>S+</v>
      </c>
      <c r="N324" s="937">
        <f t="shared" si="6"/>
        <v>0.1072194425</v>
      </c>
      <c r="O324" s="937" t="str">
        <f>IF(N324&lt;'PlayerGrades+'!$AF$21,"F-",IF(N324&lt;'PlayerGrades+'!$AF$20,"F",IF(N324&lt;'PlayerGrades+'!$AF$19,"F+",IF(N324&lt;'PlayerGrades+'!$AF$18,"E-",IF(N324&lt;'PlayerGrades+'!$AF$17,"E",IF(N324&lt;'PlayerGrades+'!$AF$16,"E+",IF(N324&lt;'PlayerGrades+'!$AF$15,"D-",IF(N324&lt;'PlayerGrades+'!$AF$14,"D",IF(N324&lt;'PlayerGrades+'!$AF$13,"D+",IF(N324&lt;'PlayerGrades+'!$AF$12,"C-",IF(N324&lt;'PlayerGrades+'!$AF$11,"C",IF(N324&lt;'PlayerGrades+'!$AF$10,"C+",IF(N324&lt;'PlayerGrades+'!$AF$9,"B-",IF(N324&lt;'PlayerGrades+'!$AF$8,"B",IF(N324&lt;'PlayerGrades+'!$AF$7,"B+",IF(N324&lt;'PlayerGrades+'!$AF$6,"A-",IF(N324&lt;'PlayerGrades+'!$AF$5,"A",IF(N324&lt;'PlayerGrades+'!$AF$4,"A+",IF(N324&lt;'PlayerGrades+'!$AF$3,"S-",IF(N324&lt;'PlayerGrades+'!$AF$2,"S","S+"))))))))))))))))))))</f>
        <v>S-</v>
      </c>
      <c r="P324" s="937">
        <f t="shared" si="7"/>
        <v>0.04288777698</v>
      </c>
      <c r="Q324" s="937" t="str">
        <f>IF(P324&lt;'PlayerGrades+'!$AG$21,"F-",IF(P324&lt;'PlayerGrades+'!$AG$20,"F",IF(P324&lt;'PlayerGrades+'!$AG$19,"F+",IF(P324&lt;'PlayerGrades+'!$AG$18,"E-",IF(P324&lt;'PlayerGrades+'!$AG$17,"E",IF(P324&lt;'PlayerGrades+'!$AG$16,"E+",IF(P324&lt;'PlayerGrades+'!$AG$15,"D-",IF(P324&lt;'PlayerGrades+'!$AG$14,"D",IF(P324&lt;'PlayerGrades+'!$AG$13,"D+",IF(P324&lt;'PlayerGrades+'!$AG$12,"C-",IF(P324&lt;'PlayerGrades+'!$AG$11,"C",IF(P324&lt;'PlayerGrades+'!$AG$10,"C+",IF(P324&lt;'PlayerGrades+'!$AG$9,"B-",IF(P324&lt;'PlayerGrades+'!$AG$8,"B",IF(P324&lt;'PlayerGrades+'!$AG$7,"B+",IF(P324&lt;'PlayerGrades+'!$AG$6,"A-",IF(P324&lt;'PlayerGrades+'!$AG$5,"A",IF(P324&lt;'PlayerGrades+'!$AG$4,"A+",IF(P324&lt;'PlayerGrades+'!$AG$3,"S-",IF(P324&lt;'PlayerGrades+'!$AG$2,"S","S+"))))))))))))))))))))</f>
        <v>A</v>
      </c>
      <c r="R324" s="937">
        <f t="shared" si="8"/>
        <v>0.7934238742</v>
      </c>
      <c r="S324" s="937" t="str">
        <f>IF(R324&lt;'PlayerGrades+'!$AH$21,"F-",IF(R324&lt;'PlayerGrades+'!$AH$20,"F",IF(R324&lt;'PlayerGrades+'!$AH$19,"F+",IF(R324&lt;'PlayerGrades+'!$AH$18,"E-",IF(R324&lt;'PlayerGrades+'!$AH$17,"E",IF(R324&lt;'PlayerGrades+'!$AH$16,"E+",IF(R324&lt;'PlayerGrades+'!$AH$15,"D-",IF(R324&lt;'PlayerGrades+'!$AH$14,"D",IF(R324&lt;'PlayerGrades+'!$AH$13,"D+",IF(R324&lt;'PlayerGrades+'!$AH$12,"C-",IF(R324&lt;'PlayerGrades+'!$AH$11,"C",IF(R324&lt;'PlayerGrades+'!$AH$10,"C+",IF(R324&lt;'PlayerGrades+'!$AH$9,"B-",IF(R324&lt;'PlayerGrades+'!$AH$8,"B",IF(R324&lt;'PlayerGrades+'!$AH$7,"B+",IF(R324&lt;'PlayerGrades+'!$AH$6,"A-",IF(R324&lt;'PlayerGrades+'!$AH$5,"A",IF(R324&lt;'PlayerGrades+'!$AH$4,"A+",IF(R324&lt;'PlayerGrades+'!$AH$3,"S-",IF(R324&lt;'PlayerGrades+'!$AH$2,"S","S+"))))))))))))))))))))</f>
        <v>S+</v>
      </c>
      <c r="T324" s="937">
        <f t="shared" si="9"/>
        <v>1.514653324</v>
      </c>
      <c r="U324" s="937" t="str">
        <f>IF(T324&lt;'PlayerGrades+'!$AI$21,"F-",IF(T324&lt;'PlayerGrades+'!$AI$20,"F",IF(T324&lt;'PlayerGrades+'!$AI$19,"F+",IF(T324&lt;'PlayerGrades+'!$AI$18,"E-",IF(T324&lt;'PlayerGrades+'!$AI$17,"E",IF(T324&lt;'PlayerGrades+'!$AI$16,"E+",IF(T324&lt;'PlayerGrades+'!$AI$15,"D-",IF(T324&lt;'PlayerGrades+'!$AI$14,"D",IF(T324&lt;'PlayerGrades+'!$AI$13,"D+",IF(T324&lt;'PlayerGrades+'!$AI$12,"C-",IF(T324&lt;'PlayerGrades+'!$AI$11,"C",IF(T324&lt;'PlayerGrades+'!$AI$10,"C+",IF(T324&lt;'PlayerGrades+'!$AI$9,"B-",IF(T324&lt;'PlayerGrades+'!$AI$8,"B",IF(T324&lt;'PlayerGrades+'!$AI$7,"B+",IF(T324&lt;'PlayerGrades+'!$AI$6,"A-",IF(T324&lt;'PlayerGrades+'!$AI$5,"A",IF(T324&lt;'PlayerGrades+'!$AI$4,"A+",IF(T324&lt;'PlayerGrades+'!$AI$3,"S-",IF(T324&lt;'PlayerGrades+'!$AI$2,"S","S+"))))))))))))))))))))</f>
        <v>A</v>
      </c>
      <c r="V324" s="941">
        <v>1.0</v>
      </c>
      <c r="W324" s="941">
        <v>1.0</v>
      </c>
      <c r="X324" s="941">
        <v>0.0</v>
      </c>
      <c r="Y324" s="941">
        <v>0.0</v>
      </c>
      <c r="Z324" s="941">
        <v>0.0</v>
      </c>
      <c r="AA324" s="941">
        <v>196.0</v>
      </c>
      <c r="AB324" s="941">
        <v>196.0</v>
      </c>
      <c r="AC324" s="941">
        <v>0.0</v>
      </c>
      <c r="AD324" s="941">
        <v>18.0</v>
      </c>
      <c r="AE324" s="941">
        <v>8.0</v>
      </c>
      <c r="AF324" s="941">
        <v>3.0</v>
      </c>
      <c r="AG324" s="941">
        <v>2197.0</v>
      </c>
      <c r="AH324" s="1">
        <v>2798.0</v>
      </c>
      <c r="AI324" s="941">
        <v>11.0</v>
      </c>
      <c r="AJ324" s="941">
        <v>5.0</v>
      </c>
      <c r="AK324" s="941">
        <v>0.0</v>
      </c>
      <c r="AL324" s="941">
        <v>2.0</v>
      </c>
      <c r="AM324" s="941">
        <v>0.0</v>
      </c>
      <c r="AN324" s="941">
        <v>0.0</v>
      </c>
      <c r="AO324" s="941">
        <v>0.0</v>
      </c>
      <c r="AP324" s="941">
        <v>2.0</v>
      </c>
      <c r="AQ324" s="941">
        <v>0.0</v>
      </c>
      <c r="AR324" s="941">
        <v>38.0</v>
      </c>
      <c r="AS324" s="941">
        <v>5.0</v>
      </c>
      <c r="AT324" s="941">
        <v>0.0</v>
      </c>
      <c r="AU324" s="941">
        <v>0.0</v>
      </c>
      <c r="AV324" s="941">
        <v>0.0</v>
      </c>
      <c r="AW324" s="941">
        <v>0.0</v>
      </c>
      <c r="AX324" s="941">
        <v>0.0</v>
      </c>
      <c r="AY324" s="941">
        <v>0.0</v>
      </c>
      <c r="AZ324" s="941">
        <v>0.0</v>
      </c>
      <c r="BA324" s="941">
        <v>0.0</v>
      </c>
      <c r="BB324" s="941">
        <v>10.0</v>
      </c>
      <c r="BC324" s="941">
        <v>0.0</v>
      </c>
      <c r="BD324" s="941">
        <v>19.0</v>
      </c>
      <c r="BE324" s="941">
        <v>24.0</v>
      </c>
      <c r="BF324" s="941">
        <v>1.0</v>
      </c>
      <c r="BG324" s="942">
        <v>0.0</v>
      </c>
    </row>
    <row r="325">
      <c r="A325" s="935" t="s">
        <v>156</v>
      </c>
      <c r="B325" s="16" t="str">
        <f>IF(C325&lt;'PlayerGrades+'!$Y$44,"F-",IF(C325&lt;'PlayerGrades+'!$Y$43,"F",IF(C325&lt;'PlayerGrades+'!$Y$42,"F+",IF(C325&lt;'PlayerGrades+'!$Y$41,"E-",IF(C325&lt;'PlayerGrades+'!$Y$40,"E",IF(C325&lt;'PlayerGrades+'!$Y$39,"E+",IF(C325&lt;'PlayerGrades+'!$Y$38,"D-",IF(C325&lt;'PlayerGrades+'!$Y$37,"D",IF(C325&lt;'PlayerGrades+'!$Y$36,"D+",IF(C325&lt;'PlayerGrades+'!$Y$35,"C-",IF(C325&lt;'PlayerGrades+'!$Y$34,"C",IF(C325&lt;'PlayerGrades+'!$Y$33,"C+",IF(C325&lt;'PlayerGrades+'!$Y$32,"B-",IF(C325&lt;'PlayerGrades+'!$Y$31,"B",IF(C325&lt;'PlayerGrades+'!$Y$30,"B+",IF(C325&lt;'PlayerGrades+'!$Y$29,"A-",IF(C325&lt;'PlayerGrades+'!$Y$28,"A",IF(C325&lt;'PlayerGrades+'!$Y$27,"A+",IF(C325&lt;'PlayerGrades+'!$Y$26,"S-",IF(C325&lt;'PlayerGrades+'!$Y$25,"S","S+"))))))))))))))))))))</f>
        <v>E-</v>
      </c>
      <c r="C325" s="936">
        <f>('PlayerGrades+'!$Y$47*(VLOOKUP(E325, 'PlayerGrades+'!$X$3:$Y$23, 2, FALSE)))+('PlayerGrades+'!$Y$48*(VLOOKUP(G325, 'PlayerGrades+'!$X$3:$Y$23, 2, FALSE)))+('PlayerGrades+'!$Y$49*(VLOOKUP(I325, 'PlayerGrades+'!$X$3:$Y$23, 2, FALSE)))+('PlayerGrades+'!$Y$50*(VLOOKUP(K325, 'PlayerGrades+'!$X$3:$Y$23, 2, FALSE)))+('PlayerGrades+'!$Y$51*(VLOOKUP(M325, 'PlayerGrades+'!$X$3:$Y$23, 2, FALSE)))+('PlayerGrades+'!$Y$52*(VLOOKUP(O325, 'PlayerGrades+'!$X$3:$Y$23, 2, FALSE)))+('PlayerGrades+'!$Y$53*(VLOOKUP(Q325, 'PlayerGrades+'!$X$3:$Y$23, 2, FALSE)))+('PlayerGrades+'!$Y$54*(VLOOKUP(S325, 'PlayerGrades+'!$X$3:$Y$23, 2, FALSE)))+('PlayerGrades+'!$Y$55*(VLOOKUP(U325, 'PlayerGrades+'!$X$3:$Y$23, 2, FALSE)))</f>
        <v>11.5</v>
      </c>
      <c r="D325" s="937">
        <f t="shared" si="1"/>
        <v>0</v>
      </c>
      <c r="E325" s="937" t="str">
        <f>IF(D325&lt;'PlayerGrades+'!$AA$21,"F-",IF(D325&lt;'PlayerGrades+'!$AA$20,"F",IF(D325&lt;'PlayerGrades+'!$AA$19,"F+",IF(D325&lt;'PlayerGrades+'!$AA$18,"E-",IF(D325&lt;'PlayerGrades+'!$AA$17,"E",IF(D325&lt;'PlayerGrades+'!$AA$16,"E+",IF(D325&lt;'PlayerGrades+'!$AA$15,"D-",IF(D325&lt;'PlayerGrades+'!$AA$14,"D",IF(D325&lt;'PlayerGrades+'!$AA$13,"D+",IF(D325&lt;'PlayerGrades+'!$AA$12,"C-",IF(D325&lt;'PlayerGrades+'!$AA$11,"C",IF(D325&lt;'PlayerGrades+'!$AA$10,"C+",IF(D325&lt;'PlayerGrades+'!$AA$9,"B-",IF(D325&lt;'PlayerGrades+'!$AA$8,"B",IF(D325&lt;'PlayerGrades+'!$AA$7,"B+",IF(D325&lt;'PlayerGrades+'!$AA$6,"A-",IF(D325&lt;'PlayerGrades+'!$AA$5,"A",IF(D325&lt;'PlayerGrades+'!$AA$4,"A+",IF(D325&lt;'PlayerGrades+'!$AA$3,"S-",IF(D325&lt;'PlayerGrades+'!$AA$2,"S","S+"))))))))))))))))))))</f>
        <v>F-</v>
      </c>
      <c r="F325" s="937">
        <f t="shared" si="2"/>
        <v>-0.7076483202</v>
      </c>
      <c r="G325" s="937" t="str">
        <f>IF(F325&lt;'PlayerGrades+'!$AB$21,"F-",IF(F325&lt;'PlayerGrades+'!$AB$20,"F",IF(F325&lt;'PlayerGrades+'!$AB$19,"F+",IF(F325&lt;'PlayerGrades+'!$AB$18,"E-",IF(F325&lt;'PlayerGrades+'!$AB$17,"E",IF(F325&lt;'PlayerGrades+'!$AB$16,"E+",IF(F325&lt;'PlayerGrades+'!$AB$15,"D-",IF(F325&lt;'PlayerGrades+'!$AB$14,"D",IF(F325&lt;'PlayerGrades+'!$AB$13,"D+",IF(F325&lt;'PlayerGrades+'!$AB$12,"C-",IF(F325&lt;'PlayerGrades+'!$AB$11,"C",IF(F325&lt;'PlayerGrades+'!$AB$10,"C+",IF(F325&lt;'PlayerGrades+'!$AB$9,"B-",IF(F325&lt;'PlayerGrades+'!$AB$8,"B",IF(F325&lt;'PlayerGrades+'!$AB$7,"B+",IF(F325&lt;'PlayerGrades+'!$AB$6,"A-",IF(F325&lt;'PlayerGrades+'!$AB$5,"A",IF(F325&lt;'PlayerGrades+'!$AB$4,"A+",IF(F325&lt;'PlayerGrades+'!$AB$3,"S-",IF(F325&lt;'PlayerGrades+'!$AB$2,"S","S+"))))))))))))))))))))</f>
        <v>E+</v>
      </c>
      <c r="H325" s="937">
        <f t="shared" si="3"/>
        <v>0.02144388849</v>
      </c>
      <c r="I325" s="937" t="str">
        <f>IF(H325&lt;'PlayerGrades+'!$AC$21,"F-",IF(H325&lt;'PlayerGrades+'!$AC$20,"F",IF(H325&lt;'PlayerGrades+'!$AC$19,"F+",IF(H325&lt;'PlayerGrades+'!$AC$18,"E-",IF(H325&lt;'PlayerGrades+'!$AC$17,"E",IF(H325&lt;'PlayerGrades+'!$AC$16,"E+",IF(H325&lt;'PlayerGrades+'!$AC$15,"D-",IF(H325&lt;'PlayerGrades+'!$AC$14,"D",IF(H325&lt;'PlayerGrades+'!$AC$13,"D+",IF(H325&lt;'PlayerGrades+'!$AC$12,"C-",IF(H325&lt;'PlayerGrades+'!$AC$11,"C",IF(H325&lt;'PlayerGrades+'!$AC$10,"C+",IF(H325&lt;'PlayerGrades+'!$AC$9,"B-",IF(H325&lt;'PlayerGrades+'!$AC$8,"B",IF(H325&lt;'PlayerGrades+'!$AC$7,"B+",IF(H325&lt;'PlayerGrades+'!$AC$6,"A-",IF(H325&lt;'PlayerGrades+'!$AC$5,"A",IF(H325&lt;'PlayerGrades+'!$AC$4,"A+",IF(H325&lt;'PlayerGrades+'!$AC$3,"S-",IF(H325&lt;'PlayerGrades+'!$AC$2,"S","S+"))))))))))))))))))))</f>
        <v>F-</v>
      </c>
      <c r="J325" s="937">
        <f t="shared" si="4"/>
        <v>0</v>
      </c>
      <c r="K325" s="937" t="str">
        <f>IF(J325&lt;'PlayerGrades+'!$AD$21,"F-",IF(J325&lt;'PlayerGrades+'!$AD$20,"F",IF(J325&lt;'PlayerGrades+'!$AD$19,"F+",IF(J325&lt;'PlayerGrades+'!$AD$18,"E-",IF(J325&lt;'PlayerGrades+'!$AD$17,"E",IF(J325&lt;'PlayerGrades+'!$AD$16,"E+",IF(J325&lt;'PlayerGrades+'!$AD$15,"D-",IF(J325&lt;'PlayerGrades+'!$AD$14,"D",IF(J325&lt;'PlayerGrades+'!$AD$13,"D+",IF(J325&lt;'PlayerGrades+'!$AD$12,"C-",IF(J325&lt;'PlayerGrades+'!$AD$11,"C",IF(J325&lt;'PlayerGrades+'!$AD$10,"C+",IF(J325&lt;'PlayerGrades+'!$AD$9,"B-",IF(J325&lt;'PlayerGrades+'!$AD$8,"B",IF(J325&lt;'PlayerGrades+'!$AD$7,"B+",IF(J325&lt;'PlayerGrades+'!$AD$6,"A-",IF(J325&lt;'PlayerGrades+'!$AD$5,"A",IF(J325&lt;'PlayerGrades+'!$AD$4,"A+",IF(J325&lt;'PlayerGrades+'!$AD$3,"S-",IF(J325&lt;'PlayerGrades+'!$AD$2,"S","S+"))))))))))))))))))))</f>
        <v>F-</v>
      </c>
      <c r="L325" s="677">
        <f t="shared" si="5"/>
        <v>0.3645461044</v>
      </c>
      <c r="M325" s="938" t="str">
        <f>IF(L325&lt;'PlayerGrades+'!$AE$21,"F-",IF(L325&lt;'PlayerGrades+'!$AE$20,"F",IF(L325&lt;'PlayerGrades+'!$AE$19,"F+",IF(L325&lt;'PlayerGrades+'!$AE$18,"E-",IF(L325&lt;'PlayerGrades+'!$AE$17,"E",IF(L325&lt;'PlayerGrades+'!$AE$16,"E+",IF(L325&lt;'PlayerGrades+'!$AE$15,"D-",IF(L325&lt;'PlayerGrades+'!$AE$14,"D",IF(L325&lt;'PlayerGrades+'!$AE$13,"D+",IF(L325&lt;'PlayerGrades+'!$AE$12,"C-",IF(L325&lt;'PlayerGrades+'!$AE$11,"C",IF(L325&lt;'PlayerGrades+'!$AE$10,"C+",IF(L325&lt;'PlayerGrades+'!$AE$9,"B-",IF(L325&lt;'PlayerGrades+'!$AE$8,"B",IF(L325&lt;'PlayerGrades+'!$AE$7,"B+",IF(L325&lt;'PlayerGrades+'!$AE$6,"A-",IF(L325&lt;'PlayerGrades+'!$AE$5,"A",IF(L325&lt;'PlayerGrades+'!$AE$4,"A+",IF(L325&lt;'PlayerGrades+'!$AE$3,"S-",IF(L325&lt;'PlayerGrades+'!$AE$2,"S","S+"))))))))))))))))))))</f>
        <v>D+</v>
      </c>
      <c r="N325" s="937">
        <f t="shared" si="6"/>
        <v>0.08577555397</v>
      </c>
      <c r="O325" s="937" t="str">
        <f>IF(N325&lt;'PlayerGrades+'!$AF$21,"F-",IF(N325&lt;'PlayerGrades+'!$AF$20,"F",IF(N325&lt;'PlayerGrades+'!$AF$19,"F+",IF(N325&lt;'PlayerGrades+'!$AF$18,"E-",IF(N325&lt;'PlayerGrades+'!$AF$17,"E",IF(N325&lt;'PlayerGrades+'!$AF$16,"E+",IF(N325&lt;'PlayerGrades+'!$AF$15,"D-",IF(N325&lt;'PlayerGrades+'!$AF$14,"D",IF(N325&lt;'PlayerGrades+'!$AF$13,"D+",IF(N325&lt;'PlayerGrades+'!$AF$12,"C-",IF(N325&lt;'PlayerGrades+'!$AF$11,"C",IF(N325&lt;'PlayerGrades+'!$AF$10,"C+",IF(N325&lt;'PlayerGrades+'!$AF$9,"B-",IF(N325&lt;'PlayerGrades+'!$AF$8,"B",IF(N325&lt;'PlayerGrades+'!$AF$7,"B+",IF(N325&lt;'PlayerGrades+'!$AF$6,"A-",IF(N325&lt;'PlayerGrades+'!$AF$5,"A",IF(N325&lt;'PlayerGrades+'!$AF$4,"A+",IF(N325&lt;'PlayerGrades+'!$AF$3,"S-",IF(N325&lt;'PlayerGrades+'!$AF$2,"S","S+"))))))))))))))))))))</f>
        <v>B</v>
      </c>
      <c r="P325" s="937">
        <f t="shared" si="7"/>
        <v>0</v>
      </c>
      <c r="Q325" s="937" t="str">
        <f>IF(P325&lt;'PlayerGrades+'!$AG$21,"F-",IF(P325&lt;'PlayerGrades+'!$AG$20,"F",IF(P325&lt;'PlayerGrades+'!$AG$19,"F+",IF(P325&lt;'PlayerGrades+'!$AG$18,"E-",IF(P325&lt;'PlayerGrades+'!$AG$17,"E",IF(P325&lt;'PlayerGrades+'!$AG$16,"E+",IF(P325&lt;'PlayerGrades+'!$AG$15,"D-",IF(P325&lt;'PlayerGrades+'!$AG$14,"D",IF(P325&lt;'PlayerGrades+'!$AG$13,"D+",IF(P325&lt;'PlayerGrades+'!$AG$12,"C-",IF(P325&lt;'PlayerGrades+'!$AG$11,"C",IF(P325&lt;'PlayerGrades+'!$AG$10,"C+",IF(P325&lt;'PlayerGrades+'!$AG$9,"B-",IF(P325&lt;'PlayerGrades+'!$AG$8,"B",IF(P325&lt;'PlayerGrades+'!$AG$7,"B+",IF(P325&lt;'PlayerGrades+'!$AG$6,"A-",IF(P325&lt;'PlayerGrades+'!$AG$5,"A",IF(P325&lt;'PlayerGrades+'!$AG$4,"A+",IF(P325&lt;'PlayerGrades+'!$AG$3,"S-",IF(P325&lt;'PlayerGrades+'!$AG$2,"S","S+"))))))))))))))))))))</f>
        <v>F</v>
      </c>
      <c r="R325" s="937">
        <f t="shared" si="8"/>
        <v>0.4717655468</v>
      </c>
      <c r="S325" s="937" t="str">
        <f>IF(R325&lt;'PlayerGrades+'!$AH$21,"F-",IF(R325&lt;'PlayerGrades+'!$AH$20,"F",IF(R325&lt;'PlayerGrades+'!$AH$19,"F+",IF(R325&lt;'PlayerGrades+'!$AH$18,"E-",IF(R325&lt;'PlayerGrades+'!$AH$17,"E",IF(R325&lt;'PlayerGrades+'!$AH$16,"E+",IF(R325&lt;'PlayerGrades+'!$AH$15,"D-",IF(R325&lt;'PlayerGrades+'!$AH$14,"D",IF(R325&lt;'PlayerGrades+'!$AH$13,"D+",IF(R325&lt;'PlayerGrades+'!$AH$12,"C-",IF(R325&lt;'PlayerGrades+'!$AH$11,"C",IF(R325&lt;'PlayerGrades+'!$AH$10,"C+",IF(R325&lt;'PlayerGrades+'!$AH$9,"B-",IF(R325&lt;'PlayerGrades+'!$AH$8,"B",IF(R325&lt;'PlayerGrades+'!$AH$7,"B+",IF(R325&lt;'PlayerGrades+'!$AH$6,"A-",IF(R325&lt;'PlayerGrades+'!$AH$5,"A",IF(R325&lt;'PlayerGrades+'!$AH$4,"A+",IF(R325&lt;'PlayerGrades+'!$AH$3,"S-",IF(R325&lt;'PlayerGrades+'!$AH$2,"S","S+"))))))))))))))))))))</f>
        <v>E+</v>
      </c>
      <c r="T325" s="937">
        <f t="shared" si="9"/>
        <v>0.3216583274</v>
      </c>
      <c r="U325" s="937" t="str">
        <f>IF(T325&lt;'PlayerGrades+'!$AI$21,"F-",IF(T325&lt;'PlayerGrades+'!$AI$20,"F",IF(T325&lt;'PlayerGrades+'!$AI$19,"F+",IF(T325&lt;'PlayerGrades+'!$AI$18,"E-",IF(T325&lt;'PlayerGrades+'!$AI$17,"E",IF(T325&lt;'PlayerGrades+'!$AI$16,"E+",IF(T325&lt;'PlayerGrades+'!$AI$15,"D-",IF(T325&lt;'PlayerGrades+'!$AI$14,"D",IF(T325&lt;'PlayerGrades+'!$AI$13,"D+",IF(T325&lt;'PlayerGrades+'!$AI$12,"C-",IF(T325&lt;'PlayerGrades+'!$AI$11,"C",IF(T325&lt;'PlayerGrades+'!$AI$10,"C+",IF(T325&lt;'PlayerGrades+'!$AI$9,"B-",IF(T325&lt;'PlayerGrades+'!$AI$8,"B",IF(T325&lt;'PlayerGrades+'!$AI$7,"B+",IF(T325&lt;'PlayerGrades+'!$AI$6,"A-",IF(T325&lt;'PlayerGrades+'!$AI$5,"A",IF(T325&lt;'PlayerGrades+'!$AI$4,"A+",IF(T325&lt;'PlayerGrades+'!$AI$3,"S-",IF(T325&lt;'PlayerGrades+'!$AI$2,"S","S+"))))))))))))))))))))</f>
        <v>F-</v>
      </c>
      <c r="V325" s="941">
        <v>1.0</v>
      </c>
      <c r="W325" s="941">
        <v>1.0</v>
      </c>
      <c r="X325" s="941">
        <v>0.0</v>
      </c>
      <c r="Y325" s="941">
        <v>0.0</v>
      </c>
      <c r="Z325" s="941">
        <v>0.0</v>
      </c>
      <c r="AA325" s="941">
        <v>127.0</v>
      </c>
      <c r="AB325" s="941">
        <v>160.0</v>
      </c>
      <c r="AC325" s="941">
        <v>-33.0</v>
      </c>
      <c r="AD325" s="941">
        <v>10.0</v>
      </c>
      <c r="AE325" s="941">
        <v>4.0</v>
      </c>
      <c r="AF325" s="941">
        <v>1.0</v>
      </c>
      <c r="AG325" s="941">
        <v>2294.0</v>
      </c>
      <c r="AH325" s="1">
        <v>2798.0</v>
      </c>
      <c r="AI325" s="941">
        <v>14.0</v>
      </c>
      <c r="AJ325" s="941">
        <v>18.0</v>
      </c>
      <c r="AK325" s="941">
        <v>0.0</v>
      </c>
      <c r="AL325" s="941">
        <v>0.0</v>
      </c>
      <c r="AM325" s="941">
        <v>0.0</v>
      </c>
      <c r="AN325" s="941">
        <v>0.0</v>
      </c>
      <c r="AO325" s="941">
        <v>0.0</v>
      </c>
      <c r="AP325" s="941">
        <v>0.0</v>
      </c>
      <c r="AQ325" s="941">
        <v>0.0</v>
      </c>
      <c r="AR325" s="941">
        <v>17.0</v>
      </c>
      <c r="AS325" s="941">
        <v>4.0</v>
      </c>
      <c r="AT325" s="941">
        <v>1.0</v>
      </c>
      <c r="AU325" s="941">
        <v>0.0</v>
      </c>
      <c r="AV325" s="941">
        <v>0.0</v>
      </c>
      <c r="AW325" s="941">
        <v>0.0</v>
      </c>
      <c r="AX325" s="941">
        <v>0.0</v>
      </c>
      <c r="AY325" s="941">
        <v>0.0</v>
      </c>
      <c r="AZ325" s="941">
        <v>0.0</v>
      </c>
      <c r="BA325" s="941">
        <v>0.0</v>
      </c>
      <c r="BB325" s="941">
        <v>1.0</v>
      </c>
      <c r="BC325" s="941">
        <v>0.0</v>
      </c>
      <c r="BD325" s="941">
        <v>12.0</v>
      </c>
      <c r="BE325" s="941">
        <v>15.0</v>
      </c>
      <c r="BF325" s="941">
        <v>0.0</v>
      </c>
      <c r="BG325" s="942">
        <v>0.0</v>
      </c>
    </row>
    <row r="326">
      <c r="A326" s="935" t="s">
        <v>154</v>
      </c>
      <c r="B326" s="16" t="str">
        <f>IF(C326&lt;'PlayerGrades+'!$Y$44,"F-",IF(C326&lt;'PlayerGrades+'!$Y$43,"F",IF(C326&lt;'PlayerGrades+'!$Y$42,"F+",IF(C326&lt;'PlayerGrades+'!$Y$41,"E-",IF(C326&lt;'PlayerGrades+'!$Y$40,"E",IF(C326&lt;'PlayerGrades+'!$Y$39,"E+",IF(C326&lt;'PlayerGrades+'!$Y$38,"D-",IF(C326&lt;'PlayerGrades+'!$Y$37,"D",IF(C326&lt;'PlayerGrades+'!$Y$36,"D+",IF(C326&lt;'PlayerGrades+'!$Y$35,"C-",IF(C326&lt;'PlayerGrades+'!$Y$34,"C",IF(C326&lt;'PlayerGrades+'!$Y$33,"C+",IF(C326&lt;'PlayerGrades+'!$Y$32,"B-",IF(C326&lt;'PlayerGrades+'!$Y$31,"B",IF(C326&lt;'PlayerGrades+'!$Y$30,"B+",IF(C326&lt;'PlayerGrades+'!$Y$29,"A-",IF(C326&lt;'PlayerGrades+'!$Y$28,"A",IF(C326&lt;'PlayerGrades+'!$Y$27,"A+",IF(C326&lt;'PlayerGrades+'!$Y$26,"S-",IF(C326&lt;'PlayerGrades+'!$Y$25,"S","S+"))))))))))))))))))))</f>
        <v>F-</v>
      </c>
      <c r="C326" s="936">
        <f>('PlayerGrades+'!$Y$47*(VLOOKUP(E326, 'PlayerGrades+'!$X$3:$Y$23, 2, FALSE)))+('PlayerGrades+'!$Y$48*(VLOOKUP(G326, 'PlayerGrades+'!$X$3:$Y$23, 2, FALSE)))+('PlayerGrades+'!$Y$49*(VLOOKUP(I326, 'PlayerGrades+'!$X$3:$Y$23, 2, FALSE)))+('PlayerGrades+'!$Y$50*(VLOOKUP(K326, 'PlayerGrades+'!$X$3:$Y$23, 2, FALSE)))+('PlayerGrades+'!$Y$51*(VLOOKUP(M326, 'PlayerGrades+'!$X$3:$Y$23, 2, FALSE)))+('PlayerGrades+'!$Y$52*(VLOOKUP(O326, 'PlayerGrades+'!$X$3:$Y$23, 2, FALSE)))+('PlayerGrades+'!$Y$53*(VLOOKUP(Q326, 'PlayerGrades+'!$X$3:$Y$23, 2, FALSE)))+('PlayerGrades+'!$Y$54*(VLOOKUP(S326, 'PlayerGrades+'!$X$3:$Y$23, 2, FALSE)))+('PlayerGrades+'!$Y$55*(VLOOKUP(U326, 'PlayerGrades+'!$X$3:$Y$23, 2, FALSE)))</f>
        <v>5.9</v>
      </c>
      <c r="D326" s="937">
        <f t="shared" si="1"/>
        <v>0.06433166548</v>
      </c>
      <c r="E326" s="937" t="str">
        <f>IF(D326&lt;'PlayerGrades+'!$AA$21,"F-",IF(D326&lt;'PlayerGrades+'!$AA$20,"F",IF(D326&lt;'PlayerGrades+'!$AA$19,"F+",IF(D326&lt;'PlayerGrades+'!$AA$18,"E-",IF(D326&lt;'PlayerGrades+'!$AA$17,"E",IF(D326&lt;'PlayerGrades+'!$AA$16,"E+",IF(D326&lt;'PlayerGrades+'!$AA$15,"D-",IF(D326&lt;'PlayerGrades+'!$AA$14,"D",IF(D326&lt;'PlayerGrades+'!$AA$13,"D+",IF(D326&lt;'PlayerGrades+'!$AA$12,"C-",IF(D326&lt;'PlayerGrades+'!$AA$11,"C",IF(D326&lt;'PlayerGrades+'!$AA$10,"C+",IF(D326&lt;'PlayerGrades+'!$AA$9,"B-",IF(D326&lt;'PlayerGrades+'!$AA$8,"B",IF(D326&lt;'PlayerGrades+'!$AA$7,"B+",IF(D326&lt;'PlayerGrades+'!$AA$6,"A-",IF(D326&lt;'PlayerGrades+'!$AA$5,"A",IF(D326&lt;'PlayerGrades+'!$AA$4,"A+",IF(D326&lt;'PlayerGrades+'!$AA$3,"S-",IF(D326&lt;'PlayerGrades+'!$AA$2,"S","S+"))))))))))))))))))))</f>
        <v>B-</v>
      </c>
      <c r="F326" s="937">
        <f t="shared" si="2"/>
        <v>-1.56540386</v>
      </c>
      <c r="G326" s="937" t="str">
        <f>IF(F326&lt;'PlayerGrades+'!$AB$21,"F-",IF(F326&lt;'PlayerGrades+'!$AB$20,"F",IF(F326&lt;'PlayerGrades+'!$AB$19,"F+",IF(F326&lt;'PlayerGrades+'!$AB$18,"E-",IF(F326&lt;'PlayerGrades+'!$AB$17,"E",IF(F326&lt;'PlayerGrades+'!$AB$16,"E+",IF(F326&lt;'PlayerGrades+'!$AB$15,"D-",IF(F326&lt;'PlayerGrades+'!$AB$14,"D",IF(F326&lt;'PlayerGrades+'!$AB$13,"D+",IF(F326&lt;'PlayerGrades+'!$AB$12,"C-",IF(F326&lt;'PlayerGrades+'!$AB$11,"C",IF(F326&lt;'PlayerGrades+'!$AB$10,"C+",IF(F326&lt;'PlayerGrades+'!$AB$9,"B-",IF(F326&lt;'PlayerGrades+'!$AB$8,"B",IF(F326&lt;'PlayerGrades+'!$AB$7,"B+",IF(F326&lt;'PlayerGrades+'!$AB$6,"A-",IF(F326&lt;'PlayerGrades+'!$AB$5,"A",IF(F326&lt;'PlayerGrades+'!$AB$4,"A+",IF(F326&lt;'PlayerGrades+'!$AB$3,"S-",IF(F326&lt;'PlayerGrades+'!$AB$2,"S","S+"))))))))))))))))))))</f>
        <v>F-</v>
      </c>
      <c r="H326" s="937">
        <f t="shared" si="3"/>
        <v>0</v>
      </c>
      <c r="I326" s="937" t="str">
        <f>IF(H326&lt;'PlayerGrades+'!$AC$21,"F-",IF(H326&lt;'PlayerGrades+'!$AC$20,"F",IF(H326&lt;'PlayerGrades+'!$AC$19,"F+",IF(H326&lt;'PlayerGrades+'!$AC$18,"E-",IF(H326&lt;'PlayerGrades+'!$AC$17,"E",IF(H326&lt;'PlayerGrades+'!$AC$16,"E+",IF(H326&lt;'PlayerGrades+'!$AC$15,"D-",IF(H326&lt;'PlayerGrades+'!$AC$14,"D",IF(H326&lt;'PlayerGrades+'!$AC$13,"D+",IF(H326&lt;'PlayerGrades+'!$AC$12,"C-",IF(H326&lt;'PlayerGrades+'!$AC$11,"C",IF(H326&lt;'PlayerGrades+'!$AC$10,"C+",IF(H326&lt;'PlayerGrades+'!$AC$9,"B-",IF(H326&lt;'PlayerGrades+'!$AC$8,"B",IF(H326&lt;'PlayerGrades+'!$AC$7,"B+",IF(H326&lt;'PlayerGrades+'!$AC$6,"A-",IF(H326&lt;'PlayerGrades+'!$AC$5,"A",IF(H326&lt;'PlayerGrades+'!$AC$4,"A+",IF(H326&lt;'PlayerGrades+'!$AC$3,"S-",IF(H326&lt;'PlayerGrades+'!$AC$2,"S","S+"))))))))))))))))))))</f>
        <v>F-</v>
      </c>
      <c r="J326" s="937">
        <f t="shared" si="4"/>
        <v>0</v>
      </c>
      <c r="K326" s="937" t="str">
        <f>IF(J326&lt;'PlayerGrades+'!$AD$21,"F-",IF(J326&lt;'PlayerGrades+'!$AD$20,"F",IF(J326&lt;'PlayerGrades+'!$AD$19,"F+",IF(J326&lt;'PlayerGrades+'!$AD$18,"E-",IF(J326&lt;'PlayerGrades+'!$AD$17,"E",IF(J326&lt;'PlayerGrades+'!$AD$16,"E+",IF(J326&lt;'PlayerGrades+'!$AD$15,"D-",IF(J326&lt;'PlayerGrades+'!$AD$14,"D",IF(J326&lt;'PlayerGrades+'!$AD$13,"D+",IF(J326&lt;'PlayerGrades+'!$AD$12,"C-",IF(J326&lt;'PlayerGrades+'!$AD$11,"C",IF(J326&lt;'PlayerGrades+'!$AD$10,"C+",IF(J326&lt;'PlayerGrades+'!$AD$9,"B-",IF(J326&lt;'PlayerGrades+'!$AD$8,"B",IF(J326&lt;'PlayerGrades+'!$AD$7,"B+",IF(J326&lt;'PlayerGrades+'!$AD$6,"A-",IF(J326&lt;'PlayerGrades+'!$AD$5,"A",IF(J326&lt;'PlayerGrades+'!$AD$4,"A+",IF(J326&lt;'PlayerGrades+'!$AD$3,"S-",IF(J326&lt;'PlayerGrades+'!$AD$2,"S","S+"))))))))))))))))))))</f>
        <v>F-</v>
      </c>
      <c r="L326" s="677">
        <f t="shared" si="5"/>
        <v>0.08577555397</v>
      </c>
      <c r="M326" s="938" t="str">
        <f>IF(L326&lt;'PlayerGrades+'!$AE$21,"F-",IF(L326&lt;'PlayerGrades+'!$AE$20,"F",IF(L326&lt;'PlayerGrades+'!$AE$19,"F+",IF(L326&lt;'PlayerGrades+'!$AE$18,"E-",IF(L326&lt;'PlayerGrades+'!$AE$17,"E",IF(L326&lt;'PlayerGrades+'!$AE$16,"E+",IF(L326&lt;'PlayerGrades+'!$AE$15,"D-",IF(L326&lt;'PlayerGrades+'!$AE$14,"D",IF(L326&lt;'PlayerGrades+'!$AE$13,"D+",IF(L326&lt;'PlayerGrades+'!$AE$12,"C-",IF(L326&lt;'PlayerGrades+'!$AE$11,"C",IF(L326&lt;'PlayerGrades+'!$AE$10,"C+",IF(L326&lt;'PlayerGrades+'!$AE$9,"B-",IF(L326&lt;'PlayerGrades+'!$AE$8,"B",IF(L326&lt;'PlayerGrades+'!$AE$7,"B+",IF(L326&lt;'PlayerGrades+'!$AE$6,"A-",IF(L326&lt;'PlayerGrades+'!$AE$5,"A",IF(L326&lt;'PlayerGrades+'!$AE$4,"A+",IF(L326&lt;'PlayerGrades+'!$AE$3,"S-",IF(L326&lt;'PlayerGrades+'!$AE$2,"S","S+"))))))))))))))))))))</f>
        <v>F-</v>
      </c>
      <c r="N326" s="937">
        <f t="shared" si="6"/>
        <v>0</v>
      </c>
      <c r="O326" s="937" t="str">
        <f>IF(N326&lt;'PlayerGrades+'!$AF$21,"F-",IF(N326&lt;'PlayerGrades+'!$AF$20,"F",IF(N326&lt;'PlayerGrades+'!$AF$19,"F+",IF(N326&lt;'PlayerGrades+'!$AF$18,"E-",IF(N326&lt;'PlayerGrades+'!$AF$17,"E",IF(N326&lt;'PlayerGrades+'!$AF$16,"E+",IF(N326&lt;'PlayerGrades+'!$AF$15,"D-",IF(N326&lt;'PlayerGrades+'!$AF$14,"D",IF(N326&lt;'PlayerGrades+'!$AF$13,"D+",IF(N326&lt;'PlayerGrades+'!$AF$12,"C-",IF(N326&lt;'PlayerGrades+'!$AF$11,"C",IF(N326&lt;'PlayerGrades+'!$AF$10,"C+",IF(N326&lt;'PlayerGrades+'!$AF$9,"B-",IF(N326&lt;'PlayerGrades+'!$AF$8,"B",IF(N326&lt;'PlayerGrades+'!$AF$7,"B+",IF(N326&lt;'PlayerGrades+'!$AF$6,"A-",IF(N326&lt;'PlayerGrades+'!$AF$5,"A",IF(N326&lt;'PlayerGrades+'!$AF$4,"A+",IF(N326&lt;'PlayerGrades+'!$AF$3,"S-",IF(N326&lt;'PlayerGrades+'!$AF$2,"S","S+"))))))))))))))))))))</f>
        <v>F-</v>
      </c>
      <c r="P326" s="937">
        <f t="shared" si="7"/>
        <v>0</v>
      </c>
      <c r="Q326" s="937" t="str">
        <f>IF(P326&lt;'PlayerGrades+'!$AG$21,"F-",IF(P326&lt;'PlayerGrades+'!$AG$20,"F",IF(P326&lt;'PlayerGrades+'!$AG$19,"F+",IF(P326&lt;'PlayerGrades+'!$AG$18,"E-",IF(P326&lt;'PlayerGrades+'!$AG$17,"E",IF(P326&lt;'PlayerGrades+'!$AG$16,"E+",IF(P326&lt;'PlayerGrades+'!$AG$15,"D-",IF(P326&lt;'PlayerGrades+'!$AG$14,"D",IF(P326&lt;'PlayerGrades+'!$AG$13,"D+",IF(P326&lt;'PlayerGrades+'!$AG$12,"C-",IF(P326&lt;'PlayerGrades+'!$AG$11,"C",IF(P326&lt;'PlayerGrades+'!$AG$10,"C+",IF(P326&lt;'PlayerGrades+'!$AG$9,"B-",IF(P326&lt;'PlayerGrades+'!$AG$8,"B",IF(P326&lt;'PlayerGrades+'!$AG$7,"B+",IF(P326&lt;'PlayerGrades+'!$AG$6,"A-",IF(P326&lt;'PlayerGrades+'!$AG$5,"A",IF(P326&lt;'PlayerGrades+'!$AG$4,"A+",IF(P326&lt;'PlayerGrades+'!$AG$3,"S-",IF(P326&lt;'PlayerGrades+'!$AG$2,"S","S+"))))))))))))))))))))</f>
        <v>F</v>
      </c>
      <c r="R326" s="937">
        <f t="shared" si="8"/>
        <v>0.2787705504</v>
      </c>
      <c r="S326" s="937" t="str">
        <f>IF(R326&lt;'PlayerGrades+'!$AH$21,"F-",IF(R326&lt;'PlayerGrades+'!$AH$20,"F",IF(R326&lt;'PlayerGrades+'!$AH$19,"F+",IF(R326&lt;'PlayerGrades+'!$AH$18,"E-",IF(R326&lt;'PlayerGrades+'!$AH$17,"E",IF(R326&lt;'PlayerGrades+'!$AH$16,"E+",IF(R326&lt;'PlayerGrades+'!$AH$15,"D-",IF(R326&lt;'PlayerGrades+'!$AH$14,"D",IF(R326&lt;'PlayerGrades+'!$AH$13,"D+",IF(R326&lt;'PlayerGrades+'!$AH$12,"C-",IF(R326&lt;'PlayerGrades+'!$AH$11,"C",IF(R326&lt;'PlayerGrades+'!$AH$10,"C+",IF(R326&lt;'PlayerGrades+'!$AH$9,"B-",IF(R326&lt;'PlayerGrades+'!$AH$8,"B",IF(R326&lt;'PlayerGrades+'!$AH$7,"B+",IF(R326&lt;'PlayerGrades+'!$AH$6,"A-",IF(R326&lt;'PlayerGrades+'!$AH$5,"A",IF(R326&lt;'PlayerGrades+'!$AH$4,"A+",IF(R326&lt;'PlayerGrades+'!$AH$3,"S-",IF(R326&lt;'PlayerGrades+'!$AH$2,"S","S+"))))))))))))))))))))</f>
        <v>F-</v>
      </c>
      <c r="T326" s="937">
        <f t="shared" si="9"/>
        <v>0.3216583274</v>
      </c>
      <c r="U326" s="937" t="str">
        <f>IF(T326&lt;'PlayerGrades+'!$AI$21,"F-",IF(T326&lt;'PlayerGrades+'!$AI$20,"F",IF(T326&lt;'PlayerGrades+'!$AI$19,"F+",IF(T326&lt;'PlayerGrades+'!$AI$18,"E-",IF(T326&lt;'PlayerGrades+'!$AI$17,"E",IF(T326&lt;'PlayerGrades+'!$AI$16,"E+",IF(T326&lt;'PlayerGrades+'!$AI$15,"D-",IF(T326&lt;'PlayerGrades+'!$AI$14,"D",IF(T326&lt;'PlayerGrades+'!$AI$13,"D+",IF(T326&lt;'PlayerGrades+'!$AI$12,"C-",IF(T326&lt;'PlayerGrades+'!$AI$11,"C",IF(T326&lt;'PlayerGrades+'!$AI$10,"C+",IF(T326&lt;'PlayerGrades+'!$AI$9,"B-",IF(T326&lt;'PlayerGrades+'!$AI$8,"B",IF(T326&lt;'PlayerGrades+'!$AI$7,"B+",IF(T326&lt;'PlayerGrades+'!$AI$6,"A-",IF(T326&lt;'PlayerGrades+'!$AI$5,"A",IF(T326&lt;'PlayerGrades+'!$AI$4,"A+",IF(T326&lt;'PlayerGrades+'!$AI$3,"S-",IF(T326&lt;'PlayerGrades+'!$AI$2,"S","S+"))))))))))))))))))))</f>
        <v>F-</v>
      </c>
      <c r="V326" s="941">
        <v>1.0</v>
      </c>
      <c r="W326" s="941">
        <v>0.0</v>
      </c>
      <c r="X326" s="941">
        <v>1.0</v>
      </c>
      <c r="Y326" s="941">
        <v>2.0</v>
      </c>
      <c r="Z326" s="941">
        <v>1.0</v>
      </c>
      <c r="AA326" s="941">
        <v>69.0</v>
      </c>
      <c r="AB326" s="941">
        <v>142.0</v>
      </c>
      <c r="AC326" s="941">
        <v>-73.0</v>
      </c>
      <c r="AD326" s="941">
        <v>6.0</v>
      </c>
      <c r="AE326" s="941">
        <v>4.0</v>
      </c>
      <c r="AF326" s="941">
        <v>0.0</v>
      </c>
      <c r="AG326" s="941">
        <v>2343.0</v>
      </c>
      <c r="AH326" s="1">
        <v>2798.0</v>
      </c>
      <c r="AI326" s="941">
        <v>16.0</v>
      </c>
      <c r="AJ326" s="941">
        <v>539.0</v>
      </c>
      <c r="AK326" s="941">
        <v>0.0</v>
      </c>
      <c r="AL326" s="941">
        <v>0.0</v>
      </c>
      <c r="AM326" s="941">
        <v>0.0</v>
      </c>
      <c r="AN326" s="941">
        <v>0.0</v>
      </c>
      <c r="AO326" s="941">
        <v>0.0</v>
      </c>
      <c r="AP326" s="941">
        <v>0.0</v>
      </c>
      <c r="AQ326" s="941">
        <v>0.0</v>
      </c>
      <c r="AR326" s="941">
        <v>4.0</v>
      </c>
      <c r="AS326" s="941">
        <v>0.0</v>
      </c>
      <c r="AT326" s="941">
        <v>0.0</v>
      </c>
      <c r="AU326" s="941">
        <v>0.0</v>
      </c>
      <c r="AV326" s="941">
        <v>0.0</v>
      </c>
      <c r="AW326" s="941">
        <v>0.0</v>
      </c>
      <c r="AX326" s="941">
        <v>0.0</v>
      </c>
      <c r="AY326" s="941">
        <v>0.0</v>
      </c>
      <c r="AZ326" s="941">
        <v>0.0</v>
      </c>
      <c r="BA326" s="941">
        <v>0.0</v>
      </c>
      <c r="BB326" s="941">
        <v>0.0</v>
      </c>
      <c r="BC326" s="941">
        <v>0.0</v>
      </c>
      <c r="BD326" s="941">
        <v>7.0</v>
      </c>
      <c r="BE326" s="941">
        <v>15.0</v>
      </c>
      <c r="BF326" s="941">
        <v>0.0</v>
      </c>
      <c r="BG326" s="942">
        <v>1.0</v>
      </c>
    </row>
    <row r="327">
      <c r="A327" s="935" t="s">
        <v>121</v>
      </c>
      <c r="B327" s="16" t="str">
        <f>IF(C327&lt;'PlayerGrades+'!$Y$44,"F-",IF(C327&lt;'PlayerGrades+'!$Y$43,"F",IF(C327&lt;'PlayerGrades+'!$Y$42,"F+",IF(C327&lt;'PlayerGrades+'!$Y$41,"E-",IF(C327&lt;'PlayerGrades+'!$Y$40,"E",IF(C327&lt;'PlayerGrades+'!$Y$39,"E+",IF(C327&lt;'PlayerGrades+'!$Y$38,"D-",IF(C327&lt;'PlayerGrades+'!$Y$37,"D",IF(C327&lt;'PlayerGrades+'!$Y$36,"D+",IF(C327&lt;'PlayerGrades+'!$Y$35,"C-",IF(C327&lt;'PlayerGrades+'!$Y$34,"C",IF(C327&lt;'PlayerGrades+'!$Y$33,"C+",IF(C327&lt;'PlayerGrades+'!$Y$32,"B-",IF(C327&lt;'PlayerGrades+'!$Y$31,"B",IF(C327&lt;'PlayerGrades+'!$Y$30,"B+",IF(C327&lt;'PlayerGrades+'!$Y$29,"A-",IF(C327&lt;'PlayerGrades+'!$Y$28,"A",IF(C327&lt;'PlayerGrades+'!$Y$27,"A+",IF(C327&lt;'PlayerGrades+'!$Y$26,"S-",IF(C327&lt;'PlayerGrades+'!$Y$25,"S","S+"))))))))))))))))))))</f>
        <v>A</v>
      </c>
      <c r="C327" s="936">
        <f>('PlayerGrades+'!$Y$47*(VLOOKUP(E327, 'PlayerGrades+'!$X$3:$Y$23, 2, FALSE)))+('PlayerGrades+'!$Y$48*(VLOOKUP(G327, 'PlayerGrades+'!$X$3:$Y$23, 2, FALSE)))+('PlayerGrades+'!$Y$49*(VLOOKUP(I327, 'PlayerGrades+'!$X$3:$Y$23, 2, FALSE)))+('PlayerGrades+'!$Y$50*(VLOOKUP(K327, 'PlayerGrades+'!$X$3:$Y$23, 2, FALSE)))+('PlayerGrades+'!$Y$51*(VLOOKUP(M327, 'PlayerGrades+'!$X$3:$Y$23, 2, FALSE)))+('PlayerGrades+'!$Y$52*(VLOOKUP(O327, 'PlayerGrades+'!$X$3:$Y$23, 2, FALSE)))+('PlayerGrades+'!$Y$53*(VLOOKUP(Q327, 'PlayerGrades+'!$X$3:$Y$23, 2, FALSE)))+('PlayerGrades+'!$Y$54*(VLOOKUP(S327, 'PlayerGrades+'!$X$3:$Y$23, 2, FALSE)))+('PlayerGrades+'!$Y$55*(VLOOKUP(U327, 'PlayerGrades+'!$X$3:$Y$23, 2, FALSE)))</f>
        <v>27.4</v>
      </c>
      <c r="D327" s="937">
        <f t="shared" si="1"/>
        <v>0.02144388849</v>
      </c>
      <c r="E327" s="937" t="str">
        <f>IF(D327&lt;'PlayerGrades+'!$AA$21,"F-",IF(D327&lt;'PlayerGrades+'!$AA$20,"F",IF(D327&lt;'PlayerGrades+'!$AA$19,"F+",IF(D327&lt;'PlayerGrades+'!$AA$18,"E-",IF(D327&lt;'PlayerGrades+'!$AA$17,"E",IF(D327&lt;'PlayerGrades+'!$AA$16,"E+",IF(D327&lt;'PlayerGrades+'!$AA$15,"D-",IF(D327&lt;'PlayerGrades+'!$AA$14,"D",IF(D327&lt;'PlayerGrades+'!$AA$13,"D+",IF(D327&lt;'PlayerGrades+'!$AA$12,"C-",IF(D327&lt;'PlayerGrades+'!$AA$11,"C",IF(D327&lt;'PlayerGrades+'!$AA$10,"C+",IF(D327&lt;'PlayerGrades+'!$AA$9,"B-",IF(D327&lt;'PlayerGrades+'!$AA$8,"B",IF(D327&lt;'PlayerGrades+'!$AA$7,"B+",IF(D327&lt;'PlayerGrades+'!$AA$6,"A-",IF(D327&lt;'PlayerGrades+'!$AA$5,"A",IF(D327&lt;'PlayerGrades+'!$AA$4,"A+",IF(D327&lt;'PlayerGrades+'!$AA$3,"S-",IF(D327&lt;'PlayerGrades+'!$AA$2,"S","S+"))))))))))))))))))))</f>
        <v>E</v>
      </c>
      <c r="F327" s="937">
        <f t="shared" si="2"/>
        <v>1.157969979</v>
      </c>
      <c r="G327" s="937" t="str">
        <f>IF(F327&lt;'PlayerGrades+'!$AB$21,"F-",IF(F327&lt;'PlayerGrades+'!$AB$20,"F",IF(F327&lt;'PlayerGrades+'!$AB$19,"F+",IF(F327&lt;'PlayerGrades+'!$AB$18,"E-",IF(F327&lt;'PlayerGrades+'!$AB$17,"E",IF(F327&lt;'PlayerGrades+'!$AB$16,"E+",IF(F327&lt;'PlayerGrades+'!$AB$15,"D-",IF(F327&lt;'PlayerGrades+'!$AB$14,"D",IF(F327&lt;'PlayerGrades+'!$AB$13,"D+",IF(F327&lt;'PlayerGrades+'!$AB$12,"C-",IF(F327&lt;'PlayerGrades+'!$AB$11,"C",IF(F327&lt;'PlayerGrades+'!$AB$10,"C+",IF(F327&lt;'PlayerGrades+'!$AB$9,"B-",IF(F327&lt;'PlayerGrades+'!$AB$8,"B",IF(F327&lt;'PlayerGrades+'!$AB$7,"B+",IF(F327&lt;'PlayerGrades+'!$AB$6,"A-",IF(F327&lt;'PlayerGrades+'!$AB$5,"A",IF(F327&lt;'PlayerGrades+'!$AB$4,"A+",IF(F327&lt;'PlayerGrades+'!$AB$3,"S-",IF(F327&lt;'PlayerGrades+'!$AB$2,"S","S+"))))))))))))))))))))</f>
        <v>S+</v>
      </c>
      <c r="H327" s="937">
        <f t="shared" si="3"/>
        <v>0.2358827734</v>
      </c>
      <c r="I327" s="937" t="str">
        <f>IF(H327&lt;'PlayerGrades+'!$AC$21,"F-",IF(H327&lt;'PlayerGrades+'!$AC$20,"F",IF(H327&lt;'PlayerGrades+'!$AC$19,"F+",IF(H327&lt;'PlayerGrades+'!$AC$18,"E-",IF(H327&lt;'PlayerGrades+'!$AC$17,"E",IF(H327&lt;'PlayerGrades+'!$AC$16,"E+",IF(H327&lt;'PlayerGrades+'!$AC$15,"D-",IF(H327&lt;'PlayerGrades+'!$AC$14,"D",IF(H327&lt;'PlayerGrades+'!$AC$13,"D+",IF(H327&lt;'PlayerGrades+'!$AC$12,"C-",IF(H327&lt;'PlayerGrades+'!$AC$11,"C",IF(H327&lt;'PlayerGrades+'!$AC$10,"C+",IF(H327&lt;'PlayerGrades+'!$AC$9,"B-",IF(H327&lt;'PlayerGrades+'!$AC$8,"B",IF(H327&lt;'PlayerGrades+'!$AC$7,"B+",IF(H327&lt;'PlayerGrades+'!$AC$6,"A-",IF(H327&lt;'PlayerGrades+'!$AC$5,"A",IF(H327&lt;'PlayerGrades+'!$AC$4,"A+",IF(H327&lt;'PlayerGrades+'!$AC$3,"S-",IF(H327&lt;'PlayerGrades+'!$AC$2,"S","S+"))))))))))))))))))))</f>
        <v>S</v>
      </c>
      <c r="J327" s="937">
        <f t="shared" si="4"/>
        <v>0.1072194425</v>
      </c>
      <c r="K327" s="937" t="str">
        <f>IF(J327&lt;'PlayerGrades+'!$AD$21,"F-",IF(J327&lt;'PlayerGrades+'!$AD$20,"F",IF(J327&lt;'PlayerGrades+'!$AD$19,"F+",IF(J327&lt;'PlayerGrades+'!$AD$18,"E-",IF(J327&lt;'PlayerGrades+'!$AD$17,"E",IF(J327&lt;'PlayerGrades+'!$AD$16,"E+",IF(J327&lt;'PlayerGrades+'!$AD$15,"D-",IF(J327&lt;'PlayerGrades+'!$AD$14,"D",IF(J327&lt;'PlayerGrades+'!$AD$13,"D+",IF(J327&lt;'PlayerGrades+'!$AD$12,"C-",IF(J327&lt;'PlayerGrades+'!$AD$11,"C",IF(J327&lt;'PlayerGrades+'!$AD$10,"C+",IF(J327&lt;'PlayerGrades+'!$AD$9,"B-",IF(J327&lt;'PlayerGrades+'!$AD$8,"B",IF(J327&lt;'PlayerGrades+'!$AD$7,"B+",IF(J327&lt;'PlayerGrades+'!$AD$6,"A-",IF(J327&lt;'PlayerGrades+'!$AD$5,"A",IF(J327&lt;'PlayerGrades+'!$AD$4,"A+",IF(J327&lt;'PlayerGrades+'!$AD$3,"S-",IF(J327&lt;'PlayerGrades+'!$AD$2,"S","S+"))))))))))))))))))))</f>
        <v>S+</v>
      </c>
      <c r="L327" s="677">
        <f t="shared" si="5"/>
        <v>0.6862044317</v>
      </c>
      <c r="M327" s="938" t="str">
        <f>IF(L327&lt;'PlayerGrades+'!$AE$21,"F-",IF(L327&lt;'PlayerGrades+'!$AE$20,"F",IF(L327&lt;'PlayerGrades+'!$AE$19,"F+",IF(L327&lt;'PlayerGrades+'!$AE$18,"E-",IF(L327&lt;'PlayerGrades+'!$AE$17,"E",IF(L327&lt;'PlayerGrades+'!$AE$16,"E+",IF(L327&lt;'PlayerGrades+'!$AE$15,"D-",IF(L327&lt;'PlayerGrades+'!$AE$14,"D",IF(L327&lt;'PlayerGrades+'!$AE$13,"D+",IF(L327&lt;'PlayerGrades+'!$AE$12,"C-",IF(L327&lt;'PlayerGrades+'!$AE$11,"C",IF(L327&lt;'PlayerGrades+'!$AE$10,"C+",IF(L327&lt;'PlayerGrades+'!$AE$9,"B-",IF(L327&lt;'PlayerGrades+'!$AE$8,"B",IF(L327&lt;'PlayerGrades+'!$AE$7,"B+",IF(L327&lt;'PlayerGrades+'!$AE$6,"A-",IF(L327&lt;'PlayerGrades+'!$AE$5,"A",IF(L327&lt;'PlayerGrades+'!$AE$4,"A+",IF(L327&lt;'PlayerGrades+'!$AE$3,"S-",IF(L327&lt;'PlayerGrades+'!$AE$2,"S","S+"))))))))))))))))))))</f>
        <v>S</v>
      </c>
      <c r="N327" s="937">
        <f t="shared" si="6"/>
        <v>0.06433166548</v>
      </c>
      <c r="O327" s="937" t="str">
        <f>IF(N327&lt;'PlayerGrades+'!$AF$21,"F-",IF(N327&lt;'PlayerGrades+'!$AF$20,"F",IF(N327&lt;'PlayerGrades+'!$AF$19,"F+",IF(N327&lt;'PlayerGrades+'!$AF$18,"E-",IF(N327&lt;'PlayerGrades+'!$AF$17,"E",IF(N327&lt;'PlayerGrades+'!$AF$16,"E+",IF(N327&lt;'PlayerGrades+'!$AF$15,"D-",IF(N327&lt;'PlayerGrades+'!$AF$14,"D",IF(N327&lt;'PlayerGrades+'!$AF$13,"D+",IF(N327&lt;'PlayerGrades+'!$AF$12,"C-",IF(N327&lt;'PlayerGrades+'!$AF$11,"C",IF(N327&lt;'PlayerGrades+'!$AF$10,"C+",IF(N327&lt;'PlayerGrades+'!$AF$9,"B-",IF(N327&lt;'PlayerGrades+'!$AF$8,"B",IF(N327&lt;'PlayerGrades+'!$AF$7,"B+",IF(N327&lt;'PlayerGrades+'!$AF$6,"A-",IF(N327&lt;'PlayerGrades+'!$AF$5,"A",IF(N327&lt;'PlayerGrades+'!$AF$4,"A+",IF(N327&lt;'PlayerGrades+'!$AF$3,"S-",IF(N327&lt;'PlayerGrades+'!$AF$2,"S","S+"))))))))))))))))))))</f>
        <v>C-</v>
      </c>
      <c r="P327" s="937">
        <f t="shared" si="7"/>
        <v>0.08577555397</v>
      </c>
      <c r="Q327" s="937" t="str">
        <f>IF(P327&lt;'PlayerGrades+'!$AG$21,"F-",IF(P327&lt;'PlayerGrades+'!$AG$20,"F",IF(P327&lt;'PlayerGrades+'!$AG$19,"F+",IF(P327&lt;'PlayerGrades+'!$AG$18,"E-",IF(P327&lt;'PlayerGrades+'!$AG$17,"E",IF(P327&lt;'PlayerGrades+'!$AG$16,"E+",IF(P327&lt;'PlayerGrades+'!$AG$15,"D-",IF(P327&lt;'PlayerGrades+'!$AG$14,"D",IF(P327&lt;'PlayerGrades+'!$AG$13,"D+",IF(P327&lt;'PlayerGrades+'!$AG$12,"C-",IF(P327&lt;'PlayerGrades+'!$AG$11,"C",IF(P327&lt;'PlayerGrades+'!$AG$10,"C+",IF(P327&lt;'PlayerGrades+'!$AG$9,"B-",IF(P327&lt;'PlayerGrades+'!$AG$8,"B",IF(P327&lt;'PlayerGrades+'!$AG$7,"B+",IF(P327&lt;'PlayerGrades+'!$AG$6,"A-",IF(P327&lt;'PlayerGrades+'!$AG$5,"A",IF(P327&lt;'PlayerGrades+'!$AG$4,"A+",IF(P327&lt;'PlayerGrades+'!$AG$3,"S-",IF(P327&lt;'PlayerGrades+'!$AG$2,"S","S+"))))))))))))))))))))</f>
        <v>S</v>
      </c>
      <c r="R327" s="937">
        <f t="shared" si="8"/>
        <v>0.5575411008</v>
      </c>
      <c r="S327" s="937" t="str">
        <f>IF(R327&lt;'PlayerGrades+'!$AH$21,"F-",IF(R327&lt;'PlayerGrades+'!$AH$20,"F",IF(R327&lt;'PlayerGrades+'!$AH$19,"F+",IF(R327&lt;'PlayerGrades+'!$AH$18,"E-",IF(R327&lt;'PlayerGrades+'!$AH$17,"E",IF(R327&lt;'PlayerGrades+'!$AH$16,"E+",IF(R327&lt;'PlayerGrades+'!$AH$15,"D-",IF(R327&lt;'PlayerGrades+'!$AH$14,"D",IF(R327&lt;'PlayerGrades+'!$AH$13,"D+",IF(R327&lt;'PlayerGrades+'!$AH$12,"C-",IF(R327&lt;'PlayerGrades+'!$AH$11,"C",IF(R327&lt;'PlayerGrades+'!$AH$10,"C+",IF(R327&lt;'PlayerGrades+'!$AH$9,"B-",IF(R327&lt;'PlayerGrades+'!$AH$8,"B",IF(R327&lt;'PlayerGrades+'!$AH$7,"B+",IF(R327&lt;'PlayerGrades+'!$AH$6,"A-",IF(R327&lt;'PlayerGrades+'!$AH$5,"A",IF(R327&lt;'PlayerGrades+'!$AH$4,"A+",IF(R327&lt;'PlayerGrades+'!$AH$3,"S-",IF(R327&lt;'PlayerGrades+'!$AH$2,"S","S+"))))))))))))))))))))</f>
        <v>B-</v>
      </c>
      <c r="T327" s="937">
        <f t="shared" si="9"/>
        <v>1.27877055</v>
      </c>
      <c r="U327" s="937" t="str">
        <f>IF(T327&lt;'PlayerGrades+'!$AI$21,"F-",IF(T327&lt;'PlayerGrades+'!$AI$20,"F",IF(T327&lt;'PlayerGrades+'!$AI$19,"F+",IF(T327&lt;'PlayerGrades+'!$AI$18,"E-",IF(T327&lt;'PlayerGrades+'!$AI$17,"E",IF(T327&lt;'PlayerGrades+'!$AI$16,"E+",IF(T327&lt;'PlayerGrades+'!$AI$15,"D-",IF(T327&lt;'PlayerGrades+'!$AI$14,"D",IF(T327&lt;'PlayerGrades+'!$AI$13,"D+",IF(T327&lt;'PlayerGrades+'!$AI$12,"C-",IF(T327&lt;'PlayerGrades+'!$AI$11,"C",IF(T327&lt;'PlayerGrades+'!$AI$10,"C+",IF(T327&lt;'PlayerGrades+'!$AI$9,"B-",IF(T327&lt;'PlayerGrades+'!$AI$8,"B",IF(T327&lt;'PlayerGrades+'!$AI$7,"B+",IF(T327&lt;'PlayerGrades+'!$AI$6,"A-",IF(T327&lt;'PlayerGrades+'!$AI$5,"A",IF(T327&lt;'PlayerGrades+'!$AI$4,"A+",IF(T327&lt;'PlayerGrades+'!$AI$3,"S-",IF(T327&lt;'PlayerGrades+'!$AI$2,"S","S+"))))))))))))))))))))</f>
        <v>C</v>
      </c>
      <c r="V327" s="941">
        <v>1.0</v>
      </c>
      <c r="W327" s="941">
        <v>0.0</v>
      </c>
      <c r="X327" s="941">
        <v>1.0</v>
      </c>
      <c r="Y327" s="941">
        <v>0.0</v>
      </c>
      <c r="Z327" s="941">
        <v>1.0</v>
      </c>
      <c r="AA327" s="941">
        <v>195.0</v>
      </c>
      <c r="AB327" s="941">
        <v>141.0</v>
      </c>
      <c r="AC327" s="941">
        <v>54.0</v>
      </c>
      <c r="AD327" s="941">
        <v>5.0</v>
      </c>
      <c r="AE327" s="941">
        <v>7.0</v>
      </c>
      <c r="AF327" s="941">
        <v>1.0</v>
      </c>
      <c r="AG327" s="941">
        <v>2349.0</v>
      </c>
      <c r="AH327" s="1">
        <v>2798.0</v>
      </c>
      <c r="AI327" s="941">
        <v>16.0</v>
      </c>
      <c r="AJ327" s="941">
        <v>7.0</v>
      </c>
      <c r="AK327" s="941">
        <v>0.0</v>
      </c>
      <c r="AL327" s="941">
        <v>5.0</v>
      </c>
      <c r="AM327" s="941">
        <v>0.0</v>
      </c>
      <c r="AN327" s="941">
        <v>0.0</v>
      </c>
      <c r="AO327" s="941">
        <v>0.0</v>
      </c>
      <c r="AP327" s="941">
        <v>4.0</v>
      </c>
      <c r="AQ327" s="941">
        <v>0.0</v>
      </c>
      <c r="AR327" s="941">
        <v>32.0</v>
      </c>
      <c r="AS327" s="941">
        <v>3.0</v>
      </c>
      <c r="AT327" s="941">
        <v>1.0</v>
      </c>
      <c r="AU327" s="941">
        <v>0.0</v>
      </c>
      <c r="AV327" s="941">
        <v>0.0</v>
      </c>
      <c r="AW327" s="941">
        <v>0.0</v>
      </c>
      <c r="AX327" s="941">
        <v>0.0</v>
      </c>
      <c r="AY327" s="941">
        <v>0.0</v>
      </c>
      <c r="AZ327" s="941">
        <v>0.0</v>
      </c>
      <c r="BA327" s="941">
        <v>0.0</v>
      </c>
      <c r="BB327" s="941">
        <v>11.0</v>
      </c>
      <c r="BC327" s="941">
        <v>0.0</v>
      </c>
      <c r="BD327" s="941">
        <v>21.0</v>
      </c>
      <c r="BE327" s="941">
        <v>13.0</v>
      </c>
      <c r="BF327" s="941">
        <v>1.0</v>
      </c>
      <c r="BG327" s="942">
        <v>1.0</v>
      </c>
    </row>
    <row r="328">
      <c r="A328" s="935" t="s">
        <v>132</v>
      </c>
      <c r="B328" s="16" t="str">
        <f>IF(C328&lt;'PlayerGrades+'!$Y$44,"F-",IF(C328&lt;'PlayerGrades+'!$Y$43,"F",IF(C328&lt;'PlayerGrades+'!$Y$42,"F+",IF(C328&lt;'PlayerGrades+'!$Y$41,"E-",IF(C328&lt;'PlayerGrades+'!$Y$40,"E",IF(C328&lt;'PlayerGrades+'!$Y$39,"E+",IF(C328&lt;'PlayerGrades+'!$Y$38,"D-",IF(C328&lt;'PlayerGrades+'!$Y$37,"D",IF(C328&lt;'PlayerGrades+'!$Y$36,"D+",IF(C328&lt;'PlayerGrades+'!$Y$35,"C-",IF(C328&lt;'PlayerGrades+'!$Y$34,"C",IF(C328&lt;'PlayerGrades+'!$Y$33,"C+",IF(C328&lt;'PlayerGrades+'!$Y$32,"B-",IF(C328&lt;'PlayerGrades+'!$Y$31,"B",IF(C328&lt;'PlayerGrades+'!$Y$30,"B+",IF(C328&lt;'PlayerGrades+'!$Y$29,"A-",IF(C328&lt;'PlayerGrades+'!$Y$28,"A",IF(C328&lt;'PlayerGrades+'!$Y$27,"A+",IF(C328&lt;'PlayerGrades+'!$Y$26,"S-",IF(C328&lt;'PlayerGrades+'!$Y$25,"S","S+"))))))))))))))))))))</f>
        <v>C</v>
      </c>
      <c r="C328" s="936">
        <f>('PlayerGrades+'!$Y$47*(VLOOKUP(E328, 'PlayerGrades+'!$X$3:$Y$23, 2, FALSE)))+('PlayerGrades+'!$Y$48*(VLOOKUP(G328, 'PlayerGrades+'!$X$3:$Y$23, 2, FALSE)))+('PlayerGrades+'!$Y$49*(VLOOKUP(I328, 'PlayerGrades+'!$X$3:$Y$23, 2, FALSE)))+('PlayerGrades+'!$Y$50*(VLOOKUP(K328, 'PlayerGrades+'!$X$3:$Y$23, 2, FALSE)))+('PlayerGrades+'!$Y$51*(VLOOKUP(M328, 'PlayerGrades+'!$X$3:$Y$23, 2, FALSE)))+('PlayerGrades+'!$Y$52*(VLOOKUP(O328, 'PlayerGrades+'!$X$3:$Y$23, 2, FALSE)))+('PlayerGrades+'!$Y$53*(VLOOKUP(Q328, 'PlayerGrades+'!$X$3:$Y$23, 2, FALSE)))+('PlayerGrades+'!$Y$54*(VLOOKUP(S328, 'PlayerGrades+'!$X$3:$Y$23, 2, FALSE)))+('PlayerGrades+'!$Y$55*(VLOOKUP(U328, 'PlayerGrades+'!$X$3:$Y$23, 2, FALSE)))</f>
        <v>20.4</v>
      </c>
      <c r="D328" s="937">
        <f t="shared" si="1"/>
        <v>0.04288777698</v>
      </c>
      <c r="E328" s="937" t="str">
        <f>IF(D328&lt;'PlayerGrades+'!$AA$21,"F-",IF(D328&lt;'PlayerGrades+'!$AA$20,"F",IF(D328&lt;'PlayerGrades+'!$AA$19,"F+",IF(D328&lt;'PlayerGrades+'!$AA$18,"E-",IF(D328&lt;'PlayerGrades+'!$AA$17,"E",IF(D328&lt;'PlayerGrades+'!$AA$16,"E+",IF(D328&lt;'PlayerGrades+'!$AA$15,"D-",IF(D328&lt;'PlayerGrades+'!$AA$14,"D",IF(D328&lt;'PlayerGrades+'!$AA$13,"D+",IF(D328&lt;'PlayerGrades+'!$AA$12,"C-",IF(D328&lt;'PlayerGrades+'!$AA$11,"C",IF(D328&lt;'PlayerGrades+'!$AA$10,"C+",IF(D328&lt;'PlayerGrades+'!$AA$9,"B-",IF(D328&lt;'PlayerGrades+'!$AA$8,"B",IF(D328&lt;'PlayerGrades+'!$AA$7,"B+",IF(D328&lt;'PlayerGrades+'!$AA$6,"A-",IF(D328&lt;'PlayerGrades+'!$AA$5,"A",IF(D328&lt;'PlayerGrades+'!$AA$4,"A+",IF(D328&lt;'PlayerGrades+'!$AA$3,"S-",IF(D328&lt;'PlayerGrades+'!$AA$2,"S","S+"))))))))))))))))))))</f>
        <v>C</v>
      </c>
      <c r="F328" s="937">
        <f t="shared" si="2"/>
        <v>-0.2144388849</v>
      </c>
      <c r="G328" s="937" t="str">
        <f>IF(F328&lt;'PlayerGrades+'!$AB$21,"F-",IF(F328&lt;'PlayerGrades+'!$AB$20,"F",IF(F328&lt;'PlayerGrades+'!$AB$19,"F+",IF(F328&lt;'PlayerGrades+'!$AB$18,"E-",IF(F328&lt;'PlayerGrades+'!$AB$17,"E",IF(F328&lt;'PlayerGrades+'!$AB$16,"E+",IF(F328&lt;'PlayerGrades+'!$AB$15,"D-",IF(F328&lt;'PlayerGrades+'!$AB$14,"D",IF(F328&lt;'PlayerGrades+'!$AB$13,"D+",IF(F328&lt;'PlayerGrades+'!$AB$12,"C-",IF(F328&lt;'PlayerGrades+'!$AB$11,"C",IF(F328&lt;'PlayerGrades+'!$AB$10,"C+",IF(F328&lt;'PlayerGrades+'!$AB$9,"B-",IF(F328&lt;'PlayerGrades+'!$AB$8,"B",IF(F328&lt;'PlayerGrades+'!$AB$7,"B+",IF(F328&lt;'PlayerGrades+'!$AB$6,"A-",IF(F328&lt;'PlayerGrades+'!$AB$5,"A",IF(F328&lt;'PlayerGrades+'!$AB$4,"A+",IF(F328&lt;'PlayerGrades+'!$AB$3,"S-",IF(F328&lt;'PlayerGrades+'!$AB$2,"S","S+"))))))))))))))))))))</f>
        <v>C+</v>
      </c>
      <c r="H328" s="937">
        <f t="shared" si="3"/>
        <v>0.04288777698</v>
      </c>
      <c r="I328" s="937" t="str">
        <f>IF(H328&lt;'PlayerGrades+'!$AC$21,"F-",IF(H328&lt;'PlayerGrades+'!$AC$20,"F",IF(H328&lt;'PlayerGrades+'!$AC$19,"F+",IF(H328&lt;'PlayerGrades+'!$AC$18,"E-",IF(H328&lt;'PlayerGrades+'!$AC$17,"E",IF(H328&lt;'PlayerGrades+'!$AC$16,"E+",IF(H328&lt;'PlayerGrades+'!$AC$15,"D-",IF(H328&lt;'PlayerGrades+'!$AC$14,"D",IF(H328&lt;'PlayerGrades+'!$AC$13,"D+",IF(H328&lt;'PlayerGrades+'!$AC$12,"C-",IF(H328&lt;'PlayerGrades+'!$AC$11,"C",IF(H328&lt;'PlayerGrades+'!$AC$10,"C+",IF(H328&lt;'PlayerGrades+'!$AC$9,"B-",IF(H328&lt;'PlayerGrades+'!$AC$8,"B",IF(H328&lt;'PlayerGrades+'!$AC$7,"B+",IF(H328&lt;'PlayerGrades+'!$AC$6,"A-",IF(H328&lt;'PlayerGrades+'!$AC$5,"A",IF(H328&lt;'PlayerGrades+'!$AC$4,"A+",IF(H328&lt;'PlayerGrades+'!$AC$3,"S-",IF(H328&lt;'PlayerGrades+'!$AC$2,"S","S+"))))))))))))))))))))</f>
        <v>F</v>
      </c>
      <c r="J328" s="937">
        <f t="shared" si="4"/>
        <v>0.06433166548</v>
      </c>
      <c r="K328" s="937" t="str">
        <f>IF(J328&lt;'PlayerGrades+'!$AD$21,"F-",IF(J328&lt;'PlayerGrades+'!$AD$20,"F",IF(J328&lt;'PlayerGrades+'!$AD$19,"F+",IF(J328&lt;'PlayerGrades+'!$AD$18,"E-",IF(J328&lt;'PlayerGrades+'!$AD$17,"E",IF(J328&lt;'PlayerGrades+'!$AD$16,"E+",IF(J328&lt;'PlayerGrades+'!$AD$15,"D-",IF(J328&lt;'PlayerGrades+'!$AD$14,"D",IF(J328&lt;'PlayerGrades+'!$AD$13,"D+",IF(J328&lt;'PlayerGrades+'!$AD$12,"C-",IF(J328&lt;'PlayerGrades+'!$AD$11,"C",IF(J328&lt;'PlayerGrades+'!$AD$10,"C+",IF(J328&lt;'PlayerGrades+'!$AD$9,"B-",IF(J328&lt;'PlayerGrades+'!$AD$8,"B",IF(J328&lt;'PlayerGrades+'!$AD$7,"B+",IF(J328&lt;'PlayerGrades+'!$AD$6,"A-",IF(J328&lt;'PlayerGrades+'!$AD$5,"A",IF(J328&lt;'PlayerGrades+'!$AD$4,"A+",IF(J328&lt;'PlayerGrades+'!$AD$3,"S-",IF(J328&lt;'PlayerGrades+'!$AD$2,"S","S+"))))))))))))))))))))</f>
        <v>A-</v>
      </c>
      <c r="L328" s="677">
        <f t="shared" si="5"/>
        <v>0.3645461044</v>
      </c>
      <c r="M328" s="938" t="str">
        <f>IF(L328&lt;'PlayerGrades+'!$AE$21,"F-",IF(L328&lt;'PlayerGrades+'!$AE$20,"F",IF(L328&lt;'PlayerGrades+'!$AE$19,"F+",IF(L328&lt;'PlayerGrades+'!$AE$18,"E-",IF(L328&lt;'PlayerGrades+'!$AE$17,"E",IF(L328&lt;'PlayerGrades+'!$AE$16,"E+",IF(L328&lt;'PlayerGrades+'!$AE$15,"D-",IF(L328&lt;'PlayerGrades+'!$AE$14,"D",IF(L328&lt;'PlayerGrades+'!$AE$13,"D+",IF(L328&lt;'PlayerGrades+'!$AE$12,"C-",IF(L328&lt;'PlayerGrades+'!$AE$11,"C",IF(L328&lt;'PlayerGrades+'!$AE$10,"C+",IF(L328&lt;'PlayerGrades+'!$AE$9,"B-",IF(L328&lt;'PlayerGrades+'!$AE$8,"B",IF(L328&lt;'PlayerGrades+'!$AE$7,"B+",IF(L328&lt;'PlayerGrades+'!$AE$6,"A-",IF(L328&lt;'PlayerGrades+'!$AE$5,"A",IF(L328&lt;'PlayerGrades+'!$AE$4,"A+",IF(L328&lt;'PlayerGrades+'!$AE$3,"S-",IF(L328&lt;'PlayerGrades+'!$AE$2,"S","S+"))))))))))))))))))))</f>
        <v>D+</v>
      </c>
      <c r="N328" s="937">
        <f t="shared" si="6"/>
        <v>0.1072194425</v>
      </c>
      <c r="O328" s="937" t="str">
        <f>IF(N328&lt;'PlayerGrades+'!$AF$21,"F-",IF(N328&lt;'PlayerGrades+'!$AF$20,"F",IF(N328&lt;'PlayerGrades+'!$AF$19,"F+",IF(N328&lt;'PlayerGrades+'!$AF$18,"E-",IF(N328&lt;'PlayerGrades+'!$AF$17,"E",IF(N328&lt;'PlayerGrades+'!$AF$16,"E+",IF(N328&lt;'PlayerGrades+'!$AF$15,"D-",IF(N328&lt;'PlayerGrades+'!$AF$14,"D",IF(N328&lt;'PlayerGrades+'!$AF$13,"D+",IF(N328&lt;'PlayerGrades+'!$AF$12,"C-",IF(N328&lt;'PlayerGrades+'!$AF$11,"C",IF(N328&lt;'PlayerGrades+'!$AF$10,"C+",IF(N328&lt;'PlayerGrades+'!$AF$9,"B-",IF(N328&lt;'PlayerGrades+'!$AF$8,"B",IF(N328&lt;'PlayerGrades+'!$AF$7,"B+",IF(N328&lt;'PlayerGrades+'!$AF$6,"A-",IF(N328&lt;'PlayerGrades+'!$AF$5,"A",IF(N328&lt;'PlayerGrades+'!$AF$4,"A+",IF(N328&lt;'PlayerGrades+'!$AF$3,"S-",IF(N328&lt;'PlayerGrades+'!$AF$2,"S","S+"))))))))))))))))))))</f>
        <v>S-</v>
      </c>
      <c r="P328" s="937">
        <f t="shared" si="7"/>
        <v>0.04288777698</v>
      </c>
      <c r="Q328" s="937" t="str">
        <f>IF(P328&lt;'PlayerGrades+'!$AG$21,"F-",IF(P328&lt;'PlayerGrades+'!$AG$20,"F",IF(P328&lt;'PlayerGrades+'!$AG$19,"F+",IF(P328&lt;'PlayerGrades+'!$AG$18,"E-",IF(P328&lt;'PlayerGrades+'!$AG$17,"E",IF(P328&lt;'PlayerGrades+'!$AG$16,"E+",IF(P328&lt;'PlayerGrades+'!$AG$15,"D-",IF(P328&lt;'PlayerGrades+'!$AG$14,"D",IF(P328&lt;'PlayerGrades+'!$AG$13,"D+",IF(P328&lt;'PlayerGrades+'!$AG$12,"C-",IF(P328&lt;'PlayerGrades+'!$AG$11,"C",IF(P328&lt;'PlayerGrades+'!$AG$10,"C+",IF(P328&lt;'PlayerGrades+'!$AG$9,"B-",IF(P328&lt;'PlayerGrades+'!$AG$8,"B",IF(P328&lt;'PlayerGrades+'!$AG$7,"B+",IF(P328&lt;'PlayerGrades+'!$AG$6,"A-",IF(P328&lt;'PlayerGrades+'!$AG$5,"A",IF(P328&lt;'PlayerGrades+'!$AG$4,"A+",IF(P328&lt;'PlayerGrades+'!$AG$3,"S-",IF(P328&lt;'PlayerGrades+'!$AG$2,"S","S+"))))))))))))))))))))</f>
        <v>A</v>
      </c>
      <c r="R328" s="937">
        <f t="shared" si="8"/>
        <v>0.4503216583</v>
      </c>
      <c r="S328" s="937" t="str">
        <f>IF(R328&lt;'PlayerGrades+'!$AH$21,"F-",IF(R328&lt;'PlayerGrades+'!$AH$20,"F",IF(R328&lt;'PlayerGrades+'!$AH$19,"F+",IF(R328&lt;'PlayerGrades+'!$AH$18,"E-",IF(R328&lt;'PlayerGrades+'!$AH$17,"E",IF(R328&lt;'PlayerGrades+'!$AH$16,"E+",IF(R328&lt;'PlayerGrades+'!$AH$15,"D-",IF(R328&lt;'PlayerGrades+'!$AH$14,"D",IF(R328&lt;'PlayerGrades+'!$AH$13,"D+",IF(R328&lt;'PlayerGrades+'!$AH$12,"C-",IF(R328&lt;'PlayerGrades+'!$AH$11,"C",IF(R328&lt;'PlayerGrades+'!$AH$10,"C+",IF(R328&lt;'PlayerGrades+'!$AH$9,"B-",IF(R328&lt;'PlayerGrades+'!$AH$8,"B",IF(R328&lt;'PlayerGrades+'!$AH$7,"B+",IF(R328&lt;'PlayerGrades+'!$AH$6,"A-",IF(R328&lt;'PlayerGrades+'!$AH$5,"A",IF(R328&lt;'PlayerGrades+'!$AH$4,"A+",IF(R328&lt;'PlayerGrades+'!$AH$3,"S-",IF(R328&lt;'PlayerGrades+'!$AH$2,"S","S+"))))))))))))))))))))</f>
        <v>E-</v>
      </c>
      <c r="T328" s="937">
        <f t="shared" si="9"/>
        <v>1.343102216</v>
      </c>
      <c r="U328" s="937" t="str">
        <f>IF(T328&lt;'PlayerGrades+'!$AI$21,"F-",IF(T328&lt;'PlayerGrades+'!$AI$20,"F",IF(T328&lt;'PlayerGrades+'!$AI$19,"F+",IF(T328&lt;'PlayerGrades+'!$AI$18,"E-",IF(T328&lt;'PlayerGrades+'!$AI$17,"E",IF(T328&lt;'PlayerGrades+'!$AI$16,"E+",IF(T328&lt;'PlayerGrades+'!$AI$15,"D-",IF(T328&lt;'PlayerGrades+'!$AI$14,"D",IF(T328&lt;'PlayerGrades+'!$AI$13,"D+",IF(T328&lt;'PlayerGrades+'!$AI$12,"C-",IF(T328&lt;'PlayerGrades+'!$AI$11,"C",IF(T328&lt;'PlayerGrades+'!$AI$10,"C+",IF(T328&lt;'PlayerGrades+'!$AI$9,"B-",IF(T328&lt;'PlayerGrades+'!$AI$8,"B",IF(T328&lt;'PlayerGrades+'!$AI$7,"B+",IF(T328&lt;'PlayerGrades+'!$AI$6,"A-",IF(T328&lt;'PlayerGrades+'!$AI$5,"A",IF(T328&lt;'PlayerGrades+'!$AI$4,"A+",IF(T328&lt;'PlayerGrades+'!$AI$3,"S-",IF(T328&lt;'PlayerGrades+'!$AI$2,"S","S+"))))))))))))))))))))</f>
        <v>B-</v>
      </c>
      <c r="V328" s="941">
        <v>1.0</v>
      </c>
      <c r="W328" s="941">
        <v>0.0</v>
      </c>
      <c r="X328" s="941">
        <v>1.0</v>
      </c>
      <c r="Y328" s="941">
        <v>0.0</v>
      </c>
      <c r="Z328" s="941">
        <v>2.0</v>
      </c>
      <c r="AA328" s="941">
        <v>152.0</v>
      </c>
      <c r="AB328" s="941">
        <v>162.0</v>
      </c>
      <c r="AC328" s="941">
        <v>-10.0</v>
      </c>
      <c r="AD328" s="941">
        <v>7.0</v>
      </c>
      <c r="AE328" s="941">
        <v>7.0</v>
      </c>
      <c r="AF328" s="941">
        <v>3.0</v>
      </c>
      <c r="AG328" s="941">
        <v>2291.0</v>
      </c>
      <c r="AH328" s="1">
        <v>2798.0</v>
      </c>
      <c r="AI328" s="941">
        <v>14.0</v>
      </c>
      <c r="AJ328" s="941">
        <v>28.0</v>
      </c>
      <c r="AK328" s="941">
        <v>0.0</v>
      </c>
      <c r="AL328" s="941">
        <v>3.0</v>
      </c>
      <c r="AM328" s="941">
        <v>0.0</v>
      </c>
      <c r="AN328" s="941">
        <v>0.0</v>
      </c>
      <c r="AO328" s="941">
        <v>0.0</v>
      </c>
      <c r="AP328" s="941">
        <v>2.0</v>
      </c>
      <c r="AQ328" s="941">
        <v>0.0</v>
      </c>
      <c r="AR328" s="941">
        <v>17.0</v>
      </c>
      <c r="AS328" s="941">
        <v>5.0</v>
      </c>
      <c r="AT328" s="941">
        <v>2.0</v>
      </c>
      <c r="AU328" s="941">
        <v>1.0</v>
      </c>
      <c r="AV328" s="941">
        <v>0.0</v>
      </c>
      <c r="AW328" s="941">
        <v>0.0</v>
      </c>
      <c r="AX328" s="941">
        <v>0.0</v>
      </c>
      <c r="AY328" s="941">
        <v>0.0</v>
      </c>
      <c r="AZ328" s="941">
        <v>0.0</v>
      </c>
      <c r="BA328" s="941">
        <v>0.0</v>
      </c>
      <c r="BB328" s="941">
        <v>2.0</v>
      </c>
      <c r="BC328" s="941">
        <v>0.0</v>
      </c>
      <c r="BD328" s="941">
        <v>14.0</v>
      </c>
      <c r="BE328" s="941">
        <v>16.0</v>
      </c>
      <c r="BF328" s="941">
        <v>1.0</v>
      </c>
      <c r="BG328" s="942">
        <v>1.0</v>
      </c>
    </row>
    <row r="329">
      <c r="A329" s="943" t="s">
        <v>514</v>
      </c>
      <c r="B329" s="16" t="str">
        <f>IF(C329&lt;'PlayerGrades+'!$Y$44,"F-",IF(C329&lt;'PlayerGrades+'!$Y$43,"F",IF(C329&lt;'PlayerGrades+'!$Y$42,"F+",IF(C329&lt;'PlayerGrades+'!$Y$41,"E-",IF(C329&lt;'PlayerGrades+'!$Y$40,"E",IF(C329&lt;'PlayerGrades+'!$Y$39,"E+",IF(C329&lt;'PlayerGrades+'!$Y$38,"D-",IF(C329&lt;'PlayerGrades+'!$Y$37,"D",IF(C329&lt;'PlayerGrades+'!$Y$36,"D+",IF(C329&lt;'PlayerGrades+'!$Y$35,"C-",IF(C329&lt;'PlayerGrades+'!$Y$34,"C",IF(C329&lt;'PlayerGrades+'!$Y$33,"C+",IF(C329&lt;'PlayerGrades+'!$Y$32,"B-",IF(C329&lt;'PlayerGrades+'!$Y$31,"B",IF(C329&lt;'PlayerGrades+'!$Y$30,"B+",IF(C329&lt;'PlayerGrades+'!$Y$29,"A-",IF(C329&lt;'PlayerGrades+'!$Y$28,"A",IF(C329&lt;'PlayerGrades+'!$Y$27,"A+",IF(C329&lt;'PlayerGrades+'!$Y$26,"S-",IF(C329&lt;'PlayerGrades+'!$Y$25,"S","S+"))))))))))))))))))))</f>
        <v>D</v>
      </c>
      <c r="C329" s="936">
        <f>('PlayerGrades+'!$Y$47*(VLOOKUP(E329, 'PlayerGrades+'!$X$3:$Y$23, 2, FALSE)))+('PlayerGrades+'!$Y$48*(VLOOKUP(G329, 'PlayerGrades+'!$X$3:$Y$23, 2, FALSE)))+('PlayerGrades+'!$Y$49*(VLOOKUP(I329, 'PlayerGrades+'!$X$3:$Y$23, 2, FALSE)))+('PlayerGrades+'!$Y$50*(VLOOKUP(K329, 'PlayerGrades+'!$X$3:$Y$23, 2, FALSE)))+('PlayerGrades+'!$Y$51*(VLOOKUP(M329, 'PlayerGrades+'!$X$3:$Y$23, 2, FALSE)))+('PlayerGrades+'!$Y$52*(VLOOKUP(O329, 'PlayerGrades+'!$X$3:$Y$23, 2, FALSE)))+('PlayerGrades+'!$Y$53*(VLOOKUP(Q329, 'PlayerGrades+'!$X$3:$Y$23, 2, FALSE)))+('PlayerGrades+'!$Y$54*(VLOOKUP(S329, 'PlayerGrades+'!$X$3:$Y$23, 2, FALSE)))+('PlayerGrades+'!$Y$55*(VLOOKUP(U329, 'PlayerGrades+'!$X$3:$Y$23, 2, FALSE)))</f>
        <v>16.95</v>
      </c>
      <c r="D329" s="937">
        <f t="shared" si="1"/>
        <v>0</v>
      </c>
      <c r="E329" s="937" t="str">
        <f>IF(D329&lt;'PlayerGrades+'!$AA$21,"F-",IF(D329&lt;'PlayerGrades+'!$AA$20,"F",IF(D329&lt;'PlayerGrades+'!$AA$19,"F+",IF(D329&lt;'PlayerGrades+'!$AA$18,"E-",IF(D329&lt;'PlayerGrades+'!$AA$17,"E",IF(D329&lt;'PlayerGrades+'!$AA$16,"E+",IF(D329&lt;'PlayerGrades+'!$AA$15,"D-",IF(D329&lt;'PlayerGrades+'!$AA$14,"D",IF(D329&lt;'PlayerGrades+'!$AA$13,"D+",IF(D329&lt;'PlayerGrades+'!$AA$12,"C-",IF(D329&lt;'PlayerGrades+'!$AA$11,"C",IF(D329&lt;'PlayerGrades+'!$AA$10,"C+",IF(D329&lt;'PlayerGrades+'!$AA$9,"B-",IF(D329&lt;'PlayerGrades+'!$AA$8,"B",IF(D329&lt;'PlayerGrades+'!$AA$7,"B+",IF(D329&lt;'PlayerGrades+'!$AA$6,"A-",IF(D329&lt;'PlayerGrades+'!$AA$5,"A",IF(D329&lt;'PlayerGrades+'!$AA$4,"A+",IF(D329&lt;'PlayerGrades+'!$AA$3,"S-",IF(D329&lt;'PlayerGrades+'!$AA$2,"S","S+"))))))))))))))))))))</f>
        <v>F-</v>
      </c>
      <c r="F329" s="937">
        <f t="shared" si="2"/>
        <v>-1.072194425</v>
      </c>
      <c r="G329" s="937" t="str">
        <f>IF(F329&lt;'PlayerGrades+'!$AB$21,"F-",IF(F329&lt;'PlayerGrades+'!$AB$20,"F",IF(F329&lt;'PlayerGrades+'!$AB$19,"F+",IF(F329&lt;'PlayerGrades+'!$AB$18,"E-",IF(F329&lt;'PlayerGrades+'!$AB$17,"E",IF(F329&lt;'PlayerGrades+'!$AB$16,"E+",IF(F329&lt;'PlayerGrades+'!$AB$15,"D-",IF(F329&lt;'PlayerGrades+'!$AB$14,"D",IF(F329&lt;'PlayerGrades+'!$AB$13,"D+",IF(F329&lt;'PlayerGrades+'!$AB$12,"C-",IF(F329&lt;'PlayerGrades+'!$AB$11,"C",IF(F329&lt;'PlayerGrades+'!$AB$10,"C+",IF(F329&lt;'PlayerGrades+'!$AB$9,"B-",IF(F329&lt;'PlayerGrades+'!$AB$8,"B",IF(F329&lt;'PlayerGrades+'!$AB$7,"B+",IF(F329&lt;'PlayerGrades+'!$AB$6,"A-",IF(F329&lt;'PlayerGrades+'!$AB$5,"A",IF(F329&lt;'PlayerGrades+'!$AB$4,"A+",IF(F329&lt;'PlayerGrades+'!$AB$3,"S-",IF(F329&lt;'PlayerGrades+'!$AB$2,"S","S+"))))))))))))))))))))</f>
        <v>F</v>
      </c>
      <c r="H329" s="937">
        <f t="shared" si="3"/>
        <v>0.1072194425</v>
      </c>
      <c r="I329" s="937" t="str">
        <f>IF(H329&lt;'PlayerGrades+'!$AC$21,"F-",IF(H329&lt;'PlayerGrades+'!$AC$20,"F",IF(H329&lt;'PlayerGrades+'!$AC$19,"F+",IF(H329&lt;'PlayerGrades+'!$AC$18,"E-",IF(H329&lt;'PlayerGrades+'!$AC$17,"E",IF(H329&lt;'PlayerGrades+'!$AC$16,"E+",IF(H329&lt;'PlayerGrades+'!$AC$15,"D-",IF(H329&lt;'PlayerGrades+'!$AC$14,"D",IF(H329&lt;'PlayerGrades+'!$AC$13,"D+",IF(H329&lt;'PlayerGrades+'!$AC$12,"C-",IF(H329&lt;'PlayerGrades+'!$AC$11,"C",IF(H329&lt;'PlayerGrades+'!$AC$10,"C+",IF(H329&lt;'PlayerGrades+'!$AC$9,"B-",IF(H329&lt;'PlayerGrades+'!$AC$8,"B",IF(H329&lt;'PlayerGrades+'!$AC$7,"B+",IF(H329&lt;'PlayerGrades+'!$AC$6,"A-",IF(H329&lt;'PlayerGrades+'!$AC$5,"A",IF(H329&lt;'PlayerGrades+'!$AC$4,"A+",IF(H329&lt;'PlayerGrades+'!$AC$3,"S-",IF(H329&lt;'PlayerGrades+'!$AC$2,"S","S+"))))))))))))))))))))</f>
        <v>C-</v>
      </c>
      <c r="J329" s="937">
        <f t="shared" si="4"/>
        <v>0.02144388849</v>
      </c>
      <c r="K329" s="937" t="str">
        <f>IF(J329&lt;'PlayerGrades+'!$AD$21,"F-",IF(J329&lt;'PlayerGrades+'!$AD$20,"F",IF(J329&lt;'PlayerGrades+'!$AD$19,"F+",IF(J329&lt;'PlayerGrades+'!$AD$18,"E-",IF(J329&lt;'PlayerGrades+'!$AD$17,"E",IF(J329&lt;'PlayerGrades+'!$AD$16,"E+",IF(J329&lt;'PlayerGrades+'!$AD$15,"D-",IF(J329&lt;'PlayerGrades+'!$AD$14,"D",IF(J329&lt;'PlayerGrades+'!$AD$13,"D+",IF(J329&lt;'PlayerGrades+'!$AD$12,"C-",IF(J329&lt;'PlayerGrades+'!$AD$11,"C",IF(J329&lt;'PlayerGrades+'!$AD$10,"C+",IF(J329&lt;'PlayerGrades+'!$AD$9,"B-",IF(J329&lt;'PlayerGrades+'!$AD$8,"B",IF(J329&lt;'PlayerGrades+'!$AD$7,"B+",IF(J329&lt;'PlayerGrades+'!$AD$6,"A-",IF(J329&lt;'PlayerGrades+'!$AD$5,"A",IF(J329&lt;'PlayerGrades+'!$AD$4,"A+",IF(J329&lt;'PlayerGrades+'!$AD$3,"S-",IF(J329&lt;'PlayerGrades+'!$AD$2,"S","S+"))))))))))))))))))))</f>
        <v>E+</v>
      </c>
      <c r="L329" s="677">
        <f t="shared" si="5"/>
        <v>0.4932094353</v>
      </c>
      <c r="M329" s="938" t="str">
        <f>IF(L329&lt;'PlayerGrades+'!$AE$21,"F-",IF(L329&lt;'PlayerGrades+'!$AE$20,"F",IF(L329&lt;'PlayerGrades+'!$AE$19,"F+",IF(L329&lt;'PlayerGrades+'!$AE$18,"E-",IF(L329&lt;'PlayerGrades+'!$AE$17,"E",IF(L329&lt;'PlayerGrades+'!$AE$16,"E+",IF(L329&lt;'PlayerGrades+'!$AE$15,"D-",IF(L329&lt;'PlayerGrades+'!$AE$14,"D",IF(L329&lt;'PlayerGrades+'!$AE$13,"D+",IF(L329&lt;'PlayerGrades+'!$AE$12,"C-",IF(L329&lt;'PlayerGrades+'!$AE$11,"C",IF(L329&lt;'PlayerGrades+'!$AE$10,"C+",IF(L329&lt;'PlayerGrades+'!$AE$9,"B-",IF(L329&lt;'PlayerGrades+'!$AE$8,"B",IF(L329&lt;'PlayerGrades+'!$AE$7,"B+",IF(L329&lt;'PlayerGrades+'!$AE$6,"A-",IF(L329&lt;'PlayerGrades+'!$AE$5,"A",IF(L329&lt;'PlayerGrades+'!$AE$4,"A+",IF(L329&lt;'PlayerGrades+'!$AE$3,"S-",IF(L329&lt;'PlayerGrades+'!$AE$2,"S","S+"))))))))))))))))))))</f>
        <v>A-</v>
      </c>
      <c r="N329" s="937">
        <f t="shared" si="6"/>
        <v>0.08577555397</v>
      </c>
      <c r="O329" s="937" t="str">
        <f>IF(N329&lt;'PlayerGrades+'!$AF$21,"F-",IF(N329&lt;'PlayerGrades+'!$AF$20,"F",IF(N329&lt;'PlayerGrades+'!$AF$19,"F+",IF(N329&lt;'PlayerGrades+'!$AF$18,"E-",IF(N329&lt;'PlayerGrades+'!$AF$17,"E",IF(N329&lt;'PlayerGrades+'!$AF$16,"E+",IF(N329&lt;'PlayerGrades+'!$AF$15,"D-",IF(N329&lt;'PlayerGrades+'!$AF$14,"D",IF(N329&lt;'PlayerGrades+'!$AF$13,"D+",IF(N329&lt;'PlayerGrades+'!$AF$12,"C-",IF(N329&lt;'PlayerGrades+'!$AF$11,"C",IF(N329&lt;'PlayerGrades+'!$AF$10,"C+",IF(N329&lt;'PlayerGrades+'!$AF$9,"B-",IF(N329&lt;'PlayerGrades+'!$AF$8,"B",IF(N329&lt;'PlayerGrades+'!$AF$7,"B+",IF(N329&lt;'PlayerGrades+'!$AF$6,"A-",IF(N329&lt;'PlayerGrades+'!$AF$5,"A",IF(N329&lt;'PlayerGrades+'!$AF$4,"A+",IF(N329&lt;'PlayerGrades+'!$AF$3,"S-",IF(N329&lt;'PlayerGrades+'!$AF$2,"S","S+"))))))))))))))))))))</f>
        <v>B</v>
      </c>
      <c r="P329" s="937">
        <f t="shared" si="7"/>
        <v>0.02144388849</v>
      </c>
      <c r="Q329" s="937" t="str">
        <f>IF(P329&lt;'PlayerGrades+'!$AG$21,"F-",IF(P329&lt;'PlayerGrades+'!$AG$20,"F",IF(P329&lt;'PlayerGrades+'!$AG$19,"F+",IF(P329&lt;'PlayerGrades+'!$AG$18,"E-",IF(P329&lt;'PlayerGrades+'!$AG$17,"E",IF(P329&lt;'PlayerGrades+'!$AG$16,"E+",IF(P329&lt;'PlayerGrades+'!$AG$15,"D-",IF(P329&lt;'PlayerGrades+'!$AG$14,"D",IF(P329&lt;'PlayerGrades+'!$AG$13,"D+",IF(P329&lt;'PlayerGrades+'!$AG$12,"C-",IF(P329&lt;'PlayerGrades+'!$AG$11,"C",IF(P329&lt;'PlayerGrades+'!$AG$10,"C+",IF(P329&lt;'PlayerGrades+'!$AG$9,"B-",IF(P329&lt;'PlayerGrades+'!$AG$8,"B",IF(P329&lt;'PlayerGrades+'!$AG$7,"B+",IF(P329&lt;'PlayerGrades+'!$AG$6,"A-",IF(P329&lt;'PlayerGrades+'!$AG$5,"A",IF(P329&lt;'PlayerGrades+'!$AG$4,"A+",IF(P329&lt;'PlayerGrades+'!$AG$3,"S-",IF(P329&lt;'PlayerGrades+'!$AG$2,"S","S+"))))))))))))))))))))</f>
        <v>C+</v>
      </c>
      <c r="R329" s="937">
        <f t="shared" si="8"/>
        <v>0.5575411008</v>
      </c>
      <c r="S329" s="937" t="str">
        <f>IF(R329&lt;'PlayerGrades+'!$AH$21,"F-",IF(R329&lt;'PlayerGrades+'!$AH$20,"F",IF(R329&lt;'PlayerGrades+'!$AH$19,"F+",IF(R329&lt;'PlayerGrades+'!$AH$18,"E-",IF(R329&lt;'PlayerGrades+'!$AH$17,"E",IF(R329&lt;'PlayerGrades+'!$AH$16,"E+",IF(R329&lt;'PlayerGrades+'!$AH$15,"D-",IF(R329&lt;'PlayerGrades+'!$AH$14,"D",IF(R329&lt;'PlayerGrades+'!$AH$13,"D+",IF(R329&lt;'PlayerGrades+'!$AH$12,"C-",IF(R329&lt;'PlayerGrades+'!$AH$11,"C",IF(R329&lt;'PlayerGrades+'!$AH$10,"C+",IF(R329&lt;'PlayerGrades+'!$AH$9,"B-",IF(R329&lt;'PlayerGrades+'!$AH$8,"B",IF(R329&lt;'PlayerGrades+'!$AH$7,"B+",IF(R329&lt;'PlayerGrades+'!$AH$6,"A-",IF(R329&lt;'PlayerGrades+'!$AH$5,"A",IF(R329&lt;'PlayerGrades+'!$AH$4,"A+",IF(R329&lt;'PlayerGrades+'!$AH$3,"S-",IF(R329&lt;'PlayerGrades+'!$AH$2,"S","S+"))))))))))))))))))))</f>
        <v>B-</v>
      </c>
      <c r="T329" s="937">
        <f t="shared" si="9"/>
        <v>0.5146533238</v>
      </c>
      <c r="U329" s="937" t="str">
        <f>IF(T329&lt;'PlayerGrades+'!$AI$21,"F-",IF(T329&lt;'PlayerGrades+'!$AI$20,"F",IF(T329&lt;'PlayerGrades+'!$AI$19,"F+",IF(T329&lt;'PlayerGrades+'!$AI$18,"E-",IF(T329&lt;'PlayerGrades+'!$AI$17,"E",IF(T329&lt;'PlayerGrades+'!$AI$16,"E+",IF(T329&lt;'PlayerGrades+'!$AI$15,"D-",IF(T329&lt;'PlayerGrades+'!$AI$14,"D",IF(T329&lt;'PlayerGrades+'!$AI$13,"D+",IF(T329&lt;'PlayerGrades+'!$AI$12,"C-",IF(T329&lt;'PlayerGrades+'!$AI$11,"C",IF(T329&lt;'PlayerGrades+'!$AI$10,"C+",IF(T329&lt;'PlayerGrades+'!$AI$9,"B-",IF(T329&lt;'PlayerGrades+'!$AI$8,"B",IF(T329&lt;'PlayerGrades+'!$AI$7,"B+",IF(T329&lt;'PlayerGrades+'!$AI$6,"A-",IF(T329&lt;'PlayerGrades+'!$AI$5,"A",IF(T329&lt;'PlayerGrades+'!$AI$4,"A+",IF(T329&lt;'PlayerGrades+'!$AI$3,"S-",IF(T329&lt;'PlayerGrades+'!$AI$2,"S","S+"))))))))))))))))))))</f>
        <v>F-</v>
      </c>
      <c r="V329" s="944">
        <v>1.0</v>
      </c>
      <c r="W329" s="944">
        <v>0.0</v>
      </c>
      <c r="X329" s="944">
        <v>1.0</v>
      </c>
      <c r="Y329" s="944">
        <v>0.0</v>
      </c>
      <c r="Z329" s="944">
        <v>0.0</v>
      </c>
      <c r="AA329" s="944">
        <v>162.0</v>
      </c>
      <c r="AB329" s="944">
        <v>212.0</v>
      </c>
      <c r="AC329" s="944">
        <v>-50.0</v>
      </c>
      <c r="AD329" s="944">
        <v>11.0</v>
      </c>
      <c r="AE329" s="944">
        <v>6.0</v>
      </c>
      <c r="AF329" s="944">
        <v>0.0</v>
      </c>
      <c r="AG329" s="944">
        <v>2140.0</v>
      </c>
      <c r="AH329" s="882">
        <v>2798.0</v>
      </c>
      <c r="AI329" s="944">
        <v>10.0</v>
      </c>
      <c r="AJ329" s="944">
        <v>46.0</v>
      </c>
      <c r="AK329" s="944">
        <v>0.0</v>
      </c>
      <c r="AL329" s="944">
        <v>1.0</v>
      </c>
      <c r="AM329" s="944">
        <v>0.0</v>
      </c>
      <c r="AN329" s="944">
        <v>0.0</v>
      </c>
      <c r="AO329" s="944">
        <v>0.0</v>
      </c>
      <c r="AP329" s="944">
        <v>1.0</v>
      </c>
      <c r="AQ329" s="944">
        <v>0.0</v>
      </c>
      <c r="AR329" s="944">
        <v>23.0</v>
      </c>
      <c r="AS329" s="944">
        <v>4.0</v>
      </c>
      <c r="AT329" s="944">
        <v>2.0</v>
      </c>
      <c r="AU329" s="944">
        <v>0.0</v>
      </c>
      <c r="AV329" s="944">
        <v>0.0</v>
      </c>
      <c r="AW329" s="944">
        <v>0.0</v>
      </c>
      <c r="AX329" s="944">
        <v>0.0</v>
      </c>
      <c r="AY329" s="944">
        <v>0.0</v>
      </c>
      <c r="AZ329" s="944">
        <v>0.0</v>
      </c>
      <c r="BA329" s="944">
        <v>0.0</v>
      </c>
      <c r="BB329" s="944">
        <v>5.0</v>
      </c>
      <c r="BC329" s="944">
        <v>0.0</v>
      </c>
      <c r="BD329" s="944">
        <v>15.0</v>
      </c>
      <c r="BE329" s="944">
        <v>24.0</v>
      </c>
      <c r="BF329" s="944">
        <v>0.0</v>
      </c>
      <c r="BG329" s="945">
        <v>1.0</v>
      </c>
    </row>
    <row r="330">
      <c r="A330" s="946" t="s">
        <v>123</v>
      </c>
      <c r="B330" s="16" t="str">
        <f>IF(C330&lt;'PlayerGrades+'!$Y$44,"F-",IF(C330&lt;'PlayerGrades+'!$Y$43,"F",IF(C330&lt;'PlayerGrades+'!$Y$42,"F+",IF(C330&lt;'PlayerGrades+'!$Y$41,"E-",IF(C330&lt;'PlayerGrades+'!$Y$40,"E",IF(C330&lt;'PlayerGrades+'!$Y$39,"E+",IF(C330&lt;'PlayerGrades+'!$Y$38,"D-",IF(C330&lt;'PlayerGrades+'!$Y$37,"D",IF(C330&lt;'PlayerGrades+'!$Y$36,"D+",IF(C330&lt;'PlayerGrades+'!$Y$35,"C-",IF(C330&lt;'PlayerGrades+'!$Y$34,"C",IF(C330&lt;'PlayerGrades+'!$Y$33,"C+",IF(C330&lt;'PlayerGrades+'!$Y$32,"B-",IF(C330&lt;'PlayerGrades+'!$Y$31,"B",IF(C330&lt;'PlayerGrades+'!$Y$30,"B+",IF(C330&lt;'PlayerGrades+'!$Y$29,"A-",IF(C330&lt;'PlayerGrades+'!$Y$28,"A",IF(C330&lt;'PlayerGrades+'!$Y$27,"A+",IF(C330&lt;'PlayerGrades+'!$Y$26,"S-",IF(C330&lt;'PlayerGrades+'!$Y$25,"S","S+"))))))))))))))))))))</f>
        <v>C</v>
      </c>
      <c r="C330" s="936">
        <f>('PlayerGrades+'!$Y$47*(VLOOKUP(E330, 'PlayerGrades+'!$X$3:$Y$23, 2, FALSE)))+('PlayerGrades+'!$Y$48*(VLOOKUP(G330, 'PlayerGrades+'!$X$3:$Y$23, 2, FALSE)))+('PlayerGrades+'!$Y$49*(VLOOKUP(I330, 'PlayerGrades+'!$X$3:$Y$23, 2, FALSE)))+('PlayerGrades+'!$Y$50*(VLOOKUP(K330, 'PlayerGrades+'!$X$3:$Y$23, 2, FALSE)))+('PlayerGrades+'!$Y$51*(VLOOKUP(M330, 'PlayerGrades+'!$X$3:$Y$23, 2, FALSE)))+('PlayerGrades+'!$Y$52*(VLOOKUP(O330, 'PlayerGrades+'!$X$3:$Y$23, 2, FALSE)))+('PlayerGrades+'!$Y$53*(VLOOKUP(Q330, 'PlayerGrades+'!$X$3:$Y$23, 2, FALSE)))+('PlayerGrades+'!$Y$54*(VLOOKUP(S330, 'PlayerGrades+'!$X$3:$Y$23, 2, FALSE)))+('PlayerGrades+'!$Y$55*(VLOOKUP(U330, 'PlayerGrades+'!$X$3:$Y$23, 2, FALSE)))</f>
        <v>20.1</v>
      </c>
      <c r="D330" s="937">
        <f t="shared" si="1"/>
        <v>0.8115942029</v>
      </c>
      <c r="E330" s="937" t="str">
        <f>IF(D330&lt;'PlayerGrades+'!$AA$21,"F-",IF(D330&lt;'PlayerGrades+'!$AA$20,"F",IF(D330&lt;'PlayerGrades+'!$AA$19,"F+",IF(D330&lt;'PlayerGrades+'!$AA$18,"E-",IF(D330&lt;'PlayerGrades+'!$AA$17,"E",IF(D330&lt;'PlayerGrades+'!$AA$16,"E+",IF(D330&lt;'PlayerGrades+'!$AA$15,"D-",IF(D330&lt;'PlayerGrades+'!$AA$14,"D",IF(D330&lt;'PlayerGrades+'!$AA$13,"D+",IF(D330&lt;'PlayerGrades+'!$AA$12,"C-",IF(D330&lt;'PlayerGrades+'!$AA$11,"C",IF(D330&lt;'PlayerGrades+'!$AA$10,"C+",IF(D330&lt;'PlayerGrades+'!$AA$9,"B-",IF(D330&lt;'PlayerGrades+'!$AA$8,"B",IF(D330&lt;'PlayerGrades+'!$AA$7,"B+",IF(D330&lt;'PlayerGrades+'!$AA$6,"A-",IF(D330&lt;'PlayerGrades+'!$AA$5,"A",IF(D330&lt;'PlayerGrades+'!$AA$4,"A+",IF(D330&lt;'PlayerGrades+'!$AA$3,"S-",IF(D330&lt;'PlayerGrades+'!$AA$2,"S","S+"))))))))))))))))))))</f>
        <v>S</v>
      </c>
      <c r="F330" s="937">
        <f t="shared" si="2"/>
        <v>0.5797101449</v>
      </c>
      <c r="G330" s="937" t="str">
        <f>IF(F330&lt;'PlayerGrades+'!$AB$21,"F-",IF(F330&lt;'PlayerGrades+'!$AB$20,"F",IF(F330&lt;'PlayerGrades+'!$AB$19,"F+",IF(F330&lt;'PlayerGrades+'!$AB$18,"E-",IF(F330&lt;'PlayerGrades+'!$AB$17,"E",IF(F330&lt;'PlayerGrades+'!$AB$16,"E+",IF(F330&lt;'PlayerGrades+'!$AB$15,"D-",IF(F330&lt;'PlayerGrades+'!$AB$14,"D",IF(F330&lt;'PlayerGrades+'!$AB$13,"D+",IF(F330&lt;'PlayerGrades+'!$AB$12,"C-",IF(F330&lt;'PlayerGrades+'!$AB$11,"C",IF(F330&lt;'PlayerGrades+'!$AB$10,"C+",IF(F330&lt;'PlayerGrades+'!$AB$9,"B-",IF(F330&lt;'PlayerGrades+'!$AB$8,"B",IF(F330&lt;'PlayerGrades+'!$AB$7,"B+",IF(F330&lt;'PlayerGrades+'!$AB$6,"A-",IF(F330&lt;'PlayerGrades+'!$AB$5,"A",IF(F330&lt;'PlayerGrades+'!$AB$4,"A+",IF(F330&lt;'PlayerGrades+'!$AB$3,"S-",IF(F330&lt;'PlayerGrades+'!$AB$2,"S","S+"))))))))))))))))))))</f>
        <v>S-</v>
      </c>
      <c r="H330" s="937">
        <f t="shared" si="3"/>
        <v>0.115942029</v>
      </c>
      <c r="I330" s="937" t="str">
        <f>IF(H330&lt;'PlayerGrades+'!$AC$21,"F-",IF(H330&lt;'PlayerGrades+'!$AC$20,"F",IF(H330&lt;'PlayerGrades+'!$AC$19,"F+",IF(H330&lt;'PlayerGrades+'!$AC$18,"E-",IF(H330&lt;'PlayerGrades+'!$AC$17,"E",IF(H330&lt;'PlayerGrades+'!$AC$16,"E+",IF(H330&lt;'PlayerGrades+'!$AC$15,"D-",IF(H330&lt;'PlayerGrades+'!$AC$14,"D",IF(H330&lt;'PlayerGrades+'!$AC$13,"D+",IF(H330&lt;'PlayerGrades+'!$AC$12,"C-",IF(H330&lt;'PlayerGrades+'!$AC$11,"C",IF(H330&lt;'PlayerGrades+'!$AC$10,"C+",IF(H330&lt;'PlayerGrades+'!$AC$9,"B-",IF(H330&lt;'PlayerGrades+'!$AC$8,"B",IF(H330&lt;'PlayerGrades+'!$AC$7,"B+",IF(H330&lt;'PlayerGrades+'!$AC$6,"A-",IF(H330&lt;'PlayerGrades+'!$AC$5,"A",IF(H330&lt;'PlayerGrades+'!$AC$4,"A+",IF(H330&lt;'PlayerGrades+'!$AC$3,"S-",IF(H330&lt;'PlayerGrades+'!$AC$2,"S","S+"))))))))))))))))))))</f>
        <v>C</v>
      </c>
      <c r="J330" s="937">
        <f t="shared" si="4"/>
        <v>0.115942029</v>
      </c>
      <c r="K330" s="937" t="str">
        <f>IF(J330&lt;'PlayerGrades+'!$AD$21,"F-",IF(J330&lt;'PlayerGrades+'!$AD$20,"F",IF(J330&lt;'PlayerGrades+'!$AD$19,"F+",IF(J330&lt;'PlayerGrades+'!$AD$18,"E-",IF(J330&lt;'PlayerGrades+'!$AD$17,"E",IF(J330&lt;'PlayerGrades+'!$AD$16,"E+",IF(J330&lt;'PlayerGrades+'!$AD$15,"D-",IF(J330&lt;'PlayerGrades+'!$AD$14,"D",IF(J330&lt;'PlayerGrades+'!$AD$13,"D+",IF(J330&lt;'PlayerGrades+'!$AD$12,"C-",IF(J330&lt;'PlayerGrades+'!$AD$11,"C",IF(J330&lt;'PlayerGrades+'!$AD$10,"C+",IF(J330&lt;'PlayerGrades+'!$AD$9,"B-",IF(J330&lt;'PlayerGrades+'!$AD$8,"B",IF(J330&lt;'PlayerGrades+'!$AD$7,"B+",IF(J330&lt;'PlayerGrades+'!$AD$6,"A-",IF(J330&lt;'PlayerGrades+'!$AD$5,"A",IF(J330&lt;'PlayerGrades+'!$AD$4,"A+",IF(J330&lt;'PlayerGrades+'!$AD$3,"S-",IF(J330&lt;'PlayerGrades+'!$AD$2,"S","S+"))))))))))))))))))))</f>
        <v>S+</v>
      </c>
      <c r="L330" s="677">
        <f t="shared" si="5"/>
        <v>0.347826087</v>
      </c>
      <c r="M330" s="938" t="str">
        <f>IF(L330&lt;'PlayerGrades+'!$AE$21,"F-",IF(L330&lt;'PlayerGrades+'!$AE$20,"F",IF(L330&lt;'PlayerGrades+'!$AE$19,"F+",IF(L330&lt;'PlayerGrades+'!$AE$18,"E-",IF(L330&lt;'PlayerGrades+'!$AE$17,"E",IF(L330&lt;'PlayerGrades+'!$AE$16,"E+",IF(L330&lt;'PlayerGrades+'!$AE$15,"D-",IF(L330&lt;'PlayerGrades+'!$AE$14,"D",IF(L330&lt;'PlayerGrades+'!$AE$13,"D+",IF(L330&lt;'PlayerGrades+'!$AE$12,"C-",IF(L330&lt;'PlayerGrades+'!$AE$11,"C",IF(L330&lt;'PlayerGrades+'!$AE$10,"C+",IF(L330&lt;'PlayerGrades+'!$AE$9,"B-",IF(L330&lt;'PlayerGrades+'!$AE$8,"B",IF(L330&lt;'PlayerGrades+'!$AE$7,"B+",IF(L330&lt;'PlayerGrades+'!$AE$6,"A-",IF(L330&lt;'PlayerGrades+'!$AE$5,"A",IF(L330&lt;'PlayerGrades+'!$AE$4,"A+",IF(L330&lt;'PlayerGrades+'!$AE$3,"S-",IF(L330&lt;'PlayerGrades+'!$AE$2,"S","S+"))))))))))))))))))))</f>
        <v>D</v>
      </c>
      <c r="N330" s="937">
        <f t="shared" si="6"/>
        <v>0.05797101449</v>
      </c>
      <c r="O330" s="937" t="str">
        <f>IF(N330&lt;'PlayerGrades+'!$AF$21,"F-",IF(N330&lt;'PlayerGrades+'!$AF$20,"F",IF(N330&lt;'PlayerGrades+'!$AF$19,"F+",IF(N330&lt;'PlayerGrades+'!$AF$18,"E-",IF(N330&lt;'PlayerGrades+'!$AF$17,"E",IF(N330&lt;'PlayerGrades+'!$AF$16,"E+",IF(N330&lt;'PlayerGrades+'!$AF$15,"D-",IF(N330&lt;'PlayerGrades+'!$AF$14,"D",IF(N330&lt;'PlayerGrades+'!$AF$13,"D+",IF(N330&lt;'PlayerGrades+'!$AF$12,"C-",IF(N330&lt;'PlayerGrades+'!$AF$11,"C",IF(N330&lt;'PlayerGrades+'!$AF$10,"C+",IF(N330&lt;'PlayerGrades+'!$AF$9,"B-",IF(N330&lt;'PlayerGrades+'!$AF$8,"B",IF(N330&lt;'PlayerGrades+'!$AF$7,"B+",IF(N330&lt;'PlayerGrades+'!$AF$6,"A-",IF(N330&lt;'PlayerGrades+'!$AF$5,"A",IF(N330&lt;'PlayerGrades+'!$AF$4,"A+",IF(N330&lt;'PlayerGrades+'!$AF$3,"S-",IF(N330&lt;'PlayerGrades+'!$AF$2,"S","S+"))))))))))))))))))))</f>
        <v>D+</v>
      </c>
      <c r="P330" s="937">
        <f t="shared" si="7"/>
        <v>0</v>
      </c>
      <c r="Q330" s="937" t="str">
        <f>IF(P330&lt;'PlayerGrades+'!$AG$21,"F-",IF(P330&lt;'PlayerGrades+'!$AG$20,"F",IF(P330&lt;'PlayerGrades+'!$AG$19,"F+",IF(P330&lt;'PlayerGrades+'!$AG$18,"E-",IF(P330&lt;'PlayerGrades+'!$AG$17,"E",IF(P330&lt;'PlayerGrades+'!$AG$16,"E+",IF(P330&lt;'PlayerGrades+'!$AG$15,"D-",IF(P330&lt;'PlayerGrades+'!$AG$14,"D",IF(P330&lt;'PlayerGrades+'!$AG$13,"D+",IF(P330&lt;'PlayerGrades+'!$AG$12,"C-",IF(P330&lt;'PlayerGrades+'!$AG$11,"C",IF(P330&lt;'PlayerGrades+'!$AG$10,"C+",IF(P330&lt;'PlayerGrades+'!$AG$9,"B-",IF(P330&lt;'PlayerGrades+'!$AG$8,"B",IF(P330&lt;'PlayerGrades+'!$AG$7,"B+",IF(P330&lt;'PlayerGrades+'!$AG$6,"A-",IF(P330&lt;'PlayerGrades+'!$AG$5,"A",IF(P330&lt;'PlayerGrades+'!$AG$4,"A+",IF(P330&lt;'PlayerGrades+'!$AG$3,"S-",IF(P330&lt;'PlayerGrades+'!$AG$2,"S","S+"))))))))))))))))))))</f>
        <v>F</v>
      </c>
      <c r="R330" s="937">
        <f t="shared" si="8"/>
        <v>0.4057971014</v>
      </c>
      <c r="S330" s="937" t="str">
        <f>IF(R330&lt;'PlayerGrades+'!$AH$21,"F-",IF(R330&lt;'PlayerGrades+'!$AH$20,"F",IF(R330&lt;'PlayerGrades+'!$AH$19,"F+",IF(R330&lt;'PlayerGrades+'!$AH$18,"E-",IF(R330&lt;'PlayerGrades+'!$AH$17,"E",IF(R330&lt;'PlayerGrades+'!$AH$16,"E+",IF(R330&lt;'PlayerGrades+'!$AH$15,"D-",IF(R330&lt;'PlayerGrades+'!$AH$14,"D",IF(R330&lt;'PlayerGrades+'!$AH$13,"D+",IF(R330&lt;'PlayerGrades+'!$AH$12,"C-",IF(R330&lt;'PlayerGrades+'!$AH$11,"C",IF(R330&lt;'PlayerGrades+'!$AH$10,"C+",IF(R330&lt;'PlayerGrades+'!$AH$9,"B-",IF(R330&lt;'PlayerGrades+'!$AH$8,"B",IF(R330&lt;'PlayerGrades+'!$AH$7,"B+",IF(R330&lt;'PlayerGrades+'!$AH$6,"A-",IF(R330&lt;'PlayerGrades+'!$AH$5,"A",IF(R330&lt;'PlayerGrades+'!$AH$4,"A+",IF(R330&lt;'PlayerGrades+'!$AH$3,"S-",IF(R330&lt;'PlayerGrades+'!$AH$2,"S","S+"))))))))))))))))))))</f>
        <v>F+</v>
      </c>
      <c r="T330" s="937">
        <f t="shared" si="9"/>
        <v>0.231884058</v>
      </c>
      <c r="U330" s="937" t="str">
        <f>IF(T330&lt;'PlayerGrades+'!$AI$21,"F-",IF(T330&lt;'PlayerGrades+'!$AI$20,"F",IF(T330&lt;'PlayerGrades+'!$AI$19,"F+",IF(T330&lt;'PlayerGrades+'!$AI$18,"E-",IF(T330&lt;'PlayerGrades+'!$AI$17,"E",IF(T330&lt;'PlayerGrades+'!$AI$16,"E+",IF(T330&lt;'PlayerGrades+'!$AI$15,"D-",IF(T330&lt;'PlayerGrades+'!$AI$14,"D",IF(T330&lt;'PlayerGrades+'!$AI$13,"D+",IF(T330&lt;'PlayerGrades+'!$AI$12,"C-",IF(T330&lt;'PlayerGrades+'!$AI$11,"C",IF(T330&lt;'PlayerGrades+'!$AI$10,"C+",IF(T330&lt;'PlayerGrades+'!$AI$9,"B-",IF(T330&lt;'PlayerGrades+'!$AI$8,"B",IF(T330&lt;'PlayerGrades+'!$AI$7,"B+",IF(T330&lt;'PlayerGrades+'!$AI$6,"A-",IF(T330&lt;'PlayerGrades+'!$AI$5,"A",IF(T330&lt;'PlayerGrades+'!$AI$4,"A+",IF(T330&lt;'PlayerGrades+'!$AI$3,"S-",IF(T330&lt;'PlayerGrades+'!$AI$2,"S","S+"))))))))))))))))))))</f>
        <v>F-</v>
      </c>
      <c r="V330" s="939">
        <v>1.0</v>
      </c>
      <c r="W330" s="939">
        <v>1.0</v>
      </c>
      <c r="X330" s="939">
        <v>0.0</v>
      </c>
      <c r="Y330" s="939">
        <v>2.0</v>
      </c>
      <c r="Z330" s="939">
        <v>12.0</v>
      </c>
      <c r="AA330" s="939">
        <v>37.0</v>
      </c>
      <c r="AB330" s="939">
        <v>27.0</v>
      </c>
      <c r="AC330" s="939">
        <v>10.0</v>
      </c>
      <c r="AD330" s="939">
        <v>2.0</v>
      </c>
      <c r="AE330" s="939">
        <v>5.0</v>
      </c>
      <c r="AF330" s="939">
        <v>1.0</v>
      </c>
      <c r="AG330" s="939">
        <v>868.0</v>
      </c>
      <c r="AH330" s="939">
        <v>1035.0</v>
      </c>
      <c r="AI330" s="939">
        <v>32.0</v>
      </c>
      <c r="AJ330" s="939">
        <v>575.0</v>
      </c>
      <c r="AK330" s="939">
        <v>0.0</v>
      </c>
      <c r="AL330" s="939">
        <v>2.0</v>
      </c>
      <c r="AM330" s="939">
        <v>0.0</v>
      </c>
      <c r="AN330" s="939">
        <v>0.0</v>
      </c>
      <c r="AO330" s="939">
        <v>0.0</v>
      </c>
      <c r="AP330" s="939">
        <v>0.0</v>
      </c>
      <c r="AQ330" s="939">
        <v>0.0</v>
      </c>
      <c r="AR330" s="939">
        <v>6.0</v>
      </c>
      <c r="AS330" s="939">
        <v>1.0</v>
      </c>
      <c r="AT330" s="939">
        <v>0.0</v>
      </c>
      <c r="AU330" s="939">
        <v>0.0</v>
      </c>
      <c r="AV330" s="939">
        <v>0.0</v>
      </c>
      <c r="AW330" s="939">
        <v>0.0</v>
      </c>
      <c r="AX330" s="939">
        <v>0.0</v>
      </c>
      <c r="AY330" s="939">
        <v>0.0</v>
      </c>
      <c r="AZ330" s="939">
        <v>0.0</v>
      </c>
      <c r="BA330" s="939">
        <v>0.0</v>
      </c>
      <c r="BB330" s="939">
        <v>2.0</v>
      </c>
      <c r="BC330" s="939">
        <v>0.0</v>
      </c>
      <c r="BD330" s="939">
        <v>5.0</v>
      </c>
      <c r="BE330" s="939">
        <v>4.0</v>
      </c>
      <c r="BF330" s="939">
        <v>0.0</v>
      </c>
      <c r="BG330" s="940">
        <v>0.0</v>
      </c>
    </row>
    <row r="331">
      <c r="A331" s="935" t="s">
        <v>419</v>
      </c>
      <c r="B331" s="16" t="str">
        <f>IF(C331&lt;'PlayerGrades+'!$Y$44,"F-",IF(C331&lt;'PlayerGrades+'!$Y$43,"F",IF(C331&lt;'PlayerGrades+'!$Y$42,"F+",IF(C331&lt;'PlayerGrades+'!$Y$41,"E-",IF(C331&lt;'PlayerGrades+'!$Y$40,"E",IF(C331&lt;'PlayerGrades+'!$Y$39,"E+",IF(C331&lt;'PlayerGrades+'!$Y$38,"D-",IF(C331&lt;'PlayerGrades+'!$Y$37,"D",IF(C331&lt;'PlayerGrades+'!$Y$36,"D+",IF(C331&lt;'PlayerGrades+'!$Y$35,"C-",IF(C331&lt;'PlayerGrades+'!$Y$34,"C",IF(C331&lt;'PlayerGrades+'!$Y$33,"C+",IF(C331&lt;'PlayerGrades+'!$Y$32,"B-",IF(C331&lt;'PlayerGrades+'!$Y$31,"B",IF(C331&lt;'PlayerGrades+'!$Y$30,"B+",IF(C331&lt;'PlayerGrades+'!$Y$29,"A-",IF(C331&lt;'PlayerGrades+'!$Y$28,"A",IF(C331&lt;'PlayerGrades+'!$Y$27,"A+",IF(C331&lt;'PlayerGrades+'!$Y$26,"S-",IF(C331&lt;'PlayerGrades+'!$Y$25,"S","S+"))))))))))))))))))))</f>
        <v>C-</v>
      </c>
      <c r="C331" s="936">
        <f>('PlayerGrades+'!$Y$47*(VLOOKUP(E331, 'PlayerGrades+'!$X$3:$Y$23, 2, FALSE)))+('PlayerGrades+'!$Y$48*(VLOOKUP(G331, 'PlayerGrades+'!$X$3:$Y$23, 2, FALSE)))+('PlayerGrades+'!$Y$49*(VLOOKUP(I331, 'PlayerGrades+'!$X$3:$Y$23, 2, FALSE)))+('PlayerGrades+'!$Y$50*(VLOOKUP(K331, 'PlayerGrades+'!$X$3:$Y$23, 2, FALSE)))+('PlayerGrades+'!$Y$51*(VLOOKUP(M331, 'PlayerGrades+'!$X$3:$Y$23, 2, FALSE)))+('PlayerGrades+'!$Y$52*(VLOOKUP(O331, 'PlayerGrades+'!$X$3:$Y$23, 2, FALSE)))+('PlayerGrades+'!$Y$53*(VLOOKUP(Q331, 'PlayerGrades+'!$X$3:$Y$23, 2, FALSE)))+('PlayerGrades+'!$Y$54*(VLOOKUP(S331, 'PlayerGrades+'!$X$3:$Y$23, 2, FALSE)))+('PlayerGrades+'!$Y$55*(VLOOKUP(U331, 'PlayerGrades+'!$X$3:$Y$23, 2, FALSE)))</f>
        <v>19.25</v>
      </c>
      <c r="D331" s="937">
        <f t="shared" si="1"/>
        <v>0.05797101449</v>
      </c>
      <c r="E331" s="937" t="str">
        <f>IF(D331&lt;'PlayerGrades+'!$AA$21,"F-",IF(D331&lt;'PlayerGrades+'!$AA$20,"F",IF(D331&lt;'PlayerGrades+'!$AA$19,"F+",IF(D331&lt;'PlayerGrades+'!$AA$18,"E-",IF(D331&lt;'PlayerGrades+'!$AA$17,"E",IF(D331&lt;'PlayerGrades+'!$AA$16,"E+",IF(D331&lt;'PlayerGrades+'!$AA$15,"D-",IF(D331&lt;'PlayerGrades+'!$AA$14,"D",IF(D331&lt;'PlayerGrades+'!$AA$13,"D+",IF(D331&lt;'PlayerGrades+'!$AA$12,"C-",IF(D331&lt;'PlayerGrades+'!$AA$11,"C",IF(D331&lt;'PlayerGrades+'!$AA$10,"C+",IF(D331&lt;'PlayerGrades+'!$AA$9,"B-",IF(D331&lt;'PlayerGrades+'!$AA$8,"B",IF(D331&lt;'PlayerGrades+'!$AA$7,"B+",IF(D331&lt;'PlayerGrades+'!$AA$6,"A-",IF(D331&lt;'PlayerGrades+'!$AA$5,"A",IF(D331&lt;'PlayerGrades+'!$AA$4,"A+",IF(D331&lt;'PlayerGrades+'!$AA$3,"S-",IF(D331&lt;'PlayerGrades+'!$AA$2,"S","S+"))))))))))))))))))))</f>
        <v>B-</v>
      </c>
      <c r="F331" s="937">
        <f t="shared" si="2"/>
        <v>0.6376811594</v>
      </c>
      <c r="G331" s="937" t="str">
        <f>IF(F331&lt;'PlayerGrades+'!$AB$21,"F-",IF(F331&lt;'PlayerGrades+'!$AB$20,"F",IF(F331&lt;'PlayerGrades+'!$AB$19,"F+",IF(F331&lt;'PlayerGrades+'!$AB$18,"E-",IF(F331&lt;'PlayerGrades+'!$AB$17,"E",IF(F331&lt;'PlayerGrades+'!$AB$16,"E+",IF(F331&lt;'PlayerGrades+'!$AB$15,"D-",IF(F331&lt;'PlayerGrades+'!$AB$14,"D",IF(F331&lt;'PlayerGrades+'!$AB$13,"D+",IF(F331&lt;'PlayerGrades+'!$AB$12,"C-",IF(F331&lt;'PlayerGrades+'!$AB$11,"C",IF(F331&lt;'PlayerGrades+'!$AB$10,"C+",IF(F331&lt;'PlayerGrades+'!$AB$9,"B-",IF(F331&lt;'PlayerGrades+'!$AB$8,"B",IF(F331&lt;'PlayerGrades+'!$AB$7,"B+",IF(F331&lt;'PlayerGrades+'!$AB$6,"A-",IF(F331&lt;'PlayerGrades+'!$AB$5,"A",IF(F331&lt;'PlayerGrades+'!$AB$4,"A+",IF(F331&lt;'PlayerGrades+'!$AB$3,"S-",IF(F331&lt;'PlayerGrades+'!$AB$2,"S","S+"))))))))))))))))))))</f>
        <v>S-</v>
      </c>
      <c r="H331" s="937">
        <f t="shared" si="3"/>
        <v>0.4637681159</v>
      </c>
      <c r="I331" s="937" t="str">
        <f>IF(H331&lt;'PlayerGrades+'!$AC$21,"F-",IF(H331&lt;'PlayerGrades+'!$AC$20,"F",IF(H331&lt;'PlayerGrades+'!$AC$19,"F+",IF(H331&lt;'PlayerGrades+'!$AC$18,"E-",IF(H331&lt;'PlayerGrades+'!$AC$17,"E",IF(H331&lt;'PlayerGrades+'!$AC$16,"E+",IF(H331&lt;'PlayerGrades+'!$AC$15,"D-",IF(H331&lt;'PlayerGrades+'!$AC$14,"D",IF(H331&lt;'PlayerGrades+'!$AC$13,"D+",IF(H331&lt;'PlayerGrades+'!$AC$12,"C-",IF(H331&lt;'PlayerGrades+'!$AC$11,"C",IF(H331&lt;'PlayerGrades+'!$AC$10,"C+",IF(H331&lt;'PlayerGrades+'!$AC$9,"B-",IF(H331&lt;'PlayerGrades+'!$AC$8,"B",IF(H331&lt;'PlayerGrades+'!$AC$7,"B+",IF(H331&lt;'PlayerGrades+'!$AC$6,"A-",IF(H331&lt;'PlayerGrades+'!$AC$5,"A",IF(H331&lt;'PlayerGrades+'!$AC$4,"A+",IF(H331&lt;'PlayerGrades+'!$AC$3,"S-",IF(H331&lt;'PlayerGrades+'!$AC$2,"S","S+"))))))))))))))))))))</f>
        <v>S+</v>
      </c>
      <c r="J331" s="937">
        <f t="shared" si="4"/>
        <v>0</v>
      </c>
      <c r="K331" s="937" t="str">
        <f>IF(J331&lt;'PlayerGrades+'!$AD$21,"F-",IF(J331&lt;'PlayerGrades+'!$AD$20,"F",IF(J331&lt;'PlayerGrades+'!$AD$19,"F+",IF(J331&lt;'PlayerGrades+'!$AD$18,"E-",IF(J331&lt;'PlayerGrades+'!$AD$17,"E",IF(J331&lt;'PlayerGrades+'!$AD$16,"E+",IF(J331&lt;'PlayerGrades+'!$AD$15,"D-",IF(J331&lt;'PlayerGrades+'!$AD$14,"D",IF(J331&lt;'PlayerGrades+'!$AD$13,"D+",IF(J331&lt;'PlayerGrades+'!$AD$12,"C-",IF(J331&lt;'PlayerGrades+'!$AD$11,"C",IF(J331&lt;'PlayerGrades+'!$AD$10,"C+",IF(J331&lt;'PlayerGrades+'!$AD$9,"B-",IF(J331&lt;'PlayerGrades+'!$AD$8,"B",IF(J331&lt;'PlayerGrades+'!$AD$7,"B+",IF(J331&lt;'PlayerGrades+'!$AD$6,"A-",IF(J331&lt;'PlayerGrades+'!$AD$5,"A",IF(J331&lt;'PlayerGrades+'!$AD$4,"A+",IF(J331&lt;'PlayerGrades+'!$AD$3,"S-",IF(J331&lt;'PlayerGrades+'!$AD$2,"S","S+"))))))))))))))))))))</f>
        <v>F-</v>
      </c>
      <c r="L331" s="677">
        <f t="shared" si="5"/>
        <v>0.231884058</v>
      </c>
      <c r="M331" s="938" t="str">
        <f>IF(L331&lt;'PlayerGrades+'!$AE$21,"F-",IF(L331&lt;'PlayerGrades+'!$AE$20,"F",IF(L331&lt;'PlayerGrades+'!$AE$19,"F+",IF(L331&lt;'PlayerGrades+'!$AE$18,"E-",IF(L331&lt;'PlayerGrades+'!$AE$17,"E",IF(L331&lt;'PlayerGrades+'!$AE$16,"E+",IF(L331&lt;'PlayerGrades+'!$AE$15,"D-",IF(L331&lt;'PlayerGrades+'!$AE$14,"D",IF(L331&lt;'PlayerGrades+'!$AE$13,"D+",IF(L331&lt;'PlayerGrades+'!$AE$12,"C-",IF(L331&lt;'PlayerGrades+'!$AE$11,"C",IF(L331&lt;'PlayerGrades+'!$AE$10,"C+",IF(L331&lt;'PlayerGrades+'!$AE$9,"B-",IF(L331&lt;'PlayerGrades+'!$AE$8,"B",IF(L331&lt;'PlayerGrades+'!$AE$7,"B+",IF(L331&lt;'PlayerGrades+'!$AE$6,"A-",IF(L331&lt;'PlayerGrades+'!$AE$5,"A",IF(L331&lt;'PlayerGrades+'!$AE$4,"A+",IF(L331&lt;'PlayerGrades+'!$AE$3,"S-",IF(L331&lt;'PlayerGrades+'!$AE$2,"S","S+"))))))))))))))))))))</f>
        <v>F</v>
      </c>
      <c r="N331" s="937">
        <f t="shared" si="6"/>
        <v>0.05797101449</v>
      </c>
      <c r="O331" s="937" t="str">
        <f>IF(N331&lt;'PlayerGrades+'!$AF$21,"F-",IF(N331&lt;'PlayerGrades+'!$AF$20,"F",IF(N331&lt;'PlayerGrades+'!$AF$19,"F+",IF(N331&lt;'PlayerGrades+'!$AF$18,"E-",IF(N331&lt;'PlayerGrades+'!$AF$17,"E",IF(N331&lt;'PlayerGrades+'!$AF$16,"E+",IF(N331&lt;'PlayerGrades+'!$AF$15,"D-",IF(N331&lt;'PlayerGrades+'!$AF$14,"D",IF(N331&lt;'PlayerGrades+'!$AF$13,"D+",IF(N331&lt;'PlayerGrades+'!$AF$12,"C-",IF(N331&lt;'PlayerGrades+'!$AF$11,"C",IF(N331&lt;'PlayerGrades+'!$AF$10,"C+",IF(N331&lt;'PlayerGrades+'!$AF$9,"B-",IF(N331&lt;'PlayerGrades+'!$AF$8,"B",IF(N331&lt;'PlayerGrades+'!$AF$7,"B+",IF(N331&lt;'PlayerGrades+'!$AF$6,"A-",IF(N331&lt;'PlayerGrades+'!$AF$5,"A",IF(N331&lt;'PlayerGrades+'!$AF$4,"A+",IF(N331&lt;'PlayerGrades+'!$AF$3,"S-",IF(N331&lt;'PlayerGrades+'!$AF$2,"S","S+"))))))))))))))))))))</f>
        <v>D+</v>
      </c>
      <c r="P331" s="937">
        <f t="shared" si="7"/>
        <v>0</v>
      </c>
      <c r="Q331" s="937" t="str">
        <f>IF(P331&lt;'PlayerGrades+'!$AG$21,"F-",IF(P331&lt;'PlayerGrades+'!$AG$20,"F",IF(P331&lt;'PlayerGrades+'!$AG$19,"F+",IF(P331&lt;'PlayerGrades+'!$AG$18,"E-",IF(P331&lt;'PlayerGrades+'!$AG$17,"E",IF(P331&lt;'PlayerGrades+'!$AG$16,"E+",IF(P331&lt;'PlayerGrades+'!$AG$15,"D-",IF(P331&lt;'PlayerGrades+'!$AG$14,"D",IF(P331&lt;'PlayerGrades+'!$AG$13,"D+",IF(P331&lt;'PlayerGrades+'!$AG$12,"C-",IF(P331&lt;'PlayerGrades+'!$AG$11,"C",IF(P331&lt;'PlayerGrades+'!$AG$10,"C+",IF(P331&lt;'PlayerGrades+'!$AG$9,"B-",IF(P331&lt;'PlayerGrades+'!$AG$8,"B",IF(P331&lt;'PlayerGrades+'!$AG$7,"B+",IF(P331&lt;'PlayerGrades+'!$AG$6,"A-",IF(P331&lt;'PlayerGrades+'!$AG$5,"A",IF(P331&lt;'PlayerGrades+'!$AG$4,"A+",IF(P331&lt;'PlayerGrades+'!$AG$3,"S-",IF(P331&lt;'PlayerGrades+'!$AG$2,"S","S+"))))))))))))))))))))</f>
        <v>F</v>
      </c>
      <c r="R331" s="937">
        <f t="shared" si="8"/>
        <v>0.5217391304</v>
      </c>
      <c r="S331" s="937" t="str">
        <f>IF(R331&lt;'PlayerGrades+'!$AH$21,"F-",IF(R331&lt;'PlayerGrades+'!$AH$20,"F",IF(R331&lt;'PlayerGrades+'!$AH$19,"F+",IF(R331&lt;'PlayerGrades+'!$AH$18,"E-",IF(R331&lt;'PlayerGrades+'!$AH$17,"E",IF(R331&lt;'PlayerGrades+'!$AH$16,"E+",IF(R331&lt;'PlayerGrades+'!$AH$15,"D-",IF(R331&lt;'PlayerGrades+'!$AH$14,"D",IF(R331&lt;'PlayerGrades+'!$AH$13,"D+",IF(R331&lt;'PlayerGrades+'!$AH$12,"C-",IF(R331&lt;'PlayerGrades+'!$AH$11,"C",IF(R331&lt;'PlayerGrades+'!$AH$10,"C+",IF(R331&lt;'PlayerGrades+'!$AH$9,"B-",IF(R331&lt;'PlayerGrades+'!$AH$8,"B",IF(R331&lt;'PlayerGrades+'!$AH$7,"B+",IF(R331&lt;'PlayerGrades+'!$AH$6,"A-",IF(R331&lt;'PlayerGrades+'!$AH$5,"A",IF(R331&lt;'PlayerGrades+'!$AH$4,"A+",IF(R331&lt;'PlayerGrades+'!$AH$3,"S-",IF(R331&lt;'PlayerGrades+'!$AH$2,"S","S+"))))))))))))))))))))</f>
        <v>C-</v>
      </c>
      <c r="T331" s="937">
        <f t="shared" si="9"/>
        <v>0.115942029</v>
      </c>
      <c r="U331" s="937" t="str">
        <f>IF(T331&lt;'PlayerGrades+'!$AI$21,"F-",IF(T331&lt;'PlayerGrades+'!$AI$20,"F",IF(T331&lt;'PlayerGrades+'!$AI$19,"F+",IF(T331&lt;'PlayerGrades+'!$AI$18,"E-",IF(T331&lt;'PlayerGrades+'!$AI$17,"E",IF(T331&lt;'PlayerGrades+'!$AI$16,"E+",IF(T331&lt;'PlayerGrades+'!$AI$15,"D-",IF(T331&lt;'PlayerGrades+'!$AI$14,"D",IF(T331&lt;'PlayerGrades+'!$AI$13,"D+",IF(T331&lt;'PlayerGrades+'!$AI$12,"C-",IF(T331&lt;'PlayerGrades+'!$AI$11,"C",IF(T331&lt;'PlayerGrades+'!$AI$10,"C+",IF(T331&lt;'PlayerGrades+'!$AI$9,"B-",IF(T331&lt;'PlayerGrades+'!$AI$8,"B",IF(T331&lt;'PlayerGrades+'!$AI$7,"B+",IF(T331&lt;'PlayerGrades+'!$AI$6,"A-",IF(T331&lt;'PlayerGrades+'!$AI$5,"A",IF(T331&lt;'PlayerGrades+'!$AI$4,"A+",IF(T331&lt;'PlayerGrades+'!$AI$3,"S-",IF(T331&lt;'PlayerGrades+'!$AI$2,"S","S+"))))))))))))))))))))</f>
        <v>F-</v>
      </c>
      <c r="V331" s="941">
        <v>1.0</v>
      </c>
      <c r="W331" s="941">
        <v>1.0</v>
      </c>
      <c r="X331" s="941">
        <v>0.0</v>
      </c>
      <c r="Y331" s="941">
        <v>1.0</v>
      </c>
      <c r="Z331" s="941">
        <v>0.0</v>
      </c>
      <c r="AA331" s="941">
        <v>58.0</v>
      </c>
      <c r="AB331" s="941">
        <v>47.0</v>
      </c>
      <c r="AC331" s="941">
        <v>11.0</v>
      </c>
      <c r="AD331" s="941">
        <v>3.0</v>
      </c>
      <c r="AE331" s="941">
        <v>3.0</v>
      </c>
      <c r="AF331" s="941">
        <v>0.0</v>
      </c>
      <c r="AG331" s="941">
        <v>812.0</v>
      </c>
      <c r="AH331" s="941">
        <v>1035.0</v>
      </c>
      <c r="AI331" s="941">
        <v>17.0</v>
      </c>
      <c r="AJ331" s="941">
        <v>4.0</v>
      </c>
      <c r="AK331" s="941">
        <v>0.0</v>
      </c>
      <c r="AL331" s="941">
        <v>0.0</v>
      </c>
      <c r="AM331" s="941">
        <v>0.0</v>
      </c>
      <c r="AN331" s="941">
        <v>0.0</v>
      </c>
      <c r="AO331" s="941">
        <v>0.0</v>
      </c>
      <c r="AP331" s="941">
        <v>0.0</v>
      </c>
      <c r="AQ331" s="941">
        <v>0.0</v>
      </c>
      <c r="AR331" s="941">
        <v>4.0</v>
      </c>
      <c r="AS331" s="941">
        <v>1.0</v>
      </c>
      <c r="AT331" s="941">
        <v>0.0</v>
      </c>
      <c r="AU331" s="941">
        <v>0.0</v>
      </c>
      <c r="AV331" s="941">
        <v>0.0</v>
      </c>
      <c r="AW331" s="941">
        <v>0.0</v>
      </c>
      <c r="AX331" s="941">
        <v>0.0</v>
      </c>
      <c r="AY331" s="941">
        <v>0.0</v>
      </c>
      <c r="AZ331" s="941">
        <v>0.0</v>
      </c>
      <c r="BA331" s="941">
        <v>0.0</v>
      </c>
      <c r="BB331" s="941">
        <v>8.0</v>
      </c>
      <c r="BC331" s="941">
        <v>0.0</v>
      </c>
      <c r="BD331" s="941">
        <v>6.0</v>
      </c>
      <c r="BE331" s="941">
        <v>2.0</v>
      </c>
      <c r="BF331" s="941">
        <v>0.0</v>
      </c>
      <c r="BG331" s="942">
        <v>0.0</v>
      </c>
    </row>
    <row r="332">
      <c r="A332" s="935" t="s">
        <v>145</v>
      </c>
      <c r="B332" s="16" t="str">
        <f>IF(C332&lt;'PlayerGrades+'!$Y$44,"F-",IF(C332&lt;'PlayerGrades+'!$Y$43,"F",IF(C332&lt;'PlayerGrades+'!$Y$42,"F+",IF(C332&lt;'PlayerGrades+'!$Y$41,"E-",IF(C332&lt;'PlayerGrades+'!$Y$40,"E",IF(C332&lt;'PlayerGrades+'!$Y$39,"E+",IF(C332&lt;'PlayerGrades+'!$Y$38,"D-",IF(C332&lt;'PlayerGrades+'!$Y$37,"D",IF(C332&lt;'PlayerGrades+'!$Y$36,"D+",IF(C332&lt;'PlayerGrades+'!$Y$35,"C-",IF(C332&lt;'PlayerGrades+'!$Y$34,"C",IF(C332&lt;'PlayerGrades+'!$Y$33,"C+",IF(C332&lt;'PlayerGrades+'!$Y$32,"B-",IF(C332&lt;'PlayerGrades+'!$Y$31,"B",IF(C332&lt;'PlayerGrades+'!$Y$30,"B+",IF(C332&lt;'PlayerGrades+'!$Y$29,"A-",IF(C332&lt;'PlayerGrades+'!$Y$28,"A",IF(C332&lt;'PlayerGrades+'!$Y$27,"A+",IF(C332&lt;'PlayerGrades+'!$Y$26,"S-",IF(C332&lt;'PlayerGrades+'!$Y$25,"S","S+"))))))))))))))))))))</f>
        <v>A</v>
      </c>
      <c r="C332" s="936">
        <f>('PlayerGrades+'!$Y$47*(VLOOKUP(E332, 'PlayerGrades+'!$X$3:$Y$23, 2, FALSE)))+('PlayerGrades+'!$Y$48*(VLOOKUP(G332, 'PlayerGrades+'!$X$3:$Y$23, 2, FALSE)))+('PlayerGrades+'!$Y$49*(VLOOKUP(I332, 'PlayerGrades+'!$X$3:$Y$23, 2, FALSE)))+('PlayerGrades+'!$Y$50*(VLOOKUP(K332, 'PlayerGrades+'!$X$3:$Y$23, 2, FALSE)))+('PlayerGrades+'!$Y$51*(VLOOKUP(M332, 'PlayerGrades+'!$X$3:$Y$23, 2, FALSE)))+('PlayerGrades+'!$Y$52*(VLOOKUP(O332, 'PlayerGrades+'!$X$3:$Y$23, 2, FALSE)))+('PlayerGrades+'!$Y$53*(VLOOKUP(Q332, 'PlayerGrades+'!$X$3:$Y$23, 2, FALSE)))+('PlayerGrades+'!$Y$54*(VLOOKUP(S332, 'PlayerGrades+'!$X$3:$Y$23, 2, FALSE)))+('PlayerGrades+'!$Y$55*(VLOOKUP(U332, 'PlayerGrades+'!$X$3:$Y$23, 2, FALSE)))</f>
        <v>28.1</v>
      </c>
      <c r="D332" s="937">
        <f t="shared" si="1"/>
        <v>0.05797101449</v>
      </c>
      <c r="E332" s="937" t="str">
        <f>IF(D332&lt;'PlayerGrades+'!$AA$21,"F-",IF(D332&lt;'PlayerGrades+'!$AA$20,"F",IF(D332&lt;'PlayerGrades+'!$AA$19,"F+",IF(D332&lt;'PlayerGrades+'!$AA$18,"E-",IF(D332&lt;'PlayerGrades+'!$AA$17,"E",IF(D332&lt;'PlayerGrades+'!$AA$16,"E+",IF(D332&lt;'PlayerGrades+'!$AA$15,"D-",IF(D332&lt;'PlayerGrades+'!$AA$14,"D",IF(D332&lt;'PlayerGrades+'!$AA$13,"D+",IF(D332&lt;'PlayerGrades+'!$AA$12,"C-",IF(D332&lt;'PlayerGrades+'!$AA$11,"C",IF(D332&lt;'PlayerGrades+'!$AA$10,"C+",IF(D332&lt;'PlayerGrades+'!$AA$9,"B-",IF(D332&lt;'PlayerGrades+'!$AA$8,"B",IF(D332&lt;'PlayerGrades+'!$AA$7,"B+",IF(D332&lt;'PlayerGrades+'!$AA$6,"A-",IF(D332&lt;'PlayerGrades+'!$AA$5,"A",IF(D332&lt;'PlayerGrades+'!$AA$4,"A+",IF(D332&lt;'PlayerGrades+'!$AA$3,"S-",IF(D332&lt;'PlayerGrades+'!$AA$2,"S","S+"))))))))))))))))))))</f>
        <v>B-</v>
      </c>
      <c r="F332" s="937">
        <f t="shared" si="2"/>
        <v>0.347826087</v>
      </c>
      <c r="G332" s="937" t="str">
        <f>IF(F332&lt;'PlayerGrades+'!$AB$21,"F-",IF(F332&lt;'PlayerGrades+'!$AB$20,"F",IF(F332&lt;'PlayerGrades+'!$AB$19,"F+",IF(F332&lt;'PlayerGrades+'!$AB$18,"E-",IF(F332&lt;'PlayerGrades+'!$AB$17,"E",IF(F332&lt;'PlayerGrades+'!$AB$16,"E+",IF(F332&lt;'PlayerGrades+'!$AB$15,"D-",IF(F332&lt;'PlayerGrades+'!$AB$14,"D",IF(F332&lt;'PlayerGrades+'!$AB$13,"D+",IF(F332&lt;'PlayerGrades+'!$AB$12,"C-",IF(F332&lt;'PlayerGrades+'!$AB$11,"C",IF(F332&lt;'PlayerGrades+'!$AB$10,"C+",IF(F332&lt;'PlayerGrades+'!$AB$9,"B-",IF(F332&lt;'PlayerGrades+'!$AB$8,"B",IF(F332&lt;'PlayerGrades+'!$AB$7,"B+",IF(F332&lt;'PlayerGrades+'!$AB$6,"A-",IF(F332&lt;'PlayerGrades+'!$AB$5,"A",IF(F332&lt;'PlayerGrades+'!$AB$4,"A+",IF(F332&lt;'PlayerGrades+'!$AB$3,"S-",IF(F332&lt;'PlayerGrades+'!$AB$2,"S","S+"))))))))))))))))))))</f>
        <v>A-</v>
      </c>
      <c r="H332" s="937">
        <f t="shared" si="3"/>
        <v>0.4637681159</v>
      </c>
      <c r="I332" s="937" t="str">
        <f>IF(H332&lt;'PlayerGrades+'!$AC$21,"F-",IF(H332&lt;'PlayerGrades+'!$AC$20,"F",IF(H332&lt;'PlayerGrades+'!$AC$19,"F+",IF(H332&lt;'PlayerGrades+'!$AC$18,"E-",IF(H332&lt;'PlayerGrades+'!$AC$17,"E",IF(H332&lt;'PlayerGrades+'!$AC$16,"E+",IF(H332&lt;'PlayerGrades+'!$AC$15,"D-",IF(H332&lt;'PlayerGrades+'!$AC$14,"D",IF(H332&lt;'PlayerGrades+'!$AC$13,"D+",IF(H332&lt;'PlayerGrades+'!$AC$12,"C-",IF(H332&lt;'PlayerGrades+'!$AC$11,"C",IF(H332&lt;'PlayerGrades+'!$AC$10,"C+",IF(H332&lt;'PlayerGrades+'!$AC$9,"B-",IF(H332&lt;'PlayerGrades+'!$AC$8,"B",IF(H332&lt;'PlayerGrades+'!$AC$7,"B+",IF(H332&lt;'PlayerGrades+'!$AC$6,"A-",IF(H332&lt;'PlayerGrades+'!$AC$5,"A",IF(H332&lt;'PlayerGrades+'!$AC$4,"A+",IF(H332&lt;'PlayerGrades+'!$AC$3,"S-",IF(H332&lt;'PlayerGrades+'!$AC$2,"S","S+"))))))))))))))))))))</f>
        <v>S+</v>
      </c>
      <c r="J332" s="937">
        <f t="shared" si="4"/>
        <v>0</v>
      </c>
      <c r="K332" s="937" t="str">
        <f>IF(J332&lt;'PlayerGrades+'!$AD$21,"F-",IF(J332&lt;'PlayerGrades+'!$AD$20,"F",IF(J332&lt;'PlayerGrades+'!$AD$19,"F+",IF(J332&lt;'PlayerGrades+'!$AD$18,"E-",IF(J332&lt;'PlayerGrades+'!$AD$17,"E",IF(J332&lt;'PlayerGrades+'!$AD$16,"E+",IF(J332&lt;'PlayerGrades+'!$AD$15,"D-",IF(J332&lt;'PlayerGrades+'!$AD$14,"D",IF(J332&lt;'PlayerGrades+'!$AD$13,"D+",IF(J332&lt;'PlayerGrades+'!$AD$12,"C-",IF(J332&lt;'PlayerGrades+'!$AD$11,"C",IF(J332&lt;'PlayerGrades+'!$AD$10,"C+",IF(J332&lt;'PlayerGrades+'!$AD$9,"B-",IF(J332&lt;'PlayerGrades+'!$AD$8,"B",IF(J332&lt;'PlayerGrades+'!$AD$7,"B+",IF(J332&lt;'PlayerGrades+'!$AD$6,"A-",IF(J332&lt;'PlayerGrades+'!$AD$5,"A",IF(J332&lt;'PlayerGrades+'!$AD$4,"A+",IF(J332&lt;'PlayerGrades+'!$AD$3,"S-",IF(J332&lt;'PlayerGrades+'!$AD$2,"S","S+"))))))))))))))))))))</f>
        <v>F-</v>
      </c>
      <c r="L332" s="677">
        <f t="shared" si="5"/>
        <v>0.5797101449</v>
      </c>
      <c r="M332" s="938" t="str">
        <f>IF(L332&lt;'PlayerGrades+'!$AE$21,"F-",IF(L332&lt;'PlayerGrades+'!$AE$20,"F",IF(L332&lt;'PlayerGrades+'!$AE$19,"F+",IF(L332&lt;'PlayerGrades+'!$AE$18,"E-",IF(L332&lt;'PlayerGrades+'!$AE$17,"E",IF(L332&lt;'PlayerGrades+'!$AE$16,"E+",IF(L332&lt;'PlayerGrades+'!$AE$15,"D-",IF(L332&lt;'PlayerGrades+'!$AE$14,"D",IF(L332&lt;'PlayerGrades+'!$AE$13,"D+",IF(L332&lt;'PlayerGrades+'!$AE$12,"C-",IF(L332&lt;'PlayerGrades+'!$AE$11,"C",IF(L332&lt;'PlayerGrades+'!$AE$10,"C+",IF(L332&lt;'PlayerGrades+'!$AE$9,"B-",IF(L332&lt;'PlayerGrades+'!$AE$8,"B",IF(L332&lt;'PlayerGrades+'!$AE$7,"B+",IF(L332&lt;'PlayerGrades+'!$AE$6,"A-",IF(L332&lt;'PlayerGrades+'!$AE$5,"A",IF(L332&lt;'PlayerGrades+'!$AE$4,"A+",IF(L332&lt;'PlayerGrades+'!$AE$3,"S-",IF(L332&lt;'PlayerGrades+'!$AE$2,"S","S+"))))))))))))))))))))</f>
        <v>A</v>
      </c>
      <c r="N332" s="937">
        <f t="shared" si="6"/>
        <v>0.1739130435</v>
      </c>
      <c r="O332" s="937" t="str">
        <f>IF(N332&lt;'PlayerGrades+'!$AF$21,"F-",IF(N332&lt;'PlayerGrades+'!$AF$20,"F",IF(N332&lt;'PlayerGrades+'!$AF$19,"F+",IF(N332&lt;'PlayerGrades+'!$AF$18,"E-",IF(N332&lt;'PlayerGrades+'!$AF$17,"E",IF(N332&lt;'PlayerGrades+'!$AF$16,"E+",IF(N332&lt;'PlayerGrades+'!$AF$15,"D-",IF(N332&lt;'PlayerGrades+'!$AF$14,"D",IF(N332&lt;'PlayerGrades+'!$AF$13,"D+",IF(N332&lt;'PlayerGrades+'!$AF$12,"C-",IF(N332&lt;'PlayerGrades+'!$AF$11,"C",IF(N332&lt;'PlayerGrades+'!$AF$10,"C+",IF(N332&lt;'PlayerGrades+'!$AF$9,"B-",IF(N332&lt;'PlayerGrades+'!$AF$8,"B",IF(N332&lt;'PlayerGrades+'!$AF$7,"B+",IF(N332&lt;'PlayerGrades+'!$AF$6,"A-",IF(N332&lt;'PlayerGrades+'!$AF$5,"A",IF(N332&lt;'PlayerGrades+'!$AF$4,"A+",IF(N332&lt;'PlayerGrades+'!$AF$3,"S-",IF(N332&lt;'PlayerGrades+'!$AF$2,"S","S+"))))))))))))))))))))</f>
        <v>S+</v>
      </c>
      <c r="P332" s="937">
        <f t="shared" si="7"/>
        <v>0</v>
      </c>
      <c r="Q332" s="937" t="str">
        <f>IF(P332&lt;'PlayerGrades+'!$AG$21,"F-",IF(P332&lt;'PlayerGrades+'!$AG$20,"F",IF(P332&lt;'PlayerGrades+'!$AG$19,"F+",IF(P332&lt;'PlayerGrades+'!$AG$18,"E-",IF(P332&lt;'PlayerGrades+'!$AG$17,"E",IF(P332&lt;'PlayerGrades+'!$AG$16,"E+",IF(P332&lt;'PlayerGrades+'!$AG$15,"D-",IF(P332&lt;'PlayerGrades+'!$AG$14,"D",IF(P332&lt;'PlayerGrades+'!$AG$13,"D+",IF(P332&lt;'PlayerGrades+'!$AG$12,"C-",IF(P332&lt;'PlayerGrades+'!$AG$11,"C",IF(P332&lt;'PlayerGrades+'!$AG$10,"C+",IF(P332&lt;'PlayerGrades+'!$AG$9,"B-",IF(P332&lt;'PlayerGrades+'!$AG$8,"B",IF(P332&lt;'PlayerGrades+'!$AG$7,"B+",IF(P332&lt;'PlayerGrades+'!$AG$6,"A-",IF(P332&lt;'PlayerGrades+'!$AG$5,"A",IF(P332&lt;'PlayerGrades+'!$AG$4,"A+",IF(P332&lt;'PlayerGrades+'!$AG$3,"S-",IF(P332&lt;'PlayerGrades+'!$AG$2,"S","S+"))))))))))))))))))))</f>
        <v>F</v>
      </c>
      <c r="R332" s="937">
        <f t="shared" si="8"/>
        <v>0.5797101449</v>
      </c>
      <c r="S332" s="937" t="str">
        <f>IF(R332&lt;'PlayerGrades+'!$AH$21,"F-",IF(R332&lt;'PlayerGrades+'!$AH$20,"F",IF(R332&lt;'PlayerGrades+'!$AH$19,"F+",IF(R332&lt;'PlayerGrades+'!$AH$18,"E-",IF(R332&lt;'PlayerGrades+'!$AH$17,"E",IF(R332&lt;'PlayerGrades+'!$AH$16,"E+",IF(R332&lt;'PlayerGrades+'!$AH$15,"D-",IF(R332&lt;'PlayerGrades+'!$AH$14,"D",IF(R332&lt;'PlayerGrades+'!$AH$13,"D+",IF(R332&lt;'PlayerGrades+'!$AH$12,"C-",IF(R332&lt;'PlayerGrades+'!$AH$11,"C",IF(R332&lt;'PlayerGrades+'!$AH$10,"C+",IF(R332&lt;'PlayerGrades+'!$AH$9,"B-",IF(R332&lt;'PlayerGrades+'!$AH$8,"B",IF(R332&lt;'PlayerGrades+'!$AH$7,"B+",IF(R332&lt;'PlayerGrades+'!$AH$6,"A-",IF(R332&lt;'PlayerGrades+'!$AH$5,"A",IF(R332&lt;'PlayerGrades+'!$AH$4,"A+",IF(R332&lt;'PlayerGrades+'!$AH$3,"S-",IF(R332&lt;'PlayerGrades+'!$AH$2,"S","S+"))))))))))))))))))))</f>
        <v>B</v>
      </c>
      <c r="T332" s="937">
        <f t="shared" si="9"/>
        <v>3.463768116</v>
      </c>
      <c r="U332" s="937" t="str">
        <f>IF(T332&lt;'PlayerGrades+'!$AI$21,"F-",IF(T332&lt;'PlayerGrades+'!$AI$20,"F",IF(T332&lt;'PlayerGrades+'!$AI$19,"F+",IF(T332&lt;'PlayerGrades+'!$AI$18,"E-",IF(T332&lt;'PlayerGrades+'!$AI$17,"E",IF(T332&lt;'PlayerGrades+'!$AI$16,"E+",IF(T332&lt;'PlayerGrades+'!$AI$15,"D-",IF(T332&lt;'PlayerGrades+'!$AI$14,"D",IF(T332&lt;'PlayerGrades+'!$AI$13,"D+",IF(T332&lt;'PlayerGrades+'!$AI$12,"C-",IF(T332&lt;'PlayerGrades+'!$AI$11,"C",IF(T332&lt;'PlayerGrades+'!$AI$10,"C+",IF(T332&lt;'PlayerGrades+'!$AI$9,"B-",IF(T332&lt;'PlayerGrades+'!$AI$8,"B",IF(T332&lt;'PlayerGrades+'!$AI$7,"B+",IF(T332&lt;'PlayerGrades+'!$AI$6,"A-",IF(T332&lt;'PlayerGrades+'!$AI$5,"A",IF(T332&lt;'PlayerGrades+'!$AI$4,"A+",IF(T332&lt;'PlayerGrades+'!$AI$3,"S-",IF(T332&lt;'PlayerGrades+'!$AI$2,"S","S+"))))))))))))))))))))</f>
        <v>S+</v>
      </c>
      <c r="V332" s="941">
        <v>1.0</v>
      </c>
      <c r="W332" s="941">
        <v>1.0</v>
      </c>
      <c r="X332" s="941">
        <v>0.0</v>
      </c>
      <c r="Y332" s="941">
        <v>1.0</v>
      </c>
      <c r="Z332" s="941">
        <v>0.0</v>
      </c>
      <c r="AA332" s="941">
        <v>63.0</v>
      </c>
      <c r="AB332" s="941">
        <v>57.0</v>
      </c>
      <c r="AC332" s="941">
        <v>6.0</v>
      </c>
      <c r="AD332" s="941">
        <v>7.0</v>
      </c>
      <c r="AE332" s="941">
        <v>4.0</v>
      </c>
      <c r="AF332" s="941">
        <v>1.0</v>
      </c>
      <c r="AG332" s="941">
        <v>780.0</v>
      </c>
      <c r="AH332" s="941">
        <v>1035.0</v>
      </c>
      <c r="AI332" s="941">
        <v>13.0</v>
      </c>
      <c r="AJ332" s="941">
        <v>1.0</v>
      </c>
      <c r="AK332" s="941">
        <v>0.0</v>
      </c>
      <c r="AL332" s="941">
        <v>0.0</v>
      </c>
      <c r="AM332" s="941">
        <v>0.0</v>
      </c>
      <c r="AN332" s="941">
        <v>0.0</v>
      </c>
      <c r="AO332" s="941">
        <v>0.0</v>
      </c>
      <c r="AP332" s="941">
        <v>0.0</v>
      </c>
      <c r="AQ332" s="941">
        <v>0.0</v>
      </c>
      <c r="AR332" s="941">
        <v>10.0</v>
      </c>
      <c r="AS332" s="941">
        <v>3.0</v>
      </c>
      <c r="AT332" s="941">
        <v>0.0</v>
      </c>
      <c r="AU332" s="941">
        <v>0.0</v>
      </c>
      <c r="AV332" s="941">
        <v>0.0</v>
      </c>
      <c r="AW332" s="941">
        <v>0.0</v>
      </c>
      <c r="AX332" s="941">
        <v>0.0</v>
      </c>
      <c r="AY332" s="941">
        <v>0.0</v>
      </c>
      <c r="AZ332" s="941">
        <v>0.0</v>
      </c>
      <c r="BA332" s="941">
        <v>0.0</v>
      </c>
      <c r="BB332" s="941">
        <v>8.0</v>
      </c>
      <c r="BC332" s="941">
        <v>0.0</v>
      </c>
      <c r="BD332" s="941">
        <v>3.0</v>
      </c>
      <c r="BE332" s="941">
        <v>8.0</v>
      </c>
      <c r="BF332" s="941">
        <v>3.0</v>
      </c>
      <c r="BG332" s="942">
        <v>0.0</v>
      </c>
    </row>
    <row r="333">
      <c r="A333" s="935" t="s">
        <v>159</v>
      </c>
      <c r="B333" s="16" t="str">
        <f>IF(C333&lt;'PlayerGrades+'!$Y$44,"F-",IF(C333&lt;'PlayerGrades+'!$Y$43,"F",IF(C333&lt;'PlayerGrades+'!$Y$42,"F+",IF(C333&lt;'PlayerGrades+'!$Y$41,"E-",IF(C333&lt;'PlayerGrades+'!$Y$40,"E",IF(C333&lt;'PlayerGrades+'!$Y$39,"E+",IF(C333&lt;'PlayerGrades+'!$Y$38,"D-",IF(C333&lt;'PlayerGrades+'!$Y$37,"D",IF(C333&lt;'PlayerGrades+'!$Y$36,"D+",IF(C333&lt;'PlayerGrades+'!$Y$35,"C-",IF(C333&lt;'PlayerGrades+'!$Y$34,"C",IF(C333&lt;'PlayerGrades+'!$Y$33,"C+",IF(C333&lt;'PlayerGrades+'!$Y$32,"B-",IF(C333&lt;'PlayerGrades+'!$Y$31,"B",IF(C333&lt;'PlayerGrades+'!$Y$30,"B+",IF(C333&lt;'PlayerGrades+'!$Y$29,"A-",IF(C333&lt;'PlayerGrades+'!$Y$28,"A",IF(C333&lt;'PlayerGrades+'!$Y$27,"A+",IF(C333&lt;'PlayerGrades+'!$Y$26,"S-",IF(C333&lt;'PlayerGrades+'!$Y$25,"S","S+"))))))))))))))))))))</f>
        <v>C+</v>
      </c>
      <c r="C333" s="936">
        <f>('PlayerGrades+'!$Y$47*(VLOOKUP(E333, 'PlayerGrades+'!$X$3:$Y$23, 2, FALSE)))+('PlayerGrades+'!$Y$48*(VLOOKUP(G333, 'PlayerGrades+'!$X$3:$Y$23, 2, FALSE)))+('PlayerGrades+'!$Y$49*(VLOOKUP(I333, 'PlayerGrades+'!$X$3:$Y$23, 2, FALSE)))+('PlayerGrades+'!$Y$50*(VLOOKUP(K333, 'PlayerGrades+'!$X$3:$Y$23, 2, FALSE)))+('PlayerGrades+'!$Y$51*(VLOOKUP(M333, 'PlayerGrades+'!$X$3:$Y$23, 2, FALSE)))+('PlayerGrades+'!$Y$52*(VLOOKUP(O333, 'PlayerGrades+'!$X$3:$Y$23, 2, FALSE)))+('PlayerGrades+'!$Y$53*(VLOOKUP(Q333, 'PlayerGrades+'!$X$3:$Y$23, 2, FALSE)))+('PlayerGrades+'!$Y$54*(VLOOKUP(S333, 'PlayerGrades+'!$X$3:$Y$23, 2, FALSE)))+('PlayerGrades+'!$Y$55*(VLOOKUP(U333, 'PlayerGrades+'!$X$3:$Y$23, 2, FALSE)))</f>
        <v>20.6</v>
      </c>
      <c r="D333" s="937">
        <f t="shared" si="1"/>
        <v>0.05797101449</v>
      </c>
      <c r="E333" s="937" t="str">
        <f>IF(D333&lt;'PlayerGrades+'!$AA$21,"F-",IF(D333&lt;'PlayerGrades+'!$AA$20,"F",IF(D333&lt;'PlayerGrades+'!$AA$19,"F+",IF(D333&lt;'PlayerGrades+'!$AA$18,"E-",IF(D333&lt;'PlayerGrades+'!$AA$17,"E",IF(D333&lt;'PlayerGrades+'!$AA$16,"E+",IF(D333&lt;'PlayerGrades+'!$AA$15,"D-",IF(D333&lt;'PlayerGrades+'!$AA$14,"D",IF(D333&lt;'PlayerGrades+'!$AA$13,"D+",IF(D333&lt;'PlayerGrades+'!$AA$12,"C-",IF(D333&lt;'PlayerGrades+'!$AA$11,"C",IF(D333&lt;'PlayerGrades+'!$AA$10,"C+",IF(D333&lt;'PlayerGrades+'!$AA$9,"B-",IF(D333&lt;'PlayerGrades+'!$AA$8,"B",IF(D333&lt;'PlayerGrades+'!$AA$7,"B+",IF(D333&lt;'PlayerGrades+'!$AA$6,"A-",IF(D333&lt;'PlayerGrades+'!$AA$5,"A",IF(D333&lt;'PlayerGrades+'!$AA$4,"A+",IF(D333&lt;'PlayerGrades+'!$AA$3,"S-",IF(D333&lt;'PlayerGrades+'!$AA$2,"S","S+"))))))))))))))))))))</f>
        <v>B-</v>
      </c>
      <c r="F333" s="937">
        <f t="shared" si="2"/>
        <v>-0.347826087</v>
      </c>
      <c r="G333" s="937" t="str">
        <f>IF(F333&lt;'PlayerGrades+'!$AB$21,"F-",IF(F333&lt;'PlayerGrades+'!$AB$20,"F",IF(F333&lt;'PlayerGrades+'!$AB$19,"F+",IF(F333&lt;'PlayerGrades+'!$AB$18,"E-",IF(F333&lt;'PlayerGrades+'!$AB$17,"E",IF(F333&lt;'PlayerGrades+'!$AB$16,"E+",IF(F333&lt;'PlayerGrades+'!$AB$15,"D-",IF(F333&lt;'PlayerGrades+'!$AB$14,"D",IF(F333&lt;'PlayerGrades+'!$AB$13,"D+",IF(F333&lt;'PlayerGrades+'!$AB$12,"C-",IF(F333&lt;'PlayerGrades+'!$AB$11,"C",IF(F333&lt;'PlayerGrades+'!$AB$10,"C+",IF(F333&lt;'PlayerGrades+'!$AB$9,"B-",IF(F333&lt;'PlayerGrades+'!$AB$8,"B",IF(F333&lt;'PlayerGrades+'!$AB$7,"B+",IF(F333&lt;'PlayerGrades+'!$AB$6,"A-",IF(F333&lt;'PlayerGrades+'!$AB$5,"A",IF(F333&lt;'PlayerGrades+'!$AB$4,"A+",IF(F333&lt;'PlayerGrades+'!$AB$3,"S-",IF(F333&lt;'PlayerGrades+'!$AB$2,"S","S+"))))))))))))))))))))</f>
        <v>C-</v>
      </c>
      <c r="H333" s="937">
        <f t="shared" si="3"/>
        <v>0.2898550725</v>
      </c>
      <c r="I333" s="937" t="str">
        <f>IF(H333&lt;'PlayerGrades+'!$AC$21,"F-",IF(H333&lt;'PlayerGrades+'!$AC$20,"F",IF(H333&lt;'PlayerGrades+'!$AC$19,"F+",IF(H333&lt;'PlayerGrades+'!$AC$18,"E-",IF(H333&lt;'PlayerGrades+'!$AC$17,"E",IF(H333&lt;'PlayerGrades+'!$AC$16,"E+",IF(H333&lt;'PlayerGrades+'!$AC$15,"D-",IF(H333&lt;'PlayerGrades+'!$AC$14,"D",IF(H333&lt;'PlayerGrades+'!$AC$13,"D+",IF(H333&lt;'PlayerGrades+'!$AC$12,"C-",IF(H333&lt;'PlayerGrades+'!$AC$11,"C",IF(H333&lt;'PlayerGrades+'!$AC$10,"C+",IF(H333&lt;'PlayerGrades+'!$AC$9,"B-",IF(H333&lt;'PlayerGrades+'!$AC$8,"B",IF(H333&lt;'PlayerGrades+'!$AC$7,"B+",IF(H333&lt;'PlayerGrades+'!$AC$6,"A-",IF(H333&lt;'PlayerGrades+'!$AC$5,"A",IF(H333&lt;'PlayerGrades+'!$AC$4,"A+",IF(H333&lt;'PlayerGrades+'!$AC$3,"S-",IF(H333&lt;'PlayerGrades+'!$AC$2,"S","S+"))))))))))))))))))))</f>
        <v>S</v>
      </c>
      <c r="J333" s="937">
        <f t="shared" si="4"/>
        <v>0</v>
      </c>
      <c r="K333" s="937" t="str">
        <f>IF(J333&lt;'PlayerGrades+'!$AD$21,"F-",IF(J333&lt;'PlayerGrades+'!$AD$20,"F",IF(J333&lt;'PlayerGrades+'!$AD$19,"F+",IF(J333&lt;'PlayerGrades+'!$AD$18,"E-",IF(J333&lt;'PlayerGrades+'!$AD$17,"E",IF(J333&lt;'PlayerGrades+'!$AD$16,"E+",IF(J333&lt;'PlayerGrades+'!$AD$15,"D-",IF(J333&lt;'PlayerGrades+'!$AD$14,"D",IF(J333&lt;'PlayerGrades+'!$AD$13,"D+",IF(J333&lt;'PlayerGrades+'!$AD$12,"C-",IF(J333&lt;'PlayerGrades+'!$AD$11,"C",IF(J333&lt;'PlayerGrades+'!$AD$10,"C+",IF(J333&lt;'PlayerGrades+'!$AD$9,"B-",IF(J333&lt;'PlayerGrades+'!$AD$8,"B",IF(J333&lt;'PlayerGrades+'!$AD$7,"B+",IF(J333&lt;'PlayerGrades+'!$AD$6,"A-",IF(J333&lt;'PlayerGrades+'!$AD$5,"A",IF(J333&lt;'PlayerGrades+'!$AD$4,"A+",IF(J333&lt;'PlayerGrades+'!$AD$3,"S-",IF(J333&lt;'PlayerGrades+'!$AD$2,"S","S+"))))))))))))))))))))</f>
        <v>F-</v>
      </c>
      <c r="L333" s="677">
        <f t="shared" si="5"/>
        <v>0.5217391304</v>
      </c>
      <c r="M333" s="938" t="str">
        <f>IF(L333&lt;'PlayerGrades+'!$AE$21,"F-",IF(L333&lt;'PlayerGrades+'!$AE$20,"F",IF(L333&lt;'PlayerGrades+'!$AE$19,"F+",IF(L333&lt;'PlayerGrades+'!$AE$18,"E-",IF(L333&lt;'PlayerGrades+'!$AE$17,"E",IF(L333&lt;'PlayerGrades+'!$AE$16,"E+",IF(L333&lt;'PlayerGrades+'!$AE$15,"D-",IF(L333&lt;'PlayerGrades+'!$AE$14,"D",IF(L333&lt;'PlayerGrades+'!$AE$13,"D+",IF(L333&lt;'PlayerGrades+'!$AE$12,"C-",IF(L333&lt;'PlayerGrades+'!$AE$11,"C",IF(L333&lt;'PlayerGrades+'!$AE$10,"C+",IF(L333&lt;'PlayerGrades+'!$AE$9,"B-",IF(L333&lt;'PlayerGrades+'!$AE$8,"B",IF(L333&lt;'PlayerGrades+'!$AE$7,"B+",IF(L333&lt;'PlayerGrades+'!$AE$6,"A-",IF(L333&lt;'PlayerGrades+'!$AE$5,"A",IF(L333&lt;'PlayerGrades+'!$AE$4,"A+",IF(L333&lt;'PlayerGrades+'!$AE$3,"S-",IF(L333&lt;'PlayerGrades+'!$AE$2,"S","S+"))))))))))))))))))))</f>
        <v>A-</v>
      </c>
      <c r="N333" s="937">
        <f t="shared" si="6"/>
        <v>0.115942029</v>
      </c>
      <c r="O333" s="937" t="str">
        <f>IF(N333&lt;'PlayerGrades+'!$AF$21,"F-",IF(N333&lt;'PlayerGrades+'!$AF$20,"F",IF(N333&lt;'PlayerGrades+'!$AF$19,"F+",IF(N333&lt;'PlayerGrades+'!$AF$18,"E-",IF(N333&lt;'PlayerGrades+'!$AF$17,"E",IF(N333&lt;'PlayerGrades+'!$AF$16,"E+",IF(N333&lt;'PlayerGrades+'!$AF$15,"D-",IF(N333&lt;'PlayerGrades+'!$AF$14,"D",IF(N333&lt;'PlayerGrades+'!$AF$13,"D+",IF(N333&lt;'PlayerGrades+'!$AF$12,"C-",IF(N333&lt;'PlayerGrades+'!$AF$11,"C",IF(N333&lt;'PlayerGrades+'!$AF$10,"C+",IF(N333&lt;'PlayerGrades+'!$AF$9,"B-",IF(N333&lt;'PlayerGrades+'!$AF$8,"B",IF(N333&lt;'PlayerGrades+'!$AF$7,"B+",IF(N333&lt;'PlayerGrades+'!$AF$6,"A-",IF(N333&lt;'PlayerGrades+'!$AF$5,"A",IF(N333&lt;'PlayerGrades+'!$AF$4,"A+",IF(N333&lt;'PlayerGrades+'!$AF$3,"S-",IF(N333&lt;'PlayerGrades+'!$AF$2,"S","S+"))))))))))))))))))))</f>
        <v>S-</v>
      </c>
      <c r="P333" s="937">
        <f t="shared" si="7"/>
        <v>0</v>
      </c>
      <c r="Q333" s="937" t="str">
        <f>IF(P333&lt;'PlayerGrades+'!$AG$21,"F-",IF(P333&lt;'PlayerGrades+'!$AG$20,"F",IF(P333&lt;'PlayerGrades+'!$AG$19,"F+",IF(P333&lt;'PlayerGrades+'!$AG$18,"E-",IF(P333&lt;'PlayerGrades+'!$AG$17,"E",IF(P333&lt;'PlayerGrades+'!$AG$16,"E+",IF(P333&lt;'PlayerGrades+'!$AG$15,"D-",IF(P333&lt;'PlayerGrades+'!$AG$14,"D",IF(P333&lt;'PlayerGrades+'!$AG$13,"D+",IF(P333&lt;'PlayerGrades+'!$AG$12,"C-",IF(P333&lt;'PlayerGrades+'!$AG$11,"C",IF(P333&lt;'PlayerGrades+'!$AG$10,"C+",IF(P333&lt;'PlayerGrades+'!$AG$9,"B-",IF(P333&lt;'PlayerGrades+'!$AG$8,"B",IF(P333&lt;'PlayerGrades+'!$AG$7,"B+",IF(P333&lt;'PlayerGrades+'!$AG$6,"A-",IF(P333&lt;'PlayerGrades+'!$AG$5,"A",IF(P333&lt;'PlayerGrades+'!$AG$4,"A+",IF(P333&lt;'PlayerGrades+'!$AG$3,"S-",IF(P333&lt;'PlayerGrades+'!$AG$2,"S","S+"))))))))))))))))))))</f>
        <v>F</v>
      </c>
      <c r="R333" s="937">
        <f t="shared" si="8"/>
        <v>0.347826087</v>
      </c>
      <c r="S333" s="937" t="str">
        <f>IF(R333&lt;'PlayerGrades+'!$AH$21,"F-",IF(R333&lt;'PlayerGrades+'!$AH$20,"F",IF(R333&lt;'PlayerGrades+'!$AH$19,"F+",IF(R333&lt;'PlayerGrades+'!$AH$18,"E-",IF(R333&lt;'PlayerGrades+'!$AH$17,"E",IF(R333&lt;'PlayerGrades+'!$AH$16,"E+",IF(R333&lt;'PlayerGrades+'!$AH$15,"D-",IF(R333&lt;'PlayerGrades+'!$AH$14,"D",IF(R333&lt;'PlayerGrades+'!$AH$13,"D+",IF(R333&lt;'PlayerGrades+'!$AH$12,"C-",IF(R333&lt;'PlayerGrades+'!$AH$11,"C",IF(R333&lt;'PlayerGrades+'!$AH$10,"C+",IF(R333&lt;'PlayerGrades+'!$AH$9,"B-",IF(R333&lt;'PlayerGrades+'!$AH$8,"B",IF(R333&lt;'PlayerGrades+'!$AH$7,"B+",IF(R333&lt;'PlayerGrades+'!$AH$6,"A-",IF(R333&lt;'PlayerGrades+'!$AH$5,"A",IF(R333&lt;'PlayerGrades+'!$AH$4,"A+",IF(R333&lt;'PlayerGrades+'!$AH$3,"S-",IF(R333&lt;'PlayerGrades+'!$AH$2,"S","S+"))))))))))))))))))))</f>
        <v>F</v>
      </c>
      <c r="T333" s="937">
        <f t="shared" si="9"/>
        <v>0.2898550725</v>
      </c>
      <c r="U333" s="937" t="str">
        <f>IF(T333&lt;'PlayerGrades+'!$AI$21,"F-",IF(T333&lt;'PlayerGrades+'!$AI$20,"F",IF(T333&lt;'PlayerGrades+'!$AI$19,"F+",IF(T333&lt;'PlayerGrades+'!$AI$18,"E-",IF(T333&lt;'PlayerGrades+'!$AI$17,"E",IF(T333&lt;'PlayerGrades+'!$AI$16,"E+",IF(T333&lt;'PlayerGrades+'!$AI$15,"D-",IF(T333&lt;'PlayerGrades+'!$AI$14,"D",IF(T333&lt;'PlayerGrades+'!$AI$13,"D+",IF(T333&lt;'PlayerGrades+'!$AI$12,"C-",IF(T333&lt;'PlayerGrades+'!$AI$11,"C",IF(T333&lt;'PlayerGrades+'!$AI$10,"C+",IF(T333&lt;'PlayerGrades+'!$AI$9,"B-",IF(T333&lt;'PlayerGrades+'!$AI$8,"B",IF(T333&lt;'PlayerGrades+'!$AI$7,"B+",IF(T333&lt;'PlayerGrades+'!$AI$6,"A-",IF(T333&lt;'PlayerGrades+'!$AI$5,"A",IF(T333&lt;'PlayerGrades+'!$AI$4,"A+",IF(T333&lt;'PlayerGrades+'!$AI$3,"S-",IF(T333&lt;'PlayerGrades+'!$AI$2,"S","S+"))))))))))))))))))))</f>
        <v>F-</v>
      </c>
      <c r="V333" s="941">
        <v>1.0</v>
      </c>
      <c r="W333" s="941">
        <v>1.0</v>
      </c>
      <c r="X333" s="941">
        <v>0.0</v>
      </c>
      <c r="Y333" s="941">
        <v>1.0</v>
      </c>
      <c r="Z333" s="941">
        <v>0.0</v>
      </c>
      <c r="AA333" s="941">
        <v>64.0</v>
      </c>
      <c r="AB333" s="941">
        <v>70.0</v>
      </c>
      <c r="AC333" s="941">
        <v>-6.0</v>
      </c>
      <c r="AD333" s="941">
        <v>2.0</v>
      </c>
      <c r="AE333" s="941">
        <v>4.0</v>
      </c>
      <c r="AF333" s="941">
        <v>0.0</v>
      </c>
      <c r="AG333" s="941">
        <v>746.0</v>
      </c>
      <c r="AH333" s="941">
        <v>1035.0</v>
      </c>
      <c r="AI333" s="941">
        <v>10.0</v>
      </c>
      <c r="AJ333" s="941">
        <v>5.0</v>
      </c>
      <c r="AK333" s="941">
        <v>0.0</v>
      </c>
      <c r="AL333" s="941">
        <v>0.0</v>
      </c>
      <c r="AM333" s="941">
        <v>0.0</v>
      </c>
      <c r="AN333" s="941">
        <v>0.0</v>
      </c>
      <c r="AO333" s="941">
        <v>0.0</v>
      </c>
      <c r="AP333" s="941">
        <v>0.0</v>
      </c>
      <c r="AQ333" s="941">
        <v>0.0</v>
      </c>
      <c r="AR333" s="941">
        <v>9.0</v>
      </c>
      <c r="AS333" s="941">
        <v>2.0</v>
      </c>
      <c r="AT333" s="941">
        <v>0.0</v>
      </c>
      <c r="AU333" s="941">
        <v>0.0</v>
      </c>
      <c r="AV333" s="941">
        <v>0.0</v>
      </c>
      <c r="AW333" s="941">
        <v>0.0</v>
      </c>
      <c r="AX333" s="941">
        <v>0.0</v>
      </c>
      <c r="AY333" s="941">
        <v>0.0</v>
      </c>
      <c r="AZ333" s="941">
        <v>0.0</v>
      </c>
      <c r="BA333" s="941">
        <v>0.0</v>
      </c>
      <c r="BB333" s="941">
        <v>5.0</v>
      </c>
      <c r="BC333" s="941">
        <v>0.0</v>
      </c>
      <c r="BD333" s="941">
        <v>4.0</v>
      </c>
      <c r="BE333" s="941">
        <v>5.0</v>
      </c>
      <c r="BF333" s="941">
        <v>0.0</v>
      </c>
      <c r="BG333" s="942">
        <v>0.0</v>
      </c>
    </row>
    <row r="334">
      <c r="A334" s="935" t="s">
        <v>131</v>
      </c>
      <c r="B334" s="16" t="str">
        <f>IF(C334&lt;'PlayerGrades+'!$Y$44,"F-",IF(C334&lt;'PlayerGrades+'!$Y$43,"F",IF(C334&lt;'PlayerGrades+'!$Y$42,"F+",IF(C334&lt;'PlayerGrades+'!$Y$41,"E-",IF(C334&lt;'PlayerGrades+'!$Y$40,"E",IF(C334&lt;'PlayerGrades+'!$Y$39,"E+",IF(C334&lt;'PlayerGrades+'!$Y$38,"D-",IF(C334&lt;'PlayerGrades+'!$Y$37,"D",IF(C334&lt;'PlayerGrades+'!$Y$36,"D+",IF(C334&lt;'PlayerGrades+'!$Y$35,"C-",IF(C334&lt;'PlayerGrades+'!$Y$34,"C",IF(C334&lt;'PlayerGrades+'!$Y$33,"C+",IF(C334&lt;'PlayerGrades+'!$Y$32,"B-",IF(C334&lt;'PlayerGrades+'!$Y$31,"B",IF(C334&lt;'PlayerGrades+'!$Y$30,"B+",IF(C334&lt;'PlayerGrades+'!$Y$29,"A-",IF(C334&lt;'PlayerGrades+'!$Y$28,"A",IF(C334&lt;'PlayerGrades+'!$Y$27,"A+",IF(C334&lt;'PlayerGrades+'!$Y$26,"S-",IF(C334&lt;'PlayerGrades+'!$Y$25,"S","S+"))))))))))))))))))))</f>
        <v>C+</v>
      </c>
      <c r="C334" s="936">
        <f>('PlayerGrades+'!$Y$47*(VLOOKUP(E334, 'PlayerGrades+'!$X$3:$Y$23, 2, FALSE)))+('PlayerGrades+'!$Y$48*(VLOOKUP(G334, 'PlayerGrades+'!$X$3:$Y$23, 2, FALSE)))+('PlayerGrades+'!$Y$49*(VLOOKUP(I334, 'PlayerGrades+'!$X$3:$Y$23, 2, FALSE)))+('PlayerGrades+'!$Y$50*(VLOOKUP(K334, 'PlayerGrades+'!$X$3:$Y$23, 2, FALSE)))+('PlayerGrades+'!$Y$51*(VLOOKUP(M334, 'PlayerGrades+'!$X$3:$Y$23, 2, FALSE)))+('PlayerGrades+'!$Y$52*(VLOOKUP(O334, 'PlayerGrades+'!$X$3:$Y$23, 2, FALSE)))+('PlayerGrades+'!$Y$53*(VLOOKUP(Q334, 'PlayerGrades+'!$X$3:$Y$23, 2, FALSE)))+('PlayerGrades+'!$Y$54*(VLOOKUP(S334, 'PlayerGrades+'!$X$3:$Y$23, 2, FALSE)))+('PlayerGrades+'!$Y$55*(VLOOKUP(U334, 'PlayerGrades+'!$X$3:$Y$23, 2, FALSE)))</f>
        <v>21.3</v>
      </c>
      <c r="D334" s="937">
        <f t="shared" si="1"/>
        <v>0.05797101449</v>
      </c>
      <c r="E334" s="937" t="str">
        <f>IF(D334&lt;'PlayerGrades+'!$AA$21,"F-",IF(D334&lt;'PlayerGrades+'!$AA$20,"F",IF(D334&lt;'PlayerGrades+'!$AA$19,"F+",IF(D334&lt;'PlayerGrades+'!$AA$18,"E-",IF(D334&lt;'PlayerGrades+'!$AA$17,"E",IF(D334&lt;'PlayerGrades+'!$AA$16,"E+",IF(D334&lt;'PlayerGrades+'!$AA$15,"D-",IF(D334&lt;'PlayerGrades+'!$AA$14,"D",IF(D334&lt;'PlayerGrades+'!$AA$13,"D+",IF(D334&lt;'PlayerGrades+'!$AA$12,"C-",IF(D334&lt;'PlayerGrades+'!$AA$11,"C",IF(D334&lt;'PlayerGrades+'!$AA$10,"C+",IF(D334&lt;'PlayerGrades+'!$AA$9,"B-",IF(D334&lt;'PlayerGrades+'!$AA$8,"B",IF(D334&lt;'PlayerGrades+'!$AA$7,"B+",IF(D334&lt;'PlayerGrades+'!$AA$6,"A-",IF(D334&lt;'PlayerGrades+'!$AA$5,"A",IF(D334&lt;'PlayerGrades+'!$AA$4,"A+",IF(D334&lt;'PlayerGrades+'!$AA$3,"S-",IF(D334&lt;'PlayerGrades+'!$AA$2,"S","S+"))))))))))))))))))))</f>
        <v>B-</v>
      </c>
      <c r="F334" s="937">
        <f t="shared" si="2"/>
        <v>0.4057971014</v>
      </c>
      <c r="G334" s="937" t="str">
        <f>IF(F334&lt;'PlayerGrades+'!$AB$21,"F-",IF(F334&lt;'PlayerGrades+'!$AB$20,"F",IF(F334&lt;'PlayerGrades+'!$AB$19,"F+",IF(F334&lt;'PlayerGrades+'!$AB$18,"E-",IF(F334&lt;'PlayerGrades+'!$AB$17,"E",IF(F334&lt;'PlayerGrades+'!$AB$16,"E+",IF(F334&lt;'PlayerGrades+'!$AB$15,"D-",IF(F334&lt;'PlayerGrades+'!$AB$14,"D",IF(F334&lt;'PlayerGrades+'!$AB$13,"D+",IF(F334&lt;'PlayerGrades+'!$AB$12,"C-",IF(F334&lt;'PlayerGrades+'!$AB$11,"C",IF(F334&lt;'PlayerGrades+'!$AB$10,"C+",IF(F334&lt;'PlayerGrades+'!$AB$9,"B-",IF(F334&lt;'PlayerGrades+'!$AB$8,"B",IF(F334&lt;'PlayerGrades+'!$AB$7,"B+",IF(F334&lt;'PlayerGrades+'!$AB$6,"A-",IF(F334&lt;'PlayerGrades+'!$AB$5,"A",IF(F334&lt;'PlayerGrades+'!$AB$4,"A+",IF(F334&lt;'PlayerGrades+'!$AB$3,"S-",IF(F334&lt;'PlayerGrades+'!$AB$2,"S","S+"))))))))))))))))))))</f>
        <v>A</v>
      </c>
      <c r="H334" s="937">
        <f t="shared" si="3"/>
        <v>0.231884058</v>
      </c>
      <c r="I334" s="937" t="str">
        <f>IF(H334&lt;'PlayerGrades+'!$AC$21,"F-",IF(H334&lt;'PlayerGrades+'!$AC$20,"F",IF(H334&lt;'PlayerGrades+'!$AC$19,"F+",IF(H334&lt;'PlayerGrades+'!$AC$18,"E-",IF(H334&lt;'PlayerGrades+'!$AC$17,"E",IF(H334&lt;'PlayerGrades+'!$AC$16,"E+",IF(H334&lt;'PlayerGrades+'!$AC$15,"D-",IF(H334&lt;'PlayerGrades+'!$AC$14,"D",IF(H334&lt;'PlayerGrades+'!$AC$13,"D+",IF(H334&lt;'PlayerGrades+'!$AC$12,"C-",IF(H334&lt;'PlayerGrades+'!$AC$11,"C",IF(H334&lt;'PlayerGrades+'!$AC$10,"C+",IF(H334&lt;'PlayerGrades+'!$AC$9,"B-",IF(H334&lt;'PlayerGrades+'!$AC$8,"B",IF(H334&lt;'PlayerGrades+'!$AC$7,"B+",IF(H334&lt;'PlayerGrades+'!$AC$6,"A-",IF(H334&lt;'PlayerGrades+'!$AC$5,"A",IF(H334&lt;'PlayerGrades+'!$AC$4,"A+",IF(H334&lt;'PlayerGrades+'!$AC$3,"S-",IF(H334&lt;'PlayerGrades+'!$AC$2,"S","S+"))))))))))))))))))))</f>
        <v>S</v>
      </c>
      <c r="J334" s="937">
        <f t="shared" si="4"/>
        <v>0</v>
      </c>
      <c r="K334" s="937" t="str">
        <f>IF(J334&lt;'PlayerGrades+'!$AD$21,"F-",IF(J334&lt;'PlayerGrades+'!$AD$20,"F",IF(J334&lt;'PlayerGrades+'!$AD$19,"F+",IF(J334&lt;'PlayerGrades+'!$AD$18,"E-",IF(J334&lt;'PlayerGrades+'!$AD$17,"E",IF(J334&lt;'PlayerGrades+'!$AD$16,"E+",IF(J334&lt;'PlayerGrades+'!$AD$15,"D-",IF(J334&lt;'PlayerGrades+'!$AD$14,"D",IF(J334&lt;'PlayerGrades+'!$AD$13,"D+",IF(J334&lt;'PlayerGrades+'!$AD$12,"C-",IF(J334&lt;'PlayerGrades+'!$AD$11,"C",IF(J334&lt;'PlayerGrades+'!$AD$10,"C+",IF(J334&lt;'PlayerGrades+'!$AD$9,"B-",IF(J334&lt;'PlayerGrades+'!$AD$8,"B",IF(J334&lt;'PlayerGrades+'!$AD$7,"B+",IF(J334&lt;'PlayerGrades+'!$AD$6,"A-",IF(J334&lt;'PlayerGrades+'!$AD$5,"A",IF(J334&lt;'PlayerGrades+'!$AD$4,"A+",IF(J334&lt;'PlayerGrades+'!$AD$3,"S-",IF(J334&lt;'PlayerGrades+'!$AD$2,"S","S+"))))))))))))))))))))</f>
        <v>F-</v>
      </c>
      <c r="L334" s="677">
        <f t="shared" si="5"/>
        <v>0.5797101449</v>
      </c>
      <c r="M334" s="938" t="str">
        <f>IF(L334&lt;'PlayerGrades+'!$AE$21,"F-",IF(L334&lt;'PlayerGrades+'!$AE$20,"F",IF(L334&lt;'PlayerGrades+'!$AE$19,"F+",IF(L334&lt;'PlayerGrades+'!$AE$18,"E-",IF(L334&lt;'PlayerGrades+'!$AE$17,"E",IF(L334&lt;'PlayerGrades+'!$AE$16,"E+",IF(L334&lt;'PlayerGrades+'!$AE$15,"D-",IF(L334&lt;'PlayerGrades+'!$AE$14,"D",IF(L334&lt;'PlayerGrades+'!$AE$13,"D+",IF(L334&lt;'PlayerGrades+'!$AE$12,"C-",IF(L334&lt;'PlayerGrades+'!$AE$11,"C",IF(L334&lt;'PlayerGrades+'!$AE$10,"C+",IF(L334&lt;'PlayerGrades+'!$AE$9,"B-",IF(L334&lt;'PlayerGrades+'!$AE$8,"B",IF(L334&lt;'PlayerGrades+'!$AE$7,"B+",IF(L334&lt;'PlayerGrades+'!$AE$6,"A-",IF(L334&lt;'PlayerGrades+'!$AE$5,"A",IF(L334&lt;'PlayerGrades+'!$AE$4,"A+",IF(L334&lt;'PlayerGrades+'!$AE$3,"S-",IF(L334&lt;'PlayerGrades+'!$AE$2,"S","S+"))))))))))))))))))))</f>
        <v>A</v>
      </c>
      <c r="N334" s="937">
        <f t="shared" si="6"/>
        <v>0.05797101449</v>
      </c>
      <c r="O334" s="937" t="str">
        <f>IF(N334&lt;'PlayerGrades+'!$AF$21,"F-",IF(N334&lt;'PlayerGrades+'!$AF$20,"F",IF(N334&lt;'PlayerGrades+'!$AF$19,"F+",IF(N334&lt;'PlayerGrades+'!$AF$18,"E-",IF(N334&lt;'PlayerGrades+'!$AF$17,"E",IF(N334&lt;'PlayerGrades+'!$AF$16,"E+",IF(N334&lt;'PlayerGrades+'!$AF$15,"D-",IF(N334&lt;'PlayerGrades+'!$AF$14,"D",IF(N334&lt;'PlayerGrades+'!$AF$13,"D+",IF(N334&lt;'PlayerGrades+'!$AF$12,"C-",IF(N334&lt;'PlayerGrades+'!$AF$11,"C",IF(N334&lt;'PlayerGrades+'!$AF$10,"C+",IF(N334&lt;'PlayerGrades+'!$AF$9,"B-",IF(N334&lt;'PlayerGrades+'!$AF$8,"B",IF(N334&lt;'PlayerGrades+'!$AF$7,"B+",IF(N334&lt;'PlayerGrades+'!$AF$6,"A-",IF(N334&lt;'PlayerGrades+'!$AF$5,"A",IF(N334&lt;'PlayerGrades+'!$AF$4,"A+",IF(N334&lt;'PlayerGrades+'!$AF$3,"S-",IF(N334&lt;'PlayerGrades+'!$AF$2,"S","S+"))))))))))))))))))))</f>
        <v>D+</v>
      </c>
      <c r="P334" s="937">
        <f t="shared" si="7"/>
        <v>0</v>
      </c>
      <c r="Q334" s="937" t="str">
        <f>IF(P334&lt;'PlayerGrades+'!$AG$21,"F-",IF(P334&lt;'PlayerGrades+'!$AG$20,"F",IF(P334&lt;'PlayerGrades+'!$AG$19,"F+",IF(P334&lt;'PlayerGrades+'!$AG$18,"E-",IF(P334&lt;'PlayerGrades+'!$AG$17,"E",IF(P334&lt;'PlayerGrades+'!$AG$16,"E+",IF(P334&lt;'PlayerGrades+'!$AG$15,"D-",IF(P334&lt;'PlayerGrades+'!$AG$14,"D",IF(P334&lt;'PlayerGrades+'!$AG$13,"D+",IF(P334&lt;'PlayerGrades+'!$AG$12,"C-",IF(P334&lt;'PlayerGrades+'!$AG$11,"C",IF(P334&lt;'PlayerGrades+'!$AG$10,"C+",IF(P334&lt;'PlayerGrades+'!$AG$9,"B-",IF(P334&lt;'PlayerGrades+'!$AG$8,"B",IF(P334&lt;'PlayerGrades+'!$AG$7,"B+",IF(P334&lt;'PlayerGrades+'!$AG$6,"A-",IF(P334&lt;'PlayerGrades+'!$AG$5,"A",IF(P334&lt;'PlayerGrades+'!$AG$4,"A+",IF(P334&lt;'PlayerGrades+'!$AG$3,"S-",IF(P334&lt;'PlayerGrades+'!$AG$2,"S","S+"))))))))))))))))))))</f>
        <v>F</v>
      </c>
      <c r="R334" s="937">
        <f t="shared" si="8"/>
        <v>0.1739130435</v>
      </c>
      <c r="S334" s="937" t="str">
        <f>IF(R334&lt;'PlayerGrades+'!$AH$21,"F-",IF(R334&lt;'PlayerGrades+'!$AH$20,"F",IF(R334&lt;'PlayerGrades+'!$AH$19,"F+",IF(R334&lt;'PlayerGrades+'!$AH$18,"E-",IF(R334&lt;'PlayerGrades+'!$AH$17,"E",IF(R334&lt;'PlayerGrades+'!$AH$16,"E+",IF(R334&lt;'PlayerGrades+'!$AH$15,"D-",IF(R334&lt;'PlayerGrades+'!$AH$14,"D",IF(R334&lt;'PlayerGrades+'!$AH$13,"D+",IF(R334&lt;'PlayerGrades+'!$AH$12,"C-",IF(R334&lt;'PlayerGrades+'!$AH$11,"C",IF(R334&lt;'PlayerGrades+'!$AH$10,"C+",IF(R334&lt;'PlayerGrades+'!$AH$9,"B-",IF(R334&lt;'PlayerGrades+'!$AH$8,"B",IF(R334&lt;'PlayerGrades+'!$AH$7,"B+",IF(R334&lt;'PlayerGrades+'!$AH$6,"A-",IF(R334&lt;'PlayerGrades+'!$AH$5,"A",IF(R334&lt;'PlayerGrades+'!$AH$4,"A+",IF(R334&lt;'PlayerGrades+'!$AH$3,"S-",IF(R334&lt;'PlayerGrades+'!$AH$2,"S","S+"))))))))))))))))))))</f>
        <v>F-</v>
      </c>
      <c r="T334" s="937">
        <f t="shared" si="9"/>
        <v>2.753623188</v>
      </c>
      <c r="U334" s="937" t="str">
        <f>IF(T334&lt;'PlayerGrades+'!$AI$21,"F-",IF(T334&lt;'PlayerGrades+'!$AI$20,"F",IF(T334&lt;'PlayerGrades+'!$AI$19,"F+",IF(T334&lt;'PlayerGrades+'!$AI$18,"E-",IF(T334&lt;'PlayerGrades+'!$AI$17,"E",IF(T334&lt;'PlayerGrades+'!$AI$16,"E+",IF(T334&lt;'PlayerGrades+'!$AI$15,"D-",IF(T334&lt;'PlayerGrades+'!$AI$14,"D",IF(T334&lt;'PlayerGrades+'!$AI$13,"D+",IF(T334&lt;'PlayerGrades+'!$AI$12,"C-",IF(T334&lt;'PlayerGrades+'!$AI$11,"C",IF(T334&lt;'PlayerGrades+'!$AI$10,"C+",IF(T334&lt;'PlayerGrades+'!$AI$9,"B-",IF(T334&lt;'PlayerGrades+'!$AI$8,"B",IF(T334&lt;'PlayerGrades+'!$AI$7,"B+",IF(T334&lt;'PlayerGrades+'!$AI$6,"A-",IF(T334&lt;'PlayerGrades+'!$AI$5,"A",IF(T334&lt;'PlayerGrades+'!$AI$4,"A+",IF(T334&lt;'PlayerGrades+'!$AI$3,"S-",IF(T334&lt;'PlayerGrades+'!$AI$2,"S","S+"))))))))))))))))))))</f>
        <v>S+</v>
      </c>
      <c r="V334" s="941">
        <v>1.0</v>
      </c>
      <c r="W334" s="941">
        <v>0.0</v>
      </c>
      <c r="X334" s="941">
        <v>1.0</v>
      </c>
      <c r="Y334" s="941">
        <v>1.0</v>
      </c>
      <c r="Z334" s="941">
        <v>0.0</v>
      </c>
      <c r="AA334" s="941">
        <v>63.0</v>
      </c>
      <c r="AB334" s="941">
        <v>56.0</v>
      </c>
      <c r="AC334" s="941">
        <v>7.0</v>
      </c>
      <c r="AD334" s="941">
        <v>1.0</v>
      </c>
      <c r="AE334" s="941">
        <v>4.0</v>
      </c>
      <c r="AF334" s="941">
        <v>0.0</v>
      </c>
      <c r="AG334" s="941">
        <v>786.0</v>
      </c>
      <c r="AH334" s="941">
        <v>1035.0</v>
      </c>
      <c r="AI334" s="941">
        <v>14.0</v>
      </c>
      <c r="AJ334" s="941">
        <v>4.0</v>
      </c>
      <c r="AK334" s="941">
        <v>0.0</v>
      </c>
      <c r="AL334" s="941">
        <v>0.0</v>
      </c>
      <c r="AM334" s="941">
        <v>0.0</v>
      </c>
      <c r="AN334" s="941">
        <v>0.0</v>
      </c>
      <c r="AO334" s="941">
        <v>0.0</v>
      </c>
      <c r="AP334" s="941">
        <v>0.0</v>
      </c>
      <c r="AQ334" s="941">
        <v>0.0</v>
      </c>
      <c r="AR334" s="941">
        <v>10.0</v>
      </c>
      <c r="AS334" s="941">
        <v>1.0</v>
      </c>
      <c r="AT334" s="941">
        <v>0.0</v>
      </c>
      <c r="AU334" s="941">
        <v>0.0</v>
      </c>
      <c r="AV334" s="941">
        <v>0.0</v>
      </c>
      <c r="AW334" s="941">
        <v>0.0</v>
      </c>
      <c r="AX334" s="941">
        <v>0.0</v>
      </c>
      <c r="AY334" s="941">
        <v>0.0</v>
      </c>
      <c r="AZ334" s="941">
        <v>0.0</v>
      </c>
      <c r="BA334" s="941">
        <v>0.0</v>
      </c>
      <c r="BB334" s="941">
        <v>4.0</v>
      </c>
      <c r="BC334" s="941">
        <v>0.0</v>
      </c>
      <c r="BD334" s="941">
        <v>2.0</v>
      </c>
      <c r="BE334" s="941">
        <v>13.0</v>
      </c>
      <c r="BF334" s="941">
        <v>2.0</v>
      </c>
      <c r="BG334" s="942">
        <v>1.0</v>
      </c>
    </row>
    <row r="335">
      <c r="A335" s="935" t="s">
        <v>153</v>
      </c>
      <c r="B335" s="16" t="str">
        <f>IF(C335&lt;'PlayerGrades+'!$Y$44,"F-",IF(C335&lt;'PlayerGrades+'!$Y$43,"F",IF(C335&lt;'PlayerGrades+'!$Y$42,"F+",IF(C335&lt;'PlayerGrades+'!$Y$41,"E-",IF(C335&lt;'PlayerGrades+'!$Y$40,"E",IF(C335&lt;'PlayerGrades+'!$Y$39,"E+",IF(C335&lt;'PlayerGrades+'!$Y$38,"D-",IF(C335&lt;'PlayerGrades+'!$Y$37,"D",IF(C335&lt;'PlayerGrades+'!$Y$36,"D+",IF(C335&lt;'PlayerGrades+'!$Y$35,"C-",IF(C335&lt;'PlayerGrades+'!$Y$34,"C",IF(C335&lt;'PlayerGrades+'!$Y$33,"C+",IF(C335&lt;'PlayerGrades+'!$Y$32,"B-",IF(C335&lt;'PlayerGrades+'!$Y$31,"B",IF(C335&lt;'PlayerGrades+'!$Y$30,"B+",IF(C335&lt;'PlayerGrades+'!$Y$29,"A-",IF(C335&lt;'PlayerGrades+'!$Y$28,"A",IF(C335&lt;'PlayerGrades+'!$Y$27,"A+",IF(C335&lt;'PlayerGrades+'!$Y$26,"S-",IF(C335&lt;'PlayerGrades+'!$Y$25,"S","S+"))))))))))))))))))))</f>
        <v>F</v>
      </c>
      <c r="C335" s="936">
        <f>('PlayerGrades+'!$Y$47*(VLOOKUP(E335, 'PlayerGrades+'!$X$3:$Y$23, 2, FALSE)))+('PlayerGrades+'!$Y$48*(VLOOKUP(G335, 'PlayerGrades+'!$X$3:$Y$23, 2, FALSE)))+('PlayerGrades+'!$Y$49*(VLOOKUP(I335, 'PlayerGrades+'!$X$3:$Y$23, 2, FALSE)))+('PlayerGrades+'!$Y$50*(VLOOKUP(K335, 'PlayerGrades+'!$X$3:$Y$23, 2, FALSE)))+('PlayerGrades+'!$Y$51*(VLOOKUP(M335, 'PlayerGrades+'!$X$3:$Y$23, 2, FALSE)))+('PlayerGrades+'!$Y$52*(VLOOKUP(O335, 'PlayerGrades+'!$X$3:$Y$23, 2, FALSE)))+('PlayerGrades+'!$Y$53*(VLOOKUP(Q335, 'PlayerGrades+'!$X$3:$Y$23, 2, FALSE)))+('PlayerGrades+'!$Y$54*(VLOOKUP(S335, 'PlayerGrades+'!$X$3:$Y$23, 2, FALSE)))+('PlayerGrades+'!$Y$55*(VLOOKUP(U335, 'PlayerGrades+'!$X$3:$Y$23, 2, FALSE)))</f>
        <v>8.45</v>
      </c>
      <c r="D335" s="937">
        <f t="shared" si="1"/>
        <v>0.347826087</v>
      </c>
      <c r="E335" s="937" t="str">
        <f>IF(D335&lt;'PlayerGrades+'!$AA$21,"F-",IF(D335&lt;'PlayerGrades+'!$AA$20,"F",IF(D335&lt;'PlayerGrades+'!$AA$19,"F+",IF(D335&lt;'PlayerGrades+'!$AA$18,"E-",IF(D335&lt;'PlayerGrades+'!$AA$17,"E",IF(D335&lt;'PlayerGrades+'!$AA$16,"E+",IF(D335&lt;'PlayerGrades+'!$AA$15,"D-",IF(D335&lt;'PlayerGrades+'!$AA$14,"D",IF(D335&lt;'PlayerGrades+'!$AA$13,"D+",IF(D335&lt;'PlayerGrades+'!$AA$12,"C-",IF(D335&lt;'PlayerGrades+'!$AA$11,"C",IF(D335&lt;'PlayerGrades+'!$AA$10,"C+",IF(D335&lt;'PlayerGrades+'!$AA$9,"B-",IF(D335&lt;'PlayerGrades+'!$AA$8,"B",IF(D335&lt;'PlayerGrades+'!$AA$7,"B+",IF(D335&lt;'PlayerGrades+'!$AA$6,"A-",IF(D335&lt;'PlayerGrades+'!$AA$5,"A",IF(D335&lt;'PlayerGrades+'!$AA$4,"A+",IF(D335&lt;'PlayerGrades+'!$AA$3,"S-",IF(D335&lt;'PlayerGrades+'!$AA$2,"S","S+"))))))))))))))))))))</f>
        <v>A</v>
      </c>
      <c r="F335" s="937">
        <f t="shared" si="2"/>
        <v>-1.391304348</v>
      </c>
      <c r="G335" s="937" t="str">
        <f>IF(F335&lt;'PlayerGrades+'!$AB$21,"F-",IF(F335&lt;'PlayerGrades+'!$AB$20,"F",IF(F335&lt;'PlayerGrades+'!$AB$19,"F+",IF(F335&lt;'PlayerGrades+'!$AB$18,"E-",IF(F335&lt;'PlayerGrades+'!$AB$17,"E",IF(F335&lt;'PlayerGrades+'!$AB$16,"E+",IF(F335&lt;'PlayerGrades+'!$AB$15,"D-",IF(F335&lt;'PlayerGrades+'!$AB$14,"D",IF(F335&lt;'PlayerGrades+'!$AB$13,"D+",IF(F335&lt;'PlayerGrades+'!$AB$12,"C-",IF(F335&lt;'PlayerGrades+'!$AB$11,"C",IF(F335&lt;'PlayerGrades+'!$AB$10,"C+",IF(F335&lt;'PlayerGrades+'!$AB$9,"B-",IF(F335&lt;'PlayerGrades+'!$AB$8,"B",IF(F335&lt;'PlayerGrades+'!$AB$7,"B+",IF(F335&lt;'PlayerGrades+'!$AB$6,"A-",IF(F335&lt;'PlayerGrades+'!$AB$5,"A",IF(F335&lt;'PlayerGrades+'!$AB$4,"A+",IF(F335&lt;'PlayerGrades+'!$AB$3,"S-",IF(F335&lt;'PlayerGrades+'!$AB$2,"S","S+"))))))))))))))))))))</f>
        <v>F-</v>
      </c>
      <c r="H335" s="937">
        <f t="shared" si="3"/>
        <v>0</v>
      </c>
      <c r="I335" s="937" t="str">
        <f>IF(H335&lt;'PlayerGrades+'!$AC$21,"F-",IF(H335&lt;'PlayerGrades+'!$AC$20,"F",IF(H335&lt;'PlayerGrades+'!$AC$19,"F+",IF(H335&lt;'PlayerGrades+'!$AC$18,"E-",IF(H335&lt;'PlayerGrades+'!$AC$17,"E",IF(H335&lt;'PlayerGrades+'!$AC$16,"E+",IF(H335&lt;'PlayerGrades+'!$AC$15,"D-",IF(H335&lt;'PlayerGrades+'!$AC$14,"D",IF(H335&lt;'PlayerGrades+'!$AC$13,"D+",IF(H335&lt;'PlayerGrades+'!$AC$12,"C-",IF(H335&lt;'PlayerGrades+'!$AC$11,"C",IF(H335&lt;'PlayerGrades+'!$AC$10,"C+",IF(H335&lt;'PlayerGrades+'!$AC$9,"B-",IF(H335&lt;'PlayerGrades+'!$AC$8,"B",IF(H335&lt;'PlayerGrades+'!$AC$7,"B+",IF(H335&lt;'PlayerGrades+'!$AC$6,"A-",IF(H335&lt;'PlayerGrades+'!$AC$5,"A",IF(H335&lt;'PlayerGrades+'!$AC$4,"A+",IF(H335&lt;'PlayerGrades+'!$AC$3,"S-",IF(H335&lt;'PlayerGrades+'!$AC$2,"S","S+"))))))))))))))))))))</f>
        <v>F-</v>
      </c>
      <c r="J335" s="937">
        <f t="shared" si="4"/>
        <v>0</v>
      </c>
      <c r="K335" s="937" t="str">
        <f>IF(J335&lt;'PlayerGrades+'!$AD$21,"F-",IF(J335&lt;'PlayerGrades+'!$AD$20,"F",IF(J335&lt;'PlayerGrades+'!$AD$19,"F+",IF(J335&lt;'PlayerGrades+'!$AD$18,"E-",IF(J335&lt;'PlayerGrades+'!$AD$17,"E",IF(J335&lt;'PlayerGrades+'!$AD$16,"E+",IF(J335&lt;'PlayerGrades+'!$AD$15,"D-",IF(J335&lt;'PlayerGrades+'!$AD$14,"D",IF(J335&lt;'PlayerGrades+'!$AD$13,"D+",IF(J335&lt;'PlayerGrades+'!$AD$12,"C-",IF(J335&lt;'PlayerGrades+'!$AD$11,"C",IF(J335&lt;'PlayerGrades+'!$AD$10,"C+",IF(J335&lt;'PlayerGrades+'!$AD$9,"B-",IF(J335&lt;'PlayerGrades+'!$AD$8,"B",IF(J335&lt;'PlayerGrades+'!$AD$7,"B+",IF(J335&lt;'PlayerGrades+'!$AD$6,"A-",IF(J335&lt;'PlayerGrades+'!$AD$5,"A",IF(J335&lt;'PlayerGrades+'!$AD$4,"A+",IF(J335&lt;'PlayerGrades+'!$AD$3,"S-",IF(J335&lt;'PlayerGrades+'!$AD$2,"S","S+"))))))))))))))))))))</f>
        <v>F-</v>
      </c>
      <c r="L335" s="677">
        <f t="shared" si="5"/>
        <v>0.231884058</v>
      </c>
      <c r="M335" s="938" t="str">
        <f>IF(L335&lt;'PlayerGrades+'!$AE$21,"F-",IF(L335&lt;'PlayerGrades+'!$AE$20,"F",IF(L335&lt;'PlayerGrades+'!$AE$19,"F+",IF(L335&lt;'PlayerGrades+'!$AE$18,"E-",IF(L335&lt;'PlayerGrades+'!$AE$17,"E",IF(L335&lt;'PlayerGrades+'!$AE$16,"E+",IF(L335&lt;'PlayerGrades+'!$AE$15,"D-",IF(L335&lt;'PlayerGrades+'!$AE$14,"D",IF(L335&lt;'PlayerGrades+'!$AE$13,"D+",IF(L335&lt;'PlayerGrades+'!$AE$12,"C-",IF(L335&lt;'PlayerGrades+'!$AE$11,"C",IF(L335&lt;'PlayerGrades+'!$AE$10,"C+",IF(L335&lt;'PlayerGrades+'!$AE$9,"B-",IF(L335&lt;'PlayerGrades+'!$AE$8,"B",IF(L335&lt;'PlayerGrades+'!$AE$7,"B+",IF(L335&lt;'PlayerGrades+'!$AE$6,"A-",IF(L335&lt;'PlayerGrades+'!$AE$5,"A",IF(L335&lt;'PlayerGrades+'!$AE$4,"A+",IF(L335&lt;'PlayerGrades+'!$AE$3,"S-",IF(L335&lt;'PlayerGrades+'!$AE$2,"S","S+"))))))))))))))))))))</f>
        <v>F</v>
      </c>
      <c r="N335" s="937">
        <f t="shared" si="6"/>
        <v>0</v>
      </c>
      <c r="O335" s="937" t="str">
        <f>IF(N335&lt;'PlayerGrades+'!$AF$21,"F-",IF(N335&lt;'PlayerGrades+'!$AF$20,"F",IF(N335&lt;'PlayerGrades+'!$AF$19,"F+",IF(N335&lt;'PlayerGrades+'!$AF$18,"E-",IF(N335&lt;'PlayerGrades+'!$AF$17,"E",IF(N335&lt;'PlayerGrades+'!$AF$16,"E+",IF(N335&lt;'PlayerGrades+'!$AF$15,"D-",IF(N335&lt;'PlayerGrades+'!$AF$14,"D",IF(N335&lt;'PlayerGrades+'!$AF$13,"D+",IF(N335&lt;'PlayerGrades+'!$AF$12,"C-",IF(N335&lt;'PlayerGrades+'!$AF$11,"C",IF(N335&lt;'PlayerGrades+'!$AF$10,"C+",IF(N335&lt;'PlayerGrades+'!$AF$9,"B-",IF(N335&lt;'PlayerGrades+'!$AF$8,"B",IF(N335&lt;'PlayerGrades+'!$AF$7,"B+",IF(N335&lt;'PlayerGrades+'!$AF$6,"A-",IF(N335&lt;'PlayerGrades+'!$AF$5,"A",IF(N335&lt;'PlayerGrades+'!$AF$4,"A+",IF(N335&lt;'PlayerGrades+'!$AF$3,"S-",IF(N335&lt;'PlayerGrades+'!$AF$2,"S","S+"))))))))))))))))))))</f>
        <v>F-</v>
      </c>
      <c r="P335" s="937">
        <f t="shared" si="7"/>
        <v>0</v>
      </c>
      <c r="Q335" s="937" t="str">
        <f>IF(P335&lt;'PlayerGrades+'!$AG$21,"F-",IF(P335&lt;'PlayerGrades+'!$AG$20,"F",IF(P335&lt;'PlayerGrades+'!$AG$19,"F+",IF(P335&lt;'PlayerGrades+'!$AG$18,"E-",IF(P335&lt;'PlayerGrades+'!$AG$17,"E",IF(P335&lt;'PlayerGrades+'!$AG$16,"E+",IF(P335&lt;'PlayerGrades+'!$AG$15,"D-",IF(P335&lt;'PlayerGrades+'!$AG$14,"D",IF(P335&lt;'PlayerGrades+'!$AG$13,"D+",IF(P335&lt;'PlayerGrades+'!$AG$12,"C-",IF(P335&lt;'PlayerGrades+'!$AG$11,"C",IF(P335&lt;'PlayerGrades+'!$AG$10,"C+",IF(P335&lt;'PlayerGrades+'!$AG$9,"B-",IF(P335&lt;'PlayerGrades+'!$AG$8,"B",IF(P335&lt;'PlayerGrades+'!$AG$7,"B+",IF(P335&lt;'PlayerGrades+'!$AG$6,"A-",IF(P335&lt;'PlayerGrades+'!$AG$5,"A",IF(P335&lt;'PlayerGrades+'!$AG$4,"A+",IF(P335&lt;'PlayerGrades+'!$AG$3,"S-",IF(P335&lt;'PlayerGrades+'!$AG$2,"S","S+"))))))))))))))))))))</f>
        <v>F</v>
      </c>
      <c r="R335" s="937">
        <f t="shared" si="8"/>
        <v>0.347826087</v>
      </c>
      <c r="S335" s="937" t="str">
        <f>IF(R335&lt;'PlayerGrades+'!$AH$21,"F-",IF(R335&lt;'PlayerGrades+'!$AH$20,"F",IF(R335&lt;'PlayerGrades+'!$AH$19,"F+",IF(R335&lt;'PlayerGrades+'!$AH$18,"E-",IF(R335&lt;'PlayerGrades+'!$AH$17,"E",IF(R335&lt;'PlayerGrades+'!$AH$16,"E+",IF(R335&lt;'PlayerGrades+'!$AH$15,"D-",IF(R335&lt;'PlayerGrades+'!$AH$14,"D",IF(R335&lt;'PlayerGrades+'!$AH$13,"D+",IF(R335&lt;'PlayerGrades+'!$AH$12,"C-",IF(R335&lt;'PlayerGrades+'!$AH$11,"C",IF(R335&lt;'PlayerGrades+'!$AH$10,"C+",IF(R335&lt;'PlayerGrades+'!$AH$9,"B-",IF(R335&lt;'PlayerGrades+'!$AH$8,"B",IF(R335&lt;'PlayerGrades+'!$AH$7,"B+",IF(R335&lt;'PlayerGrades+'!$AH$6,"A-",IF(R335&lt;'PlayerGrades+'!$AH$5,"A",IF(R335&lt;'PlayerGrades+'!$AH$4,"A+",IF(R335&lt;'PlayerGrades+'!$AH$3,"S-",IF(R335&lt;'PlayerGrades+'!$AH$2,"S","S+"))))))))))))))))))))</f>
        <v>F</v>
      </c>
      <c r="T335" s="937">
        <f t="shared" si="9"/>
        <v>1.405797101</v>
      </c>
      <c r="U335" s="937" t="str">
        <f>IF(T335&lt;'PlayerGrades+'!$AI$21,"F-",IF(T335&lt;'PlayerGrades+'!$AI$20,"F",IF(T335&lt;'PlayerGrades+'!$AI$19,"F+",IF(T335&lt;'PlayerGrades+'!$AI$18,"E-",IF(T335&lt;'PlayerGrades+'!$AI$17,"E",IF(T335&lt;'PlayerGrades+'!$AI$16,"E+",IF(T335&lt;'PlayerGrades+'!$AI$15,"D-",IF(T335&lt;'PlayerGrades+'!$AI$14,"D",IF(T335&lt;'PlayerGrades+'!$AI$13,"D+",IF(T335&lt;'PlayerGrades+'!$AI$12,"C-",IF(T335&lt;'PlayerGrades+'!$AI$11,"C",IF(T335&lt;'PlayerGrades+'!$AI$10,"C+",IF(T335&lt;'PlayerGrades+'!$AI$9,"B-",IF(T335&lt;'PlayerGrades+'!$AI$8,"B",IF(T335&lt;'PlayerGrades+'!$AI$7,"B+",IF(T335&lt;'PlayerGrades+'!$AI$6,"A-",IF(T335&lt;'PlayerGrades+'!$AI$5,"A",IF(T335&lt;'PlayerGrades+'!$AI$4,"A+",IF(T335&lt;'PlayerGrades+'!$AI$3,"S-",IF(T335&lt;'PlayerGrades+'!$AI$2,"S","S+"))))))))))))))))))))</f>
        <v>B</v>
      </c>
      <c r="V335" s="941">
        <v>1.0</v>
      </c>
      <c r="W335" s="941">
        <v>0.0</v>
      </c>
      <c r="X335" s="941">
        <v>1.0</v>
      </c>
      <c r="Y335" s="941">
        <v>0.0</v>
      </c>
      <c r="Z335" s="941">
        <v>6.0</v>
      </c>
      <c r="AA335" s="941">
        <v>38.0</v>
      </c>
      <c r="AB335" s="941">
        <v>62.0</v>
      </c>
      <c r="AC335" s="941">
        <v>-24.0</v>
      </c>
      <c r="AD335" s="941">
        <v>1.0</v>
      </c>
      <c r="AE335" s="941">
        <v>3.0</v>
      </c>
      <c r="AF335" s="941">
        <v>1.0</v>
      </c>
      <c r="AG335" s="941">
        <v>772.0</v>
      </c>
      <c r="AH335" s="941">
        <v>1035.0</v>
      </c>
      <c r="AI335" s="941">
        <v>12.0</v>
      </c>
      <c r="AJ335" s="941">
        <v>271.0</v>
      </c>
      <c r="AK335" s="941">
        <v>0.0</v>
      </c>
      <c r="AL335" s="941">
        <v>0.0</v>
      </c>
      <c r="AM335" s="941">
        <v>0.0</v>
      </c>
      <c r="AN335" s="941">
        <v>0.0</v>
      </c>
      <c r="AO335" s="941">
        <v>0.0</v>
      </c>
      <c r="AP335" s="941">
        <v>0.0</v>
      </c>
      <c r="AQ335" s="941">
        <v>0.0</v>
      </c>
      <c r="AR335" s="941">
        <v>4.0</v>
      </c>
      <c r="AS335" s="941">
        <v>0.0</v>
      </c>
      <c r="AT335" s="941">
        <v>0.0</v>
      </c>
      <c r="AU335" s="941">
        <v>0.0</v>
      </c>
      <c r="AV335" s="941">
        <v>0.0</v>
      </c>
      <c r="AW335" s="941">
        <v>0.0</v>
      </c>
      <c r="AX335" s="941">
        <v>0.0</v>
      </c>
      <c r="AY335" s="941">
        <v>0.0</v>
      </c>
      <c r="AZ335" s="941">
        <v>0.0</v>
      </c>
      <c r="BA335" s="941">
        <v>0.0</v>
      </c>
      <c r="BB335" s="941">
        <v>0.0</v>
      </c>
      <c r="BC335" s="941">
        <v>0.0</v>
      </c>
      <c r="BD335" s="941">
        <v>5.0</v>
      </c>
      <c r="BE335" s="941">
        <v>7.0</v>
      </c>
      <c r="BF335" s="941">
        <v>1.0</v>
      </c>
      <c r="BG335" s="942">
        <v>1.0</v>
      </c>
    </row>
    <row r="336">
      <c r="A336" s="935" t="s">
        <v>142</v>
      </c>
      <c r="B336" s="16" t="str">
        <f>IF(C336&lt;'PlayerGrades+'!$Y$44,"F-",IF(C336&lt;'PlayerGrades+'!$Y$43,"F",IF(C336&lt;'PlayerGrades+'!$Y$42,"F+",IF(C336&lt;'PlayerGrades+'!$Y$41,"E-",IF(C336&lt;'PlayerGrades+'!$Y$40,"E",IF(C336&lt;'PlayerGrades+'!$Y$39,"E+",IF(C336&lt;'PlayerGrades+'!$Y$38,"D-",IF(C336&lt;'PlayerGrades+'!$Y$37,"D",IF(C336&lt;'PlayerGrades+'!$Y$36,"D+",IF(C336&lt;'PlayerGrades+'!$Y$35,"C-",IF(C336&lt;'PlayerGrades+'!$Y$34,"C",IF(C336&lt;'PlayerGrades+'!$Y$33,"C+",IF(C336&lt;'PlayerGrades+'!$Y$32,"B-",IF(C336&lt;'PlayerGrades+'!$Y$31,"B",IF(C336&lt;'PlayerGrades+'!$Y$30,"B+",IF(C336&lt;'PlayerGrades+'!$Y$29,"A-",IF(C336&lt;'PlayerGrades+'!$Y$28,"A",IF(C336&lt;'PlayerGrades+'!$Y$27,"A+",IF(C336&lt;'PlayerGrades+'!$Y$26,"S-",IF(C336&lt;'PlayerGrades+'!$Y$25,"S","S+"))))))))))))))))))))</f>
        <v>F+</v>
      </c>
      <c r="C336" s="936">
        <f>('PlayerGrades+'!$Y$47*(VLOOKUP(E336, 'PlayerGrades+'!$X$3:$Y$23, 2, FALSE)))+('PlayerGrades+'!$Y$48*(VLOOKUP(G336, 'PlayerGrades+'!$X$3:$Y$23, 2, FALSE)))+('PlayerGrades+'!$Y$49*(VLOOKUP(I336, 'PlayerGrades+'!$X$3:$Y$23, 2, FALSE)))+('PlayerGrades+'!$Y$50*(VLOOKUP(K336, 'PlayerGrades+'!$X$3:$Y$23, 2, FALSE)))+('PlayerGrades+'!$Y$51*(VLOOKUP(M336, 'PlayerGrades+'!$X$3:$Y$23, 2, FALSE)))+('PlayerGrades+'!$Y$52*(VLOOKUP(O336, 'PlayerGrades+'!$X$3:$Y$23, 2, FALSE)))+('PlayerGrades+'!$Y$53*(VLOOKUP(Q336, 'PlayerGrades+'!$X$3:$Y$23, 2, FALSE)))+('PlayerGrades+'!$Y$54*(VLOOKUP(S336, 'PlayerGrades+'!$X$3:$Y$23, 2, FALSE)))+('PlayerGrades+'!$Y$55*(VLOOKUP(U336, 'PlayerGrades+'!$X$3:$Y$23, 2, FALSE)))</f>
        <v>10.7</v>
      </c>
      <c r="D336" s="937">
        <f t="shared" si="1"/>
        <v>0</v>
      </c>
      <c r="E336" s="937" t="str">
        <f>IF(D336&lt;'PlayerGrades+'!$AA$21,"F-",IF(D336&lt;'PlayerGrades+'!$AA$20,"F",IF(D336&lt;'PlayerGrades+'!$AA$19,"F+",IF(D336&lt;'PlayerGrades+'!$AA$18,"E-",IF(D336&lt;'PlayerGrades+'!$AA$17,"E",IF(D336&lt;'PlayerGrades+'!$AA$16,"E+",IF(D336&lt;'PlayerGrades+'!$AA$15,"D-",IF(D336&lt;'PlayerGrades+'!$AA$14,"D",IF(D336&lt;'PlayerGrades+'!$AA$13,"D+",IF(D336&lt;'PlayerGrades+'!$AA$12,"C-",IF(D336&lt;'PlayerGrades+'!$AA$11,"C",IF(D336&lt;'PlayerGrades+'!$AA$10,"C+",IF(D336&lt;'PlayerGrades+'!$AA$9,"B-",IF(D336&lt;'PlayerGrades+'!$AA$8,"B",IF(D336&lt;'PlayerGrades+'!$AA$7,"B+",IF(D336&lt;'PlayerGrades+'!$AA$6,"A-",IF(D336&lt;'PlayerGrades+'!$AA$5,"A",IF(D336&lt;'PlayerGrades+'!$AA$4,"A+",IF(D336&lt;'PlayerGrades+'!$AA$3,"S-",IF(D336&lt;'PlayerGrades+'!$AA$2,"S","S+"))))))))))))))))))))</f>
        <v>F-</v>
      </c>
      <c r="F336" s="937">
        <f t="shared" si="2"/>
        <v>-0.8695652174</v>
      </c>
      <c r="G336" s="937" t="str">
        <f>IF(F336&lt;'PlayerGrades+'!$AB$21,"F-",IF(F336&lt;'PlayerGrades+'!$AB$20,"F",IF(F336&lt;'PlayerGrades+'!$AB$19,"F+",IF(F336&lt;'PlayerGrades+'!$AB$18,"E-",IF(F336&lt;'PlayerGrades+'!$AB$17,"E",IF(F336&lt;'PlayerGrades+'!$AB$16,"E+",IF(F336&lt;'PlayerGrades+'!$AB$15,"D-",IF(F336&lt;'PlayerGrades+'!$AB$14,"D",IF(F336&lt;'PlayerGrades+'!$AB$13,"D+",IF(F336&lt;'PlayerGrades+'!$AB$12,"C-",IF(F336&lt;'PlayerGrades+'!$AB$11,"C",IF(F336&lt;'PlayerGrades+'!$AB$10,"C+",IF(F336&lt;'PlayerGrades+'!$AB$9,"B-",IF(F336&lt;'PlayerGrades+'!$AB$8,"B",IF(F336&lt;'PlayerGrades+'!$AB$7,"B+",IF(F336&lt;'PlayerGrades+'!$AB$6,"A-",IF(F336&lt;'PlayerGrades+'!$AB$5,"A",IF(F336&lt;'PlayerGrades+'!$AB$4,"A+",IF(F336&lt;'PlayerGrades+'!$AB$3,"S-",IF(F336&lt;'PlayerGrades+'!$AB$2,"S","S+"))))))))))))))))))))</f>
        <v>E-</v>
      </c>
      <c r="H336" s="937">
        <f t="shared" si="3"/>
        <v>0.05797101449</v>
      </c>
      <c r="I336" s="937" t="str">
        <f>IF(H336&lt;'PlayerGrades+'!$AC$21,"F-",IF(H336&lt;'PlayerGrades+'!$AC$20,"F",IF(H336&lt;'PlayerGrades+'!$AC$19,"F+",IF(H336&lt;'PlayerGrades+'!$AC$18,"E-",IF(H336&lt;'PlayerGrades+'!$AC$17,"E",IF(H336&lt;'PlayerGrades+'!$AC$16,"E+",IF(H336&lt;'PlayerGrades+'!$AC$15,"D-",IF(H336&lt;'PlayerGrades+'!$AC$14,"D",IF(H336&lt;'PlayerGrades+'!$AC$13,"D+",IF(H336&lt;'PlayerGrades+'!$AC$12,"C-",IF(H336&lt;'PlayerGrades+'!$AC$11,"C",IF(H336&lt;'PlayerGrades+'!$AC$10,"C+",IF(H336&lt;'PlayerGrades+'!$AC$9,"B-",IF(H336&lt;'PlayerGrades+'!$AC$8,"B",IF(H336&lt;'PlayerGrades+'!$AC$7,"B+",IF(H336&lt;'PlayerGrades+'!$AC$6,"A-",IF(H336&lt;'PlayerGrades+'!$AC$5,"A",IF(H336&lt;'PlayerGrades+'!$AC$4,"A+",IF(H336&lt;'PlayerGrades+'!$AC$3,"S-",IF(H336&lt;'PlayerGrades+'!$AC$2,"S","S+"))))))))))))))))))))</f>
        <v>F+</v>
      </c>
      <c r="J336" s="937">
        <f t="shared" si="4"/>
        <v>0</v>
      </c>
      <c r="K336" s="937" t="str">
        <f>IF(J336&lt;'PlayerGrades+'!$AD$21,"F-",IF(J336&lt;'PlayerGrades+'!$AD$20,"F",IF(J336&lt;'PlayerGrades+'!$AD$19,"F+",IF(J336&lt;'PlayerGrades+'!$AD$18,"E-",IF(J336&lt;'PlayerGrades+'!$AD$17,"E",IF(J336&lt;'PlayerGrades+'!$AD$16,"E+",IF(J336&lt;'PlayerGrades+'!$AD$15,"D-",IF(J336&lt;'PlayerGrades+'!$AD$14,"D",IF(J336&lt;'PlayerGrades+'!$AD$13,"D+",IF(J336&lt;'PlayerGrades+'!$AD$12,"C-",IF(J336&lt;'PlayerGrades+'!$AD$11,"C",IF(J336&lt;'PlayerGrades+'!$AD$10,"C+",IF(J336&lt;'PlayerGrades+'!$AD$9,"B-",IF(J336&lt;'PlayerGrades+'!$AD$8,"B",IF(J336&lt;'PlayerGrades+'!$AD$7,"B+",IF(J336&lt;'PlayerGrades+'!$AD$6,"A-",IF(J336&lt;'PlayerGrades+'!$AD$5,"A",IF(J336&lt;'PlayerGrades+'!$AD$4,"A+",IF(J336&lt;'PlayerGrades+'!$AD$3,"S-",IF(J336&lt;'PlayerGrades+'!$AD$2,"S","S+"))))))))))))))))))))</f>
        <v>F-</v>
      </c>
      <c r="L336" s="677">
        <f t="shared" si="5"/>
        <v>0.347826087</v>
      </c>
      <c r="M336" s="938" t="str">
        <f>IF(L336&lt;'PlayerGrades+'!$AE$21,"F-",IF(L336&lt;'PlayerGrades+'!$AE$20,"F",IF(L336&lt;'PlayerGrades+'!$AE$19,"F+",IF(L336&lt;'PlayerGrades+'!$AE$18,"E-",IF(L336&lt;'PlayerGrades+'!$AE$17,"E",IF(L336&lt;'PlayerGrades+'!$AE$16,"E+",IF(L336&lt;'PlayerGrades+'!$AE$15,"D-",IF(L336&lt;'PlayerGrades+'!$AE$14,"D",IF(L336&lt;'PlayerGrades+'!$AE$13,"D+",IF(L336&lt;'PlayerGrades+'!$AE$12,"C-",IF(L336&lt;'PlayerGrades+'!$AE$11,"C",IF(L336&lt;'PlayerGrades+'!$AE$10,"C+",IF(L336&lt;'PlayerGrades+'!$AE$9,"B-",IF(L336&lt;'PlayerGrades+'!$AE$8,"B",IF(L336&lt;'PlayerGrades+'!$AE$7,"B+",IF(L336&lt;'PlayerGrades+'!$AE$6,"A-",IF(L336&lt;'PlayerGrades+'!$AE$5,"A",IF(L336&lt;'PlayerGrades+'!$AE$4,"A+",IF(L336&lt;'PlayerGrades+'!$AE$3,"S-",IF(L336&lt;'PlayerGrades+'!$AE$2,"S","S+"))))))))))))))))))))</f>
        <v>D</v>
      </c>
      <c r="N336" s="937">
        <f t="shared" si="6"/>
        <v>0.05797101449</v>
      </c>
      <c r="O336" s="937" t="str">
        <f>IF(N336&lt;'PlayerGrades+'!$AF$21,"F-",IF(N336&lt;'PlayerGrades+'!$AF$20,"F",IF(N336&lt;'PlayerGrades+'!$AF$19,"F+",IF(N336&lt;'PlayerGrades+'!$AF$18,"E-",IF(N336&lt;'PlayerGrades+'!$AF$17,"E",IF(N336&lt;'PlayerGrades+'!$AF$16,"E+",IF(N336&lt;'PlayerGrades+'!$AF$15,"D-",IF(N336&lt;'PlayerGrades+'!$AF$14,"D",IF(N336&lt;'PlayerGrades+'!$AF$13,"D+",IF(N336&lt;'PlayerGrades+'!$AF$12,"C-",IF(N336&lt;'PlayerGrades+'!$AF$11,"C",IF(N336&lt;'PlayerGrades+'!$AF$10,"C+",IF(N336&lt;'PlayerGrades+'!$AF$9,"B-",IF(N336&lt;'PlayerGrades+'!$AF$8,"B",IF(N336&lt;'PlayerGrades+'!$AF$7,"B+",IF(N336&lt;'PlayerGrades+'!$AF$6,"A-",IF(N336&lt;'PlayerGrades+'!$AF$5,"A",IF(N336&lt;'PlayerGrades+'!$AF$4,"A+",IF(N336&lt;'PlayerGrades+'!$AF$3,"S-",IF(N336&lt;'PlayerGrades+'!$AF$2,"S","S+"))))))))))))))))))))</f>
        <v>D+</v>
      </c>
      <c r="P336" s="937">
        <f t="shared" si="7"/>
        <v>0</v>
      </c>
      <c r="Q336" s="937" t="str">
        <f>IF(P336&lt;'PlayerGrades+'!$AG$21,"F-",IF(P336&lt;'PlayerGrades+'!$AG$20,"F",IF(P336&lt;'PlayerGrades+'!$AG$19,"F+",IF(P336&lt;'PlayerGrades+'!$AG$18,"E-",IF(P336&lt;'PlayerGrades+'!$AG$17,"E",IF(P336&lt;'PlayerGrades+'!$AG$16,"E+",IF(P336&lt;'PlayerGrades+'!$AG$15,"D-",IF(P336&lt;'PlayerGrades+'!$AG$14,"D",IF(P336&lt;'PlayerGrades+'!$AG$13,"D+",IF(P336&lt;'PlayerGrades+'!$AG$12,"C-",IF(P336&lt;'PlayerGrades+'!$AG$11,"C",IF(P336&lt;'PlayerGrades+'!$AG$10,"C+",IF(P336&lt;'PlayerGrades+'!$AG$9,"B-",IF(P336&lt;'PlayerGrades+'!$AG$8,"B",IF(P336&lt;'PlayerGrades+'!$AG$7,"B+",IF(P336&lt;'PlayerGrades+'!$AG$6,"A-",IF(P336&lt;'PlayerGrades+'!$AG$5,"A",IF(P336&lt;'PlayerGrades+'!$AG$4,"A+",IF(P336&lt;'PlayerGrades+'!$AG$3,"S-",IF(P336&lt;'PlayerGrades+'!$AG$2,"S","S+"))))))))))))))))))))</f>
        <v>F</v>
      </c>
      <c r="R336" s="937">
        <f t="shared" si="8"/>
        <v>0.5217391304</v>
      </c>
      <c r="S336" s="937" t="str">
        <f>IF(R336&lt;'PlayerGrades+'!$AH$21,"F-",IF(R336&lt;'PlayerGrades+'!$AH$20,"F",IF(R336&lt;'PlayerGrades+'!$AH$19,"F+",IF(R336&lt;'PlayerGrades+'!$AH$18,"E-",IF(R336&lt;'PlayerGrades+'!$AH$17,"E",IF(R336&lt;'PlayerGrades+'!$AH$16,"E+",IF(R336&lt;'PlayerGrades+'!$AH$15,"D-",IF(R336&lt;'PlayerGrades+'!$AH$14,"D",IF(R336&lt;'PlayerGrades+'!$AH$13,"D+",IF(R336&lt;'PlayerGrades+'!$AH$12,"C-",IF(R336&lt;'PlayerGrades+'!$AH$11,"C",IF(R336&lt;'PlayerGrades+'!$AH$10,"C+",IF(R336&lt;'PlayerGrades+'!$AH$9,"B-",IF(R336&lt;'PlayerGrades+'!$AH$8,"B",IF(R336&lt;'PlayerGrades+'!$AH$7,"B+",IF(R336&lt;'PlayerGrades+'!$AH$6,"A-",IF(R336&lt;'PlayerGrades+'!$AH$5,"A",IF(R336&lt;'PlayerGrades+'!$AH$4,"A+",IF(R336&lt;'PlayerGrades+'!$AH$3,"S-",IF(R336&lt;'PlayerGrades+'!$AH$2,"S","S+"))))))))))))))))))))</f>
        <v>C-</v>
      </c>
      <c r="T336" s="937">
        <f t="shared" si="9"/>
        <v>0.5217391304</v>
      </c>
      <c r="U336" s="937" t="str">
        <f>IF(T336&lt;'PlayerGrades+'!$AI$21,"F-",IF(T336&lt;'PlayerGrades+'!$AI$20,"F",IF(T336&lt;'PlayerGrades+'!$AI$19,"F+",IF(T336&lt;'PlayerGrades+'!$AI$18,"E-",IF(T336&lt;'PlayerGrades+'!$AI$17,"E",IF(T336&lt;'PlayerGrades+'!$AI$16,"E+",IF(T336&lt;'PlayerGrades+'!$AI$15,"D-",IF(T336&lt;'PlayerGrades+'!$AI$14,"D",IF(T336&lt;'PlayerGrades+'!$AI$13,"D+",IF(T336&lt;'PlayerGrades+'!$AI$12,"C-",IF(T336&lt;'PlayerGrades+'!$AI$11,"C",IF(T336&lt;'PlayerGrades+'!$AI$10,"C+",IF(T336&lt;'PlayerGrades+'!$AI$9,"B-",IF(T336&lt;'PlayerGrades+'!$AI$8,"B",IF(T336&lt;'PlayerGrades+'!$AI$7,"B+",IF(T336&lt;'PlayerGrades+'!$AI$6,"A-",IF(T336&lt;'PlayerGrades+'!$AI$5,"A",IF(T336&lt;'PlayerGrades+'!$AI$4,"A+",IF(T336&lt;'PlayerGrades+'!$AI$3,"S-",IF(T336&lt;'PlayerGrades+'!$AI$2,"S","S+"))))))))))))))))))))</f>
        <v>F-</v>
      </c>
      <c r="V336" s="941">
        <v>1.0</v>
      </c>
      <c r="W336" s="941">
        <v>0.0</v>
      </c>
      <c r="X336" s="941">
        <v>1.0</v>
      </c>
      <c r="Y336" s="941">
        <v>0.0</v>
      </c>
      <c r="Z336" s="941">
        <v>0.0</v>
      </c>
      <c r="AA336" s="941">
        <v>38.0</v>
      </c>
      <c r="AB336" s="941">
        <v>53.0</v>
      </c>
      <c r="AC336" s="941">
        <v>-15.0</v>
      </c>
      <c r="AD336" s="941">
        <v>2.0</v>
      </c>
      <c r="AE336" s="941">
        <v>3.0</v>
      </c>
      <c r="AF336" s="941">
        <v>0.0</v>
      </c>
      <c r="AG336" s="941">
        <v>796.0</v>
      </c>
      <c r="AH336" s="941">
        <v>1035.0</v>
      </c>
      <c r="AI336" s="941">
        <v>15.0</v>
      </c>
      <c r="AJ336" s="941">
        <v>3.0</v>
      </c>
      <c r="AK336" s="941">
        <v>0.0</v>
      </c>
      <c r="AL336" s="941">
        <v>0.0</v>
      </c>
      <c r="AM336" s="941">
        <v>0.0</v>
      </c>
      <c r="AN336" s="941">
        <v>0.0</v>
      </c>
      <c r="AO336" s="941">
        <v>0.0</v>
      </c>
      <c r="AP336" s="941">
        <v>0.0</v>
      </c>
      <c r="AQ336" s="941">
        <v>0.0</v>
      </c>
      <c r="AR336" s="941">
        <v>6.0</v>
      </c>
      <c r="AS336" s="941">
        <v>1.0</v>
      </c>
      <c r="AT336" s="941">
        <v>0.0</v>
      </c>
      <c r="AU336" s="941">
        <v>0.0</v>
      </c>
      <c r="AV336" s="941">
        <v>0.0</v>
      </c>
      <c r="AW336" s="941">
        <v>0.0</v>
      </c>
      <c r="AX336" s="941">
        <v>0.0</v>
      </c>
      <c r="AY336" s="941">
        <v>0.0</v>
      </c>
      <c r="AZ336" s="941">
        <v>0.0</v>
      </c>
      <c r="BA336" s="941">
        <v>0.0</v>
      </c>
      <c r="BB336" s="941">
        <v>1.0</v>
      </c>
      <c r="BC336" s="941">
        <v>0.0</v>
      </c>
      <c r="BD336" s="941">
        <v>7.0</v>
      </c>
      <c r="BE336" s="941">
        <v>9.0</v>
      </c>
      <c r="BF336" s="941">
        <v>0.0</v>
      </c>
      <c r="BG336" s="942">
        <v>1.0</v>
      </c>
    </row>
    <row r="337">
      <c r="A337" s="943" t="s">
        <v>120</v>
      </c>
      <c r="B337" s="16" t="str">
        <f>IF(C337&lt;'PlayerGrades+'!$Y$44,"F-",IF(C337&lt;'PlayerGrades+'!$Y$43,"F",IF(C337&lt;'PlayerGrades+'!$Y$42,"F+",IF(C337&lt;'PlayerGrades+'!$Y$41,"E-",IF(C337&lt;'PlayerGrades+'!$Y$40,"E",IF(C337&lt;'PlayerGrades+'!$Y$39,"E+",IF(C337&lt;'PlayerGrades+'!$Y$38,"D-",IF(C337&lt;'PlayerGrades+'!$Y$37,"D",IF(C337&lt;'PlayerGrades+'!$Y$36,"D+",IF(C337&lt;'PlayerGrades+'!$Y$35,"C-",IF(C337&lt;'PlayerGrades+'!$Y$34,"C",IF(C337&lt;'PlayerGrades+'!$Y$33,"C+",IF(C337&lt;'PlayerGrades+'!$Y$32,"B-",IF(C337&lt;'PlayerGrades+'!$Y$31,"B",IF(C337&lt;'PlayerGrades+'!$Y$30,"B+",IF(C337&lt;'PlayerGrades+'!$Y$29,"A-",IF(C337&lt;'PlayerGrades+'!$Y$28,"A",IF(C337&lt;'PlayerGrades+'!$Y$27,"A+",IF(C337&lt;'PlayerGrades+'!$Y$26,"S-",IF(C337&lt;'PlayerGrades+'!$Y$25,"S","S+"))))))))))))))))))))</f>
        <v>B+</v>
      </c>
      <c r="C337" s="936">
        <f>('PlayerGrades+'!$Y$47*(VLOOKUP(E337, 'PlayerGrades+'!$X$3:$Y$23, 2, FALSE)))+('PlayerGrades+'!$Y$48*(VLOOKUP(G337, 'PlayerGrades+'!$X$3:$Y$23, 2, FALSE)))+('PlayerGrades+'!$Y$49*(VLOOKUP(I337, 'PlayerGrades+'!$X$3:$Y$23, 2, FALSE)))+('PlayerGrades+'!$Y$50*(VLOOKUP(K337, 'PlayerGrades+'!$X$3:$Y$23, 2, FALSE)))+('PlayerGrades+'!$Y$51*(VLOOKUP(M337, 'PlayerGrades+'!$X$3:$Y$23, 2, FALSE)))+('PlayerGrades+'!$Y$52*(VLOOKUP(O337, 'PlayerGrades+'!$X$3:$Y$23, 2, FALSE)))+('PlayerGrades+'!$Y$53*(VLOOKUP(Q337, 'PlayerGrades+'!$X$3:$Y$23, 2, FALSE)))+('PlayerGrades+'!$Y$54*(VLOOKUP(S337, 'PlayerGrades+'!$X$3:$Y$23, 2, FALSE)))+('PlayerGrades+'!$Y$55*(VLOOKUP(U337, 'PlayerGrades+'!$X$3:$Y$23, 2, FALSE)))</f>
        <v>24.2</v>
      </c>
      <c r="D337" s="937">
        <f t="shared" si="1"/>
        <v>0</v>
      </c>
      <c r="E337" s="937" t="str">
        <f>IF(D337&lt;'PlayerGrades+'!$AA$21,"F-",IF(D337&lt;'PlayerGrades+'!$AA$20,"F",IF(D337&lt;'PlayerGrades+'!$AA$19,"F+",IF(D337&lt;'PlayerGrades+'!$AA$18,"E-",IF(D337&lt;'PlayerGrades+'!$AA$17,"E",IF(D337&lt;'PlayerGrades+'!$AA$16,"E+",IF(D337&lt;'PlayerGrades+'!$AA$15,"D-",IF(D337&lt;'PlayerGrades+'!$AA$14,"D",IF(D337&lt;'PlayerGrades+'!$AA$13,"D+",IF(D337&lt;'PlayerGrades+'!$AA$12,"C-",IF(D337&lt;'PlayerGrades+'!$AA$11,"C",IF(D337&lt;'PlayerGrades+'!$AA$10,"C+",IF(D337&lt;'PlayerGrades+'!$AA$9,"B-",IF(D337&lt;'PlayerGrades+'!$AA$8,"B",IF(D337&lt;'PlayerGrades+'!$AA$7,"B+",IF(D337&lt;'PlayerGrades+'!$AA$6,"A-",IF(D337&lt;'PlayerGrades+'!$AA$5,"A",IF(D337&lt;'PlayerGrades+'!$AA$4,"A+",IF(D337&lt;'PlayerGrades+'!$AA$3,"S-",IF(D337&lt;'PlayerGrades+'!$AA$2,"S","S+"))))))))))))))))))))</f>
        <v>F-</v>
      </c>
      <c r="F337" s="937">
        <f t="shared" si="2"/>
        <v>-0.5217391304</v>
      </c>
      <c r="G337" s="937" t="str">
        <f>IF(F337&lt;'PlayerGrades+'!$AB$21,"F-",IF(F337&lt;'PlayerGrades+'!$AB$20,"F",IF(F337&lt;'PlayerGrades+'!$AB$19,"F+",IF(F337&lt;'PlayerGrades+'!$AB$18,"E-",IF(F337&lt;'PlayerGrades+'!$AB$17,"E",IF(F337&lt;'PlayerGrades+'!$AB$16,"E+",IF(F337&lt;'PlayerGrades+'!$AB$15,"D-",IF(F337&lt;'PlayerGrades+'!$AB$14,"D",IF(F337&lt;'PlayerGrades+'!$AB$13,"D+",IF(F337&lt;'PlayerGrades+'!$AB$12,"C-",IF(F337&lt;'PlayerGrades+'!$AB$11,"C",IF(F337&lt;'PlayerGrades+'!$AB$10,"C+",IF(F337&lt;'PlayerGrades+'!$AB$9,"B-",IF(F337&lt;'PlayerGrades+'!$AB$8,"B",IF(F337&lt;'PlayerGrades+'!$AB$7,"B+",IF(F337&lt;'PlayerGrades+'!$AB$6,"A-",IF(F337&lt;'PlayerGrades+'!$AB$5,"A",IF(F337&lt;'PlayerGrades+'!$AB$4,"A+",IF(F337&lt;'PlayerGrades+'!$AB$3,"S-",IF(F337&lt;'PlayerGrades+'!$AB$2,"S","S+"))))))))))))))))))))</f>
        <v>D</v>
      </c>
      <c r="H337" s="937">
        <f t="shared" si="3"/>
        <v>0.231884058</v>
      </c>
      <c r="I337" s="937" t="str">
        <f>IF(H337&lt;'PlayerGrades+'!$AC$21,"F-",IF(H337&lt;'PlayerGrades+'!$AC$20,"F",IF(H337&lt;'PlayerGrades+'!$AC$19,"F+",IF(H337&lt;'PlayerGrades+'!$AC$18,"E-",IF(H337&lt;'PlayerGrades+'!$AC$17,"E",IF(H337&lt;'PlayerGrades+'!$AC$16,"E+",IF(H337&lt;'PlayerGrades+'!$AC$15,"D-",IF(H337&lt;'PlayerGrades+'!$AC$14,"D",IF(H337&lt;'PlayerGrades+'!$AC$13,"D+",IF(H337&lt;'PlayerGrades+'!$AC$12,"C-",IF(H337&lt;'PlayerGrades+'!$AC$11,"C",IF(H337&lt;'PlayerGrades+'!$AC$10,"C+",IF(H337&lt;'PlayerGrades+'!$AC$9,"B-",IF(H337&lt;'PlayerGrades+'!$AC$8,"B",IF(H337&lt;'PlayerGrades+'!$AC$7,"B+",IF(H337&lt;'PlayerGrades+'!$AC$6,"A-",IF(H337&lt;'PlayerGrades+'!$AC$5,"A",IF(H337&lt;'PlayerGrades+'!$AC$4,"A+",IF(H337&lt;'PlayerGrades+'!$AC$3,"S-",IF(H337&lt;'PlayerGrades+'!$AC$2,"S","S+"))))))))))))))))))))</f>
        <v>S</v>
      </c>
      <c r="J337" s="937">
        <f t="shared" si="4"/>
        <v>0.05797101449</v>
      </c>
      <c r="K337" s="937" t="str">
        <f>IF(J337&lt;'PlayerGrades+'!$AD$21,"F-",IF(J337&lt;'PlayerGrades+'!$AD$20,"F",IF(J337&lt;'PlayerGrades+'!$AD$19,"F+",IF(J337&lt;'PlayerGrades+'!$AD$18,"E-",IF(J337&lt;'PlayerGrades+'!$AD$17,"E",IF(J337&lt;'PlayerGrades+'!$AD$16,"E+",IF(J337&lt;'PlayerGrades+'!$AD$15,"D-",IF(J337&lt;'PlayerGrades+'!$AD$14,"D",IF(J337&lt;'PlayerGrades+'!$AD$13,"D+",IF(J337&lt;'PlayerGrades+'!$AD$12,"C-",IF(J337&lt;'PlayerGrades+'!$AD$11,"C",IF(J337&lt;'PlayerGrades+'!$AD$10,"C+",IF(J337&lt;'PlayerGrades+'!$AD$9,"B-",IF(J337&lt;'PlayerGrades+'!$AD$8,"B",IF(J337&lt;'PlayerGrades+'!$AD$7,"B+",IF(J337&lt;'PlayerGrades+'!$AD$6,"A-",IF(J337&lt;'PlayerGrades+'!$AD$5,"A",IF(J337&lt;'PlayerGrades+'!$AD$4,"A+",IF(J337&lt;'PlayerGrades+'!$AD$3,"S-",IF(J337&lt;'PlayerGrades+'!$AD$2,"S","S+"))))))))))))))))))))</f>
        <v>B+</v>
      </c>
      <c r="L337" s="677">
        <f t="shared" si="5"/>
        <v>0.5217391304</v>
      </c>
      <c r="M337" s="938" t="str">
        <f>IF(L337&lt;'PlayerGrades+'!$AE$21,"F-",IF(L337&lt;'PlayerGrades+'!$AE$20,"F",IF(L337&lt;'PlayerGrades+'!$AE$19,"F+",IF(L337&lt;'PlayerGrades+'!$AE$18,"E-",IF(L337&lt;'PlayerGrades+'!$AE$17,"E",IF(L337&lt;'PlayerGrades+'!$AE$16,"E+",IF(L337&lt;'PlayerGrades+'!$AE$15,"D-",IF(L337&lt;'PlayerGrades+'!$AE$14,"D",IF(L337&lt;'PlayerGrades+'!$AE$13,"D+",IF(L337&lt;'PlayerGrades+'!$AE$12,"C-",IF(L337&lt;'PlayerGrades+'!$AE$11,"C",IF(L337&lt;'PlayerGrades+'!$AE$10,"C+",IF(L337&lt;'PlayerGrades+'!$AE$9,"B-",IF(L337&lt;'PlayerGrades+'!$AE$8,"B",IF(L337&lt;'PlayerGrades+'!$AE$7,"B+",IF(L337&lt;'PlayerGrades+'!$AE$6,"A-",IF(L337&lt;'PlayerGrades+'!$AE$5,"A",IF(L337&lt;'PlayerGrades+'!$AE$4,"A+",IF(L337&lt;'PlayerGrades+'!$AE$3,"S-",IF(L337&lt;'PlayerGrades+'!$AE$2,"S","S+"))))))))))))))))))))</f>
        <v>A-</v>
      </c>
      <c r="N337" s="937">
        <f t="shared" si="6"/>
        <v>0.1739130435</v>
      </c>
      <c r="O337" s="937" t="str">
        <f>IF(N337&lt;'PlayerGrades+'!$AF$21,"F-",IF(N337&lt;'PlayerGrades+'!$AF$20,"F",IF(N337&lt;'PlayerGrades+'!$AF$19,"F+",IF(N337&lt;'PlayerGrades+'!$AF$18,"E-",IF(N337&lt;'PlayerGrades+'!$AF$17,"E",IF(N337&lt;'PlayerGrades+'!$AF$16,"E+",IF(N337&lt;'PlayerGrades+'!$AF$15,"D-",IF(N337&lt;'PlayerGrades+'!$AF$14,"D",IF(N337&lt;'PlayerGrades+'!$AF$13,"D+",IF(N337&lt;'PlayerGrades+'!$AF$12,"C-",IF(N337&lt;'PlayerGrades+'!$AF$11,"C",IF(N337&lt;'PlayerGrades+'!$AF$10,"C+",IF(N337&lt;'PlayerGrades+'!$AF$9,"B-",IF(N337&lt;'PlayerGrades+'!$AF$8,"B",IF(N337&lt;'PlayerGrades+'!$AF$7,"B+",IF(N337&lt;'PlayerGrades+'!$AF$6,"A-",IF(N337&lt;'PlayerGrades+'!$AF$5,"A",IF(N337&lt;'PlayerGrades+'!$AF$4,"A+",IF(N337&lt;'PlayerGrades+'!$AF$3,"S-",IF(N337&lt;'PlayerGrades+'!$AF$2,"S","S+"))))))))))))))))))))</f>
        <v>S+</v>
      </c>
      <c r="P337" s="937">
        <f t="shared" si="7"/>
        <v>0.05797101449</v>
      </c>
      <c r="Q337" s="937" t="str">
        <f>IF(P337&lt;'PlayerGrades+'!$AG$21,"F-",IF(P337&lt;'PlayerGrades+'!$AG$20,"F",IF(P337&lt;'PlayerGrades+'!$AG$19,"F+",IF(P337&lt;'PlayerGrades+'!$AG$18,"E-",IF(P337&lt;'PlayerGrades+'!$AG$17,"E",IF(P337&lt;'PlayerGrades+'!$AG$16,"E+",IF(P337&lt;'PlayerGrades+'!$AG$15,"D-",IF(P337&lt;'PlayerGrades+'!$AG$14,"D",IF(P337&lt;'PlayerGrades+'!$AG$13,"D+",IF(P337&lt;'PlayerGrades+'!$AG$12,"C-",IF(P337&lt;'PlayerGrades+'!$AG$11,"C",IF(P337&lt;'PlayerGrades+'!$AG$10,"C+",IF(P337&lt;'PlayerGrades+'!$AG$9,"B-",IF(P337&lt;'PlayerGrades+'!$AG$8,"B",IF(P337&lt;'PlayerGrades+'!$AG$7,"B+",IF(P337&lt;'PlayerGrades+'!$AG$6,"A-",IF(P337&lt;'PlayerGrades+'!$AG$5,"A",IF(P337&lt;'PlayerGrades+'!$AG$4,"A+",IF(P337&lt;'PlayerGrades+'!$AG$3,"S-",IF(P337&lt;'PlayerGrades+'!$AG$2,"S","S+"))))))))))))))))))))</f>
        <v>A</v>
      </c>
      <c r="R337" s="937">
        <f t="shared" si="8"/>
        <v>0.5797101449</v>
      </c>
      <c r="S337" s="937" t="str">
        <f>IF(R337&lt;'PlayerGrades+'!$AH$21,"F-",IF(R337&lt;'PlayerGrades+'!$AH$20,"F",IF(R337&lt;'PlayerGrades+'!$AH$19,"F+",IF(R337&lt;'PlayerGrades+'!$AH$18,"E-",IF(R337&lt;'PlayerGrades+'!$AH$17,"E",IF(R337&lt;'PlayerGrades+'!$AH$16,"E+",IF(R337&lt;'PlayerGrades+'!$AH$15,"D-",IF(R337&lt;'PlayerGrades+'!$AH$14,"D",IF(R337&lt;'PlayerGrades+'!$AH$13,"D+",IF(R337&lt;'PlayerGrades+'!$AH$12,"C-",IF(R337&lt;'PlayerGrades+'!$AH$11,"C",IF(R337&lt;'PlayerGrades+'!$AH$10,"C+",IF(R337&lt;'PlayerGrades+'!$AH$9,"B-",IF(R337&lt;'PlayerGrades+'!$AH$8,"B",IF(R337&lt;'PlayerGrades+'!$AH$7,"B+",IF(R337&lt;'PlayerGrades+'!$AH$6,"A-",IF(R337&lt;'PlayerGrades+'!$AH$5,"A",IF(R337&lt;'PlayerGrades+'!$AH$4,"A+",IF(R337&lt;'PlayerGrades+'!$AH$3,"S-",IF(R337&lt;'PlayerGrades+'!$AH$2,"S","S+"))))))))))))))))))))</f>
        <v>B</v>
      </c>
      <c r="T337" s="937">
        <f t="shared" si="9"/>
        <v>0.6376811594</v>
      </c>
      <c r="U337" s="937" t="str">
        <f>IF(T337&lt;'PlayerGrades+'!$AI$21,"F-",IF(T337&lt;'PlayerGrades+'!$AI$20,"F",IF(T337&lt;'PlayerGrades+'!$AI$19,"F+",IF(T337&lt;'PlayerGrades+'!$AI$18,"E-",IF(T337&lt;'PlayerGrades+'!$AI$17,"E",IF(T337&lt;'PlayerGrades+'!$AI$16,"E+",IF(T337&lt;'PlayerGrades+'!$AI$15,"D-",IF(T337&lt;'PlayerGrades+'!$AI$14,"D",IF(T337&lt;'PlayerGrades+'!$AI$13,"D+",IF(T337&lt;'PlayerGrades+'!$AI$12,"C-",IF(T337&lt;'PlayerGrades+'!$AI$11,"C",IF(T337&lt;'PlayerGrades+'!$AI$10,"C+",IF(T337&lt;'PlayerGrades+'!$AI$9,"B-",IF(T337&lt;'PlayerGrades+'!$AI$8,"B",IF(T337&lt;'PlayerGrades+'!$AI$7,"B+",IF(T337&lt;'PlayerGrades+'!$AI$6,"A-",IF(T337&lt;'PlayerGrades+'!$AI$5,"A",IF(T337&lt;'PlayerGrades+'!$AI$4,"A+",IF(T337&lt;'PlayerGrades+'!$AI$3,"S-",IF(T337&lt;'PlayerGrades+'!$AI$2,"S","S+"))))))))))))))))))))</f>
        <v>F-</v>
      </c>
      <c r="V337" s="944">
        <v>1.0</v>
      </c>
      <c r="W337" s="944">
        <v>0.0</v>
      </c>
      <c r="X337" s="944">
        <v>1.0</v>
      </c>
      <c r="Y337" s="944">
        <v>0.0</v>
      </c>
      <c r="Z337" s="944">
        <v>0.0</v>
      </c>
      <c r="AA337" s="944">
        <v>54.0</v>
      </c>
      <c r="AB337" s="944">
        <v>63.0</v>
      </c>
      <c r="AC337" s="944">
        <v>-9.0</v>
      </c>
      <c r="AD337" s="944">
        <v>5.0</v>
      </c>
      <c r="AE337" s="944">
        <v>5.0</v>
      </c>
      <c r="AF337" s="944">
        <v>2.0</v>
      </c>
      <c r="AG337" s="944">
        <v>765.0</v>
      </c>
      <c r="AH337" s="944">
        <v>1035.0</v>
      </c>
      <c r="AI337" s="944">
        <v>12.0</v>
      </c>
      <c r="AJ337" s="944">
        <v>4.0</v>
      </c>
      <c r="AK337" s="944">
        <v>0.0</v>
      </c>
      <c r="AL337" s="944">
        <v>1.0</v>
      </c>
      <c r="AM337" s="944">
        <v>0.0</v>
      </c>
      <c r="AN337" s="944">
        <v>0.0</v>
      </c>
      <c r="AO337" s="944">
        <v>0.0</v>
      </c>
      <c r="AP337" s="944">
        <v>1.0</v>
      </c>
      <c r="AQ337" s="944">
        <v>0.0</v>
      </c>
      <c r="AR337" s="944">
        <v>9.0</v>
      </c>
      <c r="AS337" s="944">
        <v>3.0</v>
      </c>
      <c r="AT337" s="944">
        <v>0.0</v>
      </c>
      <c r="AU337" s="944">
        <v>0.0</v>
      </c>
      <c r="AV337" s="944">
        <v>0.0</v>
      </c>
      <c r="AW337" s="944">
        <v>0.0</v>
      </c>
      <c r="AX337" s="944">
        <v>0.0</v>
      </c>
      <c r="AY337" s="944">
        <v>0.0</v>
      </c>
      <c r="AZ337" s="944">
        <v>0.0</v>
      </c>
      <c r="BA337" s="944">
        <v>0.0</v>
      </c>
      <c r="BB337" s="944">
        <v>4.0</v>
      </c>
      <c r="BC337" s="944">
        <v>0.0</v>
      </c>
      <c r="BD337" s="944">
        <v>5.0</v>
      </c>
      <c r="BE337" s="944">
        <v>11.0</v>
      </c>
      <c r="BF337" s="944">
        <v>0.0</v>
      </c>
      <c r="BG337" s="945">
        <v>1.0</v>
      </c>
    </row>
    <row r="338">
      <c r="A338" s="946" t="s">
        <v>153</v>
      </c>
      <c r="B338" s="16" t="str">
        <f>IF(C338&lt;'PlayerGrades+'!$Y$44,"F-",IF(C338&lt;'PlayerGrades+'!$Y$43,"F",IF(C338&lt;'PlayerGrades+'!$Y$42,"F+",IF(C338&lt;'PlayerGrades+'!$Y$41,"E-",IF(C338&lt;'PlayerGrades+'!$Y$40,"E",IF(C338&lt;'PlayerGrades+'!$Y$39,"E+",IF(C338&lt;'PlayerGrades+'!$Y$38,"D-",IF(C338&lt;'PlayerGrades+'!$Y$37,"D",IF(C338&lt;'PlayerGrades+'!$Y$36,"D+",IF(C338&lt;'PlayerGrades+'!$Y$35,"C-",IF(C338&lt;'PlayerGrades+'!$Y$34,"C",IF(C338&lt;'PlayerGrades+'!$Y$33,"C+",IF(C338&lt;'PlayerGrades+'!$Y$32,"B-",IF(C338&lt;'PlayerGrades+'!$Y$31,"B",IF(C338&lt;'PlayerGrades+'!$Y$30,"B+",IF(C338&lt;'PlayerGrades+'!$Y$29,"A-",IF(C338&lt;'PlayerGrades+'!$Y$28,"A",IF(C338&lt;'PlayerGrades+'!$Y$27,"A+",IF(C338&lt;'PlayerGrades+'!$Y$26,"S-",IF(C338&lt;'PlayerGrades+'!$Y$25,"S","S+"))))))))))))))))))))</f>
        <v>D-</v>
      </c>
      <c r="C338" s="936">
        <f>('PlayerGrades+'!$Y$47*(VLOOKUP(E338, 'PlayerGrades+'!$X$3:$Y$23, 2, FALSE)))+('PlayerGrades+'!$Y$48*(VLOOKUP(G338, 'PlayerGrades+'!$X$3:$Y$23, 2, FALSE)))+('PlayerGrades+'!$Y$49*(VLOOKUP(I338, 'PlayerGrades+'!$X$3:$Y$23, 2, FALSE)))+('PlayerGrades+'!$Y$50*(VLOOKUP(K338, 'PlayerGrades+'!$X$3:$Y$23, 2, FALSE)))+('PlayerGrades+'!$Y$51*(VLOOKUP(M338, 'PlayerGrades+'!$X$3:$Y$23, 2, FALSE)))+('PlayerGrades+'!$Y$52*(VLOOKUP(O338, 'PlayerGrades+'!$X$3:$Y$23, 2, FALSE)))+('PlayerGrades+'!$Y$53*(VLOOKUP(Q338, 'PlayerGrades+'!$X$3:$Y$23, 2, FALSE)))+('PlayerGrades+'!$Y$54*(VLOOKUP(S338, 'PlayerGrades+'!$X$3:$Y$23, 2, FALSE)))+('PlayerGrades+'!$Y$55*(VLOOKUP(U338, 'PlayerGrades+'!$X$3:$Y$23, 2, FALSE)))</f>
        <v>14.5</v>
      </c>
      <c r="D338" s="937">
        <f t="shared" si="1"/>
        <v>0.4146100691</v>
      </c>
      <c r="E338" s="937" t="str">
        <f>IF(D338&lt;'PlayerGrades+'!$AA$21,"F-",IF(D338&lt;'PlayerGrades+'!$AA$20,"F",IF(D338&lt;'PlayerGrades+'!$AA$19,"F+",IF(D338&lt;'PlayerGrades+'!$AA$18,"E-",IF(D338&lt;'PlayerGrades+'!$AA$17,"E",IF(D338&lt;'PlayerGrades+'!$AA$16,"E+",IF(D338&lt;'PlayerGrades+'!$AA$15,"D-",IF(D338&lt;'PlayerGrades+'!$AA$14,"D",IF(D338&lt;'PlayerGrades+'!$AA$13,"D+",IF(D338&lt;'PlayerGrades+'!$AA$12,"C-",IF(D338&lt;'PlayerGrades+'!$AA$11,"C",IF(D338&lt;'PlayerGrades+'!$AA$10,"C+",IF(D338&lt;'PlayerGrades+'!$AA$9,"B-",IF(D338&lt;'PlayerGrades+'!$AA$8,"B",IF(D338&lt;'PlayerGrades+'!$AA$7,"B+",IF(D338&lt;'PlayerGrades+'!$AA$6,"A-",IF(D338&lt;'PlayerGrades+'!$AA$5,"A",IF(D338&lt;'PlayerGrades+'!$AA$4,"A+",IF(D338&lt;'PlayerGrades+'!$AA$3,"S-",IF(D338&lt;'PlayerGrades+'!$AA$2,"S","S+"))))))))))))))))))))</f>
        <v>A+</v>
      </c>
      <c r="F338" s="937">
        <f t="shared" si="2"/>
        <v>-0.6219151037</v>
      </c>
      <c r="G338" s="937" t="str">
        <f>IF(F338&lt;'PlayerGrades+'!$AB$21,"F-",IF(F338&lt;'PlayerGrades+'!$AB$20,"F",IF(F338&lt;'PlayerGrades+'!$AB$19,"F+",IF(F338&lt;'PlayerGrades+'!$AB$18,"E-",IF(F338&lt;'PlayerGrades+'!$AB$17,"E",IF(F338&lt;'PlayerGrades+'!$AB$16,"E+",IF(F338&lt;'PlayerGrades+'!$AB$15,"D-",IF(F338&lt;'PlayerGrades+'!$AB$14,"D",IF(F338&lt;'PlayerGrades+'!$AB$13,"D+",IF(F338&lt;'PlayerGrades+'!$AB$12,"C-",IF(F338&lt;'PlayerGrades+'!$AB$11,"C",IF(F338&lt;'PlayerGrades+'!$AB$10,"C+",IF(F338&lt;'PlayerGrades+'!$AB$9,"B-",IF(F338&lt;'PlayerGrades+'!$AB$8,"B",IF(F338&lt;'PlayerGrades+'!$AB$7,"B+",IF(F338&lt;'PlayerGrades+'!$AB$6,"A-",IF(F338&lt;'PlayerGrades+'!$AB$5,"A",IF(F338&lt;'PlayerGrades+'!$AB$4,"A+",IF(F338&lt;'PlayerGrades+'!$AB$3,"S-",IF(F338&lt;'PlayerGrades+'!$AB$2,"S","S+"))))))))))))))))))))</f>
        <v>D-</v>
      </c>
      <c r="H338" s="937">
        <f t="shared" si="3"/>
        <v>0.1480750247</v>
      </c>
      <c r="I338" s="937" t="str">
        <f>IF(H338&lt;'PlayerGrades+'!$AC$21,"F-",IF(H338&lt;'PlayerGrades+'!$AC$20,"F",IF(H338&lt;'PlayerGrades+'!$AC$19,"F+",IF(H338&lt;'PlayerGrades+'!$AC$18,"E-",IF(H338&lt;'PlayerGrades+'!$AC$17,"E",IF(H338&lt;'PlayerGrades+'!$AC$16,"E+",IF(H338&lt;'PlayerGrades+'!$AC$15,"D-",IF(H338&lt;'PlayerGrades+'!$AC$14,"D",IF(H338&lt;'PlayerGrades+'!$AC$13,"D+",IF(H338&lt;'PlayerGrades+'!$AC$12,"C-",IF(H338&lt;'PlayerGrades+'!$AC$11,"C",IF(H338&lt;'PlayerGrades+'!$AC$10,"C+",IF(H338&lt;'PlayerGrades+'!$AC$9,"B-",IF(H338&lt;'PlayerGrades+'!$AC$8,"B",IF(H338&lt;'PlayerGrades+'!$AC$7,"B+",IF(H338&lt;'PlayerGrades+'!$AC$6,"A-",IF(H338&lt;'PlayerGrades+'!$AC$5,"A",IF(H338&lt;'PlayerGrades+'!$AC$4,"A+",IF(H338&lt;'PlayerGrades+'!$AC$3,"S-",IF(H338&lt;'PlayerGrades+'!$AC$2,"S","S+"))))))))))))))))))))</f>
        <v>A</v>
      </c>
      <c r="J338" s="937">
        <f t="shared" si="4"/>
        <v>0.02961500494</v>
      </c>
      <c r="K338" s="937" t="str">
        <f>IF(J338&lt;'PlayerGrades+'!$AD$21,"F-",IF(J338&lt;'PlayerGrades+'!$AD$20,"F",IF(J338&lt;'PlayerGrades+'!$AD$19,"F+",IF(J338&lt;'PlayerGrades+'!$AD$18,"E-",IF(J338&lt;'PlayerGrades+'!$AD$17,"E",IF(J338&lt;'PlayerGrades+'!$AD$16,"E+",IF(J338&lt;'PlayerGrades+'!$AD$15,"D-",IF(J338&lt;'PlayerGrades+'!$AD$14,"D",IF(J338&lt;'PlayerGrades+'!$AD$13,"D+",IF(J338&lt;'PlayerGrades+'!$AD$12,"C-",IF(J338&lt;'PlayerGrades+'!$AD$11,"C",IF(J338&lt;'PlayerGrades+'!$AD$10,"C+",IF(J338&lt;'PlayerGrades+'!$AD$9,"B-",IF(J338&lt;'PlayerGrades+'!$AD$8,"B",IF(J338&lt;'PlayerGrades+'!$AD$7,"B+",IF(J338&lt;'PlayerGrades+'!$AD$6,"A-",IF(J338&lt;'PlayerGrades+'!$AD$5,"A",IF(J338&lt;'PlayerGrades+'!$AD$4,"A+",IF(J338&lt;'PlayerGrades+'!$AD$3,"S-",IF(J338&lt;'PlayerGrades+'!$AD$2,"S","S+"))))))))))))))))))))</f>
        <v>C-</v>
      </c>
      <c r="L338" s="677">
        <f t="shared" si="5"/>
        <v>0.1184600197</v>
      </c>
      <c r="M338" s="938" t="str">
        <f>IF(L338&lt;'PlayerGrades+'!$AE$21,"F-",IF(L338&lt;'PlayerGrades+'!$AE$20,"F",IF(L338&lt;'PlayerGrades+'!$AE$19,"F+",IF(L338&lt;'PlayerGrades+'!$AE$18,"E-",IF(L338&lt;'PlayerGrades+'!$AE$17,"E",IF(L338&lt;'PlayerGrades+'!$AE$16,"E+",IF(L338&lt;'PlayerGrades+'!$AE$15,"D-",IF(L338&lt;'PlayerGrades+'!$AE$14,"D",IF(L338&lt;'PlayerGrades+'!$AE$13,"D+",IF(L338&lt;'PlayerGrades+'!$AE$12,"C-",IF(L338&lt;'PlayerGrades+'!$AE$11,"C",IF(L338&lt;'PlayerGrades+'!$AE$10,"C+",IF(L338&lt;'PlayerGrades+'!$AE$9,"B-",IF(L338&lt;'PlayerGrades+'!$AE$8,"B",IF(L338&lt;'PlayerGrades+'!$AE$7,"B+",IF(L338&lt;'PlayerGrades+'!$AE$6,"A-",IF(L338&lt;'PlayerGrades+'!$AE$5,"A",IF(L338&lt;'PlayerGrades+'!$AE$4,"A+",IF(L338&lt;'PlayerGrades+'!$AE$3,"S-",IF(L338&lt;'PlayerGrades+'!$AE$2,"S","S+"))))))))))))))))))))</f>
        <v>F-</v>
      </c>
      <c r="N338" s="937">
        <f t="shared" si="6"/>
        <v>0</v>
      </c>
      <c r="O338" s="937" t="str">
        <f>IF(N338&lt;'PlayerGrades+'!$AF$21,"F-",IF(N338&lt;'PlayerGrades+'!$AF$20,"F",IF(N338&lt;'PlayerGrades+'!$AF$19,"F+",IF(N338&lt;'PlayerGrades+'!$AF$18,"E-",IF(N338&lt;'PlayerGrades+'!$AF$17,"E",IF(N338&lt;'PlayerGrades+'!$AF$16,"E+",IF(N338&lt;'PlayerGrades+'!$AF$15,"D-",IF(N338&lt;'PlayerGrades+'!$AF$14,"D",IF(N338&lt;'PlayerGrades+'!$AF$13,"D+",IF(N338&lt;'PlayerGrades+'!$AF$12,"C-",IF(N338&lt;'PlayerGrades+'!$AF$11,"C",IF(N338&lt;'PlayerGrades+'!$AF$10,"C+",IF(N338&lt;'PlayerGrades+'!$AF$9,"B-",IF(N338&lt;'PlayerGrades+'!$AF$8,"B",IF(N338&lt;'PlayerGrades+'!$AF$7,"B+",IF(N338&lt;'PlayerGrades+'!$AF$6,"A-",IF(N338&lt;'PlayerGrades+'!$AF$5,"A",IF(N338&lt;'PlayerGrades+'!$AF$4,"A+",IF(N338&lt;'PlayerGrades+'!$AF$3,"S-",IF(N338&lt;'PlayerGrades+'!$AF$2,"S","S+"))))))))))))))))))))</f>
        <v>F-</v>
      </c>
      <c r="P338" s="937">
        <f t="shared" si="7"/>
        <v>0</v>
      </c>
      <c r="Q338" s="937" t="str">
        <f>IF(P338&lt;'PlayerGrades+'!$AG$21,"F-",IF(P338&lt;'PlayerGrades+'!$AG$20,"F",IF(P338&lt;'PlayerGrades+'!$AG$19,"F+",IF(P338&lt;'PlayerGrades+'!$AG$18,"E-",IF(P338&lt;'PlayerGrades+'!$AG$17,"E",IF(P338&lt;'PlayerGrades+'!$AG$16,"E+",IF(P338&lt;'PlayerGrades+'!$AG$15,"D-",IF(P338&lt;'PlayerGrades+'!$AG$14,"D",IF(P338&lt;'PlayerGrades+'!$AG$13,"D+",IF(P338&lt;'PlayerGrades+'!$AG$12,"C-",IF(P338&lt;'PlayerGrades+'!$AG$11,"C",IF(P338&lt;'PlayerGrades+'!$AG$10,"C+",IF(P338&lt;'PlayerGrades+'!$AG$9,"B-",IF(P338&lt;'PlayerGrades+'!$AG$8,"B",IF(P338&lt;'PlayerGrades+'!$AG$7,"B+",IF(P338&lt;'PlayerGrades+'!$AG$6,"A-",IF(P338&lt;'PlayerGrades+'!$AG$5,"A",IF(P338&lt;'PlayerGrades+'!$AG$4,"A+",IF(P338&lt;'PlayerGrades+'!$AG$3,"S-",IF(P338&lt;'PlayerGrades+'!$AG$2,"S","S+"))))))))))))))))))))</f>
        <v>F</v>
      </c>
      <c r="R338" s="937">
        <f t="shared" si="8"/>
        <v>0.2665350444</v>
      </c>
      <c r="S338" s="937" t="str">
        <f>IF(R338&lt;'PlayerGrades+'!$AH$21,"F-",IF(R338&lt;'PlayerGrades+'!$AH$20,"F",IF(R338&lt;'PlayerGrades+'!$AH$19,"F+",IF(R338&lt;'PlayerGrades+'!$AH$18,"E-",IF(R338&lt;'PlayerGrades+'!$AH$17,"E",IF(R338&lt;'PlayerGrades+'!$AH$16,"E+",IF(R338&lt;'PlayerGrades+'!$AH$15,"D-",IF(R338&lt;'PlayerGrades+'!$AH$14,"D",IF(R338&lt;'PlayerGrades+'!$AH$13,"D+",IF(R338&lt;'PlayerGrades+'!$AH$12,"C-",IF(R338&lt;'PlayerGrades+'!$AH$11,"C",IF(R338&lt;'PlayerGrades+'!$AH$10,"C+",IF(R338&lt;'PlayerGrades+'!$AH$9,"B-",IF(R338&lt;'PlayerGrades+'!$AH$8,"B",IF(R338&lt;'PlayerGrades+'!$AH$7,"B+",IF(R338&lt;'PlayerGrades+'!$AH$6,"A-",IF(R338&lt;'PlayerGrades+'!$AH$5,"A",IF(R338&lt;'PlayerGrades+'!$AH$4,"A+",IF(R338&lt;'PlayerGrades+'!$AH$3,"S-",IF(R338&lt;'PlayerGrades+'!$AH$2,"S","S+"))))))))))))))))))))</f>
        <v>F-</v>
      </c>
      <c r="T338" s="937">
        <f t="shared" si="9"/>
        <v>2.17769003</v>
      </c>
      <c r="U338" s="937" t="str">
        <f>IF(T338&lt;'PlayerGrades+'!$AI$21,"F-",IF(T338&lt;'PlayerGrades+'!$AI$20,"F",IF(T338&lt;'PlayerGrades+'!$AI$19,"F+",IF(T338&lt;'PlayerGrades+'!$AI$18,"E-",IF(T338&lt;'PlayerGrades+'!$AI$17,"E",IF(T338&lt;'PlayerGrades+'!$AI$16,"E+",IF(T338&lt;'PlayerGrades+'!$AI$15,"D-",IF(T338&lt;'PlayerGrades+'!$AI$14,"D",IF(T338&lt;'PlayerGrades+'!$AI$13,"D+",IF(T338&lt;'PlayerGrades+'!$AI$12,"C-",IF(T338&lt;'PlayerGrades+'!$AI$11,"C",IF(T338&lt;'PlayerGrades+'!$AI$10,"C+",IF(T338&lt;'PlayerGrades+'!$AI$9,"B-",IF(T338&lt;'PlayerGrades+'!$AI$8,"B",IF(T338&lt;'PlayerGrades+'!$AI$7,"B+",IF(T338&lt;'PlayerGrades+'!$AI$6,"A-",IF(T338&lt;'PlayerGrades+'!$AI$5,"A",IF(T338&lt;'PlayerGrades+'!$AI$4,"A+",IF(T338&lt;'PlayerGrades+'!$AI$3,"S-",IF(T338&lt;'PlayerGrades+'!$AI$2,"S","S+"))))))))))))))))))))</f>
        <v>S+</v>
      </c>
      <c r="V338" s="939">
        <v>1.0</v>
      </c>
      <c r="W338" s="939">
        <v>1.0</v>
      </c>
      <c r="X338" s="939">
        <v>0.0</v>
      </c>
      <c r="Y338" s="939">
        <v>3.0</v>
      </c>
      <c r="Z338" s="939">
        <v>11.0</v>
      </c>
      <c r="AA338" s="939">
        <v>70.0</v>
      </c>
      <c r="AB338" s="939">
        <v>91.0</v>
      </c>
      <c r="AC338" s="939">
        <v>-21.0</v>
      </c>
      <c r="AD338" s="939">
        <v>0.0</v>
      </c>
      <c r="AE338" s="939">
        <v>7.0</v>
      </c>
      <c r="AF338" s="939">
        <v>2.0</v>
      </c>
      <c r="AG338" s="939">
        <v>1711.0</v>
      </c>
      <c r="AH338" s="895">
        <v>2026.0</v>
      </c>
      <c r="AI338" s="939">
        <v>18.0</v>
      </c>
      <c r="AJ338" s="939">
        <v>903.0</v>
      </c>
      <c r="AK338" s="939">
        <v>0.0</v>
      </c>
      <c r="AL338" s="939">
        <v>1.0</v>
      </c>
      <c r="AM338" s="939">
        <v>0.0</v>
      </c>
      <c r="AN338" s="939">
        <v>0.0</v>
      </c>
      <c r="AO338" s="939">
        <v>0.0</v>
      </c>
      <c r="AP338" s="939">
        <v>0.0</v>
      </c>
      <c r="AQ338" s="939">
        <v>1.0</v>
      </c>
      <c r="AR338" s="939">
        <v>4.0</v>
      </c>
      <c r="AS338" s="939">
        <v>0.0</v>
      </c>
      <c r="AT338" s="939">
        <v>0.0</v>
      </c>
      <c r="AU338" s="939">
        <v>0.0</v>
      </c>
      <c r="AV338" s="939">
        <v>0.0</v>
      </c>
      <c r="AW338" s="939">
        <v>0.0</v>
      </c>
      <c r="AX338" s="939">
        <v>0.0</v>
      </c>
      <c r="AY338" s="939">
        <v>0.0</v>
      </c>
      <c r="AZ338" s="939">
        <v>0.0</v>
      </c>
      <c r="BA338" s="939">
        <v>0.0</v>
      </c>
      <c r="BB338" s="939">
        <v>5.0</v>
      </c>
      <c r="BC338" s="939">
        <v>1.0</v>
      </c>
      <c r="BD338" s="939">
        <v>9.0</v>
      </c>
      <c r="BE338" s="939">
        <v>6.0</v>
      </c>
      <c r="BF338" s="939">
        <v>1.0</v>
      </c>
      <c r="BG338" s="940">
        <v>1.0</v>
      </c>
    </row>
    <row r="339">
      <c r="A339" s="935" t="s">
        <v>131</v>
      </c>
      <c r="B339" s="16" t="str">
        <f>IF(C339&lt;'PlayerGrades+'!$Y$44,"F-",IF(C339&lt;'PlayerGrades+'!$Y$43,"F",IF(C339&lt;'PlayerGrades+'!$Y$42,"F+",IF(C339&lt;'PlayerGrades+'!$Y$41,"E-",IF(C339&lt;'PlayerGrades+'!$Y$40,"E",IF(C339&lt;'PlayerGrades+'!$Y$39,"E+",IF(C339&lt;'PlayerGrades+'!$Y$38,"D-",IF(C339&lt;'PlayerGrades+'!$Y$37,"D",IF(C339&lt;'PlayerGrades+'!$Y$36,"D+",IF(C339&lt;'PlayerGrades+'!$Y$35,"C-",IF(C339&lt;'PlayerGrades+'!$Y$34,"C",IF(C339&lt;'PlayerGrades+'!$Y$33,"C+",IF(C339&lt;'PlayerGrades+'!$Y$32,"B-",IF(C339&lt;'PlayerGrades+'!$Y$31,"B",IF(C339&lt;'PlayerGrades+'!$Y$30,"B+",IF(C339&lt;'PlayerGrades+'!$Y$29,"A-",IF(C339&lt;'PlayerGrades+'!$Y$28,"A",IF(C339&lt;'PlayerGrades+'!$Y$27,"A+",IF(C339&lt;'PlayerGrades+'!$Y$26,"S-",IF(C339&lt;'PlayerGrades+'!$Y$25,"S","S+"))))))))))))))))))))</f>
        <v>C</v>
      </c>
      <c r="C339" s="936">
        <f>('PlayerGrades+'!$Y$47*(VLOOKUP(E339, 'PlayerGrades+'!$X$3:$Y$23, 2, FALSE)))+('PlayerGrades+'!$Y$48*(VLOOKUP(G339, 'PlayerGrades+'!$X$3:$Y$23, 2, FALSE)))+('PlayerGrades+'!$Y$49*(VLOOKUP(I339, 'PlayerGrades+'!$X$3:$Y$23, 2, FALSE)))+('PlayerGrades+'!$Y$50*(VLOOKUP(K339, 'PlayerGrades+'!$X$3:$Y$23, 2, FALSE)))+('PlayerGrades+'!$Y$51*(VLOOKUP(M339, 'PlayerGrades+'!$X$3:$Y$23, 2, FALSE)))+('PlayerGrades+'!$Y$52*(VLOOKUP(O339, 'PlayerGrades+'!$X$3:$Y$23, 2, FALSE)))+('PlayerGrades+'!$Y$53*(VLOOKUP(Q339, 'PlayerGrades+'!$X$3:$Y$23, 2, FALSE)))+('PlayerGrades+'!$Y$54*(VLOOKUP(S339, 'PlayerGrades+'!$X$3:$Y$23, 2, FALSE)))+('PlayerGrades+'!$Y$55*(VLOOKUP(U339, 'PlayerGrades+'!$X$3:$Y$23, 2, FALSE)))</f>
        <v>20</v>
      </c>
      <c r="D339" s="937">
        <f t="shared" si="1"/>
        <v>0.02961500494</v>
      </c>
      <c r="E339" s="937" t="str">
        <f>IF(D339&lt;'PlayerGrades+'!$AA$21,"F-",IF(D339&lt;'PlayerGrades+'!$AA$20,"F",IF(D339&lt;'PlayerGrades+'!$AA$19,"F+",IF(D339&lt;'PlayerGrades+'!$AA$18,"E-",IF(D339&lt;'PlayerGrades+'!$AA$17,"E",IF(D339&lt;'PlayerGrades+'!$AA$16,"E+",IF(D339&lt;'PlayerGrades+'!$AA$15,"D-",IF(D339&lt;'PlayerGrades+'!$AA$14,"D",IF(D339&lt;'PlayerGrades+'!$AA$13,"D+",IF(D339&lt;'PlayerGrades+'!$AA$12,"C-",IF(D339&lt;'PlayerGrades+'!$AA$11,"C",IF(D339&lt;'PlayerGrades+'!$AA$10,"C+",IF(D339&lt;'PlayerGrades+'!$AA$9,"B-",IF(D339&lt;'PlayerGrades+'!$AA$8,"B",IF(D339&lt;'PlayerGrades+'!$AA$7,"B+",IF(D339&lt;'PlayerGrades+'!$AA$6,"A-",IF(D339&lt;'PlayerGrades+'!$AA$5,"A",IF(D339&lt;'PlayerGrades+'!$AA$4,"A+",IF(D339&lt;'PlayerGrades+'!$AA$3,"S-",IF(D339&lt;'PlayerGrades+'!$AA$2,"S","S+"))))))))))))))))))))</f>
        <v>D</v>
      </c>
      <c r="F339" s="937">
        <f t="shared" si="2"/>
        <v>-0.3849950642</v>
      </c>
      <c r="G339" s="937" t="str">
        <f>IF(F339&lt;'PlayerGrades+'!$AB$21,"F-",IF(F339&lt;'PlayerGrades+'!$AB$20,"F",IF(F339&lt;'PlayerGrades+'!$AB$19,"F+",IF(F339&lt;'PlayerGrades+'!$AB$18,"E-",IF(F339&lt;'PlayerGrades+'!$AB$17,"E",IF(F339&lt;'PlayerGrades+'!$AB$16,"E+",IF(F339&lt;'PlayerGrades+'!$AB$15,"D-",IF(F339&lt;'PlayerGrades+'!$AB$14,"D",IF(F339&lt;'PlayerGrades+'!$AB$13,"D+",IF(F339&lt;'PlayerGrades+'!$AB$12,"C-",IF(F339&lt;'PlayerGrades+'!$AB$11,"C",IF(F339&lt;'PlayerGrades+'!$AB$10,"C+",IF(F339&lt;'PlayerGrades+'!$AB$9,"B-",IF(F339&lt;'PlayerGrades+'!$AB$8,"B",IF(F339&lt;'PlayerGrades+'!$AB$7,"B+",IF(F339&lt;'PlayerGrades+'!$AB$6,"A-",IF(F339&lt;'PlayerGrades+'!$AB$5,"A",IF(F339&lt;'PlayerGrades+'!$AB$4,"A+",IF(F339&lt;'PlayerGrades+'!$AB$3,"S-",IF(F339&lt;'PlayerGrades+'!$AB$2,"S","S+"))))))))))))))))))))</f>
        <v>C-</v>
      </c>
      <c r="H339" s="937">
        <f t="shared" si="3"/>
        <v>0.2073050346</v>
      </c>
      <c r="I339" s="937" t="str">
        <f>IF(H339&lt;'PlayerGrades+'!$AC$21,"F-",IF(H339&lt;'PlayerGrades+'!$AC$20,"F",IF(H339&lt;'PlayerGrades+'!$AC$19,"F+",IF(H339&lt;'PlayerGrades+'!$AC$18,"E-",IF(H339&lt;'PlayerGrades+'!$AC$17,"E",IF(H339&lt;'PlayerGrades+'!$AC$16,"E+",IF(H339&lt;'PlayerGrades+'!$AC$15,"D-",IF(H339&lt;'PlayerGrades+'!$AC$14,"D",IF(H339&lt;'PlayerGrades+'!$AC$13,"D+",IF(H339&lt;'PlayerGrades+'!$AC$12,"C-",IF(H339&lt;'PlayerGrades+'!$AC$11,"C",IF(H339&lt;'PlayerGrades+'!$AC$10,"C+",IF(H339&lt;'PlayerGrades+'!$AC$9,"B-",IF(H339&lt;'PlayerGrades+'!$AC$8,"B",IF(H339&lt;'PlayerGrades+'!$AC$7,"B+",IF(H339&lt;'PlayerGrades+'!$AC$6,"A-",IF(H339&lt;'PlayerGrades+'!$AC$5,"A",IF(H339&lt;'PlayerGrades+'!$AC$4,"A+",IF(H339&lt;'PlayerGrades+'!$AC$3,"S-",IF(H339&lt;'PlayerGrades+'!$AC$2,"S","S+"))))))))))))))))))))</f>
        <v>S</v>
      </c>
      <c r="J339" s="937">
        <f t="shared" si="4"/>
        <v>0.02961500494</v>
      </c>
      <c r="K339" s="937" t="str">
        <f>IF(J339&lt;'PlayerGrades+'!$AD$21,"F-",IF(J339&lt;'PlayerGrades+'!$AD$20,"F",IF(J339&lt;'PlayerGrades+'!$AD$19,"F+",IF(J339&lt;'PlayerGrades+'!$AD$18,"E-",IF(J339&lt;'PlayerGrades+'!$AD$17,"E",IF(J339&lt;'PlayerGrades+'!$AD$16,"E+",IF(J339&lt;'PlayerGrades+'!$AD$15,"D-",IF(J339&lt;'PlayerGrades+'!$AD$14,"D",IF(J339&lt;'PlayerGrades+'!$AD$13,"D+",IF(J339&lt;'PlayerGrades+'!$AD$12,"C-",IF(J339&lt;'PlayerGrades+'!$AD$11,"C",IF(J339&lt;'PlayerGrades+'!$AD$10,"C+",IF(J339&lt;'PlayerGrades+'!$AD$9,"B-",IF(J339&lt;'PlayerGrades+'!$AD$8,"B",IF(J339&lt;'PlayerGrades+'!$AD$7,"B+",IF(J339&lt;'PlayerGrades+'!$AD$6,"A-",IF(J339&lt;'PlayerGrades+'!$AD$5,"A",IF(J339&lt;'PlayerGrades+'!$AD$4,"A+",IF(J339&lt;'PlayerGrades+'!$AD$3,"S-",IF(J339&lt;'PlayerGrades+'!$AD$2,"S","S+"))))))))))))))))))))</f>
        <v>C-</v>
      </c>
      <c r="L339" s="677">
        <f t="shared" si="5"/>
        <v>0.3849950642</v>
      </c>
      <c r="M339" s="938" t="str">
        <f>IF(L339&lt;'PlayerGrades+'!$AE$21,"F-",IF(L339&lt;'PlayerGrades+'!$AE$20,"F",IF(L339&lt;'PlayerGrades+'!$AE$19,"F+",IF(L339&lt;'PlayerGrades+'!$AE$18,"E-",IF(L339&lt;'PlayerGrades+'!$AE$17,"E",IF(L339&lt;'PlayerGrades+'!$AE$16,"E+",IF(L339&lt;'PlayerGrades+'!$AE$15,"D-",IF(L339&lt;'PlayerGrades+'!$AE$14,"D",IF(L339&lt;'PlayerGrades+'!$AE$13,"D+",IF(L339&lt;'PlayerGrades+'!$AE$12,"C-",IF(L339&lt;'PlayerGrades+'!$AE$11,"C",IF(L339&lt;'PlayerGrades+'!$AE$10,"C+",IF(L339&lt;'PlayerGrades+'!$AE$9,"B-",IF(L339&lt;'PlayerGrades+'!$AE$8,"B",IF(L339&lt;'PlayerGrades+'!$AE$7,"B+",IF(L339&lt;'PlayerGrades+'!$AE$6,"A-",IF(L339&lt;'PlayerGrades+'!$AE$5,"A",IF(L339&lt;'PlayerGrades+'!$AE$4,"A+",IF(L339&lt;'PlayerGrades+'!$AE$3,"S-",IF(L339&lt;'PlayerGrades+'!$AE$2,"S","S+"))))))))))))))))))))</f>
        <v>C</v>
      </c>
      <c r="N339" s="937">
        <f t="shared" si="6"/>
        <v>0.08884501481</v>
      </c>
      <c r="O339" s="937" t="str">
        <f>IF(N339&lt;'PlayerGrades+'!$AF$21,"F-",IF(N339&lt;'PlayerGrades+'!$AF$20,"F",IF(N339&lt;'PlayerGrades+'!$AF$19,"F+",IF(N339&lt;'PlayerGrades+'!$AF$18,"E-",IF(N339&lt;'PlayerGrades+'!$AF$17,"E",IF(N339&lt;'PlayerGrades+'!$AF$16,"E+",IF(N339&lt;'PlayerGrades+'!$AF$15,"D-",IF(N339&lt;'PlayerGrades+'!$AF$14,"D",IF(N339&lt;'PlayerGrades+'!$AF$13,"D+",IF(N339&lt;'PlayerGrades+'!$AF$12,"C-",IF(N339&lt;'PlayerGrades+'!$AF$11,"C",IF(N339&lt;'PlayerGrades+'!$AF$10,"C+",IF(N339&lt;'PlayerGrades+'!$AF$9,"B-",IF(N339&lt;'PlayerGrades+'!$AF$8,"B",IF(N339&lt;'PlayerGrades+'!$AF$7,"B+",IF(N339&lt;'PlayerGrades+'!$AF$6,"A-",IF(N339&lt;'PlayerGrades+'!$AF$5,"A",IF(N339&lt;'PlayerGrades+'!$AF$4,"A+",IF(N339&lt;'PlayerGrades+'!$AF$3,"S-",IF(N339&lt;'PlayerGrades+'!$AF$2,"S","S+"))))))))))))))))))))</f>
        <v>B+</v>
      </c>
      <c r="P339" s="937">
        <f t="shared" si="7"/>
        <v>0.02961500494</v>
      </c>
      <c r="Q339" s="937" t="str">
        <f>IF(P339&lt;'PlayerGrades+'!$AG$21,"F-",IF(P339&lt;'PlayerGrades+'!$AG$20,"F",IF(P339&lt;'PlayerGrades+'!$AG$19,"F+",IF(P339&lt;'PlayerGrades+'!$AG$18,"E-",IF(P339&lt;'PlayerGrades+'!$AG$17,"E",IF(P339&lt;'PlayerGrades+'!$AG$16,"E+",IF(P339&lt;'PlayerGrades+'!$AG$15,"D-",IF(P339&lt;'PlayerGrades+'!$AG$14,"D",IF(P339&lt;'PlayerGrades+'!$AG$13,"D+",IF(P339&lt;'PlayerGrades+'!$AG$12,"C-",IF(P339&lt;'PlayerGrades+'!$AG$11,"C",IF(P339&lt;'PlayerGrades+'!$AG$10,"C+",IF(P339&lt;'PlayerGrades+'!$AG$9,"B-",IF(P339&lt;'PlayerGrades+'!$AG$8,"B",IF(P339&lt;'PlayerGrades+'!$AG$7,"B+",IF(P339&lt;'PlayerGrades+'!$AG$6,"A-",IF(P339&lt;'PlayerGrades+'!$AG$5,"A",IF(P339&lt;'PlayerGrades+'!$AG$4,"A+",IF(P339&lt;'PlayerGrades+'!$AG$3,"S-",IF(P339&lt;'PlayerGrades+'!$AG$2,"S","S+"))))))))))))))))))))</f>
        <v>B</v>
      </c>
      <c r="R339" s="937">
        <f t="shared" si="8"/>
        <v>0.444225074</v>
      </c>
      <c r="S339" s="937" t="str">
        <f>IF(R339&lt;'PlayerGrades+'!$AH$21,"F-",IF(R339&lt;'PlayerGrades+'!$AH$20,"F",IF(R339&lt;'PlayerGrades+'!$AH$19,"F+",IF(R339&lt;'PlayerGrades+'!$AH$18,"E-",IF(R339&lt;'PlayerGrades+'!$AH$17,"E",IF(R339&lt;'PlayerGrades+'!$AH$16,"E+",IF(R339&lt;'PlayerGrades+'!$AH$15,"D-",IF(R339&lt;'PlayerGrades+'!$AH$14,"D",IF(R339&lt;'PlayerGrades+'!$AH$13,"D+",IF(R339&lt;'PlayerGrades+'!$AH$12,"C-",IF(R339&lt;'PlayerGrades+'!$AH$11,"C",IF(R339&lt;'PlayerGrades+'!$AH$10,"C+",IF(R339&lt;'PlayerGrades+'!$AH$9,"B-",IF(R339&lt;'PlayerGrades+'!$AH$8,"B",IF(R339&lt;'PlayerGrades+'!$AH$7,"B+",IF(R339&lt;'PlayerGrades+'!$AH$6,"A-",IF(R339&lt;'PlayerGrades+'!$AH$5,"A",IF(R339&lt;'PlayerGrades+'!$AH$4,"A+",IF(R339&lt;'PlayerGrades+'!$AH$3,"S-",IF(R339&lt;'PlayerGrades+'!$AH$2,"S","S+"))))))))))))))))))))</f>
        <v>E-</v>
      </c>
      <c r="T339" s="937">
        <f t="shared" si="9"/>
        <v>0.4146100691</v>
      </c>
      <c r="U339" s="937" t="str">
        <f>IF(T339&lt;'PlayerGrades+'!$AI$21,"F-",IF(T339&lt;'PlayerGrades+'!$AI$20,"F",IF(T339&lt;'PlayerGrades+'!$AI$19,"F+",IF(T339&lt;'PlayerGrades+'!$AI$18,"E-",IF(T339&lt;'PlayerGrades+'!$AI$17,"E",IF(T339&lt;'PlayerGrades+'!$AI$16,"E+",IF(T339&lt;'PlayerGrades+'!$AI$15,"D-",IF(T339&lt;'PlayerGrades+'!$AI$14,"D",IF(T339&lt;'PlayerGrades+'!$AI$13,"D+",IF(T339&lt;'PlayerGrades+'!$AI$12,"C-",IF(T339&lt;'PlayerGrades+'!$AI$11,"C",IF(T339&lt;'PlayerGrades+'!$AI$10,"C+",IF(T339&lt;'PlayerGrades+'!$AI$9,"B-",IF(T339&lt;'PlayerGrades+'!$AI$8,"B",IF(T339&lt;'PlayerGrades+'!$AI$7,"B+",IF(T339&lt;'PlayerGrades+'!$AI$6,"A-",IF(T339&lt;'PlayerGrades+'!$AI$5,"A",IF(T339&lt;'PlayerGrades+'!$AI$4,"A+",IF(T339&lt;'PlayerGrades+'!$AI$3,"S-",IF(T339&lt;'PlayerGrades+'!$AI$2,"S","S+"))))))))))))))))))))</f>
        <v>F-</v>
      </c>
      <c r="V339" s="941">
        <v>1.0</v>
      </c>
      <c r="W339" s="941">
        <v>1.0</v>
      </c>
      <c r="X339" s="941">
        <v>0.0</v>
      </c>
      <c r="Y339" s="941">
        <v>1.0</v>
      </c>
      <c r="Z339" s="941">
        <v>0.0</v>
      </c>
      <c r="AA339" s="941">
        <v>110.0</v>
      </c>
      <c r="AB339" s="941">
        <v>123.0</v>
      </c>
      <c r="AC339" s="941">
        <v>-13.0</v>
      </c>
      <c r="AD339" s="941">
        <v>8.0</v>
      </c>
      <c r="AE339" s="941">
        <v>5.0</v>
      </c>
      <c r="AF339" s="941">
        <v>4.0</v>
      </c>
      <c r="AG339" s="941">
        <v>1607.0</v>
      </c>
      <c r="AH339" s="1">
        <v>2026.0</v>
      </c>
      <c r="AI339" s="941">
        <v>13.0</v>
      </c>
      <c r="AJ339" s="941">
        <v>13.0</v>
      </c>
      <c r="AK339" s="941">
        <v>0.0</v>
      </c>
      <c r="AL339" s="941">
        <v>1.0</v>
      </c>
      <c r="AM339" s="941">
        <v>0.0</v>
      </c>
      <c r="AN339" s="941">
        <v>0.0</v>
      </c>
      <c r="AO339" s="941">
        <v>0.0</v>
      </c>
      <c r="AP339" s="941">
        <v>1.0</v>
      </c>
      <c r="AQ339" s="941">
        <v>0.0</v>
      </c>
      <c r="AR339" s="941">
        <v>13.0</v>
      </c>
      <c r="AS339" s="941">
        <v>3.0</v>
      </c>
      <c r="AT339" s="941">
        <v>1.0</v>
      </c>
      <c r="AU339" s="941">
        <v>0.0</v>
      </c>
      <c r="AV339" s="941">
        <v>0.0</v>
      </c>
      <c r="AW339" s="941">
        <v>0.0</v>
      </c>
      <c r="AX339" s="941">
        <v>0.0</v>
      </c>
      <c r="AY339" s="941">
        <v>0.0</v>
      </c>
      <c r="AZ339" s="941">
        <v>0.0</v>
      </c>
      <c r="BA339" s="941">
        <v>0.0</v>
      </c>
      <c r="BB339" s="941">
        <v>7.0</v>
      </c>
      <c r="BC339" s="941">
        <v>0.0</v>
      </c>
      <c r="BD339" s="941">
        <v>7.0</v>
      </c>
      <c r="BE339" s="941">
        <v>14.0</v>
      </c>
      <c r="BF339" s="941">
        <v>0.0</v>
      </c>
      <c r="BG339" s="942">
        <v>1.0</v>
      </c>
    </row>
    <row r="340">
      <c r="A340" s="935" t="s">
        <v>142</v>
      </c>
      <c r="B340" s="16" t="str">
        <f>IF(C340&lt;'PlayerGrades+'!$Y$44,"F-",IF(C340&lt;'PlayerGrades+'!$Y$43,"F",IF(C340&lt;'PlayerGrades+'!$Y$42,"F+",IF(C340&lt;'PlayerGrades+'!$Y$41,"E-",IF(C340&lt;'PlayerGrades+'!$Y$40,"E",IF(C340&lt;'PlayerGrades+'!$Y$39,"E+",IF(C340&lt;'PlayerGrades+'!$Y$38,"D-",IF(C340&lt;'PlayerGrades+'!$Y$37,"D",IF(C340&lt;'PlayerGrades+'!$Y$36,"D+",IF(C340&lt;'PlayerGrades+'!$Y$35,"C-",IF(C340&lt;'PlayerGrades+'!$Y$34,"C",IF(C340&lt;'PlayerGrades+'!$Y$33,"C+",IF(C340&lt;'PlayerGrades+'!$Y$32,"B-",IF(C340&lt;'PlayerGrades+'!$Y$31,"B",IF(C340&lt;'PlayerGrades+'!$Y$30,"B+",IF(C340&lt;'PlayerGrades+'!$Y$29,"A-",IF(C340&lt;'PlayerGrades+'!$Y$28,"A",IF(C340&lt;'PlayerGrades+'!$Y$27,"A+",IF(C340&lt;'PlayerGrades+'!$Y$26,"S-",IF(C340&lt;'PlayerGrades+'!$Y$25,"S","S+"))))))))))))))))))))</f>
        <v>D</v>
      </c>
      <c r="C340" s="936">
        <f>('PlayerGrades+'!$Y$47*(VLOOKUP(E340, 'PlayerGrades+'!$X$3:$Y$23, 2, FALSE)))+('PlayerGrades+'!$Y$48*(VLOOKUP(G340, 'PlayerGrades+'!$X$3:$Y$23, 2, FALSE)))+('PlayerGrades+'!$Y$49*(VLOOKUP(I340, 'PlayerGrades+'!$X$3:$Y$23, 2, FALSE)))+('PlayerGrades+'!$Y$50*(VLOOKUP(K340, 'PlayerGrades+'!$X$3:$Y$23, 2, FALSE)))+('PlayerGrades+'!$Y$51*(VLOOKUP(M340, 'PlayerGrades+'!$X$3:$Y$23, 2, FALSE)))+('PlayerGrades+'!$Y$52*(VLOOKUP(O340, 'PlayerGrades+'!$X$3:$Y$23, 2, FALSE)))+('PlayerGrades+'!$Y$53*(VLOOKUP(Q340, 'PlayerGrades+'!$X$3:$Y$23, 2, FALSE)))+('PlayerGrades+'!$Y$54*(VLOOKUP(S340, 'PlayerGrades+'!$X$3:$Y$23, 2, FALSE)))+('PlayerGrades+'!$Y$55*(VLOOKUP(U340, 'PlayerGrades+'!$X$3:$Y$23, 2, FALSE)))</f>
        <v>17.1</v>
      </c>
      <c r="D340" s="937">
        <f t="shared" si="1"/>
        <v>0.05923000987</v>
      </c>
      <c r="E340" s="937" t="str">
        <f>IF(D340&lt;'PlayerGrades+'!$AA$21,"F-",IF(D340&lt;'PlayerGrades+'!$AA$20,"F",IF(D340&lt;'PlayerGrades+'!$AA$19,"F+",IF(D340&lt;'PlayerGrades+'!$AA$18,"E-",IF(D340&lt;'PlayerGrades+'!$AA$17,"E",IF(D340&lt;'PlayerGrades+'!$AA$16,"E+",IF(D340&lt;'PlayerGrades+'!$AA$15,"D-",IF(D340&lt;'PlayerGrades+'!$AA$14,"D",IF(D340&lt;'PlayerGrades+'!$AA$13,"D+",IF(D340&lt;'PlayerGrades+'!$AA$12,"C-",IF(D340&lt;'PlayerGrades+'!$AA$11,"C",IF(D340&lt;'PlayerGrades+'!$AA$10,"C+",IF(D340&lt;'PlayerGrades+'!$AA$9,"B-",IF(D340&lt;'PlayerGrades+'!$AA$8,"B",IF(D340&lt;'PlayerGrades+'!$AA$7,"B+",IF(D340&lt;'PlayerGrades+'!$AA$6,"A-",IF(D340&lt;'PlayerGrades+'!$AA$5,"A",IF(D340&lt;'PlayerGrades+'!$AA$4,"A+",IF(D340&lt;'PlayerGrades+'!$AA$3,"S-",IF(D340&lt;'PlayerGrades+'!$AA$2,"S","S+"))))))))))))))))))))</f>
        <v>B-</v>
      </c>
      <c r="F340" s="937">
        <f t="shared" si="2"/>
        <v>-0.7107601185</v>
      </c>
      <c r="G340" s="937" t="str">
        <f>IF(F340&lt;'PlayerGrades+'!$AB$21,"F-",IF(F340&lt;'PlayerGrades+'!$AB$20,"F",IF(F340&lt;'PlayerGrades+'!$AB$19,"F+",IF(F340&lt;'PlayerGrades+'!$AB$18,"E-",IF(F340&lt;'PlayerGrades+'!$AB$17,"E",IF(F340&lt;'PlayerGrades+'!$AB$16,"E+",IF(F340&lt;'PlayerGrades+'!$AB$15,"D-",IF(F340&lt;'PlayerGrades+'!$AB$14,"D",IF(F340&lt;'PlayerGrades+'!$AB$13,"D+",IF(F340&lt;'PlayerGrades+'!$AB$12,"C-",IF(F340&lt;'PlayerGrades+'!$AB$11,"C",IF(F340&lt;'PlayerGrades+'!$AB$10,"C+",IF(F340&lt;'PlayerGrades+'!$AB$9,"B-",IF(F340&lt;'PlayerGrades+'!$AB$8,"B",IF(F340&lt;'PlayerGrades+'!$AB$7,"B+",IF(F340&lt;'PlayerGrades+'!$AB$6,"A-",IF(F340&lt;'PlayerGrades+'!$AB$5,"A",IF(F340&lt;'PlayerGrades+'!$AB$4,"A+",IF(F340&lt;'PlayerGrades+'!$AB$3,"S-",IF(F340&lt;'PlayerGrades+'!$AB$2,"S","S+"))))))))))))))))))))</f>
        <v>E+</v>
      </c>
      <c r="H340" s="937">
        <f t="shared" si="3"/>
        <v>0.2665350444</v>
      </c>
      <c r="I340" s="937" t="str">
        <f>IF(H340&lt;'PlayerGrades+'!$AC$21,"F-",IF(H340&lt;'PlayerGrades+'!$AC$20,"F",IF(H340&lt;'PlayerGrades+'!$AC$19,"F+",IF(H340&lt;'PlayerGrades+'!$AC$18,"E-",IF(H340&lt;'PlayerGrades+'!$AC$17,"E",IF(H340&lt;'PlayerGrades+'!$AC$16,"E+",IF(H340&lt;'PlayerGrades+'!$AC$15,"D-",IF(H340&lt;'PlayerGrades+'!$AC$14,"D",IF(H340&lt;'PlayerGrades+'!$AC$13,"D+",IF(H340&lt;'PlayerGrades+'!$AC$12,"C-",IF(H340&lt;'PlayerGrades+'!$AC$11,"C",IF(H340&lt;'PlayerGrades+'!$AC$10,"C+",IF(H340&lt;'PlayerGrades+'!$AC$9,"B-",IF(H340&lt;'PlayerGrades+'!$AC$8,"B",IF(H340&lt;'PlayerGrades+'!$AC$7,"B+",IF(H340&lt;'PlayerGrades+'!$AC$6,"A-",IF(H340&lt;'PlayerGrades+'!$AC$5,"A",IF(H340&lt;'PlayerGrades+'!$AC$4,"A+",IF(H340&lt;'PlayerGrades+'!$AC$3,"S-",IF(H340&lt;'PlayerGrades+'!$AC$2,"S","S+"))))))))))))))))))))</f>
        <v>S</v>
      </c>
      <c r="J340" s="937">
        <f t="shared" si="4"/>
        <v>0.02961500494</v>
      </c>
      <c r="K340" s="937" t="str">
        <f>IF(J340&lt;'PlayerGrades+'!$AD$21,"F-",IF(J340&lt;'PlayerGrades+'!$AD$20,"F",IF(J340&lt;'PlayerGrades+'!$AD$19,"F+",IF(J340&lt;'PlayerGrades+'!$AD$18,"E-",IF(J340&lt;'PlayerGrades+'!$AD$17,"E",IF(J340&lt;'PlayerGrades+'!$AD$16,"E+",IF(J340&lt;'PlayerGrades+'!$AD$15,"D-",IF(J340&lt;'PlayerGrades+'!$AD$14,"D",IF(J340&lt;'PlayerGrades+'!$AD$13,"D+",IF(J340&lt;'PlayerGrades+'!$AD$12,"C-",IF(J340&lt;'PlayerGrades+'!$AD$11,"C",IF(J340&lt;'PlayerGrades+'!$AD$10,"C+",IF(J340&lt;'PlayerGrades+'!$AD$9,"B-",IF(J340&lt;'PlayerGrades+'!$AD$8,"B",IF(J340&lt;'PlayerGrades+'!$AD$7,"B+",IF(J340&lt;'PlayerGrades+'!$AD$6,"A-",IF(J340&lt;'PlayerGrades+'!$AD$5,"A",IF(J340&lt;'PlayerGrades+'!$AD$4,"A+",IF(J340&lt;'PlayerGrades+'!$AD$3,"S-",IF(J340&lt;'PlayerGrades+'!$AD$2,"S","S+"))))))))))))))))))))</f>
        <v>C-</v>
      </c>
      <c r="L340" s="677">
        <f t="shared" si="5"/>
        <v>0.3553800592</v>
      </c>
      <c r="M340" s="938" t="str">
        <f>IF(L340&lt;'PlayerGrades+'!$AE$21,"F-",IF(L340&lt;'PlayerGrades+'!$AE$20,"F",IF(L340&lt;'PlayerGrades+'!$AE$19,"F+",IF(L340&lt;'PlayerGrades+'!$AE$18,"E-",IF(L340&lt;'PlayerGrades+'!$AE$17,"E",IF(L340&lt;'PlayerGrades+'!$AE$16,"E+",IF(L340&lt;'PlayerGrades+'!$AE$15,"D-",IF(L340&lt;'PlayerGrades+'!$AE$14,"D",IF(L340&lt;'PlayerGrades+'!$AE$13,"D+",IF(L340&lt;'PlayerGrades+'!$AE$12,"C-",IF(L340&lt;'PlayerGrades+'!$AE$11,"C",IF(L340&lt;'PlayerGrades+'!$AE$10,"C+",IF(L340&lt;'PlayerGrades+'!$AE$9,"B-",IF(L340&lt;'PlayerGrades+'!$AE$8,"B",IF(L340&lt;'PlayerGrades+'!$AE$7,"B+",IF(L340&lt;'PlayerGrades+'!$AE$6,"A-",IF(L340&lt;'PlayerGrades+'!$AE$5,"A",IF(L340&lt;'PlayerGrades+'!$AE$4,"A+",IF(L340&lt;'PlayerGrades+'!$AE$3,"S-",IF(L340&lt;'PlayerGrades+'!$AE$2,"S","S+"))))))))))))))))))))</f>
        <v>D</v>
      </c>
      <c r="N340" s="937">
        <f t="shared" si="6"/>
        <v>0.05923000987</v>
      </c>
      <c r="O340" s="937" t="str">
        <f>IF(N340&lt;'PlayerGrades+'!$AF$21,"F-",IF(N340&lt;'PlayerGrades+'!$AF$20,"F",IF(N340&lt;'PlayerGrades+'!$AF$19,"F+",IF(N340&lt;'PlayerGrades+'!$AF$18,"E-",IF(N340&lt;'PlayerGrades+'!$AF$17,"E",IF(N340&lt;'PlayerGrades+'!$AF$16,"E+",IF(N340&lt;'PlayerGrades+'!$AF$15,"D-",IF(N340&lt;'PlayerGrades+'!$AF$14,"D",IF(N340&lt;'PlayerGrades+'!$AF$13,"D+",IF(N340&lt;'PlayerGrades+'!$AF$12,"C-",IF(N340&lt;'PlayerGrades+'!$AF$11,"C",IF(N340&lt;'PlayerGrades+'!$AF$10,"C+",IF(N340&lt;'PlayerGrades+'!$AF$9,"B-",IF(N340&lt;'PlayerGrades+'!$AF$8,"B",IF(N340&lt;'PlayerGrades+'!$AF$7,"B+",IF(N340&lt;'PlayerGrades+'!$AF$6,"A-",IF(N340&lt;'PlayerGrades+'!$AF$5,"A",IF(N340&lt;'PlayerGrades+'!$AF$4,"A+",IF(N340&lt;'PlayerGrades+'!$AF$3,"S-",IF(N340&lt;'PlayerGrades+'!$AF$2,"S","S+"))))))))))))))))))))</f>
        <v>D+</v>
      </c>
      <c r="P340" s="937">
        <f t="shared" si="7"/>
        <v>0.02961500494</v>
      </c>
      <c r="Q340" s="937" t="str">
        <f>IF(P340&lt;'PlayerGrades+'!$AG$21,"F-",IF(P340&lt;'PlayerGrades+'!$AG$20,"F",IF(P340&lt;'PlayerGrades+'!$AG$19,"F+",IF(P340&lt;'PlayerGrades+'!$AG$18,"E-",IF(P340&lt;'PlayerGrades+'!$AG$17,"E",IF(P340&lt;'PlayerGrades+'!$AG$16,"E+",IF(P340&lt;'PlayerGrades+'!$AG$15,"D-",IF(P340&lt;'PlayerGrades+'!$AG$14,"D",IF(P340&lt;'PlayerGrades+'!$AG$13,"D+",IF(P340&lt;'PlayerGrades+'!$AG$12,"C-",IF(P340&lt;'PlayerGrades+'!$AG$11,"C",IF(P340&lt;'PlayerGrades+'!$AG$10,"C+",IF(P340&lt;'PlayerGrades+'!$AG$9,"B-",IF(P340&lt;'PlayerGrades+'!$AG$8,"B",IF(P340&lt;'PlayerGrades+'!$AG$7,"B+",IF(P340&lt;'PlayerGrades+'!$AG$6,"A-",IF(P340&lt;'PlayerGrades+'!$AG$5,"A",IF(P340&lt;'PlayerGrades+'!$AG$4,"A+",IF(P340&lt;'PlayerGrades+'!$AG$3,"S-",IF(P340&lt;'PlayerGrades+'!$AG$2,"S","S+"))))))))))))))))))))</f>
        <v>B</v>
      </c>
      <c r="R340" s="937">
        <f t="shared" si="8"/>
        <v>0.3849950642</v>
      </c>
      <c r="S340" s="937" t="str">
        <f>IF(R340&lt;'PlayerGrades+'!$AH$21,"F-",IF(R340&lt;'PlayerGrades+'!$AH$20,"F",IF(R340&lt;'PlayerGrades+'!$AH$19,"F+",IF(R340&lt;'PlayerGrades+'!$AH$18,"E-",IF(R340&lt;'PlayerGrades+'!$AH$17,"E",IF(R340&lt;'PlayerGrades+'!$AH$16,"E+",IF(R340&lt;'PlayerGrades+'!$AH$15,"D-",IF(R340&lt;'PlayerGrades+'!$AH$14,"D",IF(R340&lt;'PlayerGrades+'!$AH$13,"D+",IF(R340&lt;'PlayerGrades+'!$AH$12,"C-",IF(R340&lt;'PlayerGrades+'!$AH$11,"C",IF(R340&lt;'PlayerGrades+'!$AH$10,"C+",IF(R340&lt;'PlayerGrades+'!$AH$9,"B-",IF(R340&lt;'PlayerGrades+'!$AH$8,"B",IF(R340&lt;'PlayerGrades+'!$AH$7,"B+",IF(R340&lt;'PlayerGrades+'!$AH$6,"A-",IF(R340&lt;'PlayerGrades+'!$AH$5,"A",IF(R340&lt;'PlayerGrades+'!$AH$4,"A+",IF(R340&lt;'PlayerGrades+'!$AH$3,"S-",IF(R340&lt;'PlayerGrades+'!$AH$2,"S","S+"))))))))))))))))))))</f>
        <v>F</v>
      </c>
      <c r="T340" s="937">
        <f t="shared" si="9"/>
        <v>0.5626850938</v>
      </c>
      <c r="U340" s="937" t="str">
        <f>IF(T340&lt;'PlayerGrades+'!$AI$21,"F-",IF(T340&lt;'PlayerGrades+'!$AI$20,"F",IF(T340&lt;'PlayerGrades+'!$AI$19,"F+",IF(T340&lt;'PlayerGrades+'!$AI$18,"E-",IF(T340&lt;'PlayerGrades+'!$AI$17,"E",IF(T340&lt;'PlayerGrades+'!$AI$16,"E+",IF(T340&lt;'PlayerGrades+'!$AI$15,"D-",IF(T340&lt;'PlayerGrades+'!$AI$14,"D",IF(T340&lt;'PlayerGrades+'!$AI$13,"D+",IF(T340&lt;'PlayerGrades+'!$AI$12,"C-",IF(T340&lt;'PlayerGrades+'!$AI$11,"C",IF(T340&lt;'PlayerGrades+'!$AI$10,"C+",IF(T340&lt;'PlayerGrades+'!$AI$9,"B-",IF(T340&lt;'PlayerGrades+'!$AI$8,"B",IF(T340&lt;'PlayerGrades+'!$AI$7,"B+",IF(T340&lt;'PlayerGrades+'!$AI$6,"A-",IF(T340&lt;'PlayerGrades+'!$AI$5,"A",IF(T340&lt;'PlayerGrades+'!$AI$4,"A+",IF(T340&lt;'PlayerGrades+'!$AI$3,"S-",IF(T340&lt;'PlayerGrades+'!$AI$2,"S","S+"))))))))))))))))))))</f>
        <v>F-</v>
      </c>
      <c r="V340" s="941">
        <v>1.0</v>
      </c>
      <c r="W340" s="941">
        <v>1.0</v>
      </c>
      <c r="X340" s="941">
        <v>0.0</v>
      </c>
      <c r="Y340" s="941">
        <v>1.0</v>
      </c>
      <c r="Z340" s="941">
        <v>1.0</v>
      </c>
      <c r="AA340" s="941">
        <v>116.0</v>
      </c>
      <c r="AB340" s="941">
        <v>140.0</v>
      </c>
      <c r="AC340" s="941">
        <v>-24.0</v>
      </c>
      <c r="AD340" s="941">
        <v>3.0</v>
      </c>
      <c r="AE340" s="941">
        <v>5.0</v>
      </c>
      <c r="AF340" s="941">
        <v>2.0</v>
      </c>
      <c r="AG340" s="941">
        <v>1557.0</v>
      </c>
      <c r="AH340" s="1">
        <v>2026.0</v>
      </c>
      <c r="AI340" s="941">
        <v>11.0</v>
      </c>
      <c r="AJ340" s="941">
        <v>5.0</v>
      </c>
      <c r="AK340" s="941">
        <v>0.0</v>
      </c>
      <c r="AL340" s="941">
        <v>1.0</v>
      </c>
      <c r="AM340" s="941">
        <v>0.0</v>
      </c>
      <c r="AN340" s="941">
        <v>0.0</v>
      </c>
      <c r="AO340" s="941">
        <v>0.0</v>
      </c>
      <c r="AP340" s="941">
        <v>1.0</v>
      </c>
      <c r="AQ340" s="941">
        <v>0.0</v>
      </c>
      <c r="AR340" s="941">
        <v>12.0</v>
      </c>
      <c r="AS340" s="941">
        <v>2.0</v>
      </c>
      <c r="AT340" s="941">
        <v>0.0</v>
      </c>
      <c r="AU340" s="941">
        <v>0.0</v>
      </c>
      <c r="AV340" s="941">
        <v>0.0</v>
      </c>
      <c r="AW340" s="941">
        <v>0.0</v>
      </c>
      <c r="AX340" s="941">
        <v>0.0</v>
      </c>
      <c r="AY340" s="941">
        <v>0.0</v>
      </c>
      <c r="AZ340" s="941">
        <v>0.0</v>
      </c>
      <c r="BA340" s="941">
        <v>0.0</v>
      </c>
      <c r="BB340" s="941">
        <v>9.0</v>
      </c>
      <c r="BC340" s="941">
        <v>0.0</v>
      </c>
      <c r="BD340" s="941">
        <v>10.0</v>
      </c>
      <c r="BE340" s="941">
        <v>19.0</v>
      </c>
      <c r="BF340" s="941">
        <v>0.0</v>
      </c>
      <c r="BG340" s="942">
        <v>1.0</v>
      </c>
    </row>
    <row r="341">
      <c r="A341" s="935" t="s">
        <v>120</v>
      </c>
      <c r="B341" s="16" t="str">
        <f>IF(C341&lt;'PlayerGrades+'!$Y$44,"F-",IF(C341&lt;'PlayerGrades+'!$Y$43,"F",IF(C341&lt;'PlayerGrades+'!$Y$42,"F+",IF(C341&lt;'PlayerGrades+'!$Y$41,"E-",IF(C341&lt;'PlayerGrades+'!$Y$40,"E",IF(C341&lt;'PlayerGrades+'!$Y$39,"E+",IF(C341&lt;'PlayerGrades+'!$Y$38,"D-",IF(C341&lt;'PlayerGrades+'!$Y$37,"D",IF(C341&lt;'PlayerGrades+'!$Y$36,"D+",IF(C341&lt;'PlayerGrades+'!$Y$35,"C-",IF(C341&lt;'PlayerGrades+'!$Y$34,"C",IF(C341&lt;'PlayerGrades+'!$Y$33,"C+",IF(C341&lt;'PlayerGrades+'!$Y$32,"B-",IF(C341&lt;'PlayerGrades+'!$Y$31,"B",IF(C341&lt;'PlayerGrades+'!$Y$30,"B+",IF(C341&lt;'PlayerGrades+'!$Y$29,"A-",IF(C341&lt;'PlayerGrades+'!$Y$28,"A",IF(C341&lt;'PlayerGrades+'!$Y$27,"A+",IF(C341&lt;'PlayerGrades+'!$Y$26,"S-",IF(C341&lt;'PlayerGrades+'!$Y$25,"S","S+"))))))))))))))))))))</f>
        <v>B+</v>
      </c>
      <c r="C341" s="936">
        <f>('PlayerGrades+'!$Y$47*(VLOOKUP(E341, 'PlayerGrades+'!$X$3:$Y$23, 2, FALSE)))+('PlayerGrades+'!$Y$48*(VLOOKUP(G341, 'PlayerGrades+'!$X$3:$Y$23, 2, FALSE)))+('PlayerGrades+'!$Y$49*(VLOOKUP(I341, 'PlayerGrades+'!$X$3:$Y$23, 2, FALSE)))+('PlayerGrades+'!$Y$50*(VLOOKUP(K341, 'PlayerGrades+'!$X$3:$Y$23, 2, FALSE)))+('PlayerGrades+'!$Y$51*(VLOOKUP(M341, 'PlayerGrades+'!$X$3:$Y$23, 2, FALSE)))+('PlayerGrades+'!$Y$52*(VLOOKUP(O341, 'PlayerGrades+'!$X$3:$Y$23, 2, FALSE)))+('PlayerGrades+'!$Y$53*(VLOOKUP(Q341, 'PlayerGrades+'!$X$3:$Y$23, 2, FALSE)))+('PlayerGrades+'!$Y$54*(VLOOKUP(S341, 'PlayerGrades+'!$X$3:$Y$23, 2, FALSE)))+('PlayerGrades+'!$Y$55*(VLOOKUP(U341, 'PlayerGrades+'!$X$3:$Y$23, 2, FALSE)))</f>
        <v>23.5</v>
      </c>
      <c r="D341" s="937">
        <f t="shared" si="1"/>
        <v>0</v>
      </c>
      <c r="E341" s="937" t="str">
        <f>IF(D341&lt;'PlayerGrades+'!$AA$21,"F-",IF(D341&lt;'PlayerGrades+'!$AA$20,"F",IF(D341&lt;'PlayerGrades+'!$AA$19,"F+",IF(D341&lt;'PlayerGrades+'!$AA$18,"E-",IF(D341&lt;'PlayerGrades+'!$AA$17,"E",IF(D341&lt;'PlayerGrades+'!$AA$16,"E+",IF(D341&lt;'PlayerGrades+'!$AA$15,"D-",IF(D341&lt;'PlayerGrades+'!$AA$14,"D",IF(D341&lt;'PlayerGrades+'!$AA$13,"D+",IF(D341&lt;'PlayerGrades+'!$AA$12,"C-",IF(D341&lt;'PlayerGrades+'!$AA$11,"C",IF(D341&lt;'PlayerGrades+'!$AA$10,"C+",IF(D341&lt;'PlayerGrades+'!$AA$9,"B-",IF(D341&lt;'PlayerGrades+'!$AA$8,"B",IF(D341&lt;'PlayerGrades+'!$AA$7,"B+",IF(D341&lt;'PlayerGrades+'!$AA$6,"A-",IF(D341&lt;'PlayerGrades+'!$AA$5,"A",IF(D341&lt;'PlayerGrades+'!$AA$4,"A+",IF(D341&lt;'PlayerGrades+'!$AA$3,"S-",IF(D341&lt;'PlayerGrades+'!$AA$2,"S","S+"))))))))))))))))))))</f>
        <v>F-</v>
      </c>
      <c r="F341" s="937">
        <f t="shared" si="2"/>
        <v>0.473840079</v>
      </c>
      <c r="G341" s="937" t="str">
        <f>IF(F341&lt;'PlayerGrades+'!$AB$21,"F-",IF(F341&lt;'PlayerGrades+'!$AB$20,"F",IF(F341&lt;'PlayerGrades+'!$AB$19,"F+",IF(F341&lt;'PlayerGrades+'!$AB$18,"E-",IF(F341&lt;'PlayerGrades+'!$AB$17,"E",IF(F341&lt;'PlayerGrades+'!$AB$16,"E+",IF(F341&lt;'PlayerGrades+'!$AB$15,"D-",IF(F341&lt;'PlayerGrades+'!$AB$14,"D",IF(F341&lt;'PlayerGrades+'!$AB$13,"D+",IF(F341&lt;'PlayerGrades+'!$AB$12,"C-",IF(F341&lt;'PlayerGrades+'!$AB$11,"C",IF(F341&lt;'PlayerGrades+'!$AB$10,"C+",IF(F341&lt;'PlayerGrades+'!$AB$9,"B-",IF(F341&lt;'PlayerGrades+'!$AB$8,"B",IF(F341&lt;'PlayerGrades+'!$AB$7,"B+",IF(F341&lt;'PlayerGrades+'!$AB$6,"A-",IF(F341&lt;'PlayerGrades+'!$AB$5,"A",IF(F341&lt;'PlayerGrades+'!$AB$4,"A+",IF(F341&lt;'PlayerGrades+'!$AB$3,"S-",IF(F341&lt;'PlayerGrades+'!$AB$2,"S","S+"))))))))))))))))))))</f>
        <v>A+</v>
      </c>
      <c r="H341" s="937">
        <f t="shared" si="3"/>
        <v>0.3849950642</v>
      </c>
      <c r="I341" s="937" t="str">
        <f>IF(H341&lt;'PlayerGrades+'!$AC$21,"F-",IF(H341&lt;'PlayerGrades+'!$AC$20,"F",IF(H341&lt;'PlayerGrades+'!$AC$19,"F+",IF(H341&lt;'PlayerGrades+'!$AC$18,"E-",IF(H341&lt;'PlayerGrades+'!$AC$17,"E",IF(H341&lt;'PlayerGrades+'!$AC$16,"E+",IF(H341&lt;'PlayerGrades+'!$AC$15,"D-",IF(H341&lt;'PlayerGrades+'!$AC$14,"D",IF(H341&lt;'PlayerGrades+'!$AC$13,"D+",IF(H341&lt;'PlayerGrades+'!$AC$12,"C-",IF(H341&lt;'PlayerGrades+'!$AC$11,"C",IF(H341&lt;'PlayerGrades+'!$AC$10,"C+",IF(H341&lt;'PlayerGrades+'!$AC$9,"B-",IF(H341&lt;'PlayerGrades+'!$AC$8,"B",IF(H341&lt;'PlayerGrades+'!$AC$7,"B+",IF(H341&lt;'PlayerGrades+'!$AC$6,"A-",IF(H341&lt;'PlayerGrades+'!$AC$5,"A",IF(H341&lt;'PlayerGrades+'!$AC$4,"A+",IF(H341&lt;'PlayerGrades+'!$AC$3,"S-",IF(H341&lt;'PlayerGrades+'!$AC$2,"S","S+"))))))))))))))))))))</f>
        <v>S+</v>
      </c>
      <c r="J341" s="937">
        <f t="shared" si="4"/>
        <v>0.05923000987</v>
      </c>
      <c r="K341" s="937" t="str">
        <f>IF(J341&lt;'PlayerGrades+'!$AD$21,"F-",IF(J341&lt;'PlayerGrades+'!$AD$20,"F",IF(J341&lt;'PlayerGrades+'!$AD$19,"F+",IF(J341&lt;'PlayerGrades+'!$AD$18,"E-",IF(J341&lt;'PlayerGrades+'!$AD$17,"E",IF(J341&lt;'PlayerGrades+'!$AD$16,"E+",IF(J341&lt;'PlayerGrades+'!$AD$15,"D-",IF(J341&lt;'PlayerGrades+'!$AD$14,"D",IF(J341&lt;'PlayerGrades+'!$AD$13,"D+",IF(J341&lt;'PlayerGrades+'!$AD$12,"C-",IF(J341&lt;'PlayerGrades+'!$AD$11,"C",IF(J341&lt;'PlayerGrades+'!$AD$10,"C+",IF(J341&lt;'PlayerGrades+'!$AD$9,"B-",IF(J341&lt;'PlayerGrades+'!$AD$8,"B",IF(J341&lt;'PlayerGrades+'!$AD$7,"B+",IF(J341&lt;'PlayerGrades+'!$AD$6,"A-",IF(J341&lt;'PlayerGrades+'!$AD$5,"A",IF(J341&lt;'PlayerGrades+'!$AD$4,"A+",IF(J341&lt;'PlayerGrades+'!$AD$3,"S-",IF(J341&lt;'PlayerGrades+'!$AD$2,"S","S+"))))))))))))))))))))</f>
        <v>B+</v>
      </c>
      <c r="L341" s="677">
        <f t="shared" si="5"/>
        <v>0.8292201382</v>
      </c>
      <c r="M341" s="938" t="str">
        <f>IF(L341&lt;'PlayerGrades+'!$AE$21,"F-",IF(L341&lt;'PlayerGrades+'!$AE$20,"F",IF(L341&lt;'PlayerGrades+'!$AE$19,"F+",IF(L341&lt;'PlayerGrades+'!$AE$18,"E-",IF(L341&lt;'PlayerGrades+'!$AE$17,"E",IF(L341&lt;'PlayerGrades+'!$AE$16,"E+",IF(L341&lt;'PlayerGrades+'!$AE$15,"D-",IF(L341&lt;'PlayerGrades+'!$AE$14,"D",IF(L341&lt;'PlayerGrades+'!$AE$13,"D+",IF(L341&lt;'PlayerGrades+'!$AE$12,"C-",IF(L341&lt;'PlayerGrades+'!$AE$11,"C",IF(L341&lt;'PlayerGrades+'!$AE$10,"C+",IF(L341&lt;'PlayerGrades+'!$AE$9,"B-",IF(L341&lt;'PlayerGrades+'!$AE$8,"B",IF(L341&lt;'PlayerGrades+'!$AE$7,"B+",IF(L341&lt;'PlayerGrades+'!$AE$6,"A-",IF(L341&lt;'PlayerGrades+'!$AE$5,"A",IF(L341&lt;'PlayerGrades+'!$AE$4,"A+",IF(L341&lt;'PlayerGrades+'!$AE$3,"S-",IF(L341&lt;'PlayerGrades+'!$AE$2,"S","S+"))))))))))))))))))))</f>
        <v>S+</v>
      </c>
      <c r="N341" s="937">
        <f t="shared" si="6"/>
        <v>0.05923000987</v>
      </c>
      <c r="O341" s="937" t="str">
        <f>IF(N341&lt;'PlayerGrades+'!$AF$21,"F-",IF(N341&lt;'PlayerGrades+'!$AF$20,"F",IF(N341&lt;'PlayerGrades+'!$AF$19,"F+",IF(N341&lt;'PlayerGrades+'!$AF$18,"E-",IF(N341&lt;'PlayerGrades+'!$AF$17,"E",IF(N341&lt;'PlayerGrades+'!$AF$16,"E+",IF(N341&lt;'PlayerGrades+'!$AF$15,"D-",IF(N341&lt;'PlayerGrades+'!$AF$14,"D",IF(N341&lt;'PlayerGrades+'!$AF$13,"D+",IF(N341&lt;'PlayerGrades+'!$AF$12,"C-",IF(N341&lt;'PlayerGrades+'!$AF$11,"C",IF(N341&lt;'PlayerGrades+'!$AF$10,"C+",IF(N341&lt;'PlayerGrades+'!$AF$9,"B-",IF(N341&lt;'PlayerGrades+'!$AF$8,"B",IF(N341&lt;'PlayerGrades+'!$AF$7,"B+",IF(N341&lt;'PlayerGrades+'!$AF$6,"A-",IF(N341&lt;'PlayerGrades+'!$AF$5,"A",IF(N341&lt;'PlayerGrades+'!$AF$4,"A+",IF(N341&lt;'PlayerGrades+'!$AF$3,"S-",IF(N341&lt;'PlayerGrades+'!$AF$2,"S","S+"))))))))))))))))))))</f>
        <v>D+</v>
      </c>
      <c r="P341" s="937">
        <f t="shared" si="7"/>
        <v>0.02961500494</v>
      </c>
      <c r="Q341" s="937" t="str">
        <f>IF(P341&lt;'PlayerGrades+'!$AG$21,"F-",IF(P341&lt;'PlayerGrades+'!$AG$20,"F",IF(P341&lt;'PlayerGrades+'!$AG$19,"F+",IF(P341&lt;'PlayerGrades+'!$AG$18,"E-",IF(P341&lt;'PlayerGrades+'!$AG$17,"E",IF(P341&lt;'PlayerGrades+'!$AG$16,"E+",IF(P341&lt;'PlayerGrades+'!$AG$15,"D-",IF(P341&lt;'PlayerGrades+'!$AG$14,"D",IF(P341&lt;'PlayerGrades+'!$AG$13,"D+",IF(P341&lt;'PlayerGrades+'!$AG$12,"C-",IF(P341&lt;'PlayerGrades+'!$AG$11,"C",IF(P341&lt;'PlayerGrades+'!$AG$10,"C+",IF(P341&lt;'PlayerGrades+'!$AG$9,"B-",IF(P341&lt;'PlayerGrades+'!$AG$8,"B",IF(P341&lt;'PlayerGrades+'!$AG$7,"B+",IF(P341&lt;'PlayerGrades+'!$AG$6,"A-",IF(P341&lt;'PlayerGrades+'!$AG$5,"A",IF(P341&lt;'PlayerGrades+'!$AG$4,"A+",IF(P341&lt;'PlayerGrades+'!$AG$3,"S-",IF(P341&lt;'PlayerGrades+'!$AG$2,"S","S+"))))))))))))))))))))</f>
        <v>B</v>
      </c>
      <c r="R341" s="937">
        <f t="shared" si="8"/>
        <v>0.5330700888</v>
      </c>
      <c r="S341" s="937" t="str">
        <f>IF(R341&lt;'PlayerGrades+'!$AH$21,"F-",IF(R341&lt;'PlayerGrades+'!$AH$20,"F",IF(R341&lt;'PlayerGrades+'!$AH$19,"F+",IF(R341&lt;'PlayerGrades+'!$AH$18,"E-",IF(R341&lt;'PlayerGrades+'!$AH$17,"E",IF(R341&lt;'PlayerGrades+'!$AH$16,"E+",IF(R341&lt;'PlayerGrades+'!$AH$15,"D-",IF(R341&lt;'PlayerGrades+'!$AH$14,"D",IF(R341&lt;'PlayerGrades+'!$AH$13,"D+",IF(R341&lt;'PlayerGrades+'!$AH$12,"C-",IF(R341&lt;'PlayerGrades+'!$AH$11,"C",IF(R341&lt;'PlayerGrades+'!$AH$10,"C+",IF(R341&lt;'PlayerGrades+'!$AH$9,"B-",IF(R341&lt;'PlayerGrades+'!$AH$8,"B",IF(R341&lt;'PlayerGrades+'!$AH$7,"B+",IF(R341&lt;'PlayerGrades+'!$AH$6,"A-",IF(R341&lt;'PlayerGrades+'!$AH$5,"A",IF(R341&lt;'PlayerGrades+'!$AH$4,"A+",IF(R341&lt;'PlayerGrades+'!$AH$3,"S-",IF(R341&lt;'PlayerGrades+'!$AH$2,"S","S+"))))))))))))))))))))</f>
        <v>C+</v>
      </c>
      <c r="T341" s="937">
        <f t="shared" si="9"/>
        <v>0.3257650543</v>
      </c>
      <c r="U341" s="937" t="str">
        <f>IF(T341&lt;'PlayerGrades+'!$AI$21,"F-",IF(T341&lt;'PlayerGrades+'!$AI$20,"F",IF(T341&lt;'PlayerGrades+'!$AI$19,"F+",IF(T341&lt;'PlayerGrades+'!$AI$18,"E-",IF(T341&lt;'PlayerGrades+'!$AI$17,"E",IF(T341&lt;'PlayerGrades+'!$AI$16,"E+",IF(T341&lt;'PlayerGrades+'!$AI$15,"D-",IF(T341&lt;'PlayerGrades+'!$AI$14,"D",IF(T341&lt;'PlayerGrades+'!$AI$13,"D+",IF(T341&lt;'PlayerGrades+'!$AI$12,"C-",IF(T341&lt;'PlayerGrades+'!$AI$11,"C",IF(T341&lt;'PlayerGrades+'!$AI$10,"C+",IF(T341&lt;'PlayerGrades+'!$AI$9,"B-",IF(T341&lt;'PlayerGrades+'!$AI$8,"B",IF(T341&lt;'PlayerGrades+'!$AI$7,"B+",IF(T341&lt;'PlayerGrades+'!$AI$6,"A-",IF(T341&lt;'PlayerGrades+'!$AI$5,"A",IF(T341&lt;'PlayerGrades+'!$AI$4,"A+",IF(T341&lt;'PlayerGrades+'!$AI$3,"S-",IF(T341&lt;'PlayerGrades+'!$AI$2,"S","S+"))))))))))))))))))))</f>
        <v>F-</v>
      </c>
      <c r="V341" s="941">
        <v>1.0</v>
      </c>
      <c r="W341" s="941">
        <v>1.0</v>
      </c>
      <c r="X341" s="941">
        <v>0.0</v>
      </c>
      <c r="Y341" s="941">
        <v>0.0</v>
      </c>
      <c r="Z341" s="941">
        <v>0.0</v>
      </c>
      <c r="AA341" s="941">
        <v>139.0</v>
      </c>
      <c r="AB341" s="941">
        <v>123.0</v>
      </c>
      <c r="AC341" s="941">
        <v>16.0</v>
      </c>
      <c r="AD341" s="941">
        <v>7.0</v>
      </c>
      <c r="AE341" s="941">
        <v>5.0</v>
      </c>
      <c r="AF341" s="941">
        <v>1.0</v>
      </c>
      <c r="AG341" s="941">
        <v>1606.0</v>
      </c>
      <c r="AH341" s="1">
        <v>2026.0</v>
      </c>
      <c r="AI341" s="941">
        <v>13.0</v>
      </c>
      <c r="AJ341" s="941">
        <v>12.0</v>
      </c>
      <c r="AK341" s="941">
        <v>0.0</v>
      </c>
      <c r="AL341" s="941">
        <v>2.0</v>
      </c>
      <c r="AM341" s="941">
        <v>0.0</v>
      </c>
      <c r="AN341" s="941">
        <v>0.0</v>
      </c>
      <c r="AO341" s="941">
        <v>0.0</v>
      </c>
      <c r="AP341" s="941">
        <v>1.0</v>
      </c>
      <c r="AQ341" s="941">
        <v>0.0</v>
      </c>
      <c r="AR341" s="941">
        <v>28.0</v>
      </c>
      <c r="AS341" s="941">
        <v>2.0</v>
      </c>
      <c r="AT341" s="941">
        <v>0.0</v>
      </c>
      <c r="AU341" s="941">
        <v>0.0</v>
      </c>
      <c r="AV341" s="941">
        <v>0.0</v>
      </c>
      <c r="AW341" s="941">
        <v>0.0</v>
      </c>
      <c r="AX341" s="941">
        <v>0.0</v>
      </c>
      <c r="AY341" s="941">
        <v>0.0</v>
      </c>
      <c r="AZ341" s="941">
        <v>0.0</v>
      </c>
      <c r="BA341" s="941">
        <v>0.0</v>
      </c>
      <c r="BB341" s="941">
        <v>13.0</v>
      </c>
      <c r="BC341" s="941">
        <v>0.0</v>
      </c>
      <c r="BD341" s="941">
        <v>11.0</v>
      </c>
      <c r="BE341" s="941">
        <v>11.0</v>
      </c>
      <c r="BF341" s="941">
        <v>0.0</v>
      </c>
      <c r="BG341" s="942">
        <v>1.0</v>
      </c>
    </row>
    <row r="342">
      <c r="A342" s="935" t="s">
        <v>123</v>
      </c>
      <c r="B342" s="16" t="str">
        <f>IF(C342&lt;'PlayerGrades+'!$Y$44,"F-",IF(C342&lt;'PlayerGrades+'!$Y$43,"F",IF(C342&lt;'PlayerGrades+'!$Y$42,"F+",IF(C342&lt;'PlayerGrades+'!$Y$41,"E-",IF(C342&lt;'PlayerGrades+'!$Y$40,"E",IF(C342&lt;'PlayerGrades+'!$Y$39,"E+",IF(C342&lt;'PlayerGrades+'!$Y$38,"D-",IF(C342&lt;'PlayerGrades+'!$Y$37,"D",IF(C342&lt;'PlayerGrades+'!$Y$36,"D+",IF(C342&lt;'PlayerGrades+'!$Y$35,"C-",IF(C342&lt;'PlayerGrades+'!$Y$34,"C",IF(C342&lt;'PlayerGrades+'!$Y$33,"C+",IF(C342&lt;'PlayerGrades+'!$Y$32,"B-",IF(C342&lt;'PlayerGrades+'!$Y$31,"B",IF(C342&lt;'PlayerGrades+'!$Y$30,"B+",IF(C342&lt;'PlayerGrades+'!$Y$29,"A-",IF(C342&lt;'PlayerGrades+'!$Y$28,"A",IF(C342&lt;'PlayerGrades+'!$Y$27,"A+",IF(C342&lt;'PlayerGrades+'!$Y$26,"S-",IF(C342&lt;'PlayerGrades+'!$Y$25,"S","S+"))))))))))))))))))))</f>
        <v>D+</v>
      </c>
      <c r="C342" s="936">
        <f>('PlayerGrades+'!$Y$47*(VLOOKUP(E342, 'PlayerGrades+'!$X$3:$Y$23, 2, FALSE)))+('PlayerGrades+'!$Y$48*(VLOOKUP(G342, 'PlayerGrades+'!$X$3:$Y$23, 2, FALSE)))+('PlayerGrades+'!$Y$49*(VLOOKUP(I342, 'PlayerGrades+'!$X$3:$Y$23, 2, FALSE)))+('PlayerGrades+'!$Y$50*(VLOOKUP(K342, 'PlayerGrades+'!$X$3:$Y$23, 2, FALSE)))+('PlayerGrades+'!$Y$51*(VLOOKUP(M342, 'PlayerGrades+'!$X$3:$Y$23, 2, FALSE)))+('PlayerGrades+'!$Y$52*(VLOOKUP(O342, 'PlayerGrades+'!$X$3:$Y$23, 2, FALSE)))+('PlayerGrades+'!$Y$53*(VLOOKUP(Q342, 'PlayerGrades+'!$X$3:$Y$23, 2, FALSE)))+('PlayerGrades+'!$Y$54*(VLOOKUP(S342, 'PlayerGrades+'!$X$3:$Y$23, 2, FALSE)))+('PlayerGrades+'!$Y$55*(VLOOKUP(U342, 'PlayerGrades+'!$X$3:$Y$23, 2, FALSE)))</f>
        <v>17.65</v>
      </c>
      <c r="D342" s="937">
        <f t="shared" si="1"/>
        <v>0.473840079</v>
      </c>
      <c r="E342" s="937" t="str">
        <f>IF(D342&lt;'PlayerGrades+'!$AA$21,"F-",IF(D342&lt;'PlayerGrades+'!$AA$20,"F",IF(D342&lt;'PlayerGrades+'!$AA$19,"F+",IF(D342&lt;'PlayerGrades+'!$AA$18,"E-",IF(D342&lt;'PlayerGrades+'!$AA$17,"E",IF(D342&lt;'PlayerGrades+'!$AA$16,"E+",IF(D342&lt;'PlayerGrades+'!$AA$15,"D-",IF(D342&lt;'PlayerGrades+'!$AA$14,"D",IF(D342&lt;'PlayerGrades+'!$AA$13,"D+",IF(D342&lt;'PlayerGrades+'!$AA$12,"C-",IF(D342&lt;'PlayerGrades+'!$AA$11,"C",IF(D342&lt;'PlayerGrades+'!$AA$10,"C+",IF(D342&lt;'PlayerGrades+'!$AA$9,"B-",IF(D342&lt;'PlayerGrades+'!$AA$8,"B",IF(D342&lt;'PlayerGrades+'!$AA$7,"B+",IF(D342&lt;'PlayerGrades+'!$AA$6,"A-",IF(D342&lt;'PlayerGrades+'!$AA$5,"A",IF(D342&lt;'PlayerGrades+'!$AA$4,"A+",IF(D342&lt;'PlayerGrades+'!$AA$3,"S-",IF(D342&lt;'PlayerGrades+'!$AA$2,"S","S+"))))))))))))))))))))</f>
        <v>A+</v>
      </c>
      <c r="F342" s="937">
        <f t="shared" si="2"/>
        <v>0.3849950642</v>
      </c>
      <c r="G342" s="937" t="str">
        <f>IF(F342&lt;'PlayerGrades+'!$AB$21,"F-",IF(F342&lt;'PlayerGrades+'!$AB$20,"F",IF(F342&lt;'PlayerGrades+'!$AB$19,"F+",IF(F342&lt;'PlayerGrades+'!$AB$18,"E-",IF(F342&lt;'PlayerGrades+'!$AB$17,"E",IF(F342&lt;'PlayerGrades+'!$AB$16,"E+",IF(F342&lt;'PlayerGrades+'!$AB$15,"D-",IF(F342&lt;'PlayerGrades+'!$AB$14,"D",IF(F342&lt;'PlayerGrades+'!$AB$13,"D+",IF(F342&lt;'PlayerGrades+'!$AB$12,"C-",IF(F342&lt;'PlayerGrades+'!$AB$11,"C",IF(F342&lt;'PlayerGrades+'!$AB$10,"C+",IF(F342&lt;'PlayerGrades+'!$AB$9,"B-",IF(F342&lt;'PlayerGrades+'!$AB$8,"B",IF(F342&lt;'PlayerGrades+'!$AB$7,"B+",IF(F342&lt;'PlayerGrades+'!$AB$6,"A-",IF(F342&lt;'PlayerGrades+'!$AB$5,"A",IF(F342&lt;'PlayerGrades+'!$AB$4,"A+",IF(F342&lt;'PlayerGrades+'!$AB$3,"S-",IF(F342&lt;'PlayerGrades+'!$AB$2,"S","S+"))))))))))))))))))))</f>
        <v>A</v>
      </c>
      <c r="H342" s="937">
        <f t="shared" si="3"/>
        <v>0.05923000987</v>
      </c>
      <c r="I342" s="937" t="str">
        <f>IF(H342&lt;'PlayerGrades+'!$AC$21,"F-",IF(H342&lt;'PlayerGrades+'!$AC$20,"F",IF(H342&lt;'PlayerGrades+'!$AC$19,"F+",IF(H342&lt;'PlayerGrades+'!$AC$18,"E-",IF(H342&lt;'PlayerGrades+'!$AC$17,"E",IF(H342&lt;'PlayerGrades+'!$AC$16,"E+",IF(H342&lt;'PlayerGrades+'!$AC$15,"D-",IF(H342&lt;'PlayerGrades+'!$AC$14,"D",IF(H342&lt;'PlayerGrades+'!$AC$13,"D+",IF(H342&lt;'PlayerGrades+'!$AC$12,"C-",IF(H342&lt;'PlayerGrades+'!$AC$11,"C",IF(H342&lt;'PlayerGrades+'!$AC$10,"C+",IF(H342&lt;'PlayerGrades+'!$AC$9,"B-",IF(H342&lt;'PlayerGrades+'!$AC$8,"B",IF(H342&lt;'PlayerGrades+'!$AC$7,"B+",IF(H342&lt;'PlayerGrades+'!$AC$6,"A-",IF(H342&lt;'PlayerGrades+'!$AC$5,"A",IF(H342&lt;'PlayerGrades+'!$AC$4,"A+",IF(H342&lt;'PlayerGrades+'!$AC$3,"S-",IF(H342&lt;'PlayerGrades+'!$AC$2,"S","S+"))))))))))))))))))))</f>
        <v>E-</v>
      </c>
      <c r="J342" s="937">
        <f t="shared" si="4"/>
        <v>0.05923000987</v>
      </c>
      <c r="K342" s="937" t="str">
        <f>IF(J342&lt;'PlayerGrades+'!$AD$21,"F-",IF(J342&lt;'PlayerGrades+'!$AD$20,"F",IF(J342&lt;'PlayerGrades+'!$AD$19,"F+",IF(J342&lt;'PlayerGrades+'!$AD$18,"E-",IF(J342&lt;'PlayerGrades+'!$AD$17,"E",IF(J342&lt;'PlayerGrades+'!$AD$16,"E+",IF(J342&lt;'PlayerGrades+'!$AD$15,"D-",IF(J342&lt;'PlayerGrades+'!$AD$14,"D",IF(J342&lt;'PlayerGrades+'!$AD$13,"D+",IF(J342&lt;'PlayerGrades+'!$AD$12,"C-",IF(J342&lt;'PlayerGrades+'!$AD$11,"C",IF(J342&lt;'PlayerGrades+'!$AD$10,"C+",IF(J342&lt;'PlayerGrades+'!$AD$9,"B-",IF(J342&lt;'PlayerGrades+'!$AD$8,"B",IF(J342&lt;'PlayerGrades+'!$AD$7,"B+",IF(J342&lt;'PlayerGrades+'!$AD$6,"A-",IF(J342&lt;'PlayerGrades+'!$AD$5,"A",IF(J342&lt;'PlayerGrades+'!$AD$4,"A+",IF(J342&lt;'PlayerGrades+'!$AD$3,"S-",IF(J342&lt;'PlayerGrades+'!$AD$2,"S","S+"))))))))))))))))))))</f>
        <v>B+</v>
      </c>
      <c r="L342" s="677">
        <f t="shared" si="5"/>
        <v>0.4146100691</v>
      </c>
      <c r="M342" s="938" t="str">
        <f>IF(L342&lt;'PlayerGrades+'!$AE$21,"F-",IF(L342&lt;'PlayerGrades+'!$AE$20,"F",IF(L342&lt;'PlayerGrades+'!$AE$19,"F+",IF(L342&lt;'PlayerGrades+'!$AE$18,"E-",IF(L342&lt;'PlayerGrades+'!$AE$17,"E",IF(L342&lt;'PlayerGrades+'!$AE$16,"E+",IF(L342&lt;'PlayerGrades+'!$AE$15,"D-",IF(L342&lt;'PlayerGrades+'!$AE$14,"D",IF(L342&lt;'PlayerGrades+'!$AE$13,"D+",IF(L342&lt;'PlayerGrades+'!$AE$12,"C-",IF(L342&lt;'PlayerGrades+'!$AE$11,"C",IF(L342&lt;'PlayerGrades+'!$AE$10,"C+",IF(L342&lt;'PlayerGrades+'!$AE$9,"B-",IF(L342&lt;'PlayerGrades+'!$AE$8,"B",IF(L342&lt;'PlayerGrades+'!$AE$7,"B+",IF(L342&lt;'PlayerGrades+'!$AE$6,"A-",IF(L342&lt;'PlayerGrades+'!$AE$5,"A",IF(L342&lt;'PlayerGrades+'!$AE$4,"A+",IF(L342&lt;'PlayerGrades+'!$AE$3,"S-",IF(L342&lt;'PlayerGrades+'!$AE$2,"S","S+"))))))))))))))))))))</f>
        <v>C+</v>
      </c>
      <c r="N342" s="937">
        <f t="shared" si="6"/>
        <v>0.02961500494</v>
      </c>
      <c r="O342" s="937" t="str">
        <f>IF(N342&lt;'PlayerGrades+'!$AF$21,"F-",IF(N342&lt;'PlayerGrades+'!$AF$20,"F",IF(N342&lt;'PlayerGrades+'!$AF$19,"F+",IF(N342&lt;'PlayerGrades+'!$AF$18,"E-",IF(N342&lt;'PlayerGrades+'!$AF$17,"E",IF(N342&lt;'PlayerGrades+'!$AF$16,"E+",IF(N342&lt;'PlayerGrades+'!$AF$15,"D-",IF(N342&lt;'PlayerGrades+'!$AF$14,"D",IF(N342&lt;'PlayerGrades+'!$AF$13,"D+",IF(N342&lt;'PlayerGrades+'!$AF$12,"C-",IF(N342&lt;'PlayerGrades+'!$AF$11,"C",IF(N342&lt;'PlayerGrades+'!$AF$10,"C+",IF(N342&lt;'PlayerGrades+'!$AF$9,"B-",IF(N342&lt;'PlayerGrades+'!$AF$8,"B",IF(N342&lt;'PlayerGrades+'!$AF$7,"B+",IF(N342&lt;'PlayerGrades+'!$AF$6,"A-",IF(N342&lt;'PlayerGrades+'!$AF$5,"A",IF(N342&lt;'PlayerGrades+'!$AF$4,"A+",IF(N342&lt;'PlayerGrades+'!$AF$3,"S-",IF(N342&lt;'PlayerGrades+'!$AF$2,"S","S+"))))))))))))))))))))</f>
        <v>F</v>
      </c>
      <c r="P342" s="937">
        <f t="shared" si="7"/>
        <v>0</v>
      </c>
      <c r="Q342" s="937" t="str">
        <f>IF(P342&lt;'PlayerGrades+'!$AG$21,"F-",IF(P342&lt;'PlayerGrades+'!$AG$20,"F",IF(P342&lt;'PlayerGrades+'!$AG$19,"F+",IF(P342&lt;'PlayerGrades+'!$AG$18,"E-",IF(P342&lt;'PlayerGrades+'!$AG$17,"E",IF(P342&lt;'PlayerGrades+'!$AG$16,"E+",IF(P342&lt;'PlayerGrades+'!$AG$15,"D-",IF(P342&lt;'PlayerGrades+'!$AG$14,"D",IF(P342&lt;'PlayerGrades+'!$AG$13,"D+",IF(P342&lt;'PlayerGrades+'!$AG$12,"C-",IF(P342&lt;'PlayerGrades+'!$AG$11,"C",IF(P342&lt;'PlayerGrades+'!$AG$10,"C+",IF(P342&lt;'PlayerGrades+'!$AG$9,"B-",IF(P342&lt;'PlayerGrades+'!$AG$8,"B",IF(P342&lt;'PlayerGrades+'!$AG$7,"B+",IF(P342&lt;'PlayerGrades+'!$AG$6,"A-",IF(P342&lt;'PlayerGrades+'!$AG$5,"A",IF(P342&lt;'PlayerGrades+'!$AG$4,"A+",IF(P342&lt;'PlayerGrades+'!$AG$3,"S-",IF(P342&lt;'PlayerGrades+'!$AG$2,"S","S+"))))))))))))))))))))</f>
        <v>F</v>
      </c>
      <c r="R342" s="937">
        <f t="shared" si="8"/>
        <v>0.3257650543</v>
      </c>
      <c r="S342" s="937" t="str">
        <f>IF(R342&lt;'PlayerGrades+'!$AH$21,"F-",IF(R342&lt;'PlayerGrades+'!$AH$20,"F",IF(R342&lt;'PlayerGrades+'!$AH$19,"F+",IF(R342&lt;'PlayerGrades+'!$AH$18,"E-",IF(R342&lt;'PlayerGrades+'!$AH$17,"E",IF(R342&lt;'PlayerGrades+'!$AH$16,"E+",IF(R342&lt;'PlayerGrades+'!$AH$15,"D-",IF(R342&lt;'PlayerGrades+'!$AH$14,"D",IF(R342&lt;'PlayerGrades+'!$AH$13,"D+",IF(R342&lt;'PlayerGrades+'!$AH$12,"C-",IF(R342&lt;'PlayerGrades+'!$AH$11,"C",IF(R342&lt;'PlayerGrades+'!$AH$10,"C+",IF(R342&lt;'PlayerGrades+'!$AH$9,"B-",IF(R342&lt;'PlayerGrades+'!$AH$8,"B",IF(R342&lt;'PlayerGrades+'!$AH$7,"B+",IF(R342&lt;'PlayerGrades+'!$AH$6,"A-",IF(R342&lt;'PlayerGrades+'!$AH$5,"A",IF(R342&lt;'PlayerGrades+'!$AH$4,"A+",IF(R342&lt;'PlayerGrades+'!$AH$3,"S-",IF(R342&lt;'PlayerGrades+'!$AH$2,"S","S+"))))))))))))))))))))</f>
        <v>F</v>
      </c>
      <c r="T342" s="937">
        <f t="shared" si="9"/>
        <v>5.355380059</v>
      </c>
      <c r="U342" s="937" t="str">
        <f>IF(T342&lt;'PlayerGrades+'!$AI$21,"F-",IF(T342&lt;'PlayerGrades+'!$AI$20,"F",IF(T342&lt;'PlayerGrades+'!$AI$19,"F+",IF(T342&lt;'PlayerGrades+'!$AI$18,"E-",IF(T342&lt;'PlayerGrades+'!$AI$17,"E",IF(T342&lt;'PlayerGrades+'!$AI$16,"E+",IF(T342&lt;'PlayerGrades+'!$AI$15,"D-",IF(T342&lt;'PlayerGrades+'!$AI$14,"D",IF(T342&lt;'PlayerGrades+'!$AI$13,"D+",IF(T342&lt;'PlayerGrades+'!$AI$12,"C-",IF(T342&lt;'PlayerGrades+'!$AI$11,"C",IF(T342&lt;'PlayerGrades+'!$AI$10,"C+",IF(T342&lt;'PlayerGrades+'!$AI$9,"B-",IF(T342&lt;'PlayerGrades+'!$AI$8,"B",IF(T342&lt;'PlayerGrades+'!$AI$7,"B+",IF(T342&lt;'PlayerGrades+'!$AI$6,"A-",IF(T342&lt;'PlayerGrades+'!$AI$5,"A",IF(T342&lt;'PlayerGrades+'!$AI$4,"A+",IF(T342&lt;'PlayerGrades+'!$AI$3,"S-",IF(T342&lt;'PlayerGrades+'!$AI$2,"S","S+"))))))))))))))))))))</f>
        <v>S+</v>
      </c>
      <c r="V342" s="941">
        <v>1.0</v>
      </c>
      <c r="W342" s="941">
        <v>0.0</v>
      </c>
      <c r="X342" s="941">
        <v>1.0</v>
      </c>
      <c r="Y342" s="941">
        <v>2.0</v>
      </c>
      <c r="Z342" s="941">
        <v>14.0</v>
      </c>
      <c r="AA342" s="941">
        <v>81.0</v>
      </c>
      <c r="AB342" s="941">
        <v>68.0</v>
      </c>
      <c r="AC342" s="941">
        <v>13.0</v>
      </c>
      <c r="AD342" s="941">
        <v>4.0</v>
      </c>
      <c r="AE342" s="941">
        <v>5.0</v>
      </c>
      <c r="AF342" s="941">
        <v>3.0</v>
      </c>
      <c r="AG342" s="941">
        <v>1774.0</v>
      </c>
      <c r="AH342" s="1">
        <v>2026.0</v>
      </c>
      <c r="AI342" s="941">
        <v>26.0</v>
      </c>
      <c r="AJ342" s="941">
        <v>853.0</v>
      </c>
      <c r="AK342" s="941">
        <v>0.0</v>
      </c>
      <c r="AL342" s="941">
        <v>2.0</v>
      </c>
      <c r="AM342" s="941">
        <v>0.0</v>
      </c>
      <c r="AN342" s="941">
        <v>0.0</v>
      </c>
      <c r="AO342" s="941">
        <v>0.0</v>
      </c>
      <c r="AP342" s="941">
        <v>0.0</v>
      </c>
      <c r="AQ342" s="941">
        <v>0.0</v>
      </c>
      <c r="AR342" s="941">
        <v>14.0</v>
      </c>
      <c r="AS342" s="941">
        <v>1.0</v>
      </c>
      <c r="AT342" s="941">
        <v>0.0</v>
      </c>
      <c r="AU342" s="941">
        <v>0.0</v>
      </c>
      <c r="AV342" s="941">
        <v>0.0</v>
      </c>
      <c r="AW342" s="941">
        <v>0.0</v>
      </c>
      <c r="AX342" s="941">
        <v>0.0</v>
      </c>
      <c r="AY342" s="941">
        <v>0.0</v>
      </c>
      <c r="AZ342" s="941">
        <v>0.0</v>
      </c>
      <c r="BA342" s="941">
        <v>0.0</v>
      </c>
      <c r="BB342" s="941">
        <v>2.0</v>
      </c>
      <c r="BC342" s="941">
        <v>0.0</v>
      </c>
      <c r="BD342" s="941">
        <v>7.0</v>
      </c>
      <c r="BE342" s="941">
        <v>12.0</v>
      </c>
      <c r="BF342" s="941">
        <v>5.0</v>
      </c>
      <c r="BG342" s="942">
        <v>0.0</v>
      </c>
    </row>
    <row r="343">
      <c r="A343" s="935" t="s">
        <v>159</v>
      </c>
      <c r="B343" s="16" t="str">
        <f>IF(C343&lt;'PlayerGrades+'!$Y$44,"F-",IF(C343&lt;'PlayerGrades+'!$Y$43,"F",IF(C343&lt;'PlayerGrades+'!$Y$42,"F+",IF(C343&lt;'PlayerGrades+'!$Y$41,"E-",IF(C343&lt;'PlayerGrades+'!$Y$40,"E",IF(C343&lt;'PlayerGrades+'!$Y$39,"E+",IF(C343&lt;'PlayerGrades+'!$Y$38,"D-",IF(C343&lt;'PlayerGrades+'!$Y$37,"D",IF(C343&lt;'PlayerGrades+'!$Y$36,"D+",IF(C343&lt;'PlayerGrades+'!$Y$35,"C-",IF(C343&lt;'PlayerGrades+'!$Y$34,"C",IF(C343&lt;'PlayerGrades+'!$Y$33,"C+",IF(C343&lt;'PlayerGrades+'!$Y$32,"B-",IF(C343&lt;'PlayerGrades+'!$Y$31,"B",IF(C343&lt;'PlayerGrades+'!$Y$30,"B+",IF(C343&lt;'PlayerGrades+'!$Y$29,"A-",IF(C343&lt;'PlayerGrades+'!$Y$28,"A",IF(C343&lt;'PlayerGrades+'!$Y$27,"A+",IF(C343&lt;'PlayerGrades+'!$Y$26,"S-",IF(C343&lt;'PlayerGrades+'!$Y$25,"S","S+"))))))))))))))))))))</f>
        <v>E-</v>
      </c>
      <c r="C343" s="936">
        <f>('PlayerGrades+'!$Y$47*(VLOOKUP(E343, 'PlayerGrades+'!$X$3:$Y$23, 2, FALSE)))+('PlayerGrades+'!$Y$48*(VLOOKUP(G343, 'PlayerGrades+'!$X$3:$Y$23, 2, FALSE)))+('PlayerGrades+'!$Y$49*(VLOOKUP(I343, 'PlayerGrades+'!$X$3:$Y$23, 2, FALSE)))+('PlayerGrades+'!$Y$50*(VLOOKUP(K343, 'PlayerGrades+'!$X$3:$Y$23, 2, FALSE)))+('PlayerGrades+'!$Y$51*(VLOOKUP(M343, 'PlayerGrades+'!$X$3:$Y$23, 2, FALSE)))+('PlayerGrades+'!$Y$52*(VLOOKUP(O343, 'PlayerGrades+'!$X$3:$Y$23, 2, FALSE)))+('PlayerGrades+'!$Y$53*(VLOOKUP(Q343, 'PlayerGrades+'!$X$3:$Y$23, 2, FALSE)))+('PlayerGrades+'!$Y$54*(VLOOKUP(S343, 'PlayerGrades+'!$X$3:$Y$23, 2, FALSE)))+('PlayerGrades+'!$Y$55*(VLOOKUP(U343, 'PlayerGrades+'!$X$3:$Y$23, 2, FALSE)))</f>
        <v>11.6</v>
      </c>
      <c r="D343" s="937">
        <f t="shared" si="1"/>
        <v>0.02961500494</v>
      </c>
      <c r="E343" s="937" t="str">
        <f>IF(D343&lt;'PlayerGrades+'!$AA$21,"F-",IF(D343&lt;'PlayerGrades+'!$AA$20,"F",IF(D343&lt;'PlayerGrades+'!$AA$19,"F+",IF(D343&lt;'PlayerGrades+'!$AA$18,"E-",IF(D343&lt;'PlayerGrades+'!$AA$17,"E",IF(D343&lt;'PlayerGrades+'!$AA$16,"E+",IF(D343&lt;'PlayerGrades+'!$AA$15,"D-",IF(D343&lt;'PlayerGrades+'!$AA$14,"D",IF(D343&lt;'PlayerGrades+'!$AA$13,"D+",IF(D343&lt;'PlayerGrades+'!$AA$12,"C-",IF(D343&lt;'PlayerGrades+'!$AA$11,"C",IF(D343&lt;'PlayerGrades+'!$AA$10,"C+",IF(D343&lt;'PlayerGrades+'!$AA$9,"B-",IF(D343&lt;'PlayerGrades+'!$AA$8,"B",IF(D343&lt;'PlayerGrades+'!$AA$7,"B+",IF(D343&lt;'PlayerGrades+'!$AA$6,"A-",IF(D343&lt;'PlayerGrades+'!$AA$5,"A",IF(D343&lt;'PlayerGrades+'!$AA$4,"A+",IF(D343&lt;'PlayerGrades+'!$AA$3,"S-",IF(D343&lt;'PlayerGrades+'!$AA$2,"S","S+"))))))))))))))))))))</f>
        <v>D</v>
      </c>
      <c r="F343" s="937">
        <f t="shared" si="2"/>
        <v>-0.7403751234</v>
      </c>
      <c r="G343" s="937" t="str">
        <f>IF(F343&lt;'PlayerGrades+'!$AB$21,"F-",IF(F343&lt;'PlayerGrades+'!$AB$20,"F",IF(F343&lt;'PlayerGrades+'!$AB$19,"F+",IF(F343&lt;'PlayerGrades+'!$AB$18,"E-",IF(F343&lt;'PlayerGrades+'!$AB$17,"E",IF(F343&lt;'PlayerGrades+'!$AB$16,"E+",IF(F343&lt;'PlayerGrades+'!$AB$15,"D-",IF(F343&lt;'PlayerGrades+'!$AB$14,"D",IF(F343&lt;'PlayerGrades+'!$AB$13,"D+",IF(F343&lt;'PlayerGrades+'!$AB$12,"C-",IF(F343&lt;'PlayerGrades+'!$AB$11,"C",IF(F343&lt;'PlayerGrades+'!$AB$10,"C+",IF(F343&lt;'PlayerGrades+'!$AB$9,"B-",IF(F343&lt;'PlayerGrades+'!$AB$8,"B",IF(F343&lt;'PlayerGrades+'!$AB$7,"B+",IF(F343&lt;'PlayerGrades+'!$AB$6,"A-",IF(F343&lt;'PlayerGrades+'!$AB$5,"A",IF(F343&lt;'PlayerGrades+'!$AB$4,"A+",IF(F343&lt;'PlayerGrades+'!$AB$3,"S-",IF(F343&lt;'PlayerGrades+'!$AB$2,"S","S+"))))))))))))))))))))</f>
        <v>E+</v>
      </c>
      <c r="H343" s="937">
        <f t="shared" si="3"/>
        <v>0.1776900296</v>
      </c>
      <c r="I343" s="937" t="str">
        <f>IF(H343&lt;'PlayerGrades+'!$AC$21,"F-",IF(H343&lt;'PlayerGrades+'!$AC$20,"F",IF(H343&lt;'PlayerGrades+'!$AC$19,"F+",IF(H343&lt;'PlayerGrades+'!$AC$18,"E-",IF(H343&lt;'PlayerGrades+'!$AC$17,"E",IF(H343&lt;'PlayerGrades+'!$AC$16,"E+",IF(H343&lt;'PlayerGrades+'!$AC$15,"D-",IF(H343&lt;'PlayerGrades+'!$AC$14,"D",IF(H343&lt;'PlayerGrades+'!$AC$13,"D+",IF(H343&lt;'PlayerGrades+'!$AC$12,"C-",IF(H343&lt;'PlayerGrades+'!$AC$11,"C",IF(H343&lt;'PlayerGrades+'!$AC$10,"C+",IF(H343&lt;'PlayerGrades+'!$AC$9,"B-",IF(H343&lt;'PlayerGrades+'!$AC$8,"B",IF(H343&lt;'PlayerGrades+'!$AC$7,"B+",IF(H343&lt;'PlayerGrades+'!$AC$6,"A-",IF(H343&lt;'PlayerGrades+'!$AC$5,"A",IF(H343&lt;'PlayerGrades+'!$AC$4,"A+",IF(H343&lt;'PlayerGrades+'!$AC$3,"S-",IF(H343&lt;'PlayerGrades+'!$AC$2,"S","S+"))))))))))))))))))))</f>
        <v>S-</v>
      </c>
      <c r="J343" s="937">
        <f t="shared" si="4"/>
        <v>0</v>
      </c>
      <c r="K343" s="937" t="str">
        <f>IF(J343&lt;'PlayerGrades+'!$AD$21,"F-",IF(J343&lt;'PlayerGrades+'!$AD$20,"F",IF(J343&lt;'PlayerGrades+'!$AD$19,"F+",IF(J343&lt;'PlayerGrades+'!$AD$18,"E-",IF(J343&lt;'PlayerGrades+'!$AD$17,"E",IF(J343&lt;'PlayerGrades+'!$AD$16,"E+",IF(J343&lt;'PlayerGrades+'!$AD$15,"D-",IF(J343&lt;'PlayerGrades+'!$AD$14,"D",IF(J343&lt;'PlayerGrades+'!$AD$13,"D+",IF(J343&lt;'PlayerGrades+'!$AD$12,"C-",IF(J343&lt;'PlayerGrades+'!$AD$11,"C",IF(J343&lt;'PlayerGrades+'!$AD$10,"C+",IF(J343&lt;'PlayerGrades+'!$AD$9,"B-",IF(J343&lt;'PlayerGrades+'!$AD$8,"B",IF(J343&lt;'PlayerGrades+'!$AD$7,"B+",IF(J343&lt;'PlayerGrades+'!$AD$6,"A-",IF(J343&lt;'PlayerGrades+'!$AD$5,"A",IF(J343&lt;'PlayerGrades+'!$AD$4,"A+",IF(J343&lt;'PlayerGrades+'!$AD$3,"S-",IF(J343&lt;'PlayerGrades+'!$AD$2,"S","S+"))))))))))))))))))))</f>
        <v>F-</v>
      </c>
      <c r="L343" s="677">
        <f t="shared" si="5"/>
        <v>0.3257650543</v>
      </c>
      <c r="M343" s="938" t="str">
        <f>IF(L343&lt;'PlayerGrades+'!$AE$21,"F-",IF(L343&lt;'PlayerGrades+'!$AE$20,"F",IF(L343&lt;'PlayerGrades+'!$AE$19,"F+",IF(L343&lt;'PlayerGrades+'!$AE$18,"E-",IF(L343&lt;'PlayerGrades+'!$AE$17,"E",IF(L343&lt;'PlayerGrades+'!$AE$16,"E+",IF(L343&lt;'PlayerGrades+'!$AE$15,"D-",IF(L343&lt;'PlayerGrades+'!$AE$14,"D",IF(L343&lt;'PlayerGrades+'!$AE$13,"D+",IF(L343&lt;'PlayerGrades+'!$AE$12,"C-",IF(L343&lt;'PlayerGrades+'!$AE$11,"C",IF(L343&lt;'PlayerGrades+'!$AE$10,"C+",IF(L343&lt;'PlayerGrades+'!$AE$9,"B-",IF(L343&lt;'PlayerGrades+'!$AE$8,"B",IF(L343&lt;'PlayerGrades+'!$AE$7,"B+",IF(L343&lt;'PlayerGrades+'!$AE$6,"A-",IF(L343&lt;'PlayerGrades+'!$AE$5,"A",IF(L343&lt;'PlayerGrades+'!$AE$4,"A+",IF(L343&lt;'PlayerGrades+'!$AE$3,"S-",IF(L343&lt;'PlayerGrades+'!$AE$2,"S","S+"))))))))))))))))))))</f>
        <v>E</v>
      </c>
      <c r="N343" s="937">
        <f t="shared" si="6"/>
        <v>0.02961500494</v>
      </c>
      <c r="O343" s="937" t="str">
        <f>IF(N343&lt;'PlayerGrades+'!$AF$21,"F-",IF(N343&lt;'PlayerGrades+'!$AF$20,"F",IF(N343&lt;'PlayerGrades+'!$AF$19,"F+",IF(N343&lt;'PlayerGrades+'!$AF$18,"E-",IF(N343&lt;'PlayerGrades+'!$AF$17,"E",IF(N343&lt;'PlayerGrades+'!$AF$16,"E+",IF(N343&lt;'PlayerGrades+'!$AF$15,"D-",IF(N343&lt;'PlayerGrades+'!$AF$14,"D",IF(N343&lt;'PlayerGrades+'!$AF$13,"D+",IF(N343&lt;'PlayerGrades+'!$AF$12,"C-",IF(N343&lt;'PlayerGrades+'!$AF$11,"C",IF(N343&lt;'PlayerGrades+'!$AF$10,"C+",IF(N343&lt;'PlayerGrades+'!$AF$9,"B-",IF(N343&lt;'PlayerGrades+'!$AF$8,"B",IF(N343&lt;'PlayerGrades+'!$AF$7,"B+",IF(N343&lt;'PlayerGrades+'!$AF$6,"A-",IF(N343&lt;'PlayerGrades+'!$AF$5,"A",IF(N343&lt;'PlayerGrades+'!$AF$4,"A+",IF(N343&lt;'PlayerGrades+'!$AF$3,"S-",IF(N343&lt;'PlayerGrades+'!$AF$2,"S","S+"))))))))))))))))))))</f>
        <v>F</v>
      </c>
      <c r="P343" s="937">
        <f t="shared" si="7"/>
        <v>0</v>
      </c>
      <c r="Q343" s="937" t="str">
        <f>IF(P343&lt;'PlayerGrades+'!$AG$21,"F-",IF(P343&lt;'PlayerGrades+'!$AG$20,"F",IF(P343&lt;'PlayerGrades+'!$AG$19,"F+",IF(P343&lt;'PlayerGrades+'!$AG$18,"E-",IF(P343&lt;'PlayerGrades+'!$AG$17,"E",IF(P343&lt;'PlayerGrades+'!$AG$16,"E+",IF(P343&lt;'PlayerGrades+'!$AG$15,"D-",IF(P343&lt;'PlayerGrades+'!$AG$14,"D",IF(P343&lt;'PlayerGrades+'!$AG$13,"D+",IF(P343&lt;'PlayerGrades+'!$AG$12,"C-",IF(P343&lt;'PlayerGrades+'!$AG$11,"C",IF(P343&lt;'PlayerGrades+'!$AG$10,"C+",IF(P343&lt;'PlayerGrades+'!$AG$9,"B-",IF(P343&lt;'PlayerGrades+'!$AG$8,"B",IF(P343&lt;'PlayerGrades+'!$AG$7,"B+",IF(P343&lt;'PlayerGrades+'!$AG$6,"A-",IF(P343&lt;'PlayerGrades+'!$AG$5,"A",IF(P343&lt;'PlayerGrades+'!$AG$4,"A+",IF(P343&lt;'PlayerGrades+'!$AG$3,"S-",IF(P343&lt;'PlayerGrades+'!$AG$2,"S","S+"))))))))))))))))))))</f>
        <v>F</v>
      </c>
      <c r="R343" s="937">
        <f t="shared" si="8"/>
        <v>0.444225074</v>
      </c>
      <c r="S343" s="937" t="str">
        <f>IF(R343&lt;'PlayerGrades+'!$AH$21,"F-",IF(R343&lt;'PlayerGrades+'!$AH$20,"F",IF(R343&lt;'PlayerGrades+'!$AH$19,"F+",IF(R343&lt;'PlayerGrades+'!$AH$18,"E-",IF(R343&lt;'PlayerGrades+'!$AH$17,"E",IF(R343&lt;'PlayerGrades+'!$AH$16,"E+",IF(R343&lt;'PlayerGrades+'!$AH$15,"D-",IF(R343&lt;'PlayerGrades+'!$AH$14,"D",IF(R343&lt;'PlayerGrades+'!$AH$13,"D+",IF(R343&lt;'PlayerGrades+'!$AH$12,"C-",IF(R343&lt;'PlayerGrades+'!$AH$11,"C",IF(R343&lt;'PlayerGrades+'!$AH$10,"C+",IF(R343&lt;'PlayerGrades+'!$AH$9,"B-",IF(R343&lt;'PlayerGrades+'!$AH$8,"B",IF(R343&lt;'PlayerGrades+'!$AH$7,"B+",IF(R343&lt;'PlayerGrades+'!$AH$6,"A-",IF(R343&lt;'PlayerGrades+'!$AH$5,"A",IF(R343&lt;'PlayerGrades+'!$AH$4,"A+",IF(R343&lt;'PlayerGrades+'!$AH$3,"S-",IF(R343&lt;'PlayerGrades+'!$AH$2,"S","S+"))))))))))))))))))))</f>
        <v>E-</v>
      </c>
      <c r="T343" s="937">
        <f t="shared" si="9"/>
        <v>0.5330700888</v>
      </c>
      <c r="U343" s="937" t="str">
        <f>IF(T343&lt;'PlayerGrades+'!$AI$21,"F-",IF(T343&lt;'PlayerGrades+'!$AI$20,"F",IF(T343&lt;'PlayerGrades+'!$AI$19,"F+",IF(T343&lt;'PlayerGrades+'!$AI$18,"E-",IF(T343&lt;'PlayerGrades+'!$AI$17,"E",IF(T343&lt;'PlayerGrades+'!$AI$16,"E+",IF(T343&lt;'PlayerGrades+'!$AI$15,"D-",IF(T343&lt;'PlayerGrades+'!$AI$14,"D",IF(T343&lt;'PlayerGrades+'!$AI$13,"D+",IF(T343&lt;'PlayerGrades+'!$AI$12,"C-",IF(T343&lt;'PlayerGrades+'!$AI$11,"C",IF(T343&lt;'PlayerGrades+'!$AI$10,"C+",IF(T343&lt;'PlayerGrades+'!$AI$9,"B-",IF(T343&lt;'PlayerGrades+'!$AI$8,"B",IF(T343&lt;'PlayerGrades+'!$AI$7,"B+",IF(T343&lt;'PlayerGrades+'!$AI$6,"A-",IF(T343&lt;'PlayerGrades+'!$AI$5,"A",IF(T343&lt;'PlayerGrades+'!$AI$4,"A+",IF(T343&lt;'PlayerGrades+'!$AI$3,"S-",IF(T343&lt;'PlayerGrades+'!$AI$2,"S","S+"))))))))))))))))))))</f>
        <v>F-</v>
      </c>
      <c r="V343" s="941">
        <v>1.0</v>
      </c>
      <c r="W343" s="941">
        <v>0.0</v>
      </c>
      <c r="X343" s="941">
        <v>1.0</v>
      </c>
      <c r="Y343" s="941">
        <v>1.0</v>
      </c>
      <c r="Z343" s="941">
        <v>0.0</v>
      </c>
      <c r="AA343" s="941">
        <v>130.0</v>
      </c>
      <c r="AB343" s="941">
        <v>155.0</v>
      </c>
      <c r="AC343" s="941">
        <v>-25.0</v>
      </c>
      <c r="AD343" s="941">
        <v>8.0</v>
      </c>
      <c r="AE343" s="941">
        <v>4.0</v>
      </c>
      <c r="AF343" s="941">
        <v>0.0</v>
      </c>
      <c r="AG343" s="941">
        <v>1511.0</v>
      </c>
      <c r="AH343" s="1">
        <v>2026.0</v>
      </c>
      <c r="AI343" s="941">
        <v>9.0</v>
      </c>
      <c r="AJ343" s="941">
        <v>1.0</v>
      </c>
      <c r="AK343" s="941">
        <v>0.0</v>
      </c>
      <c r="AL343" s="941">
        <v>0.0</v>
      </c>
      <c r="AM343" s="941">
        <v>0.0</v>
      </c>
      <c r="AN343" s="941">
        <v>0.0</v>
      </c>
      <c r="AO343" s="941">
        <v>0.0</v>
      </c>
      <c r="AP343" s="941">
        <v>0.0</v>
      </c>
      <c r="AQ343" s="941">
        <v>0.0</v>
      </c>
      <c r="AR343" s="941">
        <v>11.0</v>
      </c>
      <c r="AS343" s="941">
        <v>1.0</v>
      </c>
      <c r="AT343" s="941">
        <v>0.0</v>
      </c>
      <c r="AU343" s="941">
        <v>0.0</v>
      </c>
      <c r="AV343" s="941">
        <v>0.0</v>
      </c>
      <c r="AW343" s="941">
        <v>0.0</v>
      </c>
      <c r="AX343" s="941">
        <v>0.0</v>
      </c>
      <c r="AY343" s="941">
        <v>0.0</v>
      </c>
      <c r="AZ343" s="941">
        <v>0.0</v>
      </c>
      <c r="BA343" s="941">
        <v>0.0</v>
      </c>
      <c r="BB343" s="941">
        <v>6.0</v>
      </c>
      <c r="BC343" s="941">
        <v>0.0</v>
      </c>
      <c r="BD343" s="941">
        <v>7.0</v>
      </c>
      <c r="BE343" s="941">
        <v>18.0</v>
      </c>
      <c r="BF343" s="941">
        <v>0.0</v>
      </c>
      <c r="BG343" s="942">
        <v>0.0</v>
      </c>
    </row>
    <row r="344">
      <c r="A344" s="935" t="s">
        <v>145</v>
      </c>
      <c r="B344" s="16" t="str">
        <f>IF(C344&lt;'PlayerGrades+'!$Y$44,"F-",IF(C344&lt;'PlayerGrades+'!$Y$43,"F",IF(C344&lt;'PlayerGrades+'!$Y$42,"F+",IF(C344&lt;'PlayerGrades+'!$Y$41,"E-",IF(C344&lt;'PlayerGrades+'!$Y$40,"E",IF(C344&lt;'PlayerGrades+'!$Y$39,"E+",IF(C344&lt;'PlayerGrades+'!$Y$38,"D-",IF(C344&lt;'PlayerGrades+'!$Y$37,"D",IF(C344&lt;'PlayerGrades+'!$Y$36,"D+",IF(C344&lt;'PlayerGrades+'!$Y$35,"C-",IF(C344&lt;'PlayerGrades+'!$Y$34,"C",IF(C344&lt;'PlayerGrades+'!$Y$33,"C+",IF(C344&lt;'PlayerGrades+'!$Y$32,"B-",IF(C344&lt;'PlayerGrades+'!$Y$31,"B",IF(C344&lt;'PlayerGrades+'!$Y$30,"B+",IF(C344&lt;'PlayerGrades+'!$Y$29,"A-",IF(C344&lt;'PlayerGrades+'!$Y$28,"A",IF(C344&lt;'PlayerGrades+'!$Y$27,"A+",IF(C344&lt;'PlayerGrades+'!$Y$26,"S-",IF(C344&lt;'PlayerGrades+'!$Y$25,"S","S+"))))))))))))))))))))</f>
        <v>A</v>
      </c>
      <c r="C344" s="936">
        <f>('PlayerGrades+'!$Y$47*(VLOOKUP(E344, 'PlayerGrades+'!$X$3:$Y$23, 2, FALSE)))+('PlayerGrades+'!$Y$48*(VLOOKUP(G344, 'PlayerGrades+'!$X$3:$Y$23, 2, FALSE)))+('PlayerGrades+'!$Y$49*(VLOOKUP(I344, 'PlayerGrades+'!$X$3:$Y$23, 2, FALSE)))+('PlayerGrades+'!$Y$50*(VLOOKUP(K344, 'PlayerGrades+'!$X$3:$Y$23, 2, FALSE)))+('PlayerGrades+'!$Y$51*(VLOOKUP(M344, 'PlayerGrades+'!$X$3:$Y$23, 2, FALSE)))+('PlayerGrades+'!$Y$52*(VLOOKUP(O344, 'PlayerGrades+'!$X$3:$Y$23, 2, FALSE)))+('PlayerGrades+'!$Y$53*(VLOOKUP(Q344, 'PlayerGrades+'!$X$3:$Y$23, 2, FALSE)))+('PlayerGrades+'!$Y$54*(VLOOKUP(S344, 'PlayerGrades+'!$X$3:$Y$23, 2, FALSE)))+('PlayerGrades+'!$Y$55*(VLOOKUP(U344, 'PlayerGrades+'!$X$3:$Y$23, 2, FALSE)))</f>
        <v>26.2</v>
      </c>
      <c r="D344" s="937">
        <f t="shared" si="1"/>
        <v>0.08884501481</v>
      </c>
      <c r="E344" s="937" t="str">
        <f>IF(D344&lt;'PlayerGrades+'!$AA$21,"F-",IF(D344&lt;'PlayerGrades+'!$AA$20,"F",IF(D344&lt;'PlayerGrades+'!$AA$19,"F+",IF(D344&lt;'PlayerGrades+'!$AA$18,"E-",IF(D344&lt;'PlayerGrades+'!$AA$17,"E",IF(D344&lt;'PlayerGrades+'!$AA$16,"E+",IF(D344&lt;'PlayerGrades+'!$AA$15,"D-",IF(D344&lt;'PlayerGrades+'!$AA$14,"D",IF(D344&lt;'PlayerGrades+'!$AA$13,"D+",IF(D344&lt;'PlayerGrades+'!$AA$12,"C-",IF(D344&lt;'PlayerGrades+'!$AA$11,"C",IF(D344&lt;'PlayerGrades+'!$AA$10,"C+",IF(D344&lt;'PlayerGrades+'!$AA$9,"B-",IF(D344&lt;'PlayerGrades+'!$AA$8,"B",IF(D344&lt;'PlayerGrades+'!$AA$7,"B+",IF(D344&lt;'PlayerGrades+'!$AA$6,"A-",IF(D344&lt;'PlayerGrades+'!$AA$5,"A",IF(D344&lt;'PlayerGrades+'!$AA$4,"A+",IF(D344&lt;'PlayerGrades+'!$AA$3,"S-",IF(D344&lt;'PlayerGrades+'!$AA$2,"S","S+"))))))))))))))))))))</f>
        <v>B</v>
      </c>
      <c r="F344" s="937">
        <f t="shared" si="2"/>
        <v>0.2665350444</v>
      </c>
      <c r="G344" s="937" t="str">
        <f>IF(F344&lt;'PlayerGrades+'!$AB$21,"F-",IF(F344&lt;'PlayerGrades+'!$AB$20,"F",IF(F344&lt;'PlayerGrades+'!$AB$19,"F+",IF(F344&lt;'PlayerGrades+'!$AB$18,"E-",IF(F344&lt;'PlayerGrades+'!$AB$17,"E",IF(F344&lt;'PlayerGrades+'!$AB$16,"E+",IF(F344&lt;'PlayerGrades+'!$AB$15,"D-",IF(F344&lt;'PlayerGrades+'!$AB$14,"D",IF(F344&lt;'PlayerGrades+'!$AB$13,"D+",IF(F344&lt;'PlayerGrades+'!$AB$12,"C-",IF(F344&lt;'PlayerGrades+'!$AB$11,"C",IF(F344&lt;'PlayerGrades+'!$AB$10,"C+",IF(F344&lt;'PlayerGrades+'!$AB$9,"B-",IF(F344&lt;'PlayerGrades+'!$AB$8,"B",IF(F344&lt;'PlayerGrades+'!$AB$7,"B+",IF(F344&lt;'PlayerGrades+'!$AB$6,"A-",IF(F344&lt;'PlayerGrades+'!$AB$5,"A",IF(F344&lt;'PlayerGrades+'!$AB$4,"A+",IF(F344&lt;'PlayerGrades+'!$AB$3,"S-",IF(F344&lt;'PlayerGrades+'!$AB$2,"S","S+"))))))))))))))))))))</f>
        <v>B+</v>
      </c>
      <c r="H344" s="937">
        <f t="shared" si="3"/>
        <v>0.3553800592</v>
      </c>
      <c r="I344" s="937" t="str">
        <f>IF(H344&lt;'PlayerGrades+'!$AC$21,"F-",IF(H344&lt;'PlayerGrades+'!$AC$20,"F",IF(H344&lt;'PlayerGrades+'!$AC$19,"F+",IF(H344&lt;'PlayerGrades+'!$AC$18,"E-",IF(H344&lt;'PlayerGrades+'!$AC$17,"E",IF(H344&lt;'PlayerGrades+'!$AC$16,"E+",IF(H344&lt;'PlayerGrades+'!$AC$15,"D-",IF(H344&lt;'PlayerGrades+'!$AC$14,"D",IF(H344&lt;'PlayerGrades+'!$AC$13,"D+",IF(H344&lt;'PlayerGrades+'!$AC$12,"C-",IF(H344&lt;'PlayerGrades+'!$AC$11,"C",IF(H344&lt;'PlayerGrades+'!$AC$10,"C+",IF(H344&lt;'PlayerGrades+'!$AC$9,"B-",IF(H344&lt;'PlayerGrades+'!$AC$8,"B",IF(H344&lt;'PlayerGrades+'!$AC$7,"B+",IF(H344&lt;'PlayerGrades+'!$AC$6,"A-",IF(H344&lt;'PlayerGrades+'!$AC$5,"A",IF(H344&lt;'PlayerGrades+'!$AC$4,"A+",IF(H344&lt;'PlayerGrades+'!$AC$3,"S-",IF(H344&lt;'PlayerGrades+'!$AC$2,"S","S+"))))))))))))))))))))</f>
        <v>S+</v>
      </c>
      <c r="J344" s="937">
        <f t="shared" si="4"/>
        <v>0.05923000987</v>
      </c>
      <c r="K344" s="937" t="str">
        <f>IF(J344&lt;'PlayerGrades+'!$AD$21,"F-",IF(J344&lt;'PlayerGrades+'!$AD$20,"F",IF(J344&lt;'PlayerGrades+'!$AD$19,"F+",IF(J344&lt;'PlayerGrades+'!$AD$18,"E-",IF(J344&lt;'PlayerGrades+'!$AD$17,"E",IF(J344&lt;'PlayerGrades+'!$AD$16,"E+",IF(J344&lt;'PlayerGrades+'!$AD$15,"D-",IF(J344&lt;'PlayerGrades+'!$AD$14,"D",IF(J344&lt;'PlayerGrades+'!$AD$13,"D+",IF(J344&lt;'PlayerGrades+'!$AD$12,"C-",IF(J344&lt;'PlayerGrades+'!$AD$11,"C",IF(J344&lt;'PlayerGrades+'!$AD$10,"C+",IF(J344&lt;'PlayerGrades+'!$AD$9,"B-",IF(J344&lt;'PlayerGrades+'!$AD$8,"B",IF(J344&lt;'PlayerGrades+'!$AD$7,"B+",IF(J344&lt;'PlayerGrades+'!$AD$6,"A-",IF(J344&lt;'PlayerGrades+'!$AD$5,"A",IF(J344&lt;'PlayerGrades+'!$AD$4,"A+",IF(J344&lt;'PlayerGrades+'!$AD$3,"S-",IF(J344&lt;'PlayerGrades+'!$AD$2,"S","S+"))))))))))))))))))))</f>
        <v>B+</v>
      </c>
      <c r="L344" s="677">
        <f t="shared" si="5"/>
        <v>0.6811451135</v>
      </c>
      <c r="M344" s="938" t="str">
        <f>IF(L344&lt;'PlayerGrades+'!$AE$21,"F-",IF(L344&lt;'PlayerGrades+'!$AE$20,"F",IF(L344&lt;'PlayerGrades+'!$AE$19,"F+",IF(L344&lt;'PlayerGrades+'!$AE$18,"E-",IF(L344&lt;'PlayerGrades+'!$AE$17,"E",IF(L344&lt;'PlayerGrades+'!$AE$16,"E+",IF(L344&lt;'PlayerGrades+'!$AE$15,"D-",IF(L344&lt;'PlayerGrades+'!$AE$14,"D",IF(L344&lt;'PlayerGrades+'!$AE$13,"D+",IF(L344&lt;'PlayerGrades+'!$AE$12,"C-",IF(L344&lt;'PlayerGrades+'!$AE$11,"C",IF(L344&lt;'PlayerGrades+'!$AE$10,"C+",IF(L344&lt;'PlayerGrades+'!$AE$9,"B-",IF(L344&lt;'PlayerGrades+'!$AE$8,"B",IF(L344&lt;'PlayerGrades+'!$AE$7,"B+",IF(L344&lt;'PlayerGrades+'!$AE$6,"A-",IF(L344&lt;'PlayerGrades+'!$AE$5,"A",IF(L344&lt;'PlayerGrades+'!$AE$4,"A+",IF(L344&lt;'PlayerGrades+'!$AE$3,"S-",IF(L344&lt;'PlayerGrades+'!$AE$2,"S","S+"))))))))))))))))))))</f>
        <v>S</v>
      </c>
      <c r="N344" s="937">
        <f t="shared" si="6"/>
        <v>0.05923000987</v>
      </c>
      <c r="O344" s="937" t="str">
        <f>IF(N344&lt;'PlayerGrades+'!$AF$21,"F-",IF(N344&lt;'PlayerGrades+'!$AF$20,"F",IF(N344&lt;'PlayerGrades+'!$AF$19,"F+",IF(N344&lt;'PlayerGrades+'!$AF$18,"E-",IF(N344&lt;'PlayerGrades+'!$AF$17,"E",IF(N344&lt;'PlayerGrades+'!$AF$16,"E+",IF(N344&lt;'PlayerGrades+'!$AF$15,"D-",IF(N344&lt;'PlayerGrades+'!$AF$14,"D",IF(N344&lt;'PlayerGrades+'!$AF$13,"D+",IF(N344&lt;'PlayerGrades+'!$AF$12,"C-",IF(N344&lt;'PlayerGrades+'!$AF$11,"C",IF(N344&lt;'PlayerGrades+'!$AF$10,"C+",IF(N344&lt;'PlayerGrades+'!$AF$9,"B-",IF(N344&lt;'PlayerGrades+'!$AF$8,"B",IF(N344&lt;'PlayerGrades+'!$AF$7,"B+",IF(N344&lt;'PlayerGrades+'!$AF$6,"A-",IF(N344&lt;'PlayerGrades+'!$AF$5,"A",IF(N344&lt;'PlayerGrades+'!$AF$4,"A+",IF(N344&lt;'PlayerGrades+'!$AF$3,"S-",IF(N344&lt;'PlayerGrades+'!$AF$2,"S","S+"))))))))))))))))))))</f>
        <v>D+</v>
      </c>
      <c r="P344" s="937">
        <f t="shared" si="7"/>
        <v>0.05923000987</v>
      </c>
      <c r="Q344" s="937" t="str">
        <f>IF(P344&lt;'PlayerGrades+'!$AG$21,"F-",IF(P344&lt;'PlayerGrades+'!$AG$20,"F",IF(P344&lt;'PlayerGrades+'!$AG$19,"F+",IF(P344&lt;'PlayerGrades+'!$AG$18,"E-",IF(P344&lt;'PlayerGrades+'!$AG$17,"E",IF(P344&lt;'PlayerGrades+'!$AG$16,"E+",IF(P344&lt;'PlayerGrades+'!$AG$15,"D-",IF(P344&lt;'PlayerGrades+'!$AG$14,"D",IF(P344&lt;'PlayerGrades+'!$AG$13,"D+",IF(P344&lt;'PlayerGrades+'!$AG$12,"C-",IF(P344&lt;'PlayerGrades+'!$AG$11,"C",IF(P344&lt;'PlayerGrades+'!$AG$10,"C+",IF(P344&lt;'PlayerGrades+'!$AG$9,"B-",IF(P344&lt;'PlayerGrades+'!$AG$8,"B",IF(P344&lt;'PlayerGrades+'!$AG$7,"B+",IF(P344&lt;'PlayerGrades+'!$AG$6,"A-",IF(P344&lt;'PlayerGrades+'!$AG$5,"A",IF(P344&lt;'PlayerGrades+'!$AG$4,"A+",IF(P344&lt;'PlayerGrades+'!$AG$3,"S-",IF(P344&lt;'PlayerGrades+'!$AG$2,"S","S+"))))))))))))))))))))</f>
        <v>A</v>
      </c>
      <c r="R344" s="937">
        <f t="shared" si="8"/>
        <v>0.5034550839</v>
      </c>
      <c r="S344" s="937" t="str">
        <f>IF(R344&lt;'PlayerGrades+'!$AH$21,"F-",IF(R344&lt;'PlayerGrades+'!$AH$20,"F",IF(R344&lt;'PlayerGrades+'!$AH$19,"F+",IF(R344&lt;'PlayerGrades+'!$AH$18,"E-",IF(R344&lt;'PlayerGrades+'!$AH$17,"E",IF(R344&lt;'PlayerGrades+'!$AH$16,"E+",IF(R344&lt;'PlayerGrades+'!$AH$15,"D-",IF(R344&lt;'PlayerGrades+'!$AH$14,"D",IF(R344&lt;'PlayerGrades+'!$AH$13,"D+",IF(R344&lt;'PlayerGrades+'!$AH$12,"C-",IF(R344&lt;'PlayerGrades+'!$AH$11,"C",IF(R344&lt;'PlayerGrades+'!$AH$10,"C+",IF(R344&lt;'PlayerGrades+'!$AH$9,"B-",IF(R344&lt;'PlayerGrades+'!$AH$8,"B",IF(R344&lt;'PlayerGrades+'!$AH$7,"B+",IF(R344&lt;'PlayerGrades+'!$AH$6,"A-",IF(R344&lt;'PlayerGrades+'!$AH$5,"A",IF(R344&lt;'PlayerGrades+'!$AH$4,"A+",IF(R344&lt;'PlayerGrades+'!$AH$3,"S-",IF(R344&lt;'PlayerGrades+'!$AH$2,"S","S+"))))))))))))))))))))</f>
        <v>D-</v>
      </c>
      <c r="T344" s="937">
        <f t="shared" si="9"/>
        <v>2.384995064</v>
      </c>
      <c r="U344" s="937" t="str">
        <f>IF(T344&lt;'PlayerGrades+'!$AI$21,"F-",IF(T344&lt;'PlayerGrades+'!$AI$20,"F",IF(T344&lt;'PlayerGrades+'!$AI$19,"F+",IF(T344&lt;'PlayerGrades+'!$AI$18,"E-",IF(T344&lt;'PlayerGrades+'!$AI$17,"E",IF(T344&lt;'PlayerGrades+'!$AI$16,"E+",IF(T344&lt;'PlayerGrades+'!$AI$15,"D-",IF(T344&lt;'PlayerGrades+'!$AI$14,"D",IF(T344&lt;'PlayerGrades+'!$AI$13,"D+",IF(T344&lt;'PlayerGrades+'!$AI$12,"C-",IF(T344&lt;'PlayerGrades+'!$AI$11,"C",IF(T344&lt;'PlayerGrades+'!$AI$10,"C+",IF(T344&lt;'PlayerGrades+'!$AI$9,"B-",IF(T344&lt;'PlayerGrades+'!$AI$8,"B",IF(T344&lt;'PlayerGrades+'!$AI$7,"B+",IF(T344&lt;'PlayerGrades+'!$AI$6,"A-",IF(T344&lt;'PlayerGrades+'!$AI$5,"A",IF(T344&lt;'PlayerGrades+'!$AI$4,"A+",IF(T344&lt;'PlayerGrades+'!$AI$3,"S-",IF(T344&lt;'PlayerGrades+'!$AI$2,"S","S+"))))))))))))))))))))</f>
        <v>S+</v>
      </c>
      <c r="V344" s="941">
        <v>1.0</v>
      </c>
      <c r="W344" s="941">
        <v>0.0</v>
      </c>
      <c r="X344" s="941">
        <v>1.0</v>
      </c>
      <c r="Y344" s="941">
        <v>1.0</v>
      </c>
      <c r="Z344" s="941">
        <v>2.0</v>
      </c>
      <c r="AA344" s="941">
        <v>127.0</v>
      </c>
      <c r="AB344" s="941">
        <v>118.0</v>
      </c>
      <c r="AC344" s="941">
        <v>9.0</v>
      </c>
      <c r="AD344" s="941">
        <v>4.0</v>
      </c>
      <c r="AE344" s="941">
        <v>6.0</v>
      </c>
      <c r="AF344" s="941">
        <v>2.0</v>
      </c>
      <c r="AG344" s="941">
        <v>1627.0</v>
      </c>
      <c r="AH344" s="1">
        <v>2026.0</v>
      </c>
      <c r="AI344" s="941">
        <v>13.0</v>
      </c>
      <c r="AJ344" s="941">
        <v>27.0</v>
      </c>
      <c r="AK344" s="941">
        <v>0.0</v>
      </c>
      <c r="AL344" s="941">
        <v>2.0</v>
      </c>
      <c r="AM344" s="941">
        <v>0.0</v>
      </c>
      <c r="AN344" s="941">
        <v>0.0</v>
      </c>
      <c r="AO344" s="941">
        <v>0.0</v>
      </c>
      <c r="AP344" s="941">
        <v>2.0</v>
      </c>
      <c r="AQ344" s="941">
        <v>0.0</v>
      </c>
      <c r="AR344" s="941">
        <v>23.0</v>
      </c>
      <c r="AS344" s="941">
        <v>2.0</v>
      </c>
      <c r="AT344" s="941">
        <v>0.0</v>
      </c>
      <c r="AU344" s="941">
        <v>0.0</v>
      </c>
      <c r="AV344" s="941">
        <v>0.0</v>
      </c>
      <c r="AW344" s="941">
        <v>0.0</v>
      </c>
      <c r="AX344" s="941">
        <v>0.0</v>
      </c>
      <c r="AY344" s="941">
        <v>0.0</v>
      </c>
      <c r="AZ344" s="941">
        <v>0.0</v>
      </c>
      <c r="BA344" s="941">
        <v>0.0</v>
      </c>
      <c r="BB344" s="941">
        <v>12.0</v>
      </c>
      <c r="BC344" s="941">
        <v>0.0</v>
      </c>
      <c r="BD344" s="941">
        <v>13.0</v>
      </c>
      <c r="BE344" s="941">
        <v>13.0</v>
      </c>
      <c r="BF344" s="941">
        <v>2.0</v>
      </c>
      <c r="BG344" s="942">
        <v>0.0</v>
      </c>
    </row>
    <row r="345">
      <c r="A345" s="943" t="s">
        <v>419</v>
      </c>
      <c r="B345" s="16" t="str">
        <f>IF(C345&lt;'PlayerGrades+'!$Y$44,"F-",IF(C345&lt;'PlayerGrades+'!$Y$43,"F",IF(C345&lt;'PlayerGrades+'!$Y$42,"F+",IF(C345&lt;'PlayerGrades+'!$Y$41,"E-",IF(C345&lt;'PlayerGrades+'!$Y$40,"E",IF(C345&lt;'PlayerGrades+'!$Y$39,"E+",IF(C345&lt;'PlayerGrades+'!$Y$38,"D-",IF(C345&lt;'PlayerGrades+'!$Y$37,"D",IF(C345&lt;'PlayerGrades+'!$Y$36,"D+",IF(C345&lt;'PlayerGrades+'!$Y$35,"C-",IF(C345&lt;'PlayerGrades+'!$Y$34,"C",IF(C345&lt;'PlayerGrades+'!$Y$33,"C+",IF(C345&lt;'PlayerGrades+'!$Y$32,"B-",IF(C345&lt;'PlayerGrades+'!$Y$31,"B",IF(C345&lt;'PlayerGrades+'!$Y$30,"B+",IF(C345&lt;'PlayerGrades+'!$Y$29,"A-",IF(C345&lt;'PlayerGrades+'!$Y$28,"A",IF(C345&lt;'PlayerGrades+'!$Y$27,"A+",IF(C345&lt;'PlayerGrades+'!$Y$26,"S-",IF(C345&lt;'PlayerGrades+'!$Y$25,"S","S+"))))))))))))))))))))</f>
        <v>C</v>
      </c>
      <c r="C345" s="936">
        <f>('PlayerGrades+'!$Y$47*(VLOOKUP(E345, 'PlayerGrades+'!$X$3:$Y$23, 2, FALSE)))+('PlayerGrades+'!$Y$48*(VLOOKUP(G345, 'PlayerGrades+'!$X$3:$Y$23, 2, FALSE)))+('PlayerGrades+'!$Y$49*(VLOOKUP(I345, 'PlayerGrades+'!$X$3:$Y$23, 2, FALSE)))+('PlayerGrades+'!$Y$50*(VLOOKUP(K345, 'PlayerGrades+'!$X$3:$Y$23, 2, FALSE)))+('PlayerGrades+'!$Y$51*(VLOOKUP(M345, 'PlayerGrades+'!$X$3:$Y$23, 2, FALSE)))+('PlayerGrades+'!$Y$52*(VLOOKUP(O345, 'PlayerGrades+'!$X$3:$Y$23, 2, FALSE)))+('PlayerGrades+'!$Y$53*(VLOOKUP(Q345, 'PlayerGrades+'!$X$3:$Y$23, 2, FALSE)))+('PlayerGrades+'!$Y$54*(VLOOKUP(S345, 'PlayerGrades+'!$X$3:$Y$23, 2, FALSE)))+('PlayerGrades+'!$Y$55*(VLOOKUP(U345, 'PlayerGrades+'!$X$3:$Y$23, 2, FALSE)))</f>
        <v>19.7</v>
      </c>
      <c r="D345" s="937">
        <f t="shared" si="1"/>
        <v>0</v>
      </c>
      <c r="E345" s="937" t="str">
        <f>IF(D345&lt;'PlayerGrades+'!$AA$21,"F-",IF(D345&lt;'PlayerGrades+'!$AA$20,"F",IF(D345&lt;'PlayerGrades+'!$AA$19,"F+",IF(D345&lt;'PlayerGrades+'!$AA$18,"E-",IF(D345&lt;'PlayerGrades+'!$AA$17,"E",IF(D345&lt;'PlayerGrades+'!$AA$16,"E+",IF(D345&lt;'PlayerGrades+'!$AA$15,"D-",IF(D345&lt;'PlayerGrades+'!$AA$14,"D",IF(D345&lt;'PlayerGrades+'!$AA$13,"D+",IF(D345&lt;'PlayerGrades+'!$AA$12,"C-",IF(D345&lt;'PlayerGrades+'!$AA$11,"C",IF(D345&lt;'PlayerGrades+'!$AA$10,"C+",IF(D345&lt;'PlayerGrades+'!$AA$9,"B-",IF(D345&lt;'PlayerGrades+'!$AA$8,"B",IF(D345&lt;'PlayerGrades+'!$AA$7,"B+",IF(D345&lt;'PlayerGrades+'!$AA$6,"A-",IF(D345&lt;'PlayerGrades+'!$AA$5,"A",IF(D345&lt;'PlayerGrades+'!$AA$4,"A+",IF(D345&lt;'PlayerGrades+'!$AA$3,"S-",IF(D345&lt;'PlayerGrades+'!$AA$2,"S","S+"))))))))))))))))))))</f>
        <v>F-</v>
      </c>
      <c r="F345" s="937">
        <f t="shared" si="2"/>
        <v>0.2369200395</v>
      </c>
      <c r="G345" s="937" t="str">
        <f>IF(F345&lt;'PlayerGrades+'!$AB$21,"F-",IF(F345&lt;'PlayerGrades+'!$AB$20,"F",IF(F345&lt;'PlayerGrades+'!$AB$19,"F+",IF(F345&lt;'PlayerGrades+'!$AB$18,"E-",IF(F345&lt;'PlayerGrades+'!$AB$17,"E",IF(F345&lt;'PlayerGrades+'!$AB$16,"E+",IF(F345&lt;'PlayerGrades+'!$AB$15,"D-",IF(F345&lt;'PlayerGrades+'!$AB$14,"D",IF(F345&lt;'PlayerGrades+'!$AB$13,"D+",IF(F345&lt;'PlayerGrades+'!$AB$12,"C-",IF(F345&lt;'PlayerGrades+'!$AB$11,"C",IF(F345&lt;'PlayerGrades+'!$AB$10,"C+",IF(F345&lt;'PlayerGrades+'!$AB$9,"B-",IF(F345&lt;'PlayerGrades+'!$AB$8,"B",IF(F345&lt;'PlayerGrades+'!$AB$7,"B+",IF(F345&lt;'PlayerGrades+'!$AB$6,"A-",IF(F345&lt;'PlayerGrades+'!$AB$5,"A",IF(F345&lt;'PlayerGrades+'!$AB$4,"A+",IF(F345&lt;'PlayerGrades+'!$AB$3,"S-",IF(F345&lt;'PlayerGrades+'!$AB$2,"S","S+"))))))))))))))))))))</f>
        <v>B+</v>
      </c>
      <c r="H345" s="937">
        <f t="shared" si="3"/>
        <v>0.6515301086</v>
      </c>
      <c r="I345" s="937" t="str">
        <f>IF(H345&lt;'PlayerGrades+'!$AC$21,"F-",IF(H345&lt;'PlayerGrades+'!$AC$20,"F",IF(H345&lt;'PlayerGrades+'!$AC$19,"F+",IF(H345&lt;'PlayerGrades+'!$AC$18,"E-",IF(H345&lt;'PlayerGrades+'!$AC$17,"E",IF(H345&lt;'PlayerGrades+'!$AC$16,"E+",IF(H345&lt;'PlayerGrades+'!$AC$15,"D-",IF(H345&lt;'PlayerGrades+'!$AC$14,"D",IF(H345&lt;'PlayerGrades+'!$AC$13,"D+",IF(H345&lt;'PlayerGrades+'!$AC$12,"C-",IF(H345&lt;'PlayerGrades+'!$AC$11,"C",IF(H345&lt;'PlayerGrades+'!$AC$10,"C+",IF(H345&lt;'PlayerGrades+'!$AC$9,"B-",IF(H345&lt;'PlayerGrades+'!$AC$8,"B",IF(H345&lt;'PlayerGrades+'!$AC$7,"B+",IF(H345&lt;'PlayerGrades+'!$AC$6,"A-",IF(H345&lt;'PlayerGrades+'!$AC$5,"A",IF(H345&lt;'PlayerGrades+'!$AC$4,"A+",IF(H345&lt;'PlayerGrades+'!$AC$3,"S-",IF(H345&lt;'PlayerGrades+'!$AC$2,"S","S+"))))))))))))))))))))</f>
        <v>S+</v>
      </c>
      <c r="J345" s="937">
        <f t="shared" si="4"/>
        <v>0.08884501481</v>
      </c>
      <c r="K345" s="937" t="str">
        <f>IF(J345&lt;'PlayerGrades+'!$AD$21,"F-",IF(J345&lt;'PlayerGrades+'!$AD$20,"F",IF(J345&lt;'PlayerGrades+'!$AD$19,"F+",IF(J345&lt;'PlayerGrades+'!$AD$18,"E-",IF(J345&lt;'PlayerGrades+'!$AD$17,"E",IF(J345&lt;'PlayerGrades+'!$AD$16,"E+",IF(J345&lt;'PlayerGrades+'!$AD$15,"D-",IF(J345&lt;'PlayerGrades+'!$AD$14,"D",IF(J345&lt;'PlayerGrades+'!$AD$13,"D+",IF(J345&lt;'PlayerGrades+'!$AD$12,"C-",IF(J345&lt;'PlayerGrades+'!$AD$11,"C",IF(J345&lt;'PlayerGrades+'!$AD$10,"C+",IF(J345&lt;'PlayerGrades+'!$AD$9,"B-",IF(J345&lt;'PlayerGrades+'!$AD$8,"B",IF(J345&lt;'PlayerGrades+'!$AD$7,"B+",IF(J345&lt;'PlayerGrades+'!$AD$6,"A-",IF(J345&lt;'PlayerGrades+'!$AD$5,"A",IF(J345&lt;'PlayerGrades+'!$AD$4,"A+",IF(J345&lt;'PlayerGrades+'!$AD$3,"S-",IF(J345&lt;'PlayerGrades+'!$AD$2,"S","S+"))))))))))))))))))))</f>
        <v>S-</v>
      </c>
      <c r="L345" s="677">
        <f t="shared" si="5"/>
        <v>0.473840079</v>
      </c>
      <c r="M345" s="938" t="str">
        <f>IF(L345&lt;'PlayerGrades+'!$AE$21,"F-",IF(L345&lt;'PlayerGrades+'!$AE$20,"F",IF(L345&lt;'PlayerGrades+'!$AE$19,"F+",IF(L345&lt;'PlayerGrades+'!$AE$18,"E-",IF(L345&lt;'PlayerGrades+'!$AE$17,"E",IF(L345&lt;'PlayerGrades+'!$AE$16,"E+",IF(L345&lt;'PlayerGrades+'!$AE$15,"D-",IF(L345&lt;'PlayerGrades+'!$AE$14,"D",IF(L345&lt;'PlayerGrades+'!$AE$13,"D+",IF(L345&lt;'PlayerGrades+'!$AE$12,"C-",IF(L345&lt;'PlayerGrades+'!$AE$11,"C",IF(L345&lt;'PlayerGrades+'!$AE$10,"C+",IF(L345&lt;'PlayerGrades+'!$AE$9,"B-",IF(L345&lt;'PlayerGrades+'!$AE$8,"B",IF(L345&lt;'PlayerGrades+'!$AE$7,"B+",IF(L345&lt;'PlayerGrades+'!$AE$6,"A-",IF(L345&lt;'PlayerGrades+'!$AE$5,"A",IF(L345&lt;'PlayerGrades+'!$AE$4,"A+",IF(L345&lt;'PlayerGrades+'!$AE$3,"S-",IF(L345&lt;'PlayerGrades+'!$AE$2,"S","S+"))))))))))))))))))))</f>
        <v>B+</v>
      </c>
      <c r="N345" s="937">
        <f t="shared" si="6"/>
        <v>0.02961500494</v>
      </c>
      <c r="O345" s="937" t="str">
        <f>IF(N345&lt;'PlayerGrades+'!$AF$21,"F-",IF(N345&lt;'PlayerGrades+'!$AF$20,"F",IF(N345&lt;'PlayerGrades+'!$AF$19,"F+",IF(N345&lt;'PlayerGrades+'!$AF$18,"E-",IF(N345&lt;'PlayerGrades+'!$AF$17,"E",IF(N345&lt;'PlayerGrades+'!$AF$16,"E+",IF(N345&lt;'PlayerGrades+'!$AF$15,"D-",IF(N345&lt;'PlayerGrades+'!$AF$14,"D",IF(N345&lt;'PlayerGrades+'!$AF$13,"D+",IF(N345&lt;'PlayerGrades+'!$AF$12,"C-",IF(N345&lt;'PlayerGrades+'!$AF$11,"C",IF(N345&lt;'PlayerGrades+'!$AF$10,"C+",IF(N345&lt;'PlayerGrades+'!$AF$9,"B-",IF(N345&lt;'PlayerGrades+'!$AF$8,"B",IF(N345&lt;'PlayerGrades+'!$AF$7,"B+",IF(N345&lt;'PlayerGrades+'!$AF$6,"A-",IF(N345&lt;'PlayerGrades+'!$AF$5,"A",IF(N345&lt;'PlayerGrades+'!$AF$4,"A+",IF(N345&lt;'PlayerGrades+'!$AF$3,"S-",IF(N345&lt;'PlayerGrades+'!$AF$2,"S","S+"))))))))))))))))))))</f>
        <v>F</v>
      </c>
      <c r="P345" s="937">
        <f t="shared" si="7"/>
        <v>0.08884501481</v>
      </c>
      <c r="Q345" s="937" t="str">
        <f>IF(P345&lt;'PlayerGrades+'!$AG$21,"F-",IF(P345&lt;'PlayerGrades+'!$AG$20,"F",IF(P345&lt;'PlayerGrades+'!$AG$19,"F+",IF(P345&lt;'PlayerGrades+'!$AG$18,"E-",IF(P345&lt;'PlayerGrades+'!$AG$17,"E",IF(P345&lt;'PlayerGrades+'!$AG$16,"E+",IF(P345&lt;'PlayerGrades+'!$AG$15,"D-",IF(P345&lt;'PlayerGrades+'!$AG$14,"D",IF(P345&lt;'PlayerGrades+'!$AG$13,"D+",IF(P345&lt;'PlayerGrades+'!$AG$12,"C-",IF(P345&lt;'PlayerGrades+'!$AG$11,"C",IF(P345&lt;'PlayerGrades+'!$AG$10,"C+",IF(P345&lt;'PlayerGrades+'!$AG$9,"B-",IF(P345&lt;'PlayerGrades+'!$AG$8,"B",IF(P345&lt;'PlayerGrades+'!$AG$7,"B+",IF(P345&lt;'PlayerGrades+'!$AG$6,"A-",IF(P345&lt;'PlayerGrades+'!$AG$5,"A",IF(P345&lt;'PlayerGrades+'!$AG$4,"A+",IF(P345&lt;'PlayerGrades+'!$AG$3,"S-",IF(P345&lt;'PlayerGrades+'!$AG$2,"S","S+"))))))))))))))))))))</f>
        <v>S+</v>
      </c>
      <c r="R345" s="937">
        <f t="shared" si="8"/>
        <v>0.4146100691</v>
      </c>
      <c r="S345" s="937" t="str">
        <f>IF(R345&lt;'PlayerGrades+'!$AH$21,"F-",IF(R345&lt;'PlayerGrades+'!$AH$20,"F",IF(R345&lt;'PlayerGrades+'!$AH$19,"F+",IF(R345&lt;'PlayerGrades+'!$AH$18,"E-",IF(R345&lt;'PlayerGrades+'!$AH$17,"E",IF(R345&lt;'PlayerGrades+'!$AH$16,"E+",IF(R345&lt;'PlayerGrades+'!$AH$15,"D-",IF(R345&lt;'PlayerGrades+'!$AH$14,"D",IF(R345&lt;'PlayerGrades+'!$AH$13,"D+",IF(R345&lt;'PlayerGrades+'!$AH$12,"C-",IF(R345&lt;'PlayerGrades+'!$AH$11,"C",IF(R345&lt;'PlayerGrades+'!$AH$10,"C+",IF(R345&lt;'PlayerGrades+'!$AH$9,"B-",IF(R345&lt;'PlayerGrades+'!$AH$8,"B",IF(R345&lt;'PlayerGrades+'!$AH$7,"B+",IF(R345&lt;'PlayerGrades+'!$AH$6,"A-",IF(R345&lt;'PlayerGrades+'!$AH$5,"A",IF(R345&lt;'PlayerGrades+'!$AH$4,"A+",IF(R345&lt;'PlayerGrades+'!$AH$3,"S-",IF(R345&lt;'PlayerGrades+'!$AH$2,"S","S+"))))))))))))))))))))</f>
        <v>F+</v>
      </c>
      <c r="T345" s="937">
        <f t="shared" si="9"/>
        <v>1.444225074</v>
      </c>
      <c r="U345" s="937" t="str">
        <f>IF(T345&lt;'PlayerGrades+'!$AI$21,"F-",IF(T345&lt;'PlayerGrades+'!$AI$20,"F",IF(T345&lt;'PlayerGrades+'!$AI$19,"F+",IF(T345&lt;'PlayerGrades+'!$AI$18,"E-",IF(T345&lt;'PlayerGrades+'!$AI$17,"E",IF(T345&lt;'PlayerGrades+'!$AI$16,"E+",IF(T345&lt;'PlayerGrades+'!$AI$15,"D-",IF(T345&lt;'PlayerGrades+'!$AI$14,"D",IF(T345&lt;'PlayerGrades+'!$AI$13,"D+",IF(T345&lt;'PlayerGrades+'!$AI$12,"C-",IF(T345&lt;'PlayerGrades+'!$AI$11,"C",IF(T345&lt;'PlayerGrades+'!$AI$10,"C+",IF(T345&lt;'PlayerGrades+'!$AI$9,"B-",IF(T345&lt;'PlayerGrades+'!$AI$8,"B",IF(T345&lt;'PlayerGrades+'!$AI$7,"B+",IF(T345&lt;'PlayerGrades+'!$AI$6,"A-",IF(T345&lt;'PlayerGrades+'!$AI$5,"A",IF(T345&lt;'PlayerGrades+'!$AI$4,"A+",IF(T345&lt;'PlayerGrades+'!$AI$3,"S-",IF(T345&lt;'PlayerGrades+'!$AI$2,"S","S+"))))))))))))))))))))</f>
        <v>B+</v>
      </c>
      <c r="V345" s="944">
        <v>1.0</v>
      </c>
      <c r="W345" s="944">
        <v>0.0</v>
      </c>
      <c r="X345" s="944">
        <v>1.0</v>
      </c>
      <c r="Y345" s="944">
        <v>0.0</v>
      </c>
      <c r="Z345" s="944">
        <v>0.0</v>
      </c>
      <c r="AA345" s="944">
        <v>120.0</v>
      </c>
      <c r="AB345" s="944">
        <v>112.0</v>
      </c>
      <c r="AC345" s="944">
        <v>8.0</v>
      </c>
      <c r="AD345" s="944">
        <v>7.0</v>
      </c>
      <c r="AE345" s="944">
        <v>8.0</v>
      </c>
      <c r="AF345" s="944">
        <v>0.0</v>
      </c>
      <c r="AG345" s="944">
        <v>1579.0</v>
      </c>
      <c r="AH345" s="1">
        <v>2026.0</v>
      </c>
      <c r="AI345" s="944">
        <v>14.0</v>
      </c>
      <c r="AJ345" s="944">
        <v>19.0</v>
      </c>
      <c r="AK345" s="944">
        <v>0.0</v>
      </c>
      <c r="AL345" s="944">
        <v>3.0</v>
      </c>
      <c r="AM345" s="944">
        <v>0.0</v>
      </c>
      <c r="AN345" s="944">
        <v>0.0</v>
      </c>
      <c r="AO345" s="944">
        <v>0.0</v>
      </c>
      <c r="AP345" s="944">
        <v>3.0</v>
      </c>
      <c r="AQ345" s="944">
        <v>0.0</v>
      </c>
      <c r="AR345" s="944">
        <v>16.0</v>
      </c>
      <c r="AS345" s="944">
        <v>1.0</v>
      </c>
      <c r="AT345" s="944">
        <v>0.0</v>
      </c>
      <c r="AU345" s="944">
        <v>0.0</v>
      </c>
      <c r="AV345" s="944">
        <v>0.0</v>
      </c>
      <c r="AW345" s="944">
        <v>0.0</v>
      </c>
      <c r="AX345" s="944">
        <v>0.0</v>
      </c>
      <c r="AY345" s="944">
        <v>0.0</v>
      </c>
      <c r="AZ345" s="944">
        <v>0.0</v>
      </c>
      <c r="BA345" s="944">
        <v>0.0</v>
      </c>
      <c r="BB345" s="944">
        <v>22.0</v>
      </c>
      <c r="BC345" s="944">
        <v>0.0</v>
      </c>
      <c r="BD345" s="944">
        <v>7.0</v>
      </c>
      <c r="BE345" s="944">
        <v>15.0</v>
      </c>
      <c r="BF345" s="944">
        <v>1.0</v>
      </c>
      <c r="BG345" s="945">
        <v>0.0</v>
      </c>
    </row>
    <row r="346">
      <c r="A346" s="946" t="s">
        <v>123</v>
      </c>
      <c r="B346" s="16" t="str">
        <f>IF(C346&lt;'PlayerGrades+'!$Y$44,"F-",IF(C346&lt;'PlayerGrades+'!$Y$43,"F",IF(C346&lt;'PlayerGrades+'!$Y$42,"F+",IF(C346&lt;'PlayerGrades+'!$Y$41,"E-",IF(C346&lt;'PlayerGrades+'!$Y$40,"E",IF(C346&lt;'PlayerGrades+'!$Y$39,"E+",IF(C346&lt;'PlayerGrades+'!$Y$38,"D-",IF(C346&lt;'PlayerGrades+'!$Y$37,"D",IF(C346&lt;'PlayerGrades+'!$Y$36,"D+",IF(C346&lt;'PlayerGrades+'!$Y$35,"C-",IF(C346&lt;'PlayerGrades+'!$Y$34,"C",IF(C346&lt;'PlayerGrades+'!$Y$33,"C+",IF(C346&lt;'PlayerGrades+'!$Y$32,"B-",IF(C346&lt;'PlayerGrades+'!$Y$31,"B",IF(C346&lt;'PlayerGrades+'!$Y$30,"B+",IF(C346&lt;'PlayerGrades+'!$Y$29,"A-",IF(C346&lt;'PlayerGrades+'!$Y$28,"A",IF(C346&lt;'PlayerGrades+'!$Y$27,"A+",IF(C346&lt;'PlayerGrades+'!$Y$26,"S-",IF(C346&lt;'PlayerGrades+'!$Y$25,"S","S+"))))))))))))))))))))</f>
        <v>S</v>
      </c>
      <c r="C346" s="936">
        <f>('PlayerGrades+'!$Y$47*(VLOOKUP(E346, 'PlayerGrades+'!$X$3:$Y$23, 2, FALSE)))+('PlayerGrades+'!$Y$48*(VLOOKUP(G346, 'PlayerGrades+'!$X$3:$Y$23, 2, FALSE)))+('PlayerGrades+'!$Y$49*(VLOOKUP(I346, 'PlayerGrades+'!$X$3:$Y$23, 2, FALSE)))+('PlayerGrades+'!$Y$50*(VLOOKUP(K346, 'PlayerGrades+'!$X$3:$Y$23, 2, FALSE)))+('PlayerGrades+'!$Y$51*(VLOOKUP(M346, 'PlayerGrades+'!$X$3:$Y$23, 2, FALSE)))+('PlayerGrades+'!$Y$52*(VLOOKUP(O346, 'PlayerGrades+'!$X$3:$Y$23, 2, FALSE)))+('PlayerGrades+'!$Y$53*(VLOOKUP(Q346, 'PlayerGrades+'!$X$3:$Y$23, 2, FALSE)))+('PlayerGrades+'!$Y$54*(VLOOKUP(S346, 'PlayerGrades+'!$X$3:$Y$23, 2, FALSE)))+('PlayerGrades+'!$Y$55*(VLOOKUP(U346, 'PlayerGrades+'!$X$3:$Y$23, 2, FALSE)))</f>
        <v>31.9</v>
      </c>
      <c r="D346" s="937">
        <f t="shared" si="1"/>
        <v>1.690140845</v>
      </c>
      <c r="E346" s="937" t="str">
        <f>IF(D346&lt;'PlayerGrades+'!$AA$21,"F-",IF(D346&lt;'PlayerGrades+'!$AA$20,"F",IF(D346&lt;'PlayerGrades+'!$AA$19,"F+",IF(D346&lt;'PlayerGrades+'!$AA$18,"E-",IF(D346&lt;'PlayerGrades+'!$AA$17,"E",IF(D346&lt;'PlayerGrades+'!$AA$16,"E+",IF(D346&lt;'PlayerGrades+'!$AA$15,"D-",IF(D346&lt;'PlayerGrades+'!$AA$14,"D",IF(D346&lt;'PlayerGrades+'!$AA$13,"D+",IF(D346&lt;'PlayerGrades+'!$AA$12,"C-",IF(D346&lt;'PlayerGrades+'!$AA$11,"C",IF(D346&lt;'PlayerGrades+'!$AA$10,"C+",IF(D346&lt;'PlayerGrades+'!$AA$9,"B-",IF(D346&lt;'PlayerGrades+'!$AA$8,"B",IF(D346&lt;'PlayerGrades+'!$AA$7,"B+",IF(D346&lt;'PlayerGrades+'!$AA$6,"A-",IF(D346&lt;'PlayerGrades+'!$AA$5,"A",IF(D346&lt;'PlayerGrades+'!$AA$4,"A+",IF(D346&lt;'PlayerGrades+'!$AA$3,"S-",IF(D346&lt;'PlayerGrades+'!$AA$2,"S","S+"))))))))))))))))))))</f>
        <v>S+</v>
      </c>
      <c r="F346" s="937">
        <f t="shared" si="2"/>
        <v>2.253521127</v>
      </c>
      <c r="G346" s="937" t="str">
        <f>IF(F346&lt;'PlayerGrades+'!$AB$21,"F-",IF(F346&lt;'PlayerGrades+'!$AB$20,"F",IF(F346&lt;'PlayerGrades+'!$AB$19,"F+",IF(F346&lt;'PlayerGrades+'!$AB$18,"E-",IF(F346&lt;'PlayerGrades+'!$AB$17,"E",IF(F346&lt;'PlayerGrades+'!$AB$16,"E+",IF(F346&lt;'PlayerGrades+'!$AB$15,"D-",IF(F346&lt;'PlayerGrades+'!$AB$14,"D",IF(F346&lt;'PlayerGrades+'!$AB$13,"D+",IF(F346&lt;'PlayerGrades+'!$AB$12,"C-",IF(F346&lt;'PlayerGrades+'!$AB$11,"C",IF(F346&lt;'PlayerGrades+'!$AB$10,"C+",IF(F346&lt;'PlayerGrades+'!$AB$9,"B-",IF(F346&lt;'PlayerGrades+'!$AB$8,"B",IF(F346&lt;'PlayerGrades+'!$AB$7,"B+",IF(F346&lt;'PlayerGrades+'!$AB$6,"A-",IF(F346&lt;'PlayerGrades+'!$AB$5,"A",IF(F346&lt;'PlayerGrades+'!$AB$4,"A+",IF(F346&lt;'PlayerGrades+'!$AB$3,"S-",IF(F346&lt;'PlayerGrades+'!$AB$2,"S","S+"))))))))))))))))))))</f>
        <v>S+</v>
      </c>
      <c r="H346" s="937">
        <f t="shared" si="3"/>
        <v>0</v>
      </c>
      <c r="I346" s="937" t="str">
        <f>IF(H346&lt;'PlayerGrades+'!$AC$21,"F-",IF(H346&lt;'PlayerGrades+'!$AC$20,"F",IF(H346&lt;'PlayerGrades+'!$AC$19,"F+",IF(H346&lt;'PlayerGrades+'!$AC$18,"E-",IF(H346&lt;'PlayerGrades+'!$AC$17,"E",IF(H346&lt;'PlayerGrades+'!$AC$16,"E+",IF(H346&lt;'PlayerGrades+'!$AC$15,"D-",IF(H346&lt;'PlayerGrades+'!$AC$14,"D",IF(H346&lt;'PlayerGrades+'!$AC$13,"D+",IF(H346&lt;'PlayerGrades+'!$AC$12,"C-",IF(H346&lt;'PlayerGrades+'!$AC$11,"C",IF(H346&lt;'PlayerGrades+'!$AC$10,"C+",IF(H346&lt;'PlayerGrades+'!$AC$9,"B-",IF(H346&lt;'PlayerGrades+'!$AC$8,"B",IF(H346&lt;'PlayerGrades+'!$AC$7,"B+",IF(H346&lt;'PlayerGrades+'!$AC$6,"A-",IF(H346&lt;'PlayerGrades+'!$AC$5,"A",IF(H346&lt;'PlayerGrades+'!$AC$4,"A+",IF(H346&lt;'PlayerGrades+'!$AC$3,"S-",IF(H346&lt;'PlayerGrades+'!$AC$2,"S","S+"))))))))))))))))))))</f>
        <v>F-</v>
      </c>
      <c r="J346" s="937">
        <f t="shared" si="4"/>
        <v>0.1408450704</v>
      </c>
      <c r="K346" s="937" t="str">
        <f>IF(J346&lt;'PlayerGrades+'!$AD$21,"F-",IF(J346&lt;'PlayerGrades+'!$AD$20,"F",IF(J346&lt;'PlayerGrades+'!$AD$19,"F+",IF(J346&lt;'PlayerGrades+'!$AD$18,"E-",IF(J346&lt;'PlayerGrades+'!$AD$17,"E",IF(J346&lt;'PlayerGrades+'!$AD$16,"E+",IF(J346&lt;'PlayerGrades+'!$AD$15,"D-",IF(J346&lt;'PlayerGrades+'!$AD$14,"D",IF(J346&lt;'PlayerGrades+'!$AD$13,"D+",IF(J346&lt;'PlayerGrades+'!$AD$12,"C-",IF(J346&lt;'PlayerGrades+'!$AD$11,"C",IF(J346&lt;'PlayerGrades+'!$AD$10,"C+",IF(J346&lt;'PlayerGrades+'!$AD$9,"B-",IF(J346&lt;'PlayerGrades+'!$AD$8,"B",IF(J346&lt;'PlayerGrades+'!$AD$7,"B+",IF(J346&lt;'PlayerGrades+'!$AD$6,"A-",IF(J346&lt;'PlayerGrades+'!$AD$5,"A",IF(J346&lt;'PlayerGrades+'!$AD$4,"A+",IF(J346&lt;'PlayerGrades+'!$AD$3,"S-",IF(J346&lt;'PlayerGrades+'!$AD$2,"S","S+"))))))))))))))))))))</f>
        <v>S+</v>
      </c>
      <c r="L346" s="677">
        <f t="shared" si="5"/>
        <v>1.126760563</v>
      </c>
      <c r="M346" s="938" t="str">
        <f>IF(L346&lt;'PlayerGrades+'!$AE$21,"F-",IF(L346&lt;'PlayerGrades+'!$AE$20,"F",IF(L346&lt;'PlayerGrades+'!$AE$19,"F+",IF(L346&lt;'PlayerGrades+'!$AE$18,"E-",IF(L346&lt;'PlayerGrades+'!$AE$17,"E",IF(L346&lt;'PlayerGrades+'!$AE$16,"E+",IF(L346&lt;'PlayerGrades+'!$AE$15,"D-",IF(L346&lt;'PlayerGrades+'!$AE$14,"D",IF(L346&lt;'PlayerGrades+'!$AE$13,"D+",IF(L346&lt;'PlayerGrades+'!$AE$12,"C-",IF(L346&lt;'PlayerGrades+'!$AE$11,"C",IF(L346&lt;'PlayerGrades+'!$AE$10,"C+",IF(L346&lt;'PlayerGrades+'!$AE$9,"B-",IF(L346&lt;'PlayerGrades+'!$AE$8,"B",IF(L346&lt;'PlayerGrades+'!$AE$7,"B+",IF(L346&lt;'PlayerGrades+'!$AE$6,"A-",IF(L346&lt;'PlayerGrades+'!$AE$5,"A",IF(L346&lt;'PlayerGrades+'!$AE$4,"A+",IF(L346&lt;'PlayerGrades+'!$AE$3,"S-",IF(L346&lt;'PlayerGrades+'!$AE$2,"S","S+"))))))))))))))))))))</f>
        <v>S+</v>
      </c>
      <c r="N346" s="937">
        <f t="shared" si="6"/>
        <v>0.4225352113</v>
      </c>
      <c r="O346" s="937" t="str">
        <f>IF(N346&lt;'PlayerGrades+'!$AF$21,"F-",IF(N346&lt;'PlayerGrades+'!$AF$20,"F",IF(N346&lt;'PlayerGrades+'!$AF$19,"F+",IF(N346&lt;'PlayerGrades+'!$AF$18,"E-",IF(N346&lt;'PlayerGrades+'!$AF$17,"E",IF(N346&lt;'PlayerGrades+'!$AF$16,"E+",IF(N346&lt;'PlayerGrades+'!$AF$15,"D-",IF(N346&lt;'PlayerGrades+'!$AF$14,"D",IF(N346&lt;'PlayerGrades+'!$AF$13,"D+",IF(N346&lt;'PlayerGrades+'!$AF$12,"C-",IF(N346&lt;'PlayerGrades+'!$AF$11,"C",IF(N346&lt;'PlayerGrades+'!$AF$10,"C+",IF(N346&lt;'PlayerGrades+'!$AF$9,"B-",IF(N346&lt;'PlayerGrades+'!$AF$8,"B",IF(N346&lt;'PlayerGrades+'!$AF$7,"B+",IF(N346&lt;'PlayerGrades+'!$AF$6,"A-",IF(N346&lt;'PlayerGrades+'!$AF$5,"A",IF(N346&lt;'PlayerGrades+'!$AF$4,"A+",IF(N346&lt;'PlayerGrades+'!$AF$3,"S-",IF(N346&lt;'PlayerGrades+'!$AF$2,"S","S+"))))))))))))))))))))</f>
        <v>S+</v>
      </c>
      <c r="P346" s="937">
        <f t="shared" si="7"/>
        <v>0.1408450704</v>
      </c>
      <c r="Q346" s="937" t="str">
        <f>IF(P346&lt;'PlayerGrades+'!$AG$21,"F-",IF(P346&lt;'PlayerGrades+'!$AG$20,"F",IF(P346&lt;'PlayerGrades+'!$AG$19,"F+",IF(P346&lt;'PlayerGrades+'!$AG$18,"E-",IF(P346&lt;'PlayerGrades+'!$AG$17,"E",IF(P346&lt;'PlayerGrades+'!$AG$16,"E+",IF(P346&lt;'PlayerGrades+'!$AG$15,"D-",IF(P346&lt;'PlayerGrades+'!$AG$14,"D",IF(P346&lt;'PlayerGrades+'!$AG$13,"D+",IF(P346&lt;'PlayerGrades+'!$AG$12,"C-",IF(P346&lt;'PlayerGrades+'!$AG$11,"C",IF(P346&lt;'PlayerGrades+'!$AG$10,"C+",IF(P346&lt;'PlayerGrades+'!$AG$9,"B-",IF(P346&lt;'PlayerGrades+'!$AG$8,"B",IF(P346&lt;'PlayerGrades+'!$AG$7,"B+",IF(P346&lt;'PlayerGrades+'!$AG$6,"A-",IF(P346&lt;'PlayerGrades+'!$AG$5,"A",IF(P346&lt;'PlayerGrades+'!$AG$4,"A+",IF(P346&lt;'PlayerGrades+'!$AG$3,"S-",IF(P346&lt;'PlayerGrades+'!$AG$2,"S","S+"))))))))))))))))))))</f>
        <v>S+</v>
      </c>
      <c r="R346" s="937">
        <f t="shared" si="8"/>
        <v>0.7042253521</v>
      </c>
      <c r="S346" s="937" t="str">
        <f>IF(R346&lt;'PlayerGrades+'!$AH$21,"F-",IF(R346&lt;'PlayerGrades+'!$AH$20,"F",IF(R346&lt;'PlayerGrades+'!$AH$19,"F+",IF(R346&lt;'PlayerGrades+'!$AH$18,"E-",IF(R346&lt;'PlayerGrades+'!$AH$17,"E",IF(R346&lt;'PlayerGrades+'!$AH$16,"E+",IF(R346&lt;'PlayerGrades+'!$AH$15,"D-",IF(R346&lt;'PlayerGrades+'!$AH$14,"D",IF(R346&lt;'PlayerGrades+'!$AH$13,"D+",IF(R346&lt;'PlayerGrades+'!$AH$12,"C-",IF(R346&lt;'PlayerGrades+'!$AH$11,"C",IF(R346&lt;'PlayerGrades+'!$AH$10,"C+",IF(R346&lt;'PlayerGrades+'!$AH$9,"B-",IF(R346&lt;'PlayerGrades+'!$AH$8,"B",IF(R346&lt;'PlayerGrades+'!$AH$7,"B+",IF(R346&lt;'PlayerGrades+'!$AH$6,"A-",IF(R346&lt;'PlayerGrades+'!$AH$5,"A",IF(R346&lt;'PlayerGrades+'!$AH$4,"A+",IF(R346&lt;'PlayerGrades+'!$AH$3,"S-",IF(R346&lt;'PlayerGrades+'!$AH$2,"S","S+"))))))))))))))))))))</f>
        <v>S-</v>
      </c>
      <c r="T346" s="937">
        <f t="shared" si="9"/>
        <v>1.281690141</v>
      </c>
      <c r="U346" s="937" t="str">
        <f>IF(T346&lt;'PlayerGrades+'!$AI$21,"F-",IF(T346&lt;'PlayerGrades+'!$AI$20,"F",IF(T346&lt;'PlayerGrades+'!$AI$19,"F+",IF(T346&lt;'PlayerGrades+'!$AI$18,"E-",IF(T346&lt;'PlayerGrades+'!$AI$17,"E",IF(T346&lt;'PlayerGrades+'!$AI$16,"E+",IF(T346&lt;'PlayerGrades+'!$AI$15,"D-",IF(T346&lt;'PlayerGrades+'!$AI$14,"D",IF(T346&lt;'PlayerGrades+'!$AI$13,"D+",IF(T346&lt;'PlayerGrades+'!$AI$12,"C-",IF(T346&lt;'PlayerGrades+'!$AI$11,"C",IF(T346&lt;'PlayerGrades+'!$AI$10,"C+",IF(T346&lt;'PlayerGrades+'!$AI$9,"B-",IF(T346&lt;'PlayerGrades+'!$AI$8,"B",IF(T346&lt;'PlayerGrades+'!$AI$7,"B+",IF(T346&lt;'PlayerGrades+'!$AI$6,"A-",IF(T346&lt;'PlayerGrades+'!$AI$5,"A",IF(T346&lt;'PlayerGrades+'!$AI$4,"A+",IF(T346&lt;'PlayerGrades+'!$AI$3,"S-",IF(T346&lt;'PlayerGrades+'!$AI$2,"S","S+"))))))))))))))))))))</f>
        <v>C</v>
      </c>
      <c r="V346" s="939">
        <v>1.0</v>
      </c>
      <c r="W346" s="939">
        <v>1.0</v>
      </c>
      <c r="X346" s="939">
        <v>0.0</v>
      </c>
      <c r="Y346" s="939">
        <v>3.0</v>
      </c>
      <c r="Z346" s="939">
        <v>9.0</v>
      </c>
      <c r="AA346" s="939">
        <v>33.0</v>
      </c>
      <c r="AB346" s="939">
        <v>17.0</v>
      </c>
      <c r="AC346" s="939">
        <v>16.0</v>
      </c>
      <c r="AD346" s="939">
        <v>0.0</v>
      </c>
      <c r="AE346" s="939">
        <v>8.0</v>
      </c>
      <c r="AF346" s="939">
        <v>1.0</v>
      </c>
      <c r="AG346" s="939">
        <v>287.0</v>
      </c>
      <c r="AH346" s="939">
        <v>426.0</v>
      </c>
      <c r="AI346" s="939">
        <v>16.0</v>
      </c>
      <c r="AJ346" s="939">
        <v>136.0</v>
      </c>
      <c r="AK346" s="939">
        <v>0.0</v>
      </c>
      <c r="AL346" s="939">
        <v>1.0</v>
      </c>
      <c r="AM346" s="939">
        <v>0.0</v>
      </c>
      <c r="AN346" s="939">
        <v>0.0</v>
      </c>
      <c r="AO346" s="939">
        <v>0.0</v>
      </c>
      <c r="AP346" s="939">
        <v>1.0</v>
      </c>
      <c r="AQ346" s="939">
        <v>0.0</v>
      </c>
      <c r="AR346" s="939">
        <v>8.0</v>
      </c>
      <c r="AS346" s="939">
        <v>3.0</v>
      </c>
      <c r="AT346" s="939">
        <v>1.0</v>
      </c>
      <c r="AU346" s="939">
        <v>0.0</v>
      </c>
      <c r="AV346" s="939">
        <v>0.0</v>
      </c>
      <c r="AW346" s="939">
        <v>0.0</v>
      </c>
      <c r="AX346" s="939">
        <v>0.0</v>
      </c>
      <c r="AY346" s="939">
        <v>0.0</v>
      </c>
      <c r="AZ346" s="939">
        <v>0.0</v>
      </c>
      <c r="BA346" s="939">
        <v>0.0</v>
      </c>
      <c r="BB346" s="939">
        <v>0.0</v>
      </c>
      <c r="BC346" s="939">
        <v>0.0</v>
      </c>
      <c r="BD346" s="939">
        <v>5.0</v>
      </c>
      <c r="BE346" s="939">
        <v>2.0</v>
      </c>
      <c r="BF346" s="939">
        <v>1.0</v>
      </c>
      <c r="BG346" s="940">
        <v>0.0</v>
      </c>
    </row>
    <row r="347">
      <c r="A347" s="935" t="s">
        <v>419</v>
      </c>
      <c r="B347" s="16" t="str">
        <f>IF(C347&lt;'PlayerGrades+'!$Y$44,"F-",IF(C347&lt;'PlayerGrades+'!$Y$43,"F",IF(C347&lt;'PlayerGrades+'!$Y$42,"F+",IF(C347&lt;'PlayerGrades+'!$Y$41,"E-",IF(C347&lt;'PlayerGrades+'!$Y$40,"E",IF(C347&lt;'PlayerGrades+'!$Y$39,"E+",IF(C347&lt;'PlayerGrades+'!$Y$38,"D-",IF(C347&lt;'PlayerGrades+'!$Y$37,"D",IF(C347&lt;'PlayerGrades+'!$Y$36,"D+",IF(C347&lt;'PlayerGrades+'!$Y$35,"C-",IF(C347&lt;'PlayerGrades+'!$Y$34,"C",IF(C347&lt;'PlayerGrades+'!$Y$33,"C+",IF(C347&lt;'PlayerGrades+'!$Y$32,"B-",IF(C347&lt;'PlayerGrades+'!$Y$31,"B",IF(C347&lt;'PlayerGrades+'!$Y$30,"B+",IF(C347&lt;'PlayerGrades+'!$Y$29,"A-",IF(C347&lt;'PlayerGrades+'!$Y$28,"A",IF(C347&lt;'PlayerGrades+'!$Y$27,"A+",IF(C347&lt;'PlayerGrades+'!$Y$26,"S-",IF(C347&lt;'PlayerGrades+'!$Y$25,"S","S+"))))))))))))))))))))</f>
        <v>C+</v>
      </c>
      <c r="C347" s="936">
        <f>('PlayerGrades+'!$Y$47*(VLOOKUP(E347, 'PlayerGrades+'!$X$3:$Y$23, 2, FALSE)))+('PlayerGrades+'!$Y$48*(VLOOKUP(G347, 'PlayerGrades+'!$X$3:$Y$23, 2, FALSE)))+('PlayerGrades+'!$Y$49*(VLOOKUP(I347, 'PlayerGrades+'!$X$3:$Y$23, 2, FALSE)))+('PlayerGrades+'!$Y$50*(VLOOKUP(K347, 'PlayerGrades+'!$X$3:$Y$23, 2, FALSE)))+('PlayerGrades+'!$Y$51*(VLOOKUP(M347, 'PlayerGrades+'!$X$3:$Y$23, 2, FALSE)))+('PlayerGrades+'!$Y$52*(VLOOKUP(O347, 'PlayerGrades+'!$X$3:$Y$23, 2, FALSE)))+('PlayerGrades+'!$Y$53*(VLOOKUP(Q347, 'PlayerGrades+'!$X$3:$Y$23, 2, FALSE)))+('PlayerGrades+'!$Y$54*(VLOOKUP(S347, 'PlayerGrades+'!$X$3:$Y$23, 2, FALSE)))+('PlayerGrades+'!$Y$55*(VLOOKUP(U347, 'PlayerGrades+'!$X$3:$Y$23, 2, FALSE)))</f>
        <v>20.95</v>
      </c>
      <c r="D347" s="937">
        <f t="shared" si="1"/>
        <v>0.1408450704</v>
      </c>
      <c r="E347" s="937" t="str">
        <f>IF(D347&lt;'PlayerGrades+'!$AA$21,"F-",IF(D347&lt;'PlayerGrades+'!$AA$20,"F",IF(D347&lt;'PlayerGrades+'!$AA$19,"F+",IF(D347&lt;'PlayerGrades+'!$AA$18,"E-",IF(D347&lt;'PlayerGrades+'!$AA$17,"E",IF(D347&lt;'PlayerGrades+'!$AA$16,"E+",IF(D347&lt;'PlayerGrades+'!$AA$15,"D-",IF(D347&lt;'PlayerGrades+'!$AA$14,"D",IF(D347&lt;'PlayerGrades+'!$AA$13,"D+",IF(D347&lt;'PlayerGrades+'!$AA$12,"C-",IF(D347&lt;'PlayerGrades+'!$AA$11,"C",IF(D347&lt;'PlayerGrades+'!$AA$10,"C+",IF(D347&lt;'PlayerGrades+'!$AA$9,"B-",IF(D347&lt;'PlayerGrades+'!$AA$8,"B",IF(D347&lt;'PlayerGrades+'!$AA$7,"B+",IF(D347&lt;'PlayerGrades+'!$AA$6,"A-",IF(D347&lt;'PlayerGrades+'!$AA$5,"A",IF(D347&lt;'PlayerGrades+'!$AA$4,"A+",IF(D347&lt;'PlayerGrades+'!$AA$3,"S-",IF(D347&lt;'PlayerGrades+'!$AA$2,"S","S+"))))))))))))))))))))</f>
        <v>B+</v>
      </c>
      <c r="F347" s="937">
        <f t="shared" si="2"/>
        <v>-0.5633802817</v>
      </c>
      <c r="G347" s="937" t="str">
        <f>IF(F347&lt;'PlayerGrades+'!$AB$21,"F-",IF(F347&lt;'PlayerGrades+'!$AB$20,"F",IF(F347&lt;'PlayerGrades+'!$AB$19,"F+",IF(F347&lt;'PlayerGrades+'!$AB$18,"E-",IF(F347&lt;'PlayerGrades+'!$AB$17,"E",IF(F347&lt;'PlayerGrades+'!$AB$16,"E+",IF(F347&lt;'PlayerGrades+'!$AB$15,"D-",IF(F347&lt;'PlayerGrades+'!$AB$14,"D",IF(F347&lt;'PlayerGrades+'!$AB$13,"D+",IF(F347&lt;'PlayerGrades+'!$AB$12,"C-",IF(F347&lt;'PlayerGrades+'!$AB$11,"C",IF(F347&lt;'PlayerGrades+'!$AB$10,"C+",IF(F347&lt;'PlayerGrades+'!$AB$9,"B-",IF(F347&lt;'PlayerGrades+'!$AB$8,"B",IF(F347&lt;'PlayerGrades+'!$AB$7,"B+",IF(F347&lt;'PlayerGrades+'!$AB$6,"A-",IF(F347&lt;'PlayerGrades+'!$AB$5,"A",IF(F347&lt;'PlayerGrades+'!$AB$4,"A+",IF(F347&lt;'PlayerGrades+'!$AB$3,"S-",IF(F347&lt;'PlayerGrades+'!$AB$2,"S","S+"))))))))))))))))))))</f>
        <v>D</v>
      </c>
      <c r="H347" s="937">
        <f t="shared" si="3"/>
        <v>0</v>
      </c>
      <c r="I347" s="937" t="str">
        <f>IF(H347&lt;'PlayerGrades+'!$AC$21,"F-",IF(H347&lt;'PlayerGrades+'!$AC$20,"F",IF(H347&lt;'PlayerGrades+'!$AC$19,"F+",IF(H347&lt;'PlayerGrades+'!$AC$18,"E-",IF(H347&lt;'PlayerGrades+'!$AC$17,"E",IF(H347&lt;'PlayerGrades+'!$AC$16,"E+",IF(H347&lt;'PlayerGrades+'!$AC$15,"D-",IF(H347&lt;'PlayerGrades+'!$AC$14,"D",IF(H347&lt;'PlayerGrades+'!$AC$13,"D+",IF(H347&lt;'PlayerGrades+'!$AC$12,"C-",IF(H347&lt;'PlayerGrades+'!$AC$11,"C",IF(H347&lt;'PlayerGrades+'!$AC$10,"C+",IF(H347&lt;'PlayerGrades+'!$AC$9,"B-",IF(H347&lt;'PlayerGrades+'!$AC$8,"B",IF(H347&lt;'PlayerGrades+'!$AC$7,"B+",IF(H347&lt;'PlayerGrades+'!$AC$6,"A-",IF(H347&lt;'PlayerGrades+'!$AC$5,"A",IF(H347&lt;'PlayerGrades+'!$AC$4,"A+",IF(H347&lt;'PlayerGrades+'!$AC$3,"S-",IF(H347&lt;'PlayerGrades+'!$AC$2,"S","S+"))))))))))))))))))))</f>
        <v>F-</v>
      </c>
      <c r="J347" s="937">
        <f t="shared" si="4"/>
        <v>0</v>
      </c>
      <c r="K347" s="937" t="str">
        <f>IF(J347&lt;'PlayerGrades+'!$AD$21,"F-",IF(J347&lt;'PlayerGrades+'!$AD$20,"F",IF(J347&lt;'PlayerGrades+'!$AD$19,"F+",IF(J347&lt;'PlayerGrades+'!$AD$18,"E-",IF(J347&lt;'PlayerGrades+'!$AD$17,"E",IF(J347&lt;'PlayerGrades+'!$AD$16,"E+",IF(J347&lt;'PlayerGrades+'!$AD$15,"D-",IF(J347&lt;'PlayerGrades+'!$AD$14,"D",IF(J347&lt;'PlayerGrades+'!$AD$13,"D+",IF(J347&lt;'PlayerGrades+'!$AD$12,"C-",IF(J347&lt;'PlayerGrades+'!$AD$11,"C",IF(J347&lt;'PlayerGrades+'!$AD$10,"C+",IF(J347&lt;'PlayerGrades+'!$AD$9,"B-",IF(J347&lt;'PlayerGrades+'!$AD$8,"B",IF(J347&lt;'PlayerGrades+'!$AD$7,"B+",IF(J347&lt;'PlayerGrades+'!$AD$6,"A-",IF(J347&lt;'PlayerGrades+'!$AD$5,"A",IF(J347&lt;'PlayerGrades+'!$AD$4,"A+",IF(J347&lt;'PlayerGrades+'!$AD$3,"S-",IF(J347&lt;'PlayerGrades+'!$AD$2,"S","S+"))))))))))))))))))))</f>
        <v>F-</v>
      </c>
      <c r="L347" s="677">
        <f t="shared" si="5"/>
        <v>0.4225352113</v>
      </c>
      <c r="M347" s="938" t="str">
        <f>IF(L347&lt;'PlayerGrades+'!$AE$21,"F-",IF(L347&lt;'PlayerGrades+'!$AE$20,"F",IF(L347&lt;'PlayerGrades+'!$AE$19,"F+",IF(L347&lt;'PlayerGrades+'!$AE$18,"E-",IF(L347&lt;'PlayerGrades+'!$AE$17,"E",IF(L347&lt;'PlayerGrades+'!$AE$16,"E+",IF(L347&lt;'PlayerGrades+'!$AE$15,"D-",IF(L347&lt;'PlayerGrades+'!$AE$14,"D",IF(L347&lt;'PlayerGrades+'!$AE$13,"D+",IF(L347&lt;'PlayerGrades+'!$AE$12,"C-",IF(L347&lt;'PlayerGrades+'!$AE$11,"C",IF(L347&lt;'PlayerGrades+'!$AE$10,"C+",IF(L347&lt;'PlayerGrades+'!$AE$9,"B-",IF(L347&lt;'PlayerGrades+'!$AE$8,"B",IF(L347&lt;'PlayerGrades+'!$AE$7,"B+",IF(L347&lt;'PlayerGrades+'!$AE$6,"A-",IF(L347&lt;'PlayerGrades+'!$AE$5,"A",IF(L347&lt;'PlayerGrades+'!$AE$4,"A+",IF(L347&lt;'PlayerGrades+'!$AE$3,"S-",IF(L347&lt;'PlayerGrades+'!$AE$2,"S","S+"))))))))))))))))))))</f>
        <v>C+</v>
      </c>
      <c r="N347" s="937">
        <f t="shared" si="6"/>
        <v>0.1408450704</v>
      </c>
      <c r="O347" s="937" t="str">
        <f>IF(N347&lt;'PlayerGrades+'!$AF$21,"F-",IF(N347&lt;'PlayerGrades+'!$AF$20,"F",IF(N347&lt;'PlayerGrades+'!$AF$19,"F+",IF(N347&lt;'PlayerGrades+'!$AF$18,"E-",IF(N347&lt;'PlayerGrades+'!$AF$17,"E",IF(N347&lt;'PlayerGrades+'!$AF$16,"E+",IF(N347&lt;'PlayerGrades+'!$AF$15,"D-",IF(N347&lt;'PlayerGrades+'!$AF$14,"D",IF(N347&lt;'PlayerGrades+'!$AF$13,"D+",IF(N347&lt;'PlayerGrades+'!$AF$12,"C-",IF(N347&lt;'PlayerGrades+'!$AF$11,"C",IF(N347&lt;'PlayerGrades+'!$AF$10,"C+",IF(N347&lt;'PlayerGrades+'!$AF$9,"B-",IF(N347&lt;'PlayerGrades+'!$AF$8,"B",IF(N347&lt;'PlayerGrades+'!$AF$7,"B+",IF(N347&lt;'PlayerGrades+'!$AF$6,"A-",IF(N347&lt;'PlayerGrades+'!$AF$5,"A",IF(N347&lt;'PlayerGrades+'!$AF$4,"A+",IF(N347&lt;'PlayerGrades+'!$AF$3,"S-",IF(N347&lt;'PlayerGrades+'!$AF$2,"S","S+"))))))))))))))))))))</f>
        <v>S</v>
      </c>
      <c r="P347" s="937">
        <f t="shared" si="7"/>
        <v>0</v>
      </c>
      <c r="Q347" s="937" t="str">
        <f>IF(P347&lt;'PlayerGrades+'!$AG$21,"F-",IF(P347&lt;'PlayerGrades+'!$AG$20,"F",IF(P347&lt;'PlayerGrades+'!$AG$19,"F+",IF(P347&lt;'PlayerGrades+'!$AG$18,"E-",IF(P347&lt;'PlayerGrades+'!$AG$17,"E",IF(P347&lt;'PlayerGrades+'!$AG$16,"E+",IF(P347&lt;'PlayerGrades+'!$AG$15,"D-",IF(P347&lt;'PlayerGrades+'!$AG$14,"D",IF(P347&lt;'PlayerGrades+'!$AG$13,"D+",IF(P347&lt;'PlayerGrades+'!$AG$12,"C-",IF(P347&lt;'PlayerGrades+'!$AG$11,"C",IF(P347&lt;'PlayerGrades+'!$AG$10,"C+",IF(P347&lt;'PlayerGrades+'!$AG$9,"B-",IF(P347&lt;'PlayerGrades+'!$AG$8,"B",IF(P347&lt;'PlayerGrades+'!$AG$7,"B+",IF(P347&lt;'PlayerGrades+'!$AG$6,"A-",IF(P347&lt;'PlayerGrades+'!$AG$5,"A",IF(P347&lt;'PlayerGrades+'!$AG$4,"A+",IF(P347&lt;'PlayerGrades+'!$AG$3,"S-",IF(P347&lt;'PlayerGrades+'!$AG$2,"S","S+"))))))))))))))))))))</f>
        <v>F</v>
      </c>
      <c r="R347" s="937">
        <f t="shared" si="8"/>
        <v>0.985915493</v>
      </c>
      <c r="S347" s="937" t="str">
        <f>IF(R347&lt;'PlayerGrades+'!$AH$21,"F-",IF(R347&lt;'PlayerGrades+'!$AH$20,"F",IF(R347&lt;'PlayerGrades+'!$AH$19,"F+",IF(R347&lt;'PlayerGrades+'!$AH$18,"E-",IF(R347&lt;'PlayerGrades+'!$AH$17,"E",IF(R347&lt;'PlayerGrades+'!$AH$16,"E+",IF(R347&lt;'PlayerGrades+'!$AH$15,"D-",IF(R347&lt;'PlayerGrades+'!$AH$14,"D",IF(R347&lt;'PlayerGrades+'!$AH$13,"D+",IF(R347&lt;'PlayerGrades+'!$AH$12,"C-",IF(R347&lt;'PlayerGrades+'!$AH$11,"C",IF(R347&lt;'PlayerGrades+'!$AH$10,"C+",IF(R347&lt;'PlayerGrades+'!$AH$9,"B-",IF(R347&lt;'PlayerGrades+'!$AH$8,"B",IF(R347&lt;'PlayerGrades+'!$AH$7,"B+",IF(R347&lt;'PlayerGrades+'!$AH$6,"A-",IF(R347&lt;'PlayerGrades+'!$AH$5,"A",IF(R347&lt;'PlayerGrades+'!$AH$4,"A+",IF(R347&lt;'PlayerGrades+'!$AH$3,"S-",IF(R347&lt;'PlayerGrades+'!$AH$2,"S","S+"))))))))))))))))))))</f>
        <v>S+</v>
      </c>
      <c r="T347" s="937">
        <f t="shared" si="9"/>
        <v>0.1408450704</v>
      </c>
      <c r="U347" s="937" t="str">
        <f>IF(T347&lt;'PlayerGrades+'!$AI$21,"F-",IF(T347&lt;'PlayerGrades+'!$AI$20,"F",IF(T347&lt;'PlayerGrades+'!$AI$19,"F+",IF(T347&lt;'PlayerGrades+'!$AI$18,"E-",IF(T347&lt;'PlayerGrades+'!$AI$17,"E",IF(T347&lt;'PlayerGrades+'!$AI$16,"E+",IF(T347&lt;'PlayerGrades+'!$AI$15,"D-",IF(T347&lt;'PlayerGrades+'!$AI$14,"D",IF(T347&lt;'PlayerGrades+'!$AI$13,"D+",IF(T347&lt;'PlayerGrades+'!$AI$12,"C-",IF(T347&lt;'PlayerGrades+'!$AI$11,"C",IF(T347&lt;'PlayerGrades+'!$AI$10,"C+",IF(T347&lt;'PlayerGrades+'!$AI$9,"B-",IF(T347&lt;'PlayerGrades+'!$AI$8,"B",IF(T347&lt;'PlayerGrades+'!$AI$7,"B+",IF(T347&lt;'PlayerGrades+'!$AI$6,"A-",IF(T347&lt;'PlayerGrades+'!$AI$5,"A",IF(T347&lt;'PlayerGrades+'!$AI$4,"A+",IF(T347&lt;'PlayerGrades+'!$AI$3,"S-",IF(T347&lt;'PlayerGrades+'!$AI$2,"S","S+"))))))))))))))))))))</f>
        <v>F-</v>
      </c>
      <c r="V347" s="941">
        <v>1.0</v>
      </c>
      <c r="W347" s="941">
        <v>1.0</v>
      </c>
      <c r="X347" s="941">
        <v>0.0</v>
      </c>
      <c r="Y347" s="941">
        <v>1.0</v>
      </c>
      <c r="Z347" s="941">
        <v>0.0</v>
      </c>
      <c r="AA347" s="941">
        <v>17.0</v>
      </c>
      <c r="AB347" s="941">
        <v>21.0</v>
      </c>
      <c r="AC347" s="941">
        <v>-4.0</v>
      </c>
      <c r="AD347" s="941">
        <v>4.0</v>
      </c>
      <c r="AE347" s="941">
        <v>4.0</v>
      </c>
      <c r="AF347" s="941">
        <v>0.0</v>
      </c>
      <c r="AG347" s="941">
        <v>263.0</v>
      </c>
      <c r="AH347" s="941">
        <v>426.0</v>
      </c>
      <c r="AI347" s="941">
        <v>12.0</v>
      </c>
      <c r="AJ347" s="941">
        <v>23.0</v>
      </c>
      <c r="AK347" s="941">
        <v>0.0</v>
      </c>
      <c r="AL347" s="941">
        <v>0.0</v>
      </c>
      <c r="AM347" s="941">
        <v>0.0</v>
      </c>
      <c r="AN347" s="941">
        <v>0.0</v>
      </c>
      <c r="AO347" s="941">
        <v>0.0</v>
      </c>
      <c r="AP347" s="941">
        <v>0.0</v>
      </c>
      <c r="AQ347" s="941">
        <v>0.0</v>
      </c>
      <c r="AR347" s="941">
        <v>3.0</v>
      </c>
      <c r="AS347" s="941">
        <v>1.0</v>
      </c>
      <c r="AT347" s="941">
        <v>1.0</v>
      </c>
      <c r="AU347" s="941">
        <v>0.0</v>
      </c>
      <c r="AV347" s="941">
        <v>0.0</v>
      </c>
      <c r="AW347" s="941">
        <v>0.0</v>
      </c>
      <c r="AX347" s="941">
        <v>0.0</v>
      </c>
      <c r="AY347" s="941">
        <v>0.0</v>
      </c>
      <c r="AZ347" s="941">
        <v>0.0</v>
      </c>
      <c r="BA347" s="941">
        <v>0.0</v>
      </c>
      <c r="BB347" s="941">
        <v>0.0</v>
      </c>
      <c r="BC347" s="941">
        <v>0.0</v>
      </c>
      <c r="BD347" s="941">
        <v>3.0</v>
      </c>
      <c r="BE347" s="941">
        <v>1.0</v>
      </c>
      <c r="BF347" s="941">
        <v>0.0</v>
      </c>
      <c r="BG347" s="942">
        <v>0.0</v>
      </c>
    </row>
    <row r="348">
      <c r="A348" s="935" t="s">
        <v>145</v>
      </c>
      <c r="B348" s="16" t="str">
        <f>IF(C348&lt;'PlayerGrades+'!$Y$44,"F-",IF(C348&lt;'PlayerGrades+'!$Y$43,"F",IF(C348&lt;'PlayerGrades+'!$Y$42,"F+",IF(C348&lt;'PlayerGrades+'!$Y$41,"E-",IF(C348&lt;'PlayerGrades+'!$Y$40,"E",IF(C348&lt;'PlayerGrades+'!$Y$39,"E+",IF(C348&lt;'PlayerGrades+'!$Y$38,"D-",IF(C348&lt;'PlayerGrades+'!$Y$37,"D",IF(C348&lt;'PlayerGrades+'!$Y$36,"D+",IF(C348&lt;'PlayerGrades+'!$Y$35,"C-",IF(C348&lt;'PlayerGrades+'!$Y$34,"C",IF(C348&lt;'PlayerGrades+'!$Y$33,"C+",IF(C348&lt;'PlayerGrades+'!$Y$32,"B-",IF(C348&lt;'PlayerGrades+'!$Y$31,"B",IF(C348&lt;'PlayerGrades+'!$Y$30,"B+",IF(C348&lt;'PlayerGrades+'!$Y$29,"A-",IF(C348&lt;'PlayerGrades+'!$Y$28,"A",IF(C348&lt;'PlayerGrades+'!$Y$27,"A+",IF(C348&lt;'PlayerGrades+'!$Y$26,"S-",IF(C348&lt;'PlayerGrades+'!$Y$25,"S","S+"))))))))))))))))))))</f>
        <v>A</v>
      </c>
      <c r="C348" s="936">
        <f>('PlayerGrades+'!$Y$47*(VLOOKUP(E348, 'PlayerGrades+'!$X$3:$Y$23, 2, FALSE)))+('PlayerGrades+'!$Y$48*(VLOOKUP(G348, 'PlayerGrades+'!$X$3:$Y$23, 2, FALSE)))+('PlayerGrades+'!$Y$49*(VLOOKUP(I348, 'PlayerGrades+'!$X$3:$Y$23, 2, FALSE)))+('PlayerGrades+'!$Y$50*(VLOOKUP(K348, 'PlayerGrades+'!$X$3:$Y$23, 2, FALSE)))+('PlayerGrades+'!$Y$51*(VLOOKUP(M348, 'PlayerGrades+'!$X$3:$Y$23, 2, FALSE)))+('PlayerGrades+'!$Y$52*(VLOOKUP(O348, 'PlayerGrades+'!$X$3:$Y$23, 2, FALSE)))+('PlayerGrades+'!$Y$53*(VLOOKUP(Q348, 'PlayerGrades+'!$X$3:$Y$23, 2, FALSE)))+('PlayerGrades+'!$Y$54*(VLOOKUP(S348, 'PlayerGrades+'!$X$3:$Y$23, 2, FALSE)))+('PlayerGrades+'!$Y$55*(VLOOKUP(U348, 'PlayerGrades+'!$X$3:$Y$23, 2, FALSE)))</f>
        <v>26.55</v>
      </c>
      <c r="D348" s="937">
        <f t="shared" si="1"/>
        <v>0.4225352113</v>
      </c>
      <c r="E348" s="937" t="str">
        <f>IF(D348&lt;'PlayerGrades+'!$AA$21,"F-",IF(D348&lt;'PlayerGrades+'!$AA$20,"F",IF(D348&lt;'PlayerGrades+'!$AA$19,"F+",IF(D348&lt;'PlayerGrades+'!$AA$18,"E-",IF(D348&lt;'PlayerGrades+'!$AA$17,"E",IF(D348&lt;'PlayerGrades+'!$AA$16,"E+",IF(D348&lt;'PlayerGrades+'!$AA$15,"D-",IF(D348&lt;'PlayerGrades+'!$AA$14,"D",IF(D348&lt;'PlayerGrades+'!$AA$13,"D+",IF(D348&lt;'PlayerGrades+'!$AA$12,"C-",IF(D348&lt;'PlayerGrades+'!$AA$11,"C",IF(D348&lt;'PlayerGrades+'!$AA$10,"C+",IF(D348&lt;'PlayerGrades+'!$AA$9,"B-",IF(D348&lt;'PlayerGrades+'!$AA$8,"B",IF(D348&lt;'PlayerGrades+'!$AA$7,"B+",IF(D348&lt;'PlayerGrades+'!$AA$6,"A-",IF(D348&lt;'PlayerGrades+'!$AA$5,"A",IF(D348&lt;'PlayerGrades+'!$AA$4,"A+",IF(D348&lt;'PlayerGrades+'!$AA$3,"S-",IF(D348&lt;'PlayerGrades+'!$AA$2,"S","S+"))))))))))))))))))))</f>
        <v>A+</v>
      </c>
      <c r="F348" s="937">
        <f t="shared" si="2"/>
        <v>0.8450704225</v>
      </c>
      <c r="G348" s="937" t="str">
        <f>IF(F348&lt;'PlayerGrades+'!$AB$21,"F-",IF(F348&lt;'PlayerGrades+'!$AB$20,"F",IF(F348&lt;'PlayerGrades+'!$AB$19,"F+",IF(F348&lt;'PlayerGrades+'!$AB$18,"E-",IF(F348&lt;'PlayerGrades+'!$AB$17,"E",IF(F348&lt;'PlayerGrades+'!$AB$16,"E+",IF(F348&lt;'PlayerGrades+'!$AB$15,"D-",IF(F348&lt;'PlayerGrades+'!$AB$14,"D",IF(F348&lt;'PlayerGrades+'!$AB$13,"D+",IF(F348&lt;'PlayerGrades+'!$AB$12,"C-",IF(F348&lt;'PlayerGrades+'!$AB$11,"C",IF(F348&lt;'PlayerGrades+'!$AB$10,"C+",IF(F348&lt;'PlayerGrades+'!$AB$9,"B-",IF(F348&lt;'PlayerGrades+'!$AB$8,"B",IF(F348&lt;'PlayerGrades+'!$AB$7,"B+",IF(F348&lt;'PlayerGrades+'!$AB$6,"A-",IF(F348&lt;'PlayerGrades+'!$AB$5,"A",IF(F348&lt;'PlayerGrades+'!$AB$4,"A+",IF(F348&lt;'PlayerGrades+'!$AB$3,"S-",IF(F348&lt;'PlayerGrades+'!$AB$2,"S","S+"))))))))))))))))))))</f>
        <v>S</v>
      </c>
      <c r="H348" s="937">
        <f t="shared" si="3"/>
        <v>0</v>
      </c>
      <c r="I348" s="937" t="str">
        <f>IF(H348&lt;'PlayerGrades+'!$AC$21,"F-",IF(H348&lt;'PlayerGrades+'!$AC$20,"F",IF(H348&lt;'PlayerGrades+'!$AC$19,"F+",IF(H348&lt;'PlayerGrades+'!$AC$18,"E-",IF(H348&lt;'PlayerGrades+'!$AC$17,"E",IF(H348&lt;'PlayerGrades+'!$AC$16,"E+",IF(H348&lt;'PlayerGrades+'!$AC$15,"D-",IF(H348&lt;'PlayerGrades+'!$AC$14,"D",IF(H348&lt;'PlayerGrades+'!$AC$13,"D+",IF(H348&lt;'PlayerGrades+'!$AC$12,"C-",IF(H348&lt;'PlayerGrades+'!$AC$11,"C",IF(H348&lt;'PlayerGrades+'!$AC$10,"C+",IF(H348&lt;'PlayerGrades+'!$AC$9,"B-",IF(H348&lt;'PlayerGrades+'!$AC$8,"B",IF(H348&lt;'PlayerGrades+'!$AC$7,"B+",IF(H348&lt;'PlayerGrades+'!$AC$6,"A-",IF(H348&lt;'PlayerGrades+'!$AC$5,"A",IF(H348&lt;'PlayerGrades+'!$AC$4,"A+",IF(H348&lt;'PlayerGrades+'!$AC$3,"S-",IF(H348&lt;'PlayerGrades+'!$AC$2,"S","S+"))))))))))))))))))))</f>
        <v>F-</v>
      </c>
      <c r="J348" s="937">
        <f t="shared" si="4"/>
        <v>0</v>
      </c>
      <c r="K348" s="937" t="str">
        <f>IF(J348&lt;'PlayerGrades+'!$AD$21,"F-",IF(J348&lt;'PlayerGrades+'!$AD$20,"F",IF(J348&lt;'PlayerGrades+'!$AD$19,"F+",IF(J348&lt;'PlayerGrades+'!$AD$18,"E-",IF(J348&lt;'PlayerGrades+'!$AD$17,"E",IF(J348&lt;'PlayerGrades+'!$AD$16,"E+",IF(J348&lt;'PlayerGrades+'!$AD$15,"D-",IF(J348&lt;'PlayerGrades+'!$AD$14,"D",IF(J348&lt;'PlayerGrades+'!$AD$13,"D+",IF(J348&lt;'PlayerGrades+'!$AD$12,"C-",IF(J348&lt;'PlayerGrades+'!$AD$11,"C",IF(J348&lt;'PlayerGrades+'!$AD$10,"C+",IF(J348&lt;'PlayerGrades+'!$AD$9,"B-",IF(J348&lt;'PlayerGrades+'!$AD$8,"B",IF(J348&lt;'PlayerGrades+'!$AD$7,"B+",IF(J348&lt;'PlayerGrades+'!$AD$6,"A-",IF(J348&lt;'PlayerGrades+'!$AD$5,"A",IF(J348&lt;'PlayerGrades+'!$AD$4,"A+",IF(J348&lt;'PlayerGrades+'!$AD$3,"S-",IF(J348&lt;'PlayerGrades+'!$AD$2,"S","S+"))))))))))))))))))))</f>
        <v>F-</v>
      </c>
      <c r="L348" s="677">
        <f t="shared" si="5"/>
        <v>0.5633802817</v>
      </c>
      <c r="M348" s="938" t="str">
        <f>IF(L348&lt;'PlayerGrades+'!$AE$21,"F-",IF(L348&lt;'PlayerGrades+'!$AE$20,"F",IF(L348&lt;'PlayerGrades+'!$AE$19,"F+",IF(L348&lt;'PlayerGrades+'!$AE$18,"E-",IF(L348&lt;'PlayerGrades+'!$AE$17,"E",IF(L348&lt;'PlayerGrades+'!$AE$16,"E+",IF(L348&lt;'PlayerGrades+'!$AE$15,"D-",IF(L348&lt;'PlayerGrades+'!$AE$14,"D",IF(L348&lt;'PlayerGrades+'!$AE$13,"D+",IF(L348&lt;'PlayerGrades+'!$AE$12,"C-",IF(L348&lt;'PlayerGrades+'!$AE$11,"C",IF(L348&lt;'PlayerGrades+'!$AE$10,"C+",IF(L348&lt;'PlayerGrades+'!$AE$9,"B-",IF(L348&lt;'PlayerGrades+'!$AE$8,"B",IF(L348&lt;'PlayerGrades+'!$AE$7,"B+",IF(L348&lt;'PlayerGrades+'!$AE$6,"A-",IF(L348&lt;'PlayerGrades+'!$AE$5,"A",IF(L348&lt;'PlayerGrades+'!$AE$4,"A+",IF(L348&lt;'PlayerGrades+'!$AE$3,"S-",IF(L348&lt;'PlayerGrades+'!$AE$2,"S","S+"))))))))))))))))))))</f>
        <v>A</v>
      </c>
      <c r="N348" s="937">
        <f t="shared" si="6"/>
        <v>0.1408450704</v>
      </c>
      <c r="O348" s="937" t="str">
        <f>IF(N348&lt;'PlayerGrades+'!$AF$21,"F-",IF(N348&lt;'PlayerGrades+'!$AF$20,"F",IF(N348&lt;'PlayerGrades+'!$AF$19,"F+",IF(N348&lt;'PlayerGrades+'!$AF$18,"E-",IF(N348&lt;'PlayerGrades+'!$AF$17,"E",IF(N348&lt;'PlayerGrades+'!$AF$16,"E+",IF(N348&lt;'PlayerGrades+'!$AF$15,"D-",IF(N348&lt;'PlayerGrades+'!$AF$14,"D",IF(N348&lt;'PlayerGrades+'!$AF$13,"D+",IF(N348&lt;'PlayerGrades+'!$AF$12,"C-",IF(N348&lt;'PlayerGrades+'!$AF$11,"C",IF(N348&lt;'PlayerGrades+'!$AF$10,"C+",IF(N348&lt;'PlayerGrades+'!$AF$9,"B-",IF(N348&lt;'PlayerGrades+'!$AF$8,"B",IF(N348&lt;'PlayerGrades+'!$AF$7,"B+",IF(N348&lt;'PlayerGrades+'!$AF$6,"A-",IF(N348&lt;'PlayerGrades+'!$AF$5,"A",IF(N348&lt;'PlayerGrades+'!$AF$4,"A+",IF(N348&lt;'PlayerGrades+'!$AF$3,"S-",IF(N348&lt;'PlayerGrades+'!$AF$2,"S","S+"))))))))))))))))))))</f>
        <v>S</v>
      </c>
      <c r="P348" s="937">
        <f t="shared" si="7"/>
        <v>0</v>
      </c>
      <c r="Q348" s="937" t="str">
        <f>IF(P348&lt;'PlayerGrades+'!$AG$21,"F-",IF(P348&lt;'PlayerGrades+'!$AG$20,"F",IF(P348&lt;'PlayerGrades+'!$AG$19,"F+",IF(P348&lt;'PlayerGrades+'!$AG$18,"E-",IF(P348&lt;'PlayerGrades+'!$AG$17,"E",IF(P348&lt;'PlayerGrades+'!$AG$16,"E+",IF(P348&lt;'PlayerGrades+'!$AG$15,"D-",IF(P348&lt;'PlayerGrades+'!$AG$14,"D",IF(P348&lt;'PlayerGrades+'!$AG$13,"D+",IF(P348&lt;'PlayerGrades+'!$AG$12,"C-",IF(P348&lt;'PlayerGrades+'!$AG$11,"C",IF(P348&lt;'PlayerGrades+'!$AG$10,"C+",IF(P348&lt;'PlayerGrades+'!$AG$9,"B-",IF(P348&lt;'PlayerGrades+'!$AG$8,"B",IF(P348&lt;'PlayerGrades+'!$AG$7,"B+",IF(P348&lt;'PlayerGrades+'!$AG$6,"A-",IF(P348&lt;'PlayerGrades+'!$AG$5,"A",IF(P348&lt;'PlayerGrades+'!$AG$4,"A+",IF(P348&lt;'PlayerGrades+'!$AG$3,"S-",IF(P348&lt;'PlayerGrades+'!$AG$2,"S","S+"))))))))))))))))))))</f>
        <v>F</v>
      </c>
      <c r="R348" s="937">
        <f t="shared" si="8"/>
        <v>2.112676056</v>
      </c>
      <c r="S348" s="937" t="str">
        <f>IF(R348&lt;'PlayerGrades+'!$AH$21,"F-",IF(R348&lt;'PlayerGrades+'!$AH$20,"F",IF(R348&lt;'PlayerGrades+'!$AH$19,"F+",IF(R348&lt;'PlayerGrades+'!$AH$18,"E-",IF(R348&lt;'PlayerGrades+'!$AH$17,"E",IF(R348&lt;'PlayerGrades+'!$AH$16,"E+",IF(R348&lt;'PlayerGrades+'!$AH$15,"D-",IF(R348&lt;'PlayerGrades+'!$AH$14,"D",IF(R348&lt;'PlayerGrades+'!$AH$13,"D+",IF(R348&lt;'PlayerGrades+'!$AH$12,"C-",IF(R348&lt;'PlayerGrades+'!$AH$11,"C",IF(R348&lt;'PlayerGrades+'!$AH$10,"C+",IF(R348&lt;'PlayerGrades+'!$AH$9,"B-",IF(R348&lt;'PlayerGrades+'!$AH$8,"B",IF(R348&lt;'PlayerGrades+'!$AH$7,"B+",IF(R348&lt;'PlayerGrades+'!$AH$6,"A-",IF(R348&lt;'PlayerGrades+'!$AH$5,"A",IF(R348&lt;'PlayerGrades+'!$AH$4,"A+",IF(R348&lt;'PlayerGrades+'!$AH$3,"S-",IF(R348&lt;'PlayerGrades+'!$AH$2,"S","S+"))))))))))))))))))))</f>
        <v>S+</v>
      </c>
      <c r="T348" s="937">
        <f t="shared" si="9"/>
        <v>1.281690141</v>
      </c>
      <c r="U348" s="937" t="str">
        <f>IF(T348&lt;'PlayerGrades+'!$AI$21,"F-",IF(T348&lt;'PlayerGrades+'!$AI$20,"F",IF(T348&lt;'PlayerGrades+'!$AI$19,"F+",IF(T348&lt;'PlayerGrades+'!$AI$18,"E-",IF(T348&lt;'PlayerGrades+'!$AI$17,"E",IF(T348&lt;'PlayerGrades+'!$AI$16,"E+",IF(T348&lt;'PlayerGrades+'!$AI$15,"D-",IF(T348&lt;'PlayerGrades+'!$AI$14,"D",IF(T348&lt;'PlayerGrades+'!$AI$13,"D+",IF(T348&lt;'PlayerGrades+'!$AI$12,"C-",IF(T348&lt;'PlayerGrades+'!$AI$11,"C",IF(T348&lt;'PlayerGrades+'!$AI$10,"C+",IF(T348&lt;'PlayerGrades+'!$AI$9,"B-",IF(T348&lt;'PlayerGrades+'!$AI$8,"B",IF(T348&lt;'PlayerGrades+'!$AI$7,"B+",IF(T348&lt;'PlayerGrades+'!$AI$6,"A-",IF(T348&lt;'PlayerGrades+'!$AI$5,"A",IF(T348&lt;'PlayerGrades+'!$AI$4,"A+",IF(T348&lt;'PlayerGrades+'!$AI$3,"S-",IF(T348&lt;'PlayerGrades+'!$AI$2,"S","S+"))))))))))))))))))))</f>
        <v>C</v>
      </c>
      <c r="V348" s="941">
        <v>1.0</v>
      </c>
      <c r="W348" s="941">
        <v>1.0</v>
      </c>
      <c r="X348" s="941">
        <v>0.0</v>
      </c>
      <c r="Y348" s="941">
        <v>1.0</v>
      </c>
      <c r="Z348" s="941">
        <v>2.0</v>
      </c>
      <c r="AA348" s="941">
        <v>28.0</v>
      </c>
      <c r="AB348" s="941">
        <v>22.0</v>
      </c>
      <c r="AC348" s="941">
        <v>6.0</v>
      </c>
      <c r="AD348" s="941">
        <v>8.0</v>
      </c>
      <c r="AE348" s="941">
        <v>4.0</v>
      </c>
      <c r="AF348" s="941">
        <v>0.0</v>
      </c>
      <c r="AG348" s="941">
        <v>266.0</v>
      </c>
      <c r="AH348" s="941">
        <v>426.0</v>
      </c>
      <c r="AI348" s="941">
        <v>12.0</v>
      </c>
      <c r="AJ348" s="941">
        <v>13.0</v>
      </c>
      <c r="AK348" s="941">
        <v>0.0</v>
      </c>
      <c r="AL348" s="941">
        <v>0.0</v>
      </c>
      <c r="AM348" s="941">
        <v>0.0</v>
      </c>
      <c r="AN348" s="941">
        <v>0.0</v>
      </c>
      <c r="AO348" s="941">
        <v>0.0</v>
      </c>
      <c r="AP348" s="941">
        <v>0.0</v>
      </c>
      <c r="AQ348" s="941">
        <v>0.0</v>
      </c>
      <c r="AR348" s="941">
        <v>4.0</v>
      </c>
      <c r="AS348" s="941">
        <v>1.0</v>
      </c>
      <c r="AT348" s="941">
        <v>0.0</v>
      </c>
      <c r="AU348" s="941">
        <v>0.0</v>
      </c>
      <c r="AV348" s="941">
        <v>0.0</v>
      </c>
      <c r="AW348" s="941">
        <v>0.0</v>
      </c>
      <c r="AX348" s="941">
        <v>0.0</v>
      </c>
      <c r="AY348" s="941">
        <v>0.0</v>
      </c>
      <c r="AZ348" s="941">
        <v>0.0</v>
      </c>
      <c r="BA348" s="941">
        <v>0.0</v>
      </c>
      <c r="BB348" s="941">
        <v>0.0</v>
      </c>
      <c r="BC348" s="941">
        <v>0.0</v>
      </c>
      <c r="BD348" s="941">
        <v>7.0</v>
      </c>
      <c r="BE348" s="941">
        <v>2.0</v>
      </c>
      <c r="BF348" s="941">
        <v>1.0</v>
      </c>
      <c r="BG348" s="942">
        <v>0.0</v>
      </c>
    </row>
    <row r="349">
      <c r="A349" s="935" t="s">
        <v>159</v>
      </c>
      <c r="B349" s="16" t="str">
        <f>IF(C349&lt;'PlayerGrades+'!$Y$44,"F-",IF(C349&lt;'PlayerGrades+'!$Y$43,"F",IF(C349&lt;'PlayerGrades+'!$Y$42,"F+",IF(C349&lt;'PlayerGrades+'!$Y$41,"E-",IF(C349&lt;'PlayerGrades+'!$Y$40,"E",IF(C349&lt;'PlayerGrades+'!$Y$39,"E+",IF(C349&lt;'PlayerGrades+'!$Y$38,"D-",IF(C349&lt;'PlayerGrades+'!$Y$37,"D",IF(C349&lt;'PlayerGrades+'!$Y$36,"D+",IF(C349&lt;'PlayerGrades+'!$Y$35,"C-",IF(C349&lt;'PlayerGrades+'!$Y$34,"C",IF(C349&lt;'PlayerGrades+'!$Y$33,"C+",IF(C349&lt;'PlayerGrades+'!$Y$32,"B-",IF(C349&lt;'PlayerGrades+'!$Y$31,"B",IF(C349&lt;'PlayerGrades+'!$Y$30,"B+",IF(C349&lt;'PlayerGrades+'!$Y$29,"A-",IF(C349&lt;'PlayerGrades+'!$Y$28,"A",IF(C349&lt;'PlayerGrades+'!$Y$27,"A+",IF(C349&lt;'PlayerGrades+'!$Y$26,"S-",IF(C349&lt;'PlayerGrades+'!$Y$25,"S","S+"))))))))))))))))))))</f>
        <v>F-</v>
      </c>
      <c r="C349" s="936">
        <f>('PlayerGrades+'!$Y$47*(VLOOKUP(E349, 'PlayerGrades+'!$X$3:$Y$23, 2, FALSE)))+('PlayerGrades+'!$Y$48*(VLOOKUP(G349, 'PlayerGrades+'!$X$3:$Y$23, 2, FALSE)))+('PlayerGrades+'!$Y$49*(VLOOKUP(I349, 'PlayerGrades+'!$X$3:$Y$23, 2, FALSE)))+('PlayerGrades+'!$Y$50*(VLOOKUP(K349, 'PlayerGrades+'!$X$3:$Y$23, 2, FALSE)))+('PlayerGrades+'!$Y$51*(VLOOKUP(M349, 'PlayerGrades+'!$X$3:$Y$23, 2, FALSE)))+('PlayerGrades+'!$Y$52*(VLOOKUP(O349, 'PlayerGrades+'!$X$3:$Y$23, 2, FALSE)))+('PlayerGrades+'!$Y$53*(VLOOKUP(Q349, 'PlayerGrades+'!$X$3:$Y$23, 2, FALSE)))+('PlayerGrades+'!$Y$54*(VLOOKUP(S349, 'PlayerGrades+'!$X$3:$Y$23, 2, FALSE)))+('PlayerGrades+'!$Y$55*(VLOOKUP(U349, 'PlayerGrades+'!$X$3:$Y$23, 2, FALSE)))</f>
        <v>8.2</v>
      </c>
      <c r="D349" s="937">
        <f t="shared" si="1"/>
        <v>0</v>
      </c>
      <c r="E349" s="937" t="str">
        <f>IF(D349&lt;'PlayerGrades+'!$AA$21,"F-",IF(D349&lt;'PlayerGrades+'!$AA$20,"F",IF(D349&lt;'PlayerGrades+'!$AA$19,"F+",IF(D349&lt;'PlayerGrades+'!$AA$18,"E-",IF(D349&lt;'PlayerGrades+'!$AA$17,"E",IF(D349&lt;'PlayerGrades+'!$AA$16,"E+",IF(D349&lt;'PlayerGrades+'!$AA$15,"D-",IF(D349&lt;'PlayerGrades+'!$AA$14,"D",IF(D349&lt;'PlayerGrades+'!$AA$13,"D+",IF(D349&lt;'PlayerGrades+'!$AA$12,"C-",IF(D349&lt;'PlayerGrades+'!$AA$11,"C",IF(D349&lt;'PlayerGrades+'!$AA$10,"C+",IF(D349&lt;'PlayerGrades+'!$AA$9,"B-",IF(D349&lt;'PlayerGrades+'!$AA$8,"B",IF(D349&lt;'PlayerGrades+'!$AA$7,"B+",IF(D349&lt;'PlayerGrades+'!$AA$6,"A-",IF(D349&lt;'PlayerGrades+'!$AA$5,"A",IF(D349&lt;'PlayerGrades+'!$AA$4,"A+",IF(D349&lt;'PlayerGrades+'!$AA$3,"S-",IF(D349&lt;'PlayerGrades+'!$AA$2,"S","S+"))))))))))))))))))))</f>
        <v>F-</v>
      </c>
      <c r="F349" s="937">
        <f t="shared" si="2"/>
        <v>-0.2816901408</v>
      </c>
      <c r="G349" s="937" t="str">
        <f>IF(F349&lt;'PlayerGrades+'!$AB$21,"F-",IF(F349&lt;'PlayerGrades+'!$AB$20,"F",IF(F349&lt;'PlayerGrades+'!$AB$19,"F+",IF(F349&lt;'PlayerGrades+'!$AB$18,"E-",IF(F349&lt;'PlayerGrades+'!$AB$17,"E",IF(F349&lt;'PlayerGrades+'!$AB$16,"E+",IF(F349&lt;'PlayerGrades+'!$AB$15,"D-",IF(F349&lt;'PlayerGrades+'!$AB$14,"D",IF(F349&lt;'PlayerGrades+'!$AB$13,"D+",IF(F349&lt;'PlayerGrades+'!$AB$12,"C-",IF(F349&lt;'PlayerGrades+'!$AB$11,"C",IF(F349&lt;'PlayerGrades+'!$AB$10,"C+",IF(F349&lt;'PlayerGrades+'!$AB$9,"B-",IF(F349&lt;'PlayerGrades+'!$AB$8,"B",IF(F349&lt;'PlayerGrades+'!$AB$7,"B+",IF(F349&lt;'PlayerGrades+'!$AB$6,"A-",IF(F349&lt;'PlayerGrades+'!$AB$5,"A",IF(F349&lt;'PlayerGrades+'!$AB$4,"A+",IF(F349&lt;'PlayerGrades+'!$AB$3,"S-",IF(F349&lt;'PlayerGrades+'!$AB$2,"S","S+"))))))))))))))))))))</f>
        <v>C</v>
      </c>
      <c r="H349" s="937">
        <f t="shared" si="3"/>
        <v>0</v>
      </c>
      <c r="I349" s="937" t="str">
        <f>IF(H349&lt;'PlayerGrades+'!$AC$21,"F-",IF(H349&lt;'PlayerGrades+'!$AC$20,"F",IF(H349&lt;'PlayerGrades+'!$AC$19,"F+",IF(H349&lt;'PlayerGrades+'!$AC$18,"E-",IF(H349&lt;'PlayerGrades+'!$AC$17,"E",IF(H349&lt;'PlayerGrades+'!$AC$16,"E+",IF(H349&lt;'PlayerGrades+'!$AC$15,"D-",IF(H349&lt;'PlayerGrades+'!$AC$14,"D",IF(H349&lt;'PlayerGrades+'!$AC$13,"D+",IF(H349&lt;'PlayerGrades+'!$AC$12,"C-",IF(H349&lt;'PlayerGrades+'!$AC$11,"C",IF(H349&lt;'PlayerGrades+'!$AC$10,"C+",IF(H349&lt;'PlayerGrades+'!$AC$9,"B-",IF(H349&lt;'PlayerGrades+'!$AC$8,"B",IF(H349&lt;'PlayerGrades+'!$AC$7,"B+",IF(H349&lt;'PlayerGrades+'!$AC$6,"A-",IF(H349&lt;'PlayerGrades+'!$AC$5,"A",IF(H349&lt;'PlayerGrades+'!$AC$4,"A+",IF(H349&lt;'PlayerGrades+'!$AC$3,"S-",IF(H349&lt;'PlayerGrades+'!$AC$2,"S","S+"))))))))))))))))))))</f>
        <v>F-</v>
      </c>
      <c r="J349" s="937">
        <f t="shared" si="4"/>
        <v>0</v>
      </c>
      <c r="K349" s="937" t="str">
        <f>IF(J349&lt;'PlayerGrades+'!$AD$21,"F-",IF(J349&lt;'PlayerGrades+'!$AD$20,"F",IF(J349&lt;'PlayerGrades+'!$AD$19,"F+",IF(J349&lt;'PlayerGrades+'!$AD$18,"E-",IF(J349&lt;'PlayerGrades+'!$AD$17,"E",IF(J349&lt;'PlayerGrades+'!$AD$16,"E+",IF(J349&lt;'PlayerGrades+'!$AD$15,"D-",IF(J349&lt;'PlayerGrades+'!$AD$14,"D",IF(J349&lt;'PlayerGrades+'!$AD$13,"D+",IF(J349&lt;'PlayerGrades+'!$AD$12,"C-",IF(J349&lt;'PlayerGrades+'!$AD$11,"C",IF(J349&lt;'PlayerGrades+'!$AD$10,"C+",IF(J349&lt;'PlayerGrades+'!$AD$9,"B-",IF(J349&lt;'PlayerGrades+'!$AD$8,"B",IF(J349&lt;'PlayerGrades+'!$AD$7,"B+",IF(J349&lt;'PlayerGrades+'!$AD$6,"A-",IF(J349&lt;'PlayerGrades+'!$AD$5,"A",IF(J349&lt;'PlayerGrades+'!$AD$4,"A+",IF(J349&lt;'PlayerGrades+'!$AD$3,"S-",IF(J349&lt;'PlayerGrades+'!$AD$2,"S","S+"))))))))))))))))))))</f>
        <v>F-</v>
      </c>
      <c r="L349" s="677">
        <f t="shared" si="5"/>
        <v>0.4225352113</v>
      </c>
      <c r="M349" s="938" t="str">
        <f>IF(L349&lt;'PlayerGrades+'!$AE$21,"F-",IF(L349&lt;'PlayerGrades+'!$AE$20,"F",IF(L349&lt;'PlayerGrades+'!$AE$19,"F+",IF(L349&lt;'PlayerGrades+'!$AE$18,"E-",IF(L349&lt;'PlayerGrades+'!$AE$17,"E",IF(L349&lt;'PlayerGrades+'!$AE$16,"E+",IF(L349&lt;'PlayerGrades+'!$AE$15,"D-",IF(L349&lt;'PlayerGrades+'!$AE$14,"D",IF(L349&lt;'PlayerGrades+'!$AE$13,"D+",IF(L349&lt;'PlayerGrades+'!$AE$12,"C-",IF(L349&lt;'PlayerGrades+'!$AE$11,"C",IF(L349&lt;'PlayerGrades+'!$AE$10,"C+",IF(L349&lt;'PlayerGrades+'!$AE$9,"B-",IF(L349&lt;'PlayerGrades+'!$AE$8,"B",IF(L349&lt;'PlayerGrades+'!$AE$7,"B+",IF(L349&lt;'PlayerGrades+'!$AE$6,"A-",IF(L349&lt;'PlayerGrades+'!$AE$5,"A",IF(L349&lt;'PlayerGrades+'!$AE$4,"A+",IF(L349&lt;'PlayerGrades+'!$AE$3,"S-",IF(L349&lt;'PlayerGrades+'!$AE$2,"S","S+"))))))))))))))))))))</f>
        <v>C+</v>
      </c>
      <c r="N349" s="937">
        <f t="shared" si="6"/>
        <v>0</v>
      </c>
      <c r="O349" s="937" t="str">
        <f>IF(N349&lt;'PlayerGrades+'!$AF$21,"F-",IF(N349&lt;'PlayerGrades+'!$AF$20,"F",IF(N349&lt;'PlayerGrades+'!$AF$19,"F+",IF(N349&lt;'PlayerGrades+'!$AF$18,"E-",IF(N349&lt;'PlayerGrades+'!$AF$17,"E",IF(N349&lt;'PlayerGrades+'!$AF$16,"E+",IF(N349&lt;'PlayerGrades+'!$AF$15,"D-",IF(N349&lt;'PlayerGrades+'!$AF$14,"D",IF(N349&lt;'PlayerGrades+'!$AF$13,"D+",IF(N349&lt;'PlayerGrades+'!$AF$12,"C-",IF(N349&lt;'PlayerGrades+'!$AF$11,"C",IF(N349&lt;'PlayerGrades+'!$AF$10,"C+",IF(N349&lt;'PlayerGrades+'!$AF$9,"B-",IF(N349&lt;'PlayerGrades+'!$AF$8,"B",IF(N349&lt;'PlayerGrades+'!$AF$7,"B+",IF(N349&lt;'PlayerGrades+'!$AF$6,"A-",IF(N349&lt;'PlayerGrades+'!$AF$5,"A",IF(N349&lt;'PlayerGrades+'!$AF$4,"A+",IF(N349&lt;'PlayerGrades+'!$AF$3,"S-",IF(N349&lt;'PlayerGrades+'!$AF$2,"S","S+"))))))))))))))))))))</f>
        <v>F-</v>
      </c>
      <c r="P349" s="937">
        <f t="shared" si="7"/>
        <v>0</v>
      </c>
      <c r="Q349" s="937" t="str">
        <f>IF(P349&lt;'PlayerGrades+'!$AG$21,"F-",IF(P349&lt;'PlayerGrades+'!$AG$20,"F",IF(P349&lt;'PlayerGrades+'!$AG$19,"F+",IF(P349&lt;'PlayerGrades+'!$AG$18,"E-",IF(P349&lt;'PlayerGrades+'!$AG$17,"E",IF(P349&lt;'PlayerGrades+'!$AG$16,"E+",IF(P349&lt;'PlayerGrades+'!$AG$15,"D-",IF(P349&lt;'PlayerGrades+'!$AG$14,"D",IF(P349&lt;'PlayerGrades+'!$AG$13,"D+",IF(P349&lt;'PlayerGrades+'!$AG$12,"C-",IF(P349&lt;'PlayerGrades+'!$AG$11,"C",IF(P349&lt;'PlayerGrades+'!$AG$10,"C+",IF(P349&lt;'PlayerGrades+'!$AG$9,"B-",IF(P349&lt;'PlayerGrades+'!$AG$8,"B",IF(P349&lt;'PlayerGrades+'!$AG$7,"B+",IF(P349&lt;'PlayerGrades+'!$AG$6,"A-",IF(P349&lt;'PlayerGrades+'!$AG$5,"A",IF(P349&lt;'PlayerGrades+'!$AG$4,"A+",IF(P349&lt;'PlayerGrades+'!$AG$3,"S-",IF(P349&lt;'PlayerGrades+'!$AG$2,"S","S+"))))))))))))))))))))</f>
        <v>F</v>
      </c>
      <c r="R349" s="937">
        <f t="shared" si="8"/>
        <v>0.2816901408</v>
      </c>
      <c r="S349" s="937" t="str">
        <f>IF(R349&lt;'PlayerGrades+'!$AH$21,"F-",IF(R349&lt;'PlayerGrades+'!$AH$20,"F",IF(R349&lt;'PlayerGrades+'!$AH$19,"F+",IF(R349&lt;'PlayerGrades+'!$AH$18,"E-",IF(R349&lt;'PlayerGrades+'!$AH$17,"E",IF(R349&lt;'PlayerGrades+'!$AH$16,"E+",IF(R349&lt;'PlayerGrades+'!$AH$15,"D-",IF(R349&lt;'PlayerGrades+'!$AH$14,"D",IF(R349&lt;'PlayerGrades+'!$AH$13,"D+",IF(R349&lt;'PlayerGrades+'!$AH$12,"C-",IF(R349&lt;'PlayerGrades+'!$AH$11,"C",IF(R349&lt;'PlayerGrades+'!$AH$10,"C+",IF(R349&lt;'PlayerGrades+'!$AH$9,"B-",IF(R349&lt;'PlayerGrades+'!$AH$8,"B",IF(R349&lt;'PlayerGrades+'!$AH$7,"B+",IF(R349&lt;'PlayerGrades+'!$AH$6,"A-",IF(R349&lt;'PlayerGrades+'!$AH$5,"A",IF(R349&lt;'PlayerGrades+'!$AH$4,"A+",IF(R349&lt;'PlayerGrades+'!$AH$3,"S-",IF(R349&lt;'PlayerGrades+'!$AH$2,"S","S+"))))))))))))))))))))</f>
        <v>F-</v>
      </c>
      <c r="T349" s="937">
        <f t="shared" si="9"/>
        <v>0.5633802817</v>
      </c>
      <c r="U349" s="937" t="str">
        <f>IF(T349&lt;'PlayerGrades+'!$AI$21,"F-",IF(T349&lt;'PlayerGrades+'!$AI$20,"F",IF(T349&lt;'PlayerGrades+'!$AI$19,"F+",IF(T349&lt;'PlayerGrades+'!$AI$18,"E-",IF(T349&lt;'PlayerGrades+'!$AI$17,"E",IF(T349&lt;'PlayerGrades+'!$AI$16,"E+",IF(T349&lt;'PlayerGrades+'!$AI$15,"D-",IF(T349&lt;'PlayerGrades+'!$AI$14,"D",IF(T349&lt;'PlayerGrades+'!$AI$13,"D+",IF(T349&lt;'PlayerGrades+'!$AI$12,"C-",IF(T349&lt;'PlayerGrades+'!$AI$11,"C",IF(T349&lt;'PlayerGrades+'!$AI$10,"C+",IF(T349&lt;'PlayerGrades+'!$AI$9,"B-",IF(T349&lt;'PlayerGrades+'!$AI$8,"B",IF(T349&lt;'PlayerGrades+'!$AI$7,"B+",IF(T349&lt;'PlayerGrades+'!$AI$6,"A-",IF(T349&lt;'PlayerGrades+'!$AI$5,"A",IF(T349&lt;'PlayerGrades+'!$AI$4,"A+",IF(T349&lt;'PlayerGrades+'!$AI$3,"S-",IF(T349&lt;'PlayerGrades+'!$AI$2,"S","S+"))))))))))))))))))))</f>
        <v>F-</v>
      </c>
      <c r="V349" s="941">
        <v>1.0</v>
      </c>
      <c r="W349" s="941">
        <v>1.0</v>
      </c>
      <c r="X349" s="941">
        <v>0.0</v>
      </c>
      <c r="Y349" s="941">
        <v>0.0</v>
      </c>
      <c r="Z349" s="941">
        <v>0.0</v>
      </c>
      <c r="AA349" s="941">
        <v>23.0</v>
      </c>
      <c r="AB349" s="941">
        <v>25.0</v>
      </c>
      <c r="AC349" s="941">
        <v>-2.0</v>
      </c>
      <c r="AD349" s="941">
        <v>1.0</v>
      </c>
      <c r="AE349" s="941">
        <v>3.0</v>
      </c>
      <c r="AF349" s="941">
        <v>0.0</v>
      </c>
      <c r="AG349" s="941">
        <v>249.0</v>
      </c>
      <c r="AH349" s="941">
        <v>426.0</v>
      </c>
      <c r="AI349" s="941">
        <v>9.0</v>
      </c>
      <c r="AJ349" s="941">
        <v>2.0</v>
      </c>
      <c r="AK349" s="941">
        <v>0.0</v>
      </c>
      <c r="AL349" s="941">
        <v>0.0</v>
      </c>
      <c r="AM349" s="941">
        <v>0.0</v>
      </c>
      <c r="AN349" s="941">
        <v>0.0</v>
      </c>
      <c r="AO349" s="941">
        <v>0.0</v>
      </c>
      <c r="AP349" s="941">
        <v>0.0</v>
      </c>
      <c r="AQ349" s="941">
        <v>0.0</v>
      </c>
      <c r="AR349" s="941">
        <v>3.0</v>
      </c>
      <c r="AS349" s="941">
        <v>0.0</v>
      </c>
      <c r="AT349" s="941">
        <v>0.0</v>
      </c>
      <c r="AU349" s="941">
        <v>0.0</v>
      </c>
      <c r="AV349" s="941">
        <v>0.0</v>
      </c>
      <c r="AW349" s="941">
        <v>0.0</v>
      </c>
      <c r="AX349" s="941">
        <v>0.0</v>
      </c>
      <c r="AY349" s="941">
        <v>0.0</v>
      </c>
      <c r="AZ349" s="941">
        <v>0.0</v>
      </c>
      <c r="BA349" s="941">
        <v>0.0</v>
      </c>
      <c r="BB349" s="941">
        <v>0.0</v>
      </c>
      <c r="BC349" s="941">
        <v>0.0</v>
      </c>
      <c r="BD349" s="941">
        <v>1.0</v>
      </c>
      <c r="BE349" s="941">
        <v>4.0</v>
      </c>
      <c r="BF349" s="941">
        <v>0.0</v>
      </c>
      <c r="BG349" s="942">
        <v>0.0</v>
      </c>
    </row>
    <row r="350">
      <c r="A350" s="935" t="s">
        <v>119</v>
      </c>
      <c r="B350" s="16" t="str">
        <f>IF(C350&lt;'PlayerGrades+'!$Y$44,"F-",IF(C350&lt;'PlayerGrades+'!$Y$43,"F",IF(C350&lt;'PlayerGrades+'!$Y$42,"F+",IF(C350&lt;'PlayerGrades+'!$Y$41,"E-",IF(C350&lt;'PlayerGrades+'!$Y$40,"E",IF(C350&lt;'PlayerGrades+'!$Y$39,"E+",IF(C350&lt;'PlayerGrades+'!$Y$38,"D-",IF(C350&lt;'PlayerGrades+'!$Y$37,"D",IF(C350&lt;'PlayerGrades+'!$Y$36,"D+",IF(C350&lt;'PlayerGrades+'!$Y$35,"C-",IF(C350&lt;'PlayerGrades+'!$Y$34,"C",IF(C350&lt;'PlayerGrades+'!$Y$33,"C+",IF(C350&lt;'PlayerGrades+'!$Y$32,"B-",IF(C350&lt;'PlayerGrades+'!$Y$31,"B",IF(C350&lt;'PlayerGrades+'!$Y$30,"B+",IF(C350&lt;'PlayerGrades+'!$Y$29,"A-",IF(C350&lt;'PlayerGrades+'!$Y$28,"A",IF(C350&lt;'PlayerGrades+'!$Y$27,"A+",IF(C350&lt;'PlayerGrades+'!$Y$26,"S-",IF(C350&lt;'PlayerGrades+'!$Y$25,"S","S+"))))))))))))))))))))</f>
        <v>C+</v>
      </c>
      <c r="C350" s="936">
        <f>('PlayerGrades+'!$Y$47*(VLOOKUP(E350, 'PlayerGrades+'!$X$3:$Y$23, 2, FALSE)))+('PlayerGrades+'!$Y$48*(VLOOKUP(G350, 'PlayerGrades+'!$X$3:$Y$23, 2, FALSE)))+('PlayerGrades+'!$Y$49*(VLOOKUP(I350, 'PlayerGrades+'!$X$3:$Y$23, 2, FALSE)))+('PlayerGrades+'!$Y$50*(VLOOKUP(K350, 'PlayerGrades+'!$X$3:$Y$23, 2, FALSE)))+('PlayerGrades+'!$Y$51*(VLOOKUP(M350, 'PlayerGrades+'!$X$3:$Y$23, 2, FALSE)))+('PlayerGrades+'!$Y$52*(VLOOKUP(O350, 'PlayerGrades+'!$X$3:$Y$23, 2, FALSE)))+('PlayerGrades+'!$Y$53*(VLOOKUP(Q350, 'PlayerGrades+'!$X$3:$Y$23, 2, FALSE)))+('PlayerGrades+'!$Y$54*(VLOOKUP(S350, 'PlayerGrades+'!$X$3:$Y$23, 2, FALSE)))+('PlayerGrades+'!$Y$55*(VLOOKUP(U350, 'PlayerGrades+'!$X$3:$Y$23, 2, FALSE)))</f>
        <v>20.6</v>
      </c>
      <c r="D350" s="937">
        <f t="shared" si="1"/>
        <v>0.985915493</v>
      </c>
      <c r="E350" s="937" t="str">
        <f>IF(D350&lt;'PlayerGrades+'!$AA$21,"F-",IF(D350&lt;'PlayerGrades+'!$AA$20,"F",IF(D350&lt;'PlayerGrades+'!$AA$19,"F+",IF(D350&lt;'PlayerGrades+'!$AA$18,"E-",IF(D350&lt;'PlayerGrades+'!$AA$17,"E",IF(D350&lt;'PlayerGrades+'!$AA$16,"E+",IF(D350&lt;'PlayerGrades+'!$AA$15,"D-",IF(D350&lt;'PlayerGrades+'!$AA$14,"D",IF(D350&lt;'PlayerGrades+'!$AA$13,"D+",IF(D350&lt;'PlayerGrades+'!$AA$12,"C-",IF(D350&lt;'PlayerGrades+'!$AA$11,"C",IF(D350&lt;'PlayerGrades+'!$AA$10,"C+",IF(D350&lt;'PlayerGrades+'!$AA$9,"B-",IF(D350&lt;'PlayerGrades+'!$AA$8,"B",IF(D350&lt;'PlayerGrades+'!$AA$7,"B+",IF(D350&lt;'PlayerGrades+'!$AA$6,"A-",IF(D350&lt;'PlayerGrades+'!$AA$5,"A",IF(D350&lt;'PlayerGrades+'!$AA$4,"A+",IF(D350&lt;'PlayerGrades+'!$AA$3,"S-",IF(D350&lt;'PlayerGrades+'!$AA$2,"S","S+"))))))))))))))))))))</f>
        <v>S+</v>
      </c>
      <c r="F350" s="937">
        <f t="shared" si="2"/>
        <v>0.1408450704</v>
      </c>
      <c r="G350" s="937" t="str">
        <f>IF(F350&lt;'PlayerGrades+'!$AB$21,"F-",IF(F350&lt;'PlayerGrades+'!$AB$20,"F",IF(F350&lt;'PlayerGrades+'!$AB$19,"F+",IF(F350&lt;'PlayerGrades+'!$AB$18,"E-",IF(F350&lt;'PlayerGrades+'!$AB$17,"E",IF(F350&lt;'PlayerGrades+'!$AB$16,"E+",IF(F350&lt;'PlayerGrades+'!$AB$15,"D-",IF(F350&lt;'PlayerGrades+'!$AB$14,"D",IF(F350&lt;'PlayerGrades+'!$AB$13,"D+",IF(F350&lt;'PlayerGrades+'!$AB$12,"C-",IF(F350&lt;'PlayerGrades+'!$AB$11,"C",IF(F350&lt;'PlayerGrades+'!$AB$10,"C+",IF(F350&lt;'PlayerGrades+'!$AB$9,"B-",IF(F350&lt;'PlayerGrades+'!$AB$8,"B",IF(F350&lt;'PlayerGrades+'!$AB$7,"B+",IF(F350&lt;'PlayerGrades+'!$AB$6,"A-",IF(F350&lt;'PlayerGrades+'!$AB$5,"A",IF(F350&lt;'PlayerGrades+'!$AB$4,"A+",IF(F350&lt;'PlayerGrades+'!$AB$3,"S-",IF(F350&lt;'PlayerGrades+'!$AB$2,"S","S+"))))))))))))))))))))</f>
        <v>B+</v>
      </c>
      <c r="H350" s="937">
        <f t="shared" si="3"/>
        <v>0</v>
      </c>
      <c r="I350" s="937" t="str">
        <f>IF(H350&lt;'PlayerGrades+'!$AC$21,"F-",IF(H350&lt;'PlayerGrades+'!$AC$20,"F",IF(H350&lt;'PlayerGrades+'!$AC$19,"F+",IF(H350&lt;'PlayerGrades+'!$AC$18,"E-",IF(H350&lt;'PlayerGrades+'!$AC$17,"E",IF(H350&lt;'PlayerGrades+'!$AC$16,"E+",IF(H350&lt;'PlayerGrades+'!$AC$15,"D-",IF(H350&lt;'PlayerGrades+'!$AC$14,"D",IF(H350&lt;'PlayerGrades+'!$AC$13,"D+",IF(H350&lt;'PlayerGrades+'!$AC$12,"C-",IF(H350&lt;'PlayerGrades+'!$AC$11,"C",IF(H350&lt;'PlayerGrades+'!$AC$10,"C+",IF(H350&lt;'PlayerGrades+'!$AC$9,"B-",IF(H350&lt;'PlayerGrades+'!$AC$8,"B",IF(H350&lt;'PlayerGrades+'!$AC$7,"B+",IF(H350&lt;'PlayerGrades+'!$AC$6,"A-",IF(H350&lt;'PlayerGrades+'!$AC$5,"A",IF(H350&lt;'PlayerGrades+'!$AC$4,"A+",IF(H350&lt;'PlayerGrades+'!$AC$3,"S-",IF(H350&lt;'PlayerGrades+'!$AC$2,"S","S+"))))))))))))))))))))</f>
        <v>F-</v>
      </c>
      <c r="J350" s="937">
        <f t="shared" si="4"/>
        <v>0</v>
      </c>
      <c r="K350" s="937" t="str">
        <f>IF(J350&lt;'PlayerGrades+'!$AD$21,"F-",IF(J350&lt;'PlayerGrades+'!$AD$20,"F",IF(J350&lt;'PlayerGrades+'!$AD$19,"F+",IF(J350&lt;'PlayerGrades+'!$AD$18,"E-",IF(J350&lt;'PlayerGrades+'!$AD$17,"E",IF(J350&lt;'PlayerGrades+'!$AD$16,"E+",IF(J350&lt;'PlayerGrades+'!$AD$15,"D-",IF(J350&lt;'PlayerGrades+'!$AD$14,"D",IF(J350&lt;'PlayerGrades+'!$AD$13,"D+",IF(J350&lt;'PlayerGrades+'!$AD$12,"C-",IF(J350&lt;'PlayerGrades+'!$AD$11,"C",IF(J350&lt;'PlayerGrades+'!$AD$10,"C+",IF(J350&lt;'PlayerGrades+'!$AD$9,"B-",IF(J350&lt;'PlayerGrades+'!$AD$8,"B",IF(J350&lt;'PlayerGrades+'!$AD$7,"B+",IF(J350&lt;'PlayerGrades+'!$AD$6,"A-",IF(J350&lt;'PlayerGrades+'!$AD$5,"A",IF(J350&lt;'PlayerGrades+'!$AD$4,"A+",IF(J350&lt;'PlayerGrades+'!$AD$3,"S-",IF(J350&lt;'PlayerGrades+'!$AD$2,"S","S+"))))))))))))))))))))</f>
        <v>F-</v>
      </c>
      <c r="L350" s="677">
        <f t="shared" si="5"/>
        <v>0.5633802817</v>
      </c>
      <c r="M350" s="938" t="str">
        <f>IF(L350&lt;'PlayerGrades+'!$AE$21,"F-",IF(L350&lt;'PlayerGrades+'!$AE$20,"F",IF(L350&lt;'PlayerGrades+'!$AE$19,"F+",IF(L350&lt;'PlayerGrades+'!$AE$18,"E-",IF(L350&lt;'PlayerGrades+'!$AE$17,"E",IF(L350&lt;'PlayerGrades+'!$AE$16,"E+",IF(L350&lt;'PlayerGrades+'!$AE$15,"D-",IF(L350&lt;'PlayerGrades+'!$AE$14,"D",IF(L350&lt;'PlayerGrades+'!$AE$13,"D+",IF(L350&lt;'PlayerGrades+'!$AE$12,"C-",IF(L350&lt;'PlayerGrades+'!$AE$11,"C",IF(L350&lt;'PlayerGrades+'!$AE$10,"C+",IF(L350&lt;'PlayerGrades+'!$AE$9,"B-",IF(L350&lt;'PlayerGrades+'!$AE$8,"B",IF(L350&lt;'PlayerGrades+'!$AE$7,"B+",IF(L350&lt;'PlayerGrades+'!$AE$6,"A-",IF(L350&lt;'PlayerGrades+'!$AE$5,"A",IF(L350&lt;'PlayerGrades+'!$AE$4,"A+",IF(L350&lt;'PlayerGrades+'!$AE$3,"S-",IF(L350&lt;'PlayerGrades+'!$AE$2,"S","S+"))))))))))))))))))))</f>
        <v>A</v>
      </c>
      <c r="N350" s="937">
        <f t="shared" si="6"/>
        <v>0</v>
      </c>
      <c r="O350" s="937" t="str">
        <f>IF(N350&lt;'PlayerGrades+'!$AF$21,"F-",IF(N350&lt;'PlayerGrades+'!$AF$20,"F",IF(N350&lt;'PlayerGrades+'!$AF$19,"F+",IF(N350&lt;'PlayerGrades+'!$AF$18,"E-",IF(N350&lt;'PlayerGrades+'!$AF$17,"E",IF(N350&lt;'PlayerGrades+'!$AF$16,"E+",IF(N350&lt;'PlayerGrades+'!$AF$15,"D-",IF(N350&lt;'PlayerGrades+'!$AF$14,"D",IF(N350&lt;'PlayerGrades+'!$AF$13,"D+",IF(N350&lt;'PlayerGrades+'!$AF$12,"C-",IF(N350&lt;'PlayerGrades+'!$AF$11,"C",IF(N350&lt;'PlayerGrades+'!$AF$10,"C+",IF(N350&lt;'PlayerGrades+'!$AF$9,"B-",IF(N350&lt;'PlayerGrades+'!$AF$8,"B",IF(N350&lt;'PlayerGrades+'!$AF$7,"B+",IF(N350&lt;'PlayerGrades+'!$AF$6,"A-",IF(N350&lt;'PlayerGrades+'!$AF$5,"A",IF(N350&lt;'PlayerGrades+'!$AF$4,"A+",IF(N350&lt;'PlayerGrades+'!$AF$3,"S-",IF(N350&lt;'PlayerGrades+'!$AF$2,"S","S+"))))))))))))))))))))</f>
        <v>F-</v>
      </c>
      <c r="P350" s="937">
        <f t="shared" si="7"/>
        <v>0</v>
      </c>
      <c r="Q350" s="937" t="str">
        <f>IF(P350&lt;'PlayerGrades+'!$AG$21,"F-",IF(P350&lt;'PlayerGrades+'!$AG$20,"F",IF(P350&lt;'PlayerGrades+'!$AG$19,"F+",IF(P350&lt;'PlayerGrades+'!$AG$18,"E-",IF(P350&lt;'PlayerGrades+'!$AG$17,"E",IF(P350&lt;'PlayerGrades+'!$AG$16,"E+",IF(P350&lt;'PlayerGrades+'!$AG$15,"D-",IF(P350&lt;'PlayerGrades+'!$AG$14,"D",IF(P350&lt;'PlayerGrades+'!$AG$13,"D+",IF(P350&lt;'PlayerGrades+'!$AG$12,"C-",IF(P350&lt;'PlayerGrades+'!$AG$11,"C",IF(P350&lt;'PlayerGrades+'!$AG$10,"C+",IF(P350&lt;'PlayerGrades+'!$AG$9,"B-",IF(P350&lt;'PlayerGrades+'!$AG$8,"B",IF(P350&lt;'PlayerGrades+'!$AG$7,"B+",IF(P350&lt;'PlayerGrades+'!$AG$6,"A-",IF(P350&lt;'PlayerGrades+'!$AG$5,"A",IF(P350&lt;'PlayerGrades+'!$AG$4,"A+",IF(P350&lt;'PlayerGrades+'!$AG$3,"S-",IF(P350&lt;'PlayerGrades+'!$AG$2,"S","S+"))))))))))))))))))))</f>
        <v>F</v>
      </c>
      <c r="R350" s="937">
        <f t="shared" si="8"/>
        <v>0.8450704225</v>
      </c>
      <c r="S350" s="937" t="str">
        <f>IF(R350&lt;'PlayerGrades+'!$AH$21,"F-",IF(R350&lt;'PlayerGrades+'!$AH$20,"F",IF(R350&lt;'PlayerGrades+'!$AH$19,"F+",IF(R350&lt;'PlayerGrades+'!$AH$18,"E-",IF(R350&lt;'PlayerGrades+'!$AH$17,"E",IF(R350&lt;'PlayerGrades+'!$AH$16,"E+",IF(R350&lt;'PlayerGrades+'!$AH$15,"D-",IF(R350&lt;'PlayerGrades+'!$AH$14,"D",IF(R350&lt;'PlayerGrades+'!$AH$13,"D+",IF(R350&lt;'PlayerGrades+'!$AH$12,"C-",IF(R350&lt;'PlayerGrades+'!$AH$11,"C",IF(R350&lt;'PlayerGrades+'!$AH$10,"C+",IF(R350&lt;'PlayerGrades+'!$AH$9,"B-",IF(R350&lt;'PlayerGrades+'!$AH$8,"B",IF(R350&lt;'PlayerGrades+'!$AH$7,"B+",IF(R350&lt;'PlayerGrades+'!$AH$6,"A-",IF(R350&lt;'PlayerGrades+'!$AH$5,"A",IF(R350&lt;'PlayerGrades+'!$AH$4,"A+",IF(R350&lt;'PlayerGrades+'!$AH$3,"S-",IF(R350&lt;'PlayerGrades+'!$AH$2,"S","S+"))))))))))))))))))))</f>
        <v>S+</v>
      </c>
      <c r="T350" s="937">
        <f t="shared" si="9"/>
        <v>1.422535211</v>
      </c>
      <c r="U350" s="937" t="str">
        <f>IF(T350&lt;'PlayerGrades+'!$AI$21,"F-",IF(T350&lt;'PlayerGrades+'!$AI$20,"F",IF(T350&lt;'PlayerGrades+'!$AI$19,"F+",IF(T350&lt;'PlayerGrades+'!$AI$18,"E-",IF(T350&lt;'PlayerGrades+'!$AI$17,"E",IF(T350&lt;'PlayerGrades+'!$AI$16,"E+",IF(T350&lt;'PlayerGrades+'!$AI$15,"D-",IF(T350&lt;'PlayerGrades+'!$AI$14,"D",IF(T350&lt;'PlayerGrades+'!$AI$13,"D+",IF(T350&lt;'PlayerGrades+'!$AI$12,"C-",IF(T350&lt;'PlayerGrades+'!$AI$11,"C",IF(T350&lt;'PlayerGrades+'!$AI$10,"C+",IF(T350&lt;'PlayerGrades+'!$AI$9,"B-",IF(T350&lt;'PlayerGrades+'!$AI$8,"B",IF(T350&lt;'PlayerGrades+'!$AI$7,"B+",IF(T350&lt;'PlayerGrades+'!$AI$6,"A-",IF(T350&lt;'PlayerGrades+'!$AI$5,"A",IF(T350&lt;'PlayerGrades+'!$AI$4,"A+",IF(T350&lt;'PlayerGrades+'!$AI$3,"S-",IF(T350&lt;'PlayerGrades+'!$AI$2,"S","S+"))))))))))))))))))))</f>
        <v>B+</v>
      </c>
      <c r="V350" s="941">
        <v>1.0</v>
      </c>
      <c r="W350" s="941">
        <v>0.0</v>
      </c>
      <c r="X350" s="941">
        <v>1.0</v>
      </c>
      <c r="Y350" s="941">
        <v>2.0</v>
      </c>
      <c r="Z350" s="941">
        <v>5.0</v>
      </c>
      <c r="AA350" s="941">
        <v>24.0</v>
      </c>
      <c r="AB350" s="941">
        <v>23.0</v>
      </c>
      <c r="AC350" s="941">
        <v>1.0</v>
      </c>
      <c r="AD350" s="941">
        <v>1.0</v>
      </c>
      <c r="AE350" s="941">
        <v>4.0</v>
      </c>
      <c r="AF350" s="941">
        <v>0.0</v>
      </c>
      <c r="AG350" s="941">
        <v>266.0</v>
      </c>
      <c r="AH350" s="941">
        <v>426.0</v>
      </c>
      <c r="AI350" s="941">
        <v>11.0</v>
      </c>
      <c r="AJ350" s="941">
        <v>79.0</v>
      </c>
      <c r="AK350" s="941">
        <v>0.0</v>
      </c>
      <c r="AL350" s="941">
        <v>0.0</v>
      </c>
      <c r="AM350" s="941">
        <v>0.0</v>
      </c>
      <c r="AN350" s="941">
        <v>0.0</v>
      </c>
      <c r="AO350" s="941">
        <v>0.0</v>
      </c>
      <c r="AP350" s="941">
        <v>0.0</v>
      </c>
      <c r="AQ350" s="941">
        <v>0.0</v>
      </c>
      <c r="AR350" s="941">
        <v>4.0</v>
      </c>
      <c r="AS350" s="941">
        <v>0.0</v>
      </c>
      <c r="AT350" s="941">
        <v>0.0</v>
      </c>
      <c r="AU350" s="941">
        <v>0.0</v>
      </c>
      <c r="AV350" s="941">
        <v>0.0</v>
      </c>
      <c r="AW350" s="941">
        <v>0.0</v>
      </c>
      <c r="AX350" s="941">
        <v>0.0</v>
      </c>
      <c r="AY350" s="941">
        <v>0.0</v>
      </c>
      <c r="AZ350" s="941">
        <v>0.0</v>
      </c>
      <c r="BA350" s="941">
        <v>0.0</v>
      </c>
      <c r="BB350" s="941">
        <v>0.0</v>
      </c>
      <c r="BC350" s="941">
        <v>0.0</v>
      </c>
      <c r="BD350" s="941">
        <v>5.0</v>
      </c>
      <c r="BE350" s="941">
        <v>3.0</v>
      </c>
      <c r="BF350" s="941">
        <v>1.0</v>
      </c>
      <c r="BG350" s="942">
        <v>1.0</v>
      </c>
    </row>
    <row r="351">
      <c r="A351" s="935" t="s">
        <v>152</v>
      </c>
      <c r="B351" s="16" t="str">
        <f>IF(C351&lt;'PlayerGrades+'!$Y$44,"F-",IF(C351&lt;'PlayerGrades+'!$Y$43,"F",IF(C351&lt;'PlayerGrades+'!$Y$42,"F+",IF(C351&lt;'PlayerGrades+'!$Y$41,"E-",IF(C351&lt;'PlayerGrades+'!$Y$40,"E",IF(C351&lt;'PlayerGrades+'!$Y$39,"E+",IF(C351&lt;'PlayerGrades+'!$Y$38,"D-",IF(C351&lt;'PlayerGrades+'!$Y$37,"D",IF(C351&lt;'PlayerGrades+'!$Y$36,"D+",IF(C351&lt;'PlayerGrades+'!$Y$35,"C-",IF(C351&lt;'PlayerGrades+'!$Y$34,"C",IF(C351&lt;'PlayerGrades+'!$Y$33,"C+",IF(C351&lt;'PlayerGrades+'!$Y$32,"B-",IF(C351&lt;'PlayerGrades+'!$Y$31,"B",IF(C351&lt;'PlayerGrades+'!$Y$30,"B+",IF(C351&lt;'PlayerGrades+'!$Y$29,"A-",IF(C351&lt;'PlayerGrades+'!$Y$28,"A",IF(C351&lt;'PlayerGrades+'!$Y$27,"A+",IF(C351&lt;'PlayerGrades+'!$Y$26,"S-",IF(C351&lt;'PlayerGrades+'!$Y$25,"S","S+"))))))))))))))))))))</f>
        <v>D-</v>
      </c>
      <c r="C351" s="936">
        <f>('PlayerGrades+'!$Y$47*(VLOOKUP(E351, 'PlayerGrades+'!$X$3:$Y$23, 2, FALSE)))+('PlayerGrades+'!$Y$48*(VLOOKUP(G351, 'PlayerGrades+'!$X$3:$Y$23, 2, FALSE)))+('PlayerGrades+'!$Y$49*(VLOOKUP(I351, 'PlayerGrades+'!$X$3:$Y$23, 2, FALSE)))+('PlayerGrades+'!$Y$50*(VLOOKUP(K351, 'PlayerGrades+'!$X$3:$Y$23, 2, FALSE)))+('PlayerGrades+'!$Y$51*(VLOOKUP(M351, 'PlayerGrades+'!$X$3:$Y$23, 2, FALSE)))+('PlayerGrades+'!$Y$52*(VLOOKUP(O351, 'PlayerGrades+'!$X$3:$Y$23, 2, FALSE)))+('PlayerGrades+'!$Y$53*(VLOOKUP(Q351, 'PlayerGrades+'!$X$3:$Y$23, 2, FALSE)))+('PlayerGrades+'!$Y$54*(VLOOKUP(S351, 'PlayerGrades+'!$X$3:$Y$23, 2, FALSE)))+('PlayerGrades+'!$Y$55*(VLOOKUP(U351, 'PlayerGrades+'!$X$3:$Y$23, 2, FALSE)))</f>
        <v>15.4</v>
      </c>
      <c r="D351" s="937">
        <f t="shared" si="1"/>
        <v>0.1408450704</v>
      </c>
      <c r="E351" s="937" t="str">
        <f>IF(D351&lt;'PlayerGrades+'!$AA$21,"F-",IF(D351&lt;'PlayerGrades+'!$AA$20,"F",IF(D351&lt;'PlayerGrades+'!$AA$19,"F+",IF(D351&lt;'PlayerGrades+'!$AA$18,"E-",IF(D351&lt;'PlayerGrades+'!$AA$17,"E",IF(D351&lt;'PlayerGrades+'!$AA$16,"E+",IF(D351&lt;'PlayerGrades+'!$AA$15,"D-",IF(D351&lt;'PlayerGrades+'!$AA$14,"D",IF(D351&lt;'PlayerGrades+'!$AA$13,"D+",IF(D351&lt;'PlayerGrades+'!$AA$12,"C-",IF(D351&lt;'PlayerGrades+'!$AA$11,"C",IF(D351&lt;'PlayerGrades+'!$AA$10,"C+",IF(D351&lt;'PlayerGrades+'!$AA$9,"B-",IF(D351&lt;'PlayerGrades+'!$AA$8,"B",IF(D351&lt;'PlayerGrades+'!$AA$7,"B+",IF(D351&lt;'PlayerGrades+'!$AA$6,"A-",IF(D351&lt;'PlayerGrades+'!$AA$5,"A",IF(D351&lt;'PlayerGrades+'!$AA$4,"A+",IF(D351&lt;'PlayerGrades+'!$AA$3,"S-",IF(D351&lt;'PlayerGrades+'!$AA$2,"S","S+"))))))))))))))))))))</f>
        <v>B+</v>
      </c>
      <c r="F351" s="937">
        <f t="shared" si="2"/>
        <v>-1.408450704</v>
      </c>
      <c r="G351" s="937" t="str">
        <f>IF(F351&lt;'PlayerGrades+'!$AB$21,"F-",IF(F351&lt;'PlayerGrades+'!$AB$20,"F",IF(F351&lt;'PlayerGrades+'!$AB$19,"F+",IF(F351&lt;'PlayerGrades+'!$AB$18,"E-",IF(F351&lt;'PlayerGrades+'!$AB$17,"E",IF(F351&lt;'PlayerGrades+'!$AB$16,"E+",IF(F351&lt;'PlayerGrades+'!$AB$15,"D-",IF(F351&lt;'PlayerGrades+'!$AB$14,"D",IF(F351&lt;'PlayerGrades+'!$AB$13,"D+",IF(F351&lt;'PlayerGrades+'!$AB$12,"C-",IF(F351&lt;'PlayerGrades+'!$AB$11,"C",IF(F351&lt;'PlayerGrades+'!$AB$10,"C+",IF(F351&lt;'PlayerGrades+'!$AB$9,"B-",IF(F351&lt;'PlayerGrades+'!$AB$8,"B",IF(F351&lt;'PlayerGrades+'!$AB$7,"B+",IF(F351&lt;'PlayerGrades+'!$AB$6,"A-",IF(F351&lt;'PlayerGrades+'!$AB$5,"A",IF(F351&lt;'PlayerGrades+'!$AB$4,"A+",IF(F351&lt;'PlayerGrades+'!$AB$3,"S-",IF(F351&lt;'PlayerGrades+'!$AB$2,"S","S+"))))))))))))))))))))</f>
        <v>F-</v>
      </c>
      <c r="H351" s="937">
        <f t="shared" si="3"/>
        <v>0</v>
      </c>
      <c r="I351" s="937" t="str">
        <f>IF(H351&lt;'PlayerGrades+'!$AC$21,"F-",IF(H351&lt;'PlayerGrades+'!$AC$20,"F",IF(H351&lt;'PlayerGrades+'!$AC$19,"F+",IF(H351&lt;'PlayerGrades+'!$AC$18,"E-",IF(H351&lt;'PlayerGrades+'!$AC$17,"E",IF(H351&lt;'PlayerGrades+'!$AC$16,"E+",IF(H351&lt;'PlayerGrades+'!$AC$15,"D-",IF(H351&lt;'PlayerGrades+'!$AC$14,"D",IF(H351&lt;'PlayerGrades+'!$AC$13,"D+",IF(H351&lt;'PlayerGrades+'!$AC$12,"C-",IF(H351&lt;'PlayerGrades+'!$AC$11,"C",IF(H351&lt;'PlayerGrades+'!$AC$10,"C+",IF(H351&lt;'PlayerGrades+'!$AC$9,"B-",IF(H351&lt;'PlayerGrades+'!$AC$8,"B",IF(H351&lt;'PlayerGrades+'!$AC$7,"B+",IF(H351&lt;'PlayerGrades+'!$AC$6,"A-",IF(H351&lt;'PlayerGrades+'!$AC$5,"A",IF(H351&lt;'PlayerGrades+'!$AC$4,"A+",IF(H351&lt;'PlayerGrades+'!$AC$3,"S-",IF(H351&lt;'PlayerGrades+'!$AC$2,"S","S+"))))))))))))))))))))</f>
        <v>F-</v>
      </c>
      <c r="J351" s="937">
        <f t="shared" si="4"/>
        <v>0</v>
      </c>
      <c r="K351" s="937" t="str">
        <f>IF(J351&lt;'PlayerGrades+'!$AD$21,"F-",IF(J351&lt;'PlayerGrades+'!$AD$20,"F",IF(J351&lt;'PlayerGrades+'!$AD$19,"F+",IF(J351&lt;'PlayerGrades+'!$AD$18,"E-",IF(J351&lt;'PlayerGrades+'!$AD$17,"E",IF(J351&lt;'PlayerGrades+'!$AD$16,"E+",IF(J351&lt;'PlayerGrades+'!$AD$15,"D-",IF(J351&lt;'PlayerGrades+'!$AD$14,"D",IF(J351&lt;'PlayerGrades+'!$AD$13,"D+",IF(J351&lt;'PlayerGrades+'!$AD$12,"C-",IF(J351&lt;'PlayerGrades+'!$AD$11,"C",IF(J351&lt;'PlayerGrades+'!$AD$10,"C+",IF(J351&lt;'PlayerGrades+'!$AD$9,"B-",IF(J351&lt;'PlayerGrades+'!$AD$8,"B",IF(J351&lt;'PlayerGrades+'!$AD$7,"B+",IF(J351&lt;'PlayerGrades+'!$AD$6,"A-",IF(J351&lt;'PlayerGrades+'!$AD$5,"A",IF(J351&lt;'PlayerGrades+'!$AD$4,"A+",IF(J351&lt;'PlayerGrades+'!$AD$3,"S-",IF(J351&lt;'PlayerGrades+'!$AD$2,"S","S+"))))))))))))))))))))</f>
        <v>F-</v>
      </c>
      <c r="L351" s="677">
        <f t="shared" si="5"/>
        <v>0.2816901408</v>
      </c>
      <c r="M351" s="938" t="str">
        <f>IF(L351&lt;'PlayerGrades+'!$AE$21,"F-",IF(L351&lt;'PlayerGrades+'!$AE$20,"F",IF(L351&lt;'PlayerGrades+'!$AE$19,"F+",IF(L351&lt;'PlayerGrades+'!$AE$18,"E-",IF(L351&lt;'PlayerGrades+'!$AE$17,"E",IF(L351&lt;'PlayerGrades+'!$AE$16,"E+",IF(L351&lt;'PlayerGrades+'!$AE$15,"D-",IF(L351&lt;'PlayerGrades+'!$AE$14,"D",IF(L351&lt;'PlayerGrades+'!$AE$13,"D+",IF(L351&lt;'PlayerGrades+'!$AE$12,"C-",IF(L351&lt;'PlayerGrades+'!$AE$11,"C",IF(L351&lt;'PlayerGrades+'!$AE$10,"C+",IF(L351&lt;'PlayerGrades+'!$AE$9,"B-",IF(L351&lt;'PlayerGrades+'!$AE$8,"B",IF(L351&lt;'PlayerGrades+'!$AE$7,"B+",IF(L351&lt;'PlayerGrades+'!$AE$6,"A-",IF(L351&lt;'PlayerGrades+'!$AE$5,"A",IF(L351&lt;'PlayerGrades+'!$AE$4,"A+",IF(L351&lt;'PlayerGrades+'!$AE$3,"S-",IF(L351&lt;'PlayerGrades+'!$AE$2,"S","S+"))))))))))))))))))))</f>
        <v>F+</v>
      </c>
      <c r="N351" s="937">
        <f t="shared" si="6"/>
        <v>0.1408450704</v>
      </c>
      <c r="O351" s="937" t="str">
        <f>IF(N351&lt;'PlayerGrades+'!$AF$21,"F-",IF(N351&lt;'PlayerGrades+'!$AF$20,"F",IF(N351&lt;'PlayerGrades+'!$AF$19,"F+",IF(N351&lt;'PlayerGrades+'!$AF$18,"E-",IF(N351&lt;'PlayerGrades+'!$AF$17,"E",IF(N351&lt;'PlayerGrades+'!$AF$16,"E+",IF(N351&lt;'PlayerGrades+'!$AF$15,"D-",IF(N351&lt;'PlayerGrades+'!$AF$14,"D",IF(N351&lt;'PlayerGrades+'!$AF$13,"D+",IF(N351&lt;'PlayerGrades+'!$AF$12,"C-",IF(N351&lt;'PlayerGrades+'!$AF$11,"C",IF(N351&lt;'PlayerGrades+'!$AF$10,"C+",IF(N351&lt;'PlayerGrades+'!$AF$9,"B-",IF(N351&lt;'PlayerGrades+'!$AF$8,"B",IF(N351&lt;'PlayerGrades+'!$AF$7,"B+",IF(N351&lt;'PlayerGrades+'!$AF$6,"A-",IF(N351&lt;'PlayerGrades+'!$AF$5,"A",IF(N351&lt;'PlayerGrades+'!$AF$4,"A+",IF(N351&lt;'PlayerGrades+'!$AF$3,"S-",IF(N351&lt;'PlayerGrades+'!$AF$2,"S","S+"))))))))))))))))))))</f>
        <v>S</v>
      </c>
      <c r="P351" s="937">
        <f t="shared" si="7"/>
        <v>0</v>
      </c>
      <c r="Q351" s="937" t="str">
        <f>IF(P351&lt;'PlayerGrades+'!$AG$21,"F-",IF(P351&lt;'PlayerGrades+'!$AG$20,"F",IF(P351&lt;'PlayerGrades+'!$AG$19,"F+",IF(P351&lt;'PlayerGrades+'!$AG$18,"E-",IF(P351&lt;'PlayerGrades+'!$AG$17,"E",IF(P351&lt;'PlayerGrades+'!$AG$16,"E+",IF(P351&lt;'PlayerGrades+'!$AG$15,"D-",IF(P351&lt;'PlayerGrades+'!$AG$14,"D",IF(P351&lt;'PlayerGrades+'!$AG$13,"D+",IF(P351&lt;'PlayerGrades+'!$AG$12,"C-",IF(P351&lt;'PlayerGrades+'!$AG$11,"C",IF(P351&lt;'PlayerGrades+'!$AG$10,"C+",IF(P351&lt;'PlayerGrades+'!$AG$9,"B-",IF(P351&lt;'PlayerGrades+'!$AG$8,"B",IF(P351&lt;'PlayerGrades+'!$AG$7,"B+",IF(P351&lt;'PlayerGrades+'!$AG$6,"A-",IF(P351&lt;'PlayerGrades+'!$AG$5,"A",IF(P351&lt;'PlayerGrades+'!$AG$4,"A+",IF(P351&lt;'PlayerGrades+'!$AG$3,"S-",IF(P351&lt;'PlayerGrades+'!$AG$2,"S","S+"))))))))))))))))))))</f>
        <v>F</v>
      </c>
      <c r="R351" s="937">
        <f t="shared" si="8"/>
        <v>0.5633802817</v>
      </c>
      <c r="S351" s="937" t="str">
        <f>IF(R351&lt;'PlayerGrades+'!$AH$21,"F-",IF(R351&lt;'PlayerGrades+'!$AH$20,"F",IF(R351&lt;'PlayerGrades+'!$AH$19,"F+",IF(R351&lt;'PlayerGrades+'!$AH$18,"E-",IF(R351&lt;'PlayerGrades+'!$AH$17,"E",IF(R351&lt;'PlayerGrades+'!$AH$16,"E+",IF(R351&lt;'PlayerGrades+'!$AH$15,"D-",IF(R351&lt;'PlayerGrades+'!$AH$14,"D",IF(R351&lt;'PlayerGrades+'!$AH$13,"D+",IF(R351&lt;'PlayerGrades+'!$AH$12,"C-",IF(R351&lt;'PlayerGrades+'!$AH$11,"C",IF(R351&lt;'PlayerGrades+'!$AH$10,"C+",IF(R351&lt;'PlayerGrades+'!$AH$9,"B-",IF(R351&lt;'PlayerGrades+'!$AH$8,"B",IF(R351&lt;'PlayerGrades+'!$AH$7,"B+",IF(R351&lt;'PlayerGrades+'!$AH$6,"A-",IF(R351&lt;'PlayerGrades+'!$AH$5,"A",IF(R351&lt;'PlayerGrades+'!$AH$4,"A+",IF(R351&lt;'PlayerGrades+'!$AH$3,"S-",IF(R351&lt;'PlayerGrades+'!$AH$2,"S","S+"))))))))))))))))))))</f>
        <v>B-</v>
      </c>
      <c r="T351" s="937">
        <f t="shared" si="9"/>
        <v>0.2816901408</v>
      </c>
      <c r="U351" s="937" t="str">
        <f>IF(T351&lt;'PlayerGrades+'!$AI$21,"F-",IF(T351&lt;'PlayerGrades+'!$AI$20,"F",IF(T351&lt;'PlayerGrades+'!$AI$19,"F+",IF(T351&lt;'PlayerGrades+'!$AI$18,"E-",IF(T351&lt;'PlayerGrades+'!$AI$17,"E",IF(T351&lt;'PlayerGrades+'!$AI$16,"E+",IF(T351&lt;'PlayerGrades+'!$AI$15,"D-",IF(T351&lt;'PlayerGrades+'!$AI$14,"D",IF(T351&lt;'PlayerGrades+'!$AI$13,"D+",IF(T351&lt;'PlayerGrades+'!$AI$12,"C-",IF(T351&lt;'PlayerGrades+'!$AI$11,"C",IF(T351&lt;'PlayerGrades+'!$AI$10,"C+",IF(T351&lt;'PlayerGrades+'!$AI$9,"B-",IF(T351&lt;'PlayerGrades+'!$AI$8,"B",IF(T351&lt;'PlayerGrades+'!$AI$7,"B+",IF(T351&lt;'PlayerGrades+'!$AI$6,"A-",IF(T351&lt;'PlayerGrades+'!$AI$5,"A",IF(T351&lt;'PlayerGrades+'!$AI$4,"A+",IF(T351&lt;'PlayerGrades+'!$AI$3,"S-",IF(T351&lt;'PlayerGrades+'!$AI$2,"S","S+"))))))))))))))))))))</f>
        <v>F-</v>
      </c>
      <c r="V351" s="941">
        <v>1.0</v>
      </c>
      <c r="W351" s="941">
        <v>0.0</v>
      </c>
      <c r="X351" s="941">
        <v>1.0</v>
      </c>
      <c r="Y351" s="941">
        <v>0.0</v>
      </c>
      <c r="Z351" s="941">
        <v>1.0</v>
      </c>
      <c r="AA351" s="941">
        <v>19.0</v>
      </c>
      <c r="AB351" s="941">
        <v>29.0</v>
      </c>
      <c r="AC351" s="941">
        <v>-10.0</v>
      </c>
      <c r="AD351" s="941">
        <v>2.0</v>
      </c>
      <c r="AE351" s="941">
        <v>4.0</v>
      </c>
      <c r="AF351" s="941">
        <v>0.0</v>
      </c>
      <c r="AG351" s="941">
        <v>247.0</v>
      </c>
      <c r="AH351" s="941">
        <v>426.0</v>
      </c>
      <c r="AI351" s="941">
        <v>8.0</v>
      </c>
      <c r="AJ351" s="941">
        <v>3.0</v>
      </c>
      <c r="AK351" s="941">
        <v>0.0</v>
      </c>
      <c r="AL351" s="941">
        <v>0.0</v>
      </c>
      <c r="AM351" s="941">
        <v>0.0</v>
      </c>
      <c r="AN351" s="941">
        <v>0.0</v>
      </c>
      <c r="AO351" s="941">
        <v>0.0</v>
      </c>
      <c r="AP351" s="941">
        <v>0.0</v>
      </c>
      <c r="AQ351" s="941">
        <v>0.0</v>
      </c>
      <c r="AR351" s="941">
        <v>2.0</v>
      </c>
      <c r="AS351" s="941">
        <v>1.0</v>
      </c>
      <c r="AT351" s="941">
        <v>1.0</v>
      </c>
      <c r="AU351" s="941">
        <v>0.0</v>
      </c>
      <c r="AV351" s="941">
        <v>0.0</v>
      </c>
      <c r="AW351" s="941">
        <v>0.0</v>
      </c>
      <c r="AX351" s="941">
        <v>0.0</v>
      </c>
      <c r="AY351" s="941">
        <v>0.0</v>
      </c>
      <c r="AZ351" s="941">
        <v>0.0</v>
      </c>
      <c r="BA351" s="941">
        <v>0.0</v>
      </c>
      <c r="BB351" s="941">
        <v>0.0</v>
      </c>
      <c r="BC351" s="941">
        <v>0.0</v>
      </c>
      <c r="BD351" s="941">
        <v>2.0</v>
      </c>
      <c r="BE351" s="941">
        <v>2.0</v>
      </c>
      <c r="BF351" s="941">
        <v>0.0</v>
      </c>
      <c r="BG351" s="942">
        <v>1.0</v>
      </c>
    </row>
    <row r="352">
      <c r="A352" s="935" t="s">
        <v>130</v>
      </c>
      <c r="B352" s="16" t="str">
        <f>IF(C352&lt;'PlayerGrades+'!$Y$44,"F-",IF(C352&lt;'PlayerGrades+'!$Y$43,"F",IF(C352&lt;'PlayerGrades+'!$Y$42,"F+",IF(C352&lt;'PlayerGrades+'!$Y$41,"E-",IF(C352&lt;'PlayerGrades+'!$Y$40,"E",IF(C352&lt;'PlayerGrades+'!$Y$39,"E+",IF(C352&lt;'PlayerGrades+'!$Y$38,"D-",IF(C352&lt;'PlayerGrades+'!$Y$37,"D",IF(C352&lt;'PlayerGrades+'!$Y$36,"D+",IF(C352&lt;'PlayerGrades+'!$Y$35,"C-",IF(C352&lt;'PlayerGrades+'!$Y$34,"C",IF(C352&lt;'PlayerGrades+'!$Y$33,"C+",IF(C352&lt;'PlayerGrades+'!$Y$32,"B-",IF(C352&lt;'PlayerGrades+'!$Y$31,"B",IF(C352&lt;'PlayerGrades+'!$Y$30,"B+",IF(C352&lt;'PlayerGrades+'!$Y$29,"A-",IF(C352&lt;'PlayerGrades+'!$Y$28,"A",IF(C352&lt;'PlayerGrades+'!$Y$27,"A+",IF(C352&lt;'PlayerGrades+'!$Y$26,"S-",IF(C352&lt;'PlayerGrades+'!$Y$25,"S","S+"))))))))))))))))))))</f>
        <v>E</v>
      </c>
      <c r="C352" s="936">
        <f>('PlayerGrades+'!$Y$47*(VLOOKUP(E352, 'PlayerGrades+'!$X$3:$Y$23, 2, FALSE)))+('PlayerGrades+'!$Y$48*(VLOOKUP(G352, 'PlayerGrades+'!$X$3:$Y$23, 2, FALSE)))+('PlayerGrades+'!$Y$49*(VLOOKUP(I352, 'PlayerGrades+'!$X$3:$Y$23, 2, FALSE)))+('PlayerGrades+'!$Y$50*(VLOOKUP(K352, 'PlayerGrades+'!$X$3:$Y$23, 2, FALSE)))+('PlayerGrades+'!$Y$51*(VLOOKUP(M352, 'PlayerGrades+'!$X$3:$Y$23, 2, FALSE)))+('PlayerGrades+'!$Y$52*(VLOOKUP(O352, 'PlayerGrades+'!$X$3:$Y$23, 2, FALSE)))+('PlayerGrades+'!$Y$53*(VLOOKUP(Q352, 'PlayerGrades+'!$X$3:$Y$23, 2, FALSE)))+('PlayerGrades+'!$Y$54*(VLOOKUP(S352, 'PlayerGrades+'!$X$3:$Y$23, 2, FALSE)))+('PlayerGrades+'!$Y$55*(VLOOKUP(U352, 'PlayerGrades+'!$X$3:$Y$23, 2, FALSE)))</f>
        <v>12.7</v>
      </c>
      <c r="D352" s="937">
        <f t="shared" si="1"/>
        <v>0</v>
      </c>
      <c r="E352" s="937" t="str">
        <f>IF(D352&lt;'PlayerGrades+'!$AA$21,"F-",IF(D352&lt;'PlayerGrades+'!$AA$20,"F",IF(D352&lt;'PlayerGrades+'!$AA$19,"F+",IF(D352&lt;'PlayerGrades+'!$AA$18,"E-",IF(D352&lt;'PlayerGrades+'!$AA$17,"E",IF(D352&lt;'PlayerGrades+'!$AA$16,"E+",IF(D352&lt;'PlayerGrades+'!$AA$15,"D-",IF(D352&lt;'PlayerGrades+'!$AA$14,"D",IF(D352&lt;'PlayerGrades+'!$AA$13,"D+",IF(D352&lt;'PlayerGrades+'!$AA$12,"C-",IF(D352&lt;'PlayerGrades+'!$AA$11,"C",IF(D352&lt;'PlayerGrades+'!$AA$10,"C+",IF(D352&lt;'PlayerGrades+'!$AA$9,"B-",IF(D352&lt;'PlayerGrades+'!$AA$8,"B",IF(D352&lt;'PlayerGrades+'!$AA$7,"B+",IF(D352&lt;'PlayerGrades+'!$AA$6,"A-",IF(D352&lt;'PlayerGrades+'!$AA$5,"A",IF(D352&lt;'PlayerGrades+'!$AA$4,"A+",IF(D352&lt;'PlayerGrades+'!$AA$3,"S-",IF(D352&lt;'PlayerGrades+'!$AA$2,"S","S+"))))))))))))))))))))</f>
        <v>F-</v>
      </c>
      <c r="F352" s="937">
        <f t="shared" si="2"/>
        <v>-0.8450704225</v>
      </c>
      <c r="G352" s="937" t="str">
        <f>IF(F352&lt;'PlayerGrades+'!$AB$21,"F-",IF(F352&lt;'PlayerGrades+'!$AB$20,"F",IF(F352&lt;'PlayerGrades+'!$AB$19,"F+",IF(F352&lt;'PlayerGrades+'!$AB$18,"E-",IF(F352&lt;'PlayerGrades+'!$AB$17,"E",IF(F352&lt;'PlayerGrades+'!$AB$16,"E+",IF(F352&lt;'PlayerGrades+'!$AB$15,"D-",IF(F352&lt;'PlayerGrades+'!$AB$14,"D",IF(F352&lt;'PlayerGrades+'!$AB$13,"D+",IF(F352&lt;'PlayerGrades+'!$AB$12,"C-",IF(F352&lt;'PlayerGrades+'!$AB$11,"C",IF(F352&lt;'PlayerGrades+'!$AB$10,"C+",IF(F352&lt;'PlayerGrades+'!$AB$9,"B-",IF(F352&lt;'PlayerGrades+'!$AB$8,"B",IF(F352&lt;'PlayerGrades+'!$AB$7,"B+",IF(F352&lt;'PlayerGrades+'!$AB$6,"A-",IF(F352&lt;'PlayerGrades+'!$AB$5,"A",IF(F352&lt;'PlayerGrades+'!$AB$4,"A+",IF(F352&lt;'PlayerGrades+'!$AB$3,"S-",IF(F352&lt;'PlayerGrades+'!$AB$2,"S","S+"))))))))))))))))))))</f>
        <v>E</v>
      </c>
      <c r="H352" s="937">
        <f t="shared" si="3"/>
        <v>0.1408450704</v>
      </c>
      <c r="I352" s="937" t="str">
        <f>IF(H352&lt;'PlayerGrades+'!$AC$21,"F-",IF(H352&lt;'PlayerGrades+'!$AC$20,"F",IF(H352&lt;'PlayerGrades+'!$AC$19,"F+",IF(H352&lt;'PlayerGrades+'!$AC$18,"E-",IF(H352&lt;'PlayerGrades+'!$AC$17,"E",IF(H352&lt;'PlayerGrades+'!$AC$16,"E+",IF(H352&lt;'PlayerGrades+'!$AC$15,"D-",IF(H352&lt;'PlayerGrades+'!$AC$14,"D",IF(H352&lt;'PlayerGrades+'!$AC$13,"D+",IF(H352&lt;'PlayerGrades+'!$AC$12,"C-",IF(H352&lt;'PlayerGrades+'!$AC$11,"C",IF(H352&lt;'PlayerGrades+'!$AC$10,"C+",IF(H352&lt;'PlayerGrades+'!$AC$9,"B-",IF(H352&lt;'PlayerGrades+'!$AC$8,"B",IF(H352&lt;'PlayerGrades+'!$AC$7,"B+",IF(H352&lt;'PlayerGrades+'!$AC$6,"A-",IF(H352&lt;'PlayerGrades+'!$AC$5,"A",IF(H352&lt;'PlayerGrades+'!$AC$4,"A+",IF(H352&lt;'PlayerGrades+'!$AC$3,"S-",IF(H352&lt;'PlayerGrades+'!$AC$2,"S","S+"))))))))))))))))))))</f>
        <v>A-</v>
      </c>
      <c r="J352" s="937">
        <f t="shared" si="4"/>
        <v>0</v>
      </c>
      <c r="K352" s="937" t="str">
        <f>IF(J352&lt;'PlayerGrades+'!$AD$21,"F-",IF(J352&lt;'PlayerGrades+'!$AD$20,"F",IF(J352&lt;'PlayerGrades+'!$AD$19,"F+",IF(J352&lt;'PlayerGrades+'!$AD$18,"E-",IF(J352&lt;'PlayerGrades+'!$AD$17,"E",IF(J352&lt;'PlayerGrades+'!$AD$16,"E+",IF(J352&lt;'PlayerGrades+'!$AD$15,"D-",IF(J352&lt;'PlayerGrades+'!$AD$14,"D",IF(J352&lt;'PlayerGrades+'!$AD$13,"D+",IF(J352&lt;'PlayerGrades+'!$AD$12,"C-",IF(J352&lt;'PlayerGrades+'!$AD$11,"C",IF(J352&lt;'PlayerGrades+'!$AD$10,"C+",IF(J352&lt;'PlayerGrades+'!$AD$9,"B-",IF(J352&lt;'PlayerGrades+'!$AD$8,"B",IF(J352&lt;'PlayerGrades+'!$AD$7,"B+",IF(J352&lt;'PlayerGrades+'!$AD$6,"A-",IF(J352&lt;'PlayerGrades+'!$AD$5,"A",IF(J352&lt;'PlayerGrades+'!$AD$4,"A+",IF(J352&lt;'PlayerGrades+'!$AD$3,"S-",IF(J352&lt;'PlayerGrades+'!$AD$2,"S","S+"))))))))))))))))))))</f>
        <v>F-</v>
      </c>
      <c r="L352" s="677">
        <f t="shared" si="5"/>
        <v>0.5633802817</v>
      </c>
      <c r="M352" s="938" t="str">
        <f>IF(L352&lt;'PlayerGrades+'!$AE$21,"F-",IF(L352&lt;'PlayerGrades+'!$AE$20,"F",IF(L352&lt;'PlayerGrades+'!$AE$19,"F+",IF(L352&lt;'PlayerGrades+'!$AE$18,"E-",IF(L352&lt;'PlayerGrades+'!$AE$17,"E",IF(L352&lt;'PlayerGrades+'!$AE$16,"E+",IF(L352&lt;'PlayerGrades+'!$AE$15,"D-",IF(L352&lt;'PlayerGrades+'!$AE$14,"D",IF(L352&lt;'PlayerGrades+'!$AE$13,"D+",IF(L352&lt;'PlayerGrades+'!$AE$12,"C-",IF(L352&lt;'PlayerGrades+'!$AE$11,"C",IF(L352&lt;'PlayerGrades+'!$AE$10,"C+",IF(L352&lt;'PlayerGrades+'!$AE$9,"B-",IF(L352&lt;'PlayerGrades+'!$AE$8,"B",IF(L352&lt;'PlayerGrades+'!$AE$7,"B+",IF(L352&lt;'PlayerGrades+'!$AE$6,"A-",IF(L352&lt;'PlayerGrades+'!$AE$5,"A",IF(L352&lt;'PlayerGrades+'!$AE$4,"A+",IF(L352&lt;'PlayerGrades+'!$AE$3,"S-",IF(L352&lt;'PlayerGrades+'!$AE$2,"S","S+"))))))))))))))))))))</f>
        <v>A</v>
      </c>
      <c r="N352" s="937">
        <f t="shared" si="6"/>
        <v>0</v>
      </c>
      <c r="O352" s="937" t="str">
        <f>IF(N352&lt;'PlayerGrades+'!$AF$21,"F-",IF(N352&lt;'PlayerGrades+'!$AF$20,"F",IF(N352&lt;'PlayerGrades+'!$AF$19,"F+",IF(N352&lt;'PlayerGrades+'!$AF$18,"E-",IF(N352&lt;'PlayerGrades+'!$AF$17,"E",IF(N352&lt;'PlayerGrades+'!$AF$16,"E+",IF(N352&lt;'PlayerGrades+'!$AF$15,"D-",IF(N352&lt;'PlayerGrades+'!$AF$14,"D",IF(N352&lt;'PlayerGrades+'!$AF$13,"D+",IF(N352&lt;'PlayerGrades+'!$AF$12,"C-",IF(N352&lt;'PlayerGrades+'!$AF$11,"C",IF(N352&lt;'PlayerGrades+'!$AF$10,"C+",IF(N352&lt;'PlayerGrades+'!$AF$9,"B-",IF(N352&lt;'PlayerGrades+'!$AF$8,"B",IF(N352&lt;'PlayerGrades+'!$AF$7,"B+",IF(N352&lt;'PlayerGrades+'!$AF$6,"A-",IF(N352&lt;'PlayerGrades+'!$AF$5,"A",IF(N352&lt;'PlayerGrades+'!$AF$4,"A+",IF(N352&lt;'PlayerGrades+'!$AF$3,"S-",IF(N352&lt;'PlayerGrades+'!$AF$2,"S","S+"))))))))))))))))))))</f>
        <v>F-</v>
      </c>
      <c r="P352" s="937">
        <f t="shared" si="7"/>
        <v>0</v>
      </c>
      <c r="Q352" s="937" t="str">
        <f>IF(P352&lt;'PlayerGrades+'!$AG$21,"F-",IF(P352&lt;'PlayerGrades+'!$AG$20,"F",IF(P352&lt;'PlayerGrades+'!$AG$19,"F+",IF(P352&lt;'PlayerGrades+'!$AG$18,"E-",IF(P352&lt;'PlayerGrades+'!$AG$17,"E",IF(P352&lt;'PlayerGrades+'!$AG$16,"E+",IF(P352&lt;'PlayerGrades+'!$AG$15,"D-",IF(P352&lt;'PlayerGrades+'!$AG$14,"D",IF(P352&lt;'PlayerGrades+'!$AG$13,"D+",IF(P352&lt;'PlayerGrades+'!$AG$12,"C-",IF(P352&lt;'PlayerGrades+'!$AG$11,"C",IF(P352&lt;'PlayerGrades+'!$AG$10,"C+",IF(P352&lt;'PlayerGrades+'!$AG$9,"B-",IF(P352&lt;'PlayerGrades+'!$AG$8,"B",IF(P352&lt;'PlayerGrades+'!$AG$7,"B+",IF(P352&lt;'PlayerGrades+'!$AG$6,"A-",IF(P352&lt;'PlayerGrades+'!$AG$5,"A",IF(P352&lt;'PlayerGrades+'!$AG$4,"A+",IF(P352&lt;'PlayerGrades+'!$AG$3,"S-",IF(P352&lt;'PlayerGrades+'!$AG$2,"S","S+"))))))))))))))))))))</f>
        <v>F</v>
      </c>
      <c r="R352" s="937">
        <f t="shared" si="8"/>
        <v>0.2816901408</v>
      </c>
      <c r="S352" s="937" t="str">
        <f>IF(R352&lt;'PlayerGrades+'!$AH$21,"F-",IF(R352&lt;'PlayerGrades+'!$AH$20,"F",IF(R352&lt;'PlayerGrades+'!$AH$19,"F+",IF(R352&lt;'PlayerGrades+'!$AH$18,"E-",IF(R352&lt;'PlayerGrades+'!$AH$17,"E",IF(R352&lt;'PlayerGrades+'!$AH$16,"E+",IF(R352&lt;'PlayerGrades+'!$AH$15,"D-",IF(R352&lt;'PlayerGrades+'!$AH$14,"D",IF(R352&lt;'PlayerGrades+'!$AH$13,"D+",IF(R352&lt;'PlayerGrades+'!$AH$12,"C-",IF(R352&lt;'PlayerGrades+'!$AH$11,"C",IF(R352&lt;'PlayerGrades+'!$AH$10,"C+",IF(R352&lt;'PlayerGrades+'!$AH$9,"B-",IF(R352&lt;'PlayerGrades+'!$AH$8,"B",IF(R352&lt;'PlayerGrades+'!$AH$7,"B+",IF(R352&lt;'PlayerGrades+'!$AH$6,"A-",IF(R352&lt;'PlayerGrades+'!$AH$5,"A",IF(R352&lt;'PlayerGrades+'!$AH$4,"A+",IF(R352&lt;'PlayerGrades+'!$AH$3,"S-",IF(R352&lt;'PlayerGrades+'!$AH$2,"S","S+"))))))))))))))))))))</f>
        <v>F-</v>
      </c>
      <c r="T352" s="937">
        <f t="shared" si="9"/>
        <v>3.422535211</v>
      </c>
      <c r="U352" s="937" t="str">
        <f>IF(T352&lt;'PlayerGrades+'!$AI$21,"F-",IF(T352&lt;'PlayerGrades+'!$AI$20,"F",IF(T352&lt;'PlayerGrades+'!$AI$19,"F+",IF(T352&lt;'PlayerGrades+'!$AI$18,"E-",IF(T352&lt;'PlayerGrades+'!$AI$17,"E",IF(T352&lt;'PlayerGrades+'!$AI$16,"E+",IF(T352&lt;'PlayerGrades+'!$AI$15,"D-",IF(T352&lt;'PlayerGrades+'!$AI$14,"D",IF(T352&lt;'PlayerGrades+'!$AI$13,"D+",IF(T352&lt;'PlayerGrades+'!$AI$12,"C-",IF(T352&lt;'PlayerGrades+'!$AI$11,"C",IF(T352&lt;'PlayerGrades+'!$AI$10,"C+",IF(T352&lt;'PlayerGrades+'!$AI$9,"B-",IF(T352&lt;'PlayerGrades+'!$AI$8,"B",IF(T352&lt;'PlayerGrades+'!$AI$7,"B+",IF(T352&lt;'PlayerGrades+'!$AI$6,"A-",IF(T352&lt;'PlayerGrades+'!$AI$5,"A",IF(T352&lt;'PlayerGrades+'!$AI$4,"A+",IF(T352&lt;'PlayerGrades+'!$AI$3,"S-",IF(T352&lt;'PlayerGrades+'!$AI$2,"S","S+"))))))))))))))))))))</f>
        <v>S+</v>
      </c>
      <c r="V352" s="941">
        <v>1.0</v>
      </c>
      <c r="W352" s="941">
        <v>0.0</v>
      </c>
      <c r="X352" s="941">
        <v>1.0</v>
      </c>
      <c r="Y352" s="941">
        <v>0.0</v>
      </c>
      <c r="Z352" s="941">
        <v>0.0</v>
      </c>
      <c r="AA352" s="941">
        <v>19.0</v>
      </c>
      <c r="AB352" s="941">
        <v>25.0</v>
      </c>
      <c r="AC352" s="941">
        <v>-6.0</v>
      </c>
      <c r="AD352" s="941">
        <v>1.0</v>
      </c>
      <c r="AE352" s="941">
        <v>4.0</v>
      </c>
      <c r="AF352" s="941">
        <v>1.0</v>
      </c>
      <c r="AG352" s="941">
        <v>260.0</v>
      </c>
      <c r="AH352" s="941">
        <v>426.0</v>
      </c>
      <c r="AI352" s="941">
        <v>10.0</v>
      </c>
      <c r="AJ352" s="941">
        <v>0.0</v>
      </c>
      <c r="AK352" s="941">
        <v>0.0</v>
      </c>
      <c r="AL352" s="941">
        <v>0.0</v>
      </c>
      <c r="AM352" s="941">
        <v>0.0</v>
      </c>
      <c r="AN352" s="941">
        <v>0.0</v>
      </c>
      <c r="AO352" s="941">
        <v>0.0</v>
      </c>
      <c r="AP352" s="941">
        <v>0.0</v>
      </c>
      <c r="AQ352" s="941">
        <v>0.0</v>
      </c>
      <c r="AR352" s="941">
        <v>4.0</v>
      </c>
      <c r="AS352" s="941">
        <v>0.0</v>
      </c>
      <c r="AT352" s="941">
        <v>0.0</v>
      </c>
      <c r="AU352" s="941">
        <v>0.0</v>
      </c>
      <c r="AV352" s="941">
        <v>0.0</v>
      </c>
      <c r="AW352" s="941">
        <v>0.0</v>
      </c>
      <c r="AX352" s="941">
        <v>0.0</v>
      </c>
      <c r="AY352" s="941">
        <v>0.0</v>
      </c>
      <c r="AZ352" s="941">
        <v>0.0</v>
      </c>
      <c r="BA352" s="941">
        <v>0.0</v>
      </c>
      <c r="BB352" s="941">
        <v>1.0</v>
      </c>
      <c r="BC352" s="941">
        <v>0.0</v>
      </c>
      <c r="BD352" s="941">
        <v>1.0</v>
      </c>
      <c r="BE352" s="941">
        <v>3.0</v>
      </c>
      <c r="BF352" s="941">
        <v>3.0</v>
      </c>
      <c r="BG352" s="942">
        <v>1.0</v>
      </c>
    </row>
    <row r="353">
      <c r="A353" s="943" t="s">
        <v>141</v>
      </c>
      <c r="B353" s="16" t="str">
        <f>IF(C353&lt;'PlayerGrades+'!$Y$44,"F-",IF(C353&lt;'PlayerGrades+'!$Y$43,"F",IF(C353&lt;'PlayerGrades+'!$Y$42,"F+",IF(C353&lt;'PlayerGrades+'!$Y$41,"E-",IF(C353&lt;'PlayerGrades+'!$Y$40,"E",IF(C353&lt;'PlayerGrades+'!$Y$39,"E+",IF(C353&lt;'PlayerGrades+'!$Y$38,"D-",IF(C353&lt;'PlayerGrades+'!$Y$37,"D",IF(C353&lt;'PlayerGrades+'!$Y$36,"D+",IF(C353&lt;'PlayerGrades+'!$Y$35,"C-",IF(C353&lt;'PlayerGrades+'!$Y$34,"C",IF(C353&lt;'PlayerGrades+'!$Y$33,"C+",IF(C353&lt;'PlayerGrades+'!$Y$32,"B-",IF(C353&lt;'PlayerGrades+'!$Y$31,"B",IF(C353&lt;'PlayerGrades+'!$Y$30,"B+",IF(C353&lt;'PlayerGrades+'!$Y$29,"A-",IF(C353&lt;'PlayerGrades+'!$Y$28,"A",IF(C353&lt;'PlayerGrades+'!$Y$27,"A+",IF(C353&lt;'PlayerGrades+'!$Y$26,"S-",IF(C353&lt;'PlayerGrades+'!$Y$25,"S","S+"))))))))))))))))))))</f>
        <v>D-</v>
      </c>
      <c r="C353" s="936">
        <f>('PlayerGrades+'!$Y$47*(VLOOKUP(E353, 'PlayerGrades+'!$X$3:$Y$23, 2, FALSE)))+('PlayerGrades+'!$Y$48*(VLOOKUP(G353, 'PlayerGrades+'!$X$3:$Y$23, 2, FALSE)))+('PlayerGrades+'!$Y$49*(VLOOKUP(I353, 'PlayerGrades+'!$X$3:$Y$23, 2, FALSE)))+('PlayerGrades+'!$Y$50*(VLOOKUP(K353, 'PlayerGrades+'!$X$3:$Y$23, 2, FALSE)))+('PlayerGrades+'!$Y$51*(VLOOKUP(M353, 'PlayerGrades+'!$X$3:$Y$23, 2, FALSE)))+('PlayerGrades+'!$Y$52*(VLOOKUP(O353, 'PlayerGrades+'!$X$3:$Y$23, 2, FALSE)))+('PlayerGrades+'!$Y$53*(VLOOKUP(Q353, 'PlayerGrades+'!$X$3:$Y$23, 2, FALSE)))+('PlayerGrades+'!$Y$54*(VLOOKUP(S353, 'PlayerGrades+'!$X$3:$Y$23, 2, FALSE)))+('PlayerGrades+'!$Y$55*(VLOOKUP(U353, 'PlayerGrades+'!$X$3:$Y$23, 2, FALSE)))</f>
        <v>14.2</v>
      </c>
      <c r="D353" s="937">
        <f t="shared" si="1"/>
        <v>0</v>
      </c>
      <c r="E353" s="937" t="str">
        <f>IF(D353&lt;'PlayerGrades+'!$AA$21,"F-",IF(D353&lt;'PlayerGrades+'!$AA$20,"F",IF(D353&lt;'PlayerGrades+'!$AA$19,"F+",IF(D353&lt;'PlayerGrades+'!$AA$18,"E-",IF(D353&lt;'PlayerGrades+'!$AA$17,"E",IF(D353&lt;'PlayerGrades+'!$AA$16,"E+",IF(D353&lt;'PlayerGrades+'!$AA$15,"D-",IF(D353&lt;'PlayerGrades+'!$AA$14,"D",IF(D353&lt;'PlayerGrades+'!$AA$13,"D+",IF(D353&lt;'PlayerGrades+'!$AA$12,"C-",IF(D353&lt;'PlayerGrades+'!$AA$11,"C",IF(D353&lt;'PlayerGrades+'!$AA$10,"C+",IF(D353&lt;'PlayerGrades+'!$AA$9,"B-",IF(D353&lt;'PlayerGrades+'!$AA$8,"B",IF(D353&lt;'PlayerGrades+'!$AA$7,"B+",IF(D353&lt;'PlayerGrades+'!$AA$6,"A-",IF(D353&lt;'PlayerGrades+'!$AA$5,"A",IF(D353&lt;'PlayerGrades+'!$AA$4,"A+",IF(D353&lt;'PlayerGrades+'!$AA$3,"S-",IF(D353&lt;'PlayerGrades+'!$AA$2,"S","S+"))))))))))))))))))))</f>
        <v>F-</v>
      </c>
      <c r="F353" s="937">
        <f t="shared" si="2"/>
        <v>-2.394366197</v>
      </c>
      <c r="G353" s="937" t="str">
        <f>IF(F353&lt;'PlayerGrades+'!$AB$21,"F-",IF(F353&lt;'PlayerGrades+'!$AB$20,"F",IF(F353&lt;'PlayerGrades+'!$AB$19,"F+",IF(F353&lt;'PlayerGrades+'!$AB$18,"E-",IF(F353&lt;'PlayerGrades+'!$AB$17,"E",IF(F353&lt;'PlayerGrades+'!$AB$16,"E+",IF(F353&lt;'PlayerGrades+'!$AB$15,"D-",IF(F353&lt;'PlayerGrades+'!$AB$14,"D",IF(F353&lt;'PlayerGrades+'!$AB$13,"D+",IF(F353&lt;'PlayerGrades+'!$AB$12,"C-",IF(F353&lt;'PlayerGrades+'!$AB$11,"C",IF(F353&lt;'PlayerGrades+'!$AB$10,"C+",IF(F353&lt;'PlayerGrades+'!$AB$9,"B-",IF(F353&lt;'PlayerGrades+'!$AB$8,"B",IF(F353&lt;'PlayerGrades+'!$AB$7,"B+",IF(F353&lt;'PlayerGrades+'!$AB$6,"A-",IF(F353&lt;'PlayerGrades+'!$AB$5,"A",IF(F353&lt;'PlayerGrades+'!$AB$4,"A+",IF(F353&lt;'PlayerGrades+'!$AB$3,"S-",IF(F353&lt;'PlayerGrades+'!$AB$2,"S","S+"))))))))))))))))))))</f>
        <v>F-</v>
      </c>
      <c r="H353" s="937">
        <f t="shared" si="3"/>
        <v>0.2816901408</v>
      </c>
      <c r="I353" s="937" t="str">
        <f>IF(H353&lt;'PlayerGrades+'!$AC$21,"F-",IF(H353&lt;'PlayerGrades+'!$AC$20,"F",IF(H353&lt;'PlayerGrades+'!$AC$19,"F+",IF(H353&lt;'PlayerGrades+'!$AC$18,"E-",IF(H353&lt;'PlayerGrades+'!$AC$17,"E",IF(H353&lt;'PlayerGrades+'!$AC$16,"E+",IF(H353&lt;'PlayerGrades+'!$AC$15,"D-",IF(H353&lt;'PlayerGrades+'!$AC$14,"D",IF(H353&lt;'PlayerGrades+'!$AC$13,"D+",IF(H353&lt;'PlayerGrades+'!$AC$12,"C-",IF(H353&lt;'PlayerGrades+'!$AC$11,"C",IF(H353&lt;'PlayerGrades+'!$AC$10,"C+",IF(H353&lt;'PlayerGrades+'!$AC$9,"B-",IF(H353&lt;'PlayerGrades+'!$AC$8,"B",IF(H353&lt;'PlayerGrades+'!$AC$7,"B+",IF(H353&lt;'PlayerGrades+'!$AC$6,"A-",IF(H353&lt;'PlayerGrades+'!$AC$5,"A",IF(H353&lt;'PlayerGrades+'!$AC$4,"A+",IF(H353&lt;'PlayerGrades+'!$AC$3,"S-",IF(H353&lt;'PlayerGrades+'!$AC$2,"S","S+"))))))))))))))))))))</f>
        <v>S</v>
      </c>
      <c r="J353" s="937">
        <f t="shared" si="4"/>
        <v>0</v>
      </c>
      <c r="K353" s="937" t="str">
        <f>IF(J353&lt;'PlayerGrades+'!$AD$21,"F-",IF(J353&lt;'PlayerGrades+'!$AD$20,"F",IF(J353&lt;'PlayerGrades+'!$AD$19,"F+",IF(J353&lt;'PlayerGrades+'!$AD$18,"E-",IF(J353&lt;'PlayerGrades+'!$AD$17,"E",IF(J353&lt;'PlayerGrades+'!$AD$16,"E+",IF(J353&lt;'PlayerGrades+'!$AD$15,"D-",IF(J353&lt;'PlayerGrades+'!$AD$14,"D",IF(J353&lt;'PlayerGrades+'!$AD$13,"D+",IF(J353&lt;'PlayerGrades+'!$AD$12,"C-",IF(J353&lt;'PlayerGrades+'!$AD$11,"C",IF(J353&lt;'PlayerGrades+'!$AD$10,"C+",IF(J353&lt;'PlayerGrades+'!$AD$9,"B-",IF(J353&lt;'PlayerGrades+'!$AD$8,"B",IF(J353&lt;'PlayerGrades+'!$AD$7,"B+",IF(J353&lt;'PlayerGrades+'!$AD$6,"A-",IF(J353&lt;'PlayerGrades+'!$AD$5,"A",IF(J353&lt;'PlayerGrades+'!$AD$4,"A+",IF(J353&lt;'PlayerGrades+'!$AD$3,"S-",IF(J353&lt;'PlayerGrades+'!$AD$2,"S","S+"))))))))))))))))))))</f>
        <v>F-</v>
      </c>
      <c r="L353" s="677">
        <f t="shared" si="5"/>
        <v>0.5633802817</v>
      </c>
      <c r="M353" s="938" t="str">
        <f>IF(L353&lt;'PlayerGrades+'!$AE$21,"F-",IF(L353&lt;'PlayerGrades+'!$AE$20,"F",IF(L353&lt;'PlayerGrades+'!$AE$19,"F+",IF(L353&lt;'PlayerGrades+'!$AE$18,"E-",IF(L353&lt;'PlayerGrades+'!$AE$17,"E",IF(L353&lt;'PlayerGrades+'!$AE$16,"E+",IF(L353&lt;'PlayerGrades+'!$AE$15,"D-",IF(L353&lt;'PlayerGrades+'!$AE$14,"D",IF(L353&lt;'PlayerGrades+'!$AE$13,"D+",IF(L353&lt;'PlayerGrades+'!$AE$12,"C-",IF(L353&lt;'PlayerGrades+'!$AE$11,"C",IF(L353&lt;'PlayerGrades+'!$AE$10,"C+",IF(L353&lt;'PlayerGrades+'!$AE$9,"B-",IF(L353&lt;'PlayerGrades+'!$AE$8,"B",IF(L353&lt;'PlayerGrades+'!$AE$7,"B+",IF(L353&lt;'PlayerGrades+'!$AE$6,"A-",IF(L353&lt;'PlayerGrades+'!$AE$5,"A",IF(L353&lt;'PlayerGrades+'!$AE$4,"A+",IF(L353&lt;'PlayerGrades+'!$AE$3,"S-",IF(L353&lt;'PlayerGrades+'!$AE$2,"S","S+"))))))))))))))))))))</f>
        <v>A</v>
      </c>
      <c r="N353" s="937">
        <f t="shared" si="6"/>
        <v>0</v>
      </c>
      <c r="O353" s="937" t="str">
        <f>IF(N353&lt;'PlayerGrades+'!$AF$21,"F-",IF(N353&lt;'PlayerGrades+'!$AF$20,"F",IF(N353&lt;'PlayerGrades+'!$AF$19,"F+",IF(N353&lt;'PlayerGrades+'!$AF$18,"E-",IF(N353&lt;'PlayerGrades+'!$AF$17,"E",IF(N353&lt;'PlayerGrades+'!$AF$16,"E+",IF(N353&lt;'PlayerGrades+'!$AF$15,"D-",IF(N353&lt;'PlayerGrades+'!$AF$14,"D",IF(N353&lt;'PlayerGrades+'!$AF$13,"D+",IF(N353&lt;'PlayerGrades+'!$AF$12,"C-",IF(N353&lt;'PlayerGrades+'!$AF$11,"C",IF(N353&lt;'PlayerGrades+'!$AF$10,"C+",IF(N353&lt;'PlayerGrades+'!$AF$9,"B-",IF(N353&lt;'PlayerGrades+'!$AF$8,"B",IF(N353&lt;'PlayerGrades+'!$AF$7,"B+",IF(N353&lt;'PlayerGrades+'!$AF$6,"A-",IF(N353&lt;'PlayerGrades+'!$AF$5,"A",IF(N353&lt;'PlayerGrades+'!$AF$4,"A+",IF(N353&lt;'PlayerGrades+'!$AF$3,"S-",IF(N353&lt;'PlayerGrades+'!$AF$2,"S","S+"))))))))))))))))))))</f>
        <v>F-</v>
      </c>
      <c r="P353" s="937">
        <f t="shared" si="7"/>
        <v>0</v>
      </c>
      <c r="Q353" s="937" t="str">
        <f>IF(P353&lt;'PlayerGrades+'!$AG$21,"F-",IF(P353&lt;'PlayerGrades+'!$AG$20,"F",IF(P353&lt;'PlayerGrades+'!$AG$19,"F+",IF(P353&lt;'PlayerGrades+'!$AG$18,"E-",IF(P353&lt;'PlayerGrades+'!$AG$17,"E",IF(P353&lt;'PlayerGrades+'!$AG$16,"E+",IF(P353&lt;'PlayerGrades+'!$AG$15,"D-",IF(P353&lt;'PlayerGrades+'!$AG$14,"D",IF(P353&lt;'PlayerGrades+'!$AG$13,"D+",IF(P353&lt;'PlayerGrades+'!$AG$12,"C-",IF(P353&lt;'PlayerGrades+'!$AG$11,"C",IF(P353&lt;'PlayerGrades+'!$AG$10,"C+",IF(P353&lt;'PlayerGrades+'!$AG$9,"B-",IF(P353&lt;'PlayerGrades+'!$AG$8,"B",IF(P353&lt;'PlayerGrades+'!$AG$7,"B+",IF(P353&lt;'PlayerGrades+'!$AG$6,"A-",IF(P353&lt;'PlayerGrades+'!$AG$5,"A",IF(P353&lt;'PlayerGrades+'!$AG$4,"A+",IF(P353&lt;'PlayerGrades+'!$AG$3,"S-",IF(P353&lt;'PlayerGrades+'!$AG$2,"S","S+"))))))))))))))))))))</f>
        <v>F</v>
      </c>
      <c r="R353" s="937">
        <f t="shared" si="8"/>
        <v>0.5633802817</v>
      </c>
      <c r="S353" s="937" t="str">
        <f>IF(R353&lt;'PlayerGrades+'!$AH$21,"F-",IF(R353&lt;'PlayerGrades+'!$AH$20,"F",IF(R353&lt;'PlayerGrades+'!$AH$19,"F+",IF(R353&lt;'PlayerGrades+'!$AH$18,"E-",IF(R353&lt;'PlayerGrades+'!$AH$17,"E",IF(R353&lt;'PlayerGrades+'!$AH$16,"E+",IF(R353&lt;'PlayerGrades+'!$AH$15,"D-",IF(R353&lt;'PlayerGrades+'!$AH$14,"D",IF(R353&lt;'PlayerGrades+'!$AH$13,"D+",IF(R353&lt;'PlayerGrades+'!$AH$12,"C-",IF(R353&lt;'PlayerGrades+'!$AH$11,"C",IF(R353&lt;'PlayerGrades+'!$AH$10,"C+",IF(R353&lt;'PlayerGrades+'!$AH$9,"B-",IF(R353&lt;'PlayerGrades+'!$AH$8,"B",IF(R353&lt;'PlayerGrades+'!$AH$7,"B+",IF(R353&lt;'PlayerGrades+'!$AH$6,"A-",IF(R353&lt;'PlayerGrades+'!$AH$5,"A",IF(R353&lt;'PlayerGrades+'!$AH$4,"A+",IF(R353&lt;'PlayerGrades+'!$AH$3,"S-",IF(R353&lt;'PlayerGrades+'!$AH$2,"S","S+"))))))))))))))))))))</f>
        <v>B-</v>
      </c>
      <c r="T353" s="937">
        <f t="shared" si="9"/>
        <v>1.14084507</v>
      </c>
      <c r="U353" s="937" t="str">
        <f>IF(T353&lt;'PlayerGrades+'!$AI$21,"F-",IF(T353&lt;'PlayerGrades+'!$AI$20,"F",IF(T353&lt;'PlayerGrades+'!$AI$19,"F+",IF(T353&lt;'PlayerGrades+'!$AI$18,"E-",IF(T353&lt;'PlayerGrades+'!$AI$17,"E",IF(T353&lt;'PlayerGrades+'!$AI$16,"E+",IF(T353&lt;'PlayerGrades+'!$AI$15,"D-",IF(T353&lt;'PlayerGrades+'!$AI$14,"D",IF(T353&lt;'PlayerGrades+'!$AI$13,"D+",IF(T353&lt;'PlayerGrades+'!$AI$12,"C-",IF(T353&lt;'PlayerGrades+'!$AI$11,"C",IF(T353&lt;'PlayerGrades+'!$AI$10,"C+",IF(T353&lt;'PlayerGrades+'!$AI$9,"B-",IF(T353&lt;'PlayerGrades+'!$AI$8,"B",IF(T353&lt;'PlayerGrades+'!$AI$7,"B+",IF(T353&lt;'PlayerGrades+'!$AI$6,"A-",IF(T353&lt;'PlayerGrades+'!$AI$5,"A",IF(T353&lt;'PlayerGrades+'!$AI$4,"A+",IF(T353&lt;'PlayerGrades+'!$AI$3,"S-",IF(T353&lt;'PlayerGrades+'!$AI$2,"S","S+"))))))))))))))))))))</f>
        <v>D</v>
      </c>
      <c r="V353" s="944">
        <v>1.0</v>
      </c>
      <c r="W353" s="944">
        <v>0.0</v>
      </c>
      <c r="X353" s="944">
        <v>1.0</v>
      </c>
      <c r="Y353" s="944">
        <v>0.0</v>
      </c>
      <c r="Z353" s="944">
        <v>0.0</v>
      </c>
      <c r="AA353" s="944">
        <v>17.0</v>
      </c>
      <c r="AB353" s="944">
        <v>34.0</v>
      </c>
      <c r="AC353" s="944">
        <v>-17.0</v>
      </c>
      <c r="AD353" s="944">
        <v>3.0</v>
      </c>
      <c r="AE353" s="944">
        <v>2.0</v>
      </c>
      <c r="AF353" s="944">
        <v>0.0</v>
      </c>
      <c r="AG353" s="944">
        <v>230.0</v>
      </c>
      <c r="AH353" s="944">
        <v>426.0</v>
      </c>
      <c r="AI353" s="944">
        <v>6.0</v>
      </c>
      <c r="AJ353" s="944">
        <v>0.0</v>
      </c>
      <c r="AK353" s="944">
        <v>0.0</v>
      </c>
      <c r="AL353" s="944">
        <v>0.0</v>
      </c>
      <c r="AM353" s="944">
        <v>0.0</v>
      </c>
      <c r="AN353" s="944">
        <v>0.0</v>
      </c>
      <c r="AO353" s="944">
        <v>0.0</v>
      </c>
      <c r="AP353" s="944">
        <v>0.0</v>
      </c>
      <c r="AQ353" s="944">
        <v>0.0</v>
      </c>
      <c r="AR353" s="944">
        <v>4.0</v>
      </c>
      <c r="AS353" s="944">
        <v>0.0</v>
      </c>
      <c r="AT353" s="944">
        <v>0.0</v>
      </c>
      <c r="AU353" s="944">
        <v>0.0</v>
      </c>
      <c r="AV353" s="944">
        <v>0.0</v>
      </c>
      <c r="AW353" s="944">
        <v>0.0</v>
      </c>
      <c r="AX353" s="944">
        <v>0.0</v>
      </c>
      <c r="AY353" s="944">
        <v>0.0</v>
      </c>
      <c r="AZ353" s="944">
        <v>0.0</v>
      </c>
      <c r="BA353" s="944">
        <v>0.0</v>
      </c>
      <c r="BB353" s="944">
        <v>2.0</v>
      </c>
      <c r="BC353" s="944">
        <v>0.0</v>
      </c>
      <c r="BD353" s="944">
        <v>1.0</v>
      </c>
      <c r="BE353" s="944">
        <v>1.0</v>
      </c>
      <c r="BF353" s="944">
        <v>1.0</v>
      </c>
      <c r="BG353" s="945">
        <v>1.0</v>
      </c>
    </row>
    <row r="354">
      <c r="A354" s="946" t="s">
        <v>141</v>
      </c>
      <c r="B354" s="16" t="str">
        <f>IF(C354&lt;'PlayerGrades+'!$Y$44,"F-",IF(C354&lt;'PlayerGrades+'!$Y$43,"F",IF(C354&lt;'PlayerGrades+'!$Y$42,"F+",IF(C354&lt;'PlayerGrades+'!$Y$41,"E-",IF(C354&lt;'PlayerGrades+'!$Y$40,"E",IF(C354&lt;'PlayerGrades+'!$Y$39,"E+",IF(C354&lt;'PlayerGrades+'!$Y$38,"D-",IF(C354&lt;'PlayerGrades+'!$Y$37,"D",IF(C354&lt;'PlayerGrades+'!$Y$36,"D+",IF(C354&lt;'PlayerGrades+'!$Y$35,"C-",IF(C354&lt;'PlayerGrades+'!$Y$34,"C",IF(C354&lt;'PlayerGrades+'!$Y$33,"C+",IF(C354&lt;'PlayerGrades+'!$Y$32,"B-",IF(C354&lt;'PlayerGrades+'!$Y$31,"B",IF(C354&lt;'PlayerGrades+'!$Y$30,"B+",IF(C354&lt;'PlayerGrades+'!$Y$29,"A-",IF(C354&lt;'PlayerGrades+'!$Y$28,"A",IF(C354&lt;'PlayerGrades+'!$Y$27,"A+",IF(C354&lt;'PlayerGrades+'!$Y$26,"S-",IF(C354&lt;'PlayerGrades+'!$Y$25,"S","S+"))))))))))))))))))))</f>
        <v>F+</v>
      </c>
      <c r="C354" s="936">
        <f>('PlayerGrades+'!$Y$47*(VLOOKUP(E354, 'PlayerGrades+'!$X$3:$Y$23, 2, FALSE)))+('PlayerGrades+'!$Y$48*(VLOOKUP(G354, 'PlayerGrades+'!$X$3:$Y$23, 2, FALSE)))+('PlayerGrades+'!$Y$49*(VLOOKUP(I354, 'PlayerGrades+'!$X$3:$Y$23, 2, FALSE)))+('PlayerGrades+'!$Y$50*(VLOOKUP(K354, 'PlayerGrades+'!$X$3:$Y$23, 2, FALSE)))+('PlayerGrades+'!$Y$51*(VLOOKUP(M354, 'PlayerGrades+'!$X$3:$Y$23, 2, FALSE)))+('PlayerGrades+'!$Y$52*(VLOOKUP(O354, 'PlayerGrades+'!$X$3:$Y$23, 2, FALSE)))+('PlayerGrades+'!$Y$53*(VLOOKUP(Q354, 'PlayerGrades+'!$X$3:$Y$23, 2, FALSE)))+('PlayerGrades+'!$Y$54*(VLOOKUP(S354, 'PlayerGrades+'!$X$3:$Y$23, 2, FALSE)))+('PlayerGrades+'!$Y$55*(VLOOKUP(U354, 'PlayerGrades+'!$X$3:$Y$23, 2, FALSE)))</f>
        <v>10.4</v>
      </c>
      <c r="D354" s="937">
        <f t="shared" si="1"/>
        <v>0.6444683136</v>
      </c>
      <c r="E354" s="937" t="str">
        <f>IF(D354&lt;'PlayerGrades+'!$AA$21,"F-",IF(D354&lt;'PlayerGrades+'!$AA$20,"F",IF(D354&lt;'PlayerGrades+'!$AA$19,"F+",IF(D354&lt;'PlayerGrades+'!$AA$18,"E-",IF(D354&lt;'PlayerGrades+'!$AA$17,"E",IF(D354&lt;'PlayerGrades+'!$AA$16,"E+",IF(D354&lt;'PlayerGrades+'!$AA$15,"D-",IF(D354&lt;'PlayerGrades+'!$AA$14,"D",IF(D354&lt;'PlayerGrades+'!$AA$13,"D+",IF(D354&lt;'PlayerGrades+'!$AA$12,"C-",IF(D354&lt;'PlayerGrades+'!$AA$11,"C",IF(D354&lt;'PlayerGrades+'!$AA$10,"C+",IF(D354&lt;'PlayerGrades+'!$AA$9,"B-",IF(D354&lt;'PlayerGrades+'!$AA$8,"B",IF(D354&lt;'PlayerGrades+'!$AA$7,"B+",IF(D354&lt;'PlayerGrades+'!$AA$6,"A-",IF(D354&lt;'PlayerGrades+'!$AA$5,"A",IF(D354&lt;'PlayerGrades+'!$AA$4,"A+",IF(D354&lt;'PlayerGrades+'!$AA$3,"S-",IF(D354&lt;'PlayerGrades+'!$AA$2,"S","S+"))))))))))))))))))))</f>
        <v>S-</v>
      </c>
      <c r="F354" s="937">
        <f t="shared" si="2"/>
        <v>-0.9667024705</v>
      </c>
      <c r="G354" s="937" t="str">
        <f>IF(F354&lt;'PlayerGrades+'!$AB$21,"F-",IF(F354&lt;'PlayerGrades+'!$AB$20,"F",IF(F354&lt;'PlayerGrades+'!$AB$19,"F+",IF(F354&lt;'PlayerGrades+'!$AB$18,"E-",IF(F354&lt;'PlayerGrades+'!$AB$17,"E",IF(F354&lt;'PlayerGrades+'!$AB$16,"E+",IF(F354&lt;'PlayerGrades+'!$AB$15,"D-",IF(F354&lt;'PlayerGrades+'!$AB$14,"D",IF(F354&lt;'PlayerGrades+'!$AB$13,"D+",IF(F354&lt;'PlayerGrades+'!$AB$12,"C-",IF(F354&lt;'PlayerGrades+'!$AB$11,"C",IF(F354&lt;'PlayerGrades+'!$AB$10,"C+",IF(F354&lt;'PlayerGrades+'!$AB$9,"B-",IF(F354&lt;'PlayerGrades+'!$AB$8,"B",IF(F354&lt;'PlayerGrades+'!$AB$7,"B+",IF(F354&lt;'PlayerGrades+'!$AB$6,"A-",IF(F354&lt;'PlayerGrades+'!$AB$5,"A",IF(F354&lt;'PlayerGrades+'!$AB$4,"A+",IF(F354&lt;'PlayerGrades+'!$AB$3,"S-",IF(F354&lt;'PlayerGrades+'!$AB$2,"S","S+"))))))))))))))))))))</f>
        <v>F+</v>
      </c>
      <c r="H354" s="937">
        <f t="shared" si="3"/>
        <v>0.06444683136</v>
      </c>
      <c r="I354" s="937" t="str">
        <f>IF(H354&lt;'PlayerGrades+'!$AC$21,"F-",IF(H354&lt;'PlayerGrades+'!$AC$20,"F",IF(H354&lt;'PlayerGrades+'!$AC$19,"F+",IF(H354&lt;'PlayerGrades+'!$AC$18,"E-",IF(H354&lt;'PlayerGrades+'!$AC$17,"E",IF(H354&lt;'PlayerGrades+'!$AC$16,"E+",IF(H354&lt;'PlayerGrades+'!$AC$15,"D-",IF(H354&lt;'PlayerGrades+'!$AC$14,"D",IF(H354&lt;'PlayerGrades+'!$AC$13,"D+",IF(H354&lt;'PlayerGrades+'!$AC$12,"C-",IF(H354&lt;'PlayerGrades+'!$AC$11,"C",IF(H354&lt;'PlayerGrades+'!$AC$10,"C+",IF(H354&lt;'PlayerGrades+'!$AC$9,"B-",IF(H354&lt;'PlayerGrades+'!$AC$8,"B",IF(H354&lt;'PlayerGrades+'!$AC$7,"B+",IF(H354&lt;'PlayerGrades+'!$AC$6,"A-",IF(H354&lt;'PlayerGrades+'!$AC$5,"A",IF(H354&lt;'PlayerGrades+'!$AC$4,"A+",IF(H354&lt;'PlayerGrades+'!$AC$3,"S-",IF(H354&lt;'PlayerGrades+'!$AC$2,"S","S+"))))))))))))))))))))</f>
        <v>E-</v>
      </c>
      <c r="J354" s="937">
        <f t="shared" si="4"/>
        <v>0</v>
      </c>
      <c r="K354" s="937" t="str">
        <f>IF(J354&lt;'PlayerGrades+'!$AD$21,"F-",IF(J354&lt;'PlayerGrades+'!$AD$20,"F",IF(J354&lt;'PlayerGrades+'!$AD$19,"F+",IF(J354&lt;'PlayerGrades+'!$AD$18,"E-",IF(J354&lt;'PlayerGrades+'!$AD$17,"E",IF(J354&lt;'PlayerGrades+'!$AD$16,"E+",IF(J354&lt;'PlayerGrades+'!$AD$15,"D-",IF(J354&lt;'PlayerGrades+'!$AD$14,"D",IF(J354&lt;'PlayerGrades+'!$AD$13,"D+",IF(J354&lt;'PlayerGrades+'!$AD$12,"C-",IF(J354&lt;'PlayerGrades+'!$AD$11,"C",IF(J354&lt;'PlayerGrades+'!$AD$10,"C+",IF(J354&lt;'PlayerGrades+'!$AD$9,"B-",IF(J354&lt;'PlayerGrades+'!$AD$8,"B",IF(J354&lt;'PlayerGrades+'!$AD$7,"B+",IF(J354&lt;'PlayerGrades+'!$AD$6,"A-",IF(J354&lt;'PlayerGrades+'!$AD$5,"A",IF(J354&lt;'PlayerGrades+'!$AD$4,"A+",IF(J354&lt;'PlayerGrades+'!$AD$3,"S-",IF(J354&lt;'PlayerGrades+'!$AD$2,"S","S+"))))))))))))))))))))</f>
        <v>F-</v>
      </c>
      <c r="L354" s="677">
        <f t="shared" si="5"/>
        <v>0.2577873255</v>
      </c>
      <c r="M354" s="938" t="str">
        <f>IF(L354&lt;'PlayerGrades+'!$AE$21,"F-",IF(L354&lt;'PlayerGrades+'!$AE$20,"F",IF(L354&lt;'PlayerGrades+'!$AE$19,"F+",IF(L354&lt;'PlayerGrades+'!$AE$18,"E-",IF(L354&lt;'PlayerGrades+'!$AE$17,"E",IF(L354&lt;'PlayerGrades+'!$AE$16,"E+",IF(L354&lt;'PlayerGrades+'!$AE$15,"D-",IF(L354&lt;'PlayerGrades+'!$AE$14,"D",IF(L354&lt;'PlayerGrades+'!$AE$13,"D+",IF(L354&lt;'PlayerGrades+'!$AE$12,"C-",IF(L354&lt;'PlayerGrades+'!$AE$11,"C",IF(L354&lt;'PlayerGrades+'!$AE$10,"C+",IF(L354&lt;'PlayerGrades+'!$AE$9,"B-",IF(L354&lt;'PlayerGrades+'!$AE$8,"B",IF(L354&lt;'PlayerGrades+'!$AE$7,"B+",IF(L354&lt;'PlayerGrades+'!$AE$6,"A-",IF(L354&lt;'PlayerGrades+'!$AE$5,"A",IF(L354&lt;'PlayerGrades+'!$AE$4,"A+",IF(L354&lt;'PlayerGrades+'!$AE$3,"S-",IF(L354&lt;'PlayerGrades+'!$AE$2,"S","S+"))))))))))))))))))))</f>
        <v>F</v>
      </c>
      <c r="N354" s="937">
        <f t="shared" si="6"/>
        <v>0</v>
      </c>
      <c r="O354" s="937" t="str">
        <f>IF(N354&lt;'PlayerGrades+'!$AF$21,"F-",IF(N354&lt;'PlayerGrades+'!$AF$20,"F",IF(N354&lt;'PlayerGrades+'!$AF$19,"F+",IF(N354&lt;'PlayerGrades+'!$AF$18,"E-",IF(N354&lt;'PlayerGrades+'!$AF$17,"E",IF(N354&lt;'PlayerGrades+'!$AF$16,"E+",IF(N354&lt;'PlayerGrades+'!$AF$15,"D-",IF(N354&lt;'PlayerGrades+'!$AF$14,"D",IF(N354&lt;'PlayerGrades+'!$AF$13,"D+",IF(N354&lt;'PlayerGrades+'!$AF$12,"C-",IF(N354&lt;'PlayerGrades+'!$AF$11,"C",IF(N354&lt;'PlayerGrades+'!$AF$10,"C+",IF(N354&lt;'PlayerGrades+'!$AF$9,"B-",IF(N354&lt;'PlayerGrades+'!$AF$8,"B",IF(N354&lt;'PlayerGrades+'!$AF$7,"B+",IF(N354&lt;'PlayerGrades+'!$AF$6,"A-",IF(N354&lt;'PlayerGrades+'!$AF$5,"A",IF(N354&lt;'PlayerGrades+'!$AF$4,"A+",IF(N354&lt;'PlayerGrades+'!$AF$3,"S-",IF(N354&lt;'PlayerGrades+'!$AF$2,"S","S+"))))))))))))))))))))</f>
        <v>F-</v>
      </c>
      <c r="P354" s="937">
        <f t="shared" si="7"/>
        <v>0</v>
      </c>
      <c r="Q354" s="937" t="str">
        <f>IF(P354&lt;'PlayerGrades+'!$AG$21,"F-",IF(P354&lt;'PlayerGrades+'!$AG$20,"F",IF(P354&lt;'PlayerGrades+'!$AG$19,"F+",IF(P354&lt;'PlayerGrades+'!$AG$18,"E-",IF(P354&lt;'PlayerGrades+'!$AG$17,"E",IF(P354&lt;'PlayerGrades+'!$AG$16,"E+",IF(P354&lt;'PlayerGrades+'!$AG$15,"D-",IF(P354&lt;'PlayerGrades+'!$AG$14,"D",IF(P354&lt;'PlayerGrades+'!$AG$13,"D+",IF(P354&lt;'PlayerGrades+'!$AG$12,"C-",IF(P354&lt;'PlayerGrades+'!$AG$11,"C",IF(P354&lt;'PlayerGrades+'!$AG$10,"C+",IF(P354&lt;'PlayerGrades+'!$AG$9,"B-",IF(P354&lt;'PlayerGrades+'!$AG$8,"B",IF(P354&lt;'PlayerGrades+'!$AG$7,"B+",IF(P354&lt;'PlayerGrades+'!$AG$6,"A-",IF(P354&lt;'PlayerGrades+'!$AG$5,"A",IF(P354&lt;'PlayerGrades+'!$AG$4,"A+",IF(P354&lt;'PlayerGrades+'!$AG$3,"S-",IF(P354&lt;'PlayerGrades+'!$AG$2,"S","S+"))))))))))))))))))))</f>
        <v>F</v>
      </c>
      <c r="R354" s="937">
        <f t="shared" si="8"/>
        <v>0.5155746509</v>
      </c>
      <c r="S354" s="937" t="str">
        <f>IF(R354&lt;'PlayerGrades+'!$AH$21,"F-",IF(R354&lt;'PlayerGrades+'!$AH$20,"F",IF(R354&lt;'PlayerGrades+'!$AH$19,"F+",IF(R354&lt;'PlayerGrades+'!$AH$18,"E-",IF(R354&lt;'PlayerGrades+'!$AH$17,"E",IF(R354&lt;'PlayerGrades+'!$AH$16,"E+",IF(R354&lt;'PlayerGrades+'!$AH$15,"D-",IF(R354&lt;'PlayerGrades+'!$AH$14,"D",IF(R354&lt;'PlayerGrades+'!$AH$13,"D+",IF(R354&lt;'PlayerGrades+'!$AH$12,"C-",IF(R354&lt;'PlayerGrades+'!$AH$11,"C",IF(R354&lt;'PlayerGrades+'!$AH$10,"C+",IF(R354&lt;'PlayerGrades+'!$AH$9,"B-",IF(R354&lt;'PlayerGrades+'!$AH$8,"B",IF(R354&lt;'PlayerGrades+'!$AH$7,"B+",IF(R354&lt;'PlayerGrades+'!$AH$6,"A-",IF(R354&lt;'PlayerGrades+'!$AH$5,"A",IF(R354&lt;'PlayerGrades+'!$AH$4,"A+",IF(R354&lt;'PlayerGrades+'!$AH$3,"S-",IF(R354&lt;'PlayerGrades+'!$AH$2,"S","S+"))))))))))))))))))))</f>
        <v>D+</v>
      </c>
      <c r="T354" s="937">
        <f t="shared" si="9"/>
        <v>0.3866809882</v>
      </c>
      <c r="U354" s="937" t="str">
        <f>IF(T354&lt;'PlayerGrades+'!$AI$21,"F-",IF(T354&lt;'PlayerGrades+'!$AI$20,"F",IF(T354&lt;'PlayerGrades+'!$AI$19,"F+",IF(T354&lt;'PlayerGrades+'!$AI$18,"E-",IF(T354&lt;'PlayerGrades+'!$AI$17,"E",IF(T354&lt;'PlayerGrades+'!$AI$16,"E+",IF(T354&lt;'PlayerGrades+'!$AI$15,"D-",IF(T354&lt;'PlayerGrades+'!$AI$14,"D",IF(T354&lt;'PlayerGrades+'!$AI$13,"D+",IF(T354&lt;'PlayerGrades+'!$AI$12,"C-",IF(T354&lt;'PlayerGrades+'!$AI$11,"C",IF(T354&lt;'PlayerGrades+'!$AI$10,"C+",IF(T354&lt;'PlayerGrades+'!$AI$9,"B-",IF(T354&lt;'PlayerGrades+'!$AI$8,"B",IF(T354&lt;'PlayerGrades+'!$AI$7,"B+",IF(T354&lt;'PlayerGrades+'!$AI$6,"A-",IF(T354&lt;'PlayerGrades+'!$AI$5,"A",IF(T354&lt;'PlayerGrades+'!$AI$4,"A+",IF(T354&lt;'PlayerGrades+'!$AI$3,"S-",IF(T354&lt;'PlayerGrades+'!$AI$2,"S","S+"))))))))))))))))))))</f>
        <v>F-</v>
      </c>
      <c r="V354" s="939">
        <v>1.0</v>
      </c>
      <c r="W354" s="939">
        <v>1.0</v>
      </c>
      <c r="X354" s="939">
        <v>0.0</v>
      </c>
      <c r="Y354" s="939">
        <v>3.0</v>
      </c>
      <c r="Z354" s="939">
        <v>7.0</v>
      </c>
      <c r="AA354" s="939">
        <v>44.0</v>
      </c>
      <c r="AB354" s="939">
        <v>59.0</v>
      </c>
      <c r="AC354" s="939">
        <v>-15.0</v>
      </c>
      <c r="AD354" s="939">
        <v>0.0</v>
      </c>
      <c r="AE354" s="939">
        <v>4.0</v>
      </c>
      <c r="AF354" s="939">
        <v>2.0</v>
      </c>
      <c r="AG354" s="939">
        <v>639.0</v>
      </c>
      <c r="AH354" s="939">
        <v>931.0</v>
      </c>
      <c r="AI354" s="939">
        <v>10.0</v>
      </c>
      <c r="AJ354" s="939">
        <v>213.0</v>
      </c>
      <c r="AK354" s="939">
        <v>0.0</v>
      </c>
      <c r="AL354" s="939">
        <v>0.0</v>
      </c>
      <c r="AM354" s="939">
        <v>0.0</v>
      </c>
      <c r="AN354" s="939">
        <v>0.0</v>
      </c>
      <c r="AO354" s="939">
        <v>0.0</v>
      </c>
      <c r="AP354" s="939">
        <v>0.0</v>
      </c>
      <c r="AQ354" s="939">
        <v>0.0</v>
      </c>
      <c r="AR354" s="939">
        <v>4.0</v>
      </c>
      <c r="AS354" s="939">
        <v>0.0</v>
      </c>
      <c r="AT354" s="939">
        <v>0.0</v>
      </c>
      <c r="AU354" s="939">
        <v>0.0</v>
      </c>
      <c r="AV354" s="939">
        <v>0.0</v>
      </c>
      <c r="AW354" s="939">
        <v>0.0</v>
      </c>
      <c r="AX354" s="939">
        <v>0.0</v>
      </c>
      <c r="AY354" s="939">
        <v>0.0</v>
      </c>
      <c r="AZ354" s="939">
        <v>0.0</v>
      </c>
      <c r="BA354" s="939">
        <v>0.0</v>
      </c>
      <c r="BB354" s="939">
        <v>1.0</v>
      </c>
      <c r="BC354" s="939">
        <v>0.0</v>
      </c>
      <c r="BD354" s="939">
        <v>8.0</v>
      </c>
      <c r="BE354" s="939">
        <v>6.0</v>
      </c>
      <c r="BF354" s="939">
        <v>0.0</v>
      </c>
      <c r="BG354" s="940">
        <v>0.0</v>
      </c>
    </row>
    <row r="355">
      <c r="A355" s="935" t="s">
        <v>119</v>
      </c>
      <c r="B355" s="16" t="str">
        <f>IF(C355&lt;'PlayerGrades+'!$Y$44,"F-",IF(C355&lt;'PlayerGrades+'!$Y$43,"F",IF(C355&lt;'PlayerGrades+'!$Y$42,"F+",IF(C355&lt;'PlayerGrades+'!$Y$41,"E-",IF(C355&lt;'PlayerGrades+'!$Y$40,"E",IF(C355&lt;'PlayerGrades+'!$Y$39,"E+",IF(C355&lt;'PlayerGrades+'!$Y$38,"D-",IF(C355&lt;'PlayerGrades+'!$Y$37,"D",IF(C355&lt;'PlayerGrades+'!$Y$36,"D+",IF(C355&lt;'PlayerGrades+'!$Y$35,"C-",IF(C355&lt;'PlayerGrades+'!$Y$34,"C",IF(C355&lt;'PlayerGrades+'!$Y$33,"C+",IF(C355&lt;'PlayerGrades+'!$Y$32,"B-",IF(C355&lt;'PlayerGrades+'!$Y$31,"B",IF(C355&lt;'PlayerGrades+'!$Y$30,"B+",IF(C355&lt;'PlayerGrades+'!$Y$29,"A-",IF(C355&lt;'PlayerGrades+'!$Y$28,"A",IF(C355&lt;'PlayerGrades+'!$Y$27,"A+",IF(C355&lt;'PlayerGrades+'!$Y$26,"S-",IF(C355&lt;'PlayerGrades+'!$Y$25,"S","S+"))))))))))))))))))))</f>
        <v>S-</v>
      </c>
      <c r="C355" s="936">
        <f>('PlayerGrades+'!$Y$47*(VLOOKUP(E355, 'PlayerGrades+'!$X$3:$Y$23, 2, FALSE)))+('PlayerGrades+'!$Y$48*(VLOOKUP(G355, 'PlayerGrades+'!$X$3:$Y$23, 2, FALSE)))+('PlayerGrades+'!$Y$49*(VLOOKUP(I355, 'PlayerGrades+'!$X$3:$Y$23, 2, FALSE)))+('PlayerGrades+'!$Y$50*(VLOOKUP(K355, 'PlayerGrades+'!$X$3:$Y$23, 2, FALSE)))+('PlayerGrades+'!$Y$51*(VLOOKUP(M355, 'PlayerGrades+'!$X$3:$Y$23, 2, FALSE)))+('PlayerGrades+'!$Y$52*(VLOOKUP(O355, 'PlayerGrades+'!$X$3:$Y$23, 2, FALSE)))+('PlayerGrades+'!$Y$53*(VLOOKUP(Q355, 'PlayerGrades+'!$X$3:$Y$23, 2, FALSE)))+('PlayerGrades+'!$Y$54*(VLOOKUP(S355, 'PlayerGrades+'!$X$3:$Y$23, 2, FALSE)))+('PlayerGrades+'!$Y$55*(VLOOKUP(U355, 'PlayerGrades+'!$X$3:$Y$23, 2, FALSE)))</f>
        <v>30.5</v>
      </c>
      <c r="D355" s="937">
        <f t="shared" si="1"/>
        <v>0.5155746509</v>
      </c>
      <c r="E355" s="937" t="str">
        <f>IF(D355&lt;'PlayerGrades+'!$AA$21,"F-",IF(D355&lt;'PlayerGrades+'!$AA$20,"F",IF(D355&lt;'PlayerGrades+'!$AA$19,"F+",IF(D355&lt;'PlayerGrades+'!$AA$18,"E-",IF(D355&lt;'PlayerGrades+'!$AA$17,"E",IF(D355&lt;'PlayerGrades+'!$AA$16,"E+",IF(D355&lt;'PlayerGrades+'!$AA$15,"D-",IF(D355&lt;'PlayerGrades+'!$AA$14,"D",IF(D355&lt;'PlayerGrades+'!$AA$13,"D+",IF(D355&lt;'PlayerGrades+'!$AA$12,"C-",IF(D355&lt;'PlayerGrades+'!$AA$11,"C",IF(D355&lt;'PlayerGrades+'!$AA$10,"C+",IF(D355&lt;'PlayerGrades+'!$AA$9,"B-",IF(D355&lt;'PlayerGrades+'!$AA$8,"B",IF(D355&lt;'PlayerGrades+'!$AA$7,"B+",IF(D355&lt;'PlayerGrades+'!$AA$6,"A-",IF(D355&lt;'PlayerGrades+'!$AA$5,"A",IF(D355&lt;'PlayerGrades+'!$AA$4,"A+",IF(D355&lt;'PlayerGrades+'!$AA$3,"S-",IF(D355&lt;'PlayerGrades+'!$AA$2,"S","S+"))))))))))))))))))))</f>
        <v>A+</v>
      </c>
      <c r="F355" s="937">
        <f t="shared" si="2"/>
        <v>0.1288936627</v>
      </c>
      <c r="G355" s="937" t="str">
        <f>IF(F355&lt;'PlayerGrades+'!$AB$21,"F-",IF(F355&lt;'PlayerGrades+'!$AB$20,"F",IF(F355&lt;'PlayerGrades+'!$AB$19,"F+",IF(F355&lt;'PlayerGrades+'!$AB$18,"E-",IF(F355&lt;'PlayerGrades+'!$AB$17,"E",IF(F355&lt;'PlayerGrades+'!$AB$16,"E+",IF(F355&lt;'PlayerGrades+'!$AB$15,"D-",IF(F355&lt;'PlayerGrades+'!$AB$14,"D",IF(F355&lt;'PlayerGrades+'!$AB$13,"D+",IF(F355&lt;'PlayerGrades+'!$AB$12,"C-",IF(F355&lt;'PlayerGrades+'!$AB$11,"C",IF(F355&lt;'PlayerGrades+'!$AB$10,"C+",IF(F355&lt;'PlayerGrades+'!$AB$9,"B-",IF(F355&lt;'PlayerGrades+'!$AB$8,"B",IF(F355&lt;'PlayerGrades+'!$AB$7,"B+",IF(F355&lt;'PlayerGrades+'!$AB$6,"A-",IF(F355&lt;'PlayerGrades+'!$AB$5,"A",IF(F355&lt;'PlayerGrades+'!$AB$4,"A+",IF(F355&lt;'PlayerGrades+'!$AB$3,"S-",IF(F355&lt;'PlayerGrades+'!$AB$2,"S","S+"))))))))))))))))))))</f>
        <v>B+</v>
      </c>
      <c r="H355" s="937">
        <f t="shared" si="3"/>
        <v>0.2577873255</v>
      </c>
      <c r="I355" s="937" t="str">
        <f>IF(H355&lt;'PlayerGrades+'!$AC$21,"F-",IF(H355&lt;'PlayerGrades+'!$AC$20,"F",IF(H355&lt;'PlayerGrades+'!$AC$19,"F+",IF(H355&lt;'PlayerGrades+'!$AC$18,"E-",IF(H355&lt;'PlayerGrades+'!$AC$17,"E",IF(H355&lt;'PlayerGrades+'!$AC$16,"E+",IF(H355&lt;'PlayerGrades+'!$AC$15,"D-",IF(H355&lt;'PlayerGrades+'!$AC$14,"D",IF(H355&lt;'PlayerGrades+'!$AC$13,"D+",IF(H355&lt;'PlayerGrades+'!$AC$12,"C-",IF(H355&lt;'PlayerGrades+'!$AC$11,"C",IF(H355&lt;'PlayerGrades+'!$AC$10,"C+",IF(H355&lt;'PlayerGrades+'!$AC$9,"B-",IF(H355&lt;'PlayerGrades+'!$AC$8,"B",IF(H355&lt;'PlayerGrades+'!$AC$7,"B+",IF(H355&lt;'PlayerGrades+'!$AC$6,"A-",IF(H355&lt;'PlayerGrades+'!$AC$5,"A",IF(H355&lt;'PlayerGrades+'!$AC$4,"A+",IF(H355&lt;'PlayerGrades+'!$AC$3,"S-",IF(H355&lt;'PlayerGrades+'!$AC$2,"S","S+"))))))))))))))))))))</f>
        <v>S</v>
      </c>
      <c r="J355" s="937">
        <f t="shared" si="4"/>
        <v>0.06444683136</v>
      </c>
      <c r="K355" s="937" t="str">
        <f>IF(J355&lt;'PlayerGrades+'!$AD$21,"F-",IF(J355&lt;'PlayerGrades+'!$AD$20,"F",IF(J355&lt;'PlayerGrades+'!$AD$19,"F+",IF(J355&lt;'PlayerGrades+'!$AD$18,"E-",IF(J355&lt;'PlayerGrades+'!$AD$17,"E",IF(J355&lt;'PlayerGrades+'!$AD$16,"E+",IF(J355&lt;'PlayerGrades+'!$AD$15,"D-",IF(J355&lt;'PlayerGrades+'!$AD$14,"D",IF(J355&lt;'PlayerGrades+'!$AD$13,"D+",IF(J355&lt;'PlayerGrades+'!$AD$12,"C-",IF(J355&lt;'PlayerGrades+'!$AD$11,"C",IF(J355&lt;'PlayerGrades+'!$AD$10,"C+",IF(J355&lt;'PlayerGrades+'!$AD$9,"B-",IF(J355&lt;'PlayerGrades+'!$AD$8,"B",IF(J355&lt;'PlayerGrades+'!$AD$7,"B+",IF(J355&lt;'PlayerGrades+'!$AD$6,"A-",IF(J355&lt;'PlayerGrades+'!$AD$5,"A",IF(J355&lt;'PlayerGrades+'!$AD$4,"A+",IF(J355&lt;'PlayerGrades+'!$AD$3,"S-",IF(J355&lt;'PlayerGrades+'!$AD$2,"S","S+"))))))))))))))))))))</f>
        <v>A-</v>
      </c>
      <c r="L355" s="677">
        <f t="shared" si="5"/>
        <v>0.6444683136</v>
      </c>
      <c r="M355" s="938" t="str">
        <f>IF(L355&lt;'PlayerGrades+'!$AE$21,"F-",IF(L355&lt;'PlayerGrades+'!$AE$20,"F",IF(L355&lt;'PlayerGrades+'!$AE$19,"F+",IF(L355&lt;'PlayerGrades+'!$AE$18,"E-",IF(L355&lt;'PlayerGrades+'!$AE$17,"E",IF(L355&lt;'PlayerGrades+'!$AE$16,"E+",IF(L355&lt;'PlayerGrades+'!$AE$15,"D-",IF(L355&lt;'PlayerGrades+'!$AE$14,"D",IF(L355&lt;'PlayerGrades+'!$AE$13,"D+",IF(L355&lt;'PlayerGrades+'!$AE$12,"C-",IF(L355&lt;'PlayerGrades+'!$AE$11,"C",IF(L355&lt;'PlayerGrades+'!$AE$10,"C+",IF(L355&lt;'PlayerGrades+'!$AE$9,"B-",IF(L355&lt;'PlayerGrades+'!$AE$8,"B",IF(L355&lt;'PlayerGrades+'!$AE$7,"B+",IF(L355&lt;'PlayerGrades+'!$AE$6,"A-",IF(L355&lt;'PlayerGrades+'!$AE$5,"A",IF(L355&lt;'PlayerGrades+'!$AE$4,"A+",IF(L355&lt;'PlayerGrades+'!$AE$3,"S-",IF(L355&lt;'PlayerGrades+'!$AE$2,"S","S+"))))))))))))))))))))</f>
        <v>S</v>
      </c>
      <c r="N355" s="937">
        <f t="shared" si="6"/>
        <v>0.3866809882</v>
      </c>
      <c r="O355" s="937" t="str">
        <f>IF(N355&lt;'PlayerGrades+'!$AF$21,"F-",IF(N355&lt;'PlayerGrades+'!$AF$20,"F",IF(N355&lt;'PlayerGrades+'!$AF$19,"F+",IF(N355&lt;'PlayerGrades+'!$AF$18,"E-",IF(N355&lt;'PlayerGrades+'!$AF$17,"E",IF(N355&lt;'PlayerGrades+'!$AF$16,"E+",IF(N355&lt;'PlayerGrades+'!$AF$15,"D-",IF(N355&lt;'PlayerGrades+'!$AF$14,"D",IF(N355&lt;'PlayerGrades+'!$AF$13,"D+",IF(N355&lt;'PlayerGrades+'!$AF$12,"C-",IF(N355&lt;'PlayerGrades+'!$AF$11,"C",IF(N355&lt;'PlayerGrades+'!$AF$10,"C+",IF(N355&lt;'PlayerGrades+'!$AF$9,"B-",IF(N355&lt;'PlayerGrades+'!$AF$8,"B",IF(N355&lt;'PlayerGrades+'!$AF$7,"B+",IF(N355&lt;'PlayerGrades+'!$AF$6,"A-",IF(N355&lt;'PlayerGrades+'!$AF$5,"A",IF(N355&lt;'PlayerGrades+'!$AF$4,"A+",IF(N355&lt;'PlayerGrades+'!$AF$3,"S-",IF(N355&lt;'PlayerGrades+'!$AF$2,"S","S+"))))))))))))))))))))</f>
        <v>S+</v>
      </c>
      <c r="P355" s="937">
        <f t="shared" si="7"/>
        <v>0</v>
      </c>
      <c r="Q355" s="937" t="str">
        <f>IF(P355&lt;'PlayerGrades+'!$AG$21,"F-",IF(P355&lt;'PlayerGrades+'!$AG$20,"F",IF(P355&lt;'PlayerGrades+'!$AG$19,"F+",IF(P355&lt;'PlayerGrades+'!$AG$18,"E-",IF(P355&lt;'PlayerGrades+'!$AG$17,"E",IF(P355&lt;'PlayerGrades+'!$AG$16,"E+",IF(P355&lt;'PlayerGrades+'!$AG$15,"D-",IF(P355&lt;'PlayerGrades+'!$AG$14,"D",IF(P355&lt;'PlayerGrades+'!$AG$13,"D+",IF(P355&lt;'PlayerGrades+'!$AG$12,"C-",IF(P355&lt;'PlayerGrades+'!$AG$11,"C",IF(P355&lt;'PlayerGrades+'!$AG$10,"C+",IF(P355&lt;'PlayerGrades+'!$AG$9,"B-",IF(P355&lt;'PlayerGrades+'!$AG$8,"B",IF(P355&lt;'PlayerGrades+'!$AG$7,"B+",IF(P355&lt;'PlayerGrades+'!$AG$6,"A-",IF(P355&lt;'PlayerGrades+'!$AG$5,"A",IF(P355&lt;'PlayerGrades+'!$AG$4,"A+",IF(P355&lt;'PlayerGrades+'!$AG$3,"S-",IF(P355&lt;'PlayerGrades+'!$AG$2,"S","S+"))))))))))))))))))))</f>
        <v>F</v>
      </c>
      <c r="R355" s="937">
        <f t="shared" si="8"/>
        <v>0.7733619764</v>
      </c>
      <c r="S355" s="937" t="str">
        <f>IF(R355&lt;'PlayerGrades+'!$AH$21,"F-",IF(R355&lt;'PlayerGrades+'!$AH$20,"F",IF(R355&lt;'PlayerGrades+'!$AH$19,"F+",IF(R355&lt;'PlayerGrades+'!$AH$18,"E-",IF(R355&lt;'PlayerGrades+'!$AH$17,"E",IF(R355&lt;'PlayerGrades+'!$AH$16,"E+",IF(R355&lt;'PlayerGrades+'!$AH$15,"D-",IF(R355&lt;'PlayerGrades+'!$AH$14,"D",IF(R355&lt;'PlayerGrades+'!$AH$13,"D+",IF(R355&lt;'PlayerGrades+'!$AH$12,"C-",IF(R355&lt;'PlayerGrades+'!$AH$11,"C",IF(R355&lt;'PlayerGrades+'!$AH$10,"C+",IF(R355&lt;'PlayerGrades+'!$AH$9,"B-",IF(R355&lt;'PlayerGrades+'!$AH$8,"B",IF(R355&lt;'PlayerGrades+'!$AH$7,"B+",IF(R355&lt;'PlayerGrades+'!$AH$6,"A-",IF(R355&lt;'PlayerGrades+'!$AH$5,"A",IF(R355&lt;'PlayerGrades+'!$AH$4,"A+",IF(R355&lt;'PlayerGrades+'!$AH$3,"S-",IF(R355&lt;'PlayerGrades+'!$AH$2,"S","S+"))))))))))))))))))))</f>
        <v>S+</v>
      </c>
      <c r="T355" s="937">
        <f t="shared" si="9"/>
        <v>0.5155746509</v>
      </c>
      <c r="U355" s="937" t="str">
        <f>IF(T355&lt;'PlayerGrades+'!$AI$21,"F-",IF(T355&lt;'PlayerGrades+'!$AI$20,"F",IF(T355&lt;'PlayerGrades+'!$AI$19,"F+",IF(T355&lt;'PlayerGrades+'!$AI$18,"E-",IF(T355&lt;'PlayerGrades+'!$AI$17,"E",IF(T355&lt;'PlayerGrades+'!$AI$16,"E+",IF(T355&lt;'PlayerGrades+'!$AI$15,"D-",IF(T355&lt;'PlayerGrades+'!$AI$14,"D",IF(T355&lt;'PlayerGrades+'!$AI$13,"D+",IF(T355&lt;'PlayerGrades+'!$AI$12,"C-",IF(T355&lt;'PlayerGrades+'!$AI$11,"C",IF(T355&lt;'PlayerGrades+'!$AI$10,"C+",IF(T355&lt;'PlayerGrades+'!$AI$9,"B-",IF(T355&lt;'PlayerGrades+'!$AI$8,"B",IF(T355&lt;'PlayerGrades+'!$AI$7,"B+",IF(T355&lt;'PlayerGrades+'!$AI$6,"A-",IF(T355&lt;'PlayerGrades+'!$AI$5,"A",IF(T355&lt;'PlayerGrades+'!$AI$4,"A+",IF(T355&lt;'PlayerGrades+'!$AI$3,"S-",IF(T355&lt;'PlayerGrades+'!$AI$2,"S","S+"))))))))))))))))))))</f>
        <v>F-</v>
      </c>
      <c r="V355" s="941">
        <v>1.0</v>
      </c>
      <c r="W355" s="941">
        <v>1.0</v>
      </c>
      <c r="X355" s="941">
        <v>0.0</v>
      </c>
      <c r="Y355" s="941">
        <v>2.0</v>
      </c>
      <c r="Z355" s="941">
        <v>6.0</v>
      </c>
      <c r="AA355" s="941">
        <v>56.0</v>
      </c>
      <c r="AB355" s="941">
        <v>54.0</v>
      </c>
      <c r="AC355" s="941">
        <v>2.0</v>
      </c>
      <c r="AD355" s="941">
        <v>7.0</v>
      </c>
      <c r="AE355" s="941">
        <v>6.0</v>
      </c>
      <c r="AF355" s="941">
        <v>0.0</v>
      </c>
      <c r="AG355" s="941">
        <v>650.0</v>
      </c>
      <c r="AH355" s="941">
        <v>931.0</v>
      </c>
      <c r="AI355" s="941">
        <v>12.0</v>
      </c>
      <c r="AJ355" s="941">
        <v>99.0</v>
      </c>
      <c r="AK355" s="941">
        <v>0.0</v>
      </c>
      <c r="AL355" s="941">
        <v>1.0</v>
      </c>
      <c r="AM355" s="941">
        <v>0.0</v>
      </c>
      <c r="AN355" s="941">
        <v>0.0</v>
      </c>
      <c r="AO355" s="941">
        <v>0.0</v>
      </c>
      <c r="AP355" s="941">
        <v>0.0</v>
      </c>
      <c r="AQ355" s="941">
        <v>0.0</v>
      </c>
      <c r="AR355" s="941">
        <v>10.0</v>
      </c>
      <c r="AS355" s="941">
        <v>6.0</v>
      </c>
      <c r="AT355" s="941">
        <v>2.0</v>
      </c>
      <c r="AU355" s="941">
        <v>0.0</v>
      </c>
      <c r="AV355" s="941">
        <v>0.0</v>
      </c>
      <c r="AW355" s="941">
        <v>0.0</v>
      </c>
      <c r="AX355" s="941">
        <v>0.0</v>
      </c>
      <c r="AY355" s="941">
        <v>0.0</v>
      </c>
      <c r="AZ355" s="941">
        <v>0.0</v>
      </c>
      <c r="BA355" s="941">
        <v>0.0</v>
      </c>
      <c r="BB355" s="941">
        <v>4.0</v>
      </c>
      <c r="BC355" s="941">
        <v>0.0</v>
      </c>
      <c r="BD355" s="941">
        <v>5.0</v>
      </c>
      <c r="BE355" s="941">
        <v>8.0</v>
      </c>
      <c r="BF355" s="941">
        <v>0.0</v>
      </c>
      <c r="BG355" s="942">
        <v>0.0</v>
      </c>
    </row>
    <row r="356">
      <c r="A356" s="935" t="s">
        <v>130</v>
      </c>
      <c r="B356" s="16" t="str">
        <f>IF(C356&lt;'PlayerGrades+'!$Y$44,"F-",IF(C356&lt;'PlayerGrades+'!$Y$43,"F",IF(C356&lt;'PlayerGrades+'!$Y$42,"F+",IF(C356&lt;'PlayerGrades+'!$Y$41,"E-",IF(C356&lt;'PlayerGrades+'!$Y$40,"E",IF(C356&lt;'PlayerGrades+'!$Y$39,"E+",IF(C356&lt;'PlayerGrades+'!$Y$38,"D-",IF(C356&lt;'PlayerGrades+'!$Y$37,"D",IF(C356&lt;'PlayerGrades+'!$Y$36,"D+",IF(C356&lt;'PlayerGrades+'!$Y$35,"C-",IF(C356&lt;'PlayerGrades+'!$Y$34,"C",IF(C356&lt;'PlayerGrades+'!$Y$33,"C+",IF(C356&lt;'PlayerGrades+'!$Y$32,"B-",IF(C356&lt;'PlayerGrades+'!$Y$31,"B",IF(C356&lt;'PlayerGrades+'!$Y$30,"B+",IF(C356&lt;'PlayerGrades+'!$Y$29,"A-",IF(C356&lt;'PlayerGrades+'!$Y$28,"A",IF(C356&lt;'PlayerGrades+'!$Y$27,"A+",IF(C356&lt;'PlayerGrades+'!$Y$26,"S-",IF(C356&lt;'PlayerGrades+'!$Y$25,"S","S+"))))))))))))))))))))</f>
        <v>S-</v>
      </c>
      <c r="C356" s="936">
        <f>('PlayerGrades+'!$Y$47*(VLOOKUP(E356, 'PlayerGrades+'!$X$3:$Y$23, 2, FALSE)))+('PlayerGrades+'!$Y$48*(VLOOKUP(G356, 'PlayerGrades+'!$X$3:$Y$23, 2, FALSE)))+('PlayerGrades+'!$Y$49*(VLOOKUP(I356, 'PlayerGrades+'!$X$3:$Y$23, 2, FALSE)))+('PlayerGrades+'!$Y$50*(VLOOKUP(K356, 'PlayerGrades+'!$X$3:$Y$23, 2, FALSE)))+('PlayerGrades+'!$Y$51*(VLOOKUP(M356, 'PlayerGrades+'!$X$3:$Y$23, 2, FALSE)))+('PlayerGrades+'!$Y$52*(VLOOKUP(O356, 'PlayerGrades+'!$X$3:$Y$23, 2, FALSE)))+('PlayerGrades+'!$Y$53*(VLOOKUP(Q356, 'PlayerGrades+'!$X$3:$Y$23, 2, FALSE)))+('PlayerGrades+'!$Y$54*(VLOOKUP(S356, 'PlayerGrades+'!$X$3:$Y$23, 2, FALSE)))+('PlayerGrades+'!$Y$55*(VLOOKUP(U356, 'PlayerGrades+'!$X$3:$Y$23, 2, FALSE)))</f>
        <v>30.15</v>
      </c>
      <c r="D356" s="937">
        <f t="shared" si="1"/>
        <v>0</v>
      </c>
      <c r="E356" s="937" t="str">
        <f>IF(D356&lt;'PlayerGrades+'!$AA$21,"F-",IF(D356&lt;'PlayerGrades+'!$AA$20,"F",IF(D356&lt;'PlayerGrades+'!$AA$19,"F+",IF(D356&lt;'PlayerGrades+'!$AA$18,"E-",IF(D356&lt;'PlayerGrades+'!$AA$17,"E",IF(D356&lt;'PlayerGrades+'!$AA$16,"E+",IF(D356&lt;'PlayerGrades+'!$AA$15,"D-",IF(D356&lt;'PlayerGrades+'!$AA$14,"D",IF(D356&lt;'PlayerGrades+'!$AA$13,"D+",IF(D356&lt;'PlayerGrades+'!$AA$12,"C-",IF(D356&lt;'PlayerGrades+'!$AA$11,"C",IF(D356&lt;'PlayerGrades+'!$AA$10,"C+",IF(D356&lt;'PlayerGrades+'!$AA$9,"B-",IF(D356&lt;'PlayerGrades+'!$AA$8,"B",IF(D356&lt;'PlayerGrades+'!$AA$7,"B+",IF(D356&lt;'PlayerGrades+'!$AA$6,"A-",IF(D356&lt;'PlayerGrades+'!$AA$5,"A",IF(D356&lt;'PlayerGrades+'!$AA$4,"A+",IF(D356&lt;'PlayerGrades+'!$AA$3,"S-",IF(D356&lt;'PlayerGrades+'!$AA$2,"S","S+"))))))))))))))))))))</f>
        <v>F-</v>
      </c>
      <c r="F356" s="937">
        <f t="shared" si="2"/>
        <v>0.4511278195</v>
      </c>
      <c r="G356" s="937" t="str">
        <f>IF(F356&lt;'PlayerGrades+'!$AB$21,"F-",IF(F356&lt;'PlayerGrades+'!$AB$20,"F",IF(F356&lt;'PlayerGrades+'!$AB$19,"F+",IF(F356&lt;'PlayerGrades+'!$AB$18,"E-",IF(F356&lt;'PlayerGrades+'!$AB$17,"E",IF(F356&lt;'PlayerGrades+'!$AB$16,"E+",IF(F356&lt;'PlayerGrades+'!$AB$15,"D-",IF(F356&lt;'PlayerGrades+'!$AB$14,"D",IF(F356&lt;'PlayerGrades+'!$AB$13,"D+",IF(F356&lt;'PlayerGrades+'!$AB$12,"C-",IF(F356&lt;'PlayerGrades+'!$AB$11,"C",IF(F356&lt;'PlayerGrades+'!$AB$10,"C+",IF(F356&lt;'PlayerGrades+'!$AB$9,"B-",IF(F356&lt;'PlayerGrades+'!$AB$8,"B",IF(F356&lt;'PlayerGrades+'!$AB$7,"B+",IF(F356&lt;'PlayerGrades+'!$AB$6,"A-",IF(F356&lt;'PlayerGrades+'!$AB$5,"A",IF(F356&lt;'PlayerGrades+'!$AB$4,"A+",IF(F356&lt;'PlayerGrades+'!$AB$3,"S-",IF(F356&lt;'PlayerGrades+'!$AB$2,"S","S+"))))))))))))))))))))</f>
        <v>A+</v>
      </c>
      <c r="H356" s="937">
        <f t="shared" si="3"/>
        <v>0.2577873255</v>
      </c>
      <c r="I356" s="937" t="str">
        <f>IF(H356&lt;'PlayerGrades+'!$AC$21,"F-",IF(H356&lt;'PlayerGrades+'!$AC$20,"F",IF(H356&lt;'PlayerGrades+'!$AC$19,"F+",IF(H356&lt;'PlayerGrades+'!$AC$18,"E-",IF(H356&lt;'PlayerGrades+'!$AC$17,"E",IF(H356&lt;'PlayerGrades+'!$AC$16,"E+",IF(H356&lt;'PlayerGrades+'!$AC$15,"D-",IF(H356&lt;'PlayerGrades+'!$AC$14,"D",IF(H356&lt;'PlayerGrades+'!$AC$13,"D+",IF(H356&lt;'PlayerGrades+'!$AC$12,"C-",IF(H356&lt;'PlayerGrades+'!$AC$11,"C",IF(H356&lt;'PlayerGrades+'!$AC$10,"C+",IF(H356&lt;'PlayerGrades+'!$AC$9,"B-",IF(H356&lt;'PlayerGrades+'!$AC$8,"B",IF(H356&lt;'PlayerGrades+'!$AC$7,"B+",IF(H356&lt;'PlayerGrades+'!$AC$6,"A-",IF(H356&lt;'PlayerGrades+'!$AC$5,"A",IF(H356&lt;'PlayerGrades+'!$AC$4,"A+",IF(H356&lt;'PlayerGrades+'!$AC$3,"S-",IF(H356&lt;'PlayerGrades+'!$AC$2,"S","S+"))))))))))))))))))))</f>
        <v>S</v>
      </c>
      <c r="J356" s="937">
        <f t="shared" si="4"/>
        <v>0.1288936627</v>
      </c>
      <c r="K356" s="937" t="str">
        <f>IF(J356&lt;'PlayerGrades+'!$AD$21,"F-",IF(J356&lt;'PlayerGrades+'!$AD$20,"F",IF(J356&lt;'PlayerGrades+'!$AD$19,"F+",IF(J356&lt;'PlayerGrades+'!$AD$18,"E-",IF(J356&lt;'PlayerGrades+'!$AD$17,"E",IF(J356&lt;'PlayerGrades+'!$AD$16,"E+",IF(J356&lt;'PlayerGrades+'!$AD$15,"D-",IF(J356&lt;'PlayerGrades+'!$AD$14,"D",IF(J356&lt;'PlayerGrades+'!$AD$13,"D+",IF(J356&lt;'PlayerGrades+'!$AD$12,"C-",IF(J356&lt;'PlayerGrades+'!$AD$11,"C",IF(J356&lt;'PlayerGrades+'!$AD$10,"C+",IF(J356&lt;'PlayerGrades+'!$AD$9,"B-",IF(J356&lt;'PlayerGrades+'!$AD$8,"B",IF(J356&lt;'PlayerGrades+'!$AD$7,"B+",IF(J356&lt;'PlayerGrades+'!$AD$6,"A-",IF(J356&lt;'PlayerGrades+'!$AD$5,"A",IF(J356&lt;'PlayerGrades+'!$AD$4,"A+",IF(J356&lt;'PlayerGrades+'!$AD$3,"S-",IF(J356&lt;'PlayerGrades+'!$AD$2,"S","S+"))))))))))))))))))))</f>
        <v>S+</v>
      </c>
      <c r="L356" s="677">
        <f t="shared" si="5"/>
        <v>0.5800214823</v>
      </c>
      <c r="M356" s="938" t="str">
        <f>IF(L356&lt;'PlayerGrades+'!$AE$21,"F-",IF(L356&lt;'PlayerGrades+'!$AE$20,"F",IF(L356&lt;'PlayerGrades+'!$AE$19,"F+",IF(L356&lt;'PlayerGrades+'!$AE$18,"E-",IF(L356&lt;'PlayerGrades+'!$AE$17,"E",IF(L356&lt;'PlayerGrades+'!$AE$16,"E+",IF(L356&lt;'PlayerGrades+'!$AE$15,"D-",IF(L356&lt;'PlayerGrades+'!$AE$14,"D",IF(L356&lt;'PlayerGrades+'!$AE$13,"D+",IF(L356&lt;'PlayerGrades+'!$AE$12,"C-",IF(L356&lt;'PlayerGrades+'!$AE$11,"C",IF(L356&lt;'PlayerGrades+'!$AE$10,"C+",IF(L356&lt;'PlayerGrades+'!$AE$9,"B-",IF(L356&lt;'PlayerGrades+'!$AE$8,"B",IF(L356&lt;'PlayerGrades+'!$AE$7,"B+",IF(L356&lt;'PlayerGrades+'!$AE$6,"A-",IF(L356&lt;'PlayerGrades+'!$AE$5,"A",IF(L356&lt;'PlayerGrades+'!$AE$4,"A+",IF(L356&lt;'PlayerGrades+'!$AE$3,"S-",IF(L356&lt;'PlayerGrades+'!$AE$2,"S","S+"))))))))))))))))))))</f>
        <v>A</v>
      </c>
      <c r="N356" s="937">
        <f t="shared" si="6"/>
        <v>0.1288936627</v>
      </c>
      <c r="O356" s="937" t="str">
        <f>IF(N356&lt;'PlayerGrades+'!$AF$21,"F-",IF(N356&lt;'PlayerGrades+'!$AF$20,"F",IF(N356&lt;'PlayerGrades+'!$AF$19,"F+",IF(N356&lt;'PlayerGrades+'!$AF$18,"E-",IF(N356&lt;'PlayerGrades+'!$AF$17,"E",IF(N356&lt;'PlayerGrades+'!$AF$16,"E+",IF(N356&lt;'PlayerGrades+'!$AF$15,"D-",IF(N356&lt;'PlayerGrades+'!$AF$14,"D",IF(N356&lt;'PlayerGrades+'!$AF$13,"D+",IF(N356&lt;'PlayerGrades+'!$AF$12,"C-",IF(N356&lt;'PlayerGrades+'!$AF$11,"C",IF(N356&lt;'PlayerGrades+'!$AF$10,"C+",IF(N356&lt;'PlayerGrades+'!$AF$9,"B-",IF(N356&lt;'PlayerGrades+'!$AF$8,"B",IF(N356&lt;'PlayerGrades+'!$AF$7,"B+",IF(N356&lt;'PlayerGrades+'!$AF$6,"A-",IF(N356&lt;'PlayerGrades+'!$AF$5,"A",IF(N356&lt;'PlayerGrades+'!$AF$4,"A+",IF(N356&lt;'PlayerGrades+'!$AF$3,"S-",IF(N356&lt;'PlayerGrades+'!$AF$2,"S","S+"))))))))))))))))))))</f>
        <v>S</v>
      </c>
      <c r="P356" s="937">
        <f t="shared" si="7"/>
        <v>0.06444683136</v>
      </c>
      <c r="Q356" s="937" t="str">
        <f>IF(P356&lt;'PlayerGrades+'!$AG$21,"F-",IF(P356&lt;'PlayerGrades+'!$AG$20,"F",IF(P356&lt;'PlayerGrades+'!$AG$19,"F+",IF(P356&lt;'PlayerGrades+'!$AG$18,"E-",IF(P356&lt;'PlayerGrades+'!$AG$17,"E",IF(P356&lt;'PlayerGrades+'!$AG$16,"E+",IF(P356&lt;'PlayerGrades+'!$AG$15,"D-",IF(P356&lt;'PlayerGrades+'!$AG$14,"D",IF(P356&lt;'PlayerGrades+'!$AG$13,"D+",IF(P356&lt;'PlayerGrades+'!$AG$12,"C-",IF(P356&lt;'PlayerGrades+'!$AG$11,"C",IF(P356&lt;'PlayerGrades+'!$AG$10,"C+",IF(P356&lt;'PlayerGrades+'!$AG$9,"B-",IF(P356&lt;'PlayerGrades+'!$AG$8,"B",IF(P356&lt;'PlayerGrades+'!$AG$7,"B+",IF(P356&lt;'PlayerGrades+'!$AG$6,"A-",IF(P356&lt;'PlayerGrades+'!$AG$5,"A",IF(P356&lt;'PlayerGrades+'!$AG$4,"A+",IF(P356&lt;'PlayerGrades+'!$AG$3,"S-",IF(P356&lt;'PlayerGrades+'!$AG$2,"S","S+"))))))))))))))))))))</f>
        <v>A+</v>
      </c>
      <c r="R356" s="937">
        <f t="shared" si="8"/>
        <v>0.708915145</v>
      </c>
      <c r="S356" s="937" t="str">
        <f>IF(R356&lt;'PlayerGrades+'!$AH$21,"F-",IF(R356&lt;'PlayerGrades+'!$AH$20,"F",IF(R356&lt;'PlayerGrades+'!$AH$19,"F+",IF(R356&lt;'PlayerGrades+'!$AH$18,"E-",IF(R356&lt;'PlayerGrades+'!$AH$17,"E",IF(R356&lt;'PlayerGrades+'!$AH$16,"E+",IF(R356&lt;'PlayerGrades+'!$AH$15,"D-",IF(R356&lt;'PlayerGrades+'!$AH$14,"D",IF(R356&lt;'PlayerGrades+'!$AH$13,"D+",IF(R356&lt;'PlayerGrades+'!$AH$12,"C-",IF(R356&lt;'PlayerGrades+'!$AH$11,"C",IF(R356&lt;'PlayerGrades+'!$AH$10,"C+",IF(R356&lt;'PlayerGrades+'!$AH$9,"B-",IF(R356&lt;'PlayerGrades+'!$AH$8,"B",IF(R356&lt;'PlayerGrades+'!$AH$7,"B+",IF(R356&lt;'PlayerGrades+'!$AH$6,"A-",IF(R356&lt;'PlayerGrades+'!$AH$5,"A",IF(R356&lt;'PlayerGrades+'!$AH$4,"A+",IF(R356&lt;'PlayerGrades+'!$AH$3,"S-",IF(R356&lt;'PlayerGrades+'!$AH$2,"S","S+"))))))))))))))))))))</f>
        <v>S-</v>
      </c>
      <c r="T356" s="937">
        <f t="shared" si="9"/>
        <v>1.515574651</v>
      </c>
      <c r="U356" s="937" t="str">
        <f>IF(T356&lt;'PlayerGrades+'!$AI$21,"F-",IF(T356&lt;'PlayerGrades+'!$AI$20,"F",IF(T356&lt;'PlayerGrades+'!$AI$19,"F+",IF(T356&lt;'PlayerGrades+'!$AI$18,"E-",IF(T356&lt;'PlayerGrades+'!$AI$17,"E",IF(T356&lt;'PlayerGrades+'!$AI$16,"E+",IF(T356&lt;'PlayerGrades+'!$AI$15,"D-",IF(T356&lt;'PlayerGrades+'!$AI$14,"D",IF(T356&lt;'PlayerGrades+'!$AI$13,"D+",IF(T356&lt;'PlayerGrades+'!$AI$12,"C-",IF(T356&lt;'PlayerGrades+'!$AI$11,"C",IF(T356&lt;'PlayerGrades+'!$AI$10,"C+",IF(T356&lt;'PlayerGrades+'!$AI$9,"B-",IF(T356&lt;'PlayerGrades+'!$AI$8,"B",IF(T356&lt;'PlayerGrades+'!$AI$7,"B+",IF(T356&lt;'PlayerGrades+'!$AI$6,"A-",IF(T356&lt;'PlayerGrades+'!$AI$5,"A",IF(T356&lt;'PlayerGrades+'!$AI$4,"A+",IF(T356&lt;'PlayerGrades+'!$AI$3,"S-",IF(T356&lt;'PlayerGrades+'!$AI$2,"S","S+"))))))))))))))))))))</f>
        <v>A</v>
      </c>
      <c r="V356" s="941">
        <v>1.0</v>
      </c>
      <c r="W356" s="941">
        <v>1.0</v>
      </c>
      <c r="X356" s="941">
        <v>0.0</v>
      </c>
      <c r="Y356" s="941">
        <v>0.0</v>
      </c>
      <c r="Z356" s="941">
        <v>0.0</v>
      </c>
      <c r="AA356" s="941">
        <v>56.0</v>
      </c>
      <c r="AB356" s="941">
        <v>49.0</v>
      </c>
      <c r="AC356" s="941">
        <v>7.0</v>
      </c>
      <c r="AD356" s="941">
        <v>5.0</v>
      </c>
      <c r="AE356" s="941">
        <v>6.0</v>
      </c>
      <c r="AF356" s="941">
        <v>2.0</v>
      </c>
      <c r="AG356" s="941">
        <v>659.0</v>
      </c>
      <c r="AH356" s="941">
        <v>931.0</v>
      </c>
      <c r="AI356" s="941">
        <v>13.0</v>
      </c>
      <c r="AJ356" s="941">
        <v>3.0</v>
      </c>
      <c r="AK356" s="941">
        <v>0.0</v>
      </c>
      <c r="AL356" s="941">
        <v>2.0</v>
      </c>
      <c r="AM356" s="941">
        <v>0.0</v>
      </c>
      <c r="AN356" s="941">
        <v>0.0</v>
      </c>
      <c r="AO356" s="941">
        <v>0.0</v>
      </c>
      <c r="AP356" s="941">
        <v>1.0</v>
      </c>
      <c r="AQ356" s="941">
        <v>0.0</v>
      </c>
      <c r="AR356" s="941">
        <v>9.0</v>
      </c>
      <c r="AS356" s="941">
        <v>2.0</v>
      </c>
      <c r="AT356" s="941">
        <v>0.0</v>
      </c>
      <c r="AU356" s="941">
        <v>0.0</v>
      </c>
      <c r="AV356" s="941">
        <v>0.0</v>
      </c>
      <c r="AW356" s="941">
        <v>0.0</v>
      </c>
      <c r="AX356" s="941">
        <v>0.0</v>
      </c>
      <c r="AY356" s="941">
        <v>0.0</v>
      </c>
      <c r="AZ356" s="941">
        <v>0.0</v>
      </c>
      <c r="BA356" s="941">
        <v>0.0</v>
      </c>
      <c r="BB356" s="941">
        <v>4.0</v>
      </c>
      <c r="BC356" s="941">
        <v>0.0</v>
      </c>
      <c r="BD356" s="941">
        <v>6.0</v>
      </c>
      <c r="BE356" s="941">
        <v>8.0</v>
      </c>
      <c r="BF356" s="941">
        <v>1.0</v>
      </c>
      <c r="BG356" s="942">
        <v>0.0</v>
      </c>
    </row>
    <row r="357">
      <c r="A357" s="935" t="s">
        <v>152</v>
      </c>
      <c r="B357" s="16" t="str">
        <f>IF(C357&lt;'PlayerGrades+'!$Y$44,"F-",IF(C357&lt;'PlayerGrades+'!$Y$43,"F",IF(C357&lt;'PlayerGrades+'!$Y$42,"F+",IF(C357&lt;'PlayerGrades+'!$Y$41,"E-",IF(C357&lt;'PlayerGrades+'!$Y$40,"E",IF(C357&lt;'PlayerGrades+'!$Y$39,"E+",IF(C357&lt;'PlayerGrades+'!$Y$38,"D-",IF(C357&lt;'PlayerGrades+'!$Y$37,"D",IF(C357&lt;'PlayerGrades+'!$Y$36,"D+",IF(C357&lt;'PlayerGrades+'!$Y$35,"C-",IF(C357&lt;'PlayerGrades+'!$Y$34,"C",IF(C357&lt;'PlayerGrades+'!$Y$33,"C+",IF(C357&lt;'PlayerGrades+'!$Y$32,"B-",IF(C357&lt;'PlayerGrades+'!$Y$31,"B",IF(C357&lt;'PlayerGrades+'!$Y$30,"B+",IF(C357&lt;'PlayerGrades+'!$Y$29,"A-",IF(C357&lt;'PlayerGrades+'!$Y$28,"A",IF(C357&lt;'PlayerGrades+'!$Y$27,"A+",IF(C357&lt;'PlayerGrades+'!$Y$26,"S-",IF(C357&lt;'PlayerGrades+'!$Y$25,"S","S+"))))))))))))))))))))</f>
        <v>D-</v>
      </c>
      <c r="C357" s="936">
        <f>('PlayerGrades+'!$Y$47*(VLOOKUP(E357, 'PlayerGrades+'!$X$3:$Y$23, 2, FALSE)))+('PlayerGrades+'!$Y$48*(VLOOKUP(G357, 'PlayerGrades+'!$X$3:$Y$23, 2, FALSE)))+('PlayerGrades+'!$Y$49*(VLOOKUP(I357, 'PlayerGrades+'!$X$3:$Y$23, 2, FALSE)))+('PlayerGrades+'!$Y$50*(VLOOKUP(K357, 'PlayerGrades+'!$X$3:$Y$23, 2, FALSE)))+('PlayerGrades+'!$Y$51*(VLOOKUP(M357, 'PlayerGrades+'!$X$3:$Y$23, 2, FALSE)))+('PlayerGrades+'!$Y$52*(VLOOKUP(O357, 'PlayerGrades+'!$X$3:$Y$23, 2, FALSE)))+('PlayerGrades+'!$Y$53*(VLOOKUP(Q357, 'PlayerGrades+'!$X$3:$Y$23, 2, FALSE)))+('PlayerGrades+'!$Y$54*(VLOOKUP(S357, 'PlayerGrades+'!$X$3:$Y$23, 2, FALSE)))+('PlayerGrades+'!$Y$55*(VLOOKUP(U357, 'PlayerGrades+'!$X$3:$Y$23, 2, FALSE)))</f>
        <v>15.2</v>
      </c>
      <c r="D357" s="937">
        <f t="shared" si="1"/>
        <v>0.1288936627</v>
      </c>
      <c r="E357" s="937" t="str">
        <f>IF(D357&lt;'PlayerGrades+'!$AA$21,"F-",IF(D357&lt;'PlayerGrades+'!$AA$20,"F",IF(D357&lt;'PlayerGrades+'!$AA$19,"F+",IF(D357&lt;'PlayerGrades+'!$AA$18,"E-",IF(D357&lt;'PlayerGrades+'!$AA$17,"E",IF(D357&lt;'PlayerGrades+'!$AA$16,"E+",IF(D357&lt;'PlayerGrades+'!$AA$15,"D-",IF(D357&lt;'PlayerGrades+'!$AA$14,"D",IF(D357&lt;'PlayerGrades+'!$AA$13,"D+",IF(D357&lt;'PlayerGrades+'!$AA$12,"C-",IF(D357&lt;'PlayerGrades+'!$AA$11,"C",IF(D357&lt;'PlayerGrades+'!$AA$10,"C+",IF(D357&lt;'PlayerGrades+'!$AA$9,"B-",IF(D357&lt;'PlayerGrades+'!$AA$8,"B",IF(D357&lt;'PlayerGrades+'!$AA$7,"B+",IF(D357&lt;'PlayerGrades+'!$AA$6,"A-",IF(D357&lt;'PlayerGrades+'!$AA$5,"A",IF(D357&lt;'PlayerGrades+'!$AA$4,"A+",IF(D357&lt;'PlayerGrades+'!$AA$3,"S-",IF(D357&lt;'PlayerGrades+'!$AA$2,"S","S+"))))))))))))))))))))</f>
        <v>B</v>
      </c>
      <c r="F357" s="937">
        <f t="shared" si="2"/>
        <v>-1.933404941</v>
      </c>
      <c r="G357" s="937" t="str">
        <f>IF(F357&lt;'PlayerGrades+'!$AB$21,"F-",IF(F357&lt;'PlayerGrades+'!$AB$20,"F",IF(F357&lt;'PlayerGrades+'!$AB$19,"F+",IF(F357&lt;'PlayerGrades+'!$AB$18,"E-",IF(F357&lt;'PlayerGrades+'!$AB$17,"E",IF(F357&lt;'PlayerGrades+'!$AB$16,"E+",IF(F357&lt;'PlayerGrades+'!$AB$15,"D-",IF(F357&lt;'PlayerGrades+'!$AB$14,"D",IF(F357&lt;'PlayerGrades+'!$AB$13,"D+",IF(F357&lt;'PlayerGrades+'!$AB$12,"C-",IF(F357&lt;'PlayerGrades+'!$AB$11,"C",IF(F357&lt;'PlayerGrades+'!$AB$10,"C+",IF(F357&lt;'PlayerGrades+'!$AB$9,"B-",IF(F357&lt;'PlayerGrades+'!$AB$8,"B",IF(F357&lt;'PlayerGrades+'!$AB$7,"B+",IF(F357&lt;'PlayerGrades+'!$AB$6,"A-",IF(F357&lt;'PlayerGrades+'!$AB$5,"A",IF(F357&lt;'PlayerGrades+'!$AB$4,"A+",IF(F357&lt;'PlayerGrades+'!$AB$3,"S-",IF(F357&lt;'PlayerGrades+'!$AB$2,"S","S+"))))))))))))))))))))</f>
        <v>F-</v>
      </c>
      <c r="H357" s="937">
        <f t="shared" si="3"/>
        <v>0.3222341568</v>
      </c>
      <c r="I357" s="937" t="str">
        <f>IF(H357&lt;'PlayerGrades+'!$AC$21,"F-",IF(H357&lt;'PlayerGrades+'!$AC$20,"F",IF(H357&lt;'PlayerGrades+'!$AC$19,"F+",IF(H357&lt;'PlayerGrades+'!$AC$18,"E-",IF(H357&lt;'PlayerGrades+'!$AC$17,"E",IF(H357&lt;'PlayerGrades+'!$AC$16,"E+",IF(H357&lt;'PlayerGrades+'!$AC$15,"D-",IF(H357&lt;'PlayerGrades+'!$AC$14,"D",IF(H357&lt;'PlayerGrades+'!$AC$13,"D+",IF(H357&lt;'PlayerGrades+'!$AC$12,"C-",IF(H357&lt;'PlayerGrades+'!$AC$11,"C",IF(H357&lt;'PlayerGrades+'!$AC$10,"C+",IF(H357&lt;'PlayerGrades+'!$AC$9,"B-",IF(H357&lt;'PlayerGrades+'!$AC$8,"B",IF(H357&lt;'PlayerGrades+'!$AC$7,"B+",IF(H357&lt;'PlayerGrades+'!$AC$6,"A-",IF(H357&lt;'PlayerGrades+'!$AC$5,"A",IF(H357&lt;'PlayerGrades+'!$AC$4,"A+",IF(H357&lt;'PlayerGrades+'!$AC$3,"S-",IF(H357&lt;'PlayerGrades+'!$AC$2,"S","S+"))))))))))))))))))))</f>
        <v>S+</v>
      </c>
      <c r="J357" s="937">
        <f t="shared" si="4"/>
        <v>0</v>
      </c>
      <c r="K357" s="937" t="str">
        <f>IF(J357&lt;'PlayerGrades+'!$AD$21,"F-",IF(J357&lt;'PlayerGrades+'!$AD$20,"F",IF(J357&lt;'PlayerGrades+'!$AD$19,"F+",IF(J357&lt;'PlayerGrades+'!$AD$18,"E-",IF(J357&lt;'PlayerGrades+'!$AD$17,"E",IF(J357&lt;'PlayerGrades+'!$AD$16,"E+",IF(J357&lt;'PlayerGrades+'!$AD$15,"D-",IF(J357&lt;'PlayerGrades+'!$AD$14,"D",IF(J357&lt;'PlayerGrades+'!$AD$13,"D+",IF(J357&lt;'PlayerGrades+'!$AD$12,"C-",IF(J357&lt;'PlayerGrades+'!$AD$11,"C",IF(J357&lt;'PlayerGrades+'!$AD$10,"C+",IF(J357&lt;'PlayerGrades+'!$AD$9,"B-",IF(J357&lt;'PlayerGrades+'!$AD$8,"B",IF(J357&lt;'PlayerGrades+'!$AD$7,"B+",IF(J357&lt;'PlayerGrades+'!$AD$6,"A-",IF(J357&lt;'PlayerGrades+'!$AD$5,"A",IF(J357&lt;'PlayerGrades+'!$AD$4,"A+",IF(J357&lt;'PlayerGrades+'!$AD$3,"S-",IF(J357&lt;'PlayerGrades+'!$AD$2,"S","S+"))))))))))))))))))))</f>
        <v>F-</v>
      </c>
      <c r="L357" s="677">
        <f t="shared" si="5"/>
        <v>0.3866809882</v>
      </c>
      <c r="M357" s="938" t="str">
        <f>IF(L357&lt;'PlayerGrades+'!$AE$21,"F-",IF(L357&lt;'PlayerGrades+'!$AE$20,"F",IF(L357&lt;'PlayerGrades+'!$AE$19,"F+",IF(L357&lt;'PlayerGrades+'!$AE$18,"E-",IF(L357&lt;'PlayerGrades+'!$AE$17,"E",IF(L357&lt;'PlayerGrades+'!$AE$16,"E+",IF(L357&lt;'PlayerGrades+'!$AE$15,"D-",IF(L357&lt;'PlayerGrades+'!$AE$14,"D",IF(L357&lt;'PlayerGrades+'!$AE$13,"D+",IF(L357&lt;'PlayerGrades+'!$AE$12,"C-",IF(L357&lt;'PlayerGrades+'!$AE$11,"C",IF(L357&lt;'PlayerGrades+'!$AE$10,"C+",IF(L357&lt;'PlayerGrades+'!$AE$9,"B-",IF(L357&lt;'PlayerGrades+'!$AE$8,"B",IF(L357&lt;'PlayerGrades+'!$AE$7,"B+",IF(L357&lt;'PlayerGrades+'!$AE$6,"A-",IF(L357&lt;'PlayerGrades+'!$AE$5,"A",IF(L357&lt;'PlayerGrades+'!$AE$4,"A+",IF(L357&lt;'PlayerGrades+'!$AE$3,"S-",IF(L357&lt;'PlayerGrades+'!$AE$2,"S","S+"))))))))))))))))))))</f>
        <v>C</v>
      </c>
      <c r="N357" s="937">
        <f t="shared" si="6"/>
        <v>0</v>
      </c>
      <c r="O357" s="937" t="str">
        <f>IF(N357&lt;'PlayerGrades+'!$AF$21,"F-",IF(N357&lt;'PlayerGrades+'!$AF$20,"F",IF(N357&lt;'PlayerGrades+'!$AF$19,"F+",IF(N357&lt;'PlayerGrades+'!$AF$18,"E-",IF(N357&lt;'PlayerGrades+'!$AF$17,"E",IF(N357&lt;'PlayerGrades+'!$AF$16,"E+",IF(N357&lt;'PlayerGrades+'!$AF$15,"D-",IF(N357&lt;'PlayerGrades+'!$AF$14,"D",IF(N357&lt;'PlayerGrades+'!$AF$13,"D+",IF(N357&lt;'PlayerGrades+'!$AF$12,"C-",IF(N357&lt;'PlayerGrades+'!$AF$11,"C",IF(N357&lt;'PlayerGrades+'!$AF$10,"C+",IF(N357&lt;'PlayerGrades+'!$AF$9,"B-",IF(N357&lt;'PlayerGrades+'!$AF$8,"B",IF(N357&lt;'PlayerGrades+'!$AF$7,"B+",IF(N357&lt;'PlayerGrades+'!$AF$6,"A-",IF(N357&lt;'PlayerGrades+'!$AF$5,"A",IF(N357&lt;'PlayerGrades+'!$AF$4,"A+",IF(N357&lt;'PlayerGrades+'!$AF$3,"S-",IF(N357&lt;'PlayerGrades+'!$AF$2,"S","S+"))))))))))))))))))))</f>
        <v>F-</v>
      </c>
      <c r="P357" s="937">
        <f t="shared" si="7"/>
        <v>0</v>
      </c>
      <c r="Q357" s="937" t="str">
        <f>IF(P357&lt;'PlayerGrades+'!$AG$21,"F-",IF(P357&lt;'PlayerGrades+'!$AG$20,"F",IF(P357&lt;'PlayerGrades+'!$AG$19,"F+",IF(P357&lt;'PlayerGrades+'!$AG$18,"E-",IF(P357&lt;'PlayerGrades+'!$AG$17,"E",IF(P357&lt;'PlayerGrades+'!$AG$16,"E+",IF(P357&lt;'PlayerGrades+'!$AG$15,"D-",IF(P357&lt;'PlayerGrades+'!$AG$14,"D",IF(P357&lt;'PlayerGrades+'!$AG$13,"D+",IF(P357&lt;'PlayerGrades+'!$AG$12,"C-",IF(P357&lt;'PlayerGrades+'!$AG$11,"C",IF(P357&lt;'PlayerGrades+'!$AG$10,"C+",IF(P357&lt;'PlayerGrades+'!$AG$9,"B-",IF(P357&lt;'PlayerGrades+'!$AG$8,"B",IF(P357&lt;'PlayerGrades+'!$AG$7,"B+",IF(P357&lt;'PlayerGrades+'!$AG$6,"A-",IF(P357&lt;'PlayerGrades+'!$AG$5,"A",IF(P357&lt;'PlayerGrades+'!$AG$4,"A+",IF(P357&lt;'PlayerGrades+'!$AG$3,"S-",IF(P357&lt;'PlayerGrades+'!$AG$2,"S","S+"))))))))))))))))))))</f>
        <v>F</v>
      </c>
      <c r="R357" s="937">
        <f t="shared" si="8"/>
        <v>0.5155746509</v>
      </c>
      <c r="S357" s="937" t="str">
        <f>IF(R357&lt;'PlayerGrades+'!$AH$21,"F-",IF(R357&lt;'PlayerGrades+'!$AH$20,"F",IF(R357&lt;'PlayerGrades+'!$AH$19,"F+",IF(R357&lt;'PlayerGrades+'!$AH$18,"E-",IF(R357&lt;'PlayerGrades+'!$AH$17,"E",IF(R357&lt;'PlayerGrades+'!$AH$16,"E+",IF(R357&lt;'PlayerGrades+'!$AH$15,"D-",IF(R357&lt;'PlayerGrades+'!$AH$14,"D",IF(R357&lt;'PlayerGrades+'!$AH$13,"D+",IF(R357&lt;'PlayerGrades+'!$AH$12,"C-",IF(R357&lt;'PlayerGrades+'!$AH$11,"C",IF(R357&lt;'PlayerGrades+'!$AH$10,"C+",IF(R357&lt;'PlayerGrades+'!$AH$9,"B-",IF(R357&lt;'PlayerGrades+'!$AH$8,"B",IF(R357&lt;'PlayerGrades+'!$AH$7,"B+",IF(R357&lt;'PlayerGrades+'!$AH$6,"A-",IF(R357&lt;'PlayerGrades+'!$AH$5,"A",IF(R357&lt;'PlayerGrades+'!$AH$4,"A+",IF(R357&lt;'PlayerGrades+'!$AH$3,"S-",IF(R357&lt;'PlayerGrades+'!$AH$2,"S","S+"))))))))))))))))))))</f>
        <v>D+</v>
      </c>
      <c r="T357" s="937">
        <f t="shared" si="9"/>
        <v>1.322234157</v>
      </c>
      <c r="U357" s="937" t="str">
        <f>IF(T357&lt;'PlayerGrades+'!$AI$21,"F-",IF(T357&lt;'PlayerGrades+'!$AI$20,"F",IF(T357&lt;'PlayerGrades+'!$AI$19,"F+",IF(T357&lt;'PlayerGrades+'!$AI$18,"E-",IF(T357&lt;'PlayerGrades+'!$AI$17,"E",IF(T357&lt;'PlayerGrades+'!$AI$16,"E+",IF(T357&lt;'PlayerGrades+'!$AI$15,"D-",IF(T357&lt;'PlayerGrades+'!$AI$14,"D",IF(T357&lt;'PlayerGrades+'!$AI$13,"D+",IF(T357&lt;'PlayerGrades+'!$AI$12,"C-",IF(T357&lt;'PlayerGrades+'!$AI$11,"C",IF(T357&lt;'PlayerGrades+'!$AI$10,"C+",IF(T357&lt;'PlayerGrades+'!$AI$9,"B-",IF(T357&lt;'PlayerGrades+'!$AI$8,"B",IF(T357&lt;'PlayerGrades+'!$AI$7,"B+",IF(T357&lt;'PlayerGrades+'!$AI$6,"A-",IF(T357&lt;'PlayerGrades+'!$AI$5,"A",IF(T357&lt;'PlayerGrades+'!$AI$4,"A+",IF(T357&lt;'PlayerGrades+'!$AI$3,"S-",IF(T357&lt;'PlayerGrades+'!$AI$2,"S","S+"))))))))))))))))))))</f>
        <v>C+</v>
      </c>
      <c r="V357" s="941">
        <v>1.0</v>
      </c>
      <c r="W357" s="941">
        <v>1.0</v>
      </c>
      <c r="X357" s="941">
        <v>0.0</v>
      </c>
      <c r="Y357" s="941">
        <v>0.0</v>
      </c>
      <c r="Z357" s="941">
        <v>2.0</v>
      </c>
      <c r="AA357" s="941">
        <v>39.0</v>
      </c>
      <c r="AB357" s="941">
        <v>69.0</v>
      </c>
      <c r="AC357" s="941">
        <v>-30.0</v>
      </c>
      <c r="AD357" s="941">
        <v>2.0</v>
      </c>
      <c r="AE357" s="941">
        <v>2.0</v>
      </c>
      <c r="AF357" s="941">
        <v>1.0</v>
      </c>
      <c r="AG357" s="941">
        <v>604.0</v>
      </c>
      <c r="AH357" s="941">
        <v>931.0</v>
      </c>
      <c r="AI357" s="941">
        <v>8.0</v>
      </c>
      <c r="AJ357" s="941">
        <v>0.0</v>
      </c>
      <c r="AK357" s="941">
        <v>0.0</v>
      </c>
      <c r="AL357" s="941">
        <v>0.0</v>
      </c>
      <c r="AM357" s="941">
        <v>0.0</v>
      </c>
      <c r="AN357" s="941">
        <v>0.0</v>
      </c>
      <c r="AO357" s="941">
        <v>0.0</v>
      </c>
      <c r="AP357" s="941">
        <v>0.0</v>
      </c>
      <c r="AQ357" s="941">
        <v>0.0</v>
      </c>
      <c r="AR357" s="941">
        <v>6.0</v>
      </c>
      <c r="AS357" s="941">
        <v>0.0</v>
      </c>
      <c r="AT357" s="941">
        <v>0.0</v>
      </c>
      <c r="AU357" s="941">
        <v>0.0</v>
      </c>
      <c r="AV357" s="941">
        <v>0.0</v>
      </c>
      <c r="AW357" s="941">
        <v>0.0</v>
      </c>
      <c r="AX357" s="941">
        <v>0.0</v>
      </c>
      <c r="AY357" s="941">
        <v>0.0</v>
      </c>
      <c r="AZ357" s="941">
        <v>0.0</v>
      </c>
      <c r="BA357" s="941">
        <v>0.0</v>
      </c>
      <c r="BB357" s="941">
        <v>5.0</v>
      </c>
      <c r="BC357" s="941">
        <v>0.0</v>
      </c>
      <c r="BD357" s="941">
        <v>6.0</v>
      </c>
      <c r="BE357" s="941">
        <v>5.0</v>
      </c>
      <c r="BF357" s="941">
        <v>1.0</v>
      </c>
      <c r="BG357" s="942">
        <v>0.0</v>
      </c>
    </row>
    <row r="358">
      <c r="A358" s="935" t="s">
        <v>419</v>
      </c>
      <c r="B358" s="16" t="str">
        <f>IF(C358&lt;'PlayerGrades+'!$Y$44,"F-",IF(C358&lt;'PlayerGrades+'!$Y$43,"F",IF(C358&lt;'PlayerGrades+'!$Y$42,"F+",IF(C358&lt;'PlayerGrades+'!$Y$41,"E-",IF(C358&lt;'PlayerGrades+'!$Y$40,"E",IF(C358&lt;'PlayerGrades+'!$Y$39,"E+",IF(C358&lt;'PlayerGrades+'!$Y$38,"D-",IF(C358&lt;'PlayerGrades+'!$Y$37,"D",IF(C358&lt;'PlayerGrades+'!$Y$36,"D+",IF(C358&lt;'PlayerGrades+'!$Y$35,"C-",IF(C358&lt;'PlayerGrades+'!$Y$34,"C",IF(C358&lt;'PlayerGrades+'!$Y$33,"C+",IF(C358&lt;'PlayerGrades+'!$Y$32,"B-",IF(C358&lt;'PlayerGrades+'!$Y$31,"B",IF(C358&lt;'PlayerGrades+'!$Y$30,"B+",IF(C358&lt;'PlayerGrades+'!$Y$29,"A-",IF(C358&lt;'PlayerGrades+'!$Y$28,"A",IF(C358&lt;'PlayerGrades+'!$Y$27,"A+",IF(C358&lt;'PlayerGrades+'!$Y$26,"S-",IF(C358&lt;'PlayerGrades+'!$Y$25,"S","S+"))))))))))))))))))))</f>
        <v>C+</v>
      </c>
      <c r="C358" s="936">
        <f>('PlayerGrades+'!$Y$47*(VLOOKUP(E358, 'PlayerGrades+'!$X$3:$Y$23, 2, FALSE)))+('PlayerGrades+'!$Y$48*(VLOOKUP(G358, 'PlayerGrades+'!$X$3:$Y$23, 2, FALSE)))+('PlayerGrades+'!$Y$49*(VLOOKUP(I358, 'PlayerGrades+'!$X$3:$Y$23, 2, FALSE)))+('PlayerGrades+'!$Y$50*(VLOOKUP(K358, 'PlayerGrades+'!$X$3:$Y$23, 2, FALSE)))+('PlayerGrades+'!$Y$51*(VLOOKUP(M358, 'PlayerGrades+'!$X$3:$Y$23, 2, FALSE)))+('PlayerGrades+'!$Y$52*(VLOOKUP(O358, 'PlayerGrades+'!$X$3:$Y$23, 2, FALSE)))+('PlayerGrades+'!$Y$53*(VLOOKUP(Q358, 'PlayerGrades+'!$X$3:$Y$23, 2, FALSE)))+('PlayerGrades+'!$Y$54*(VLOOKUP(S358, 'PlayerGrades+'!$X$3:$Y$23, 2, FALSE)))+('PlayerGrades+'!$Y$55*(VLOOKUP(U358, 'PlayerGrades+'!$X$3:$Y$23, 2, FALSE)))</f>
        <v>21.15</v>
      </c>
      <c r="D358" s="937">
        <f t="shared" si="1"/>
        <v>0.1288936627</v>
      </c>
      <c r="E358" s="937" t="str">
        <f>IF(D358&lt;'PlayerGrades+'!$AA$21,"F-",IF(D358&lt;'PlayerGrades+'!$AA$20,"F",IF(D358&lt;'PlayerGrades+'!$AA$19,"F+",IF(D358&lt;'PlayerGrades+'!$AA$18,"E-",IF(D358&lt;'PlayerGrades+'!$AA$17,"E",IF(D358&lt;'PlayerGrades+'!$AA$16,"E+",IF(D358&lt;'PlayerGrades+'!$AA$15,"D-",IF(D358&lt;'PlayerGrades+'!$AA$14,"D",IF(D358&lt;'PlayerGrades+'!$AA$13,"D+",IF(D358&lt;'PlayerGrades+'!$AA$12,"C-",IF(D358&lt;'PlayerGrades+'!$AA$11,"C",IF(D358&lt;'PlayerGrades+'!$AA$10,"C+",IF(D358&lt;'PlayerGrades+'!$AA$9,"B-",IF(D358&lt;'PlayerGrades+'!$AA$8,"B",IF(D358&lt;'PlayerGrades+'!$AA$7,"B+",IF(D358&lt;'PlayerGrades+'!$AA$6,"A-",IF(D358&lt;'PlayerGrades+'!$AA$5,"A",IF(D358&lt;'PlayerGrades+'!$AA$4,"A+",IF(D358&lt;'PlayerGrades+'!$AA$3,"S-",IF(D358&lt;'PlayerGrades+'!$AA$2,"S","S+"))))))))))))))))))))</f>
        <v>B</v>
      </c>
      <c r="F358" s="937">
        <f t="shared" si="2"/>
        <v>-0.4511278195</v>
      </c>
      <c r="G358" s="937" t="str">
        <f>IF(F358&lt;'PlayerGrades+'!$AB$21,"F-",IF(F358&lt;'PlayerGrades+'!$AB$20,"F",IF(F358&lt;'PlayerGrades+'!$AB$19,"F+",IF(F358&lt;'PlayerGrades+'!$AB$18,"E-",IF(F358&lt;'PlayerGrades+'!$AB$17,"E",IF(F358&lt;'PlayerGrades+'!$AB$16,"E+",IF(F358&lt;'PlayerGrades+'!$AB$15,"D-",IF(F358&lt;'PlayerGrades+'!$AB$14,"D",IF(F358&lt;'PlayerGrades+'!$AB$13,"D+",IF(F358&lt;'PlayerGrades+'!$AB$12,"C-",IF(F358&lt;'PlayerGrades+'!$AB$11,"C",IF(F358&lt;'PlayerGrades+'!$AB$10,"C+",IF(F358&lt;'PlayerGrades+'!$AB$9,"B-",IF(F358&lt;'PlayerGrades+'!$AB$8,"B",IF(F358&lt;'PlayerGrades+'!$AB$7,"B+",IF(F358&lt;'PlayerGrades+'!$AB$6,"A-",IF(F358&lt;'PlayerGrades+'!$AB$5,"A",IF(F358&lt;'PlayerGrades+'!$AB$4,"A+",IF(F358&lt;'PlayerGrades+'!$AB$3,"S-",IF(F358&lt;'PlayerGrades+'!$AB$2,"S","S+"))))))))))))))))))))</f>
        <v>D</v>
      </c>
      <c r="H358" s="937">
        <f t="shared" si="3"/>
        <v>0.06444683136</v>
      </c>
      <c r="I358" s="937" t="str">
        <f>IF(H358&lt;'PlayerGrades+'!$AC$21,"F-",IF(H358&lt;'PlayerGrades+'!$AC$20,"F",IF(H358&lt;'PlayerGrades+'!$AC$19,"F+",IF(H358&lt;'PlayerGrades+'!$AC$18,"E-",IF(H358&lt;'PlayerGrades+'!$AC$17,"E",IF(H358&lt;'PlayerGrades+'!$AC$16,"E+",IF(H358&lt;'PlayerGrades+'!$AC$15,"D-",IF(H358&lt;'PlayerGrades+'!$AC$14,"D",IF(H358&lt;'PlayerGrades+'!$AC$13,"D+",IF(H358&lt;'PlayerGrades+'!$AC$12,"C-",IF(H358&lt;'PlayerGrades+'!$AC$11,"C",IF(H358&lt;'PlayerGrades+'!$AC$10,"C+",IF(H358&lt;'PlayerGrades+'!$AC$9,"B-",IF(H358&lt;'PlayerGrades+'!$AC$8,"B",IF(H358&lt;'PlayerGrades+'!$AC$7,"B+",IF(H358&lt;'PlayerGrades+'!$AC$6,"A-",IF(H358&lt;'PlayerGrades+'!$AC$5,"A",IF(H358&lt;'PlayerGrades+'!$AC$4,"A+",IF(H358&lt;'PlayerGrades+'!$AC$3,"S-",IF(H358&lt;'PlayerGrades+'!$AC$2,"S","S+"))))))))))))))))))))</f>
        <v>E-</v>
      </c>
      <c r="J358" s="937">
        <f t="shared" si="4"/>
        <v>0</v>
      </c>
      <c r="K358" s="937" t="str">
        <f>IF(J358&lt;'PlayerGrades+'!$AD$21,"F-",IF(J358&lt;'PlayerGrades+'!$AD$20,"F",IF(J358&lt;'PlayerGrades+'!$AD$19,"F+",IF(J358&lt;'PlayerGrades+'!$AD$18,"E-",IF(J358&lt;'PlayerGrades+'!$AD$17,"E",IF(J358&lt;'PlayerGrades+'!$AD$16,"E+",IF(J358&lt;'PlayerGrades+'!$AD$15,"D-",IF(J358&lt;'PlayerGrades+'!$AD$14,"D",IF(J358&lt;'PlayerGrades+'!$AD$13,"D+",IF(J358&lt;'PlayerGrades+'!$AD$12,"C-",IF(J358&lt;'PlayerGrades+'!$AD$11,"C",IF(J358&lt;'PlayerGrades+'!$AD$10,"C+",IF(J358&lt;'PlayerGrades+'!$AD$9,"B-",IF(J358&lt;'PlayerGrades+'!$AD$8,"B",IF(J358&lt;'PlayerGrades+'!$AD$7,"B+",IF(J358&lt;'PlayerGrades+'!$AD$6,"A-",IF(J358&lt;'PlayerGrades+'!$AD$5,"A",IF(J358&lt;'PlayerGrades+'!$AD$4,"A+",IF(J358&lt;'PlayerGrades+'!$AD$3,"S-",IF(J358&lt;'PlayerGrades+'!$AD$2,"S","S+"))))))))))))))))))))</f>
        <v>F-</v>
      </c>
      <c r="L358" s="677">
        <f t="shared" si="5"/>
        <v>0.5155746509</v>
      </c>
      <c r="M358" s="938" t="str">
        <f>IF(L358&lt;'PlayerGrades+'!$AE$21,"F-",IF(L358&lt;'PlayerGrades+'!$AE$20,"F",IF(L358&lt;'PlayerGrades+'!$AE$19,"F+",IF(L358&lt;'PlayerGrades+'!$AE$18,"E-",IF(L358&lt;'PlayerGrades+'!$AE$17,"E",IF(L358&lt;'PlayerGrades+'!$AE$16,"E+",IF(L358&lt;'PlayerGrades+'!$AE$15,"D-",IF(L358&lt;'PlayerGrades+'!$AE$14,"D",IF(L358&lt;'PlayerGrades+'!$AE$13,"D+",IF(L358&lt;'PlayerGrades+'!$AE$12,"C-",IF(L358&lt;'PlayerGrades+'!$AE$11,"C",IF(L358&lt;'PlayerGrades+'!$AE$10,"C+",IF(L358&lt;'PlayerGrades+'!$AE$9,"B-",IF(L358&lt;'PlayerGrades+'!$AE$8,"B",IF(L358&lt;'PlayerGrades+'!$AE$7,"B+",IF(L358&lt;'PlayerGrades+'!$AE$6,"A-",IF(L358&lt;'PlayerGrades+'!$AE$5,"A",IF(L358&lt;'PlayerGrades+'!$AE$4,"A+",IF(L358&lt;'PlayerGrades+'!$AE$3,"S-",IF(L358&lt;'PlayerGrades+'!$AE$2,"S","S+"))))))))))))))))))))</f>
        <v>A-</v>
      </c>
      <c r="N358" s="937">
        <f t="shared" si="6"/>
        <v>0.06444683136</v>
      </c>
      <c r="O358" s="937" t="str">
        <f>IF(N358&lt;'PlayerGrades+'!$AF$21,"F-",IF(N358&lt;'PlayerGrades+'!$AF$20,"F",IF(N358&lt;'PlayerGrades+'!$AF$19,"F+",IF(N358&lt;'PlayerGrades+'!$AF$18,"E-",IF(N358&lt;'PlayerGrades+'!$AF$17,"E",IF(N358&lt;'PlayerGrades+'!$AF$16,"E+",IF(N358&lt;'PlayerGrades+'!$AF$15,"D-",IF(N358&lt;'PlayerGrades+'!$AF$14,"D",IF(N358&lt;'PlayerGrades+'!$AF$13,"D+",IF(N358&lt;'PlayerGrades+'!$AF$12,"C-",IF(N358&lt;'PlayerGrades+'!$AF$11,"C",IF(N358&lt;'PlayerGrades+'!$AF$10,"C+",IF(N358&lt;'PlayerGrades+'!$AF$9,"B-",IF(N358&lt;'PlayerGrades+'!$AF$8,"B",IF(N358&lt;'PlayerGrades+'!$AF$7,"B+",IF(N358&lt;'PlayerGrades+'!$AF$6,"A-",IF(N358&lt;'PlayerGrades+'!$AF$5,"A",IF(N358&lt;'PlayerGrades+'!$AF$4,"A+",IF(N358&lt;'PlayerGrades+'!$AF$3,"S-",IF(N358&lt;'PlayerGrades+'!$AF$2,"S","S+"))))))))))))))))))))</f>
        <v>C-</v>
      </c>
      <c r="P358" s="937">
        <f t="shared" si="7"/>
        <v>0</v>
      </c>
      <c r="Q358" s="937" t="str">
        <f>IF(P358&lt;'PlayerGrades+'!$AG$21,"F-",IF(P358&lt;'PlayerGrades+'!$AG$20,"F",IF(P358&lt;'PlayerGrades+'!$AG$19,"F+",IF(P358&lt;'PlayerGrades+'!$AG$18,"E-",IF(P358&lt;'PlayerGrades+'!$AG$17,"E",IF(P358&lt;'PlayerGrades+'!$AG$16,"E+",IF(P358&lt;'PlayerGrades+'!$AG$15,"D-",IF(P358&lt;'PlayerGrades+'!$AG$14,"D",IF(P358&lt;'PlayerGrades+'!$AG$13,"D+",IF(P358&lt;'PlayerGrades+'!$AG$12,"C-",IF(P358&lt;'PlayerGrades+'!$AG$11,"C",IF(P358&lt;'PlayerGrades+'!$AG$10,"C+",IF(P358&lt;'PlayerGrades+'!$AG$9,"B-",IF(P358&lt;'PlayerGrades+'!$AG$8,"B",IF(P358&lt;'PlayerGrades+'!$AG$7,"B+",IF(P358&lt;'PlayerGrades+'!$AG$6,"A-",IF(P358&lt;'PlayerGrades+'!$AG$5,"A",IF(P358&lt;'PlayerGrades+'!$AG$4,"A+",IF(P358&lt;'PlayerGrades+'!$AG$3,"S-",IF(P358&lt;'PlayerGrades+'!$AG$2,"S","S+"))))))))))))))))))))</f>
        <v>F</v>
      </c>
      <c r="R358" s="937">
        <f t="shared" si="8"/>
        <v>0.7733619764</v>
      </c>
      <c r="S358" s="937" t="str">
        <f>IF(R358&lt;'PlayerGrades+'!$AH$21,"F-",IF(R358&lt;'PlayerGrades+'!$AH$20,"F",IF(R358&lt;'PlayerGrades+'!$AH$19,"F+",IF(R358&lt;'PlayerGrades+'!$AH$18,"E-",IF(R358&lt;'PlayerGrades+'!$AH$17,"E",IF(R358&lt;'PlayerGrades+'!$AH$16,"E+",IF(R358&lt;'PlayerGrades+'!$AH$15,"D-",IF(R358&lt;'PlayerGrades+'!$AH$14,"D",IF(R358&lt;'PlayerGrades+'!$AH$13,"D+",IF(R358&lt;'PlayerGrades+'!$AH$12,"C-",IF(R358&lt;'PlayerGrades+'!$AH$11,"C",IF(R358&lt;'PlayerGrades+'!$AH$10,"C+",IF(R358&lt;'PlayerGrades+'!$AH$9,"B-",IF(R358&lt;'PlayerGrades+'!$AH$8,"B",IF(R358&lt;'PlayerGrades+'!$AH$7,"B+",IF(R358&lt;'PlayerGrades+'!$AH$6,"A-",IF(R358&lt;'PlayerGrades+'!$AH$5,"A",IF(R358&lt;'PlayerGrades+'!$AH$4,"A+",IF(R358&lt;'PlayerGrades+'!$AH$3,"S-",IF(R358&lt;'PlayerGrades+'!$AH$2,"S","S+"))))))))))))))))))))</f>
        <v>S+</v>
      </c>
      <c r="T358" s="937">
        <f t="shared" si="9"/>
        <v>2.257787325</v>
      </c>
      <c r="U358" s="937" t="str">
        <f>IF(T358&lt;'PlayerGrades+'!$AI$21,"F-",IF(T358&lt;'PlayerGrades+'!$AI$20,"F",IF(T358&lt;'PlayerGrades+'!$AI$19,"F+",IF(T358&lt;'PlayerGrades+'!$AI$18,"E-",IF(T358&lt;'PlayerGrades+'!$AI$17,"E",IF(T358&lt;'PlayerGrades+'!$AI$16,"E+",IF(T358&lt;'PlayerGrades+'!$AI$15,"D-",IF(T358&lt;'PlayerGrades+'!$AI$14,"D",IF(T358&lt;'PlayerGrades+'!$AI$13,"D+",IF(T358&lt;'PlayerGrades+'!$AI$12,"C-",IF(T358&lt;'PlayerGrades+'!$AI$11,"C",IF(T358&lt;'PlayerGrades+'!$AI$10,"C+",IF(T358&lt;'PlayerGrades+'!$AI$9,"B-",IF(T358&lt;'PlayerGrades+'!$AI$8,"B",IF(T358&lt;'PlayerGrades+'!$AI$7,"B+",IF(T358&lt;'PlayerGrades+'!$AI$6,"A-",IF(T358&lt;'PlayerGrades+'!$AI$5,"A",IF(T358&lt;'PlayerGrades+'!$AI$4,"A+",IF(T358&lt;'PlayerGrades+'!$AI$3,"S-",IF(T358&lt;'PlayerGrades+'!$AI$2,"S","S+"))))))))))))))))))))</f>
        <v>S+</v>
      </c>
      <c r="V358" s="941">
        <v>1.0</v>
      </c>
      <c r="W358" s="941">
        <v>0.0</v>
      </c>
      <c r="X358" s="941">
        <v>1.0</v>
      </c>
      <c r="Y358" s="941">
        <v>2.0</v>
      </c>
      <c r="Z358" s="941">
        <v>0.0</v>
      </c>
      <c r="AA358" s="941">
        <v>50.0</v>
      </c>
      <c r="AB358" s="941">
        <v>57.0</v>
      </c>
      <c r="AC358" s="941">
        <v>-7.0</v>
      </c>
      <c r="AD358" s="941">
        <v>5.0</v>
      </c>
      <c r="AE358" s="941">
        <v>4.0</v>
      </c>
      <c r="AF358" s="941">
        <v>0.0</v>
      </c>
      <c r="AG358" s="941">
        <v>643.0</v>
      </c>
      <c r="AH358" s="941">
        <v>931.0</v>
      </c>
      <c r="AI358" s="941">
        <v>11.0</v>
      </c>
      <c r="AJ358" s="941">
        <v>11.0</v>
      </c>
      <c r="AK358" s="941">
        <v>0.0</v>
      </c>
      <c r="AL358" s="941">
        <v>0.0</v>
      </c>
      <c r="AM358" s="941">
        <v>0.0</v>
      </c>
      <c r="AN358" s="941">
        <v>0.0</v>
      </c>
      <c r="AO358" s="941">
        <v>0.0</v>
      </c>
      <c r="AP358" s="941">
        <v>0.0</v>
      </c>
      <c r="AQ358" s="941">
        <v>0.0</v>
      </c>
      <c r="AR358" s="941">
        <v>8.0</v>
      </c>
      <c r="AS358" s="941">
        <v>1.0</v>
      </c>
      <c r="AT358" s="941">
        <v>0.0</v>
      </c>
      <c r="AU358" s="941">
        <v>0.0</v>
      </c>
      <c r="AV358" s="941">
        <v>0.0</v>
      </c>
      <c r="AW358" s="941">
        <v>0.0</v>
      </c>
      <c r="AX358" s="941">
        <v>0.0</v>
      </c>
      <c r="AY358" s="941">
        <v>0.0</v>
      </c>
      <c r="AZ358" s="941">
        <v>0.0</v>
      </c>
      <c r="BA358" s="941">
        <v>0.0</v>
      </c>
      <c r="BB358" s="941">
        <v>1.0</v>
      </c>
      <c r="BC358" s="941">
        <v>0.0</v>
      </c>
      <c r="BD358" s="941">
        <v>7.0</v>
      </c>
      <c r="BE358" s="941">
        <v>4.0</v>
      </c>
      <c r="BF358" s="941">
        <v>2.0</v>
      </c>
      <c r="BG358" s="942">
        <v>1.0</v>
      </c>
    </row>
    <row r="359">
      <c r="A359" s="935" t="s">
        <v>123</v>
      </c>
      <c r="B359" s="16" t="str">
        <f>IF(C359&lt;'PlayerGrades+'!$Y$44,"F-",IF(C359&lt;'PlayerGrades+'!$Y$43,"F",IF(C359&lt;'PlayerGrades+'!$Y$42,"F+",IF(C359&lt;'PlayerGrades+'!$Y$41,"E-",IF(C359&lt;'PlayerGrades+'!$Y$40,"E",IF(C359&lt;'PlayerGrades+'!$Y$39,"E+",IF(C359&lt;'PlayerGrades+'!$Y$38,"D-",IF(C359&lt;'PlayerGrades+'!$Y$37,"D",IF(C359&lt;'PlayerGrades+'!$Y$36,"D+",IF(C359&lt;'PlayerGrades+'!$Y$35,"C-",IF(C359&lt;'PlayerGrades+'!$Y$34,"C",IF(C359&lt;'PlayerGrades+'!$Y$33,"C+",IF(C359&lt;'PlayerGrades+'!$Y$32,"B-",IF(C359&lt;'PlayerGrades+'!$Y$31,"B",IF(C359&lt;'PlayerGrades+'!$Y$30,"B+",IF(C359&lt;'PlayerGrades+'!$Y$29,"A-",IF(C359&lt;'PlayerGrades+'!$Y$28,"A",IF(C359&lt;'PlayerGrades+'!$Y$27,"A+",IF(C359&lt;'PlayerGrades+'!$Y$26,"S-",IF(C359&lt;'PlayerGrades+'!$Y$25,"S","S+"))))))))))))))))))))</f>
        <v>S+</v>
      </c>
      <c r="C359" s="936">
        <f>('PlayerGrades+'!$Y$47*(VLOOKUP(E359, 'PlayerGrades+'!$X$3:$Y$23, 2, FALSE)))+('PlayerGrades+'!$Y$48*(VLOOKUP(G359, 'PlayerGrades+'!$X$3:$Y$23, 2, FALSE)))+('PlayerGrades+'!$Y$49*(VLOOKUP(I359, 'PlayerGrades+'!$X$3:$Y$23, 2, FALSE)))+('PlayerGrades+'!$Y$50*(VLOOKUP(K359, 'PlayerGrades+'!$X$3:$Y$23, 2, FALSE)))+('PlayerGrades+'!$Y$51*(VLOOKUP(M359, 'PlayerGrades+'!$X$3:$Y$23, 2, FALSE)))+('PlayerGrades+'!$Y$52*(VLOOKUP(O359, 'PlayerGrades+'!$X$3:$Y$23, 2, FALSE)))+('PlayerGrades+'!$Y$53*(VLOOKUP(Q359, 'PlayerGrades+'!$X$3:$Y$23, 2, FALSE)))+('PlayerGrades+'!$Y$54*(VLOOKUP(S359, 'PlayerGrades+'!$X$3:$Y$23, 2, FALSE)))+('PlayerGrades+'!$Y$55*(VLOOKUP(U359, 'PlayerGrades+'!$X$3:$Y$23, 2, FALSE)))</f>
        <v>34.25</v>
      </c>
      <c r="D359" s="937">
        <f t="shared" si="1"/>
        <v>1.095596133</v>
      </c>
      <c r="E359" s="937" t="str">
        <f>IF(D359&lt;'PlayerGrades+'!$AA$21,"F-",IF(D359&lt;'PlayerGrades+'!$AA$20,"F",IF(D359&lt;'PlayerGrades+'!$AA$19,"F+",IF(D359&lt;'PlayerGrades+'!$AA$18,"E-",IF(D359&lt;'PlayerGrades+'!$AA$17,"E",IF(D359&lt;'PlayerGrades+'!$AA$16,"E+",IF(D359&lt;'PlayerGrades+'!$AA$15,"D-",IF(D359&lt;'PlayerGrades+'!$AA$14,"D",IF(D359&lt;'PlayerGrades+'!$AA$13,"D+",IF(D359&lt;'PlayerGrades+'!$AA$12,"C-",IF(D359&lt;'PlayerGrades+'!$AA$11,"C",IF(D359&lt;'PlayerGrades+'!$AA$10,"C+",IF(D359&lt;'PlayerGrades+'!$AA$9,"B-",IF(D359&lt;'PlayerGrades+'!$AA$8,"B",IF(D359&lt;'PlayerGrades+'!$AA$7,"B+",IF(D359&lt;'PlayerGrades+'!$AA$6,"A-",IF(D359&lt;'PlayerGrades+'!$AA$5,"A",IF(D359&lt;'PlayerGrades+'!$AA$4,"A+",IF(D359&lt;'PlayerGrades+'!$AA$3,"S-",IF(D359&lt;'PlayerGrades+'!$AA$2,"S","S+"))))))))))))))))))))</f>
        <v>S+</v>
      </c>
      <c r="F359" s="937">
        <f t="shared" si="2"/>
        <v>1.160042965</v>
      </c>
      <c r="G359" s="937" t="str">
        <f>IF(F359&lt;'PlayerGrades+'!$AB$21,"F-",IF(F359&lt;'PlayerGrades+'!$AB$20,"F",IF(F359&lt;'PlayerGrades+'!$AB$19,"F+",IF(F359&lt;'PlayerGrades+'!$AB$18,"E-",IF(F359&lt;'PlayerGrades+'!$AB$17,"E",IF(F359&lt;'PlayerGrades+'!$AB$16,"E+",IF(F359&lt;'PlayerGrades+'!$AB$15,"D-",IF(F359&lt;'PlayerGrades+'!$AB$14,"D",IF(F359&lt;'PlayerGrades+'!$AB$13,"D+",IF(F359&lt;'PlayerGrades+'!$AB$12,"C-",IF(F359&lt;'PlayerGrades+'!$AB$11,"C",IF(F359&lt;'PlayerGrades+'!$AB$10,"C+",IF(F359&lt;'PlayerGrades+'!$AB$9,"B-",IF(F359&lt;'PlayerGrades+'!$AB$8,"B",IF(F359&lt;'PlayerGrades+'!$AB$7,"B+",IF(F359&lt;'PlayerGrades+'!$AB$6,"A-",IF(F359&lt;'PlayerGrades+'!$AB$5,"A",IF(F359&lt;'PlayerGrades+'!$AB$4,"A+",IF(F359&lt;'PlayerGrades+'!$AB$3,"S-",IF(F359&lt;'PlayerGrades+'!$AB$2,"S","S+"))))))))))))))))))))</f>
        <v>S+</v>
      </c>
      <c r="H359" s="937">
        <f t="shared" si="3"/>
        <v>0.1288936627</v>
      </c>
      <c r="I359" s="937" t="str">
        <f>IF(H359&lt;'PlayerGrades+'!$AC$21,"F-",IF(H359&lt;'PlayerGrades+'!$AC$20,"F",IF(H359&lt;'PlayerGrades+'!$AC$19,"F+",IF(H359&lt;'PlayerGrades+'!$AC$18,"E-",IF(H359&lt;'PlayerGrades+'!$AC$17,"E",IF(H359&lt;'PlayerGrades+'!$AC$16,"E+",IF(H359&lt;'PlayerGrades+'!$AC$15,"D-",IF(H359&lt;'PlayerGrades+'!$AC$14,"D",IF(H359&lt;'PlayerGrades+'!$AC$13,"D+",IF(H359&lt;'PlayerGrades+'!$AC$12,"C-",IF(H359&lt;'PlayerGrades+'!$AC$11,"C",IF(H359&lt;'PlayerGrades+'!$AC$10,"C+",IF(H359&lt;'PlayerGrades+'!$AC$9,"B-",IF(H359&lt;'PlayerGrades+'!$AC$8,"B",IF(H359&lt;'PlayerGrades+'!$AC$7,"B+",IF(H359&lt;'PlayerGrades+'!$AC$6,"A-",IF(H359&lt;'PlayerGrades+'!$AC$5,"A",IF(H359&lt;'PlayerGrades+'!$AC$4,"A+",IF(H359&lt;'PlayerGrades+'!$AC$3,"S-",IF(H359&lt;'PlayerGrades+'!$AC$2,"S","S+"))))))))))))))))))))</f>
        <v>B</v>
      </c>
      <c r="J359" s="937">
        <f t="shared" si="4"/>
        <v>0.2577873255</v>
      </c>
      <c r="K359" s="937" t="str">
        <f>IF(J359&lt;'PlayerGrades+'!$AD$21,"F-",IF(J359&lt;'PlayerGrades+'!$AD$20,"F",IF(J359&lt;'PlayerGrades+'!$AD$19,"F+",IF(J359&lt;'PlayerGrades+'!$AD$18,"E-",IF(J359&lt;'PlayerGrades+'!$AD$17,"E",IF(J359&lt;'PlayerGrades+'!$AD$16,"E+",IF(J359&lt;'PlayerGrades+'!$AD$15,"D-",IF(J359&lt;'PlayerGrades+'!$AD$14,"D",IF(J359&lt;'PlayerGrades+'!$AD$13,"D+",IF(J359&lt;'PlayerGrades+'!$AD$12,"C-",IF(J359&lt;'PlayerGrades+'!$AD$11,"C",IF(J359&lt;'PlayerGrades+'!$AD$10,"C+",IF(J359&lt;'PlayerGrades+'!$AD$9,"B-",IF(J359&lt;'PlayerGrades+'!$AD$8,"B",IF(J359&lt;'PlayerGrades+'!$AD$7,"B+",IF(J359&lt;'PlayerGrades+'!$AD$6,"A-",IF(J359&lt;'PlayerGrades+'!$AD$5,"A",IF(J359&lt;'PlayerGrades+'!$AD$4,"A+",IF(J359&lt;'PlayerGrades+'!$AD$3,"S-",IF(J359&lt;'PlayerGrades+'!$AD$2,"S","S+"))))))))))))))))))))</f>
        <v>S+</v>
      </c>
      <c r="L359" s="677">
        <f t="shared" si="5"/>
        <v>0.708915145</v>
      </c>
      <c r="M359" s="938" t="str">
        <f>IF(L359&lt;'PlayerGrades+'!$AE$21,"F-",IF(L359&lt;'PlayerGrades+'!$AE$20,"F",IF(L359&lt;'PlayerGrades+'!$AE$19,"F+",IF(L359&lt;'PlayerGrades+'!$AE$18,"E-",IF(L359&lt;'PlayerGrades+'!$AE$17,"E",IF(L359&lt;'PlayerGrades+'!$AE$16,"E+",IF(L359&lt;'PlayerGrades+'!$AE$15,"D-",IF(L359&lt;'PlayerGrades+'!$AE$14,"D",IF(L359&lt;'PlayerGrades+'!$AE$13,"D+",IF(L359&lt;'PlayerGrades+'!$AE$12,"C-",IF(L359&lt;'PlayerGrades+'!$AE$11,"C",IF(L359&lt;'PlayerGrades+'!$AE$10,"C+",IF(L359&lt;'PlayerGrades+'!$AE$9,"B-",IF(L359&lt;'PlayerGrades+'!$AE$8,"B",IF(L359&lt;'PlayerGrades+'!$AE$7,"B+",IF(L359&lt;'PlayerGrades+'!$AE$6,"A-",IF(L359&lt;'PlayerGrades+'!$AE$5,"A",IF(L359&lt;'PlayerGrades+'!$AE$4,"A+",IF(L359&lt;'PlayerGrades+'!$AE$3,"S-",IF(L359&lt;'PlayerGrades+'!$AE$2,"S","S+"))))))))))))))))))))</f>
        <v>S+</v>
      </c>
      <c r="N359" s="937">
        <f t="shared" si="6"/>
        <v>0.3222341568</v>
      </c>
      <c r="O359" s="937" t="str">
        <f>IF(N359&lt;'PlayerGrades+'!$AF$21,"F-",IF(N359&lt;'PlayerGrades+'!$AF$20,"F",IF(N359&lt;'PlayerGrades+'!$AF$19,"F+",IF(N359&lt;'PlayerGrades+'!$AF$18,"E-",IF(N359&lt;'PlayerGrades+'!$AF$17,"E",IF(N359&lt;'PlayerGrades+'!$AF$16,"E+",IF(N359&lt;'PlayerGrades+'!$AF$15,"D-",IF(N359&lt;'PlayerGrades+'!$AF$14,"D",IF(N359&lt;'PlayerGrades+'!$AF$13,"D+",IF(N359&lt;'PlayerGrades+'!$AF$12,"C-",IF(N359&lt;'PlayerGrades+'!$AF$11,"C",IF(N359&lt;'PlayerGrades+'!$AF$10,"C+",IF(N359&lt;'PlayerGrades+'!$AF$9,"B-",IF(N359&lt;'PlayerGrades+'!$AF$8,"B",IF(N359&lt;'PlayerGrades+'!$AF$7,"B+",IF(N359&lt;'PlayerGrades+'!$AF$6,"A-",IF(N359&lt;'PlayerGrades+'!$AF$5,"A",IF(N359&lt;'PlayerGrades+'!$AF$4,"A+",IF(N359&lt;'PlayerGrades+'!$AF$3,"S-",IF(N359&lt;'PlayerGrades+'!$AF$2,"S","S+"))))))))))))))))))))</f>
        <v>S+</v>
      </c>
      <c r="P359" s="937">
        <f t="shared" si="7"/>
        <v>0.1288936627</v>
      </c>
      <c r="Q359" s="937" t="str">
        <f>IF(P359&lt;'PlayerGrades+'!$AG$21,"F-",IF(P359&lt;'PlayerGrades+'!$AG$20,"F",IF(P359&lt;'PlayerGrades+'!$AG$19,"F+",IF(P359&lt;'PlayerGrades+'!$AG$18,"E-",IF(P359&lt;'PlayerGrades+'!$AG$17,"E",IF(P359&lt;'PlayerGrades+'!$AG$16,"E+",IF(P359&lt;'PlayerGrades+'!$AG$15,"D-",IF(P359&lt;'PlayerGrades+'!$AG$14,"D",IF(P359&lt;'PlayerGrades+'!$AG$13,"D+",IF(P359&lt;'PlayerGrades+'!$AG$12,"C-",IF(P359&lt;'PlayerGrades+'!$AG$11,"C",IF(P359&lt;'PlayerGrades+'!$AG$10,"C+",IF(P359&lt;'PlayerGrades+'!$AG$9,"B-",IF(P359&lt;'PlayerGrades+'!$AG$8,"B",IF(P359&lt;'PlayerGrades+'!$AG$7,"B+",IF(P359&lt;'PlayerGrades+'!$AG$6,"A-",IF(P359&lt;'PlayerGrades+'!$AG$5,"A",IF(P359&lt;'PlayerGrades+'!$AG$4,"A+",IF(P359&lt;'PlayerGrades+'!$AG$3,"S-",IF(P359&lt;'PlayerGrades+'!$AG$2,"S","S+"))))))))))))))))))))</f>
        <v>S+</v>
      </c>
      <c r="R359" s="937">
        <f t="shared" si="8"/>
        <v>0.5800214823</v>
      </c>
      <c r="S359" s="937" t="str">
        <f>IF(R359&lt;'PlayerGrades+'!$AH$21,"F-",IF(R359&lt;'PlayerGrades+'!$AH$20,"F",IF(R359&lt;'PlayerGrades+'!$AH$19,"F+",IF(R359&lt;'PlayerGrades+'!$AH$18,"E-",IF(R359&lt;'PlayerGrades+'!$AH$17,"E",IF(R359&lt;'PlayerGrades+'!$AH$16,"E+",IF(R359&lt;'PlayerGrades+'!$AH$15,"D-",IF(R359&lt;'PlayerGrades+'!$AH$14,"D",IF(R359&lt;'PlayerGrades+'!$AH$13,"D+",IF(R359&lt;'PlayerGrades+'!$AH$12,"C-",IF(R359&lt;'PlayerGrades+'!$AH$11,"C",IF(R359&lt;'PlayerGrades+'!$AH$10,"C+",IF(R359&lt;'PlayerGrades+'!$AH$9,"B-",IF(R359&lt;'PlayerGrades+'!$AH$8,"B",IF(R359&lt;'PlayerGrades+'!$AH$7,"B+",IF(R359&lt;'PlayerGrades+'!$AH$6,"A-",IF(R359&lt;'PlayerGrades+'!$AH$5,"A",IF(R359&lt;'PlayerGrades+'!$AH$4,"A+",IF(R359&lt;'PlayerGrades+'!$AH$3,"S-",IF(R359&lt;'PlayerGrades+'!$AH$2,"S","S+"))))))))))))))))))))</f>
        <v>B</v>
      </c>
      <c r="T359" s="937">
        <f t="shared" si="9"/>
        <v>5.257787325</v>
      </c>
      <c r="U359" s="937" t="str">
        <f>IF(T359&lt;'PlayerGrades+'!$AI$21,"F-",IF(T359&lt;'PlayerGrades+'!$AI$20,"F",IF(T359&lt;'PlayerGrades+'!$AI$19,"F+",IF(T359&lt;'PlayerGrades+'!$AI$18,"E-",IF(T359&lt;'PlayerGrades+'!$AI$17,"E",IF(T359&lt;'PlayerGrades+'!$AI$16,"E+",IF(T359&lt;'PlayerGrades+'!$AI$15,"D-",IF(T359&lt;'PlayerGrades+'!$AI$14,"D",IF(T359&lt;'PlayerGrades+'!$AI$13,"D+",IF(T359&lt;'PlayerGrades+'!$AI$12,"C-",IF(T359&lt;'PlayerGrades+'!$AI$11,"C",IF(T359&lt;'PlayerGrades+'!$AI$10,"C+",IF(T359&lt;'PlayerGrades+'!$AI$9,"B-",IF(T359&lt;'PlayerGrades+'!$AI$8,"B",IF(T359&lt;'PlayerGrades+'!$AI$7,"B+",IF(T359&lt;'PlayerGrades+'!$AI$6,"A-",IF(T359&lt;'PlayerGrades+'!$AI$5,"A",IF(T359&lt;'PlayerGrades+'!$AI$4,"A+",IF(T359&lt;'PlayerGrades+'!$AI$3,"S-",IF(T359&lt;'PlayerGrades+'!$AI$2,"S","S+"))))))))))))))))))))</f>
        <v>S+</v>
      </c>
      <c r="V359" s="941">
        <v>1.0</v>
      </c>
      <c r="W359" s="941">
        <v>0.0</v>
      </c>
      <c r="X359" s="941">
        <v>1.0</v>
      </c>
      <c r="Y359" s="941">
        <v>2.0</v>
      </c>
      <c r="Z359" s="941">
        <v>15.0</v>
      </c>
      <c r="AA359" s="941">
        <v>55.0</v>
      </c>
      <c r="AB359" s="941">
        <v>37.0</v>
      </c>
      <c r="AC359" s="941">
        <v>18.0</v>
      </c>
      <c r="AD359" s="941">
        <v>0.0</v>
      </c>
      <c r="AE359" s="941">
        <v>8.0</v>
      </c>
      <c r="AF359" s="941">
        <v>0.0</v>
      </c>
      <c r="AG359" s="941">
        <v>699.0</v>
      </c>
      <c r="AH359" s="941">
        <v>931.0</v>
      </c>
      <c r="AI359" s="941">
        <v>18.0</v>
      </c>
      <c r="AJ359" s="941">
        <v>355.0</v>
      </c>
      <c r="AK359" s="941">
        <v>0.0</v>
      </c>
      <c r="AL359" s="941">
        <v>4.0</v>
      </c>
      <c r="AM359" s="941">
        <v>0.0</v>
      </c>
      <c r="AN359" s="941">
        <v>0.0</v>
      </c>
      <c r="AO359" s="941">
        <v>0.0</v>
      </c>
      <c r="AP359" s="941">
        <v>2.0</v>
      </c>
      <c r="AQ359" s="941">
        <v>0.0</v>
      </c>
      <c r="AR359" s="941">
        <v>11.0</v>
      </c>
      <c r="AS359" s="941">
        <v>5.0</v>
      </c>
      <c r="AT359" s="941">
        <v>2.0</v>
      </c>
      <c r="AU359" s="941">
        <v>0.0</v>
      </c>
      <c r="AV359" s="941">
        <v>0.0</v>
      </c>
      <c r="AW359" s="941">
        <v>0.0</v>
      </c>
      <c r="AX359" s="941">
        <v>0.0</v>
      </c>
      <c r="AY359" s="941">
        <v>0.0</v>
      </c>
      <c r="AZ359" s="941">
        <v>0.0</v>
      </c>
      <c r="BA359" s="941">
        <v>0.0</v>
      </c>
      <c r="BB359" s="941">
        <v>2.0</v>
      </c>
      <c r="BC359" s="941">
        <v>0.0</v>
      </c>
      <c r="BD359" s="941">
        <v>9.0</v>
      </c>
      <c r="BE359" s="941">
        <v>4.0</v>
      </c>
      <c r="BF359" s="941">
        <v>5.0</v>
      </c>
      <c r="BG359" s="942">
        <v>1.0</v>
      </c>
    </row>
    <row r="360">
      <c r="A360" s="935" t="s">
        <v>159</v>
      </c>
      <c r="B360" s="16" t="str">
        <f>IF(C360&lt;'PlayerGrades+'!$Y$44,"F-",IF(C360&lt;'PlayerGrades+'!$Y$43,"F",IF(C360&lt;'PlayerGrades+'!$Y$42,"F+",IF(C360&lt;'PlayerGrades+'!$Y$41,"E-",IF(C360&lt;'PlayerGrades+'!$Y$40,"E",IF(C360&lt;'PlayerGrades+'!$Y$39,"E+",IF(C360&lt;'PlayerGrades+'!$Y$38,"D-",IF(C360&lt;'PlayerGrades+'!$Y$37,"D",IF(C360&lt;'PlayerGrades+'!$Y$36,"D+",IF(C360&lt;'PlayerGrades+'!$Y$35,"C-",IF(C360&lt;'PlayerGrades+'!$Y$34,"C",IF(C360&lt;'PlayerGrades+'!$Y$33,"C+",IF(C360&lt;'PlayerGrades+'!$Y$32,"B-",IF(C360&lt;'PlayerGrades+'!$Y$31,"B",IF(C360&lt;'PlayerGrades+'!$Y$30,"B+",IF(C360&lt;'PlayerGrades+'!$Y$29,"A-",IF(C360&lt;'PlayerGrades+'!$Y$28,"A",IF(C360&lt;'PlayerGrades+'!$Y$27,"A+",IF(C360&lt;'PlayerGrades+'!$Y$26,"S-",IF(C360&lt;'PlayerGrades+'!$Y$25,"S","S+"))))))))))))))))))))</f>
        <v>C+</v>
      </c>
      <c r="C360" s="936">
        <f>('PlayerGrades+'!$Y$47*(VLOOKUP(E360, 'PlayerGrades+'!$X$3:$Y$23, 2, FALSE)))+('PlayerGrades+'!$Y$48*(VLOOKUP(G360, 'PlayerGrades+'!$X$3:$Y$23, 2, FALSE)))+('PlayerGrades+'!$Y$49*(VLOOKUP(I360, 'PlayerGrades+'!$X$3:$Y$23, 2, FALSE)))+('PlayerGrades+'!$Y$50*(VLOOKUP(K360, 'PlayerGrades+'!$X$3:$Y$23, 2, FALSE)))+('PlayerGrades+'!$Y$51*(VLOOKUP(M360, 'PlayerGrades+'!$X$3:$Y$23, 2, FALSE)))+('PlayerGrades+'!$Y$52*(VLOOKUP(O360, 'PlayerGrades+'!$X$3:$Y$23, 2, FALSE)))+('PlayerGrades+'!$Y$53*(VLOOKUP(Q360, 'PlayerGrades+'!$X$3:$Y$23, 2, FALSE)))+('PlayerGrades+'!$Y$54*(VLOOKUP(S360, 'PlayerGrades+'!$X$3:$Y$23, 2, FALSE)))+('PlayerGrades+'!$Y$55*(VLOOKUP(U360, 'PlayerGrades+'!$X$3:$Y$23, 2, FALSE)))</f>
        <v>21.35</v>
      </c>
      <c r="D360" s="937">
        <f t="shared" si="1"/>
        <v>0.06444683136</v>
      </c>
      <c r="E360" s="937" t="str">
        <f>IF(D360&lt;'PlayerGrades+'!$AA$21,"F-",IF(D360&lt;'PlayerGrades+'!$AA$20,"F",IF(D360&lt;'PlayerGrades+'!$AA$19,"F+",IF(D360&lt;'PlayerGrades+'!$AA$18,"E-",IF(D360&lt;'PlayerGrades+'!$AA$17,"E",IF(D360&lt;'PlayerGrades+'!$AA$16,"E+",IF(D360&lt;'PlayerGrades+'!$AA$15,"D-",IF(D360&lt;'PlayerGrades+'!$AA$14,"D",IF(D360&lt;'PlayerGrades+'!$AA$13,"D+",IF(D360&lt;'PlayerGrades+'!$AA$12,"C-",IF(D360&lt;'PlayerGrades+'!$AA$11,"C",IF(D360&lt;'PlayerGrades+'!$AA$10,"C+",IF(D360&lt;'PlayerGrades+'!$AA$9,"B-",IF(D360&lt;'PlayerGrades+'!$AA$8,"B",IF(D360&lt;'PlayerGrades+'!$AA$7,"B+",IF(D360&lt;'PlayerGrades+'!$AA$6,"A-",IF(D360&lt;'PlayerGrades+'!$AA$5,"A",IF(D360&lt;'PlayerGrades+'!$AA$4,"A+",IF(D360&lt;'PlayerGrades+'!$AA$3,"S-",IF(D360&lt;'PlayerGrades+'!$AA$2,"S","S+"))))))))))))))))))))</f>
        <v>B-</v>
      </c>
      <c r="F360" s="937">
        <f t="shared" si="2"/>
        <v>-0.06444683136</v>
      </c>
      <c r="G360" s="937" t="str">
        <f>IF(F360&lt;'PlayerGrades+'!$AB$21,"F-",IF(F360&lt;'PlayerGrades+'!$AB$20,"F",IF(F360&lt;'PlayerGrades+'!$AB$19,"F+",IF(F360&lt;'PlayerGrades+'!$AB$18,"E-",IF(F360&lt;'PlayerGrades+'!$AB$17,"E",IF(F360&lt;'PlayerGrades+'!$AB$16,"E+",IF(F360&lt;'PlayerGrades+'!$AB$15,"D-",IF(F360&lt;'PlayerGrades+'!$AB$14,"D",IF(F360&lt;'PlayerGrades+'!$AB$13,"D+",IF(F360&lt;'PlayerGrades+'!$AB$12,"C-",IF(F360&lt;'PlayerGrades+'!$AB$11,"C",IF(F360&lt;'PlayerGrades+'!$AB$10,"C+",IF(F360&lt;'PlayerGrades+'!$AB$9,"B-",IF(F360&lt;'PlayerGrades+'!$AB$8,"B",IF(F360&lt;'PlayerGrades+'!$AB$7,"B+",IF(F360&lt;'PlayerGrades+'!$AB$6,"A-",IF(F360&lt;'PlayerGrades+'!$AB$5,"A",IF(F360&lt;'PlayerGrades+'!$AB$4,"A+",IF(F360&lt;'PlayerGrades+'!$AB$3,"S-",IF(F360&lt;'PlayerGrades+'!$AB$2,"S","S+"))))))))))))))))))))</f>
        <v>B-</v>
      </c>
      <c r="H360" s="937">
        <f t="shared" si="3"/>
        <v>0.1288936627</v>
      </c>
      <c r="I360" s="937" t="str">
        <f>IF(H360&lt;'PlayerGrades+'!$AC$21,"F-",IF(H360&lt;'PlayerGrades+'!$AC$20,"F",IF(H360&lt;'PlayerGrades+'!$AC$19,"F+",IF(H360&lt;'PlayerGrades+'!$AC$18,"E-",IF(H360&lt;'PlayerGrades+'!$AC$17,"E",IF(H360&lt;'PlayerGrades+'!$AC$16,"E+",IF(H360&lt;'PlayerGrades+'!$AC$15,"D-",IF(H360&lt;'PlayerGrades+'!$AC$14,"D",IF(H360&lt;'PlayerGrades+'!$AC$13,"D+",IF(H360&lt;'PlayerGrades+'!$AC$12,"C-",IF(H360&lt;'PlayerGrades+'!$AC$11,"C",IF(H360&lt;'PlayerGrades+'!$AC$10,"C+",IF(H360&lt;'PlayerGrades+'!$AC$9,"B-",IF(H360&lt;'PlayerGrades+'!$AC$8,"B",IF(H360&lt;'PlayerGrades+'!$AC$7,"B+",IF(H360&lt;'PlayerGrades+'!$AC$6,"A-",IF(H360&lt;'PlayerGrades+'!$AC$5,"A",IF(H360&lt;'PlayerGrades+'!$AC$4,"A+",IF(H360&lt;'PlayerGrades+'!$AC$3,"S-",IF(H360&lt;'PlayerGrades+'!$AC$2,"S","S+"))))))))))))))))))))</f>
        <v>B</v>
      </c>
      <c r="J360" s="937">
        <f t="shared" si="4"/>
        <v>0.06444683136</v>
      </c>
      <c r="K360" s="937" t="str">
        <f>IF(J360&lt;'PlayerGrades+'!$AD$21,"F-",IF(J360&lt;'PlayerGrades+'!$AD$20,"F",IF(J360&lt;'PlayerGrades+'!$AD$19,"F+",IF(J360&lt;'PlayerGrades+'!$AD$18,"E-",IF(J360&lt;'PlayerGrades+'!$AD$17,"E",IF(J360&lt;'PlayerGrades+'!$AD$16,"E+",IF(J360&lt;'PlayerGrades+'!$AD$15,"D-",IF(J360&lt;'PlayerGrades+'!$AD$14,"D",IF(J360&lt;'PlayerGrades+'!$AD$13,"D+",IF(J360&lt;'PlayerGrades+'!$AD$12,"C-",IF(J360&lt;'PlayerGrades+'!$AD$11,"C",IF(J360&lt;'PlayerGrades+'!$AD$10,"C+",IF(J360&lt;'PlayerGrades+'!$AD$9,"B-",IF(J360&lt;'PlayerGrades+'!$AD$8,"B",IF(J360&lt;'PlayerGrades+'!$AD$7,"B+",IF(J360&lt;'PlayerGrades+'!$AD$6,"A-",IF(J360&lt;'PlayerGrades+'!$AD$5,"A",IF(J360&lt;'PlayerGrades+'!$AD$4,"A+",IF(J360&lt;'PlayerGrades+'!$AD$3,"S-",IF(J360&lt;'PlayerGrades+'!$AD$2,"S","S+"))))))))))))))))))))</f>
        <v>A-</v>
      </c>
      <c r="L360" s="677">
        <f t="shared" si="5"/>
        <v>0.6444683136</v>
      </c>
      <c r="M360" s="938" t="str">
        <f>IF(L360&lt;'PlayerGrades+'!$AE$21,"F-",IF(L360&lt;'PlayerGrades+'!$AE$20,"F",IF(L360&lt;'PlayerGrades+'!$AE$19,"F+",IF(L360&lt;'PlayerGrades+'!$AE$18,"E-",IF(L360&lt;'PlayerGrades+'!$AE$17,"E",IF(L360&lt;'PlayerGrades+'!$AE$16,"E+",IF(L360&lt;'PlayerGrades+'!$AE$15,"D-",IF(L360&lt;'PlayerGrades+'!$AE$14,"D",IF(L360&lt;'PlayerGrades+'!$AE$13,"D+",IF(L360&lt;'PlayerGrades+'!$AE$12,"C-",IF(L360&lt;'PlayerGrades+'!$AE$11,"C",IF(L360&lt;'PlayerGrades+'!$AE$10,"C+",IF(L360&lt;'PlayerGrades+'!$AE$9,"B-",IF(L360&lt;'PlayerGrades+'!$AE$8,"B",IF(L360&lt;'PlayerGrades+'!$AE$7,"B+",IF(L360&lt;'PlayerGrades+'!$AE$6,"A-",IF(L360&lt;'PlayerGrades+'!$AE$5,"A",IF(L360&lt;'PlayerGrades+'!$AE$4,"A+",IF(L360&lt;'PlayerGrades+'!$AE$3,"S-",IF(L360&lt;'PlayerGrades+'!$AE$2,"S","S+"))))))))))))))))))))</f>
        <v>S</v>
      </c>
      <c r="N360" s="937">
        <f t="shared" si="6"/>
        <v>0.06444683136</v>
      </c>
      <c r="O360" s="937" t="str">
        <f>IF(N360&lt;'PlayerGrades+'!$AF$21,"F-",IF(N360&lt;'PlayerGrades+'!$AF$20,"F",IF(N360&lt;'PlayerGrades+'!$AF$19,"F+",IF(N360&lt;'PlayerGrades+'!$AF$18,"E-",IF(N360&lt;'PlayerGrades+'!$AF$17,"E",IF(N360&lt;'PlayerGrades+'!$AF$16,"E+",IF(N360&lt;'PlayerGrades+'!$AF$15,"D-",IF(N360&lt;'PlayerGrades+'!$AF$14,"D",IF(N360&lt;'PlayerGrades+'!$AF$13,"D+",IF(N360&lt;'PlayerGrades+'!$AF$12,"C-",IF(N360&lt;'PlayerGrades+'!$AF$11,"C",IF(N360&lt;'PlayerGrades+'!$AF$10,"C+",IF(N360&lt;'PlayerGrades+'!$AF$9,"B-",IF(N360&lt;'PlayerGrades+'!$AF$8,"B",IF(N360&lt;'PlayerGrades+'!$AF$7,"B+",IF(N360&lt;'PlayerGrades+'!$AF$6,"A-",IF(N360&lt;'PlayerGrades+'!$AF$5,"A",IF(N360&lt;'PlayerGrades+'!$AF$4,"A+",IF(N360&lt;'PlayerGrades+'!$AF$3,"S-",IF(N360&lt;'PlayerGrades+'!$AF$2,"S","S+"))))))))))))))))))))</f>
        <v>C-</v>
      </c>
      <c r="P360" s="937">
        <f t="shared" si="7"/>
        <v>0.06444683136</v>
      </c>
      <c r="Q360" s="937" t="str">
        <f>IF(P360&lt;'PlayerGrades+'!$AG$21,"F-",IF(P360&lt;'PlayerGrades+'!$AG$20,"F",IF(P360&lt;'PlayerGrades+'!$AG$19,"F+",IF(P360&lt;'PlayerGrades+'!$AG$18,"E-",IF(P360&lt;'PlayerGrades+'!$AG$17,"E",IF(P360&lt;'PlayerGrades+'!$AG$16,"E+",IF(P360&lt;'PlayerGrades+'!$AG$15,"D-",IF(P360&lt;'PlayerGrades+'!$AG$14,"D",IF(P360&lt;'PlayerGrades+'!$AG$13,"D+",IF(P360&lt;'PlayerGrades+'!$AG$12,"C-",IF(P360&lt;'PlayerGrades+'!$AG$11,"C",IF(P360&lt;'PlayerGrades+'!$AG$10,"C+",IF(P360&lt;'PlayerGrades+'!$AG$9,"B-",IF(P360&lt;'PlayerGrades+'!$AG$8,"B",IF(P360&lt;'PlayerGrades+'!$AG$7,"B+",IF(P360&lt;'PlayerGrades+'!$AG$6,"A-",IF(P360&lt;'PlayerGrades+'!$AG$5,"A",IF(P360&lt;'PlayerGrades+'!$AG$4,"A+",IF(P360&lt;'PlayerGrades+'!$AG$3,"S-",IF(P360&lt;'PlayerGrades+'!$AG$2,"S","S+"))))))))))))))))))))</f>
        <v>A+</v>
      </c>
      <c r="R360" s="937">
        <f t="shared" si="8"/>
        <v>0.3866809882</v>
      </c>
      <c r="S360" s="937" t="str">
        <f>IF(R360&lt;'PlayerGrades+'!$AH$21,"F-",IF(R360&lt;'PlayerGrades+'!$AH$20,"F",IF(R360&lt;'PlayerGrades+'!$AH$19,"F+",IF(R360&lt;'PlayerGrades+'!$AH$18,"E-",IF(R360&lt;'PlayerGrades+'!$AH$17,"E",IF(R360&lt;'PlayerGrades+'!$AH$16,"E+",IF(R360&lt;'PlayerGrades+'!$AH$15,"D-",IF(R360&lt;'PlayerGrades+'!$AH$14,"D",IF(R360&lt;'PlayerGrades+'!$AH$13,"D+",IF(R360&lt;'PlayerGrades+'!$AH$12,"C-",IF(R360&lt;'PlayerGrades+'!$AH$11,"C",IF(R360&lt;'PlayerGrades+'!$AH$10,"C+",IF(R360&lt;'PlayerGrades+'!$AH$9,"B-",IF(R360&lt;'PlayerGrades+'!$AH$8,"B",IF(R360&lt;'PlayerGrades+'!$AH$7,"B+",IF(R360&lt;'PlayerGrades+'!$AH$6,"A-",IF(R360&lt;'PlayerGrades+'!$AH$5,"A",IF(R360&lt;'PlayerGrades+'!$AH$4,"A+",IF(R360&lt;'PlayerGrades+'!$AH$3,"S-",IF(R360&lt;'PlayerGrades+'!$AH$2,"S","S+"))))))))))))))))))))</f>
        <v>F</v>
      </c>
      <c r="T360" s="937">
        <f t="shared" si="9"/>
        <v>0.5155746509</v>
      </c>
      <c r="U360" s="937" t="str">
        <f>IF(T360&lt;'PlayerGrades+'!$AI$21,"F-",IF(T360&lt;'PlayerGrades+'!$AI$20,"F",IF(T360&lt;'PlayerGrades+'!$AI$19,"F+",IF(T360&lt;'PlayerGrades+'!$AI$18,"E-",IF(T360&lt;'PlayerGrades+'!$AI$17,"E",IF(T360&lt;'PlayerGrades+'!$AI$16,"E+",IF(T360&lt;'PlayerGrades+'!$AI$15,"D-",IF(T360&lt;'PlayerGrades+'!$AI$14,"D",IF(T360&lt;'PlayerGrades+'!$AI$13,"D+",IF(T360&lt;'PlayerGrades+'!$AI$12,"C-",IF(T360&lt;'PlayerGrades+'!$AI$11,"C",IF(T360&lt;'PlayerGrades+'!$AI$10,"C+",IF(T360&lt;'PlayerGrades+'!$AI$9,"B-",IF(T360&lt;'PlayerGrades+'!$AI$8,"B",IF(T360&lt;'PlayerGrades+'!$AI$7,"B+",IF(T360&lt;'PlayerGrades+'!$AI$6,"A-",IF(T360&lt;'PlayerGrades+'!$AI$5,"A",IF(T360&lt;'PlayerGrades+'!$AI$4,"A+",IF(T360&lt;'PlayerGrades+'!$AI$3,"S-",IF(T360&lt;'PlayerGrades+'!$AI$2,"S","S+"))))))))))))))))))))</f>
        <v>F-</v>
      </c>
      <c r="V360" s="941">
        <v>1.0</v>
      </c>
      <c r="W360" s="941">
        <v>0.0</v>
      </c>
      <c r="X360" s="941">
        <v>1.0</v>
      </c>
      <c r="Y360" s="941">
        <v>0.0</v>
      </c>
      <c r="Z360" s="941">
        <v>1.0</v>
      </c>
      <c r="AA360" s="941">
        <v>62.0</v>
      </c>
      <c r="AB360" s="941">
        <v>63.0</v>
      </c>
      <c r="AC360" s="941">
        <v>-1.0</v>
      </c>
      <c r="AD360" s="941">
        <v>4.0</v>
      </c>
      <c r="AE360" s="941">
        <v>5.0</v>
      </c>
      <c r="AF360" s="941">
        <v>0.0</v>
      </c>
      <c r="AG360" s="941">
        <v>614.0</v>
      </c>
      <c r="AH360" s="941">
        <v>931.0</v>
      </c>
      <c r="AI360" s="941">
        <v>9.0</v>
      </c>
      <c r="AJ360" s="941">
        <v>0.0</v>
      </c>
      <c r="AK360" s="941">
        <v>0.0</v>
      </c>
      <c r="AL360" s="941">
        <v>1.0</v>
      </c>
      <c r="AM360" s="941">
        <v>0.0</v>
      </c>
      <c r="AN360" s="941">
        <v>0.0</v>
      </c>
      <c r="AO360" s="941">
        <v>0.0</v>
      </c>
      <c r="AP360" s="941">
        <v>1.0</v>
      </c>
      <c r="AQ360" s="941">
        <v>0.0</v>
      </c>
      <c r="AR360" s="941">
        <v>10.0</v>
      </c>
      <c r="AS360" s="941">
        <v>1.0</v>
      </c>
      <c r="AT360" s="941">
        <v>0.0</v>
      </c>
      <c r="AU360" s="941">
        <v>0.0</v>
      </c>
      <c r="AV360" s="941">
        <v>0.0</v>
      </c>
      <c r="AW360" s="941">
        <v>0.0</v>
      </c>
      <c r="AX360" s="941">
        <v>0.0</v>
      </c>
      <c r="AY360" s="941">
        <v>0.0</v>
      </c>
      <c r="AZ360" s="941">
        <v>0.0</v>
      </c>
      <c r="BA360" s="941">
        <v>0.0</v>
      </c>
      <c r="BB360" s="941">
        <v>2.0</v>
      </c>
      <c r="BC360" s="941">
        <v>0.0</v>
      </c>
      <c r="BD360" s="941">
        <v>2.0</v>
      </c>
      <c r="BE360" s="941">
        <v>8.0</v>
      </c>
      <c r="BF360" s="941">
        <v>0.0</v>
      </c>
      <c r="BG360" s="942">
        <v>1.0</v>
      </c>
    </row>
    <row r="361">
      <c r="A361" s="943" t="s">
        <v>145</v>
      </c>
      <c r="B361" s="16" t="str">
        <f>IF(C361&lt;'PlayerGrades+'!$Y$44,"F-",IF(C361&lt;'PlayerGrades+'!$Y$43,"F",IF(C361&lt;'PlayerGrades+'!$Y$42,"F+",IF(C361&lt;'PlayerGrades+'!$Y$41,"E-",IF(C361&lt;'PlayerGrades+'!$Y$40,"E",IF(C361&lt;'PlayerGrades+'!$Y$39,"E+",IF(C361&lt;'PlayerGrades+'!$Y$38,"D-",IF(C361&lt;'PlayerGrades+'!$Y$37,"D",IF(C361&lt;'PlayerGrades+'!$Y$36,"D+",IF(C361&lt;'PlayerGrades+'!$Y$35,"C-",IF(C361&lt;'PlayerGrades+'!$Y$34,"C",IF(C361&lt;'PlayerGrades+'!$Y$33,"C+",IF(C361&lt;'PlayerGrades+'!$Y$32,"B-",IF(C361&lt;'PlayerGrades+'!$Y$31,"B",IF(C361&lt;'PlayerGrades+'!$Y$30,"B+",IF(C361&lt;'PlayerGrades+'!$Y$29,"A-",IF(C361&lt;'PlayerGrades+'!$Y$28,"A",IF(C361&lt;'PlayerGrades+'!$Y$27,"A+",IF(C361&lt;'PlayerGrades+'!$Y$26,"S-",IF(C361&lt;'PlayerGrades+'!$Y$25,"S","S+"))))))))))))))))))))</f>
        <v>C</v>
      </c>
      <c r="C361" s="936">
        <f>('PlayerGrades+'!$Y$47*(VLOOKUP(E361, 'PlayerGrades+'!$X$3:$Y$23, 2, FALSE)))+('PlayerGrades+'!$Y$48*(VLOOKUP(G361, 'PlayerGrades+'!$X$3:$Y$23, 2, FALSE)))+('PlayerGrades+'!$Y$49*(VLOOKUP(I361, 'PlayerGrades+'!$X$3:$Y$23, 2, FALSE)))+('PlayerGrades+'!$Y$50*(VLOOKUP(K361, 'PlayerGrades+'!$X$3:$Y$23, 2, FALSE)))+('PlayerGrades+'!$Y$51*(VLOOKUP(M361, 'PlayerGrades+'!$X$3:$Y$23, 2, FALSE)))+('PlayerGrades+'!$Y$52*(VLOOKUP(O361, 'PlayerGrades+'!$X$3:$Y$23, 2, FALSE)))+('PlayerGrades+'!$Y$53*(VLOOKUP(Q361, 'PlayerGrades+'!$X$3:$Y$23, 2, FALSE)))+('PlayerGrades+'!$Y$54*(VLOOKUP(S361, 'PlayerGrades+'!$X$3:$Y$23, 2, FALSE)))+('PlayerGrades+'!$Y$55*(VLOOKUP(U361, 'PlayerGrades+'!$X$3:$Y$23, 2, FALSE)))</f>
        <v>20.2</v>
      </c>
      <c r="D361" s="937">
        <f t="shared" si="1"/>
        <v>0.06444683136</v>
      </c>
      <c r="E361" s="937" t="str">
        <f>IF(D361&lt;'PlayerGrades+'!$AA$21,"F-",IF(D361&lt;'PlayerGrades+'!$AA$20,"F",IF(D361&lt;'PlayerGrades+'!$AA$19,"F+",IF(D361&lt;'PlayerGrades+'!$AA$18,"E-",IF(D361&lt;'PlayerGrades+'!$AA$17,"E",IF(D361&lt;'PlayerGrades+'!$AA$16,"E+",IF(D361&lt;'PlayerGrades+'!$AA$15,"D-",IF(D361&lt;'PlayerGrades+'!$AA$14,"D",IF(D361&lt;'PlayerGrades+'!$AA$13,"D+",IF(D361&lt;'PlayerGrades+'!$AA$12,"C-",IF(D361&lt;'PlayerGrades+'!$AA$11,"C",IF(D361&lt;'PlayerGrades+'!$AA$10,"C+",IF(D361&lt;'PlayerGrades+'!$AA$9,"B-",IF(D361&lt;'PlayerGrades+'!$AA$8,"B",IF(D361&lt;'PlayerGrades+'!$AA$7,"B+",IF(D361&lt;'PlayerGrades+'!$AA$6,"A-",IF(D361&lt;'PlayerGrades+'!$AA$5,"A",IF(D361&lt;'PlayerGrades+'!$AA$4,"A+",IF(D361&lt;'PlayerGrades+'!$AA$3,"S-",IF(D361&lt;'PlayerGrades+'!$AA$2,"S","S+"))))))))))))))))))))</f>
        <v>B-</v>
      </c>
      <c r="F361" s="937">
        <f t="shared" si="2"/>
        <v>-0.3866809882</v>
      </c>
      <c r="G361" s="937" t="str">
        <f>IF(F361&lt;'PlayerGrades+'!$AB$21,"F-",IF(F361&lt;'PlayerGrades+'!$AB$20,"F",IF(F361&lt;'PlayerGrades+'!$AB$19,"F+",IF(F361&lt;'PlayerGrades+'!$AB$18,"E-",IF(F361&lt;'PlayerGrades+'!$AB$17,"E",IF(F361&lt;'PlayerGrades+'!$AB$16,"E+",IF(F361&lt;'PlayerGrades+'!$AB$15,"D-",IF(F361&lt;'PlayerGrades+'!$AB$14,"D",IF(F361&lt;'PlayerGrades+'!$AB$13,"D+",IF(F361&lt;'PlayerGrades+'!$AB$12,"C-",IF(F361&lt;'PlayerGrades+'!$AB$11,"C",IF(F361&lt;'PlayerGrades+'!$AB$10,"C+",IF(F361&lt;'PlayerGrades+'!$AB$9,"B-",IF(F361&lt;'PlayerGrades+'!$AB$8,"B",IF(F361&lt;'PlayerGrades+'!$AB$7,"B+",IF(F361&lt;'PlayerGrades+'!$AB$6,"A-",IF(F361&lt;'PlayerGrades+'!$AB$5,"A",IF(F361&lt;'PlayerGrades+'!$AB$4,"A+",IF(F361&lt;'PlayerGrades+'!$AB$3,"S-",IF(F361&lt;'PlayerGrades+'!$AB$2,"S","S+"))))))))))))))))))))</f>
        <v>C-</v>
      </c>
      <c r="H361" s="937">
        <f t="shared" si="3"/>
        <v>0</v>
      </c>
      <c r="I361" s="937" t="str">
        <f>IF(H361&lt;'PlayerGrades+'!$AC$21,"F-",IF(H361&lt;'PlayerGrades+'!$AC$20,"F",IF(H361&lt;'PlayerGrades+'!$AC$19,"F+",IF(H361&lt;'PlayerGrades+'!$AC$18,"E-",IF(H361&lt;'PlayerGrades+'!$AC$17,"E",IF(H361&lt;'PlayerGrades+'!$AC$16,"E+",IF(H361&lt;'PlayerGrades+'!$AC$15,"D-",IF(H361&lt;'PlayerGrades+'!$AC$14,"D",IF(H361&lt;'PlayerGrades+'!$AC$13,"D+",IF(H361&lt;'PlayerGrades+'!$AC$12,"C-",IF(H361&lt;'PlayerGrades+'!$AC$11,"C",IF(H361&lt;'PlayerGrades+'!$AC$10,"C+",IF(H361&lt;'PlayerGrades+'!$AC$9,"B-",IF(H361&lt;'PlayerGrades+'!$AC$8,"B",IF(H361&lt;'PlayerGrades+'!$AC$7,"B+",IF(H361&lt;'PlayerGrades+'!$AC$6,"A-",IF(H361&lt;'PlayerGrades+'!$AC$5,"A",IF(H361&lt;'PlayerGrades+'!$AC$4,"A+",IF(H361&lt;'PlayerGrades+'!$AC$3,"S-",IF(H361&lt;'PlayerGrades+'!$AC$2,"S","S+"))))))))))))))))))))</f>
        <v>F-</v>
      </c>
      <c r="J361" s="937">
        <f t="shared" si="4"/>
        <v>0.06444683136</v>
      </c>
      <c r="K361" s="937" t="str">
        <f>IF(J361&lt;'PlayerGrades+'!$AD$21,"F-",IF(J361&lt;'PlayerGrades+'!$AD$20,"F",IF(J361&lt;'PlayerGrades+'!$AD$19,"F+",IF(J361&lt;'PlayerGrades+'!$AD$18,"E-",IF(J361&lt;'PlayerGrades+'!$AD$17,"E",IF(J361&lt;'PlayerGrades+'!$AD$16,"E+",IF(J361&lt;'PlayerGrades+'!$AD$15,"D-",IF(J361&lt;'PlayerGrades+'!$AD$14,"D",IF(J361&lt;'PlayerGrades+'!$AD$13,"D+",IF(J361&lt;'PlayerGrades+'!$AD$12,"C-",IF(J361&lt;'PlayerGrades+'!$AD$11,"C",IF(J361&lt;'PlayerGrades+'!$AD$10,"C+",IF(J361&lt;'PlayerGrades+'!$AD$9,"B-",IF(J361&lt;'PlayerGrades+'!$AD$8,"B",IF(J361&lt;'PlayerGrades+'!$AD$7,"B+",IF(J361&lt;'PlayerGrades+'!$AD$6,"A-",IF(J361&lt;'PlayerGrades+'!$AD$5,"A",IF(J361&lt;'PlayerGrades+'!$AD$4,"A+",IF(J361&lt;'PlayerGrades+'!$AD$3,"S-",IF(J361&lt;'PlayerGrades+'!$AD$2,"S","S+"))))))))))))))))))))</f>
        <v>A-</v>
      </c>
      <c r="L361" s="677">
        <f t="shared" si="5"/>
        <v>0.5155746509</v>
      </c>
      <c r="M361" s="938" t="str">
        <f>IF(L361&lt;'PlayerGrades+'!$AE$21,"F-",IF(L361&lt;'PlayerGrades+'!$AE$20,"F",IF(L361&lt;'PlayerGrades+'!$AE$19,"F+",IF(L361&lt;'PlayerGrades+'!$AE$18,"E-",IF(L361&lt;'PlayerGrades+'!$AE$17,"E",IF(L361&lt;'PlayerGrades+'!$AE$16,"E+",IF(L361&lt;'PlayerGrades+'!$AE$15,"D-",IF(L361&lt;'PlayerGrades+'!$AE$14,"D",IF(L361&lt;'PlayerGrades+'!$AE$13,"D+",IF(L361&lt;'PlayerGrades+'!$AE$12,"C-",IF(L361&lt;'PlayerGrades+'!$AE$11,"C",IF(L361&lt;'PlayerGrades+'!$AE$10,"C+",IF(L361&lt;'PlayerGrades+'!$AE$9,"B-",IF(L361&lt;'PlayerGrades+'!$AE$8,"B",IF(L361&lt;'PlayerGrades+'!$AE$7,"B+",IF(L361&lt;'PlayerGrades+'!$AE$6,"A-",IF(L361&lt;'PlayerGrades+'!$AE$5,"A",IF(L361&lt;'PlayerGrades+'!$AE$4,"A+",IF(L361&lt;'PlayerGrades+'!$AE$3,"S-",IF(L361&lt;'PlayerGrades+'!$AE$2,"S","S+"))))))))))))))))))))</f>
        <v>A-</v>
      </c>
      <c r="N361" s="937">
        <f t="shared" si="6"/>
        <v>0.06444683136</v>
      </c>
      <c r="O361" s="937" t="str">
        <f>IF(N361&lt;'PlayerGrades+'!$AF$21,"F-",IF(N361&lt;'PlayerGrades+'!$AF$20,"F",IF(N361&lt;'PlayerGrades+'!$AF$19,"F+",IF(N361&lt;'PlayerGrades+'!$AF$18,"E-",IF(N361&lt;'PlayerGrades+'!$AF$17,"E",IF(N361&lt;'PlayerGrades+'!$AF$16,"E+",IF(N361&lt;'PlayerGrades+'!$AF$15,"D-",IF(N361&lt;'PlayerGrades+'!$AF$14,"D",IF(N361&lt;'PlayerGrades+'!$AF$13,"D+",IF(N361&lt;'PlayerGrades+'!$AF$12,"C-",IF(N361&lt;'PlayerGrades+'!$AF$11,"C",IF(N361&lt;'PlayerGrades+'!$AF$10,"C+",IF(N361&lt;'PlayerGrades+'!$AF$9,"B-",IF(N361&lt;'PlayerGrades+'!$AF$8,"B",IF(N361&lt;'PlayerGrades+'!$AF$7,"B+",IF(N361&lt;'PlayerGrades+'!$AF$6,"A-",IF(N361&lt;'PlayerGrades+'!$AF$5,"A",IF(N361&lt;'PlayerGrades+'!$AF$4,"A+",IF(N361&lt;'PlayerGrades+'!$AF$3,"S-",IF(N361&lt;'PlayerGrades+'!$AF$2,"S","S+"))))))))))))))))))))</f>
        <v>C-</v>
      </c>
      <c r="P361" s="937">
        <f t="shared" si="7"/>
        <v>0.06444683136</v>
      </c>
      <c r="Q361" s="937" t="str">
        <f>IF(P361&lt;'PlayerGrades+'!$AG$21,"F-",IF(P361&lt;'PlayerGrades+'!$AG$20,"F",IF(P361&lt;'PlayerGrades+'!$AG$19,"F+",IF(P361&lt;'PlayerGrades+'!$AG$18,"E-",IF(P361&lt;'PlayerGrades+'!$AG$17,"E",IF(P361&lt;'PlayerGrades+'!$AG$16,"E+",IF(P361&lt;'PlayerGrades+'!$AG$15,"D-",IF(P361&lt;'PlayerGrades+'!$AG$14,"D",IF(P361&lt;'PlayerGrades+'!$AG$13,"D+",IF(P361&lt;'PlayerGrades+'!$AG$12,"C-",IF(P361&lt;'PlayerGrades+'!$AG$11,"C",IF(P361&lt;'PlayerGrades+'!$AG$10,"C+",IF(P361&lt;'PlayerGrades+'!$AG$9,"B-",IF(P361&lt;'PlayerGrades+'!$AG$8,"B",IF(P361&lt;'PlayerGrades+'!$AG$7,"B+",IF(P361&lt;'PlayerGrades+'!$AG$6,"A-",IF(P361&lt;'PlayerGrades+'!$AG$5,"A",IF(P361&lt;'PlayerGrades+'!$AG$4,"A+",IF(P361&lt;'PlayerGrades+'!$AG$3,"S-",IF(P361&lt;'PlayerGrades+'!$AG$2,"S","S+"))))))))))))))))))))</f>
        <v>A+</v>
      </c>
      <c r="R361" s="937">
        <f t="shared" si="8"/>
        <v>0.5800214823</v>
      </c>
      <c r="S361" s="937" t="str">
        <f>IF(R361&lt;'PlayerGrades+'!$AH$21,"F-",IF(R361&lt;'PlayerGrades+'!$AH$20,"F",IF(R361&lt;'PlayerGrades+'!$AH$19,"F+",IF(R361&lt;'PlayerGrades+'!$AH$18,"E-",IF(R361&lt;'PlayerGrades+'!$AH$17,"E",IF(R361&lt;'PlayerGrades+'!$AH$16,"E+",IF(R361&lt;'PlayerGrades+'!$AH$15,"D-",IF(R361&lt;'PlayerGrades+'!$AH$14,"D",IF(R361&lt;'PlayerGrades+'!$AH$13,"D+",IF(R361&lt;'PlayerGrades+'!$AH$12,"C-",IF(R361&lt;'PlayerGrades+'!$AH$11,"C",IF(R361&lt;'PlayerGrades+'!$AH$10,"C+",IF(R361&lt;'PlayerGrades+'!$AH$9,"B-",IF(R361&lt;'PlayerGrades+'!$AH$8,"B",IF(R361&lt;'PlayerGrades+'!$AH$7,"B+",IF(R361&lt;'PlayerGrades+'!$AH$6,"A-",IF(R361&lt;'PlayerGrades+'!$AH$5,"A",IF(R361&lt;'PlayerGrades+'!$AH$4,"A+",IF(R361&lt;'PlayerGrades+'!$AH$3,"S-",IF(R361&lt;'PlayerGrades+'!$AH$2,"S","S+"))))))))))))))))))))</f>
        <v>B</v>
      </c>
      <c r="T361" s="937">
        <f t="shared" si="9"/>
        <v>0.3222341568</v>
      </c>
      <c r="U361" s="937" t="str">
        <f>IF(T361&lt;'PlayerGrades+'!$AI$21,"F-",IF(T361&lt;'PlayerGrades+'!$AI$20,"F",IF(T361&lt;'PlayerGrades+'!$AI$19,"F+",IF(T361&lt;'PlayerGrades+'!$AI$18,"E-",IF(T361&lt;'PlayerGrades+'!$AI$17,"E",IF(T361&lt;'PlayerGrades+'!$AI$16,"E+",IF(T361&lt;'PlayerGrades+'!$AI$15,"D-",IF(T361&lt;'PlayerGrades+'!$AI$14,"D",IF(T361&lt;'PlayerGrades+'!$AI$13,"D+",IF(T361&lt;'PlayerGrades+'!$AI$12,"C-",IF(T361&lt;'PlayerGrades+'!$AI$11,"C",IF(T361&lt;'PlayerGrades+'!$AI$10,"C+",IF(T361&lt;'PlayerGrades+'!$AI$9,"B-",IF(T361&lt;'PlayerGrades+'!$AI$8,"B",IF(T361&lt;'PlayerGrades+'!$AI$7,"B+",IF(T361&lt;'PlayerGrades+'!$AI$6,"A-",IF(T361&lt;'PlayerGrades+'!$AI$5,"A",IF(T361&lt;'PlayerGrades+'!$AI$4,"A+",IF(T361&lt;'PlayerGrades+'!$AI$3,"S-",IF(T361&lt;'PlayerGrades+'!$AI$2,"S","S+"))))))))))))))))))))</f>
        <v>F-</v>
      </c>
      <c r="V361" s="944">
        <v>1.0</v>
      </c>
      <c r="W361" s="944">
        <v>0.0</v>
      </c>
      <c r="X361" s="944">
        <v>1.0</v>
      </c>
      <c r="Y361" s="944">
        <v>0.0</v>
      </c>
      <c r="Z361" s="944">
        <v>1.0</v>
      </c>
      <c r="AA361" s="944">
        <v>49.0</v>
      </c>
      <c r="AB361" s="944">
        <v>55.0</v>
      </c>
      <c r="AC361" s="944">
        <v>-6.0</v>
      </c>
      <c r="AD361" s="944">
        <v>2.0</v>
      </c>
      <c r="AE361" s="944">
        <v>7.0</v>
      </c>
      <c r="AF361" s="944">
        <v>0.0</v>
      </c>
      <c r="AG361" s="944">
        <v>649.0</v>
      </c>
      <c r="AH361" s="944">
        <v>931.0</v>
      </c>
      <c r="AI361" s="944">
        <v>11.0</v>
      </c>
      <c r="AJ361" s="944">
        <v>15.0</v>
      </c>
      <c r="AK361" s="944">
        <v>0.0</v>
      </c>
      <c r="AL361" s="944">
        <v>1.0</v>
      </c>
      <c r="AM361" s="944">
        <v>0.0</v>
      </c>
      <c r="AN361" s="944">
        <v>0.0</v>
      </c>
      <c r="AO361" s="944">
        <v>0.0</v>
      </c>
      <c r="AP361" s="944">
        <v>1.0</v>
      </c>
      <c r="AQ361" s="944">
        <v>0.0</v>
      </c>
      <c r="AR361" s="944">
        <v>8.0</v>
      </c>
      <c r="AS361" s="944">
        <v>1.0</v>
      </c>
      <c r="AT361" s="944">
        <v>1.0</v>
      </c>
      <c r="AU361" s="944">
        <v>1.0</v>
      </c>
      <c r="AV361" s="944">
        <v>0.0</v>
      </c>
      <c r="AW361" s="944">
        <v>0.0</v>
      </c>
      <c r="AX361" s="944">
        <v>0.0</v>
      </c>
      <c r="AY361" s="944">
        <v>0.0</v>
      </c>
      <c r="AZ361" s="944">
        <v>0.0</v>
      </c>
      <c r="BA361" s="944">
        <v>0.0</v>
      </c>
      <c r="BB361" s="944">
        <v>0.0</v>
      </c>
      <c r="BC361" s="944">
        <v>0.0</v>
      </c>
      <c r="BD361" s="944">
        <v>7.0</v>
      </c>
      <c r="BE361" s="944">
        <v>5.0</v>
      </c>
      <c r="BF361" s="944">
        <v>0.0</v>
      </c>
      <c r="BG361" s="945">
        <v>1.0</v>
      </c>
    </row>
    <row r="362">
      <c r="A362" s="1" t="s">
        <v>123</v>
      </c>
      <c r="B362" s="16" t="str">
        <f>IF(C362&lt;'PlayerGrades+'!$Y$44,"F-",IF(C362&lt;'PlayerGrades+'!$Y$43,"F",IF(C362&lt;'PlayerGrades+'!$Y$42,"F+",IF(C362&lt;'PlayerGrades+'!$Y$41,"E-",IF(C362&lt;'PlayerGrades+'!$Y$40,"E",IF(C362&lt;'PlayerGrades+'!$Y$39,"E+",IF(C362&lt;'PlayerGrades+'!$Y$38,"D-",IF(C362&lt;'PlayerGrades+'!$Y$37,"D",IF(C362&lt;'PlayerGrades+'!$Y$36,"D+",IF(C362&lt;'PlayerGrades+'!$Y$35,"C-",IF(C362&lt;'PlayerGrades+'!$Y$34,"C",IF(C362&lt;'PlayerGrades+'!$Y$33,"C+",IF(C362&lt;'PlayerGrades+'!$Y$32,"B-",IF(C362&lt;'PlayerGrades+'!$Y$31,"B",IF(C362&lt;'PlayerGrades+'!$Y$30,"B+",IF(C362&lt;'PlayerGrades+'!$Y$29,"A-",IF(C362&lt;'PlayerGrades+'!$Y$28,"A",IF(C362&lt;'PlayerGrades+'!$Y$27,"A+",IF(C362&lt;'PlayerGrades+'!$Y$26,"S-",IF(C362&lt;'PlayerGrades+'!$Y$25,"S","S+"))))))))))))))))))))</f>
        <v>C</v>
      </c>
      <c r="C362" s="936">
        <f>('PlayerGrades+'!$Y$47*(VLOOKUP(E362, 'PlayerGrades+'!$X$3:$Y$23, 2, FALSE)))+('PlayerGrades+'!$Y$48*(VLOOKUP(G362, 'PlayerGrades+'!$X$3:$Y$23, 2, FALSE)))+('PlayerGrades+'!$Y$49*(VLOOKUP(I362, 'PlayerGrades+'!$X$3:$Y$23, 2, FALSE)))+('PlayerGrades+'!$Y$50*(VLOOKUP(K362, 'PlayerGrades+'!$X$3:$Y$23, 2, FALSE)))+('PlayerGrades+'!$Y$51*(VLOOKUP(M362, 'PlayerGrades+'!$X$3:$Y$23, 2, FALSE)))+('PlayerGrades+'!$Y$52*(VLOOKUP(O362, 'PlayerGrades+'!$X$3:$Y$23, 2, FALSE)))+('PlayerGrades+'!$Y$53*(VLOOKUP(Q362, 'PlayerGrades+'!$X$3:$Y$23, 2, FALSE)))+('PlayerGrades+'!$Y$54*(VLOOKUP(S362, 'PlayerGrades+'!$X$3:$Y$23, 2, FALSE)))+('PlayerGrades+'!$Y$55*(VLOOKUP(U362, 'PlayerGrades+'!$X$3:$Y$23, 2, FALSE)))</f>
        <v>20.35</v>
      </c>
      <c r="D362" s="937">
        <f t="shared" si="1"/>
        <v>0.5842696629</v>
      </c>
      <c r="E362" s="937" t="str">
        <f>IF(D362&lt;'PlayerGrades+'!$AA$21,"F-",IF(D362&lt;'PlayerGrades+'!$AA$20,"F",IF(D362&lt;'PlayerGrades+'!$AA$19,"F+",IF(D362&lt;'PlayerGrades+'!$AA$18,"E-",IF(D362&lt;'PlayerGrades+'!$AA$17,"E",IF(D362&lt;'PlayerGrades+'!$AA$16,"E+",IF(D362&lt;'PlayerGrades+'!$AA$15,"D-",IF(D362&lt;'PlayerGrades+'!$AA$14,"D",IF(D362&lt;'PlayerGrades+'!$AA$13,"D+",IF(D362&lt;'PlayerGrades+'!$AA$12,"C-",IF(D362&lt;'PlayerGrades+'!$AA$11,"C",IF(D362&lt;'PlayerGrades+'!$AA$10,"C+",IF(D362&lt;'PlayerGrades+'!$AA$9,"B-",IF(D362&lt;'PlayerGrades+'!$AA$8,"B",IF(D362&lt;'PlayerGrades+'!$AA$7,"B+",IF(D362&lt;'PlayerGrades+'!$AA$6,"A-",IF(D362&lt;'PlayerGrades+'!$AA$5,"A",IF(D362&lt;'PlayerGrades+'!$AA$4,"A+",IF(D362&lt;'PlayerGrades+'!$AA$3,"S-",IF(D362&lt;'PlayerGrades+'!$AA$2,"S","S+"))))))))))))))))))))</f>
        <v>S-</v>
      </c>
      <c r="F362" s="937">
        <f t="shared" si="2"/>
        <v>0.3146067416</v>
      </c>
      <c r="G362" s="937" t="str">
        <f>IF(F362&lt;'PlayerGrades+'!$AB$21,"F-",IF(F362&lt;'PlayerGrades+'!$AB$20,"F",IF(F362&lt;'PlayerGrades+'!$AB$19,"F+",IF(F362&lt;'PlayerGrades+'!$AB$18,"E-",IF(F362&lt;'PlayerGrades+'!$AB$17,"E",IF(F362&lt;'PlayerGrades+'!$AB$16,"E+",IF(F362&lt;'PlayerGrades+'!$AB$15,"D-",IF(F362&lt;'PlayerGrades+'!$AB$14,"D",IF(F362&lt;'PlayerGrades+'!$AB$13,"D+",IF(F362&lt;'PlayerGrades+'!$AB$12,"C-",IF(F362&lt;'PlayerGrades+'!$AB$11,"C",IF(F362&lt;'PlayerGrades+'!$AB$10,"C+",IF(F362&lt;'PlayerGrades+'!$AB$9,"B-",IF(F362&lt;'PlayerGrades+'!$AB$8,"B",IF(F362&lt;'PlayerGrades+'!$AB$7,"B+",IF(F362&lt;'PlayerGrades+'!$AB$6,"A-",IF(F362&lt;'PlayerGrades+'!$AB$5,"A",IF(F362&lt;'PlayerGrades+'!$AB$4,"A+",IF(F362&lt;'PlayerGrades+'!$AB$3,"S-",IF(F362&lt;'PlayerGrades+'!$AB$2,"S","S+"))))))))))))))))))))</f>
        <v>A-</v>
      </c>
      <c r="H362" s="937">
        <f t="shared" si="3"/>
        <v>0</v>
      </c>
      <c r="I362" s="937" t="str">
        <f>IF(H362&lt;'PlayerGrades+'!$AC$21,"F-",IF(H362&lt;'PlayerGrades+'!$AC$20,"F",IF(H362&lt;'PlayerGrades+'!$AC$19,"F+",IF(H362&lt;'PlayerGrades+'!$AC$18,"E-",IF(H362&lt;'PlayerGrades+'!$AC$17,"E",IF(H362&lt;'PlayerGrades+'!$AC$16,"E+",IF(H362&lt;'PlayerGrades+'!$AC$15,"D-",IF(H362&lt;'PlayerGrades+'!$AC$14,"D",IF(H362&lt;'PlayerGrades+'!$AC$13,"D+",IF(H362&lt;'PlayerGrades+'!$AC$12,"C-",IF(H362&lt;'PlayerGrades+'!$AC$11,"C",IF(H362&lt;'PlayerGrades+'!$AC$10,"C+",IF(H362&lt;'PlayerGrades+'!$AC$9,"B-",IF(H362&lt;'PlayerGrades+'!$AC$8,"B",IF(H362&lt;'PlayerGrades+'!$AC$7,"B+",IF(H362&lt;'PlayerGrades+'!$AC$6,"A-",IF(H362&lt;'PlayerGrades+'!$AC$5,"A",IF(H362&lt;'PlayerGrades+'!$AC$4,"A+",IF(H362&lt;'PlayerGrades+'!$AC$3,"S-",IF(H362&lt;'PlayerGrades+'!$AC$2,"S","S+"))))))))))))))))))))</f>
        <v>F-</v>
      </c>
      <c r="J362" s="937">
        <f t="shared" si="4"/>
        <v>0.08988764045</v>
      </c>
      <c r="K362" s="937" t="str">
        <f>IF(J362&lt;'PlayerGrades+'!$AD$21,"F-",IF(J362&lt;'PlayerGrades+'!$AD$20,"F",IF(J362&lt;'PlayerGrades+'!$AD$19,"F+",IF(J362&lt;'PlayerGrades+'!$AD$18,"E-",IF(J362&lt;'PlayerGrades+'!$AD$17,"E",IF(J362&lt;'PlayerGrades+'!$AD$16,"E+",IF(J362&lt;'PlayerGrades+'!$AD$15,"D-",IF(J362&lt;'PlayerGrades+'!$AD$14,"D",IF(J362&lt;'PlayerGrades+'!$AD$13,"D+",IF(J362&lt;'PlayerGrades+'!$AD$12,"C-",IF(J362&lt;'PlayerGrades+'!$AD$11,"C",IF(J362&lt;'PlayerGrades+'!$AD$10,"C+",IF(J362&lt;'PlayerGrades+'!$AD$9,"B-",IF(J362&lt;'PlayerGrades+'!$AD$8,"B",IF(J362&lt;'PlayerGrades+'!$AD$7,"B+",IF(J362&lt;'PlayerGrades+'!$AD$6,"A-",IF(J362&lt;'PlayerGrades+'!$AD$5,"A",IF(J362&lt;'PlayerGrades+'!$AD$4,"A+",IF(J362&lt;'PlayerGrades+'!$AD$3,"S-",IF(J362&lt;'PlayerGrades+'!$AD$2,"S","S+"))))))))))))))))))))</f>
        <v>S-</v>
      </c>
      <c r="L362" s="677">
        <f t="shared" si="5"/>
        <v>0.2696629213</v>
      </c>
      <c r="M362" s="938" t="str">
        <f>IF(L362&lt;'PlayerGrades+'!$AE$21,"F-",IF(L362&lt;'PlayerGrades+'!$AE$20,"F",IF(L362&lt;'PlayerGrades+'!$AE$19,"F+",IF(L362&lt;'PlayerGrades+'!$AE$18,"E-",IF(L362&lt;'PlayerGrades+'!$AE$17,"E",IF(L362&lt;'PlayerGrades+'!$AE$16,"E+",IF(L362&lt;'PlayerGrades+'!$AE$15,"D-",IF(L362&lt;'PlayerGrades+'!$AE$14,"D",IF(L362&lt;'PlayerGrades+'!$AE$13,"D+",IF(L362&lt;'PlayerGrades+'!$AE$12,"C-",IF(L362&lt;'PlayerGrades+'!$AE$11,"C",IF(L362&lt;'PlayerGrades+'!$AE$10,"C+",IF(L362&lt;'PlayerGrades+'!$AE$9,"B-",IF(L362&lt;'PlayerGrades+'!$AE$8,"B",IF(L362&lt;'PlayerGrades+'!$AE$7,"B+",IF(L362&lt;'PlayerGrades+'!$AE$6,"A-",IF(L362&lt;'PlayerGrades+'!$AE$5,"A",IF(L362&lt;'PlayerGrades+'!$AE$4,"A+",IF(L362&lt;'PlayerGrades+'!$AE$3,"S-",IF(L362&lt;'PlayerGrades+'!$AE$2,"S","S+"))))))))))))))))))))</f>
        <v>F</v>
      </c>
      <c r="N362" s="937">
        <f t="shared" si="6"/>
        <v>0.08988764045</v>
      </c>
      <c r="O362" s="937" t="str">
        <f>IF(N362&lt;'PlayerGrades+'!$AF$21,"F-",IF(N362&lt;'PlayerGrades+'!$AF$20,"F",IF(N362&lt;'PlayerGrades+'!$AF$19,"F+",IF(N362&lt;'PlayerGrades+'!$AF$18,"E-",IF(N362&lt;'PlayerGrades+'!$AF$17,"E",IF(N362&lt;'PlayerGrades+'!$AF$16,"E+",IF(N362&lt;'PlayerGrades+'!$AF$15,"D-",IF(N362&lt;'PlayerGrades+'!$AF$14,"D",IF(N362&lt;'PlayerGrades+'!$AF$13,"D+",IF(N362&lt;'PlayerGrades+'!$AF$12,"C-",IF(N362&lt;'PlayerGrades+'!$AF$11,"C",IF(N362&lt;'PlayerGrades+'!$AF$10,"C+",IF(N362&lt;'PlayerGrades+'!$AF$9,"B-",IF(N362&lt;'PlayerGrades+'!$AF$8,"B",IF(N362&lt;'PlayerGrades+'!$AF$7,"B+",IF(N362&lt;'PlayerGrades+'!$AF$6,"A-",IF(N362&lt;'PlayerGrades+'!$AF$5,"A",IF(N362&lt;'PlayerGrades+'!$AF$4,"A+",IF(N362&lt;'PlayerGrades+'!$AF$3,"S-",IF(N362&lt;'PlayerGrades+'!$AF$2,"S","S+"))))))))))))))))))))</f>
        <v>B+</v>
      </c>
      <c r="P362" s="937">
        <f t="shared" si="7"/>
        <v>0.04494382022</v>
      </c>
      <c r="Q362" s="937" t="str">
        <f>IF(P362&lt;'PlayerGrades+'!$AG$21,"F-",IF(P362&lt;'PlayerGrades+'!$AG$20,"F",IF(P362&lt;'PlayerGrades+'!$AG$19,"F+",IF(P362&lt;'PlayerGrades+'!$AG$18,"E-",IF(P362&lt;'PlayerGrades+'!$AG$17,"E",IF(P362&lt;'PlayerGrades+'!$AG$16,"E+",IF(P362&lt;'PlayerGrades+'!$AG$15,"D-",IF(P362&lt;'PlayerGrades+'!$AG$14,"D",IF(P362&lt;'PlayerGrades+'!$AG$13,"D+",IF(P362&lt;'PlayerGrades+'!$AG$12,"C-",IF(P362&lt;'PlayerGrades+'!$AG$11,"C",IF(P362&lt;'PlayerGrades+'!$AG$10,"C+",IF(P362&lt;'PlayerGrades+'!$AG$9,"B-",IF(P362&lt;'PlayerGrades+'!$AG$8,"B",IF(P362&lt;'PlayerGrades+'!$AG$7,"B+",IF(P362&lt;'PlayerGrades+'!$AG$6,"A-",IF(P362&lt;'PlayerGrades+'!$AG$5,"A",IF(P362&lt;'PlayerGrades+'!$AG$4,"A+",IF(P362&lt;'PlayerGrades+'!$AG$3,"S-",IF(P362&lt;'PlayerGrades+'!$AG$2,"S","S+"))))))))))))))))))))</f>
        <v>A</v>
      </c>
      <c r="R362" s="937">
        <f t="shared" si="8"/>
        <v>0.404494382</v>
      </c>
      <c r="S362" s="937" t="str">
        <f>IF(R362&lt;'PlayerGrades+'!$AH$21,"F-",IF(R362&lt;'PlayerGrades+'!$AH$20,"F",IF(R362&lt;'PlayerGrades+'!$AH$19,"F+",IF(R362&lt;'PlayerGrades+'!$AH$18,"E-",IF(R362&lt;'PlayerGrades+'!$AH$17,"E",IF(R362&lt;'PlayerGrades+'!$AH$16,"E+",IF(R362&lt;'PlayerGrades+'!$AH$15,"D-",IF(R362&lt;'PlayerGrades+'!$AH$14,"D",IF(R362&lt;'PlayerGrades+'!$AH$13,"D+",IF(R362&lt;'PlayerGrades+'!$AH$12,"C-",IF(R362&lt;'PlayerGrades+'!$AH$11,"C",IF(R362&lt;'PlayerGrades+'!$AH$10,"C+",IF(R362&lt;'PlayerGrades+'!$AH$9,"B-",IF(R362&lt;'PlayerGrades+'!$AH$8,"B",IF(R362&lt;'PlayerGrades+'!$AH$7,"B+",IF(R362&lt;'PlayerGrades+'!$AH$6,"A-",IF(R362&lt;'PlayerGrades+'!$AH$5,"A",IF(R362&lt;'PlayerGrades+'!$AH$4,"A+",IF(R362&lt;'PlayerGrades+'!$AH$3,"S-",IF(R362&lt;'PlayerGrades+'!$AH$2,"S","S+"))))))))))))))))))))</f>
        <v>F+</v>
      </c>
      <c r="T362" s="937">
        <f t="shared" si="9"/>
        <v>1.359550562</v>
      </c>
      <c r="U362" s="937" t="str">
        <f>IF(T362&lt;'PlayerGrades+'!$AI$21,"F-",IF(T362&lt;'PlayerGrades+'!$AI$20,"F",IF(T362&lt;'PlayerGrades+'!$AI$19,"F+",IF(T362&lt;'PlayerGrades+'!$AI$18,"E-",IF(T362&lt;'PlayerGrades+'!$AI$17,"E",IF(T362&lt;'PlayerGrades+'!$AI$16,"E+",IF(T362&lt;'PlayerGrades+'!$AI$15,"D-",IF(T362&lt;'PlayerGrades+'!$AI$14,"D",IF(T362&lt;'PlayerGrades+'!$AI$13,"D+",IF(T362&lt;'PlayerGrades+'!$AI$12,"C-",IF(T362&lt;'PlayerGrades+'!$AI$11,"C",IF(T362&lt;'PlayerGrades+'!$AI$10,"C+",IF(T362&lt;'PlayerGrades+'!$AI$9,"B-",IF(T362&lt;'PlayerGrades+'!$AI$8,"B",IF(T362&lt;'PlayerGrades+'!$AI$7,"B+",IF(T362&lt;'PlayerGrades+'!$AI$6,"A-",IF(T362&lt;'PlayerGrades+'!$AI$5,"A",IF(T362&lt;'PlayerGrades+'!$AI$4,"A+",IF(T362&lt;'PlayerGrades+'!$AI$3,"S-",IF(T362&lt;'PlayerGrades+'!$AI$2,"S","S+"))))))))))))))))))))</f>
        <v>B</v>
      </c>
      <c r="V362" s="941">
        <v>1.0</v>
      </c>
      <c r="W362" s="941">
        <v>1.0</v>
      </c>
      <c r="X362" s="941">
        <v>0.0</v>
      </c>
      <c r="Y362" s="941">
        <v>4.0</v>
      </c>
      <c r="Z362" s="941">
        <v>9.0</v>
      </c>
      <c r="AA362" s="941">
        <v>61.0</v>
      </c>
      <c r="AB362" s="941">
        <v>54.0</v>
      </c>
      <c r="AC362" s="941">
        <v>7.0</v>
      </c>
      <c r="AD362" s="941">
        <v>3.0</v>
      </c>
      <c r="AE362" s="941">
        <v>7.0</v>
      </c>
      <c r="AF362" s="941">
        <v>1.0</v>
      </c>
      <c r="AG362" s="941">
        <v>1066.0</v>
      </c>
      <c r="AH362" s="941">
        <v>1335.0</v>
      </c>
      <c r="AI362" s="941">
        <v>19.0</v>
      </c>
      <c r="AJ362" s="941">
        <v>466.0</v>
      </c>
      <c r="AK362" s="941">
        <v>0.0</v>
      </c>
      <c r="AL362" s="941">
        <v>2.0</v>
      </c>
      <c r="AM362" s="941">
        <v>0.0</v>
      </c>
      <c r="AN362" s="941">
        <v>0.0</v>
      </c>
      <c r="AO362" s="941">
        <v>0.0</v>
      </c>
      <c r="AP362" s="941">
        <v>1.0</v>
      </c>
      <c r="AQ362" s="941">
        <v>0.0</v>
      </c>
      <c r="AR362" s="941">
        <v>6.0</v>
      </c>
      <c r="AS362" s="941">
        <v>2.0</v>
      </c>
      <c r="AT362" s="941">
        <v>1.0</v>
      </c>
      <c r="AU362" s="941">
        <v>1.0</v>
      </c>
      <c r="AV362" s="941">
        <v>1.0</v>
      </c>
      <c r="AW362" s="941">
        <v>0.0</v>
      </c>
      <c r="AX362" s="941">
        <v>0.0</v>
      </c>
      <c r="AY362" s="941">
        <v>0.0</v>
      </c>
      <c r="AZ362" s="941">
        <v>0.0</v>
      </c>
      <c r="BA362" s="941">
        <v>0.0</v>
      </c>
      <c r="BB362" s="941">
        <v>0.0</v>
      </c>
      <c r="BC362" s="941">
        <v>0.0</v>
      </c>
      <c r="BD362" s="941">
        <v>6.0</v>
      </c>
      <c r="BE362" s="941">
        <v>8.0</v>
      </c>
      <c r="BF362" s="941">
        <v>1.0</v>
      </c>
      <c r="BG362" s="941">
        <v>1.0</v>
      </c>
    </row>
    <row r="363">
      <c r="A363" s="1" t="s">
        <v>419</v>
      </c>
      <c r="B363" s="16" t="str">
        <f>IF(C363&lt;'PlayerGrades+'!$Y$44,"F-",IF(C363&lt;'PlayerGrades+'!$Y$43,"F",IF(C363&lt;'PlayerGrades+'!$Y$42,"F+",IF(C363&lt;'PlayerGrades+'!$Y$41,"E-",IF(C363&lt;'PlayerGrades+'!$Y$40,"E",IF(C363&lt;'PlayerGrades+'!$Y$39,"E+",IF(C363&lt;'PlayerGrades+'!$Y$38,"D-",IF(C363&lt;'PlayerGrades+'!$Y$37,"D",IF(C363&lt;'PlayerGrades+'!$Y$36,"D+",IF(C363&lt;'PlayerGrades+'!$Y$35,"C-",IF(C363&lt;'PlayerGrades+'!$Y$34,"C",IF(C363&lt;'PlayerGrades+'!$Y$33,"C+",IF(C363&lt;'PlayerGrades+'!$Y$32,"B-",IF(C363&lt;'PlayerGrades+'!$Y$31,"B",IF(C363&lt;'PlayerGrades+'!$Y$30,"B+",IF(C363&lt;'PlayerGrades+'!$Y$29,"A-",IF(C363&lt;'PlayerGrades+'!$Y$28,"A",IF(C363&lt;'PlayerGrades+'!$Y$27,"A+",IF(C363&lt;'PlayerGrades+'!$Y$26,"S-",IF(C363&lt;'PlayerGrades+'!$Y$25,"S","S+"))))))))))))))))))))</f>
        <v>E-</v>
      </c>
      <c r="C363" s="936">
        <f>('PlayerGrades+'!$Y$47*(VLOOKUP(E363, 'PlayerGrades+'!$X$3:$Y$23, 2, FALSE)))+('PlayerGrades+'!$Y$48*(VLOOKUP(G363, 'PlayerGrades+'!$X$3:$Y$23, 2, FALSE)))+('PlayerGrades+'!$Y$49*(VLOOKUP(I363, 'PlayerGrades+'!$X$3:$Y$23, 2, FALSE)))+('PlayerGrades+'!$Y$50*(VLOOKUP(K363, 'PlayerGrades+'!$X$3:$Y$23, 2, FALSE)))+('PlayerGrades+'!$Y$51*(VLOOKUP(M363, 'PlayerGrades+'!$X$3:$Y$23, 2, FALSE)))+('PlayerGrades+'!$Y$52*(VLOOKUP(O363, 'PlayerGrades+'!$X$3:$Y$23, 2, FALSE)))+('PlayerGrades+'!$Y$53*(VLOOKUP(Q363, 'PlayerGrades+'!$X$3:$Y$23, 2, FALSE)))+('PlayerGrades+'!$Y$54*(VLOOKUP(S363, 'PlayerGrades+'!$X$3:$Y$23, 2, FALSE)))+('PlayerGrades+'!$Y$55*(VLOOKUP(U363, 'PlayerGrades+'!$X$3:$Y$23, 2, FALSE)))</f>
        <v>12.4</v>
      </c>
      <c r="D363" s="937">
        <f t="shared" si="1"/>
        <v>0.04494382022</v>
      </c>
      <c r="E363" s="937" t="str">
        <f>IF(D363&lt;'PlayerGrades+'!$AA$21,"F-",IF(D363&lt;'PlayerGrades+'!$AA$20,"F",IF(D363&lt;'PlayerGrades+'!$AA$19,"F+",IF(D363&lt;'PlayerGrades+'!$AA$18,"E-",IF(D363&lt;'PlayerGrades+'!$AA$17,"E",IF(D363&lt;'PlayerGrades+'!$AA$16,"E+",IF(D363&lt;'PlayerGrades+'!$AA$15,"D-",IF(D363&lt;'PlayerGrades+'!$AA$14,"D",IF(D363&lt;'PlayerGrades+'!$AA$13,"D+",IF(D363&lt;'PlayerGrades+'!$AA$12,"C-",IF(D363&lt;'PlayerGrades+'!$AA$11,"C",IF(D363&lt;'PlayerGrades+'!$AA$10,"C+",IF(D363&lt;'PlayerGrades+'!$AA$9,"B-",IF(D363&lt;'PlayerGrades+'!$AA$8,"B",IF(D363&lt;'PlayerGrades+'!$AA$7,"B+",IF(D363&lt;'PlayerGrades+'!$AA$6,"A-",IF(D363&lt;'PlayerGrades+'!$AA$5,"A",IF(D363&lt;'PlayerGrades+'!$AA$4,"A+",IF(D363&lt;'PlayerGrades+'!$AA$3,"S-",IF(D363&lt;'PlayerGrades+'!$AA$2,"S","S+"))))))))))))))))))))</f>
        <v>C+</v>
      </c>
      <c r="F363" s="937">
        <f t="shared" si="2"/>
        <v>-0.6292134831</v>
      </c>
      <c r="G363" s="937" t="str">
        <f>IF(F363&lt;'PlayerGrades+'!$AB$21,"F-",IF(F363&lt;'PlayerGrades+'!$AB$20,"F",IF(F363&lt;'PlayerGrades+'!$AB$19,"F+",IF(F363&lt;'PlayerGrades+'!$AB$18,"E-",IF(F363&lt;'PlayerGrades+'!$AB$17,"E",IF(F363&lt;'PlayerGrades+'!$AB$16,"E+",IF(F363&lt;'PlayerGrades+'!$AB$15,"D-",IF(F363&lt;'PlayerGrades+'!$AB$14,"D",IF(F363&lt;'PlayerGrades+'!$AB$13,"D+",IF(F363&lt;'PlayerGrades+'!$AB$12,"C-",IF(F363&lt;'PlayerGrades+'!$AB$11,"C",IF(F363&lt;'PlayerGrades+'!$AB$10,"C+",IF(F363&lt;'PlayerGrades+'!$AB$9,"B-",IF(F363&lt;'PlayerGrades+'!$AB$8,"B",IF(F363&lt;'PlayerGrades+'!$AB$7,"B+",IF(F363&lt;'PlayerGrades+'!$AB$6,"A-",IF(F363&lt;'PlayerGrades+'!$AB$5,"A",IF(F363&lt;'PlayerGrades+'!$AB$4,"A+",IF(F363&lt;'PlayerGrades+'!$AB$3,"S-",IF(F363&lt;'PlayerGrades+'!$AB$2,"S","S+"))))))))))))))))))))</f>
        <v>D-</v>
      </c>
      <c r="H363" s="937">
        <f t="shared" si="3"/>
        <v>0.08988764045</v>
      </c>
      <c r="I363" s="937" t="str">
        <f>IF(H363&lt;'PlayerGrades+'!$AC$21,"F-",IF(H363&lt;'PlayerGrades+'!$AC$20,"F",IF(H363&lt;'PlayerGrades+'!$AC$19,"F+",IF(H363&lt;'PlayerGrades+'!$AC$18,"E-",IF(H363&lt;'PlayerGrades+'!$AC$17,"E",IF(H363&lt;'PlayerGrades+'!$AC$16,"E+",IF(H363&lt;'PlayerGrades+'!$AC$15,"D-",IF(H363&lt;'PlayerGrades+'!$AC$14,"D",IF(H363&lt;'PlayerGrades+'!$AC$13,"D+",IF(H363&lt;'PlayerGrades+'!$AC$12,"C-",IF(H363&lt;'PlayerGrades+'!$AC$11,"C",IF(H363&lt;'PlayerGrades+'!$AC$10,"C+",IF(H363&lt;'PlayerGrades+'!$AC$9,"B-",IF(H363&lt;'PlayerGrades+'!$AC$8,"B",IF(H363&lt;'PlayerGrades+'!$AC$7,"B+",IF(H363&lt;'PlayerGrades+'!$AC$6,"A-",IF(H363&lt;'PlayerGrades+'!$AC$5,"A",IF(H363&lt;'PlayerGrades+'!$AC$4,"A+",IF(H363&lt;'PlayerGrades+'!$AC$3,"S-",IF(H363&lt;'PlayerGrades+'!$AC$2,"S","S+"))))))))))))))))))))</f>
        <v>D</v>
      </c>
      <c r="J363" s="937">
        <f t="shared" si="4"/>
        <v>0</v>
      </c>
      <c r="K363" s="937" t="str">
        <f>IF(J363&lt;'PlayerGrades+'!$AD$21,"F-",IF(J363&lt;'PlayerGrades+'!$AD$20,"F",IF(J363&lt;'PlayerGrades+'!$AD$19,"F+",IF(J363&lt;'PlayerGrades+'!$AD$18,"E-",IF(J363&lt;'PlayerGrades+'!$AD$17,"E",IF(J363&lt;'PlayerGrades+'!$AD$16,"E+",IF(J363&lt;'PlayerGrades+'!$AD$15,"D-",IF(J363&lt;'PlayerGrades+'!$AD$14,"D",IF(J363&lt;'PlayerGrades+'!$AD$13,"D+",IF(J363&lt;'PlayerGrades+'!$AD$12,"C-",IF(J363&lt;'PlayerGrades+'!$AD$11,"C",IF(J363&lt;'PlayerGrades+'!$AD$10,"C+",IF(J363&lt;'PlayerGrades+'!$AD$9,"B-",IF(J363&lt;'PlayerGrades+'!$AD$8,"B",IF(J363&lt;'PlayerGrades+'!$AD$7,"B+",IF(J363&lt;'PlayerGrades+'!$AD$6,"A-",IF(J363&lt;'PlayerGrades+'!$AD$5,"A",IF(J363&lt;'PlayerGrades+'!$AD$4,"A+",IF(J363&lt;'PlayerGrades+'!$AD$3,"S-",IF(J363&lt;'PlayerGrades+'!$AD$2,"S","S+"))))))))))))))))))))</f>
        <v>F-</v>
      </c>
      <c r="L363" s="677">
        <f t="shared" si="5"/>
        <v>0.3595505618</v>
      </c>
      <c r="M363" s="938" t="str">
        <f>IF(L363&lt;'PlayerGrades+'!$AE$21,"F-",IF(L363&lt;'PlayerGrades+'!$AE$20,"F",IF(L363&lt;'PlayerGrades+'!$AE$19,"F+",IF(L363&lt;'PlayerGrades+'!$AE$18,"E-",IF(L363&lt;'PlayerGrades+'!$AE$17,"E",IF(L363&lt;'PlayerGrades+'!$AE$16,"E+",IF(L363&lt;'PlayerGrades+'!$AE$15,"D-",IF(L363&lt;'PlayerGrades+'!$AE$14,"D",IF(L363&lt;'PlayerGrades+'!$AE$13,"D+",IF(L363&lt;'PlayerGrades+'!$AE$12,"C-",IF(L363&lt;'PlayerGrades+'!$AE$11,"C",IF(L363&lt;'PlayerGrades+'!$AE$10,"C+",IF(L363&lt;'PlayerGrades+'!$AE$9,"B-",IF(L363&lt;'PlayerGrades+'!$AE$8,"B",IF(L363&lt;'PlayerGrades+'!$AE$7,"B+",IF(L363&lt;'PlayerGrades+'!$AE$6,"A-",IF(L363&lt;'PlayerGrades+'!$AE$5,"A",IF(L363&lt;'PlayerGrades+'!$AE$4,"A+",IF(L363&lt;'PlayerGrades+'!$AE$3,"S-",IF(L363&lt;'PlayerGrades+'!$AE$2,"S","S+"))))))))))))))))))))</f>
        <v>D+</v>
      </c>
      <c r="N363" s="937">
        <f t="shared" si="6"/>
        <v>0</v>
      </c>
      <c r="O363" s="937" t="str">
        <f>IF(N363&lt;'PlayerGrades+'!$AF$21,"F-",IF(N363&lt;'PlayerGrades+'!$AF$20,"F",IF(N363&lt;'PlayerGrades+'!$AF$19,"F+",IF(N363&lt;'PlayerGrades+'!$AF$18,"E-",IF(N363&lt;'PlayerGrades+'!$AF$17,"E",IF(N363&lt;'PlayerGrades+'!$AF$16,"E+",IF(N363&lt;'PlayerGrades+'!$AF$15,"D-",IF(N363&lt;'PlayerGrades+'!$AF$14,"D",IF(N363&lt;'PlayerGrades+'!$AF$13,"D+",IF(N363&lt;'PlayerGrades+'!$AF$12,"C-",IF(N363&lt;'PlayerGrades+'!$AF$11,"C",IF(N363&lt;'PlayerGrades+'!$AF$10,"C+",IF(N363&lt;'PlayerGrades+'!$AF$9,"B-",IF(N363&lt;'PlayerGrades+'!$AF$8,"B",IF(N363&lt;'PlayerGrades+'!$AF$7,"B+",IF(N363&lt;'PlayerGrades+'!$AF$6,"A-",IF(N363&lt;'PlayerGrades+'!$AF$5,"A",IF(N363&lt;'PlayerGrades+'!$AF$4,"A+",IF(N363&lt;'PlayerGrades+'!$AF$3,"S-",IF(N363&lt;'PlayerGrades+'!$AF$2,"S","S+"))))))))))))))))))))</f>
        <v>F-</v>
      </c>
      <c r="P363" s="937">
        <f t="shared" si="7"/>
        <v>0</v>
      </c>
      <c r="Q363" s="937" t="str">
        <f>IF(P363&lt;'PlayerGrades+'!$AG$21,"F-",IF(P363&lt;'PlayerGrades+'!$AG$20,"F",IF(P363&lt;'PlayerGrades+'!$AG$19,"F+",IF(P363&lt;'PlayerGrades+'!$AG$18,"E-",IF(P363&lt;'PlayerGrades+'!$AG$17,"E",IF(P363&lt;'PlayerGrades+'!$AG$16,"E+",IF(P363&lt;'PlayerGrades+'!$AG$15,"D-",IF(P363&lt;'PlayerGrades+'!$AG$14,"D",IF(P363&lt;'PlayerGrades+'!$AG$13,"D+",IF(P363&lt;'PlayerGrades+'!$AG$12,"C-",IF(P363&lt;'PlayerGrades+'!$AG$11,"C",IF(P363&lt;'PlayerGrades+'!$AG$10,"C+",IF(P363&lt;'PlayerGrades+'!$AG$9,"B-",IF(P363&lt;'PlayerGrades+'!$AG$8,"B",IF(P363&lt;'PlayerGrades+'!$AG$7,"B+",IF(P363&lt;'PlayerGrades+'!$AG$6,"A-",IF(P363&lt;'PlayerGrades+'!$AG$5,"A",IF(P363&lt;'PlayerGrades+'!$AG$4,"A+",IF(P363&lt;'PlayerGrades+'!$AG$3,"S-",IF(P363&lt;'PlayerGrades+'!$AG$2,"S","S+"))))))))))))))))))))</f>
        <v>F</v>
      </c>
      <c r="R363" s="937">
        <f t="shared" si="8"/>
        <v>0.404494382</v>
      </c>
      <c r="S363" s="937" t="str">
        <f>IF(R363&lt;'PlayerGrades+'!$AH$21,"F-",IF(R363&lt;'PlayerGrades+'!$AH$20,"F",IF(R363&lt;'PlayerGrades+'!$AH$19,"F+",IF(R363&lt;'PlayerGrades+'!$AH$18,"E-",IF(R363&lt;'PlayerGrades+'!$AH$17,"E",IF(R363&lt;'PlayerGrades+'!$AH$16,"E+",IF(R363&lt;'PlayerGrades+'!$AH$15,"D-",IF(R363&lt;'PlayerGrades+'!$AH$14,"D",IF(R363&lt;'PlayerGrades+'!$AH$13,"D+",IF(R363&lt;'PlayerGrades+'!$AH$12,"C-",IF(R363&lt;'PlayerGrades+'!$AH$11,"C",IF(R363&lt;'PlayerGrades+'!$AH$10,"C+",IF(R363&lt;'PlayerGrades+'!$AH$9,"B-",IF(R363&lt;'PlayerGrades+'!$AH$8,"B",IF(R363&lt;'PlayerGrades+'!$AH$7,"B+",IF(R363&lt;'PlayerGrades+'!$AH$6,"A-",IF(R363&lt;'PlayerGrades+'!$AH$5,"A",IF(R363&lt;'PlayerGrades+'!$AH$4,"A+",IF(R363&lt;'PlayerGrades+'!$AH$3,"S-",IF(R363&lt;'PlayerGrades+'!$AH$2,"S","S+"))))))))))))))))))))</f>
        <v>F+</v>
      </c>
      <c r="T363" s="937">
        <f t="shared" si="9"/>
        <v>1.539325843</v>
      </c>
      <c r="U363" s="937" t="str">
        <f>IF(T363&lt;'PlayerGrades+'!$AI$21,"F-",IF(T363&lt;'PlayerGrades+'!$AI$20,"F",IF(T363&lt;'PlayerGrades+'!$AI$19,"F+",IF(T363&lt;'PlayerGrades+'!$AI$18,"E-",IF(T363&lt;'PlayerGrades+'!$AI$17,"E",IF(T363&lt;'PlayerGrades+'!$AI$16,"E+",IF(T363&lt;'PlayerGrades+'!$AI$15,"D-",IF(T363&lt;'PlayerGrades+'!$AI$14,"D",IF(T363&lt;'PlayerGrades+'!$AI$13,"D+",IF(T363&lt;'PlayerGrades+'!$AI$12,"C-",IF(T363&lt;'PlayerGrades+'!$AI$11,"C",IF(T363&lt;'PlayerGrades+'!$AI$10,"C+",IF(T363&lt;'PlayerGrades+'!$AI$9,"B-",IF(T363&lt;'PlayerGrades+'!$AI$8,"B",IF(T363&lt;'PlayerGrades+'!$AI$7,"B+",IF(T363&lt;'PlayerGrades+'!$AI$6,"A-",IF(T363&lt;'PlayerGrades+'!$AI$5,"A",IF(T363&lt;'PlayerGrades+'!$AI$4,"A+",IF(T363&lt;'PlayerGrades+'!$AI$3,"S-",IF(T363&lt;'PlayerGrades+'!$AI$2,"S","S+"))))))))))))))))))))</f>
        <v>A+</v>
      </c>
      <c r="V363" s="941">
        <v>1.0</v>
      </c>
      <c r="W363" s="941">
        <v>1.0</v>
      </c>
      <c r="X363" s="941">
        <v>0.0</v>
      </c>
      <c r="Y363" s="941">
        <v>1.0</v>
      </c>
      <c r="Z363" s="941">
        <v>0.0</v>
      </c>
      <c r="AA363" s="941">
        <v>69.0</v>
      </c>
      <c r="AB363" s="941">
        <v>83.0</v>
      </c>
      <c r="AC363" s="941">
        <v>-14.0</v>
      </c>
      <c r="AD363" s="941">
        <v>4.0</v>
      </c>
      <c r="AE363" s="941">
        <v>3.0</v>
      </c>
      <c r="AF363" s="941">
        <v>0.0</v>
      </c>
      <c r="AG363" s="941">
        <v>980.0</v>
      </c>
      <c r="AH363" s="941">
        <v>1335.0</v>
      </c>
      <c r="AI363" s="941">
        <v>11.0</v>
      </c>
      <c r="AJ363" s="941">
        <v>2.0</v>
      </c>
      <c r="AK363" s="941">
        <v>0.0</v>
      </c>
      <c r="AL363" s="941">
        <v>0.0</v>
      </c>
      <c r="AM363" s="941">
        <v>0.0</v>
      </c>
      <c r="AN363" s="941">
        <v>0.0</v>
      </c>
      <c r="AO363" s="941">
        <v>0.0</v>
      </c>
      <c r="AP363" s="941">
        <v>0.0</v>
      </c>
      <c r="AQ363" s="941">
        <v>0.0</v>
      </c>
      <c r="AR363" s="941">
        <v>8.0</v>
      </c>
      <c r="AS363" s="941">
        <v>0.0</v>
      </c>
      <c r="AT363" s="941">
        <v>0.0</v>
      </c>
      <c r="AU363" s="941">
        <v>0.0</v>
      </c>
      <c r="AV363" s="941">
        <v>0.0</v>
      </c>
      <c r="AW363" s="941">
        <v>0.0</v>
      </c>
      <c r="AX363" s="941">
        <v>0.0</v>
      </c>
      <c r="AY363" s="941">
        <v>0.0</v>
      </c>
      <c r="AZ363" s="941">
        <v>0.0</v>
      </c>
      <c r="BA363" s="941">
        <v>0.0</v>
      </c>
      <c r="BB363" s="941">
        <v>2.0</v>
      </c>
      <c r="BC363" s="941">
        <v>0.0</v>
      </c>
      <c r="BD363" s="941">
        <v>5.0</v>
      </c>
      <c r="BE363" s="941">
        <v>12.0</v>
      </c>
      <c r="BF363" s="941">
        <v>1.0</v>
      </c>
      <c r="BG363" s="941">
        <v>1.0</v>
      </c>
    </row>
    <row r="364">
      <c r="A364" s="1" t="s">
        <v>145</v>
      </c>
      <c r="B364" s="16" t="str">
        <f>IF(C364&lt;'PlayerGrades+'!$Y$44,"F-",IF(C364&lt;'PlayerGrades+'!$Y$43,"F",IF(C364&lt;'PlayerGrades+'!$Y$42,"F+",IF(C364&lt;'PlayerGrades+'!$Y$41,"E-",IF(C364&lt;'PlayerGrades+'!$Y$40,"E",IF(C364&lt;'PlayerGrades+'!$Y$39,"E+",IF(C364&lt;'PlayerGrades+'!$Y$38,"D-",IF(C364&lt;'PlayerGrades+'!$Y$37,"D",IF(C364&lt;'PlayerGrades+'!$Y$36,"D+",IF(C364&lt;'PlayerGrades+'!$Y$35,"C-",IF(C364&lt;'PlayerGrades+'!$Y$34,"C",IF(C364&lt;'PlayerGrades+'!$Y$33,"C+",IF(C364&lt;'PlayerGrades+'!$Y$32,"B-",IF(C364&lt;'PlayerGrades+'!$Y$31,"B",IF(C364&lt;'PlayerGrades+'!$Y$30,"B+",IF(C364&lt;'PlayerGrades+'!$Y$29,"A-",IF(C364&lt;'PlayerGrades+'!$Y$28,"A",IF(C364&lt;'PlayerGrades+'!$Y$27,"A+",IF(C364&lt;'PlayerGrades+'!$Y$26,"S-",IF(C364&lt;'PlayerGrades+'!$Y$25,"S","S+"))))))))))))))))))))</f>
        <v>A</v>
      </c>
      <c r="C364" s="936">
        <f>('PlayerGrades+'!$Y$47*(VLOOKUP(E364, 'PlayerGrades+'!$X$3:$Y$23, 2, FALSE)))+('PlayerGrades+'!$Y$48*(VLOOKUP(G364, 'PlayerGrades+'!$X$3:$Y$23, 2, FALSE)))+('PlayerGrades+'!$Y$49*(VLOOKUP(I364, 'PlayerGrades+'!$X$3:$Y$23, 2, FALSE)))+('PlayerGrades+'!$Y$50*(VLOOKUP(K364, 'PlayerGrades+'!$X$3:$Y$23, 2, FALSE)))+('PlayerGrades+'!$Y$51*(VLOOKUP(M364, 'PlayerGrades+'!$X$3:$Y$23, 2, FALSE)))+('PlayerGrades+'!$Y$52*(VLOOKUP(O364, 'PlayerGrades+'!$X$3:$Y$23, 2, FALSE)))+('PlayerGrades+'!$Y$53*(VLOOKUP(Q364, 'PlayerGrades+'!$X$3:$Y$23, 2, FALSE)))+('PlayerGrades+'!$Y$54*(VLOOKUP(S364, 'PlayerGrades+'!$X$3:$Y$23, 2, FALSE)))+('PlayerGrades+'!$Y$55*(VLOOKUP(U364, 'PlayerGrades+'!$X$3:$Y$23, 2, FALSE)))</f>
        <v>26.5</v>
      </c>
      <c r="D364" s="937">
        <f t="shared" si="1"/>
        <v>0</v>
      </c>
      <c r="E364" s="937" t="str">
        <f>IF(D364&lt;'PlayerGrades+'!$AA$21,"F-",IF(D364&lt;'PlayerGrades+'!$AA$20,"F",IF(D364&lt;'PlayerGrades+'!$AA$19,"F+",IF(D364&lt;'PlayerGrades+'!$AA$18,"E-",IF(D364&lt;'PlayerGrades+'!$AA$17,"E",IF(D364&lt;'PlayerGrades+'!$AA$16,"E+",IF(D364&lt;'PlayerGrades+'!$AA$15,"D-",IF(D364&lt;'PlayerGrades+'!$AA$14,"D",IF(D364&lt;'PlayerGrades+'!$AA$13,"D+",IF(D364&lt;'PlayerGrades+'!$AA$12,"C-",IF(D364&lt;'PlayerGrades+'!$AA$11,"C",IF(D364&lt;'PlayerGrades+'!$AA$10,"C+",IF(D364&lt;'PlayerGrades+'!$AA$9,"B-",IF(D364&lt;'PlayerGrades+'!$AA$8,"B",IF(D364&lt;'PlayerGrades+'!$AA$7,"B+",IF(D364&lt;'PlayerGrades+'!$AA$6,"A-",IF(D364&lt;'PlayerGrades+'!$AA$5,"A",IF(D364&lt;'PlayerGrades+'!$AA$4,"A+",IF(D364&lt;'PlayerGrades+'!$AA$3,"S-",IF(D364&lt;'PlayerGrades+'!$AA$2,"S","S+"))))))))))))))))))))</f>
        <v>F-</v>
      </c>
      <c r="F364" s="937">
        <f t="shared" si="2"/>
        <v>0.04494382022</v>
      </c>
      <c r="G364" s="937" t="str">
        <f>IF(F364&lt;'PlayerGrades+'!$AB$21,"F-",IF(F364&lt;'PlayerGrades+'!$AB$20,"F",IF(F364&lt;'PlayerGrades+'!$AB$19,"F+",IF(F364&lt;'PlayerGrades+'!$AB$18,"E-",IF(F364&lt;'PlayerGrades+'!$AB$17,"E",IF(F364&lt;'PlayerGrades+'!$AB$16,"E+",IF(F364&lt;'PlayerGrades+'!$AB$15,"D-",IF(F364&lt;'PlayerGrades+'!$AB$14,"D",IF(F364&lt;'PlayerGrades+'!$AB$13,"D+",IF(F364&lt;'PlayerGrades+'!$AB$12,"C-",IF(F364&lt;'PlayerGrades+'!$AB$11,"C",IF(F364&lt;'PlayerGrades+'!$AB$10,"C+",IF(F364&lt;'PlayerGrades+'!$AB$9,"B-",IF(F364&lt;'PlayerGrades+'!$AB$8,"B",IF(F364&lt;'PlayerGrades+'!$AB$7,"B+",IF(F364&lt;'PlayerGrades+'!$AB$6,"A-",IF(F364&lt;'PlayerGrades+'!$AB$5,"A",IF(F364&lt;'PlayerGrades+'!$AB$4,"A+",IF(F364&lt;'PlayerGrades+'!$AB$3,"S-",IF(F364&lt;'PlayerGrades+'!$AB$2,"S","S+"))))))))))))))))))))</f>
        <v>B</v>
      </c>
      <c r="H364" s="937">
        <f t="shared" si="3"/>
        <v>0.08988764045</v>
      </c>
      <c r="I364" s="937" t="str">
        <f>IF(H364&lt;'PlayerGrades+'!$AC$21,"F-",IF(H364&lt;'PlayerGrades+'!$AC$20,"F",IF(H364&lt;'PlayerGrades+'!$AC$19,"F+",IF(H364&lt;'PlayerGrades+'!$AC$18,"E-",IF(H364&lt;'PlayerGrades+'!$AC$17,"E",IF(H364&lt;'PlayerGrades+'!$AC$16,"E+",IF(H364&lt;'PlayerGrades+'!$AC$15,"D-",IF(H364&lt;'PlayerGrades+'!$AC$14,"D",IF(H364&lt;'PlayerGrades+'!$AC$13,"D+",IF(H364&lt;'PlayerGrades+'!$AC$12,"C-",IF(H364&lt;'PlayerGrades+'!$AC$11,"C",IF(H364&lt;'PlayerGrades+'!$AC$10,"C+",IF(H364&lt;'PlayerGrades+'!$AC$9,"B-",IF(H364&lt;'PlayerGrades+'!$AC$8,"B",IF(H364&lt;'PlayerGrades+'!$AC$7,"B+",IF(H364&lt;'PlayerGrades+'!$AC$6,"A-",IF(H364&lt;'PlayerGrades+'!$AC$5,"A",IF(H364&lt;'PlayerGrades+'!$AC$4,"A+",IF(H364&lt;'PlayerGrades+'!$AC$3,"S-",IF(H364&lt;'PlayerGrades+'!$AC$2,"S","S+"))))))))))))))))))))</f>
        <v>D</v>
      </c>
      <c r="J364" s="937">
        <f t="shared" si="4"/>
        <v>0.08988764045</v>
      </c>
      <c r="K364" s="937" t="str">
        <f>IF(J364&lt;'PlayerGrades+'!$AD$21,"F-",IF(J364&lt;'PlayerGrades+'!$AD$20,"F",IF(J364&lt;'PlayerGrades+'!$AD$19,"F+",IF(J364&lt;'PlayerGrades+'!$AD$18,"E-",IF(J364&lt;'PlayerGrades+'!$AD$17,"E",IF(J364&lt;'PlayerGrades+'!$AD$16,"E+",IF(J364&lt;'PlayerGrades+'!$AD$15,"D-",IF(J364&lt;'PlayerGrades+'!$AD$14,"D",IF(J364&lt;'PlayerGrades+'!$AD$13,"D+",IF(J364&lt;'PlayerGrades+'!$AD$12,"C-",IF(J364&lt;'PlayerGrades+'!$AD$11,"C",IF(J364&lt;'PlayerGrades+'!$AD$10,"C+",IF(J364&lt;'PlayerGrades+'!$AD$9,"B-",IF(J364&lt;'PlayerGrades+'!$AD$8,"B",IF(J364&lt;'PlayerGrades+'!$AD$7,"B+",IF(J364&lt;'PlayerGrades+'!$AD$6,"A-",IF(J364&lt;'PlayerGrades+'!$AD$5,"A",IF(J364&lt;'PlayerGrades+'!$AD$4,"A+",IF(J364&lt;'PlayerGrades+'!$AD$3,"S-",IF(J364&lt;'PlayerGrades+'!$AD$2,"S","S+"))))))))))))))))))))</f>
        <v>S-</v>
      </c>
      <c r="L364" s="677">
        <f t="shared" si="5"/>
        <v>0.4494382022</v>
      </c>
      <c r="M364" s="938" t="str">
        <f>IF(L364&lt;'PlayerGrades+'!$AE$21,"F-",IF(L364&lt;'PlayerGrades+'!$AE$20,"F",IF(L364&lt;'PlayerGrades+'!$AE$19,"F+",IF(L364&lt;'PlayerGrades+'!$AE$18,"E-",IF(L364&lt;'PlayerGrades+'!$AE$17,"E",IF(L364&lt;'PlayerGrades+'!$AE$16,"E+",IF(L364&lt;'PlayerGrades+'!$AE$15,"D-",IF(L364&lt;'PlayerGrades+'!$AE$14,"D",IF(L364&lt;'PlayerGrades+'!$AE$13,"D+",IF(L364&lt;'PlayerGrades+'!$AE$12,"C-",IF(L364&lt;'PlayerGrades+'!$AE$11,"C",IF(L364&lt;'PlayerGrades+'!$AE$10,"C+",IF(L364&lt;'PlayerGrades+'!$AE$9,"B-",IF(L364&lt;'PlayerGrades+'!$AE$8,"B",IF(L364&lt;'PlayerGrades+'!$AE$7,"B+",IF(L364&lt;'PlayerGrades+'!$AE$6,"A-",IF(L364&lt;'PlayerGrades+'!$AE$5,"A",IF(L364&lt;'PlayerGrades+'!$AE$4,"A+",IF(L364&lt;'PlayerGrades+'!$AE$3,"S-",IF(L364&lt;'PlayerGrades+'!$AE$2,"S","S+"))))))))))))))))))))</f>
        <v>B+</v>
      </c>
      <c r="N364" s="937">
        <f t="shared" si="6"/>
        <v>0.1348314607</v>
      </c>
      <c r="O364" s="937" t="str">
        <f>IF(N364&lt;'PlayerGrades+'!$AF$21,"F-",IF(N364&lt;'PlayerGrades+'!$AF$20,"F",IF(N364&lt;'PlayerGrades+'!$AF$19,"F+",IF(N364&lt;'PlayerGrades+'!$AF$18,"E-",IF(N364&lt;'PlayerGrades+'!$AF$17,"E",IF(N364&lt;'PlayerGrades+'!$AF$16,"E+",IF(N364&lt;'PlayerGrades+'!$AF$15,"D-",IF(N364&lt;'PlayerGrades+'!$AF$14,"D",IF(N364&lt;'PlayerGrades+'!$AF$13,"D+",IF(N364&lt;'PlayerGrades+'!$AF$12,"C-",IF(N364&lt;'PlayerGrades+'!$AF$11,"C",IF(N364&lt;'PlayerGrades+'!$AF$10,"C+",IF(N364&lt;'PlayerGrades+'!$AF$9,"B-",IF(N364&lt;'PlayerGrades+'!$AF$8,"B",IF(N364&lt;'PlayerGrades+'!$AF$7,"B+",IF(N364&lt;'PlayerGrades+'!$AF$6,"A-",IF(N364&lt;'PlayerGrades+'!$AF$5,"A",IF(N364&lt;'PlayerGrades+'!$AF$4,"A+",IF(N364&lt;'PlayerGrades+'!$AF$3,"S-",IF(N364&lt;'PlayerGrades+'!$AF$2,"S","S+"))))))))))))))))))))</f>
        <v>S</v>
      </c>
      <c r="P364" s="937">
        <f t="shared" si="7"/>
        <v>0.08988764045</v>
      </c>
      <c r="Q364" s="937" t="str">
        <f>IF(P364&lt;'PlayerGrades+'!$AG$21,"F-",IF(P364&lt;'PlayerGrades+'!$AG$20,"F",IF(P364&lt;'PlayerGrades+'!$AG$19,"F+",IF(P364&lt;'PlayerGrades+'!$AG$18,"E-",IF(P364&lt;'PlayerGrades+'!$AG$17,"E",IF(P364&lt;'PlayerGrades+'!$AG$16,"E+",IF(P364&lt;'PlayerGrades+'!$AG$15,"D-",IF(P364&lt;'PlayerGrades+'!$AG$14,"D",IF(P364&lt;'PlayerGrades+'!$AG$13,"D+",IF(P364&lt;'PlayerGrades+'!$AG$12,"C-",IF(P364&lt;'PlayerGrades+'!$AG$11,"C",IF(P364&lt;'PlayerGrades+'!$AG$10,"C+",IF(P364&lt;'PlayerGrades+'!$AG$9,"B-",IF(P364&lt;'PlayerGrades+'!$AG$8,"B",IF(P364&lt;'PlayerGrades+'!$AG$7,"B+",IF(P364&lt;'PlayerGrades+'!$AG$6,"A-",IF(P364&lt;'PlayerGrades+'!$AG$5,"A",IF(P364&lt;'PlayerGrades+'!$AG$4,"A+",IF(P364&lt;'PlayerGrades+'!$AG$3,"S-",IF(P364&lt;'PlayerGrades+'!$AG$2,"S","S+"))))))))))))))))))))</f>
        <v>S+</v>
      </c>
      <c r="R364" s="937">
        <f t="shared" si="8"/>
        <v>0.7191011236</v>
      </c>
      <c r="S364" s="937" t="str">
        <f>IF(R364&lt;'PlayerGrades+'!$AH$21,"F-",IF(R364&lt;'PlayerGrades+'!$AH$20,"F",IF(R364&lt;'PlayerGrades+'!$AH$19,"F+",IF(R364&lt;'PlayerGrades+'!$AH$18,"E-",IF(R364&lt;'PlayerGrades+'!$AH$17,"E",IF(R364&lt;'PlayerGrades+'!$AH$16,"E+",IF(R364&lt;'PlayerGrades+'!$AH$15,"D-",IF(R364&lt;'PlayerGrades+'!$AH$14,"D",IF(R364&lt;'PlayerGrades+'!$AH$13,"D+",IF(R364&lt;'PlayerGrades+'!$AH$12,"C-",IF(R364&lt;'PlayerGrades+'!$AH$11,"C",IF(R364&lt;'PlayerGrades+'!$AH$10,"C+",IF(R364&lt;'PlayerGrades+'!$AH$9,"B-",IF(R364&lt;'PlayerGrades+'!$AH$8,"B",IF(R364&lt;'PlayerGrades+'!$AH$7,"B+",IF(R364&lt;'PlayerGrades+'!$AH$6,"A-",IF(R364&lt;'PlayerGrades+'!$AH$5,"A",IF(R364&lt;'PlayerGrades+'!$AH$4,"A+",IF(R364&lt;'PlayerGrades+'!$AH$3,"S-",IF(R364&lt;'PlayerGrades+'!$AH$2,"S","S+"))))))))))))))))))))</f>
        <v>S</v>
      </c>
      <c r="T364" s="937">
        <f t="shared" si="9"/>
        <v>1.449438202</v>
      </c>
      <c r="U364" s="937" t="str">
        <f>IF(T364&lt;'PlayerGrades+'!$AI$21,"F-",IF(T364&lt;'PlayerGrades+'!$AI$20,"F",IF(T364&lt;'PlayerGrades+'!$AI$19,"F+",IF(T364&lt;'PlayerGrades+'!$AI$18,"E-",IF(T364&lt;'PlayerGrades+'!$AI$17,"E",IF(T364&lt;'PlayerGrades+'!$AI$16,"E+",IF(T364&lt;'PlayerGrades+'!$AI$15,"D-",IF(T364&lt;'PlayerGrades+'!$AI$14,"D",IF(T364&lt;'PlayerGrades+'!$AI$13,"D+",IF(T364&lt;'PlayerGrades+'!$AI$12,"C-",IF(T364&lt;'PlayerGrades+'!$AI$11,"C",IF(T364&lt;'PlayerGrades+'!$AI$10,"C+",IF(T364&lt;'PlayerGrades+'!$AI$9,"B-",IF(T364&lt;'PlayerGrades+'!$AI$8,"B",IF(T364&lt;'PlayerGrades+'!$AI$7,"B+",IF(T364&lt;'PlayerGrades+'!$AI$6,"A-",IF(T364&lt;'PlayerGrades+'!$AI$5,"A",IF(T364&lt;'PlayerGrades+'!$AI$4,"A+",IF(T364&lt;'PlayerGrades+'!$AI$3,"S-",IF(T364&lt;'PlayerGrades+'!$AI$2,"S","S+"))))))))))))))))))))</f>
        <v>B+</v>
      </c>
      <c r="V364" s="941">
        <v>1.0</v>
      </c>
      <c r="W364" s="941">
        <v>1.0</v>
      </c>
      <c r="X364" s="941">
        <v>0.0</v>
      </c>
      <c r="Y364" s="941">
        <v>0.0</v>
      </c>
      <c r="Z364" s="941">
        <v>0.0</v>
      </c>
      <c r="AA364" s="941">
        <v>72.0</v>
      </c>
      <c r="AB364" s="941">
        <v>71.0</v>
      </c>
      <c r="AC364" s="941">
        <v>1.0</v>
      </c>
      <c r="AD364" s="941">
        <v>7.0</v>
      </c>
      <c r="AE364" s="941">
        <v>6.0</v>
      </c>
      <c r="AF364" s="941">
        <v>1.0</v>
      </c>
      <c r="AG364" s="941">
        <v>1014.0</v>
      </c>
      <c r="AH364" s="941">
        <v>1335.0</v>
      </c>
      <c r="AI364" s="941">
        <v>14.0</v>
      </c>
      <c r="AJ364" s="941">
        <v>7.0</v>
      </c>
      <c r="AK364" s="941">
        <v>0.0</v>
      </c>
      <c r="AL364" s="941">
        <v>2.0</v>
      </c>
      <c r="AM364" s="941">
        <v>0.0</v>
      </c>
      <c r="AN364" s="941">
        <v>0.0</v>
      </c>
      <c r="AO364" s="941">
        <v>0.0</v>
      </c>
      <c r="AP364" s="941">
        <v>2.0</v>
      </c>
      <c r="AQ364" s="941">
        <v>0.0</v>
      </c>
      <c r="AR364" s="941">
        <v>10.0</v>
      </c>
      <c r="AS364" s="941">
        <v>3.0</v>
      </c>
      <c r="AT364" s="941">
        <v>0.0</v>
      </c>
      <c r="AU364" s="941">
        <v>0.0</v>
      </c>
      <c r="AV364" s="941">
        <v>0.0</v>
      </c>
      <c r="AW364" s="941">
        <v>0.0</v>
      </c>
      <c r="AX364" s="941">
        <v>0.0</v>
      </c>
      <c r="AY364" s="941">
        <v>0.0</v>
      </c>
      <c r="AZ364" s="941">
        <v>0.0</v>
      </c>
      <c r="BA364" s="941">
        <v>0.0</v>
      </c>
      <c r="BB364" s="941">
        <v>2.0</v>
      </c>
      <c r="BC364" s="941">
        <v>0.0</v>
      </c>
      <c r="BD364" s="941">
        <v>9.0</v>
      </c>
      <c r="BE364" s="941">
        <v>10.0</v>
      </c>
      <c r="BF364" s="941">
        <v>1.0</v>
      </c>
      <c r="BG364" s="941">
        <v>1.0</v>
      </c>
    </row>
    <row r="365">
      <c r="A365" s="1" t="s">
        <v>159</v>
      </c>
      <c r="B365" s="16" t="str">
        <f>IF(C365&lt;'PlayerGrades+'!$Y$44,"F-",IF(C365&lt;'PlayerGrades+'!$Y$43,"F",IF(C365&lt;'PlayerGrades+'!$Y$42,"F+",IF(C365&lt;'PlayerGrades+'!$Y$41,"E-",IF(C365&lt;'PlayerGrades+'!$Y$40,"E",IF(C365&lt;'PlayerGrades+'!$Y$39,"E+",IF(C365&lt;'PlayerGrades+'!$Y$38,"D-",IF(C365&lt;'PlayerGrades+'!$Y$37,"D",IF(C365&lt;'PlayerGrades+'!$Y$36,"D+",IF(C365&lt;'PlayerGrades+'!$Y$35,"C-",IF(C365&lt;'PlayerGrades+'!$Y$34,"C",IF(C365&lt;'PlayerGrades+'!$Y$33,"C+",IF(C365&lt;'PlayerGrades+'!$Y$32,"B-",IF(C365&lt;'PlayerGrades+'!$Y$31,"B",IF(C365&lt;'PlayerGrades+'!$Y$30,"B+",IF(C365&lt;'PlayerGrades+'!$Y$29,"A-",IF(C365&lt;'PlayerGrades+'!$Y$28,"A",IF(C365&lt;'PlayerGrades+'!$Y$27,"A+",IF(C365&lt;'PlayerGrades+'!$Y$26,"S-",IF(C365&lt;'PlayerGrades+'!$Y$25,"S","S+"))))))))))))))))))))</f>
        <v>E+</v>
      </c>
      <c r="C365" s="936">
        <f>('PlayerGrades+'!$Y$47*(VLOOKUP(E365, 'PlayerGrades+'!$X$3:$Y$23, 2, FALSE)))+('PlayerGrades+'!$Y$48*(VLOOKUP(G365, 'PlayerGrades+'!$X$3:$Y$23, 2, FALSE)))+('PlayerGrades+'!$Y$49*(VLOOKUP(I365, 'PlayerGrades+'!$X$3:$Y$23, 2, FALSE)))+('PlayerGrades+'!$Y$50*(VLOOKUP(K365, 'PlayerGrades+'!$X$3:$Y$23, 2, FALSE)))+('PlayerGrades+'!$Y$51*(VLOOKUP(M365, 'PlayerGrades+'!$X$3:$Y$23, 2, FALSE)))+('PlayerGrades+'!$Y$52*(VLOOKUP(O365, 'PlayerGrades+'!$X$3:$Y$23, 2, FALSE)))+('PlayerGrades+'!$Y$53*(VLOOKUP(Q365, 'PlayerGrades+'!$X$3:$Y$23, 2, FALSE)))+('PlayerGrades+'!$Y$54*(VLOOKUP(S365, 'PlayerGrades+'!$X$3:$Y$23, 2, FALSE)))+('PlayerGrades+'!$Y$55*(VLOOKUP(U365, 'PlayerGrades+'!$X$3:$Y$23, 2, FALSE)))</f>
        <v>13.65</v>
      </c>
      <c r="D365" s="937">
        <f t="shared" si="1"/>
        <v>0</v>
      </c>
      <c r="E365" s="937" t="str">
        <f>IF(D365&lt;'PlayerGrades+'!$AA$21,"F-",IF(D365&lt;'PlayerGrades+'!$AA$20,"F",IF(D365&lt;'PlayerGrades+'!$AA$19,"F+",IF(D365&lt;'PlayerGrades+'!$AA$18,"E-",IF(D365&lt;'PlayerGrades+'!$AA$17,"E",IF(D365&lt;'PlayerGrades+'!$AA$16,"E+",IF(D365&lt;'PlayerGrades+'!$AA$15,"D-",IF(D365&lt;'PlayerGrades+'!$AA$14,"D",IF(D365&lt;'PlayerGrades+'!$AA$13,"D+",IF(D365&lt;'PlayerGrades+'!$AA$12,"C-",IF(D365&lt;'PlayerGrades+'!$AA$11,"C",IF(D365&lt;'PlayerGrades+'!$AA$10,"C+",IF(D365&lt;'PlayerGrades+'!$AA$9,"B-",IF(D365&lt;'PlayerGrades+'!$AA$8,"B",IF(D365&lt;'PlayerGrades+'!$AA$7,"B+",IF(D365&lt;'PlayerGrades+'!$AA$6,"A-",IF(D365&lt;'PlayerGrades+'!$AA$5,"A",IF(D365&lt;'PlayerGrades+'!$AA$4,"A+",IF(D365&lt;'PlayerGrades+'!$AA$3,"S-",IF(D365&lt;'PlayerGrades+'!$AA$2,"S","S+"))))))))))))))))))))</f>
        <v>F-</v>
      </c>
      <c r="F365" s="937">
        <f t="shared" si="2"/>
        <v>-0.8988764045</v>
      </c>
      <c r="G365" s="937" t="str">
        <f>IF(F365&lt;'PlayerGrades+'!$AB$21,"F-",IF(F365&lt;'PlayerGrades+'!$AB$20,"F",IF(F365&lt;'PlayerGrades+'!$AB$19,"F+",IF(F365&lt;'PlayerGrades+'!$AB$18,"E-",IF(F365&lt;'PlayerGrades+'!$AB$17,"E",IF(F365&lt;'PlayerGrades+'!$AB$16,"E+",IF(F365&lt;'PlayerGrades+'!$AB$15,"D-",IF(F365&lt;'PlayerGrades+'!$AB$14,"D",IF(F365&lt;'PlayerGrades+'!$AB$13,"D+",IF(F365&lt;'PlayerGrades+'!$AB$12,"C-",IF(F365&lt;'PlayerGrades+'!$AB$11,"C",IF(F365&lt;'PlayerGrades+'!$AB$10,"C+",IF(F365&lt;'PlayerGrades+'!$AB$9,"B-",IF(F365&lt;'PlayerGrades+'!$AB$8,"B",IF(F365&lt;'PlayerGrades+'!$AB$7,"B+",IF(F365&lt;'PlayerGrades+'!$AB$6,"A-",IF(F365&lt;'PlayerGrades+'!$AB$5,"A",IF(F365&lt;'PlayerGrades+'!$AB$4,"A+",IF(F365&lt;'PlayerGrades+'!$AB$3,"S-",IF(F365&lt;'PlayerGrades+'!$AB$2,"S","S+"))))))))))))))))))))</f>
        <v>E-</v>
      </c>
      <c r="H365" s="937">
        <f t="shared" si="3"/>
        <v>0</v>
      </c>
      <c r="I365" s="937" t="str">
        <f>IF(H365&lt;'PlayerGrades+'!$AC$21,"F-",IF(H365&lt;'PlayerGrades+'!$AC$20,"F",IF(H365&lt;'PlayerGrades+'!$AC$19,"F+",IF(H365&lt;'PlayerGrades+'!$AC$18,"E-",IF(H365&lt;'PlayerGrades+'!$AC$17,"E",IF(H365&lt;'PlayerGrades+'!$AC$16,"E+",IF(H365&lt;'PlayerGrades+'!$AC$15,"D-",IF(H365&lt;'PlayerGrades+'!$AC$14,"D",IF(H365&lt;'PlayerGrades+'!$AC$13,"D+",IF(H365&lt;'PlayerGrades+'!$AC$12,"C-",IF(H365&lt;'PlayerGrades+'!$AC$11,"C",IF(H365&lt;'PlayerGrades+'!$AC$10,"C+",IF(H365&lt;'PlayerGrades+'!$AC$9,"B-",IF(H365&lt;'PlayerGrades+'!$AC$8,"B",IF(H365&lt;'PlayerGrades+'!$AC$7,"B+",IF(H365&lt;'PlayerGrades+'!$AC$6,"A-",IF(H365&lt;'PlayerGrades+'!$AC$5,"A",IF(H365&lt;'PlayerGrades+'!$AC$4,"A+",IF(H365&lt;'PlayerGrades+'!$AC$3,"S-",IF(H365&lt;'PlayerGrades+'!$AC$2,"S","S+"))))))))))))))))))))</f>
        <v>F-</v>
      </c>
      <c r="J365" s="937">
        <f t="shared" si="4"/>
        <v>0.04494382022</v>
      </c>
      <c r="K365" s="937" t="str">
        <f>IF(J365&lt;'PlayerGrades+'!$AD$21,"F-",IF(J365&lt;'PlayerGrades+'!$AD$20,"F",IF(J365&lt;'PlayerGrades+'!$AD$19,"F+",IF(J365&lt;'PlayerGrades+'!$AD$18,"E-",IF(J365&lt;'PlayerGrades+'!$AD$17,"E",IF(J365&lt;'PlayerGrades+'!$AD$16,"E+",IF(J365&lt;'PlayerGrades+'!$AD$15,"D-",IF(J365&lt;'PlayerGrades+'!$AD$14,"D",IF(J365&lt;'PlayerGrades+'!$AD$13,"D+",IF(J365&lt;'PlayerGrades+'!$AD$12,"C-",IF(J365&lt;'PlayerGrades+'!$AD$11,"C",IF(J365&lt;'PlayerGrades+'!$AD$10,"C+",IF(J365&lt;'PlayerGrades+'!$AD$9,"B-",IF(J365&lt;'PlayerGrades+'!$AD$8,"B",IF(J365&lt;'PlayerGrades+'!$AD$7,"B+",IF(J365&lt;'PlayerGrades+'!$AD$6,"A-",IF(J365&lt;'PlayerGrades+'!$AD$5,"A",IF(J365&lt;'PlayerGrades+'!$AD$4,"A+",IF(J365&lt;'PlayerGrades+'!$AD$3,"S-",IF(J365&lt;'PlayerGrades+'!$AD$2,"S","S+"))))))))))))))))))))</f>
        <v>B-</v>
      </c>
      <c r="L365" s="677">
        <f t="shared" si="5"/>
        <v>0.404494382</v>
      </c>
      <c r="M365" s="938" t="str">
        <f>IF(L365&lt;'PlayerGrades+'!$AE$21,"F-",IF(L365&lt;'PlayerGrades+'!$AE$20,"F",IF(L365&lt;'PlayerGrades+'!$AE$19,"F+",IF(L365&lt;'PlayerGrades+'!$AE$18,"E-",IF(L365&lt;'PlayerGrades+'!$AE$17,"E",IF(L365&lt;'PlayerGrades+'!$AE$16,"E+",IF(L365&lt;'PlayerGrades+'!$AE$15,"D-",IF(L365&lt;'PlayerGrades+'!$AE$14,"D",IF(L365&lt;'PlayerGrades+'!$AE$13,"D+",IF(L365&lt;'PlayerGrades+'!$AE$12,"C-",IF(L365&lt;'PlayerGrades+'!$AE$11,"C",IF(L365&lt;'PlayerGrades+'!$AE$10,"C+",IF(L365&lt;'PlayerGrades+'!$AE$9,"B-",IF(L365&lt;'PlayerGrades+'!$AE$8,"B",IF(L365&lt;'PlayerGrades+'!$AE$7,"B+",IF(L365&lt;'PlayerGrades+'!$AE$6,"A-",IF(L365&lt;'PlayerGrades+'!$AE$5,"A",IF(L365&lt;'PlayerGrades+'!$AE$4,"A+",IF(L365&lt;'PlayerGrades+'!$AE$3,"S-",IF(L365&lt;'PlayerGrades+'!$AE$2,"S","S+"))))))))))))))))))))</f>
        <v>C</v>
      </c>
      <c r="N365" s="937">
        <f t="shared" si="6"/>
        <v>0.08988764045</v>
      </c>
      <c r="O365" s="937" t="str">
        <f>IF(N365&lt;'PlayerGrades+'!$AF$21,"F-",IF(N365&lt;'PlayerGrades+'!$AF$20,"F",IF(N365&lt;'PlayerGrades+'!$AF$19,"F+",IF(N365&lt;'PlayerGrades+'!$AF$18,"E-",IF(N365&lt;'PlayerGrades+'!$AF$17,"E",IF(N365&lt;'PlayerGrades+'!$AF$16,"E+",IF(N365&lt;'PlayerGrades+'!$AF$15,"D-",IF(N365&lt;'PlayerGrades+'!$AF$14,"D",IF(N365&lt;'PlayerGrades+'!$AF$13,"D+",IF(N365&lt;'PlayerGrades+'!$AF$12,"C-",IF(N365&lt;'PlayerGrades+'!$AF$11,"C",IF(N365&lt;'PlayerGrades+'!$AF$10,"C+",IF(N365&lt;'PlayerGrades+'!$AF$9,"B-",IF(N365&lt;'PlayerGrades+'!$AF$8,"B",IF(N365&lt;'PlayerGrades+'!$AF$7,"B+",IF(N365&lt;'PlayerGrades+'!$AF$6,"A-",IF(N365&lt;'PlayerGrades+'!$AF$5,"A",IF(N365&lt;'PlayerGrades+'!$AF$4,"A+",IF(N365&lt;'PlayerGrades+'!$AF$3,"S-",IF(N365&lt;'PlayerGrades+'!$AF$2,"S","S+"))))))))))))))))))))</f>
        <v>B+</v>
      </c>
      <c r="P365" s="937">
        <f t="shared" si="7"/>
        <v>0.04494382022</v>
      </c>
      <c r="Q365" s="937" t="str">
        <f>IF(P365&lt;'PlayerGrades+'!$AG$21,"F-",IF(P365&lt;'PlayerGrades+'!$AG$20,"F",IF(P365&lt;'PlayerGrades+'!$AG$19,"F+",IF(P365&lt;'PlayerGrades+'!$AG$18,"E-",IF(P365&lt;'PlayerGrades+'!$AG$17,"E",IF(P365&lt;'PlayerGrades+'!$AG$16,"E+",IF(P365&lt;'PlayerGrades+'!$AG$15,"D-",IF(P365&lt;'PlayerGrades+'!$AG$14,"D",IF(P365&lt;'PlayerGrades+'!$AG$13,"D+",IF(P365&lt;'PlayerGrades+'!$AG$12,"C-",IF(P365&lt;'PlayerGrades+'!$AG$11,"C",IF(P365&lt;'PlayerGrades+'!$AG$10,"C+",IF(P365&lt;'PlayerGrades+'!$AG$9,"B-",IF(P365&lt;'PlayerGrades+'!$AG$8,"B",IF(P365&lt;'PlayerGrades+'!$AG$7,"B+",IF(P365&lt;'PlayerGrades+'!$AG$6,"A-",IF(P365&lt;'PlayerGrades+'!$AG$5,"A",IF(P365&lt;'PlayerGrades+'!$AG$4,"A+",IF(P365&lt;'PlayerGrades+'!$AG$3,"S-",IF(P365&lt;'PlayerGrades+'!$AG$2,"S","S+"))))))))))))))))))))</f>
        <v>A</v>
      </c>
      <c r="R365" s="937">
        <f t="shared" si="8"/>
        <v>0.404494382</v>
      </c>
      <c r="S365" s="937" t="str">
        <f>IF(R365&lt;'PlayerGrades+'!$AH$21,"F-",IF(R365&lt;'PlayerGrades+'!$AH$20,"F",IF(R365&lt;'PlayerGrades+'!$AH$19,"F+",IF(R365&lt;'PlayerGrades+'!$AH$18,"E-",IF(R365&lt;'PlayerGrades+'!$AH$17,"E",IF(R365&lt;'PlayerGrades+'!$AH$16,"E+",IF(R365&lt;'PlayerGrades+'!$AH$15,"D-",IF(R365&lt;'PlayerGrades+'!$AH$14,"D",IF(R365&lt;'PlayerGrades+'!$AH$13,"D+",IF(R365&lt;'PlayerGrades+'!$AH$12,"C-",IF(R365&lt;'PlayerGrades+'!$AH$11,"C",IF(R365&lt;'PlayerGrades+'!$AH$10,"C+",IF(R365&lt;'PlayerGrades+'!$AH$9,"B-",IF(R365&lt;'PlayerGrades+'!$AH$8,"B",IF(R365&lt;'PlayerGrades+'!$AH$7,"B+",IF(R365&lt;'PlayerGrades+'!$AH$6,"A-",IF(R365&lt;'PlayerGrades+'!$AH$5,"A",IF(R365&lt;'PlayerGrades+'!$AH$4,"A+",IF(R365&lt;'PlayerGrades+'!$AH$3,"S-",IF(R365&lt;'PlayerGrades+'!$AH$2,"S","S+"))))))))))))))))))))</f>
        <v>F+</v>
      </c>
      <c r="T365" s="937">
        <f t="shared" si="9"/>
        <v>0.5393258427</v>
      </c>
      <c r="U365" s="937" t="str">
        <f>IF(T365&lt;'PlayerGrades+'!$AI$21,"F-",IF(T365&lt;'PlayerGrades+'!$AI$20,"F",IF(T365&lt;'PlayerGrades+'!$AI$19,"F+",IF(T365&lt;'PlayerGrades+'!$AI$18,"E-",IF(T365&lt;'PlayerGrades+'!$AI$17,"E",IF(T365&lt;'PlayerGrades+'!$AI$16,"E+",IF(T365&lt;'PlayerGrades+'!$AI$15,"D-",IF(T365&lt;'PlayerGrades+'!$AI$14,"D",IF(T365&lt;'PlayerGrades+'!$AI$13,"D+",IF(T365&lt;'PlayerGrades+'!$AI$12,"C-",IF(T365&lt;'PlayerGrades+'!$AI$11,"C",IF(T365&lt;'PlayerGrades+'!$AI$10,"C+",IF(T365&lt;'PlayerGrades+'!$AI$9,"B-",IF(T365&lt;'PlayerGrades+'!$AI$8,"B",IF(T365&lt;'PlayerGrades+'!$AI$7,"B+",IF(T365&lt;'PlayerGrades+'!$AI$6,"A-",IF(T365&lt;'PlayerGrades+'!$AI$5,"A",IF(T365&lt;'PlayerGrades+'!$AI$4,"A+",IF(T365&lt;'PlayerGrades+'!$AI$3,"S-",IF(T365&lt;'PlayerGrades+'!$AI$2,"S","S+"))))))))))))))))))))</f>
        <v>F-</v>
      </c>
      <c r="V365" s="941">
        <v>1.0</v>
      </c>
      <c r="W365" s="941">
        <v>1.0</v>
      </c>
      <c r="X365" s="941">
        <v>0.0</v>
      </c>
      <c r="Y365" s="941">
        <v>0.0</v>
      </c>
      <c r="Z365" s="941">
        <v>0.0</v>
      </c>
      <c r="AA365" s="941">
        <v>62.0</v>
      </c>
      <c r="AB365" s="941">
        <v>82.0</v>
      </c>
      <c r="AC365" s="941">
        <v>-20.0</v>
      </c>
      <c r="AD365" s="941">
        <v>4.0</v>
      </c>
      <c r="AE365" s="941">
        <v>5.0</v>
      </c>
      <c r="AF365" s="941">
        <v>1.0</v>
      </c>
      <c r="AG365" s="941">
        <v>977.0</v>
      </c>
      <c r="AH365" s="941">
        <v>1335.0</v>
      </c>
      <c r="AI365" s="941">
        <v>11.0</v>
      </c>
      <c r="AJ365" s="941">
        <v>0.0</v>
      </c>
      <c r="AK365" s="941">
        <v>0.0</v>
      </c>
      <c r="AL365" s="941">
        <v>1.0</v>
      </c>
      <c r="AM365" s="941">
        <v>0.0</v>
      </c>
      <c r="AN365" s="941">
        <v>0.0</v>
      </c>
      <c r="AO365" s="941">
        <v>0.0</v>
      </c>
      <c r="AP365" s="941">
        <v>1.0</v>
      </c>
      <c r="AQ365" s="941">
        <v>0.0</v>
      </c>
      <c r="AR365" s="941">
        <v>9.0</v>
      </c>
      <c r="AS365" s="941">
        <v>2.0</v>
      </c>
      <c r="AT365" s="941">
        <v>1.0</v>
      </c>
      <c r="AU365" s="941">
        <v>0.0</v>
      </c>
      <c r="AV365" s="941">
        <v>0.0</v>
      </c>
      <c r="AW365" s="941">
        <v>0.0</v>
      </c>
      <c r="AX365" s="941">
        <v>0.0</v>
      </c>
      <c r="AY365" s="941">
        <v>0.0</v>
      </c>
      <c r="AZ365" s="941">
        <v>0.0</v>
      </c>
      <c r="BA365" s="941">
        <v>0.0</v>
      </c>
      <c r="BB365" s="941">
        <v>0.0</v>
      </c>
      <c r="BC365" s="941">
        <v>0.0</v>
      </c>
      <c r="BD365" s="941">
        <v>5.0</v>
      </c>
      <c r="BE365" s="941">
        <v>12.0</v>
      </c>
      <c r="BF365" s="941">
        <v>0.0</v>
      </c>
      <c r="BG365" s="941">
        <v>1.0</v>
      </c>
    </row>
    <row r="366">
      <c r="A366" s="1" t="s">
        <v>420</v>
      </c>
      <c r="B366" s="16" t="str">
        <f>IF(C366&lt;'PlayerGrades+'!$Y$44,"F-",IF(C366&lt;'PlayerGrades+'!$Y$43,"F",IF(C366&lt;'PlayerGrades+'!$Y$42,"F+",IF(C366&lt;'PlayerGrades+'!$Y$41,"E-",IF(C366&lt;'PlayerGrades+'!$Y$40,"E",IF(C366&lt;'PlayerGrades+'!$Y$39,"E+",IF(C366&lt;'PlayerGrades+'!$Y$38,"D-",IF(C366&lt;'PlayerGrades+'!$Y$37,"D",IF(C366&lt;'PlayerGrades+'!$Y$36,"D+",IF(C366&lt;'PlayerGrades+'!$Y$35,"C-",IF(C366&lt;'PlayerGrades+'!$Y$34,"C",IF(C366&lt;'PlayerGrades+'!$Y$33,"C+",IF(C366&lt;'PlayerGrades+'!$Y$32,"B-",IF(C366&lt;'PlayerGrades+'!$Y$31,"B",IF(C366&lt;'PlayerGrades+'!$Y$30,"B+",IF(C366&lt;'PlayerGrades+'!$Y$29,"A-",IF(C366&lt;'PlayerGrades+'!$Y$28,"A",IF(C366&lt;'PlayerGrades+'!$Y$27,"A+",IF(C366&lt;'PlayerGrades+'!$Y$26,"S-",IF(C366&lt;'PlayerGrades+'!$Y$25,"S","S+"))))))))))))))))))))</f>
        <v>B</v>
      </c>
      <c r="C366" s="936">
        <f>('PlayerGrades+'!$Y$47*(VLOOKUP(E366, 'PlayerGrades+'!$X$3:$Y$23, 2, FALSE)))+('PlayerGrades+'!$Y$48*(VLOOKUP(G366, 'PlayerGrades+'!$X$3:$Y$23, 2, FALSE)))+('PlayerGrades+'!$Y$49*(VLOOKUP(I366, 'PlayerGrades+'!$X$3:$Y$23, 2, FALSE)))+('PlayerGrades+'!$Y$50*(VLOOKUP(K366, 'PlayerGrades+'!$X$3:$Y$23, 2, FALSE)))+('PlayerGrades+'!$Y$51*(VLOOKUP(M366, 'PlayerGrades+'!$X$3:$Y$23, 2, FALSE)))+('PlayerGrades+'!$Y$52*(VLOOKUP(O366, 'PlayerGrades+'!$X$3:$Y$23, 2, FALSE)))+('PlayerGrades+'!$Y$53*(VLOOKUP(Q366, 'PlayerGrades+'!$X$3:$Y$23, 2, FALSE)))+('PlayerGrades+'!$Y$54*(VLOOKUP(S366, 'PlayerGrades+'!$X$3:$Y$23, 2, FALSE)))+('PlayerGrades+'!$Y$55*(VLOOKUP(U366, 'PlayerGrades+'!$X$3:$Y$23, 2, FALSE)))</f>
        <v>23.2</v>
      </c>
      <c r="D366" s="937">
        <f t="shared" si="1"/>
        <v>0.5842696629</v>
      </c>
      <c r="E366" s="937" t="str">
        <f>IF(D366&lt;'PlayerGrades+'!$AA$21,"F-",IF(D366&lt;'PlayerGrades+'!$AA$20,"F",IF(D366&lt;'PlayerGrades+'!$AA$19,"F+",IF(D366&lt;'PlayerGrades+'!$AA$18,"E-",IF(D366&lt;'PlayerGrades+'!$AA$17,"E",IF(D366&lt;'PlayerGrades+'!$AA$16,"E+",IF(D366&lt;'PlayerGrades+'!$AA$15,"D-",IF(D366&lt;'PlayerGrades+'!$AA$14,"D",IF(D366&lt;'PlayerGrades+'!$AA$13,"D+",IF(D366&lt;'PlayerGrades+'!$AA$12,"C-",IF(D366&lt;'PlayerGrades+'!$AA$11,"C",IF(D366&lt;'PlayerGrades+'!$AA$10,"C+",IF(D366&lt;'PlayerGrades+'!$AA$9,"B-",IF(D366&lt;'PlayerGrades+'!$AA$8,"B",IF(D366&lt;'PlayerGrades+'!$AA$7,"B+",IF(D366&lt;'PlayerGrades+'!$AA$6,"A-",IF(D366&lt;'PlayerGrades+'!$AA$5,"A",IF(D366&lt;'PlayerGrades+'!$AA$4,"A+",IF(D366&lt;'PlayerGrades+'!$AA$3,"S-",IF(D366&lt;'PlayerGrades+'!$AA$2,"S","S+"))))))))))))))))))))</f>
        <v>S-</v>
      </c>
      <c r="F366" s="937">
        <f t="shared" si="2"/>
        <v>0.7191011236</v>
      </c>
      <c r="G366" s="937" t="str">
        <f>IF(F366&lt;'PlayerGrades+'!$AB$21,"F-",IF(F366&lt;'PlayerGrades+'!$AB$20,"F",IF(F366&lt;'PlayerGrades+'!$AB$19,"F+",IF(F366&lt;'PlayerGrades+'!$AB$18,"E-",IF(F366&lt;'PlayerGrades+'!$AB$17,"E",IF(F366&lt;'PlayerGrades+'!$AB$16,"E+",IF(F366&lt;'PlayerGrades+'!$AB$15,"D-",IF(F366&lt;'PlayerGrades+'!$AB$14,"D",IF(F366&lt;'PlayerGrades+'!$AB$13,"D+",IF(F366&lt;'PlayerGrades+'!$AB$12,"C-",IF(F366&lt;'PlayerGrades+'!$AB$11,"C",IF(F366&lt;'PlayerGrades+'!$AB$10,"C+",IF(F366&lt;'PlayerGrades+'!$AB$9,"B-",IF(F366&lt;'PlayerGrades+'!$AB$8,"B",IF(F366&lt;'PlayerGrades+'!$AB$7,"B+",IF(F366&lt;'PlayerGrades+'!$AB$6,"A-",IF(F366&lt;'PlayerGrades+'!$AB$5,"A",IF(F366&lt;'PlayerGrades+'!$AB$4,"A+",IF(F366&lt;'PlayerGrades+'!$AB$3,"S-",IF(F366&lt;'PlayerGrades+'!$AB$2,"S","S+"))))))))))))))))))))</f>
        <v>S-</v>
      </c>
      <c r="H366" s="937">
        <f t="shared" si="3"/>
        <v>0</v>
      </c>
      <c r="I366" s="937" t="str">
        <f>IF(H366&lt;'PlayerGrades+'!$AC$21,"F-",IF(H366&lt;'PlayerGrades+'!$AC$20,"F",IF(H366&lt;'PlayerGrades+'!$AC$19,"F+",IF(H366&lt;'PlayerGrades+'!$AC$18,"E-",IF(H366&lt;'PlayerGrades+'!$AC$17,"E",IF(H366&lt;'PlayerGrades+'!$AC$16,"E+",IF(H366&lt;'PlayerGrades+'!$AC$15,"D-",IF(H366&lt;'PlayerGrades+'!$AC$14,"D",IF(H366&lt;'PlayerGrades+'!$AC$13,"D+",IF(H366&lt;'PlayerGrades+'!$AC$12,"C-",IF(H366&lt;'PlayerGrades+'!$AC$11,"C",IF(H366&lt;'PlayerGrades+'!$AC$10,"C+",IF(H366&lt;'PlayerGrades+'!$AC$9,"B-",IF(H366&lt;'PlayerGrades+'!$AC$8,"B",IF(H366&lt;'PlayerGrades+'!$AC$7,"B+",IF(H366&lt;'PlayerGrades+'!$AC$6,"A-",IF(H366&lt;'PlayerGrades+'!$AC$5,"A",IF(H366&lt;'PlayerGrades+'!$AC$4,"A+",IF(H366&lt;'PlayerGrades+'!$AC$3,"S-",IF(H366&lt;'PlayerGrades+'!$AC$2,"S","S+"))))))))))))))))))))</f>
        <v>F-</v>
      </c>
      <c r="J366" s="937">
        <f t="shared" si="4"/>
        <v>0.04494382022</v>
      </c>
      <c r="K366" s="937" t="str">
        <f>IF(J366&lt;'PlayerGrades+'!$AD$21,"F-",IF(J366&lt;'PlayerGrades+'!$AD$20,"F",IF(J366&lt;'PlayerGrades+'!$AD$19,"F+",IF(J366&lt;'PlayerGrades+'!$AD$18,"E-",IF(J366&lt;'PlayerGrades+'!$AD$17,"E",IF(J366&lt;'PlayerGrades+'!$AD$16,"E+",IF(J366&lt;'PlayerGrades+'!$AD$15,"D-",IF(J366&lt;'PlayerGrades+'!$AD$14,"D",IF(J366&lt;'PlayerGrades+'!$AD$13,"D+",IF(J366&lt;'PlayerGrades+'!$AD$12,"C-",IF(J366&lt;'PlayerGrades+'!$AD$11,"C",IF(J366&lt;'PlayerGrades+'!$AD$10,"C+",IF(J366&lt;'PlayerGrades+'!$AD$9,"B-",IF(J366&lt;'PlayerGrades+'!$AD$8,"B",IF(J366&lt;'PlayerGrades+'!$AD$7,"B+",IF(J366&lt;'PlayerGrades+'!$AD$6,"A-",IF(J366&lt;'PlayerGrades+'!$AD$5,"A",IF(J366&lt;'PlayerGrades+'!$AD$4,"A+",IF(J366&lt;'PlayerGrades+'!$AD$3,"S-",IF(J366&lt;'PlayerGrades+'!$AD$2,"S","S+"))))))))))))))))))))</f>
        <v>B-</v>
      </c>
      <c r="L366" s="677">
        <f t="shared" si="5"/>
        <v>0.2247191011</v>
      </c>
      <c r="M366" s="938" t="str">
        <f>IF(L366&lt;'PlayerGrades+'!$AE$21,"F-",IF(L366&lt;'PlayerGrades+'!$AE$20,"F",IF(L366&lt;'PlayerGrades+'!$AE$19,"F+",IF(L366&lt;'PlayerGrades+'!$AE$18,"E-",IF(L366&lt;'PlayerGrades+'!$AE$17,"E",IF(L366&lt;'PlayerGrades+'!$AE$16,"E+",IF(L366&lt;'PlayerGrades+'!$AE$15,"D-",IF(L366&lt;'PlayerGrades+'!$AE$14,"D",IF(L366&lt;'PlayerGrades+'!$AE$13,"D+",IF(L366&lt;'PlayerGrades+'!$AE$12,"C-",IF(L366&lt;'PlayerGrades+'!$AE$11,"C",IF(L366&lt;'PlayerGrades+'!$AE$10,"C+",IF(L366&lt;'PlayerGrades+'!$AE$9,"B-",IF(L366&lt;'PlayerGrades+'!$AE$8,"B",IF(L366&lt;'PlayerGrades+'!$AE$7,"B+",IF(L366&lt;'PlayerGrades+'!$AE$6,"A-",IF(L366&lt;'PlayerGrades+'!$AE$5,"A",IF(L366&lt;'PlayerGrades+'!$AE$4,"A+",IF(L366&lt;'PlayerGrades+'!$AE$3,"S-",IF(L366&lt;'PlayerGrades+'!$AE$2,"S","S+"))))))))))))))))))))</f>
        <v>F</v>
      </c>
      <c r="N366" s="937">
        <f t="shared" si="6"/>
        <v>0.08988764045</v>
      </c>
      <c r="O366" s="937" t="str">
        <f>IF(N366&lt;'PlayerGrades+'!$AF$21,"F-",IF(N366&lt;'PlayerGrades+'!$AF$20,"F",IF(N366&lt;'PlayerGrades+'!$AF$19,"F+",IF(N366&lt;'PlayerGrades+'!$AF$18,"E-",IF(N366&lt;'PlayerGrades+'!$AF$17,"E",IF(N366&lt;'PlayerGrades+'!$AF$16,"E+",IF(N366&lt;'PlayerGrades+'!$AF$15,"D-",IF(N366&lt;'PlayerGrades+'!$AF$14,"D",IF(N366&lt;'PlayerGrades+'!$AF$13,"D+",IF(N366&lt;'PlayerGrades+'!$AF$12,"C-",IF(N366&lt;'PlayerGrades+'!$AF$11,"C",IF(N366&lt;'PlayerGrades+'!$AF$10,"C+",IF(N366&lt;'PlayerGrades+'!$AF$9,"B-",IF(N366&lt;'PlayerGrades+'!$AF$8,"B",IF(N366&lt;'PlayerGrades+'!$AF$7,"B+",IF(N366&lt;'PlayerGrades+'!$AF$6,"A-",IF(N366&lt;'PlayerGrades+'!$AF$5,"A",IF(N366&lt;'PlayerGrades+'!$AF$4,"A+",IF(N366&lt;'PlayerGrades+'!$AF$3,"S-",IF(N366&lt;'PlayerGrades+'!$AF$2,"S","S+"))))))))))))))))))))</f>
        <v>B+</v>
      </c>
      <c r="P366" s="937">
        <f t="shared" si="7"/>
        <v>0.04494382022</v>
      </c>
      <c r="Q366" s="937" t="str">
        <f>IF(P366&lt;'PlayerGrades+'!$AG$21,"F-",IF(P366&lt;'PlayerGrades+'!$AG$20,"F",IF(P366&lt;'PlayerGrades+'!$AG$19,"F+",IF(P366&lt;'PlayerGrades+'!$AG$18,"E-",IF(P366&lt;'PlayerGrades+'!$AG$17,"E",IF(P366&lt;'PlayerGrades+'!$AG$16,"E+",IF(P366&lt;'PlayerGrades+'!$AG$15,"D-",IF(P366&lt;'PlayerGrades+'!$AG$14,"D",IF(P366&lt;'PlayerGrades+'!$AG$13,"D+",IF(P366&lt;'PlayerGrades+'!$AG$12,"C-",IF(P366&lt;'PlayerGrades+'!$AG$11,"C",IF(P366&lt;'PlayerGrades+'!$AG$10,"C+",IF(P366&lt;'PlayerGrades+'!$AG$9,"B-",IF(P366&lt;'PlayerGrades+'!$AG$8,"B",IF(P366&lt;'PlayerGrades+'!$AG$7,"B+",IF(P366&lt;'PlayerGrades+'!$AG$6,"A-",IF(P366&lt;'PlayerGrades+'!$AG$5,"A",IF(P366&lt;'PlayerGrades+'!$AG$4,"A+",IF(P366&lt;'PlayerGrades+'!$AG$3,"S-",IF(P366&lt;'PlayerGrades+'!$AG$2,"S","S+"))))))))))))))))))))</f>
        <v>A</v>
      </c>
      <c r="R366" s="937">
        <f t="shared" si="8"/>
        <v>0.5842696629</v>
      </c>
      <c r="S366" s="937" t="str">
        <f>IF(R366&lt;'PlayerGrades+'!$AH$21,"F-",IF(R366&lt;'PlayerGrades+'!$AH$20,"F",IF(R366&lt;'PlayerGrades+'!$AH$19,"F+",IF(R366&lt;'PlayerGrades+'!$AH$18,"E-",IF(R366&lt;'PlayerGrades+'!$AH$17,"E",IF(R366&lt;'PlayerGrades+'!$AH$16,"E+",IF(R366&lt;'PlayerGrades+'!$AH$15,"D-",IF(R366&lt;'PlayerGrades+'!$AH$14,"D",IF(R366&lt;'PlayerGrades+'!$AH$13,"D+",IF(R366&lt;'PlayerGrades+'!$AH$12,"C-",IF(R366&lt;'PlayerGrades+'!$AH$11,"C",IF(R366&lt;'PlayerGrades+'!$AH$10,"C+",IF(R366&lt;'PlayerGrades+'!$AH$9,"B-",IF(R366&lt;'PlayerGrades+'!$AH$8,"B",IF(R366&lt;'PlayerGrades+'!$AH$7,"B+",IF(R366&lt;'PlayerGrades+'!$AH$6,"A-",IF(R366&lt;'PlayerGrades+'!$AH$5,"A",IF(R366&lt;'PlayerGrades+'!$AH$4,"A+",IF(R366&lt;'PlayerGrades+'!$AH$3,"S-",IF(R366&lt;'PlayerGrades+'!$AH$2,"S","S+"))))))))))))))))))))</f>
        <v>B+</v>
      </c>
      <c r="T366" s="937">
        <f t="shared" si="9"/>
        <v>1.269662921</v>
      </c>
      <c r="U366" s="937" t="str">
        <f>IF(T366&lt;'PlayerGrades+'!$AI$21,"F-",IF(T366&lt;'PlayerGrades+'!$AI$20,"F",IF(T366&lt;'PlayerGrades+'!$AI$19,"F+",IF(T366&lt;'PlayerGrades+'!$AI$18,"E-",IF(T366&lt;'PlayerGrades+'!$AI$17,"E",IF(T366&lt;'PlayerGrades+'!$AI$16,"E+",IF(T366&lt;'PlayerGrades+'!$AI$15,"D-",IF(T366&lt;'PlayerGrades+'!$AI$14,"D",IF(T366&lt;'PlayerGrades+'!$AI$13,"D+",IF(T366&lt;'PlayerGrades+'!$AI$12,"C-",IF(T366&lt;'PlayerGrades+'!$AI$11,"C",IF(T366&lt;'PlayerGrades+'!$AI$10,"C+",IF(T366&lt;'PlayerGrades+'!$AI$9,"B-",IF(T366&lt;'PlayerGrades+'!$AI$8,"B",IF(T366&lt;'PlayerGrades+'!$AI$7,"B+",IF(T366&lt;'PlayerGrades+'!$AI$6,"A-",IF(T366&lt;'PlayerGrades+'!$AI$5,"A",IF(T366&lt;'PlayerGrades+'!$AI$4,"A+",IF(T366&lt;'PlayerGrades+'!$AI$3,"S-",IF(T366&lt;'PlayerGrades+'!$AI$2,"S","S+"))))))))))))))))))))</f>
        <v>C</v>
      </c>
      <c r="V366" s="941">
        <v>1.0</v>
      </c>
      <c r="W366" s="941">
        <v>0.0</v>
      </c>
      <c r="X366" s="941">
        <v>1.0</v>
      </c>
      <c r="Y366" s="941">
        <v>3.0</v>
      </c>
      <c r="Z366" s="941">
        <v>10.0</v>
      </c>
      <c r="AA366" s="941">
        <v>45.0</v>
      </c>
      <c r="AB366" s="941">
        <v>29.0</v>
      </c>
      <c r="AC366" s="941">
        <v>16.0</v>
      </c>
      <c r="AD366" s="941">
        <v>2.0</v>
      </c>
      <c r="AE366" s="941">
        <v>8.0</v>
      </c>
      <c r="AF366" s="941">
        <v>4.0</v>
      </c>
      <c r="AG366" s="941">
        <v>1141.0</v>
      </c>
      <c r="AH366" s="941">
        <v>1335.0</v>
      </c>
      <c r="AI366" s="941">
        <v>39.0</v>
      </c>
      <c r="AJ366" s="941">
        <v>652.0</v>
      </c>
      <c r="AK366" s="941">
        <v>0.0</v>
      </c>
      <c r="AL366" s="941">
        <v>1.0</v>
      </c>
      <c r="AM366" s="941">
        <v>0.0</v>
      </c>
      <c r="AN366" s="941">
        <v>0.0</v>
      </c>
      <c r="AO366" s="941">
        <v>0.0</v>
      </c>
      <c r="AP366" s="941">
        <v>1.0</v>
      </c>
      <c r="AQ366" s="941">
        <v>0.0</v>
      </c>
      <c r="AR366" s="941">
        <v>5.0</v>
      </c>
      <c r="AS366" s="941">
        <v>2.0</v>
      </c>
      <c r="AT366" s="941">
        <v>1.0</v>
      </c>
      <c r="AU366" s="941">
        <v>0.0</v>
      </c>
      <c r="AV366" s="941">
        <v>0.0</v>
      </c>
      <c r="AW366" s="941">
        <v>0.0</v>
      </c>
      <c r="AX366" s="941">
        <v>0.0</v>
      </c>
      <c r="AY366" s="941">
        <v>0.0</v>
      </c>
      <c r="AZ366" s="941">
        <v>0.0</v>
      </c>
      <c r="BA366" s="941">
        <v>0.0</v>
      </c>
      <c r="BB366" s="941">
        <v>0.0</v>
      </c>
      <c r="BC366" s="941">
        <v>0.0</v>
      </c>
      <c r="BD366" s="941">
        <v>11.0</v>
      </c>
      <c r="BE366" s="941">
        <v>6.0</v>
      </c>
      <c r="BF366" s="941">
        <v>1.0</v>
      </c>
      <c r="BG366" s="941">
        <v>0.0</v>
      </c>
    </row>
    <row r="367">
      <c r="A367" s="1" t="s">
        <v>418</v>
      </c>
      <c r="B367" s="16" t="str">
        <f>IF(C367&lt;'PlayerGrades+'!$Y$44,"F-",IF(C367&lt;'PlayerGrades+'!$Y$43,"F",IF(C367&lt;'PlayerGrades+'!$Y$42,"F+",IF(C367&lt;'PlayerGrades+'!$Y$41,"E-",IF(C367&lt;'PlayerGrades+'!$Y$40,"E",IF(C367&lt;'PlayerGrades+'!$Y$39,"E+",IF(C367&lt;'PlayerGrades+'!$Y$38,"D-",IF(C367&lt;'PlayerGrades+'!$Y$37,"D",IF(C367&lt;'PlayerGrades+'!$Y$36,"D+",IF(C367&lt;'PlayerGrades+'!$Y$35,"C-",IF(C367&lt;'PlayerGrades+'!$Y$34,"C",IF(C367&lt;'PlayerGrades+'!$Y$33,"C+",IF(C367&lt;'PlayerGrades+'!$Y$32,"B-",IF(C367&lt;'PlayerGrades+'!$Y$31,"B",IF(C367&lt;'PlayerGrades+'!$Y$30,"B+",IF(C367&lt;'PlayerGrades+'!$Y$29,"A-",IF(C367&lt;'PlayerGrades+'!$Y$28,"A",IF(C367&lt;'PlayerGrades+'!$Y$27,"A+",IF(C367&lt;'PlayerGrades+'!$Y$26,"S-",IF(C367&lt;'PlayerGrades+'!$Y$25,"S","S+"))))))))))))))))))))</f>
        <v>S-</v>
      </c>
      <c r="C367" s="936">
        <f>('PlayerGrades+'!$Y$47*(VLOOKUP(E367, 'PlayerGrades+'!$X$3:$Y$23, 2, FALSE)))+('PlayerGrades+'!$Y$48*(VLOOKUP(G367, 'PlayerGrades+'!$X$3:$Y$23, 2, FALSE)))+('PlayerGrades+'!$Y$49*(VLOOKUP(I367, 'PlayerGrades+'!$X$3:$Y$23, 2, FALSE)))+('PlayerGrades+'!$Y$50*(VLOOKUP(K367, 'PlayerGrades+'!$X$3:$Y$23, 2, FALSE)))+('PlayerGrades+'!$Y$51*(VLOOKUP(M367, 'PlayerGrades+'!$X$3:$Y$23, 2, FALSE)))+('PlayerGrades+'!$Y$52*(VLOOKUP(O367, 'PlayerGrades+'!$X$3:$Y$23, 2, FALSE)))+('PlayerGrades+'!$Y$53*(VLOOKUP(Q367, 'PlayerGrades+'!$X$3:$Y$23, 2, FALSE)))+('PlayerGrades+'!$Y$54*(VLOOKUP(S367, 'PlayerGrades+'!$X$3:$Y$23, 2, FALSE)))+('PlayerGrades+'!$Y$55*(VLOOKUP(U367, 'PlayerGrades+'!$X$3:$Y$23, 2, FALSE)))</f>
        <v>30</v>
      </c>
      <c r="D367" s="937">
        <f t="shared" si="1"/>
        <v>0</v>
      </c>
      <c r="E367" s="937" t="str">
        <f>IF(D367&lt;'PlayerGrades+'!$AA$21,"F-",IF(D367&lt;'PlayerGrades+'!$AA$20,"F",IF(D367&lt;'PlayerGrades+'!$AA$19,"F+",IF(D367&lt;'PlayerGrades+'!$AA$18,"E-",IF(D367&lt;'PlayerGrades+'!$AA$17,"E",IF(D367&lt;'PlayerGrades+'!$AA$16,"E+",IF(D367&lt;'PlayerGrades+'!$AA$15,"D-",IF(D367&lt;'PlayerGrades+'!$AA$14,"D",IF(D367&lt;'PlayerGrades+'!$AA$13,"D+",IF(D367&lt;'PlayerGrades+'!$AA$12,"C-",IF(D367&lt;'PlayerGrades+'!$AA$11,"C",IF(D367&lt;'PlayerGrades+'!$AA$10,"C+",IF(D367&lt;'PlayerGrades+'!$AA$9,"B-",IF(D367&lt;'PlayerGrades+'!$AA$8,"B",IF(D367&lt;'PlayerGrades+'!$AA$7,"B+",IF(D367&lt;'PlayerGrades+'!$AA$6,"A-",IF(D367&lt;'PlayerGrades+'!$AA$5,"A",IF(D367&lt;'PlayerGrades+'!$AA$4,"A+",IF(D367&lt;'PlayerGrades+'!$AA$3,"S-",IF(D367&lt;'PlayerGrades+'!$AA$2,"S","S+"))))))))))))))))))))</f>
        <v>F-</v>
      </c>
      <c r="F367" s="937">
        <f t="shared" si="2"/>
        <v>0.5842696629</v>
      </c>
      <c r="G367" s="937" t="str">
        <f>IF(F367&lt;'PlayerGrades+'!$AB$21,"F-",IF(F367&lt;'PlayerGrades+'!$AB$20,"F",IF(F367&lt;'PlayerGrades+'!$AB$19,"F+",IF(F367&lt;'PlayerGrades+'!$AB$18,"E-",IF(F367&lt;'PlayerGrades+'!$AB$17,"E",IF(F367&lt;'PlayerGrades+'!$AB$16,"E+",IF(F367&lt;'PlayerGrades+'!$AB$15,"D-",IF(F367&lt;'PlayerGrades+'!$AB$14,"D",IF(F367&lt;'PlayerGrades+'!$AB$13,"D+",IF(F367&lt;'PlayerGrades+'!$AB$12,"C-",IF(F367&lt;'PlayerGrades+'!$AB$11,"C",IF(F367&lt;'PlayerGrades+'!$AB$10,"C+",IF(F367&lt;'PlayerGrades+'!$AB$9,"B-",IF(F367&lt;'PlayerGrades+'!$AB$8,"B",IF(F367&lt;'PlayerGrades+'!$AB$7,"B+",IF(F367&lt;'PlayerGrades+'!$AB$6,"A-",IF(F367&lt;'PlayerGrades+'!$AB$5,"A",IF(F367&lt;'PlayerGrades+'!$AB$4,"A+",IF(F367&lt;'PlayerGrades+'!$AB$3,"S-",IF(F367&lt;'PlayerGrades+'!$AB$2,"S","S+"))))))))))))))))))))</f>
        <v>S-</v>
      </c>
      <c r="H367" s="937">
        <f t="shared" si="3"/>
        <v>0.1348314607</v>
      </c>
      <c r="I367" s="937" t="str">
        <f>IF(H367&lt;'PlayerGrades+'!$AC$21,"F-",IF(H367&lt;'PlayerGrades+'!$AC$20,"F",IF(H367&lt;'PlayerGrades+'!$AC$19,"F+",IF(H367&lt;'PlayerGrades+'!$AC$18,"E-",IF(H367&lt;'PlayerGrades+'!$AC$17,"E",IF(H367&lt;'PlayerGrades+'!$AC$16,"E+",IF(H367&lt;'PlayerGrades+'!$AC$15,"D-",IF(H367&lt;'PlayerGrades+'!$AC$14,"D",IF(H367&lt;'PlayerGrades+'!$AC$13,"D+",IF(H367&lt;'PlayerGrades+'!$AC$12,"C-",IF(H367&lt;'PlayerGrades+'!$AC$11,"C",IF(H367&lt;'PlayerGrades+'!$AC$10,"C+",IF(H367&lt;'PlayerGrades+'!$AC$9,"B-",IF(H367&lt;'PlayerGrades+'!$AC$8,"B",IF(H367&lt;'PlayerGrades+'!$AC$7,"B+",IF(H367&lt;'PlayerGrades+'!$AC$6,"A-",IF(H367&lt;'PlayerGrades+'!$AC$5,"A",IF(H367&lt;'PlayerGrades+'!$AC$4,"A+",IF(H367&lt;'PlayerGrades+'!$AC$3,"S-",IF(H367&lt;'PlayerGrades+'!$AC$2,"S","S+"))))))))))))))))))))</f>
        <v>B+</v>
      </c>
      <c r="J367" s="937">
        <f t="shared" si="4"/>
        <v>0.04494382022</v>
      </c>
      <c r="K367" s="937" t="str">
        <f>IF(J367&lt;'PlayerGrades+'!$AD$21,"F-",IF(J367&lt;'PlayerGrades+'!$AD$20,"F",IF(J367&lt;'PlayerGrades+'!$AD$19,"F+",IF(J367&lt;'PlayerGrades+'!$AD$18,"E-",IF(J367&lt;'PlayerGrades+'!$AD$17,"E",IF(J367&lt;'PlayerGrades+'!$AD$16,"E+",IF(J367&lt;'PlayerGrades+'!$AD$15,"D-",IF(J367&lt;'PlayerGrades+'!$AD$14,"D",IF(J367&lt;'PlayerGrades+'!$AD$13,"D+",IF(J367&lt;'PlayerGrades+'!$AD$12,"C-",IF(J367&lt;'PlayerGrades+'!$AD$11,"C",IF(J367&lt;'PlayerGrades+'!$AD$10,"C+",IF(J367&lt;'PlayerGrades+'!$AD$9,"B-",IF(J367&lt;'PlayerGrades+'!$AD$8,"B",IF(J367&lt;'PlayerGrades+'!$AD$7,"B+",IF(J367&lt;'PlayerGrades+'!$AD$6,"A-",IF(J367&lt;'PlayerGrades+'!$AD$5,"A",IF(J367&lt;'PlayerGrades+'!$AD$4,"A+",IF(J367&lt;'PlayerGrades+'!$AD$3,"S-",IF(J367&lt;'PlayerGrades+'!$AD$2,"S","S+"))))))))))))))))))))</f>
        <v>B-</v>
      </c>
      <c r="L367" s="677">
        <f t="shared" si="5"/>
        <v>0.7640449438</v>
      </c>
      <c r="M367" s="938" t="str">
        <f>IF(L367&lt;'PlayerGrades+'!$AE$21,"F-",IF(L367&lt;'PlayerGrades+'!$AE$20,"F",IF(L367&lt;'PlayerGrades+'!$AE$19,"F+",IF(L367&lt;'PlayerGrades+'!$AE$18,"E-",IF(L367&lt;'PlayerGrades+'!$AE$17,"E",IF(L367&lt;'PlayerGrades+'!$AE$16,"E+",IF(L367&lt;'PlayerGrades+'!$AE$15,"D-",IF(L367&lt;'PlayerGrades+'!$AE$14,"D",IF(L367&lt;'PlayerGrades+'!$AE$13,"D+",IF(L367&lt;'PlayerGrades+'!$AE$12,"C-",IF(L367&lt;'PlayerGrades+'!$AE$11,"C",IF(L367&lt;'PlayerGrades+'!$AE$10,"C+",IF(L367&lt;'PlayerGrades+'!$AE$9,"B-",IF(L367&lt;'PlayerGrades+'!$AE$8,"B",IF(L367&lt;'PlayerGrades+'!$AE$7,"B+",IF(L367&lt;'PlayerGrades+'!$AE$6,"A-",IF(L367&lt;'PlayerGrades+'!$AE$5,"A",IF(L367&lt;'PlayerGrades+'!$AE$4,"A+",IF(L367&lt;'PlayerGrades+'!$AE$3,"S-",IF(L367&lt;'PlayerGrades+'!$AE$2,"S","S+"))))))))))))))))))))</f>
        <v>S+</v>
      </c>
      <c r="N367" s="937">
        <f t="shared" si="6"/>
        <v>0.1797752809</v>
      </c>
      <c r="O367" s="937" t="str">
        <f>IF(N367&lt;'PlayerGrades+'!$AF$21,"F-",IF(N367&lt;'PlayerGrades+'!$AF$20,"F",IF(N367&lt;'PlayerGrades+'!$AF$19,"F+",IF(N367&lt;'PlayerGrades+'!$AF$18,"E-",IF(N367&lt;'PlayerGrades+'!$AF$17,"E",IF(N367&lt;'PlayerGrades+'!$AF$16,"E+",IF(N367&lt;'PlayerGrades+'!$AF$15,"D-",IF(N367&lt;'PlayerGrades+'!$AF$14,"D",IF(N367&lt;'PlayerGrades+'!$AF$13,"D+",IF(N367&lt;'PlayerGrades+'!$AF$12,"C-",IF(N367&lt;'PlayerGrades+'!$AF$11,"C",IF(N367&lt;'PlayerGrades+'!$AF$10,"C+",IF(N367&lt;'PlayerGrades+'!$AF$9,"B-",IF(N367&lt;'PlayerGrades+'!$AF$8,"B",IF(N367&lt;'PlayerGrades+'!$AF$7,"B+",IF(N367&lt;'PlayerGrades+'!$AF$6,"A-",IF(N367&lt;'PlayerGrades+'!$AF$5,"A",IF(N367&lt;'PlayerGrades+'!$AF$4,"A+",IF(N367&lt;'PlayerGrades+'!$AF$3,"S-",IF(N367&lt;'PlayerGrades+'!$AF$2,"S","S+"))))))))))))))))))))</f>
        <v>S+</v>
      </c>
      <c r="P367" s="937">
        <f t="shared" si="7"/>
        <v>0.04494382022</v>
      </c>
      <c r="Q367" s="937" t="str">
        <f>IF(P367&lt;'PlayerGrades+'!$AG$21,"F-",IF(P367&lt;'PlayerGrades+'!$AG$20,"F",IF(P367&lt;'PlayerGrades+'!$AG$19,"F+",IF(P367&lt;'PlayerGrades+'!$AG$18,"E-",IF(P367&lt;'PlayerGrades+'!$AG$17,"E",IF(P367&lt;'PlayerGrades+'!$AG$16,"E+",IF(P367&lt;'PlayerGrades+'!$AG$15,"D-",IF(P367&lt;'PlayerGrades+'!$AG$14,"D",IF(P367&lt;'PlayerGrades+'!$AG$13,"D+",IF(P367&lt;'PlayerGrades+'!$AG$12,"C-",IF(P367&lt;'PlayerGrades+'!$AG$11,"C",IF(P367&lt;'PlayerGrades+'!$AG$10,"C+",IF(P367&lt;'PlayerGrades+'!$AG$9,"B-",IF(P367&lt;'PlayerGrades+'!$AG$8,"B",IF(P367&lt;'PlayerGrades+'!$AG$7,"B+",IF(P367&lt;'PlayerGrades+'!$AG$6,"A-",IF(P367&lt;'PlayerGrades+'!$AG$5,"A",IF(P367&lt;'PlayerGrades+'!$AG$4,"A+",IF(P367&lt;'PlayerGrades+'!$AG$3,"S-",IF(P367&lt;'PlayerGrades+'!$AG$2,"S","S+"))))))))))))))))))))</f>
        <v>A</v>
      </c>
      <c r="R367" s="937">
        <f t="shared" si="8"/>
        <v>0.6741573034</v>
      </c>
      <c r="S367" s="937" t="str">
        <f>IF(R367&lt;'PlayerGrades+'!$AH$21,"F-",IF(R367&lt;'PlayerGrades+'!$AH$20,"F",IF(R367&lt;'PlayerGrades+'!$AH$19,"F+",IF(R367&lt;'PlayerGrades+'!$AH$18,"E-",IF(R367&lt;'PlayerGrades+'!$AH$17,"E",IF(R367&lt;'PlayerGrades+'!$AH$16,"E+",IF(R367&lt;'PlayerGrades+'!$AH$15,"D-",IF(R367&lt;'PlayerGrades+'!$AH$14,"D",IF(R367&lt;'PlayerGrades+'!$AH$13,"D+",IF(R367&lt;'PlayerGrades+'!$AH$12,"C-",IF(R367&lt;'PlayerGrades+'!$AH$11,"C",IF(R367&lt;'PlayerGrades+'!$AH$10,"C+",IF(R367&lt;'PlayerGrades+'!$AH$9,"B-",IF(R367&lt;'PlayerGrades+'!$AH$8,"B",IF(R367&lt;'PlayerGrades+'!$AH$7,"B+",IF(R367&lt;'PlayerGrades+'!$AH$6,"A-",IF(R367&lt;'PlayerGrades+'!$AH$5,"A",IF(R367&lt;'PlayerGrades+'!$AH$4,"A+",IF(R367&lt;'PlayerGrades+'!$AH$3,"S-",IF(R367&lt;'PlayerGrades+'!$AH$2,"S","S+"))))))))))))))))))))</f>
        <v>S-</v>
      </c>
      <c r="T367" s="937">
        <f t="shared" si="9"/>
        <v>4.449438202</v>
      </c>
      <c r="U367" s="937" t="str">
        <f>IF(T367&lt;'PlayerGrades+'!$AI$21,"F-",IF(T367&lt;'PlayerGrades+'!$AI$20,"F",IF(T367&lt;'PlayerGrades+'!$AI$19,"F+",IF(T367&lt;'PlayerGrades+'!$AI$18,"E-",IF(T367&lt;'PlayerGrades+'!$AI$17,"E",IF(T367&lt;'PlayerGrades+'!$AI$16,"E+",IF(T367&lt;'PlayerGrades+'!$AI$15,"D-",IF(T367&lt;'PlayerGrades+'!$AI$14,"D",IF(T367&lt;'PlayerGrades+'!$AI$13,"D+",IF(T367&lt;'PlayerGrades+'!$AI$12,"C-",IF(T367&lt;'PlayerGrades+'!$AI$11,"C",IF(T367&lt;'PlayerGrades+'!$AI$10,"C+",IF(T367&lt;'PlayerGrades+'!$AI$9,"B-",IF(T367&lt;'PlayerGrades+'!$AI$8,"B",IF(T367&lt;'PlayerGrades+'!$AI$7,"B+",IF(T367&lt;'PlayerGrades+'!$AI$6,"A-",IF(T367&lt;'PlayerGrades+'!$AI$5,"A",IF(T367&lt;'PlayerGrades+'!$AI$4,"A+",IF(T367&lt;'PlayerGrades+'!$AI$3,"S-",IF(T367&lt;'PlayerGrades+'!$AI$2,"S","S+"))))))))))))))))))))</f>
        <v>S+</v>
      </c>
      <c r="V367" s="941">
        <v>1.0</v>
      </c>
      <c r="W367" s="941">
        <v>0.0</v>
      </c>
      <c r="X367" s="941">
        <v>1.0</v>
      </c>
      <c r="Y367" s="941">
        <v>0.0</v>
      </c>
      <c r="Z367" s="941">
        <v>0.0</v>
      </c>
      <c r="AA367" s="941">
        <v>90.0</v>
      </c>
      <c r="AB367" s="941">
        <v>77.0</v>
      </c>
      <c r="AC367" s="941">
        <v>13.0</v>
      </c>
      <c r="AD367" s="941">
        <v>8.0</v>
      </c>
      <c r="AE367" s="941">
        <v>7.0</v>
      </c>
      <c r="AF367" s="941">
        <v>2.0</v>
      </c>
      <c r="AG367" s="941">
        <v>997.0</v>
      </c>
      <c r="AH367" s="941">
        <v>1335.0</v>
      </c>
      <c r="AI367" s="941">
        <v>12.0</v>
      </c>
      <c r="AJ367" s="941">
        <v>4.0</v>
      </c>
      <c r="AK367" s="941">
        <v>0.0</v>
      </c>
      <c r="AL367" s="941">
        <v>1.0</v>
      </c>
      <c r="AM367" s="941">
        <v>0.0</v>
      </c>
      <c r="AN367" s="941">
        <v>0.0</v>
      </c>
      <c r="AO367" s="941">
        <v>0.0</v>
      </c>
      <c r="AP367" s="941">
        <v>1.0</v>
      </c>
      <c r="AQ367" s="941">
        <v>0.0</v>
      </c>
      <c r="AR367" s="941">
        <v>17.0</v>
      </c>
      <c r="AS367" s="941">
        <v>4.0</v>
      </c>
      <c r="AT367" s="941">
        <v>1.0</v>
      </c>
      <c r="AU367" s="941">
        <v>1.0</v>
      </c>
      <c r="AV367" s="941">
        <v>1.0</v>
      </c>
      <c r="AW367" s="941">
        <v>1.0</v>
      </c>
      <c r="AX367" s="941">
        <v>0.0</v>
      </c>
      <c r="AY367" s="941">
        <v>0.0</v>
      </c>
      <c r="AZ367" s="941">
        <v>0.0</v>
      </c>
      <c r="BA367" s="941">
        <v>0.0</v>
      </c>
      <c r="BB367" s="941">
        <v>3.0</v>
      </c>
      <c r="BC367" s="941">
        <v>0.0</v>
      </c>
      <c r="BD367" s="941">
        <v>7.0</v>
      </c>
      <c r="BE367" s="941">
        <v>10.0</v>
      </c>
      <c r="BF367" s="941">
        <v>4.0</v>
      </c>
      <c r="BG367" s="941">
        <v>0.0</v>
      </c>
    </row>
    <row r="368">
      <c r="A368" s="1" t="s">
        <v>137</v>
      </c>
      <c r="B368" s="16" t="str">
        <f>IF(C368&lt;'PlayerGrades+'!$Y$44,"F-",IF(C368&lt;'PlayerGrades+'!$Y$43,"F",IF(C368&lt;'PlayerGrades+'!$Y$42,"F+",IF(C368&lt;'PlayerGrades+'!$Y$41,"E-",IF(C368&lt;'PlayerGrades+'!$Y$40,"E",IF(C368&lt;'PlayerGrades+'!$Y$39,"E+",IF(C368&lt;'PlayerGrades+'!$Y$38,"D-",IF(C368&lt;'PlayerGrades+'!$Y$37,"D",IF(C368&lt;'PlayerGrades+'!$Y$36,"D+",IF(C368&lt;'PlayerGrades+'!$Y$35,"C-",IF(C368&lt;'PlayerGrades+'!$Y$34,"C",IF(C368&lt;'PlayerGrades+'!$Y$33,"C+",IF(C368&lt;'PlayerGrades+'!$Y$32,"B-",IF(C368&lt;'PlayerGrades+'!$Y$31,"B",IF(C368&lt;'PlayerGrades+'!$Y$30,"B+",IF(C368&lt;'PlayerGrades+'!$Y$29,"A-",IF(C368&lt;'PlayerGrades+'!$Y$28,"A",IF(C368&lt;'PlayerGrades+'!$Y$27,"A+",IF(C368&lt;'PlayerGrades+'!$Y$26,"S-",IF(C368&lt;'PlayerGrades+'!$Y$25,"S","S+"))))))))))))))))))))</f>
        <v>A-</v>
      </c>
      <c r="C368" s="936">
        <f>('PlayerGrades+'!$Y$47*(VLOOKUP(E368, 'PlayerGrades+'!$X$3:$Y$23, 2, FALSE)))+('PlayerGrades+'!$Y$48*(VLOOKUP(G368, 'PlayerGrades+'!$X$3:$Y$23, 2, FALSE)))+('PlayerGrades+'!$Y$49*(VLOOKUP(I368, 'PlayerGrades+'!$X$3:$Y$23, 2, FALSE)))+('PlayerGrades+'!$Y$50*(VLOOKUP(K368, 'PlayerGrades+'!$X$3:$Y$23, 2, FALSE)))+('PlayerGrades+'!$Y$51*(VLOOKUP(M368, 'PlayerGrades+'!$X$3:$Y$23, 2, FALSE)))+('PlayerGrades+'!$Y$52*(VLOOKUP(O368, 'PlayerGrades+'!$X$3:$Y$23, 2, FALSE)))+('PlayerGrades+'!$Y$53*(VLOOKUP(Q368, 'PlayerGrades+'!$X$3:$Y$23, 2, FALSE)))+('PlayerGrades+'!$Y$54*(VLOOKUP(S368, 'PlayerGrades+'!$X$3:$Y$23, 2, FALSE)))+('PlayerGrades+'!$Y$55*(VLOOKUP(U368, 'PlayerGrades+'!$X$3:$Y$23, 2, FALSE)))</f>
        <v>24.4</v>
      </c>
      <c r="D368" s="937">
        <f t="shared" si="1"/>
        <v>0.04494382022</v>
      </c>
      <c r="E368" s="937" t="str">
        <f>IF(D368&lt;'PlayerGrades+'!$AA$21,"F-",IF(D368&lt;'PlayerGrades+'!$AA$20,"F",IF(D368&lt;'PlayerGrades+'!$AA$19,"F+",IF(D368&lt;'PlayerGrades+'!$AA$18,"E-",IF(D368&lt;'PlayerGrades+'!$AA$17,"E",IF(D368&lt;'PlayerGrades+'!$AA$16,"E+",IF(D368&lt;'PlayerGrades+'!$AA$15,"D-",IF(D368&lt;'PlayerGrades+'!$AA$14,"D",IF(D368&lt;'PlayerGrades+'!$AA$13,"D+",IF(D368&lt;'PlayerGrades+'!$AA$12,"C-",IF(D368&lt;'PlayerGrades+'!$AA$11,"C",IF(D368&lt;'PlayerGrades+'!$AA$10,"C+",IF(D368&lt;'PlayerGrades+'!$AA$9,"B-",IF(D368&lt;'PlayerGrades+'!$AA$8,"B",IF(D368&lt;'PlayerGrades+'!$AA$7,"B+",IF(D368&lt;'PlayerGrades+'!$AA$6,"A-",IF(D368&lt;'PlayerGrades+'!$AA$5,"A",IF(D368&lt;'PlayerGrades+'!$AA$4,"A+",IF(D368&lt;'PlayerGrades+'!$AA$3,"S-",IF(D368&lt;'PlayerGrades+'!$AA$2,"S","S+"))))))))))))))))))))</f>
        <v>C+</v>
      </c>
      <c r="F368" s="937">
        <f t="shared" si="2"/>
        <v>-0.08988764045</v>
      </c>
      <c r="G368" s="937" t="str">
        <f>IF(F368&lt;'PlayerGrades+'!$AB$21,"F-",IF(F368&lt;'PlayerGrades+'!$AB$20,"F",IF(F368&lt;'PlayerGrades+'!$AB$19,"F+",IF(F368&lt;'PlayerGrades+'!$AB$18,"E-",IF(F368&lt;'PlayerGrades+'!$AB$17,"E",IF(F368&lt;'PlayerGrades+'!$AB$16,"E+",IF(F368&lt;'PlayerGrades+'!$AB$15,"D-",IF(F368&lt;'PlayerGrades+'!$AB$14,"D",IF(F368&lt;'PlayerGrades+'!$AB$13,"D+",IF(F368&lt;'PlayerGrades+'!$AB$12,"C-",IF(F368&lt;'PlayerGrades+'!$AB$11,"C",IF(F368&lt;'PlayerGrades+'!$AB$10,"C+",IF(F368&lt;'PlayerGrades+'!$AB$9,"B-",IF(F368&lt;'PlayerGrades+'!$AB$8,"B",IF(F368&lt;'PlayerGrades+'!$AB$7,"B+",IF(F368&lt;'PlayerGrades+'!$AB$6,"A-",IF(F368&lt;'PlayerGrades+'!$AB$5,"A",IF(F368&lt;'PlayerGrades+'!$AB$4,"A+",IF(F368&lt;'PlayerGrades+'!$AB$3,"S-",IF(F368&lt;'PlayerGrades+'!$AB$2,"S","S+"))))))))))))))))))))</f>
        <v>B-</v>
      </c>
      <c r="H368" s="937">
        <f t="shared" si="3"/>
        <v>0.3595505618</v>
      </c>
      <c r="I368" s="937" t="str">
        <f>IF(H368&lt;'PlayerGrades+'!$AC$21,"F-",IF(H368&lt;'PlayerGrades+'!$AC$20,"F",IF(H368&lt;'PlayerGrades+'!$AC$19,"F+",IF(H368&lt;'PlayerGrades+'!$AC$18,"E-",IF(H368&lt;'PlayerGrades+'!$AC$17,"E",IF(H368&lt;'PlayerGrades+'!$AC$16,"E+",IF(H368&lt;'PlayerGrades+'!$AC$15,"D-",IF(H368&lt;'PlayerGrades+'!$AC$14,"D",IF(H368&lt;'PlayerGrades+'!$AC$13,"D+",IF(H368&lt;'PlayerGrades+'!$AC$12,"C-",IF(H368&lt;'PlayerGrades+'!$AC$11,"C",IF(H368&lt;'PlayerGrades+'!$AC$10,"C+",IF(H368&lt;'PlayerGrades+'!$AC$9,"B-",IF(H368&lt;'PlayerGrades+'!$AC$8,"B",IF(H368&lt;'PlayerGrades+'!$AC$7,"B+",IF(H368&lt;'PlayerGrades+'!$AC$6,"A-",IF(H368&lt;'PlayerGrades+'!$AC$5,"A",IF(H368&lt;'PlayerGrades+'!$AC$4,"A+",IF(H368&lt;'PlayerGrades+'!$AC$3,"S-",IF(H368&lt;'PlayerGrades+'!$AC$2,"S","S+"))))))))))))))))))))</f>
        <v>S+</v>
      </c>
      <c r="J368" s="937">
        <f t="shared" si="4"/>
        <v>0.04494382022</v>
      </c>
      <c r="K368" s="937" t="str">
        <f>IF(J368&lt;'PlayerGrades+'!$AD$21,"F-",IF(J368&lt;'PlayerGrades+'!$AD$20,"F",IF(J368&lt;'PlayerGrades+'!$AD$19,"F+",IF(J368&lt;'PlayerGrades+'!$AD$18,"E-",IF(J368&lt;'PlayerGrades+'!$AD$17,"E",IF(J368&lt;'PlayerGrades+'!$AD$16,"E+",IF(J368&lt;'PlayerGrades+'!$AD$15,"D-",IF(J368&lt;'PlayerGrades+'!$AD$14,"D",IF(J368&lt;'PlayerGrades+'!$AD$13,"D+",IF(J368&lt;'PlayerGrades+'!$AD$12,"C-",IF(J368&lt;'PlayerGrades+'!$AD$11,"C",IF(J368&lt;'PlayerGrades+'!$AD$10,"C+",IF(J368&lt;'PlayerGrades+'!$AD$9,"B-",IF(J368&lt;'PlayerGrades+'!$AD$8,"B",IF(J368&lt;'PlayerGrades+'!$AD$7,"B+",IF(J368&lt;'PlayerGrades+'!$AD$6,"A-",IF(J368&lt;'PlayerGrades+'!$AD$5,"A",IF(J368&lt;'PlayerGrades+'!$AD$4,"A+",IF(J368&lt;'PlayerGrades+'!$AD$3,"S-",IF(J368&lt;'PlayerGrades+'!$AD$2,"S","S+"))))))))))))))))))))</f>
        <v>B-</v>
      </c>
      <c r="L368" s="677">
        <f t="shared" si="5"/>
        <v>0.4943820225</v>
      </c>
      <c r="M368" s="938" t="str">
        <f>IF(L368&lt;'PlayerGrades+'!$AE$21,"F-",IF(L368&lt;'PlayerGrades+'!$AE$20,"F",IF(L368&lt;'PlayerGrades+'!$AE$19,"F+",IF(L368&lt;'PlayerGrades+'!$AE$18,"E-",IF(L368&lt;'PlayerGrades+'!$AE$17,"E",IF(L368&lt;'PlayerGrades+'!$AE$16,"E+",IF(L368&lt;'PlayerGrades+'!$AE$15,"D-",IF(L368&lt;'PlayerGrades+'!$AE$14,"D",IF(L368&lt;'PlayerGrades+'!$AE$13,"D+",IF(L368&lt;'PlayerGrades+'!$AE$12,"C-",IF(L368&lt;'PlayerGrades+'!$AE$11,"C",IF(L368&lt;'PlayerGrades+'!$AE$10,"C+",IF(L368&lt;'PlayerGrades+'!$AE$9,"B-",IF(L368&lt;'PlayerGrades+'!$AE$8,"B",IF(L368&lt;'PlayerGrades+'!$AE$7,"B+",IF(L368&lt;'PlayerGrades+'!$AE$6,"A-",IF(L368&lt;'PlayerGrades+'!$AE$5,"A",IF(L368&lt;'PlayerGrades+'!$AE$4,"A+",IF(L368&lt;'PlayerGrades+'!$AE$3,"S-",IF(L368&lt;'PlayerGrades+'!$AE$2,"S","S+"))))))))))))))))))))</f>
        <v>A-</v>
      </c>
      <c r="N368" s="937">
        <f t="shared" si="6"/>
        <v>0.2247191011</v>
      </c>
      <c r="O368" s="937" t="str">
        <f>IF(N368&lt;'PlayerGrades+'!$AF$21,"F-",IF(N368&lt;'PlayerGrades+'!$AF$20,"F",IF(N368&lt;'PlayerGrades+'!$AF$19,"F+",IF(N368&lt;'PlayerGrades+'!$AF$18,"E-",IF(N368&lt;'PlayerGrades+'!$AF$17,"E",IF(N368&lt;'PlayerGrades+'!$AF$16,"E+",IF(N368&lt;'PlayerGrades+'!$AF$15,"D-",IF(N368&lt;'PlayerGrades+'!$AF$14,"D",IF(N368&lt;'PlayerGrades+'!$AF$13,"D+",IF(N368&lt;'PlayerGrades+'!$AF$12,"C-",IF(N368&lt;'PlayerGrades+'!$AF$11,"C",IF(N368&lt;'PlayerGrades+'!$AF$10,"C+",IF(N368&lt;'PlayerGrades+'!$AF$9,"B-",IF(N368&lt;'PlayerGrades+'!$AF$8,"B",IF(N368&lt;'PlayerGrades+'!$AF$7,"B+",IF(N368&lt;'PlayerGrades+'!$AF$6,"A-",IF(N368&lt;'PlayerGrades+'!$AF$5,"A",IF(N368&lt;'PlayerGrades+'!$AF$4,"A+",IF(N368&lt;'PlayerGrades+'!$AF$3,"S-",IF(N368&lt;'PlayerGrades+'!$AF$2,"S","S+"))))))))))))))))))))</f>
        <v>S+</v>
      </c>
      <c r="P368" s="937">
        <f t="shared" si="7"/>
        <v>0.04494382022</v>
      </c>
      <c r="Q368" s="937" t="str">
        <f>IF(P368&lt;'PlayerGrades+'!$AG$21,"F-",IF(P368&lt;'PlayerGrades+'!$AG$20,"F",IF(P368&lt;'PlayerGrades+'!$AG$19,"F+",IF(P368&lt;'PlayerGrades+'!$AG$18,"E-",IF(P368&lt;'PlayerGrades+'!$AG$17,"E",IF(P368&lt;'PlayerGrades+'!$AG$16,"E+",IF(P368&lt;'PlayerGrades+'!$AG$15,"D-",IF(P368&lt;'PlayerGrades+'!$AG$14,"D",IF(P368&lt;'PlayerGrades+'!$AG$13,"D+",IF(P368&lt;'PlayerGrades+'!$AG$12,"C-",IF(P368&lt;'PlayerGrades+'!$AG$11,"C",IF(P368&lt;'PlayerGrades+'!$AG$10,"C+",IF(P368&lt;'PlayerGrades+'!$AG$9,"B-",IF(P368&lt;'PlayerGrades+'!$AG$8,"B",IF(P368&lt;'PlayerGrades+'!$AG$7,"B+",IF(P368&lt;'PlayerGrades+'!$AG$6,"A-",IF(P368&lt;'PlayerGrades+'!$AG$5,"A",IF(P368&lt;'PlayerGrades+'!$AG$4,"A+",IF(P368&lt;'PlayerGrades+'!$AG$3,"S-",IF(P368&lt;'PlayerGrades+'!$AG$2,"S","S+"))))))))))))))))))))</f>
        <v>A</v>
      </c>
      <c r="R368" s="937">
        <f t="shared" si="8"/>
        <v>0.2247191011</v>
      </c>
      <c r="S368" s="937" t="str">
        <f>IF(R368&lt;'PlayerGrades+'!$AH$21,"F-",IF(R368&lt;'PlayerGrades+'!$AH$20,"F",IF(R368&lt;'PlayerGrades+'!$AH$19,"F+",IF(R368&lt;'PlayerGrades+'!$AH$18,"E-",IF(R368&lt;'PlayerGrades+'!$AH$17,"E",IF(R368&lt;'PlayerGrades+'!$AH$16,"E+",IF(R368&lt;'PlayerGrades+'!$AH$15,"D-",IF(R368&lt;'PlayerGrades+'!$AH$14,"D",IF(R368&lt;'PlayerGrades+'!$AH$13,"D+",IF(R368&lt;'PlayerGrades+'!$AH$12,"C-",IF(R368&lt;'PlayerGrades+'!$AH$11,"C",IF(R368&lt;'PlayerGrades+'!$AH$10,"C+",IF(R368&lt;'PlayerGrades+'!$AH$9,"B-",IF(R368&lt;'PlayerGrades+'!$AH$8,"B",IF(R368&lt;'PlayerGrades+'!$AH$7,"B+",IF(R368&lt;'PlayerGrades+'!$AH$6,"A-",IF(R368&lt;'PlayerGrades+'!$AH$5,"A",IF(R368&lt;'PlayerGrades+'!$AH$4,"A+",IF(R368&lt;'PlayerGrades+'!$AH$3,"S-",IF(R368&lt;'PlayerGrades+'!$AH$2,"S","S+"))))))))))))))))))))</f>
        <v>F-</v>
      </c>
      <c r="T368" s="937">
        <f t="shared" si="9"/>
        <v>0.2696629213</v>
      </c>
      <c r="U368" s="937" t="str">
        <f>IF(T368&lt;'PlayerGrades+'!$AI$21,"F-",IF(T368&lt;'PlayerGrades+'!$AI$20,"F",IF(T368&lt;'PlayerGrades+'!$AI$19,"F+",IF(T368&lt;'PlayerGrades+'!$AI$18,"E-",IF(T368&lt;'PlayerGrades+'!$AI$17,"E",IF(T368&lt;'PlayerGrades+'!$AI$16,"E+",IF(T368&lt;'PlayerGrades+'!$AI$15,"D-",IF(T368&lt;'PlayerGrades+'!$AI$14,"D",IF(T368&lt;'PlayerGrades+'!$AI$13,"D+",IF(T368&lt;'PlayerGrades+'!$AI$12,"C-",IF(T368&lt;'PlayerGrades+'!$AI$11,"C",IF(T368&lt;'PlayerGrades+'!$AI$10,"C+",IF(T368&lt;'PlayerGrades+'!$AI$9,"B-",IF(T368&lt;'PlayerGrades+'!$AI$8,"B",IF(T368&lt;'PlayerGrades+'!$AI$7,"B+",IF(T368&lt;'PlayerGrades+'!$AI$6,"A-",IF(T368&lt;'PlayerGrades+'!$AI$5,"A",IF(T368&lt;'PlayerGrades+'!$AI$4,"A+",IF(T368&lt;'PlayerGrades+'!$AI$3,"S-",IF(T368&lt;'PlayerGrades+'!$AI$2,"S","S+"))))))))))))))))))))</f>
        <v>F-</v>
      </c>
      <c r="V368" s="941">
        <v>1.0</v>
      </c>
      <c r="W368" s="941">
        <v>0.0</v>
      </c>
      <c r="X368" s="941">
        <v>1.0</v>
      </c>
      <c r="Y368" s="941">
        <v>0.0</v>
      </c>
      <c r="Z368" s="941">
        <v>1.0</v>
      </c>
      <c r="AA368" s="941">
        <v>76.0</v>
      </c>
      <c r="AB368" s="941">
        <v>78.0</v>
      </c>
      <c r="AC368" s="941">
        <v>-2.0</v>
      </c>
      <c r="AD368" s="941">
        <v>1.0</v>
      </c>
      <c r="AE368" s="941">
        <v>5.0</v>
      </c>
      <c r="AF368" s="941">
        <v>1.0</v>
      </c>
      <c r="AG368" s="941">
        <v>998.0</v>
      </c>
      <c r="AH368" s="941">
        <v>1335.0</v>
      </c>
      <c r="AI368" s="941">
        <v>12.0</v>
      </c>
      <c r="AJ368" s="941">
        <v>4.0</v>
      </c>
      <c r="AK368" s="941">
        <v>0.0</v>
      </c>
      <c r="AL368" s="941">
        <v>1.0</v>
      </c>
      <c r="AM368" s="941">
        <v>0.0</v>
      </c>
      <c r="AN368" s="941">
        <v>0.0</v>
      </c>
      <c r="AO368" s="941">
        <v>0.0</v>
      </c>
      <c r="AP368" s="941">
        <v>1.0</v>
      </c>
      <c r="AQ368" s="941">
        <v>0.0</v>
      </c>
      <c r="AR368" s="941">
        <v>11.0</v>
      </c>
      <c r="AS368" s="941">
        <v>5.0</v>
      </c>
      <c r="AT368" s="941">
        <v>3.0</v>
      </c>
      <c r="AU368" s="941">
        <v>0.0</v>
      </c>
      <c r="AV368" s="941">
        <v>0.0</v>
      </c>
      <c r="AW368" s="941">
        <v>0.0</v>
      </c>
      <c r="AX368" s="941">
        <v>0.0</v>
      </c>
      <c r="AY368" s="941">
        <v>0.0</v>
      </c>
      <c r="AZ368" s="941">
        <v>0.0</v>
      </c>
      <c r="BA368" s="941">
        <v>0.0</v>
      </c>
      <c r="BB368" s="941">
        <v>8.0</v>
      </c>
      <c r="BC368" s="941">
        <v>0.0</v>
      </c>
      <c r="BD368" s="941">
        <v>4.0</v>
      </c>
      <c r="BE368" s="941">
        <v>6.0</v>
      </c>
      <c r="BF368" s="941">
        <v>0.0</v>
      </c>
      <c r="BG368" s="941">
        <v>0.0</v>
      </c>
    </row>
    <row r="369">
      <c r="A369" s="882" t="s">
        <v>115</v>
      </c>
      <c r="B369" s="16" t="str">
        <f>IF(C369&lt;'PlayerGrades+'!$Y$44,"F-",IF(C369&lt;'PlayerGrades+'!$Y$43,"F",IF(C369&lt;'PlayerGrades+'!$Y$42,"F+",IF(C369&lt;'PlayerGrades+'!$Y$41,"E-",IF(C369&lt;'PlayerGrades+'!$Y$40,"E",IF(C369&lt;'PlayerGrades+'!$Y$39,"E+",IF(C369&lt;'PlayerGrades+'!$Y$38,"D-",IF(C369&lt;'PlayerGrades+'!$Y$37,"D",IF(C369&lt;'PlayerGrades+'!$Y$36,"D+",IF(C369&lt;'PlayerGrades+'!$Y$35,"C-",IF(C369&lt;'PlayerGrades+'!$Y$34,"C",IF(C369&lt;'PlayerGrades+'!$Y$33,"C+",IF(C369&lt;'PlayerGrades+'!$Y$32,"B-",IF(C369&lt;'PlayerGrades+'!$Y$31,"B",IF(C369&lt;'PlayerGrades+'!$Y$30,"B+",IF(C369&lt;'PlayerGrades+'!$Y$29,"A-",IF(C369&lt;'PlayerGrades+'!$Y$28,"A",IF(C369&lt;'PlayerGrades+'!$Y$27,"A+",IF(C369&lt;'PlayerGrades+'!$Y$26,"S-",IF(C369&lt;'PlayerGrades+'!$Y$25,"S","S+"))))))))))))))))))))</f>
        <v>C</v>
      </c>
      <c r="C369" s="936">
        <f>('PlayerGrades+'!$Y$47*(VLOOKUP(E369, 'PlayerGrades+'!$X$3:$Y$23, 2, FALSE)))+('PlayerGrades+'!$Y$48*(VLOOKUP(G369, 'PlayerGrades+'!$X$3:$Y$23, 2, FALSE)))+('PlayerGrades+'!$Y$49*(VLOOKUP(I369, 'PlayerGrades+'!$X$3:$Y$23, 2, FALSE)))+('PlayerGrades+'!$Y$50*(VLOOKUP(K369, 'PlayerGrades+'!$X$3:$Y$23, 2, FALSE)))+('PlayerGrades+'!$Y$51*(VLOOKUP(M369, 'PlayerGrades+'!$X$3:$Y$23, 2, FALSE)))+('PlayerGrades+'!$Y$52*(VLOOKUP(O369, 'PlayerGrades+'!$X$3:$Y$23, 2, FALSE)))+('PlayerGrades+'!$Y$53*(VLOOKUP(Q369, 'PlayerGrades+'!$X$3:$Y$23, 2, FALSE)))+('PlayerGrades+'!$Y$54*(VLOOKUP(S369, 'PlayerGrades+'!$X$3:$Y$23, 2, FALSE)))+('PlayerGrades+'!$Y$55*(VLOOKUP(U369, 'PlayerGrades+'!$X$3:$Y$23, 2, FALSE)))</f>
        <v>19.8</v>
      </c>
      <c r="D369" s="937">
        <f t="shared" si="1"/>
        <v>0</v>
      </c>
      <c r="E369" s="937" t="str">
        <f>IF(D369&lt;'PlayerGrades+'!$AA$21,"F-",IF(D369&lt;'PlayerGrades+'!$AA$20,"F",IF(D369&lt;'PlayerGrades+'!$AA$19,"F+",IF(D369&lt;'PlayerGrades+'!$AA$18,"E-",IF(D369&lt;'PlayerGrades+'!$AA$17,"E",IF(D369&lt;'PlayerGrades+'!$AA$16,"E+",IF(D369&lt;'PlayerGrades+'!$AA$15,"D-",IF(D369&lt;'PlayerGrades+'!$AA$14,"D",IF(D369&lt;'PlayerGrades+'!$AA$13,"D+",IF(D369&lt;'PlayerGrades+'!$AA$12,"C-",IF(D369&lt;'PlayerGrades+'!$AA$11,"C",IF(D369&lt;'PlayerGrades+'!$AA$10,"C+",IF(D369&lt;'PlayerGrades+'!$AA$9,"B-",IF(D369&lt;'PlayerGrades+'!$AA$8,"B",IF(D369&lt;'PlayerGrades+'!$AA$7,"B+",IF(D369&lt;'PlayerGrades+'!$AA$6,"A-",IF(D369&lt;'PlayerGrades+'!$AA$5,"A",IF(D369&lt;'PlayerGrades+'!$AA$4,"A+",IF(D369&lt;'PlayerGrades+'!$AA$3,"S-",IF(D369&lt;'PlayerGrades+'!$AA$2,"S","S+"))))))))))))))))))))</f>
        <v>F-</v>
      </c>
      <c r="F369" s="937">
        <f t="shared" si="2"/>
        <v>-1.393258427</v>
      </c>
      <c r="G369" s="937" t="str">
        <f>IF(F369&lt;'PlayerGrades+'!$AB$21,"F-",IF(F369&lt;'PlayerGrades+'!$AB$20,"F",IF(F369&lt;'PlayerGrades+'!$AB$19,"F+",IF(F369&lt;'PlayerGrades+'!$AB$18,"E-",IF(F369&lt;'PlayerGrades+'!$AB$17,"E",IF(F369&lt;'PlayerGrades+'!$AB$16,"E+",IF(F369&lt;'PlayerGrades+'!$AB$15,"D-",IF(F369&lt;'PlayerGrades+'!$AB$14,"D",IF(F369&lt;'PlayerGrades+'!$AB$13,"D+",IF(F369&lt;'PlayerGrades+'!$AB$12,"C-",IF(F369&lt;'PlayerGrades+'!$AB$11,"C",IF(F369&lt;'PlayerGrades+'!$AB$10,"C+",IF(F369&lt;'PlayerGrades+'!$AB$9,"B-",IF(F369&lt;'PlayerGrades+'!$AB$8,"B",IF(F369&lt;'PlayerGrades+'!$AB$7,"B+",IF(F369&lt;'PlayerGrades+'!$AB$6,"A-",IF(F369&lt;'PlayerGrades+'!$AB$5,"A",IF(F369&lt;'PlayerGrades+'!$AB$4,"A+",IF(F369&lt;'PlayerGrades+'!$AB$3,"S-",IF(F369&lt;'PlayerGrades+'!$AB$2,"S","S+"))))))))))))))))))))</f>
        <v>F-</v>
      </c>
      <c r="H369" s="937">
        <f t="shared" si="3"/>
        <v>0.1797752809</v>
      </c>
      <c r="I369" s="937" t="str">
        <f>IF(H369&lt;'PlayerGrades+'!$AC$21,"F-",IF(H369&lt;'PlayerGrades+'!$AC$20,"F",IF(H369&lt;'PlayerGrades+'!$AC$19,"F+",IF(H369&lt;'PlayerGrades+'!$AC$18,"E-",IF(H369&lt;'PlayerGrades+'!$AC$17,"E",IF(H369&lt;'PlayerGrades+'!$AC$16,"E+",IF(H369&lt;'PlayerGrades+'!$AC$15,"D-",IF(H369&lt;'PlayerGrades+'!$AC$14,"D",IF(H369&lt;'PlayerGrades+'!$AC$13,"D+",IF(H369&lt;'PlayerGrades+'!$AC$12,"C-",IF(H369&lt;'PlayerGrades+'!$AC$11,"C",IF(H369&lt;'PlayerGrades+'!$AC$10,"C+",IF(H369&lt;'PlayerGrades+'!$AC$9,"B-",IF(H369&lt;'PlayerGrades+'!$AC$8,"B",IF(H369&lt;'PlayerGrades+'!$AC$7,"B+",IF(H369&lt;'PlayerGrades+'!$AC$6,"A-",IF(H369&lt;'PlayerGrades+'!$AC$5,"A",IF(H369&lt;'PlayerGrades+'!$AC$4,"A+",IF(H369&lt;'PlayerGrades+'!$AC$3,"S-",IF(H369&lt;'PlayerGrades+'!$AC$2,"S","S+"))))))))))))))))))))</f>
        <v>S-</v>
      </c>
      <c r="J369" s="937">
        <f t="shared" si="4"/>
        <v>0.04494382022</v>
      </c>
      <c r="K369" s="937" t="str">
        <f>IF(J369&lt;'PlayerGrades+'!$AD$21,"F-",IF(J369&lt;'PlayerGrades+'!$AD$20,"F",IF(J369&lt;'PlayerGrades+'!$AD$19,"F+",IF(J369&lt;'PlayerGrades+'!$AD$18,"E-",IF(J369&lt;'PlayerGrades+'!$AD$17,"E",IF(J369&lt;'PlayerGrades+'!$AD$16,"E+",IF(J369&lt;'PlayerGrades+'!$AD$15,"D-",IF(J369&lt;'PlayerGrades+'!$AD$14,"D",IF(J369&lt;'PlayerGrades+'!$AD$13,"D+",IF(J369&lt;'PlayerGrades+'!$AD$12,"C-",IF(J369&lt;'PlayerGrades+'!$AD$11,"C",IF(J369&lt;'PlayerGrades+'!$AD$10,"C+",IF(J369&lt;'PlayerGrades+'!$AD$9,"B-",IF(J369&lt;'PlayerGrades+'!$AD$8,"B",IF(J369&lt;'PlayerGrades+'!$AD$7,"B+",IF(J369&lt;'PlayerGrades+'!$AD$6,"A-",IF(J369&lt;'PlayerGrades+'!$AD$5,"A",IF(J369&lt;'PlayerGrades+'!$AD$4,"A+",IF(J369&lt;'PlayerGrades+'!$AD$3,"S-",IF(J369&lt;'PlayerGrades+'!$AD$2,"S","S+"))))))))))))))))))))</f>
        <v>B-</v>
      </c>
      <c r="L369" s="677">
        <f t="shared" si="5"/>
        <v>0.4494382022</v>
      </c>
      <c r="M369" s="938" t="str">
        <f>IF(L369&lt;'PlayerGrades+'!$AE$21,"F-",IF(L369&lt;'PlayerGrades+'!$AE$20,"F",IF(L369&lt;'PlayerGrades+'!$AE$19,"F+",IF(L369&lt;'PlayerGrades+'!$AE$18,"E-",IF(L369&lt;'PlayerGrades+'!$AE$17,"E",IF(L369&lt;'PlayerGrades+'!$AE$16,"E+",IF(L369&lt;'PlayerGrades+'!$AE$15,"D-",IF(L369&lt;'PlayerGrades+'!$AE$14,"D",IF(L369&lt;'PlayerGrades+'!$AE$13,"D+",IF(L369&lt;'PlayerGrades+'!$AE$12,"C-",IF(L369&lt;'PlayerGrades+'!$AE$11,"C",IF(L369&lt;'PlayerGrades+'!$AE$10,"C+",IF(L369&lt;'PlayerGrades+'!$AE$9,"B-",IF(L369&lt;'PlayerGrades+'!$AE$8,"B",IF(L369&lt;'PlayerGrades+'!$AE$7,"B+",IF(L369&lt;'PlayerGrades+'!$AE$6,"A-",IF(L369&lt;'PlayerGrades+'!$AE$5,"A",IF(L369&lt;'PlayerGrades+'!$AE$4,"A+",IF(L369&lt;'PlayerGrades+'!$AE$3,"S-",IF(L369&lt;'PlayerGrades+'!$AE$2,"S","S+"))))))))))))))))))))</f>
        <v>B+</v>
      </c>
      <c r="N369" s="937">
        <f t="shared" si="6"/>
        <v>0.1348314607</v>
      </c>
      <c r="O369" s="937" t="str">
        <f>IF(N369&lt;'PlayerGrades+'!$AF$21,"F-",IF(N369&lt;'PlayerGrades+'!$AF$20,"F",IF(N369&lt;'PlayerGrades+'!$AF$19,"F+",IF(N369&lt;'PlayerGrades+'!$AF$18,"E-",IF(N369&lt;'PlayerGrades+'!$AF$17,"E",IF(N369&lt;'PlayerGrades+'!$AF$16,"E+",IF(N369&lt;'PlayerGrades+'!$AF$15,"D-",IF(N369&lt;'PlayerGrades+'!$AF$14,"D",IF(N369&lt;'PlayerGrades+'!$AF$13,"D+",IF(N369&lt;'PlayerGrades+'!$AF$12,"C-",IF(N369&lt;'PlayerGrades+'!$AF$11,"C",IF(N369&lt;'PlayerGrades+'!$AF$10,"C+",IF(N369&lt;'PlayerGrades+'!$AF$9,"B-",IF(N369&lt;'PlayerGrades+'!$AF$8,"B",IF(N369&lt;'PlayerGrades+'!$AF$7,"B+",IF(N369&lt;'PlayerGrades+'!$AF$6,"A-",IF(N369&lt;'PlayerGrades+'!$AF$5,"A",IF(N369&lt;'PlayerGrades+'!$AF$4,"A+",IF(N369&lt;'PlayerGrades+'!$AF$3,"S-",IF(N369&lt;'PlayerGrades+'!$AF$2,"S","S+"))))))))))))))))))))</f>
        <v>S</v>
      </c>
      <c r="P369" s="937">
        <f t="shared" si="7"/>
        <v>0.04494382022</v>
      </c>
      <c r="Q369" s="937" t="str">
        <f>IF(P369&lt;'PlayerGrades+'!$AG$21,"F-",IF(P369&lt;'PlayerGrades+'!$AG$20,"F",IF(P369&lt;'PlayerGrades+'!$AG$19,"F+",IF(P369&lt;'PlayerGrades+'!$AG$18,"E-",IF(P369&lt;'PlayerGrades+'!$AG$17,"E",IF(P369&lt;'PlayerGrades+'!$AG$16,"E+",IF(P369&lt;'PlayerGrades+'!$AG$15,"D-",IF(P369&lt;'PlayerGrades+'!$AG$14,"D",IF(P369&lt;'PlayerGrades+'!$AG$13,"D+",IF(P369&lt;'PlayerGrades+'!$AG$12,"C-",IF(P369&lt;'PlayerGrades+'!$AG$11,"C",IF(P369&lt;'PlayerGrades+'!$AG$10,"C+",IF(P369&lt;'PlayerGrades+'!$AG$9,"B-",IF(P369&lt;'PlayerGrades+'!$AG$8,"B",IF(P369&lt;'PlayerGrades+'!$AG$7,"B+",IF(P369&lt;'PlayerGrades+'!$AG$6,"A-",IF(P369&lt;'PlayerGrades+'!$AG$5,"A",IF(P369&lt;'PlayerGrades+'!$AG$4,"A+",IF(P369&lt;'PlayerGrades+'!$AG$3,"S-",IF(P369&lt;'PlayerGrades+'!$AG$2,"S","S+"))))))))))))))))))))</f>
        <v>A</v>
      </c>
      <c r="R369" s="937">
        <f t="shared" si="8"/>
        <v>0.4943820225</v>
      </c>
      <c r="S369" s="937" t="str">
        <f>IF(R369&lt;'PlayerGrades+'!$AH$21,"F-",IF(R369&lt;'PlayerGrades+'!$AH$20,"F",IF(R369&lt;'PlayerGrades+'!$AH$19,"F+",IF(R369&lt;'PlayerGrades+'!$AH$18,"E-",IF(R369&lt;'PlayerGrades+'!$AH$17,"E",IF(R369&lt;'PlayerGrades+'!$AH$16,"E+",IF(R369&lt;'PlayerGrades+'!$AH$15,"D-",IF(R369&lt;'PlayerGrades+'!$AH$14,"D",IF(R369&lt;'PlayerGrades+'!$AH$13,"D+",IF(R369&lt;'PlayerGrades+'!$AH$12,"C-",IF(R369&lt;'PlayerGrades+'!$AH$11,"C",IF(R369&lt;'PlayerGrades+'!$AH$10,"C+",IF(R369&lt;'PlayerGrades+'!$AH$9,"B-",IF(R369&lt;'PlayerGrades+'!$AH$8,"B",IF(R369&lt;'PlayerGrades+'!$AH$7,"B+",IF(R369&lt;'PlayerGrades+'!$AH$6,"A-",IF(R369&lt;'PlayerGrades+'!$AH$5,"A",IF(R369&lt;'PlayerGrades+'!$AH$4,"A+",IF(R369&lt;'PlayerGrades+'!$AH$3,"S-",IF(R369&lt;'PlayerGrades+'!$AH$2,"S","S+"))))))))))))))))))))</f>
        <v>D-</v>
      </c>
      <c r="T369" s="937">
        <f t="shared" si="9"/>
        <v>0.5393258427</v>
      </c>
      <c r="U369" s="937" t="str">
        <f>IF(T369&lt;'PlayerGrades+'!$AI$21,"F-",IF(T369&lt;'PlayerGrades+'!$AI$20,"F",IF(T369&lt;'PlayerGrades+'!$AI$19,"F+",IF(T369&lt;'PlayerGrades+'!$AI$18,"E-",IF(T369&lt;'PlayerGrades+'!$AI$17,"E",IF(T369&lt;'PlayerGrades+'!$AI$16,"E+",IF(T369&lt;'PlayerGrades+'!$AI$15,"D-",IF(T369&lt;'PlayerGrades+'!$AI$14,"D",IF(T369&lt;'PlayerGrades+'!$AI$13,"D+",IF(T369&lt;'PlayerGrades+'!$AI$12,"C-",IF(T369&lt;'PlayerGrades+'!$AI$11,"C",IF(T369&lt;'PlayerGrades+'!$AI$10,"C+",IF(T369&lt;'PlayerGrades+'!$AI$9,"B-",IF(T369&lt;'PlayerGrades+'!$AI$8,"B",IF(T369&lt;'PlayerGrades+'!$AI$7,"B+",IF(T369&lt;'PlayerGrades+'!$AI$6,"A-",IF(T369&lt;'PlayerGrades+'!$AI$5,"A",IF(T369&lt;'PlayerGrades+'!$AI$4,"A+",IF(T369&lt;'PlayerGrades+'!$AI$3,"S-",IF(T369&lt;'PlayerGrades+'!$AI$2,"S","S+"))))))))))))))))))))</f>
        <v>F-</v>
      </c>
      <c r="V369" s="944">
        <v>1.0</v>
      </c>
      <c r="W369" s="944">
        <v>0.0</v>
      </c>
      <c r="X369" s="944">
        <v>1.0</v>
      </c>
      <c r="Y369" s="944">
        <v>0.0</v>
      </c>
      <c r="Z369" s="944">
        <v>0.0</v>
      </c>
      <c r="AA369" s="944">
        <v>66.0</v>
      </c>
      <c r="AB369" s="944">
        <v>97.0</v>
      </c>
      <c r="AC369" s="944">
        <v>-31.0</v>
      </c>
      <c r="AD369" s="944">
        <v>6.0</v>
      </c>
      <c r="AE369" s="944">
        <v>6.0</v>
      </c>
      <c r="AF369" s="944">
        <v>1.0</v>
      </c>
      <c r="AG369" s="944">
        <v>936.0</v>
      </c>
      <c r="AH369" s="944">
        <v>1335.0</v>
      </c>
      <c r="AI369" s="944">
        <v>9.0</v>
      </c>
      <c r="AJ369" s="944">
        <v>1.0</v>
      </c>
      <c r="AK369" s="944">
        <v>0.0</v>
      </c>
      <c r="AL369" s="944">
        <v>1.0</v>
      </c>
      <c r="AM369" s="944">
        <v>0.0</v>
      </c>
      <c r="AN369" s="944">
        <v>0.0</v>
      </c>
      <c r="AO369" s="944">
        <v>0.0</v>
      </c>
      <c r="AP369" s="944">
        <v>1.0</v>
      </c>
      <c r="AQ369" s="944">
        <v>0.0</v>
      </c>
      <c r="AR369" s="944">
        <v>10.0</v>
      </c>
      <c r="AS369" s="944">
        <v>3.0</v>
      </c>
      <c r="AT369" s="944">
        <v>0.0</v>
      </c>
      <c r="AU369" s="944">
        <v>0.0</v>
      </c>
      <c r="AV369" s="944">
        <v>0.0</v>
      </c>
      <c r="AW369" s="944">
        <v>0.0</v>
      </c>
      <c r="AX369" s="944">
        <v>0.0</v>
      </c>
      <c r="AY369" s="944">
        <v>0.0</v>
      </c>
      <c r="AZ369" s="944">
        <v>0.0</v>
      </c>
      <c r="BA369" s="944">
        <v>0.0</v>
      </c>
      <c r="BB369" s="944">
        <v>4.0</v>
      </c>
      <c r="BC369" s="944">
        <v>0.0</v>
      </c>
      <c r="BD369" s="944">
        <v>5.0</v>
      </c>
      <c r="BE369" s="944">
        <v>12.0</v>
      </c>
      <c r="BF369" s="944">
        <v>0.0</v>
      </c>
      <c r="BG369" s="944">
        <v>0.0</v>
      </c>
    </row>
    <row r="370">
      <c r="A370" s="946" t="s">
        <v>114</v>
      </c>
      <c r="B370" s="16" t="str">
        <f>IF(C370&lt;'PlayerGrades+'!$Y$44,"F-",IF(C370&lt;'PlayerGrades+'!$Y$43,"F",IF(C370&lt;'PlayerGrades+'!$Y$42,"F+",IF(C370&lt;'PlayerGrades+'!$Y$41,"E-",IF(C370&lt;'PlayerGrades+'!$Y$40,"E",IF(C370&lt;'PlayerGrades+'!$Y$39,"E+",IF(C370&lt;'PlayerGrades+'!$Y$38,"D-",IF(C370&lt;'PlayerGrades+'!$Y$37,"D",IF(C370&lt;'PlayerGrades+'!$Y$36,"D+",IF(C370&lt;'PlayerGrades+'!$Y$35,"C-",IF(C370&lt;'PlayerGrades+'!$Y$34,"C",IF(C370&lt;'PlayerGrades+'!$Y$33,"C+",IF(C370&lt;'PlayerGrades+'!$Y$32,"B-",IF(C370&lt;'PlayerGrades+'!$Y$31,"B",IF(C370&lt;'PlayerGrades+'!$Y$30,"B+",IF(C370&lt;'PlayerGrades+'!$Y$29,"A-",IF(C370&lt;'PlayerGrades+'!$Y$28,"A",IF(C370&lt;'PlayerGrades+'!$Y$27,"A+",IF(C370&lt;'PlayerGrades+'!$Y$26,"S-",IF(C370&lt;'PlayerGrades+'!$Y$25,"S","S+"))))))))))))))))))))</f>
        <v>E</v>
      </c>
      <c r="C370" s="936">
        <f>('PlayerGrades+'!$Y$47*(VLOOKUP(E370, 'PlayerGrades+'!$X$3:$Y$23, 2, FALSE)))+('PlayerGrades+'!$Y$48*(VLOOKUP(G370, 'PlayerGrades+'!$X$3:$Y$23, 2, FALSE)))+('PlayerGrades+'!$Y$49*(VLOOKUP(I370, 'PlayerGrades+'!$X$3:$Y$23, 2, FALSE)))+('PlayerGrades+'!$Y$50*(VLOOKUP(K370, 'PlayerGrades+'!$X$3:$Y$23, 2, FALSE)))+('PlayerGrades+'!$Y$51*(VLOOKUP(M370, 'PlayerGrades+'!$X$3:$Y$23, 2, FALSE)))+('PlayerGrades+'!$Y$52*(VLOOKUP(O370, 'PlayerGrades+'!$X$3:$Y$23, 2, FALSE)))+('PlayerGrades+'!$Y$53*(VLOOKUP(Q370, 'PlayerGrades+'!$X$3:$Y$23, 2, FALSE)))+('PlayerGrades+'!$Y$54*(VLOOKUP(S370, 'PlayerGrades+'!$X$3:$Y$23, 2, FALSE)))+('PlayerGrades+'!$Y$55*(VLOOKUP(U370, 'PlayerGrades+'!$X$3:$Y$23, 2, FALSE)))</f>
        <v>13.2</v>
      </c>
      <c r="D370" s="937">
        <f t="shared" si="1"/>
        <v>0.5636007828</v>
      </c>
      <c r="E370" s="937" t="str">
        <f>IF(D370&lt;'PlayerGrades+'!$AA$21,"F-",IF(D370&lt;'PlayerGrades+'!$AA$20,"F",IF(D370&lt;'PlayerGrades+'!$AA$19,"F+",IF(D370&lt;'PlayerGrades+'!$AA$18,"E-",IF(D370&lt;'PlayerGrades+'!$AA$17,"E",IF(D370&lt;'PlayerGrades+'!$AA$16,"E+",IF(D370&lt;'PlayerGrades+'!$AA$15,"D-",IF(D370&lt;'PlayerGrades+'!$AA$14,"D",IF(D370&lt;'PlayerGrades+'!$AA$13,"D+",IF(D370&lt;'PlayerGrades+'!$AA$12,"C-",IF(D370&lt;'PlayerGrades+'!$AA$11,"C",IF(D370&lt;'PlayerGrades+'!$AA$10,"C+",IF(D370&lt;'PlayerGrades+'!$AA$9,"B-",IF(D370&lt;'PlayerGrades+'!$AA$8,"B",IF(D370&lt;'PlayerGrades+'!$AA$7,"B+",IF(D370&lt;'PlayerGrades+'!$AA$6,"A-",IF(D370&lt;'PlayerGrades+'!$AA$5,"A",IF(D370&lt;'PlayerGrades+'!$AA$4,"A+",IF(D370&lt;'PlayerGrades+'!$AA$3,"S-",IF(D370&lt;'PlayerGrades+'!$AA$2,"S","S+"))))))))))))))))))))</f>
        <v>S-</v>
      </c>
      <c r="F370" s="937">
        <f t="shared" si="2"/>
        <v>0.02348336595</v>
      </c>
      <c r="G370" s="937" t="str">
        <f>IF(F370&lt;'PlayerGrades+'!$AB$21,"F-",IF(F370&lt;'PlayerGrades+'!$AB$20,"F",IF(F370&lt;'PlayerGrades+'!$AB$19,"F+",IF(F370&lt;'PlayerGrades+'!$AB$18,"E-",IF(F370&lt;'PlayerGrades+'!$AB$17,"E",IF(F370&lt;'PlayerGrades+'!$AB$16,"E+",IF(F370&lt;'PlayerGrades+'!$AB$15,"D-",IF(F370&lt;'PlayerGrades+'!$AB$14,"D",IF(F370&lt;'PlayerGrades+'!$AB$13,"D+",IF(F370&lt;'PlayerGrades+'!$AB$12,"C-",IF(F370&lt;'PlayerGrades+'!$AB$11,"C",IF(F370&lt;'PlayerGrades+'!$AB$10,"C+",IF(F370&lt;'PlayerGrades+'!$AB$9,"B-",IF(F370&lt;'PlayerGrades+'!$AB$8,"B",IF(F370&lt;'PlayerGrades+'!$AB$7,"B+",IF(F370&lt;'PlayerGrades+'!$AB$6,"A-",IF(F370&lt;'PlayerGrades+'!$AB$5,"A",IF(F370&lt;'PlayerGrades+'!$AB$4,"A+",IF(F370&lt;'PlayerGrades+'!$AB$3,"S-",IF(F370&lt;'PlayerGrades+'!$AB$2,"S","S+"))))))))))))))))))))</f>
        <v>B</v>
      </c>
      <c r="H370" s="937">
        <f t="shared" si="3"/>
        <v>0.02348336595</v>
      </c>
      <c r="I370" s="937" t="str">
        <f>IF(H370&lt;'PlayerGrades+'!$AC$21,"F-",IF(H370&lt;'PlayerGrades+'!$AC$20,"F",IF(H370&lt;'PlayerGrades+'!$AC$19,"F+",IF(H370&lt;'PlayerGrades+'!$AC$18,"E-",IF(H370&lt;'PlayerGrades+'!$AC$17,"E",IF(H370&lt;'PlayerGrades+'!$AC$16,"E+",IF(H370&lt;'PlayerGrades+'!$AC$15,"D-",IF(H370&lt;'PlayerGrades+'!$AC$14,"D",IF(H370&lt;'PlayerGrades+'!$AC$13,"D+",IF(H370&lt;'PlayerGrades+'!$AC$12,"C-",IF(H370&lt;'PlayerGrades+'!$AC$11,"C",IF(H370&lt;'PlayerGrades+'!$AC$10,"C+",IF(H370&lt;'PlayerGrades+'!$AC$9,"B-",IF(H370&lt;'PlayerGrades+'!$AC$8,"B",IF(H370&lt;'PlayerGrades+'!$AC$7,"B+",IF(H370&lt;'PlayerGrades+'!$AC$6,"A-",IF(H370&lt;'PlayerGrades+'!$AC$5,"A",IF(H370&lt;'PlayerGrades+'!$AC$4,"A+",IF(H370&lt;'PlayerGrades+'!$AC$3,"S-",IF(H370&lt;'PlayerGrades+'!$AC$2,"S","S+"))))))))))))))))))))</f>
        <v>F-</v>
      </c>
      <c r="J370" s="937">
        <f t="shared" si="4"/>
        <v>0.02348336595</v>
      </c>
      <c r="K370" s="937" t="str">
        <f>IF(J370&lt;'PlayerGrades+'!$AD$21,"F-",IF(J370&lt;'PlayerGrades+'!$AD$20,"F",IF(J370&lt;'PlayerGrades+'!$AD$19,"F+",IF(J370&lt;'PlayerGrades+'!$AD$18,"E-",IF(J370&lt;'PlayerGrades+'!$AD$17,"E",IF(J370&lt;'PlayerGrades+'!$AD$16,"E+",IF(J370&lt;'PlayerGrades+'!$AD$15,"D-",IF(J370&lt;'PlayerGrades+'!$AD$14,"D",IF(J370&lt;'PlayerGrades+'!$AD$13,"D+",IF(J370&lt;'PlayerGrades+'!$AD$12,"C-",IF(J370&lt;'PlayerGrades+'!$AD$11,"C",IF(J370&lt;'PlayerGrades+'!$AD$10,"C+",IF(J370&lt;'PlayerGrades+'!$AD$9,"B-",IF(J370&lt;'PlayerGrades+'!$AD$8,"B",IF(J370&lt;'PlayerGrades+'!$AD$7,"B+",IF(J370&lt;'PlayerGrades+'!$AD$6,"A-",IF(J370&lt;'PlayerGrades+'!$AD$5,"A",IF(J370&lt;'PlayerGrades+'!$AD$4,"A+",IF(J370&lt;'PlayerGrades+'!$AD$3,"S-",IF(J370&lt;'PlayerGrades+'!$AD$2,"S","S+"))))))))))))))))))))</f>
        <v>D-</v>
      </c>
      <c r="L370" s="677">
        <f t="shared" si="5"/>
        <v>0.1174168297</v>
      </c>
      <c r="M370" s="938" t="str">
        <f>IF(L370&lt;'PlayerGrades+'!$AE$21,"F-",IF(L370&lt;'PlayerGrades+'!$AE$20,"F",IF(L370&lt;'PlayerGrades+'!$AE$19,"F+",IF(L370&lt;'PlayerGrades+'!$AE$18,"E-",IF(L370&lt;'PlayerGrades+'!$AE$17,"E",IF(L370&lt;'PlayerGrades+'!$AE$16,"E+",IF(L370&lt;'PlayerGrades+'!$AE$15,"D-",IF(L370&lt;'PlayerGrades+'!$AE$14,"D",IF(L370&lt;'PlayerGrades+'!$AE$13,"D+",IF(L370&lt;'PlayerGrades+'!$AE$12,"C-",IF(L370&lt;'PlayerGrades+'!$AE$11,"C",IF(L370&lt;'PlayerGrades+'!$AE$10,"C+",IF(L370&lt;'PlayerGrades+'!$AE$9,"B-",IF(L370&lt;'PlayerGrades+'!$AE$8,"B",IF(L370&lt;'PlayerGrades+'!$AE$7,"B+",IF(L370&lt;'PlayerGrades+'!$AE$6,"A-",IF(L370&lt;'PlayerGrades+'!$AE$5,"A",IF(L370&lt;'PlayerGrades+'!$AE$4,"A+",IF(L370&lt;'PlayerGrades+'!$AE$3,"S-",IF(L370&lt;'PlayerGrades+'!$AE$2,"S","S+"))))))))))))))))))))</f>
        <v>F-</v>
      </c>
      <c r="N370" s="937">
        <f t="shared" si="6"/>
        <v>0</v>
      </c>
      <c r="O370" s="937" t="str">
        <f>IF(N370&lt;'PlayerGrades+'!$AF$21,"F-",IF(N370&lt;'PlayerGrades+'!$AF$20,"F",IF(N370&lt;'PlayerGrades+'!$AF$19,"F+",IF(N370&lt;'PlayerGrades+'!$AF$18,"E-",IF(N370&lt;'PlayerGrades+'!$AF$17,"E",IF(N370&lt;'PlayerGrades+'!$AF$16,"E+",IF(N370&lt;'PlayerGrades+'!$AF$15,"D-",IF(N370&lt;'PlayerGrades+'!$AF$14,"D",IF(N370&lt;'PlayerGrades+'!$AF$13,"D+",IF(N370&lt;'PlayerGrades+'!$AF$12,"C-",IF(N370&lt;'PlayerGrades+'!$AF$11,"C",IF(N370&lt;'PlayerGrades+'!$AF$10,"C+",IF(N370&lt;'PlayerGrades+'!$AF$9,"B-",IF(N370&lt;'PlayerGrades+'!$AF$8,"B",IF(N370&lt;'PlayerGrades+'!$AF$7,"B+",IF(N370&lt;'PlayerGrades+'!$AF$6,"A-",IF(N370&lt;'PlayerGrades+'!$AF$5,"A",IF(N370&lt;'PlayerGrades+'!$AF$4,"A+",IF(N370&lt;'PlayerGrades+'!$AF$3,"S-",IF(N370&lt;'PlayerGrades+'!$AF$2,"S","S+"))))))))))))))))))))</f>
        <v>F-</v>
      </c>
      <c r="P370" s="937">
        <f t="shared" si="7"/>
        <v>0</v>
      </c>
      <c r="Q370" s="937" t="str">
        <f>IF(P370&lt;'PlayerGrades+'!$AG$21,"F-",IF(P370&lt;'PlayerGrades+'!$AG$20,"F",IF(P370&lt;'PlayerGrades+'!$AG$19,"F+",IF(P370&lt;'PlayerGrades+'!$AG$18,"E-",IF(P370&lt;'PlayerGrades+'!$AG$17,"E",IF(P370&lt;'PlayerGrades+'!$AG$16,"E+",IF(P370&lt;'PlayerGrades+'!$AG$15,"D-",IF(P370&lt;'PlayerGrades+'!$AG$14,"D",IF(P370&lt;'PlayerGrades+'!$AG$13,"D+",IF(P370&lt;'PlayerGrades+'!$AG$12,"C-",IF(P370&lt;'PlayerGrades+'!$AG$11,"C",IF(P370&lt;'PlayerGrades+'!$AG$10,"C+",IF(P370&lt;'PlayerGrades+'!$AG$9,"B-",IF(P370&lt;'PlayerGrades+'!$AG$8,"B",IF(P370&lt;'PlayerGrades+'!$AG$7,"B+",IF(P370&lt;'PlayerGrades+'!$AG$6,"A-",IF(P370&lt;'PlayerGrades+'!$AG$5,"A",IF(P370&lt;'PlayerGrades+'!$AG$4,"A+",IF(P370&lt;'PlayerGrades+'!$AG$3,"S-",IF(P370&lt;'PlayerGrades+'!$AG$2,"S","S+"))))))))))))))))))))</f>
        <v>F</v>
      </c>
      <c r="R370" s="937">
        <f t="shared" si="8"/>
        <v>0.3522504892</v>
      </c>
      <c r="S370" s="937" t="str">
        <f>IF(R370&lt;'PlayerGrades+'!$AH$21,"F-",IF(R370&lt;'PlayerGrades+'!$AH$20,"F",IF(R370&lt;'PlayerGrades+'!$AH$19,"F+",IF(R370&lt;'PlayerGrades+'!$AH$18,"E-",IF(R370&lt;'PlayerGrades+'!$AH$17,"E",IF(R370&lt;'PlayerGrades+'!$AH$16,"E+",IF(R370&lt;'PlayerGrades+'!$AH$15,"D-",IF(R370&lt;'PlayerGrades+'!$AH$14,"D",IF(R370&lt;'PlayerGrades+'!$AH$13,"D+",IF(R370&lt;'PlayerGrades+'!$AH$12,"C-",IF(R370&lt;'PlayerGrades+'!$AH$11,"C",IF(R370&lt;'PlayerGrades+'!$AH$10,"C+",IF(R370&lt;'PlayerGrades+'!$AH$9,"B-",IF(R370&lt;'PlayerGrades+'!$AH$8,"B",IF(R370&lt;'PlayerGrades+'!$AH$7,"B+",IF(R370&lt;'PlayerGrades+'!$AH$6,"A-",IF(R370&lt;'PlayerGrades+'!$AH$5,"A",IF(R370&lt;'PlayerGrades+'!$AH$4,"A+",IF(R370&lt;'PlayerGrades+'!$AH$3,"S-",IF(R370&lt;'PlayerGrades+'!$AH$2,"S","S+"))))))))))))))))))))</f>
        <v>F</v>
      </c>
      <c r="T370" s="937">
        <f t="shared" si="9"/>
        <v>2.11741683</v>
      </c>
      <c r="U370" s="937" t="str">
        <f>IF(T370&lt;'PlayerGrades+'!$AI$21,"F-",IF(T370&lt;'PlayerGrades+'!$AI$20,"F",IF(T370&lt;'PlayerGrades+'!$AI$19,"F+",IF(T370&lt;'PlayerGrades+'!$AI$18,"E-",IF(T370&lt;'PlayerGrades+'!$AI$17,"E",IF(T370&lt;'PlayerGrades+'!$AI$16,"E+",IF(T370&lt;'PlayerGrades+'!$AI$15,"D-",IF(T370&lt;'PlayerGrades+'!$AI$14,"D",IF(T370&lt;'PlayerGrades+'!$AI$13,"D+",IF(T370&lt;'PlayerGrades+'!$AI$12,"C-",IF(T370&lt;'PlayerGrades+'!$AI$11,"C",IF(T370&lt;'PlayerGrades+'!$AI$10,"C+",IF(T370&lt;'PlayerGrades+'!$AI$9,"B-",IF(T370&lt;'PlayerGrades+'!$AI$8,"B",IF(T370&lt;'PlayerGrades+'!$AI$7,"B+",IF(T370&lt;'PlayerGrades+'!$AI$6,"A-",IF(T370&lt;'PlayerGrades+'!$AI$5,"A",IF(T370&lt;'PlayerGrades+'!$AI$4,"A+",IF(T370&lt;'PlayerGrades+'!$AI$3,"S-",IF(T370&lt;'PlayerGrades+'!$AI$2,"S","S+"))))))))))))))))))))</f>
        <v>S+</v>
      </c>
      <c r="V370" s="939">
        <v>1.0</v>
      </c>
      <c r="W370" s="939">
        <v>1.0</v>
      </c>
      <c r="X370" s="939">
        <v>0.0</v>
      </c>
      <c r="Y370" s="939">
        <v>5.0</v>
      </c>
      <c r="Z370" s="939">
        <v>19.0</v>
      </c>
      <c r="AA370" s="939">
        <v>44.0</v>
      </c>
      <c r="AB370" s="939">
        <v>43.0</v>
      </c>
      <c r="AC370" s="939">
        <v>1.0</v>
      </c>
      <c r="AD370" s="939">
        <v>4.0</v>
      </c>
      <c r="AE370" s="939">
        <v>7.0</v>
      </c>
      <c r="AF370" s="939">
        <v>1.0</v>
      </c>
      <c r="AG370" s="939">
        <v>2305.0</v>
      </c>
      <c r="AH370" s="939">
        <v>2555.0</v>
      </c>
      <c r="AI370" s="939">
        <v>53.0</v>
      </c>
      <c r="AJ370" s="939">
        <v>1681.0</v>
      </c>
      <c r="AK370" s="939">
        <v>0.0</v>
      </c>
      <c r="AL370" s="939">
        <v>1.0</v>
      </c>
      <c r="AM370" s="939">
        <v>0.0</v>
      </c>
      <c r="AN370" s="939">
        <v>0.0</v>
      </c>
      <c r="AO370" s="939">
        <v>0.0</v>
      </c>
      <c r="AP370" s="939">
        <v>0.0</v>
      </c>
      <c r="AQ370" s="939">
        <v>0.0</v>
      </c>
      <c r="AR370" s="939">
        <v>5.0</v>
      </c>
      <c r="AS370" s="939">
        <v>0.0</v>
      </c>
      <c r="AT370" s="939">
        <v>0.0</v>
      </c>
      <c r="AU370" s="939">
        <v>0.0</v>
      </c>
      <c r="AV370" s="939">
        <v>0.0</v>
      </c>
      <c r="AW370" s="939">
        <v>0.0</v>
      </c>
      <c r="AX370" s="939">
        <v>0.0</v>
      </c>
      <c r="AY370" s="939">
        <v>0.0</v>
      </c>
      <c r="AZ370" s="939">
        <v>0.0</v>
      </c>
      <c r="BA370" s="939">
        <v>0.0</v>
      </c>
      <c r="BB370" s="939">
        <v>1.0</v>
      </c>
      <c r="BC370" s="939">
        <v>0.0</v>
      </c>
      <c r="BD370" s="939">
        <v>11.0</v>
      </c>
      <c r="BE370" s="939">
        <v>5.0</v>
      </c>
      <c r="BF370" s="939">
        <v>2.0</v>
      </c>
      <c r="BG370" s="940">
        <v>0.0</v>
      </c>
    </row>
    <row r="371">
      <c r="A371" s="935" t="s">
        <v>147</v>
      </c>
      <c r="B371" s="16" t="str">
        <f>IF(C371&lt;'PlayerGrades+'!$Y$44,"F-",IF(C371&lt;'PlayerGrades+'!$Y$43,"F",IF(C371&lt;'PlayerGrades+'!$Y$42,"F+",IF(C371&lt;'PlayerGrades+'!$Y$41,"E-",IF(C371&lt;'PlayerGrades+'!$Y$40,"E",IF(C371&lt;'PlayerGrades+'!$Y$39,"E+",IF(C371&lt;'PlayerGrades+'!$Y$38,"D-",IF(C371&lt;'PlayerGrades+'!$Y$37,"D",IF(C371&lt;'PlayerGrades+'!$Y$36,"D+",IF(C371&lt;'PlayerGrades+'!$Y$35,"C-",IF(C371&lt;'PlayerGrades+'!$Y$34,"C",IF(C371&lt;'PlayerGrades+'!$Y$33,"C+",IF(C371&lt;'PlayerGrades+'!$Y$32,"B-",IF(C371&lt;'PlayerGrades+'!$Y$31,"B",IF(C371&lt;'PlayerGrades+'!$Y$30,"B+",IF(C371&lt;'PlayerGrades+'!$Y$29,"A-",IF(C371&lt;'PlayerGrades+'!$Y$28,"A",IF(C371&lt;'PlayerGrades+'!$Y$27,"A+",IF(C371&lt;'PlayerGrades+'!$Y$26,"S-",IF(C371&lt;'PlayerGrades+'!$Y$25,"S","S+"))))))))))))))))))))</f>
        <v>C-</v>
      </c>
      <c r="C371" s="936">
        <f>('PlayerGrades+'!$Y$47*(VLOOKUP(E371, 'PlayerGrades+'!$X$3:$Y$23, 2, FALSE)))+('PlayerGrades+'!$Y$48*(VLOOKUP(G371, 'PlayerGrades+'!$X$3:$Y$23, 2, FALSE)))+('PlayerGrades+'!$Y$49*(VLOOKUP(I371, 'PlayerGrades+'!$X$3:$Y$23, 2, FALSE)))+('PlayerGrades+'!$Y$50*(VLOOKUP(K371, 'PlayerGrades+'!$X$3:$Y$23, 2, FALSE)))+('PlayerGrades+'!$Y$51*(VLOOKUP(M371, 'PlayerGrades+'!$X$3:$Y$23, 2, FALSE)))+('PlayerGrades+'!$Y$52*(VLOOKUP(O371, 'PlayerGrades+'!$X$3:$Y$23, 2, FALSE)))+('PlayerGrades+'!$Y$53*(VLOOKUP(Q371, 'PlayerGrades+'!$X$3:$Y$23, 2, FALSE)))+('PlayerGrades+'!$Y$54*(VLOOKUP(S371, 'PlayerGrades+'!$X$3:$Y$23, 2, FALSE)))+('PlayerGrades+'!$Y$55*(VLOOKUP(U371, 'PlayerGrades+'!$X$3:$Y$23, 2, FALSE)))</f>
        <v>19.05</v>
      </c>
      <c r="D371" s="937">
        <f t="shared" si="1"/>
        <v>0</v>
      </c>
      <c r="E371" s="937" t="str">
        <f>IF(D371&lt;'PlayerGrades+'!$AA$21,"F-",IF(D371&lt;'PlayerGrades+'!$AA$20,"F",IF(D371&lt;'PlayerGrades+'!$AA$19,"F+",IF(D371&lt;'PlayerGrades+'!$AA$18,"E-",IF(D371&lt;'PlayerGrades+'!$AA$17,"E",IF(D371&lt;'PlayerGrades+'!$AA$16,"E+",IF(D371&lt;'PlayerGrades+'!$AA$15,"D-",IF(D371&lt;'PlayerGrades+'!$AA$14,"D",IF(D371&lt;'PlayerGrades+'!$AA$13,"D+",IF(D371&lt;'PlayerGrades+'!$AA$12,"C-",IF(D371&lt;'PlayerGrades+'!$AA$11,"C",IF(D371&lt;'PlayerGrades+'!$AA$10,"C+",IF(D371&lt;'PlayerGrades+'!$AA$9,"B-",IF(D371&lt;'PlayerGrades+'!$AA$8,"B",IF(D371&lt;'PlayerGrades+'!$AA$7,"B+",IF(D371&lt;'PlayerGrades+'!$AA$6,"A-",IF(D371&lt;'PlayerGrades+'!$AA$5,"A",IF(D371&lt;'PlayerGrades+'!$AA$4,"A+",IF(D371&lt;'PlayerGrades+'!$AA$3,"S-",IF(D371&lt;'PlayerGrades+'!$AA$2,"S","S+"))))))))))))))))))))</f>
        <v>F-</v>
      </c>
      <c r="F371" s="937">
        <f t="shared" si="2"/>
        <v>-0.5636007828</v>
      </c>
      <c r="G371" s="937" t="str">
        <f>IF(F371&lt;'PlayerGrades+'!$AB$21,"F-",IF(F371&lt;'PlayerGrades+'!$AB$20,"F",IF(F371&lt;'PlayerGrades+'!$AB$19,"F+",IF(F371&lt;'PlayerGrades+'!$AB$18,"E-",IF(F371&lt;'PlayerGrades+'!$AB$17,"E",IF(F371&lt;'PlayerGrades+'!$AB$16,"E+",IF(F371&lt;'PlayerGrades+'!$AB$15,"D-",IF(F371&lt;'PlayerGrades+'!$AB$14,"D",IF(F371&lt;'PlayerGrades+'!$AB$13,"D+",IF(F371&lt;'PlayerGrades+'!$AB$12,"C-",IF(F371&lt;'PlayerGrades+'!$AB$11,"C",IF(F371&lt;'PlayerGrades+'!$AB$10,"C+",IF(F371&lt;'PlayerGrades+'!$AB$9,"B-",IF(F371&lt;'PlayerGrades+'!$AB$8,"B",IF(F371&lt;'PlayerGrades+'!$AB$7,"B+",IF(F371&lt;'PlayerGrades+'!$AB$6,"A-",IF(F371&lt;'PlayerGrades+'!$AB$5,"A",IF(F371&lt;'PlayerGrades+'!$AB$4,"A+",IF(F371&lt;'PlayerGrades+'!$AB$3,"S-",IF(F371&lt;'PlayerGrades+'!$AB$2,"S","S+"))))))))))))))))))))</f>
        <v>D</v>
      </c>
      <c r="H371" s="937">
        <f t="shared" si="3"/>
        <v>0.0939334638</v>
      </c>
      <c r="I371" s="937" t="str">
        <f>IF(H371&lt;'PlayerGrades+'!$AC$21,"F-",IF(H371&lt;'PlayerGrades+'!$AC$20,"F",IF(H371&lt;'PlayerGrades+'!$AC$19,"F+",IF(H371&lt;'PlayerGrades+'!$AC$18,"E-",IF(H371&lt;'PlayerGrades+'!$AC$17,"E",IF(H371&lt;'PlayerGrades+'!$AC$16,"E+",IF(H371&lt;'PlayerGrades+'!$AC$15,"D-",IF(H371&lt;'PlayerGrades+'!$AC$14,"D",IF(H371&lt;'PlayerGrades+'!$AC$13,"D+",IF(H371&lt;'PlayerGrades+'!$AC$12,"C-",IF(H371&lt;'PlayerGrades+'!$AC$11,"C",IF(H371&lt;'PlayerGrades+'!$AC$10,"C+",IF(H371&lt;'PlayerGrades+'!$AC$9,"B-",IF(H371&lt;'PlayerGrades+'!$AC$8,"B",IF(H371&lt;'PlayerGrades+'!$AC$7,"B+",IF(H371&lt;'PlayerGrades+'!$AC$6,"A-",IF(H371&lt;'PlayerGrades+'!$AC$5,"A",IF(H371&lt;'PlayerGrades+'!$AC$4,"A+",IF(H371&lt;'PlayerGrades+'!$AC$3,"S-",IF(H371&lt;'PlayerGrades+'!$AC$2,"S","S+"))))))))))))))))))))</f>
        <v>D+</v>
      </c>
      <c r="J371" s="937">
        <f t="shared" si="4"/>
        <v>0.02348336595</v>
      </c>
      <c r="K371" s="937" t="str">
        <f>IF(J371&lt;'PlayerGrades+'!$AD$21,"F-",IF(J371&lt;'PlayerGrades+'!$AD$20,"F",IF(J371&lt;'PlayerGrades+'!$AD$19,"F+",IF(J371&lt;'PlayerGrades+'!$AD$18,"E-",IF(J371&lt;'PlayerGrades+'!$AD$17,"E",IF(J371&lt;'PlayerGrades+'!$AD$16,"E+",IF(J371&lt;'PlayerGrades+'!$AD$15,"D-",IF(J371&lt;'PlayerGrades+'!$AD$14,"D",IF(J371&lt;'PlayerGrades+'!$AD$13,"D+",IF(J371&lt;'PlayerGrades+'!$AD$12,"C-",IF(J371&lt;'PlayerGrades+'!$AD$11,"C",IF(J371&lt;'PlayerGrades+'!$AD$10,"C+",IF(J371&lt;'PlayerGrades+'!$AD$9,"B-",IF(J371&lt;'PlayerGrades+'!$AD$8,"B",IF(J371&lt;'PlayerGrades+'!$AD$7,"B+",IF(J371&lt;'PlayerGrades+'!$AD$6,"A-",IF(J371&lt;'PlayerGrades+'!$AD$5,"A",IF(J371&lt;'PlayerGrades+'!$AD$4,"A+",IF(J371&lt;'PlayerGrades+'!$AD$3,"S-",IF(J371&lt;'PlayerGrades+'!$AD$2,"S","S+"))))))))))))))))))))</f>
        <v>D-</v>
      </c>
      <c r="L371" s="677">
        <f t="shared" si="5"/>
        <v>0.5166340509</v>
      </c>
      <c r="M371" s="938" t="str">
        <f>IF(L371&lt;'PlayerGrades+'!$AE$21,"F-",IF(L371&lt;'PlayerGrades+'!$AE$20,"F",IF(L371&lt;'PlayerGrades+'!$AE$19,"F+",IF(L371&lt;'PlayerGrades+'!$AE$18,"E-",IF(L371&lt;'PlayerGrades+'!$AE$17,"E",IF(L371&lt;'PlayerGrades+'!$AE$16,"E+",IF(L371&lt;'PlayerGrades+'!$AE$15,"D-",IF(L371&lt;'PlayerGrades+'!$AE$14,"D",IF(L371&lt;'PlayerGrades+'!$AE$13,"D+",IF(L371&lt;'PlayerGrades+'!$AE$12,"C-",IF(L371&lt;'PlayerGrades+'!$AE$11,"C",IF(L371&lt;'PlayerGrades+'!$AE$10,"C+",IF(L371&lt;'PlayerGrades+'!$AE$9,"B-",IF(L371&lt;'PlayerGrades+'!$AE$8,"B",IF(L371&lt;'PlayerGrades+'!$AE$7,"B+",IF(L371&lt;'PlayerGrades+'!$AE$6,"A-",IF(L371&lt;'PlayerGrades+'!$AE$5,"A",IF(L371&lt;'PlayerGrades+'!$AE$4,"A+",IF(L371&lt;'PlayerGrades+'!$AE$3,"S-",IF(L371&lt;'PlayerGrades+'!$AE$2,"S","S+"))))))))))))))))))))</f>
        <v>A-</v>
      </c>
      <c r="N371" s="937">
        <f t="shared" si="6"/>
        <v>0.0939334638</v>
      </c>
      <c r="O371" s="937" t="str">
        <f>IF(N371&lt;'PlayerGrades+'!$AF$21,"F-",IF(N371&lt;'PlayerGrades+'!$AF$20,"F",IF(N371&lt;'PlayerGrades+'!$AF$19,"F+",IF(N371&lt;'PlayerGrades+'!$AF$18,"E-",IF(N371&lt;'PlayerGrades+'!$AF$17,"E",IF(N371&lt;'PlayerGrades+'!$AF$16,"E+",IF(N371&lt;'PlayerGrades+'!$AF$15,"D-",IF(N371&lt;'PlayerGrades+'!$AF$14,"D",IF(N371&lt;'PlayerGrades+'!$AF$13,"D+",IF(N371&lt;'PlayerGrades+'!$AF$12,"C-",IF(N371&lt;'PlayerGrades+'!$AF$11,"C",IF(N371&lt;'PlayerGrades+'!$AF$10,"C+",IF(N371&lt;'PlayerGrades+'!$AF$9,"B-",IF(N371&lt;'PlayerGrades+'!$AF$8,"B",IF(N371&lt;'PlayerGrades+'!$AF$7,"B+",IF(N371&lt;'PlayerGrades+'!$AF$6,"A-",IF(N371&lt;'PlayerGrades+'!$AF$5,"A",IF(N371&lt;'PlayerGrades+'!$AF$4,"A+",IF(N371&lt;'PlayerGrades+'!$AF$3,"S-",IF(N371&lt;'PlayerGrades+'!$AF$2,"S","S+"))))))))))))))))))))</f>
        <v>A-</v>
      </c>
      <c r="P371" s="937">
        <f t="shared" si="7"/>
        <v>0.02348336595</v>
      </c>
      <c r="Q371" s="937" t="str">
        <f>IF(P371&lt;'PlayerGrades+'!$AG$21,"F-",IF(P371&lt;'PlayerGrades+'!$AG$20,"F",IF(P371&lt;'PlayerGrades+'!$AG$19,"F+",IF(P371&lt;'PlayerGrades+'!$AG$18,"E-",IF(P371&lt;'PlayerGrades+'!$AG$17,"E",IF(P371&lt;'PlayerGrades+'!$AG$16,"E+",IF(P371&lt;'PlayerGrades+'!$AG$15,"D-",IF(P371&lt;'PlayerGrades+'!$AG$14,"D",IF(P371&lt;'PlayerGrades+'!$AG$13,"D+",IF(P371&lt;'PlayerGrades+'!$AG$12,"C-",IF(P371&lt;'PlayerGrades+'!$AG$11,"C",IF(P371&lt;'PlayerGrades+'!$AG$10,"C+",IF(P371&lt;'PlayerGrades+'!$AG$9,"B-",IF(P371&lt;'PlayerGrades+'!$AG$8,"B",IF(P371&lt;'PlayerGrades+'!$AG$7,"B+",IF(P371&lt;'PlayerGrades+'!$AG$6,"A-",IF(P371&lt;'PlayerGrades+'!$AG$5,"A",IF(P371&lt;'PlayerGrades+'!$AG$4,"A+",IF(P371&lt;'PlayerGrades+'!$AG$3,"S-",IF(P371&lt;'PlayerGrades+'!$AG$2,"S","S+"))))))))))))))))))))</f>
        <v>B-</v>
      </c>
      <c r="R371" s="937">
        <f t="shared" si="8"/>
        <v>0.5636007828</v>
      </c>
      <c r="S371" s="937" t="str">
        <f>IF(R371&lt;'PlayerGrades+'!$AH$21,"F-",IF(R371&lt;'PlayerGrades+'!$AH$20,"F",IF(R371&lt;'PlayerGrades+'!$AH$19,"F+",IF(R371&lt;'PlayerGrades+'!$AH$18,"E-",IF(R371&lt;'PlayerGrades+'!$AH$17,"E",IF(R371&lt;'PlayerGrades+'!$AH$16,"E+",IF(R371&lt;'PlayerGrades+'!$AH$15,"D-",IF(R371&lt;'PlayerGrades+'!$AH$14,"D",IF(R371&lt;'PlayerGrades+'!$AH$13,"D+",IF(R371&lt;'PlayerGrades+'!$AH$12,"C-",IF(R371&lt;'PlayerGrades+'!$AH$11,"C",IF(R371&lt;'PlayerGrades+'!$AH$10,"C+",IF(R371&lt;'PlayerGrades+'!$AH$9,"B-",IF(R371&lt;'PlayerGrades+'!$AH$8,"B",IF(R371&lt;'PlayerGrades+'!$AH$7,"B+",IF(R371&lt;'PlayerGrades+'!$AH$6,"A-",IF(R371&lt;'PlayerGrades+'!$AH$5,"A",IF(R371&lt;'PlayerGrades+'!$AH$4,"A+",IF(R371&lt;'PlayerGrades+'!$AH$3,"S-",IF(R371&lt;'PlayerGrades+'!$AH$2,"S","S+"))))))))))))))))))))</f>
        <v>B-</v>
      </c>
      <c r="T371" s="937">
        <f t="shared" si="9"/>
        <v>0.5870841487</v>
      </c>
      <c r="U371" s="937" t="str">
        <f>IF(T371&lt;'PlayerGrades+'!$AI$21,"F-",IF(T371&lt;'PlayerGrades+'!$AI$20,"F",IF(T371&lt;'PlayerGrades+'!$AI$19,"F+",IF(T371&lt;'PlayerGrades+'!$AI$18,"E-",IF(T371&lt;'PlayerGrades+'!$AI$17,"E",IF(T371&lt;'PlayerGrades+'!$AI$16,"E+",IF(T371&lt;'PlayerGrades+'!$AI$15,"D-",IF(T371&lt;'PlayerGrades+'!$AI$14,"D",IF(T371&lt;'PlayerGrades+'!$AI$13,"D+",IF(T371&lt;'PlayerGrades+'!$AI$12,"C-",IF(T371&lt;'PlayerGrades+'!$AI$11,"C",IF(T371&lt;'PlayerGrades+'!$AI$10,"C+",IF(T371&lt;'PlayerGrades+'!$AI$9,"B-",IF(T371&lt;'PlayerGrades+'!$AI$8,"B",IF(T371&lt;'PlayerGrades+'!$AI$7,"B+",IF(T371&lt;'PlayerGrades+'!$AI$6,"A-",IF(T371&lt;'PlayerGrades+'!$AI$5,"A",IF(T371&lt;'PlayerGrades+'!$AI$4,"A+",IF(T371&lt;'PlayerGrades+'!$AI$3,"S-",IF(T371&lt;'PlayerGrades+'!$AI$2,"S","S+"))))))))))))))))))))</f>
        <v>F-</v>
      </c>
      <c r="V371" s="941">
        <v>1.0</v>
      </c>
      <c r="W371" s="941">
        <v>1.0</v>
      </c>
      <c r="X371" s="941">
        <v>0.0</v>
      </c>
      <c r="Y371" s="941">
        <v>0.0</v>
      </c>
      <c r="Z371" s="941">
        <v>0.0</v>
      </c>
      <c r="AA371" s="941">
        <v>131.0</v>
      </c>
      <c r="AB371" s="941">
        <v>155.0</v>
      </c>
      <c r="AC371" s="941">
        <v>-24.0</v>
      </c>
      <c r="AD371" s="941">
        <v>10.0</v>
      </c>
      <c r="AE371" s="941">
        <v>5.0</v>
      </c>
      <c r="AF371" s="941">
        <v>1.0</v>
      </c>
      <c r="AG371" s="941">
        <v>1974.0</v>
      </c>
      <c r="AH371" s="941">
        <v>2555.0</v>
      </c>
      <c r="AI371" s="941">
        <v>12.0</v>
      </c>
      <c r="AJ371" s="941">
        <v>7.0</v>
      </c>
      <c r="AK371" s="941">
        <v>0.0</v>
      </c>
      <c r="AL371" s="941">
        <v>1.0</v>
      </c>
      <c r="AM371" s="941">
        <v>0.0</v>
      </c>
      <c r="AN371" s="941">
        <v>0.0</v>
      </c>
      <c r="AO371" s="941">
        <v>0.0</v>
      </c>
      <c r="AP371" s="941">
        <v>1.0</v>
      </c>
      <c r="AQ371" s="941">
        <v>0.0</v>
      </c>
      <c r="AR371" s="941">
        <v>22.0</v>
      </c>
      <c r="AS371" s="941">
        <v>4.0</v>
      </c>
      <c r="AT371" s="941">
        <v>2.0</v>
      </c>
      <c r="AU371" s="941">
        <v>1.0</v>
      </c>
      <c r="AV371" s="941">
        <v>0.0</v>
      </c>
      <c r="AW371" s="941">
        <v>0.0</v>
      </c>
      <c r="AX371" s="941">
        <v>0.0</v>
      </c>
      <c r="AY371" s="941">
        <v>0.0</v>
      </c>
      <c r="AZ371" s="941">
        <v>0.0</v>
      </c>
      <c r="BA371" s="941">
        <v>0.0</v>
      </c>
      <c r="BB371" s="941">
        <v>4.0</v>
      </c>
      <c r="BC371" s="941">
        <v>0.0</v>
      </c>
      <c r="BD371" s="941">
        <v>14.0</v>
      </c>
      <c r="BE371" s="941">
        <v>25.0</v>
      </c>
      <c r="BF371" s="941">
        <v>0.0</v>
      </c>
      <c r="BG371" s="942">
        <v>0.0</v>
      </c>
    </row>
    <row r="372">
      <c r="A372" s="935" t="s">
        <v>136</v>
      </c>
      <c r="B372" s="16" t="str">
        <f>IF(C372&lt;'PlayerGrades+'!$Y$44,"F-",IF(C372&lt;'PlayerGrades+'!$Y$43,"F",IF(C372&lt;'PlayerGrades+'!$Y$42,"F+",IF(C372&lt;'PlayerGrades+'!$Y$41,"E-",IF(C372&lt;'PlayerGrades+'!$Y$40,"E",IF(C372&lt;'PlayerGrades+'!$Y$39,"E+",IF(C372&lt;'PlayerGrades+'!$Y$38,"D-",IF(C372&lt;'PlayerGrades+'!$Y$37,"D",IF(C372&lt;'PlayerGrades+'!$Y$36,"D+",IF(C372&lt;'PlayerGrades+'!$Y$35,"C-",IF(C372&lt;'PlayerGrades+'!$Y$34,"C",IF(C372&lt;'PlayerGrades+'!$Y$33,"C+",IF(C372&lt;'PlayerGrades+'!$Y$32,"B-",IF(C372&lt;'PlayerGrades+'!$Y$31,"B",IF(C372&lt;'PlayerGrades+'!$Y$30,"B+",IF(C372&lt;'PlayerGrades+'!$Y$29,"A-",IF(C372&lt;'PlayerGrades+'!$Y$28,"A",IF(C372&lt;'PlayerGrades+'!$Y$27,"A+",IF(C372&lt;'PlayerGrades+'!$Y$26,"S-",IF(C372&lt;'PlayerGrades+'!$Y$25,"S","S+"))))))))))))))))))))</f>
        <v>A</v>
      </c>
      <c r="C372" s="936">
        <f>('PlayerGrades+'!$Y$47*(VLOOKUP(E372, 'PlayerGrades+'!$X$3:$Y$23, 2, FALSE)))+('PlayerGrades+'!$Y$48*(VLOOKUP(G372, 'PlayerGrades+'!$X$3:$Y$23, 2, FALSE)))+('PlayerGrades+'!$Y$49*(VLOOKUP(I372, 'PlayerGrades+'!$X$3:$Y$23, 2, FALSE)))+('PlayerGrades+'!$Y$50*(VLOOKUP(K372, 'PlayerGrades+'!$X$3:$Y$23, 2, FALSE)))+('PlayerGrades+'!$Y$51*(VLOOKUP(M372, 'PlayerGrades+'!$X$3:$Y$23, 2, FALSE)))+('PlayerGrades+'!$Y$52*(VLOOKUP(O372, 'PlayerGrades+'!$X$3:$Y$23, 2, FALSE)))+('PlayerGrades+'!$Y$53*(VLOOKUP(Q372, 'PlayerGrades+'!$X$3:$Y$23, 2, FALSE)))+('PlayerGrades+'!$Y$54*(VLOOKUP(S372, 'PlayerGrades+'!$X$3:$Y$23, 2, FALSE)))+('PlayerGrades+'!$Y$55*(VLOOKUP(U372, 'PlayerGrades+'!$X$3:$Y$23, 2, FALSE)))</f>
        <v>27.55</v>
      </c>
      <c r="D372" s="937">
        <f t="shared" si="1"/>
        <v>0</v>
      </c>
      <c r="E372" s="937" t="str">
        <f>IF(D372&lt;'PlayerGrades+'!$AA$21,"F-",IF(D372&lt;'PlayerGrades+'!$AA$20,"F",IF(D372&lt;'PlayerGrades+'!$AA$19,"F+",IF(D372&lt;'PlayerGrades+'!$AA$18,"E-",IF(D372&lt;'PlayerGrades+'!$AA$17,"E",IF(D372&lt;'PlayerGrades+'!$AA$16,"E+",IF(D372&lt;'PlayerGrades+'!$AA$15,"D-",IF(D372&lt;'PlayerGrades+'!$AA$14,"D",IF(D372&lt;'PlayerGrades+'!$AA$13,"D+",IF(D372&lt;'PlayerGrades+'!$AA$12,"C-",IF(D372&lt;'PlayerGrades+'!$AA$11,"C",IF(D372&lt;'PlayerGrades+'!$AA$10,"C+",IF(D372&lt;'PlayerGrades+'!$AA$9,"B-",IF(D372&lt;'PlayerGrades+'!$AA$8,"B",IF(D372&lt;'PlayerGrades+'!$AA$7,"B+",IF(D372&lt;'PlayerGrades+'!$AA$6,"A-",IF(D372&lt;'PlayerGrades+'!$AA$5,"A",IF(D372&lt;'PlayerGrades+'!$AA$4,"A+",IF(D372&lt;'PlayerGrades+'!$AA$3,"S-",IF(D372&lt;'PlayerGrades+'!$AA$2,"S","S+"))))))))))))))))))))</f>
        <v>F-</v>
      </c>
      <c r="F372" s="937">
        <f t="shared" si="2"/>
        <v>0.0469667319</v>
      </c>
      <c r="G372" s="937" t="str">
        <f>IF(F372&lt;'PlayerGrades+'!$AB$21,"F-",IF(F372&lt;'PlayerGrades+'!$AB$20,"F",IF(F372&lt;'PlayerGrades+'!$AB$19,"F+",IF(F372&lt;'PlayerGrades+'!$AB$18,"E-",IF(F372&lt;'PlayerGrades+'!$AB$17,"E",IF(F372&lt;'PlayerGrades+'!$AB$16,"E+",IF(F372&lt;'PlayerGrades+'!$AB$15,"D-",IF(F372&lt;'PlayerGrades+'!$AB$14,"D",IF(F372&lt;'PlayerGrades+'!$AB$13,"D+",IF(F372&lt;'PlayerGrades+'!$AB$12,"C-",IF(F372&lt;'PlayerGrades+'!$AB$11,"C",IF(F372&lt;'PlayerGrades+'!$AB$10,"C+",IF(F372&lt;'PlayerGrades+'!$AB$9,"B-",IF(F372&lt;'PlayerGrades+'!$AB$8,"B",IF(F372&lt;'PlayerGrades+'!$AB$7,"B+",IF(F372&lt;'PlayerGrades+'!$AB$6,"A-",IF(F372&lt;'PlayerGrades+'!$AB$5,"A",IF(F372&lt;'PlayerGrades+'!$AB$4,"A+",IF(F372&lt;'PlayerGrades+'!$AB$3,"S-",IF(F372&lt;'PlayerGrades+'!$AB$2,"S","S+"))))))))))))))))))))</f>
        <v>B</v>
      </c>
      <c r="H372" s="937">
        <f t="shared" si="3"/>
        <v>0.0939334638</v>
      </c>
      <c r="I372" s="937" t="str">
        <f>IF(H372&lt;'PlayerGrades+'!$AC$21,"F-",IF(H372&lt;'PlayerGrades+'!$AC$20,"F",IF(H372&lt;'PlayerGrades+'!$AC$19,"F+",IF(H372&lt;'PlayerGrades+'!$AC$18,"E-",IF(H372&lt;'PlayerGrades+'!$AC$17,"E",IF(H372&lt;'PlayerGrades+'!$AC$16,"E+",IF(H372&lt;'PlayerGrades+'!$AC$15,"D-",IF(H372&lt;'PlayerGrades+'!$AC$14,"D",IF(H372&lt;'PlayerGrades+'!$AC$13,"D+",IF(H372&lt;'PlayerGrades+'!$AC$12,"C-",IF(H372&lt;'PlayerGrades+'!$AC$11,"C",IF(H372&lt;'PlayerGrades+'!$AC$10,"C+",IF(H372&lt;'PlayerGrades+'!$AC$9,"B-",IF(H372&lt;'PlayerGrades+'!$AC$8,"B",IF(H372&lt;'PlayerGrades+'!$AC$7,"B+",IF(H372&lt;'PlayerGrades+'!$AC$6,"A-",IF(H372&lt;'PlayerGrades+'!$AC$5,"A",IF(H372&lt;'PlayerGrades+'!$AC$4,"A+",IF(H372&lt;'PlayerGrades+'!$AC$3,"S-",IF(H372&lt;'PlayerGrades+'!$AC$2,"S","S+"))))))))))))))))))))</f>
        <v>D+</v>
      </c>
      <c r="J372" s="937">
        <f t="shared" si="4"/>
        <v>0.0469667319</v>
      </c>
      <c r="K372" s="937" t="str">
        <f>IF(J372&lt;'PlayerGrades+'!$AD$21,"F-",IF(J372&lt;'PlayerGrades+'!$AD$20,"F",IF(J372&lt;'PlayerGrades+'!$AD$19,"F+",IF(J372&lt;'PlayerGrades+'!$AD$18,"E-",IF(J372&lt;'PlayerGrades+'!$AD$17,"E",IF(J372&lt;'PlayerGrades+'!$AD$16,"E+",IF(J372&lt;'PlayerGrades+'!$AD$15,"D-",IF(J372&lt;'PlayerGrades+'!$AD$14,"D",IF(J372&lt;'PlayerGrades+'!$AD$13,"D+",IF(J372&lt;'PlayerGrades+'!$AD$12,"C-",IF(J372&lt;'PlayerGrades+'!$AD$11,"C",IF(J372&lt;'PlayerGrades+'!$AD$10,"C+",IF(J372&lt;'PlayerGrades+'!$AD$9,"B-",IF(J372&lt;'PlayerGrades+'!$AD$8,"B",IF(J372&lt;'PlayerGrades+'!$AD$7,"B+",IF(J372&lt;'PlayerGrades+'!$AD$6,"A-",IF(J372&lt;'PlayerGrades+'!$AD$5,"A",IF(J372&lt;'PlayerGrades+'!$AD$4,"A+",IF(J372&lt;'PlayerGrades+'!$AD$3,"S-",IF(J372&lt;'PlayerGrades+'!$AD$2,"S","S+"))))))))))))))))))))</f>
        <v>B-</v>
      </c>
      <c r="L372" s="677">
        <f t="shared" si="5"/>
        <v>0.8688845401</v>
      </c>
      <c r="M372" s="938" t="str">
        <f>IF(L372&lt;'PlayerGrades+'!$AE$21,"F-",IF(L372&lt;'PlayerGrades+'!$AE$20,"F",IF(L372&lt;'PlayerGrades+'!$AE$19,"F+",IF(L372&lt;'PlayerGrades+'!$AE$18,"E-",IF(L372&lt;'PlayerGrades+'!$AE$17,"E",IF(L372&lt;'PlayerGrades+'!$AE$16,"E+",IF(L372&lt;'PlayerGrades+'!$AE$15,"D-",IF(L372&lt;'PlayerGrades+'!$AE$14,"D",IF(L372&lt;'PlayerGrades+'!$AE$13,"D+",IF(L372&lt;'PlayerGrades+'!$AE$12,"C-",IF(L372&lt;'PlayerGrades+'!$AE$11,"C",IF(L372&lt;'PlayerGrades+'!$AE$10,"C+",IF(L372&lt;'PlayerGrades+'!$AE$9,"B-",IF(L372&lt;'PlayerGrades+'!$AE$8,"B",IF(L372&lt;'PlayerGrades+'!$AE$7,"B+",IF(L372&lt;'PlayerGrades+'!$AE$6,"A-",IF(L372&lt;'PlayerGrades+'!$AE$5,"A",IF(L372&lt;'PlayerGrades+'!$AE$4,"A+",IF(L372&lt;'PlayerGrades+'!$AE$3,"S-",IF(L372&lt;'PlayerGrades+'!$AE$2,"S","S+"))))))))))))))))))))</f>
        <v>S+</v>
      </c>
      <c r="N372" s="937">
        <f t="shared" si="6"/>
        <v>0.2583170254</v>
      </c>
      <c r="O372" s="937" t="str">
        <f>IF(N372&lt;'PlayerGrades+'!$AF$21,"F-",IF(N372&lt;'PlayerGrades+'!$AF$20,"F",IF(N372&lt;'PlayerGrades+'!$AF$19,"F+",IF(N372&lt;'PlayerGrades+'!$AF$18,"E-",IF(N372&lt;'PlayerGrades+'!$AF$17,"E",IF(N372&lt;'PlayerGrades+'!$AF$16,"E+",IF(N372&lt;'PlayerGrades+'!$AF$15,"D-",IF(N372&lt;'PlayerGrades+'!$AF$14,"D",IF(N372&lt;'PlayerGrades+'!$AF$13,"D+",IF(N372&lt;'PlayerGrades+'!$AF$12,"C-",IF(N372&lt;'PlayerGrades+'!$AF$11,"C",IF(N372&lt;'PlayerGrades+'!$AF$10,"C+",IF(N372&lt;'PlayerGrades+'!$AF$9,"B-",IF(N372&lt;'PlayerGrades+'!$AF$8,"B",IF(N372&lt;'PlayerGrades+'!$AF$7,"B+",IF(N372&lt;'PlayerGrades+'!$AF$6,"A-",IF(N372&lt;'PlayerGrades+'!$AF$5,"A",IF(N372&lt;'PlayerGrades+'!$AF$4,"A+",IF(N372&lt;'PlayerGrades+'!$AF$3,"S-",IF(N372&lt;'PlayerGrades+'!$AF$2,"S","S+"))))))))))))))))))))</f>
        <v>S+</v>
      </c>
      <c r="P372" s="937">
        <f t="shared" si="7"/>
        <v>0.0469667319</v>
      </c>
      <c r="Q372" s="937" t="str">
        <f>IF(P372&lt;'PlayerGrades+'!$AG$21,"F-",IF(P372&lt;'PlayerGrades+'!$AG$20,"F",IF(P372&lt;'PlayerGrades+'!$AG$19,"F+",IF(P372&lt;'PlayerGrades+'!$AG$18,"E-",IF(P372&lt;'PlayerGrades+'!$AG$17,"E",IF(P372&lt;'PlayerGrades+'!$AG$16,"E+",IF(P372&lt;'PlayerGrades+'!$AG$15,"D-",IF(P372&lt;'PlayerGrades+'!$AG$14,"D",IF(P372&lt;'PlayerGrades+'!$AG$13,"D+",IF(P372&lt;'PlayerGrades+'!$AG$12,"C-",IF(P372&lt;'PlayerGrades+'!$AG$11,"C",IF(P372&lt;'PlayerGrades+'!$AG$10,"C+",IF(P372&lt;'PlayerGrades+'!$AG$9,"B-",IF(P372&lt;'PlayerGrades+'!$AG$8,"B",IF(P372&lt;'PlayerGrades+'!$AG$7,"B+",IF(P372&lt;'PlayerGrades+'!$AG$6,"A-",IF(P372&lt;'PlayerGrades+'!$AG$5,"A",IF(P372&lt;'PlayerGrades+'!$AG$4,"A+",IF(P372&lt;'PlayerGrades+'!$AG$3,"S-",IF(P372&lt;'PlayerGrades+'!$AG$2,"S","S+"))))))))))))))))))))</f>
        <v>A</v>
      </c>
      <c r="R372" s="937">
        <f t="shared" si="8"/>
        <v>0.6810176125</v>
      </c>
      <c r="S372" s="937" t="str">
        <f>IF(R372&lt;'PlayerGrades+'!$AH$21,"F-",IF(R372&lt;'PlayerGrades+'!$AH$20,"F",IF(R372&lt;'PlayerGrades+'!$AH$19,"F+",IF(R372&lt;'PlayerGrades+'!$AH$18,"E-",IF(R372&lt;'PlayerGrades+'!$AH$17,"E",IF(R372&lt;'PlayerGrades+'!$AH$16,"E+",IF(R372&lt;'PlayerGrades+'!$AH$15,"D-",IF(R372&lt;'PlayerGrades+'!$AH$14,"D",IF(R372&lt;'PlayerGrades+'!$AH$13,"D+",IF(R372&lt;'PlayerGrades+'!$AH$12,"C-",IF(R372&lt;'PlayerGrades+'!$AH$11,"C",IF(R372&lt;'PlayerGrades+'!$AH$10,"C+",IF(R372&lt;'PlayerGrades+'!$AH$9,"B-",IF(R372&lt;'PlayerGrades+'!$AH$8,"B",IF(R372&lt;'PlayerGrades+'!$AH$7,"B+",IF(R372&lt;'PlayerGrades+'!$AH$6,"A-",IF(R372&lt;'PlayerGrades+'!$AH$5,"A",IF(R372&lt;'PlayerGrades+'!$AH$4,"A+",IF(R372&lt;'PlayerGrades+'!$AH$3,"S-",IF(R372&lt;'PlayerGrades+'!$AH$2,"S","S+"))))))))))))))))))))</f>
        <v>S-</v>
      </c>
      <c r="T372" s="937">
        <f t="shared" si="9"/>
        <v>2.469667319</v>
      </c>
      <c r="U372" s="937" t="str">
        <f>IF(T372&lt;'PlayerGrades+'!$AI$21,"F-",IF(T372&lt;'PlayerGrades+'!$AI$20,"F",IF(T372&lt;'PlayerGrades+'!$AI$19,"F+",IF(T372&lt;'PlayerGrades+'!$AI$18,"E-",IF(T372&lt;'PlayerGrades+'!$AI$17,"E",IF(T372&lt;'PlayerGrades+'!$AI$16,"E+",IF(T372&lt;'PlayerGrades+'!$AI$15,"D-",IF(T372&lt;'PlayerGrades+'!$AI$14,"D",IF(T372&lt;'PlayerGrades+'!$AI$13,"D+",IF(T372&lt;'PlayerGrades+'!$AI$12,"C-",IF(T372&lt;'PlayerGrades+'!$AI$11,"C",IF(T372&lt;'PlayerGrades+'!$AI$10,"C+",IF(T372&lt;'PlayerGrades+'!$AI$9,"B-",IF(T372&lt;'PlayerGrades+'!$AI$8,"B",IF(T372&lt;'PlayerGrades+'!$AI$7,"B+",IF(T372&lt;'PlayerGrades+'!$AI$6,"A-",IF(T372&lt;'PlayerGrades+'!$AI$5,"A",IF(T372&lt;'PlayerGrades+'!$AI$4,"A+",IF(T372&lt;'PlayerGrades+'!$AI$3,"S-",IF(T372&lt;'PlayerGrades+'!$AI$2,"S","S+"))))))))))))))))))))</f>
        <v>S+</v>
      </c>
      <c r="V372" s="941">
        <v>1.0</v>
      </c>
      <c r="W372" s="941">
        <v>1.0</v>
      </c>
      <c r="X372" s="941">
        <v>0.0</v>
      </c>
      <c r="Y372" s="941">
        <v>0.0</v>
      </c>
      <c r="Z372" s="941">
        <v>0.0</v>
      </c>
      <c r="AA372" s="941">
        <v>194.0</v>
      </c>
      <c r="AB372" s="941">
        <v>192.0</v>
      </c>
      <c r="AC372" s="941">
        <v>2.0</v>
      </c>
      <c r="AD372" s="941">
        <v>11.0</v>
      </c>
      <c r="AE372" s="941">
        <v>5.0</v>
      </c>
      <c r="AF372" s="941">
        <v>4.0</v>
      </c>
      <c r="AG372" s="941">
        <v>1862.0</v>
      </c>
      <c r="AH372" s="941">
        <v>2555.0</v>
      </c>
      <c r="AI372" s="941">
        <v>9.0</v>
      </c>
      <c r="AJ372" s="941">
        <v>10.0</v>
      </c>
      <c r="AK372" s="941">
        <v>0.0</v>
      </c>
      <c r="AL372" s="941">
        <v>2.0</v>
      </c>
      <c r="AM372" s="941">
        <v>0.0</v>
      </c>
      <c r="AN372" s="941">
        <v>0.0</v>
      </c>
      <c r="AO372" s="941">
        <v>0.0</v>
      </c>
      <c r="AP372" s="941">
        <v>2.0</v>
      </c>
      <c r="AQ372" s="941">
        <v>0.0</v>
      </c>
      <c r="AR372" s="941">
        <v>37.0</v>
      </c>
      <c r="AS372" s="941">
        <v>11.0</v>
      </c>
      <c r="AT372" s="941">
        <v>3.0</v>
      </c>
      <c r="AU372" s="941">
        <v>1.0</v>
      </c>
      <c r="AV372" s="941">
        <v>0.0</v>
      </c>
      <c r="AW372" s="941">
        <v>0.0</v>
      </c>
      <c r="AX372" s="941">
        <v>0.0</v>
      </c>
      <c r="AY372" s="941">
        <v>0.0</v>
      </c>
      <c r="AZ372" s="941">
        <v>0.0</v>
      </c>
      <c r="BA372" s="941">
        <v>0.0</v>
      </c>
      <c r="BB372" s="941">
        <v>4.0</v>
      </c>
      <c r="BC372" s="941">
        <v>0.0</v>
      </c>
      <c r="BD372" s="941">
        <v>18.0</v>
      </c>
      <c r="BE372" s="941">
        <v>20.0</v>
      </c>
      <c r="BF372" s="941">
        <v>2.0</v>
      </c>
      <c r="BG372" s="942">
        <v>0.0</v>
      </c>
    </row>
    <row r="373">
      <c r="A373" s="935" t="s">
        <v>129</v>
      </c>
      <c r="B373" s="16" t="str">
        <f>IF(C373&lt;'PlayerGrades+'!$Y$44,"F-",IF(C373&lt;'PlayerGrades+'!$Y$43,"F",IF(C373&lt;'PlayerGrades+'!$Y$42,"F+",IF(C373&lt;'PlayerGrades+'!$Y$41,"E-",IF(C373&lt;'PlayerGrades+'!$Y$40,"E",IF(C373&lt;'PlayerGrades+'!$Y$39,"E+",IF(C373&lt;'PlayerGrades+'!$Y$38,"D-",IF(C373&lt;'PlayerGrades+'!$Y$37,"D",IF(C373&lt;'PlayerGrades+'!$Y$36,"D+",IF(C373&lt;'PlayerGrades+'!$Y$35,"C-",IF(C373&lt;'PlayerGrades+'!$Y$34,"C",IF(C373&lt;'PlayerGrades+'!$Y$33,"C+",IF(C373&lt;'PlayerGrades+'!$Y$32,"B-",IF(C373&lt;'PlayerGrades+'!$Y$31,"B",IF(C373&lt;'PlayerGrades+'!$Y$30,"B+",IF(C373&lt;'PlayerGrades+'!$Y$29,"A-",IF(C373&lt;'PlayerGrades+'!$Y$28,"A",IF(C373&lt;'PlayerGrades+'!$Y$27,"A+",IF(C373&lt;'PlayerGrades+'!$Y$26,"S-",IF(C373&lt;'PlayerGrades+'!$Y$25,"S","S+"))))))))))))))))))))</f>
        <v>S-</v>
      </c>
      <c r="C373" s="936">
        <f>('PlayerGrades+'!$Y$47*(VLOOKUP(E373, 'PlayerGrades+'!$X$3:$Y$23, 2, FALSE)))+('PlayerGrades+'!$Y$48*(VLOOKUP(G373, 'PlayerGrades+'!$X$3:$Y$23, 2, FALSE)))+('PlayerGrades+'!$Y$49*(VLOOKUP(I373, 'PlayerGrades+'!$X$3:$Y$23, 2, FALSE)))+('PlayerGrades+'!$Y$50*(VLOOKUP(K373, 'PlayerGrades+'!$X$3:$Y$23, 2, FALSE)))+('PlayerGrades+'!$Y$51*(VLOOKUP(M373, 'PlayerGrades+'!$X$3:$Y$23, 2, FALSE)))+('PlayerGrades+'!$Y$52*(VLOOKUP(O373, 'PlayerGrades+'!$X$3:$Y$23, 2, FALSE)))+('PlayerGrades+'!$Y$53*(VLOOKUP(Q373, 'PlayerGrades+'!$X$3:$Y$23, 2, FALSE)))+('PlayerGrades+'!$Y$54*(VLOOKUP(S373, 'PlayerGrades+'!$X$3:$Y$23, 2, FALSE)))+('PlayerGrades+'!$Y$55*(VLOOKUP(U373, 'PlayerGrades+'!$X$3:$Y$23, 2, FALSE)))</f>
        <v>30.9</v>
      </c>
      <c r="D373" s="937">
        <f t="shared" si="1"/>
        <v>0</v>
      </c>
      <c r="E373" s="937" t="str">
        <f>IF(D373&lt;'PlayerGrades+'!$AA$21,"F-",IF(D373&lt;'PlayerGrades+'!$AA$20,"F",IF(D373&lt;'PlayerGrades+'!$AA$19,"F+",IF(D373&lt;'PlayerGrades+'!$AA$18,"E-",IF(D373&lt;'PlayerGrades+'!$AA$17,"E",IF(D373&lt;'PlayerGrades+'!$AA$16,"E+",IF(D373&lt;'PlayerGrades+'!$AA$15,"D-",IF(D373&lt;'PlayerGrades+'!$AA$14,"D",IF(D373&lt;'PlayerGrades+'!$AA$13,"D+",IF(D373&lt;'PlayerGrades+'!$AA$12,"C-",IF(D373&lt;'PlayerGrades+'!$AA$11,"C",IF(D373&lt;'PlayerGrades+'!$AA$10,"C+",IF(D373&lt;'PlayerGrades+'!$AA$9,"B-",IF(D373&lt;'PlayerGrades+'!$AA$8,"B",IF(D373&lt;'PlayerGrades+'!$AA$7,"B+",IF(D373&lt;'PlayerGrades+'!$AA$6,"A-",IF(D373&lt;'PlayerGrades+'!$AA$5,"A",IF(D373&lt;'PlayerGrades+'!$AA$4,"A+",IF(D373&lt;'PlayerGrades+'!$AA$3,"S-",IF(D373&lt;'PlayerGrades+'!$AA$2,"S","S+"))))))))))))))))))))</f>
        <v>F-</v>
      </c>
      <c r="F373" s="937">
        <f t="shared" si="2"/>
        <v>1.596868885</v>
      </c>
      <c r="G373" s="937" t="str">
        <f>IF(F373&lt;'PlayerGrades+'!$AB$21,"F-",IF(F373&lt;'PlayerGrades+'!$AB$20,"F",IF(F373&lt;'PlayerGrades+'!$AB$19,"F+",IF(F373&lt;'PlayerGrades+'!$AB$18,"E-",IF(F373&lt;'PlayerGrades+'!$AB$17,"E",IF(F373&lt;'PlayerGrades+'!$AB$16,"E+",IF(F373&lt;'PlayerGrades+'!$AB$15,"D-",IF(F373&lt;'PlayerGrades+'!$AB$14,"D",IF(F373&lt;'PlayerGrades+'!$AB$13,"D+",IF(F373&lt;'PlayerGrades+'!$AB$12,"C-",IF(F373&lt;'PlayerGrades+'!$AB$11,"C",IF(F373&lt;'PlayerGrades+'!$AB$10,"C+",IF(F373&lt;'PlayerGrades+'!$AB$9,"B-",IF(F373&lt;'PlayerGrades+'!$AB$8,"B",IF(F373&lt;'PlayerGrades+'!$AB$7,"B+",IF(F373&lt;'PlayerGrades+'!$AB$6,"A-",IF(F373&lt;'PlayerGrades+'!$AB$5,"A",IF(F373&lt;'PlayerGrades+'!$AB$4,"A+",IF(F373&lt;'PlayerGrades+'!$AB$3,"S-",IF(F373&lt;'PlayerGrades+'!$AB$2,"S","S+"))))))))))))))))))))</f>
        <v>S+</v>
      </c>
      <c r="H373" s="937">
        <f t="shared" si="3"/>
        <v>0.2583170254</v>
      </c>
      <c r="I373" s="937" t="str">
        <f>IF(H373&lt;'PlayerGrades+'!$AC$21,"F-",IF(H373&lt;'PlayerGrades+'!$AC$20,"F",IF(H373&lt;'PlayerGrades+'!$AC$19,"F+",IF(H373&lt;'PlayerGrades+'!$AC$18,"E-",IF(H373&lt;'PlayerGrades+'!$AC$17,"E",IF(H373&lt;'PlayerGrades+'!$AC$16,"E+",IF(H373&lt;'PlayerGrades+'!$AC$15,"D-",IF(H373&lt;'PlayerGrades+'!$AC$14,"D",IF(H373&lt;'PlayerGrades+'!$AC$13,"D+",IF(H373&lt;'PlayerGrades+'!$AC$12,"C-",IF(H373&lt;'PlayerGrades+'!$AC$11,"C",IF(H373&lt;'PlayerGrades+'!$AC$10,"C+",IF(H373&lt;'PlayerGrades+'!$AC$9,"B-",IF(H373&lt;'PlayerGrades+'!$AC$8,"B",IF(H373&lt;'PlayerGrades+'!$AC$7,"B+",IF(H373&lt;'PlayerGrades+'!$AC$6,"A-",IF(H373&lt;'PlayerGrades+'!$AC$5,"A",IF(H373&lt;'PlayerGrades+'!$AC$4,"A+",IF(H373&lt;'PlayerGrades+'!$AC$3,"S-",IF(H373&lt;'PlayerGrades+'!$AC$2,"S","S+"))))))))))))))))))))</f>
        <v>S</v>
      </c>
      <c r="J373" s="937">
        <f t="shared" si="4"/>
        <v>0.2348336595</v>
      </c>
      <c r="K373" s="937" t="str">
        <f>IF(J373&lt;'PlayerGrades+'!$AD$21,"F-",IF(J373&lt;'PlayerGrades+'!$AD$20,"F",IF(J373&lt;'PlayerGrades+'!$AD$19,"F+",IF(J373&lt;'PlayerGrades+'!$AD$18,"E-",IF(J373&lt;'PlayerGrades+'!$AD$17,"E",IF(J373&lt;'PlayerGrades+'!$AD$16,"E+",IF(J373&lt;'PlayerGrades+'!$AD$15,"D-",IF(J373&lt;'PlayerGrades+'!$AD$14,"D",IF(J373&lt;'PlayerGrades+'!$AD$13,"D+",IF(J373&lt;'PlayerGrades+'!$AD$12,"C-",IF(J373&lt;'PlayerGrades+'!$AD$11,"C",IF(J373&lt;'PlayerGrades+'!$AD$10,"C+",IF(J373&lt;'PlayerGrades+'!$AD$9,"B-",IF(J373&lt;'PlayerGrades+'!$AD$8,"B",IF(J373&lt;'PlayerGrades+'!$AD$7,"B+",IF(J373&lt;'PlayerGrades+'!$AD$6,"A-",IF(J373&lt;'PlayerGrades+'!$AD$5,"A",IF(J373&lt;'PlayerGrades+'!$AD$4,"A+",IF(J373&lt;'PlayerGrades+'!$AD$3,"S-",IF(J373&lt;'PlayerGrades+'!$AD$2,"S","S+"))))))))))))))))))))</f>
        <v>S+</v>
      </c>
      <c r="L373" s="677">
        <f t="shared" si="5"/>
        <v>0.7279843444</v>
      </c>
      <c r="M373" s="938" t="str">
        <f>IF(L373&lt;'PlayerGrades+'!$AE$21,"F-",IF(L373&lt;'PlayerGrades+'!$AE$20,"F",IF(L373&lt;'PlayerGrades+'!$AE$19,"F+",IF(L373&lt;'PlayerGrades+'!$AE$18,"E-",IF(L373&lt;'PlayerGrades+'!$AE$17,"E",IF(L373&lt;'PlayerGrades+'!$AE$16,"E+",IF(L373&lt;'PlayerGrades+'!$AE$15,"D-",IF(L373&lt;'PlayerGrades+'!$AE$14,"D",IF(L373&lt;'PlayerGrades+'!$AE$13,"D+",IF(L373&lt;'PlayerGrades+'!$AE$12,"C-",IF(L373&lt;'PlayerGrades+'!$AE$11,"C",IF(L373&lt;'PlayerGrades+'!$AE$10,"C+",IF(L373&lt;'PlayerGrades+'!$AE$9,"B-",IF(L373&lt;'PlayerGrades+'!$AE$8,"B",IF(L373&lt;'PlayerGrades+'!$AE$7,"B+",IF(L373&lt;'PlayerGrades+'!$AE$6,"A-",IF(L373&lt;'PlayerGrades+'!$AE$5,"A",IF(L373&lt;'PlayerGrades+'!$AE$4,"A+",IF(L373&lt;'PlayerGrades+'!$AE$3,"S-",IF(L373&lt;'PlayerGrades+'!$AE$2,"S","S+"))))))))))))))))))))</f>
        <v>S+</v>
      </c>
      <c r="N373" s="937">
        <f t="shared" si="6"/>
        <v>0.1409001957</v>
      </c>
      <c r="O373" s="937" t="str">
        <f>IF(N373&lt;'PlayerGrades+'!$AF$21,"F-",IF(N373&lt;'PlayerGrades+'!$AF$20,"F",IF(N373&lt;'PlayerGrades+'!$AF$19,"F+",IF(N373&lt;'PlayerGrades+'!$AF$18,"E-",IF(N373&lt;'PlayerGrades+'!$AF$17,"E",IF(N373&lt;'PlayerGrades+'!$AF$16,"E+",IF(N373&lt;'PlayerGrades+'!$AF$15,"D-",IF(N373&lt;'PlayerGrades+'!$AF$14,"D",IF(N373&lt;'PlayerGrades+'!$AF$13,"D+",IF(N373&lt;'PlayerGrades+'!$AF$12,"C-",IF(N373&lt;'PlayerGrades+'!$AF$11,"C",IF(N373&lt;'PlayerGrades+'!$AF$10,"C+",IF(N373&lt;'PlayerGrades+'!$AF$9,"B-",IF(N373&lt;'PlayerGrades+'!$AF$8,"B",IF(N373&lt;'PlayerGrades+'!$AF$7,"B+",IF(N373&lt;'PlayerGrades+'!$AF$6,"A-",IF(N373&lt;'PlayerGrades+'!$AF$5,"A",IF(N373&lt;'PlayerGrades+'!$AF$4,"A+",IF(N373&lt;'PlayerGrades+'!$AF$3,"S-",IF(N373&lt;'PlayerGrades+'!$AF$2,"S","S+"))))))))))))))))))))</f>
        <v>S</v>
      </c>
      <c r="P373" s="937">
        <f t="shared" si="7"/>
        <v>0.2113502935</v>
      </c>
      <c r="Q373" s="937" t="str">
        <f>IF(P373&lt;'PlayerGrades+'!$AG$21,"F-",IF(P373&lt;'PlayerGrades+'!$AG$20,"F",IF(P373&lt;'PlayerGrades+'!$AG$19,"F+",IF(P373&lt;'PlayerGrades+'!$AG$18,"E-",IF(P373&lt;'PlayerGrades+'!$AG$17,"E",IF(P373&lt;'PlayerGrades+'!$AG$16,"E+",IF(P373&lt;'PlayerGrades+'!$AG$15,"D-",IF(P373&lt;'PlayerGrades+'!$AG$14,"D",IF(P373&lt;'PlayerGrades+'!$AG$13,"D+",IF(P373&lt;'PlayerGrades+'!$AG$12,"C-",IF(P373&lt;'PlayerGrades+'!$AG$11,"C",IF(P373&lt;'PlayerGrades+'!$AG$10,"C+",IF(P373&lt;'PlayerGrades+'!$AG$9,"B-",IF(P373&lt;'PlayerGrades+'!$AG$8,"B",IF(P373&lt;'PlayerGrades+'!$AG$7,"B+",IF(P373&lt;'PlayerGrades+'!$AG$6,"A-",IF(P373&lt;'PlayerGrades+'!$AG$5,"A",IF(P373&lt;'PlayerGrades+'!$AG$4,"A+",IF(P373&lt;'PlayerGrades+'!$AG$3,"S-",IF(P373&lt;'PlayerGrades+'!$AG$2,"S","S+"))))))))))))))))))))</f>
        <v>S+</v>
      </c>
      <c r="R373" s="937">
        <f t="shared" si="8"/>
        <v>0.7984344423</v>
      </c>
      <c r="S373" s="937" t="str">
        <f>IF(R373&lt;'PlayerGrades+'!$AH$21,"F-",IF(R373&lt;'PlayerGrades+'!$AH$20,"F",IF(R373&lt;'PlayerGrades+'!$AH$19,"F+",IF(R373&lt;'PlayerGrades+'!$AH$18,"E-",IF(R373&lt;'PlayerGrades+'!$AH$17,"E",IF(R373&lt;'PlayerGrades+'!$AH$16,"E+",IF(R373&lt;'PlayerGrades+'!$AH$15,"D-",IF(R373&lt;'PlayerGrades+'!$AH$14,"D",IF(R373&lt;'PlayerGrades+'!$AH$13,"D+",IF(R373&lt;'PlayerGrades+'!$AH$12,"C-",IF(R373&lt;'PlayerGrades+'!$AH$11,"C",IF(R373&lt;'PlayerGrades+'!$AH$10,"C+",IF(R373&lt;'PlayerGrades+'!$AH$9,"B-",IF(R373&lt;'PlayerGrades+'!$AH$8,"B",IF(R373&lt;'PlayerGrades+'!$AH$7,"B+",IF(R373&lt;'PlayerGrades+'!$AH$6,"A-",IF(R373&lt;'PlayerGrades+'!$AH$5,"A",IF(R373&lt;'PlayerGrades+'!$AH$4,"A+",IF(R373&lt;'PlayerGrades+'!$AH$3,"S-",IF(R373&lt;'PlayerGrades+'!$AH$2,"S","S+"))))))))))))))))))))</f>
        <v>S+</v>
      </c>
      <c r="T373" s="937">
        <f t="shared" si="9"/>
        <v>0.3757338552</v>
      </c>
      <c r="U373" s="937" t="str">
        <f>IF(T373&lt;'PlayerGrades+'!$AI$21,"F-",IF(T373&lt;'PlayerGrades+'!$AI$20,"F",IF(T373&lt;'PlayerGrades+'!$AI$19,"F+",IF(T373&lt;'PlayerGrades+'!$AI$18,"E-",IF(T373&lt;'PlayerGrades+'!$AI$17,"E",IF(T373&lt;'PlayerGrades+'!$AI$16,"E+",IF(T373&lt;'PlayerGrades+'!$AI$15,"D-",IF(T373&lt;'PlayerGrades+'!$AI$14,"D",IF(T373&lt;'PlayerGrades+'!$AI$13,"D+",IF(T373&lt;'PlayerGrades+'!$AI$12,"C-",IF(T373&lt;'PlayerGrades+'!$AI$11,"C",IF(T373&lt;'PlayerGrades+'!$AI$10,"C+",IF(T373&lt;'PlayerGrades+'!$AI$9,"B-",IF(T373&lt;'PlayerGrades+'!$AI$8,"B",IF(T373&lt;'PlayerGrades+'!$AI$7,"B+",IF(T373&lt;'PlayerGrades+'!$AI$6,"A-",IF(T373&lt;'PlayerGrades+'!$AI$5,"A",IF(T373&lt;'PlayerGrades+'!$AI$4,"A+",IF(T373&lt;'PlayerGrades+'!$AI$3,"S-",IF(T373&lt;'PlayerGrades+'!$AI$2,"S","S+"))))))))))))))))))))</f>
        <v>F-</v>
      </c>
      <c r="V373" s="941">
        <v>1.0</v>
      </c>
      <c r="W373" s="941">
        <v>1.0</v>
      </c>
      <c r="X373" s="941">
        <v>0.0</v>
      </c>
      <c r="Y373" s="941">
        <v>0.0</v>
      </c>
      <c r="Z373" s="941">
        <v>0.0</v>
      </c>
      <c r="AA373" s="941">
        <v>176.0</v>
      </c>
      <c r="AB373" s="941">
        <v>108.0</v>
      </c>
      <c r="AC373" s="941">
        <v>68.0</v>
      </c>
      <c r="AD373" s="941">
        <v>13.0</v>
      </c>
      <c r="AE373" s="941">
        <v>14.0</v>
      </c>
      <c r="AF373" s="941">
        <v>1.0</v>
      </c>
      <c r="AG373" s="941">
        <v>2111.0</v>
      </c>
      <c r="AH373" s="941">
        <v>2555.0</v>
      </c>
      <c r="AI373" s="941">
        <v>19.0</v>
      </c>
      <c r="AJ373" s="941">
        <v>45.0</v>
      </c>
      <c r="AK373" s="941">
        <v>0.0</v>
      </c>
      <c r="AL373" s="941">
        <v>10.0</v>
      </c>
      <c r="AM373" s="941">
        <v>1.0</v>
      </c>
      <c r="AN373" s="941">
        <v>0.0</v>
      </c>
      <c r="AO373" s="941">
        <v>0.0</v>
      </c>
      <c r="AP373" s="941">
        <v>9.0</v>
      </c>
      <c r="AQ373" s="941">
        <v>0.0</v>
      </c>
      <c r="AR373" s="941">
        <v>31.0</v>
      </c>
      <c r="AS373" s="941">
        <v>6.0</v>
      </c>
      <c r="AT373" s="941">
        <v>3.0</v>
      </c>
      <c r="AU373" s="941">
        <v>1.0</v>
      </c>
      <c r="AV373" s="941">
        <v>1.0</v>
      </c>
      <c r="AW373" s="941">
        <v>0.0</v>
      </c>
      <c r="AX373" s="941">
        <v>0.0</v>
      </c>
      <c r="AY373" s="941">
        <v>0.0</v>
      </c>
      <c r="AZ373" s="941">
        <v>0.0</v>
      </c>
      <c r="BA373" s="941">
        <v>0.0</v>
      </c>
      <c r="BB373" s="941">
        <v>11.0</v>
      </c>
      <c r="BC373" s="941">
        <v>0.0</v>
      </c>
      <c r="BD373" s="941">
        <v>21.0</v>
      </c>
      <c r="BE373" s="941">
        <v>16.0</v>
      </c>
      <c r="BF373" s="941">
        <v>0.0</v>
      </c>
      <c r="BG373" s="942">
        <v>0.0</v>
      </c>
    </row>
    <row r="374">
      <c r="A374" s="935" t="s">
        <v>119</v>
      </c>
      <c r="B374" s="16" t="str">
        <f>IF(C374&lt;'PlayerGrades+'!$Y$44,"F-",IF(C374&lt;'PlayerGrades+'!$Y$43,"F",IF(C374&lt;'PlayerGrades+'!$Y$42,"F+",IF(C374&lt;'PlayerGrades+'!$Y$41,"E-",IF(C374&lt;'PlayerGrades+'!$Y$40,"E",IF(C374&lt;'PlayerGrades+'!$Y$39,"E+",IF(C374&lt;'PlayerGrades+'!$Y$38,"D-",IF(C374&lt;'PlayerGrades+'!$Y$37,"D",IF(C374&lt;'PlayerGrades+'!$Y$36,"D+",IF(C374&lt;'PlayerGrades+'!$Y$35,"C-",IF(C374&lt;'PlayerGrades+'!$Y$34,"C",IF(C374&lt;'PlayerGrades+'!$Y$33,"C+",IF(C374&lt;'PlayerGrades+'!$Y$32,"B-",IF(C374&lt;'PlayerGrades+'!$Y$31,"B",IF(C374&lt;'PlayerGrades+'!$Y$30,"B+",IF(C374&lt;'PlayerGrades+'!$Y$29,"A-",IF(C374&lt;'PlayerGrades+'!$Y$28,"A",IF(C374&lt;'PlayerGrades+'!$Y$27,"A+",IF(C374&lt;'PlayerGrades+'!$Y$26,"S-",IF(C374&lt;'PlayerGrades+'!$Y$25,"S","S+"))))))))))))))))))))</f>
        <v>C</v>
      </c>
      <c r="C374" s="936">
        <f>('PlayerGrades+'!$Y$47*(VLOOKUP(E374, 'PlayerGrades+'!$X$3:$Y$23, 2, FALSE)))+('PlayerGrades+'!$Y$48*(VLOOKUP(G374, 'PlayerGrades+'!$X$3:$Y$23, 2, FALSE)))+('PlayerGrades+'!$Y$49*(VLOOKUP(I374, 'PlayerGrades+'!$X$3:$Y$23, 2, FALSE)))+('PlayerGrades+'!$Y$50*(VLOOKUP(K374, 'PlayerGrades+'!$X$3:$Y$23, 2, FALSE)))+('PlayerGrades+'!$Y$51*(VLOOKUP(M374, 'PlayerGrades+'!$X$3:$Y$23, 2, FALSE)))+('PlayerGrades+'!$Y$52*(VLOOKUP(O374, 'PlayerGrades+'!$X$3:$Y$23, 2, FALSE)))+('PlayerGrades+'!$Y$53*(VLOOKUP(Q374, 'PlayerGrades+'!$X$3:$Y$23, 2, FALSE)))+('PlayerGrades+'!$Y$54*(VLOOKUP(S374, 'PlayerGrades+'!$X$3:$Y$23, 2, FALSE)))+('PlayerGrades+'!$Y$55*(VLOOKUP(U374, 'PlayerGrades+'!$X$3:$Y$23, 2, FALSE)))</f>
        <v>20.3</v>
      </c>
      <c r="D374" s="937">
        <f t="shared" si="1"/>
        <v>0.5166340509</v>
      </c>
      <c r="E374" s="937" t="str">
        <f>IF(D374&lt;'PlayerGrades+'!$AA$21,"F-",IF(D374&lt;'PlayerGrades+'!$AA$20,"F",IF(D374&lt;'PlayerGrades+'!$AA$19,"F+",IF(D374&lt;'PlayerGrades+'!$AA$18,"E-",IF(D374&lt;'PlayerGrades+'!$AA$17,"E",IF(D374&lt;'PlayerGrades+'!$AA$16,"E+",IF(D374&lt;'PlayerGrades+'!$AA$15,"D-",IF(D374&lt;'PlayerGrades+'!$AA$14,"D",IF(D374&lt;'PlayerGrades+'!$AA$13,"D+",IF(D374&lt;'PlayerGrades+'!$AA$12,"C-",IF(D374&lt;'PlayerGrades+'!$AA$11,"C",IF(D374&lt;'PlayerGrades+'!$AA$10,"C+",IF(D374&lt;'PlayerGrades+'!$AA$9,"B-",IF(D374&lt;'PlayerGrades+'!$AA$8,"B",IF(D374&lt;'PlayerGrades+'!$AA$7,"B+",IF(D374&lt;'PlayerGrades+'!$AA$6,"A-",IF(D374&lt;'PlayerGrades+'!$AA$5,"A",IF(D374&lt;'PlayerGrades+'!$AA$4,"A+",IF(D374&lt;'PlayerGrades+'!$AA$3,"S-",IF(D374&lt;'PlayerGrades+'!$AA$2,"S","S+"))))))))))))))))))))</f>
        <v>A+</v>
      </c>
      <c r="F374" s="937">
        <f t="shared" si="2"/>
        <v>-0.3287671233</v>
      </c>
      <c r="G374" s="937" t="str">
        <f>IF(F374&lt;'PlayerGrades+'!$AB$21,"F-",IF(F374&lt;'PlayerGrades+'!$AB$20,"F",IF(F374&lt;'PlayerGrades+'!$AB$19,"F+",IF(F374&lt;'PlayerGrades+'!$AB$18,"E-",IF(F374&lt;'PlayerGrades+'!$AB$17,"E",IF(F374&lt;'PlayerGrades+'!$AB$16,"E+",IF(F374&lt;'PlayerGrades+'!$AB$15,"D-",IF(F374&lt;'PlayerGrades+'!$AB$14,"D",IF(F374&lt;'PlayerGrades+'!$AB$13,"D+",IF(F374&lt;'PlayerGrades+'!$AB$12,"C-",IF(F374&lt;'PlayerGrades+'!$AB$11,"C",IF(F374&lt;'PlayerGrades+'!$AB$10,"C+",IF(F374&lt;'PlayerGrades+'!$AB$9,"B-",IF(F374&lt;'PlayerGrades+'!$AB$8,"B",IF(F374&lt;'PlayerGrades+'!$AB$7,"B+",IF(F374&lt;'PlayerGrades+'!$AB$6,"A-",IF(F374&lt;'PlayerGrades+'!$AB$5,"A",IF(F374&lt;'PlayerGrades+'!$AB$4,"A+",IF(F374&lt;'PlayerGrades+'!$AB$3,"S-",IF(F374&lt;'PlayerGrades+'!$AB$2,"S","S+"))))))))))))))))))))</f>
        <v>C</v>
      </c>
      <c r="H374" s="937">
        <f t="shared" si="3"/>
        <v>0</v>
      </c>
      <c r="I374" s="937" t="str">
        <f>IF(H374&lt;'PlayerGrades+'!$AC$21,"F-",IF(H374&lt;'PlayerGrades+'!$AC$20,"F",IF(H374&lt;'PlayerGrades+'!$AC$19,"F+",IF(H374&lt;'PlayerGrades+'!$AC$18,"E-",IF(H374&lt;'PlayerGrades+'!$AC$17,"E",IF(H374&lt;'PlayerGrades+'!$AC$16,"E+",IF(H374&lt;'PlayerGrades+'!$AC$15,"D-",IF(H374&lt;'PlayerGrades+'!$AC$14,"D",IF(H374&lt;'PlayerGrades+'!$AC$13,"D+",IF(H374&lt;'PlayerGrades+'!$AC$12,"C-",IF(H374&lt;'PlayerGrades+'!$AC$11,"C",IF(H374&lt;'PlayerGrades+'!$AC$10,"C+",IF(H374&lt;'PlayerGrades+'!$AC$9,"B-",IF(H374&lt;'PlayerGrades+'!$AC$8,"B",IF(H374&lt;'PlayerGrades+'!$AC$7,"B+",IF(H374&lt;'PlayerGrades+'!$AC$6,"A-",IF(H374&lt;'PlayerGrades+'!$AC$5,"A",IF(H374&lt;'PlayerGrades+'!$AC$4,"A+",IF(H374&lt;'PlayerGrades+'!$AC$3,"S-",IF(H374&lt;'PlayerGrades+'!$AC$2,"S","S+"))))))))))))))))))))</f>
        <v>F-</v>
      </c>
      <c r="J374" s="937">
        <f t="shared" si="4"/>
        <v>0.0469667319</v>
      </c>
      <c r="K374" s="937" t="str">
        <f>IF(J374&lt;'PlayerGrades+'!$AD$21,"F-",IF(J374&lt;'PlayerGrades+'!$AD$20,"F",IF(J374&lt;'PlayerGrades+'!$AD$19,"F+",IF(J374&lt;'PlayerGrades+'!$AD$18,"E-",IF(J374&lt;'PlayerGrades+'!$AD$17,"E",IF(J374&lt;'PlayerGrades+'!$AD$16,"E+",IF(J374&lt;'PlayerGrades+'!$AD$15,"D-",IF(J374&lt;'PlayerGrades+'!$AD$14,"D",IF(J374&lt;'PlayerGrades+'!$AD$13,"D+",IF(J374&lt;'PlayerGrades+'!$AD$12,"C-",IF(J374&lt;'PlayerGrades+'!$AD$11,"C",IF(J374&lt;'PlayerGrades+'!$AD$10,"C+",IF(J374&lt;'PlayerGrades+'!$AD$9,"B-",IF(J374&lt;'PlayerGrades+'!$AD$8,"B",IF(J374&lt;'PlayerGrades+'!$AD$7,"B+",IF(J374&lt;'PlayerGrades+'!$AD$6,"A-",IF(J374&lt;'PlayerGrades+'!$AD$5,"A",IF(J374&lt;'PlayerGrades+'!$AD$4,"A+",IF(J374&lt;'PlayerGrades+'!$AD$3,"S-",IF(J374&lt;'PlayerGrades+'!$AD$2,"S","S+"))))))))))))))))))))</f>
        <v>B-</v>
      </c>
      <c r="L374" s="677">
        <f t="shared" si="5"/>
        <v>0.3992172211</v>
      </c>
      <c r="M374" s="938" t="str">
        <f>IF(L374&lt;'PlayerGrades+'!$AE$21,"F-",IF(L374&lt;'PlayerGrades+'!$AE$20,"F",IF(L374&lt;'PlayerGrades+'!$AE$19,"F+",IF(L374&lt;'PlayerGrades+'!$AE$18,"E-",IF(L374&lt;'PlayerGrades+'!$AE$17,"E",IF(L374&lt;'PlayerGrades+'!$AE$16,"E+",IF(L374&lt;'PlayerGrades+'!$AE$15,"D-",IF(L374&lt;'PlayerGrades+'!$AE$14,"D",IF(L374&lt;'PlayerGrades+'!$AE$13,"D+",IF(L374&lt;'PlayerGrades+'!$AE$12,"C-",IF(L374&lt;'PlayerGrades+'!$AE$11,"C",IF(L374&lt;'PlayerGrades+'!$AE$10,"C+",IF(L374&lt;'PlayerGrades+'!$AE$9,"B-",IF(L374&lt;'PlayerGrades+'!$AE$8,"B",IF(L374&lt;'PlayerGrades+'!$AE$7,"B+",IF(L374&lt;'PlayerGrades+'!$AE$6,"A-",IF(L374&lt;'PlayerGrades+'!$AE$5,"A",IF(L374&lt;'PlayerGrades+'!$AE$4,"A+",IF(L374&lt;'PlayerGrades+'!$AE$3,"S-",IF(L374&lt;'PlayerGrades+'!$AE$2,"S","S+"))))))))))))))))))))</f>
        <v>C</v>
      </c>
      <c r="N374" s="937">
        <f t="shared" si="6"/>
        <v>0.07045009785</v>
      </c>
      <c r="O374" s="937" t="str">
        <f>IF(N374&lt;'PlayerGrades+'!$AF$21,"F-",IF(N374&lt;'PlayerGrades+'!$AF$20,"F",IF(N374&lt;'PlayerGrades+'!$AF$19,"F+",IF(N374&lt;'PlayerGrades+'!$AF$18,"E-",IF(N374&lt;'PlayerGrades+'!$AF$17,"E",IF(N374&lt;'PlayerGrades+'!$AF$16,"E+",IF(N374&lt;'PlayerGrades+'!$AF$15,"D-",IF(N374&lt;'PlayerGrades+'!$AF$14,"D",IF(N374&lt;'PlayerGrades+'!$AF$13,"D+",IF(N374&lt;'PlayerGrades+'!$AF$12,"C-",IF(N374&lt;'PlayerGrades+'!$AF$11,"C",IF(N374&lt;'PlayerGrades+'!$AF$10,"C+",IF(N374&lt;'PlayerGrades+'!$AF$9,"B-",IF(N374&lt;'PlayerGrades+'!$AF$8,"B",IF(N374&lt;'PlayerGrades+'!$AF$7,"B+",IF(N374&lt;'PlayerGrades+'!$AF$6,"A-",IF(N374&lt;'PlayerGrades+'!$AF$5,"A",IF(N374&lt;'PlayerGrades+'!$AF$4,"A+",IF(N374&lt;'PlayerGrades+'!$AF$3,"S-",IF(N374&lt;'PlayerGrades+'!$AF$2,"S","S+"))))))))))))))))))))</f>
        <v>C</v>
      </c>
      <c r="P374" s="937">
        <f t="shared" si="7"/>
        <v>0</v>
      </c>
      <c r="Q374" s="937" t="str">
        <f>IF(P374&lt;'PlayerGrades+'!$AG$21,"F-",IF(P374&lt;'PlayerGrades+'!$AG$20,"F",IF(P374&lt;'PlayerGrades+'!$AG$19,"F+",IF(P374&lt;'PlayerGrades+'!$AG$18,"E-",IF(P374&lt;'PlayerGrades+'!$AG$17,"E",IF(P374&lt;'PlayerGrades+'!$AG$16,"E+",IF(P374&lt;'PlayerGrades+'!$AG$15,"D-",IF(P374&lt;'PlayerGrades+'!$AG$14,"D",IF(P374&lt;'PlayerGrades+'!$AG$13,"D+",IF(P374&lt;'PlayerGrades+'!$AG$12,"C-",IF(P374&lt;'PlayerGrades+'!$AG$11,"C",IF(P374&lt;'PlayerGrades+'!$AG$10,"C+",IF(P374&lt;'PlayerGrades+'!$AG$9,"B-",IF(P374&lt;'PlayerGrades+'!$AG$8,"B",IF(P374&lt;'PlayerGrades+'!$AG$7,"B+",IF(P374&lt;'PlayerGrades+'!$AG$6,"A-",IF(P374&lt;'PlayerGrades+'!$AG$5,"A",IF(P374&lt;'PlayerGrades+'!$AG$4,"A+",IF(P374&lt;'PlayerGrades+'!$AG$3,"S-",IF(P374&lt;'PlayerGrades+'!$AG$2,"S","S+"))))))))))))))))))))</f>
        <v>F</v>
      </c>
      <c r="R374" s="937">
        <f t="shared" si="8"/>
        <v>0.5870841487</v>
      </c>
      <c r="S374" s="937" t="str">
        <f>IF(R374&lt;'PlayerGrades+'!$AH$21,"F-",IF(R374&lt;'PlayerGrades+'!$AH$20,"F",IF(R374&lt;'PlayerGrades+'!$AH$19,"F+",IF(R374&lt;'PlayerGrades+'!$AH$18,"E-",IF(R374&lt;'PlayerGrades+'!$AH$17,"E",IF(R374&lt;'PlayerGrades+'!$AH$16,"E+",IF(R374&lt;'PlayerGrades+'!$AH$15,"D-",IF(R374&lt;'PlayerGrades+'!$AH$14,"D",IF(R374&lt;'PlayerGrades+'!$AH$13,"D+",IF(R374&lt;'PlayerGrades+'!$AH$12,"C-",IF(R374&lt;'PlayerGrades+'!$AH$11,"C",IF(R374&lt;'PlayerGrades+'!$AH$10,"C+",IF(R374&lt;'PlayerGrades+'!$AH$9,"B-",IF(R374&lt;'PlayerGrades+'!$AH$8,"B",IF(R374&lt;'PlayerGrades+'!$AH$7,"B+",IF(R374&lt;'PlayerGrades+'!$AH$6,"A-",IF(R374&lt;'PlayerGrades+'!$AH$5,"A",IF(R374&lt;'PlayerGrades+'!$AH$4,"A+",IF(R374&lt;'PlayerGrades+'!$AH$3,"S-",IF(R374&lt;'PlayerGrades+'!$AH$2,"S","S+"))))))))))))))))))))</f>
        <v>B+</v>
      </c>
      <c r="T374" s="937">
        <f t="shared" si="9"/>
        <v>1.328767123</v>
      </c>
      <c r="U374" s="937" t="str">
        <f>IF(T374&lt;'PlayerGrades+'!$AI$21,"F-",IF(T374&lt;'PlayerGrades+'!$AI$20,"F",IF(T374&lt;'PlayerGrades+'!$AI$19,"F+",IF(T374&lt;'PlayerGrades+'!$AI$18,"E-",IF(T374&lt;'PlayerGrades+'!$AI$17,"E",IF(T374&lt;'PlayerGrades+'!$AI$16,"E+",IF(T374&lt;'PlayerGrades+'!$AI$15,"D-",IF(T374&lt;'PlayerGrades+'!$AI$14,"D",IF(T374&lt;'PlayerGrades+'!$AI$13,"D+",IF(T374&lt;'PlayerGrades+'!$AI$12,"C-",IF(T374&lt;'PlayerGrades+'!$AI$11,"C",IF(T374&lt;'PlayerGrades+'!$AI$10,"C+",IF(T374&lt;'PlayerGrades+'!$AI$9,"B-",IF(T374&lt;'PlayerGrades+'!$AI$8,"B",IF(T374&lt;'PlayerGrades+'!$AI$7,"B+",IF(T374&lt;'PlayerGrades+'!$AI$6,"A-",IF(T374&lt;'PlayerGrades+'!$AI$5,"A",IF(T374&lt;'PlayerGrades+'!$AI$4,"A+",IF(T374&lt;'PlayerGrades+'!$AI$3,"S-",IF(T374&lt;'PlayerGrades+'!$AI$2,"S","S+"))))))))))))))))))))</f>
        <v>B-</v>
      </c>
      <c r="V374" s="941">
        <v>1.0</v>
      </c>
      <c r="W374" s="941">
        <v>0.0</v>
      </c>
      <c r="X374" s="941">
        <v>1.0</v>
      </c>
      <c r="Y374" s="941">
        <v>3.0</v>
      </c>
      <c r="Z374" s="941">
        <v>19.0</v>
      </c>
      <c r="AA374" s="941">
        <v>118.0</v>
      </c>
      <c r="AB374" s="941">
        <v>132.0</v>
      </c>
      <c r="AC374" s="941">
        <v>-14.0</v>
      </c>
      <c r="AD374" s="941">
        <v>12.0</v>
      </c>
      <c r="AE374" s="941">
        <v>7.0</v>
      </c>
      <c r="AF374" s="941">
        <v>4.0</v>
      </c>
      <c r="AG374" s="941">
        <v>2042.0</v>
      </c>
      <c r="AH374" s="941">
        <v>2555.0</v>
      </c>
      <c r="AI374" s="941">
        <v>15.0</v>
      </c>
      <c r="AJ374" s="941">
        <v>528.0</v>
      </c>
      <c r="AK374" s="941">
        <v>0.0</v>
      </c>
      <c r="AL374" s="941">
        <v>2.0</v>
      </c>
      <c r="AM374" s="941">
        <v>0.0</v>
      </c>
      <c r="AN374" s="941">
        <v>0.0</v>
      </c>
      <c r="AO374" s="941">
        <v>0.0</v>
      </c>
      <c r="AP374" s="941">
        <v>0.0</v>
      </c>
      <c r="AQ374" s="941">
        <v>0.0</v>
      </c>
      <c r="AR374" s="941">
        <v>17.0</v>
      </c>
      <c r="AS374" s="941">
        <v>3.0</v>
      </c>
      <c r="AT374" s="941">
        <v>0.0</v>
      </c>
      <c r="AU374" s="941">
        <v>0.0</v>
      </c>
      <c r="AV374" s="941">
        <v>0.0</v>
      </c>
      <c r="AW374" s="941">
        <v>0.0</v>
      </c>
      <c r="AX374" s="941">
        <v>0.0</v>
      </c>
      <c r="AY374" s="941">
        <v>0.0</v>
      </c>
      <c r="AZ374" s="941">
        <v>0.0</v>
      </c>
      <c r="BA374" s="941">
        <v>0.0</v>
      </c>
      <c r="BB374" s="941">
        <v>0.0</v>
      </c>
      <c r="BC374" s="941">
        <v>0.0</v>
      </c>
      <c r="BD374" s="941">
        <v>13.0</v>
      </c>
      <c r="BE374" s="941">
        <v>14.0</v>
      </c>
      <c r="BF374" s="941">
        <v>1.0</v>
      </c>
      <c r="BG374" s="942">
        <v>1.0</v>
      </c>
    </row>
    <row r="375">
      <c r="A375" s="935" t="s">
        <v>130</v>
      </c>
      <c r="B375" s="16" t="str">
        <f>IF(C375&lt;'PlayerGrades+'!$Y$44,"F-",IF(C375&lt;'PlayerGrades+'!$Y$43,"F",IF(C375&lt;'PlayerGrades+'!$Y$42,"F+",IF(C375&lt;'PlayerGrades+'!$Y$41,"E-",IF(C375&lt;'PlayerGrades+'!$Y$40,"E",IF(C375&lt;'PlayerGrades+'!$Y$39,"E+",IF(C375&lt;'PlayerGrades+'!$Y$38,"D-",IF(C375&lt;'PlayerGrades+'!$Y$37,"D",IF(C375&lt;'PlayerGrades+'!$Y$36,"D+",IF(C375&lt;'PlayerGrades+'!$Y$35,"C-",IF(C375&lt;'PlayerGrades+'!$Y$34,"C",IF(C375&lt;'PlayerGrades+'!$Y$33,"C+",IF(C375&lt;'PlayerGrades+'!$Y$32,"B-",IF(C375&lt;'PlayerGrades+'!$Y$31,"B",IF(C375&lt;'PlayerGrades+'!$Y$30,"B+",IF(C375&lt;'PlayerGrades+'!$Y$29,"A-",IF(C375&lt;'PlayerGrades+'!$Y$28,"A",IF(C375&lt;'PlayerGrades+'!$Y$27,"A+",IF(C375&lt;'PlayerGrades+'!$Y$26,"S-",IF(C375&lt;'PlayerGrades+'!$Y$25,"S","S+"))))))))))))))))))))</f>
        <v>D+</v>
      </c>
      <c r="C375" s="936">
        <f>('PlayerGrades+'!$Y$47*(VLOOKUP(E375, 'PlayerGrades+'!$X$3:$Y$23, 2, FALSE)))+('PlayerGrades+'!$Y$48*(VLOOKUP(G375, 'PlayerGrades+'!$X$3:$Y$23, 2, FALSE)))+('PlayerGrades+'!$Y$49*(VLOOKUP(I375, 'PlayerGrades+'!$X$3:$Y$23, 2, FALSE)))+('PlayerGrades+'!$Y$50*(VLOOKUP(K375, 'PlayerGrades+'!$X$3:$Y$23, 2, FALSE)))+('PlayerGrades+'!$Y$51*(VLOOKUP(M375, 'PlayerGrades+'!$X$3:$Y$23, 2, FALSE)))+('PlayerGrades+'!$Y$52*(VLOOKUP(O375, 'PlayerGrades+'!$X$3:$Y$23, 2, FALSE)))+('PlayerGrades+'!$Y$53*(VLOOKUP(Q375, 'PlayerGrades+'!$X$3:$Y$23, 2, FALSE)))+('PlayerGrades+'!$Y$54*(VLOOKUP(S375, 'PlayerGrades+'!$X$3:$Y$23, 2, FALSE)))+('PlayerGrades+'!$Y$55*(VLOOKUP(U375, 'PlayerGrades+'!$X$3:$Y$23, 2, FALSE)))</f>
        <v>17.75</v>
      </c>
      <c r="D375" s="937">
        <f t="shared" si="1"/>
        <v>0.02348336595</v>
      </c>
      <c r="E375" s="937" t="str">
        <f>IF(D375&lt;'PlayerGrades+'!$AA$21,"F-",IF(D375&lt;'PlayerGrades+'!$AA$20,"F",IF(D375&lt;'PlayerGrades+'!$AA$19,"F+",IF(D375&lt;'PlayerGrades+'!$AA$18,"E-",IF(D375&lt;'PlayerGrades+'!$AA$17,"E",IF(D375&lt;'PlayerGrades+'!$AA$16,"E+",IF(D375&lt;'PlayerGrades+'!$AA$15,"D-",IF(D375&lt;'PlayerGrades+'!$AA$14,"D",IF(D375&lt;'PlayerGrades+'!$AA$13,"D+",IF(D375&lt;'PlayerGrades+'!$AA$12,"C-",IF(D375&lt;'PlayerGrades+'!$AA$11,"C",IF(D375&lt;'PlayerGrades+'!$AA$10,"C+",IF(D375&lt;'PlayerGrades+'!$AA$9,"B-",IF(D375&lt;'PlayerGrades+'!$AA$8,"B",IF(D375&lt;'PlayerGrades+'!$AA$7,"B+",IF(D375&lt;'PlayerGrades+'!$AA$6,"A-",IF(D375&lt;'PlayerGrades+'!$AA$5,"A",IF(D375&lt;'PlayerGrades+'!$AA$4,"A+",IF(D375&lt;'PlayerGrades+'!$AA$3,"S-",IF(D375&lt;'PlayerGrades+'!$AA$2,"S","S+"))))))))))))))))))))</f>
        <v>E</v>
      </c>
      <c r="F375" s="937">
        <f t="shared" si="2"/>
        <v>-0.2113502935</v>
      </c>
      <c r="G375" s="937" t="str">
        <f>IF(F375&lt;'PlayerGrades+'!$AB$21,"F-",IF(F375&lt;'PlayerGrades+'!$AB$20,"F",IF(F375&lt;'PlayerGrades+'!$AB$19,"F+",IF(F375&lt;'PlayerGrades+'!$AB$18,"E-",IF(F375&lt;'PlayerGrades+'!$AB$17,"E",IF(F375&lt;'PlayerGrades+'!$AB$16,"E+",IF(F375&lt;'PlayerGrades+'!$AB$15,"D-",IF(F375&lt;'PlayerGrades+'!$AB$14,"D",IF(F375&lt;'PlayerGrades+'!$AB$13,"D+",IF(F375&lt;'PlayerGrades+'!$AB$12,"C-",IF(F375&lt;'PlayerGrades+'!$AB$11,"C",IF(F375&lt;'PlayerGrades+'!$AB$10,"C+",IF(F375&lt;'PlayerGrades+'!$AB$9,"B-",IF(F375&lt;'PlayerGrades+'!$AB$8,"B",IF(F375&lt;'PlayerGrades+'!$AB$7,"B+",IF(F375&lt;'PlayerGrades+'!$AB$6,"A-",IF(F375&lt;'PlayerGrades+'!$AB$5,"A",IF(F375&lt;'PlayerGrades+'!$AB$4,"A+",IF(F375&lt;'PlayerGrades+'!$AB$3,"S-",IF(F375&lt;'PlayerGrades+'!$AB$2,"S","S+"))))))))))))))))))))</f>
        <v>C+</v>
      </c>
      <c r="H375" s="937">
        <f t="shared" si="3"/>
        <v>0.02348336595</v>
      </c>
      <c r="I375" s="937" t="str">
        <f>IF(H375&lt;'PlayerGrades+'!$AC$21,"F-",IF(H375&lt;'PlayerGrades+'!$AC$20,"F",IF(H375&lt;'PlayerGrades+'!$AC$19,"F+",IF(H375&lt;'PlayerGrades+'!$AC$18,"E-",IF(H375&lt;'PlayerGrades+'!$AC$17,"E",IF(H375&lt;'PlayerGrades+'!$AC$16,"E+",IF(H375&lt;'PlayerGrades+'!$AC$15,"D-",IF(H375&lt;'PlayerGrades+'!$AC$14,"D",IF(H375&lt;'PlayerGrades+'!$AC$13,"D+",IF(H375&lt;'PlayerGrades+'!$AC$12,"C-",IF(H375&lt;'PlayerGrades+'!$AC$11,"C",IF(H375&lt;'PlayerGrades+'!$AC$10,"C+",IF(H375&lt;'PlayerGrades+'!$AC$9,"B-",IF(H375&lt;'PlayerGrades+'!$AC$8,"B",IF(H375&lt;'PlayerGrades+'!$AC$7,"B+",IF(H375&lt;'PlayerGrades+'!$AC$6,"A-",IF(H375&lt;'PlayerGrades+'!$AC$5,"A",IF(H375&lt;'PlayerGrades+'!$AC$4,"A+",IF(H375&lt;'PlayerGrades+'!$AC$3,"S-",IF(H375&lt;'PlayerGrades+'!$AC$2,"S","S+"))))))))))))))))))))</f>
        <v>F-</v>
      </c>
      <c r="J375" s="937">
        <f t="shared" si="4"/>
        <v>0.07045009785</v>
      </c>
      <c r="K375" s="937" t="str">
        <f>IF(J375&lt;'PlayerGrades+'!$AD$21,"F-",IF(J375&lt;'PlayerGrades+'!$AD$20,"F",IF(J375&lt;'PlayerGrades+'!$AD$19,"F+",IF(J375&lt;'PlayerGrades+'!$AD$18,"E-",IF(J375&lt;'PlayerGrades+'!$AD$17,"E",IF(J375&lt;'PlayerGrades+'!$AD$16,"E+",IF(J375&lt;'PlayerGrades+'!$AD$15,"D-",IF(J375&lt;'PlayerGrades+'!$AD$14,"D",IF(J375&lt;'PlayerGrades+'!$AD$13,"D+",IF(J375&lt;'PlayerGrades+'!$AD$12,"C-",IF(J375&lt;'PlayerGrades+'!$AD$11,"C",IF(J375&lt;'PlayerGrades+'!$AD$10,"C+",IF(J375&lt;'PlayerGrades+'!$AD$9,"B-",IF(J375&lt;'PlayerGrades+'!$AD$8,"B",IF(J375&lt;'PlayerGrades+'!$AD$7,"B+",IF(J375&lt;'PlayerGrades+'!$AD$6,"A-",IF(J375&lt;'PlayerGrades+'!$AD$5,"A",IF(J375&lt;'PlayerGrades+'!$AD$4,"A+",IF(J375&lt;'PlayerGrades+'!$AD$3,"S-",IF(J375&lt;'PlayerGrades+'!$AD$2,"S","S+"))))))))))))))))))))</f>
        <v>A</v>
      </c>
      <c r="L375" s="677">
        <f t="shared" si="5"/>
        <v>0.3052837573</v>
      </c>
      <c r="M375" s="938" t="str">
        <f>IF(L375&lt;'PlayerGrades+'!$AE$21,"F-",IF(L375&lt;'PlayerGrades+'!$AE$20,"F",IF(L375&lt;'PlayerGrades+'!$AE$19,"F+",IF(L375&lt;'PlayerGrades+'!$AE$18,"E-",IF(L375&lt;'PlayerGrades+'!$AE$17,"E",IF(L375&lt;'PlayerGrades+'!$AE$16,"E+",IF(L375&lt;'PlayerGrades+'!$AE$15,"D-",IF(L375&lt;'PlayerGrades+'!$AE$14,"D",IF(L375&lt;'PlayerGrades+'!$AE$13,"D+",IF(L375&lt;'PlayerGrades+'!$AE$12,"C-",IF(L375&lt;'PlayerGrades+'!$AE$11,"C",IF(L375&lt;'PlayerGrades+'!$AE$10,"C+",IF(L375&lt;'PlayerGrades+'!$AE$9,"B-",IF(L375&lt;'PlayerGrades+'!$AE$8,"B",IF(L375&lt;'PlayerGrades+'!$AE$7,"B+",IF(L375&lt;'PlayerGrades+'!$AE$6,"A-",IF(L375&lt;'PlayerGrades+'!$AE$5,"A",IF(L375&lt;'PlayerGrades+'!$AE$4,"A+",IF(L375&lt;'PlayerGrades+'!$AE$3,"S-",IF(L375&lt;'PlayerGrades+'!$AE$2,"S","S+"))))))))))))))))))))</f>
        <v>E-</v>
      </c>
      <c r="N375" s="937">
        <f t="shared" si="6"/>
        <v>0.0469667319</v>
      </c>
      <c r="O375" s="937" t="str">
        <f>IF(N375&lt;'PlayerGrades+'!$AF$21,"F-",IF(N375&lt;'PlayerGrades+'!$AF$20,"F",IF(N375&lt;'PlayerGrades+'!$AF$19,"F+",IF(N375&lt;'PlayerGrades+'!$AF$18,"E-",IF(N375&lt;'PlayerGrades+'!$AF$17,"E",IF(N375&lt;'PlayerGrades+'!$AF$16,"E+",IF(N375&lt;'PlayerGrades+'!$AF$15,"D-",IF(N375&lt;'PlayerGrades+'!$AF$14,"D",IF(N375&lt;'PlayerGrades+'!$AF$13,"D+",IF(N375&lt;'PlayerGrades+'!$AF$12,"C-",IF(N375&lt;'PlayerGrades+'!$AF$11,"C",IF(N375&lt;'PlayerGrades+'!$AF$10,"C+",IF(N375&lt;'PlayerGrades+'!$AF$9,"B-",IF(N375&lt;'PlayerGrades+'!$AF$8,"B",IF(N375&lt;'PlayerGrades+'!$AF$7,"B+",IF(N375&lt;'PlayerGrades+'!$AF$6,"A-",IF(N375&lt;'PlayerGrades+'!$AF$5,"A",IF(N375&lt;'PlayerGrades+'!$AF$4,"A+",IF(N375&lt;'PlayerGrades+'!$AF$3,"S-",IF(N375&lt;'PlayerGrades+'!$AF$2,"S","S+"))))))))))))))))))))</f>
        <v>D-</v>
      </c>
      <c r="P375" s="937">
        <f t="shared" si="7"/>
        <v>0.07045009785</v>
      </c>
      <c r="Q375" s="937" t="str">
        <f>IF(P375&lt;'PlayerGrades+'!$AG$21,"F-",IF(P375&lt;'PlayerGrades+'!$AG$20,"F",IF(P375&lt;'PlayerGrades+'!$AG$19,"F+",IF(P375&lt;'PlayerGrades+'!$AG$18,"E-",IF(P375&lt;'PlayerGrades+'!$AG$17,"E",IF(P375&lt;'PlayerGrades+'!$AG$16,"E+",IF(P375&lt;'PlayerGrades+'!$AG$15,"D-",IF(P375&lt;'PlayerGrades+'!$AG$14,"D",IF(P375&lt;'PlayerGrades+'!$AG$13,"D+",IF(P375&lt;'PlayerGrades+'!$AG$12,"C-",IF(P375&lt;'PlayerGrades+'!$AG$11,"C",IF(P375&lt;'PlayerGrades+'!$AG$10,"C+",IF(P375&lt;'PlayerGrades+'!$AG$9,"B-",IF(P375&lt;'PlayerGrades+'!$AG$8,"B",IF(P375&lt;'PlayerGrades+'!$AG$7,"B+",IF(P375&lt;'PlayerGrades+'!$AG$6,"A-",IF(P375&lt;'PlayerGrades+'!$AG$5,"A",IF(P375&lt;'PlayerGrades+'!$AG$4,"A+",IF(P375&lt;'PlayerGrades+'!$AG$3,"S-",IF(P375&lt;'PlayerGrades+'!$AG$2,"S","S+"))))))))))))))))))))</f>
        <v>S-</v>
      </c>
      <c r="R375" s="937">
        <f t="shared" si="8"/>
        <v>0.8219178082</v>
      </c>
      <c r="S375" s="937" t="str">
        <f>IF(R375&lt;'PlayerGrades+'!$AH$21,"F-",IF(R375&lt;'PlayerGrades+'!$AH$20,"F",IF(R375&lt;'PlayerGrades+'!$AH$19,"F+",IF(R375&lt;'PlayerGrades+'!$AH$18,"E-",IF(R375&lt;'PlayerGrades+'!$AH$17,"E",IF(R375&lt;'PlayerGrades+'!$AH$16,"E+",IF(R375&lt;'PlayerGrades+'!$AH$15,"D-",IF(R375&lt;'PlayerGrades+'!$AH$14,"D",IF(R375&lt;'PlayerGrades+'!$AH$13,"D+",IF(R375&lt;'PlayerGrades+'!$AH$12,"C-",IF(R375&lt;'PlayerGrades+'!$AH$11,"C",IF(R375&lt;'PlayerGrades+'!$AH$10,"C+",IF(R375&lt;'PlayerGrades+'!$AH$9,"B-",IF(R375&lt;'PlayerGrades+'!$AH$8,"B",IF(R375&lt;'PlayerGrades+'!$AH$7,"B+",IF(R375&lt;'PlayerGrades+'!$AH$6,"A-",IF(R375&lt;'PlayerGrades+'!$AH$5,"A",IF(R375&lt;'PlayerGrades+'!$AH$4,"A+",IF(R375&lt;'PlayerGrades+'!$AH$3,"S-",IF(R375&lt;'PlayerGrades+'!$AH$2,"S","S+"))))))))))))))))))))</f>
        <v>S+</v>
      </c>
      <c r="T375" s="937">
        <f t="shared" si="9"/>
        <v>0.446183953</v>
      </c>
      <c r="U375" s="937" t="str">
        <f>IF(T375&lt;'PlayerGrades+'!$AI$21,"F-",IF(T375&lt;'PlayerGrades+'!$AI$20,"F",IF(T375&lt;'PlayerGrades+'!$AI$19,"F+",IF(T375&lt;'PlayerGrades+'!$AI$18,"E-",IF(T375&lt;'PlayerGrades+'!$AI$17,"E",IF(T375&lt;'PlayerGrades+'!$AI$16,"E+",IF(T375&lt;'PlayerGrades+'!$AI$15,"D-",IF(T375&lt;'PlayerGrades+'!$AI$14,"D",IF(T375&lt;'PlayerGrades+'!$AI$13,"D+",IF(T375&lt;'PlayerGrades+'!$AI$12,"C-",IF(T375&lt;'PlayerGrades+'!$AI$11,"C",IF(T375&lt;'PlayerGrades+'!$AI$10,"C+",IF(T375&lt;'PlayerGrades+'!$AI$9,"B-",IF(T375&lt;'PlayerGrades+'!$AI$8,"B",IF(T375&lt;'PlayerGrades+'!$AI$7,"B+",IF(T375&lt;'PlayerGrades+'!$AI$6,"A-",IF(T375&lt;'PlayerGrades+'!$AI$5,"A",IF(T375&lt;'PlayerGrades+'!$AI$4,"A+",IF(T375&lt;'PlayerGrades+'!$AI$3,"S-",IF(T375&lt;'PlayerGrades+'!$AI$2,"S","S+"))))))))))))))))))))</f>
        <v>F-</v>
      </c>
      <c r="V375" s="941">
        <v>1.0</v>
      </c>
      <c r="W375" s="941">
        <v>0.0</v>
      </c>
      <c r="X375" s="941">
        <v>1.0</v>
      </c>
      <c r="Y375" s="941">
        <v>1.0</v>
      </c>
      <c r="Z375" s="941">
        <v>0.0</v>
      </c>
      <c r="AA375" s="941">
        <v>129.0</v>
      </c>
      <c r="AB375" s="941">
        <v>138.0</v>
      </c>
      <c r="AC375" s="941">
        <v>-9.0</v>
      </c>
      <c r="AD375" s="941">
        <v>16.0</v>
      </c>
      <c r="AE375" s="941">
        <v>7.0</v>
      </c>
      <c r="AF375" s="941">
        <v>11.0</v>
      </c>
      <c r="AG375" s="941">
        <v>2016.0</v>
      </c>
      <c r="AH375" s="941">
        <v>2555.0</v>
      </c>
      <c r="AI375" s="941">
        <v>14.0</v>
      </c>
      <c r="AJ375" s="941">
        <v>10.0</v>
      </c>
      <c r="AK375" s="941">
        <v>0.0</v>
      </c>
      <c r="AL375" s="941">
        <v>3.0</v>
      </c>
      <c r="AM375" s="941">
        <v>0.0</v>
      </c>
      <c r="AN375" s="941">
        <v>0.0</v>
      </c>
      <c r="AO375" s="941">
        <v>0.0</v>
      </c>
      <c r="AP375" s="941">
        <v>3.0</v>
      </c>
      <c r="AQ375" s="941">
        <v>0.0</v>
      </c>
      <c r="AR375" s="941">
        <v>13.0</v>
      </c>
      <c r="AS375" s="941">
        <v>2.0</v>
      </c>
      <c r="AT375" s="941">
        <v>1.0</v>
      </c>
      <c r="AU375" s="941">
        <v>0.0</v>
      </c>
      <c r="AV375" s="941">
        <v>0.0</v>
      </c>
      <c r="AW375" s="941">
        <v>0.0</v>
      </c>
      <c r="AX375" s="941">
        <v>0.0</v>
      </c>
      <c r="AY375" s="941">
        <v>0.0</v>
      </c>
      <c r="AZ375" s="941">
        <v>0.0</v>
      </c>
      <c r="BA375" s="941">
        <v>0.0</v>
      </c>
      <c r="BB375" s="941">
        <v>1.0</v>
      </c>
      <c r="BC375" s="941">
        <v>0.0</v>
      </c>
      <c r="BD375" s="941">
        <v>19.0</v>
      </c>
      <c r="BE375" s="941">
        <v>19.0</v>
      </c>
      <c r="BF375" s="941">
        <v>0.0</v>
      </c>
      <c r="BG375" s="942">
        <v>1.0</v>
      </c>
    </row>
    <row r="376">
      <c r="A376" s="935" t="s">
        <v>152</v>
      </c>
      <c r="B376" s="16" t="str">
        <f>IF(C376&lt;'PlayerGrades+'!$Y$44,"F-",IF(C376&lt;'PlayerGrades+'!$Y$43,"F",IF(C376&lt;'PlayerGrades+'!$Y$42,"F+",IF(C376&lt;'PlayerGrades+'!$Y$41,"E-",IF(C376&lt;'PlayerGrades+'!$Y$40,"E",IF(C376&lt;'PlayerGrades+'!$Y$39,"E+",IF(C376&lt;'PlayerGrades+'!$Y$38,"D-",IF(C376&lt;'PlayerGrades+'!$Y$37,"D",IF(C376&lt;'PlayerGrades+'!$Y$36,"D+",IF(C376&lt;'PlayerGrades+'!$Y$35,"C-",IF(C376&lt;'PlayerGrades+'!$Y$34,"C",IF(C376&lt;'PlayerGrades+'!$Y$33,"C+",IF(C376&lt;'PlayerGrades+'!$Y$32,"B-",IF(C376&lt;'PlayerGrades+'!$Y$31,"B",IF(C376&lt;'PlayerGrades+'!$Y$30,"B+",IF(C376&lt;'PlayerGrades+'!$Y$29,"A-",IF(C376&lt;'PlayerGrades+'!$Y$28,"A",IF(C376&lt;'PlayerGrades+'!$Y$27,"A+",IF(C376&lt;'PlayerGrades+'!$Y$26,"S-",IF(C376&lt;'PlayerGrades+'!$Y$25,"S","S+"))))))))))))))))))))</f>
        <v>F-</v>
      </c>
      <c r="C376" s="936">
        <f>('PlayerGrades+'!$Y$47*(VLOOKUP(E376, 'PlayerGrades+'!$X$3:$Y$23, 2, FALSE)))+('PlayerGrades+'!$Y$48*(VLOOKUP(G376, 'PlayerGrades+'!$X$3:$Y$23, 2, FALSE)))+('PlayerGrades+'!$Y$49*(VLOOKUP(I376, 'PlayerGrades+'!$X$3:$Y$23, 2, FALSE)))+('PlayerGrades+'!$Y$50*(VLOOKUP(K376, 'PlayerGrades+'!$X$3:$Y$23, 2, FALSE)))+('PlayerGrades+'!$Y$51*(VLOOKUP(M376, 'PlayerGrades+'!$X$3:$Y$23, 2, FALSE)))+('PlayerGrades+'!$Y$52*(VLOOKUP(O376, 'PlayerGrades+'!$X$3:$Y$23, 2, FALSE)))+('PlayerGrades+'!$Y$53*(VLOOKUP(Q376, 'PlayerGrades+'!$X$3:$Y$23, 2, FALSE)))+('PlayerGrades+'!$Y$54*(VLOOKUP(S376, 'PlayerGrades+'!$X$3:$Y$23, 2, FALSE)))+('PlayerGrades+'!$Y$55*(VLOOKUP(U376, 'PlayerGrades+'!$X$3:$Y$23, 2, FALSE)))</f>
        <v>5.6</v>
      </c>
      <c r="D376" s="937">
        <f t="shared" si="1"/>
        <v>0</v>
      </c>
      <c r="E376" s="937" t="str">
        <f>IF(D376&lt;'PlayerGrades+'!$AA$21,"F-",IF(D376&lt;'PlayerGrades+'!$AA$20,"F",IF(D376&lt;'PlayerGrades+'!$AA$19,"F+",IF(D376&lt;'PlayerGrades+'!$AA$18,"E-",IF(D376&lt;'PlayerGrades+'!$AA$17,"E",IF(D376&lt;'PlayerGrades+'!$AA$16,"E+",IF(D376&lt;'PlayerGrades+'!$AA$15,"D-",IF(D376&lt;'PlayerGrades+'!$AA$14,"D",IF(D376&lt;'PlayerGrades+'!$AA$13,"D+",IF(D376&lt;'PlayerGrades+'!$AA$12,"C-",IF(D376&lt;'PlayerGrades+'!$AA$11,"C",IF(D376&lt;'PlayerGrades+'!$AA$10,"C+",IF(D376&lt;'PlayerGrades+'!$AA$9,"B-",IF(D376&lt;'PlayerGrades+'!$AA$8,"B",IF(D376&lt;'PlayerGrades+'!$AA$7,"B+",IF(D376&lt;'PlayerGrades+'!$AA$6,"A-",IF(D376&lt;'PlayerGrades+'!$AA$5,"A",IF(D376&lt;'PlayerGrades+'!$AA$4,"A+",IF(D376&lt;'PlayerGrades+'!$AA$3,"S-",IF(D376&lt;'PlayerGrades+'!$AA$2,"S","S+"))))))))))))))))))))</f>
        <v>F-</v>
      </c>
      <c r="F376" s="937">
        <f t="shared" si="2"/>
        <v>-1.009784736</v>
      </c>
      <c r="G376" s="937" t="str">
        <f>IF(F376&lt;'PlayerGrades+'!$AB$21,"F-",IF(F376&lt;'PlayerGrades+'!$AB$20,"F",IF(F376&lt;'PlayerGrades+'!$AB$19,"F+",IF(F376&lt;'PlayerGrades+'!$AB$18,"E-",IF(F376&lt;'PlayerGrades+'!$AB$17,"E",IF(F376&lt;'PlayerGrades+'!$AB$16,"E+",IF(F376&lt;'PlayerGrades+'!$AB$15,"D-",IF(F376&lt;'PlayerGrades+'!$AB$14,"D",IF(F376&lt;'PlayerGrades+'!$AB$13,"D+",IF(F376&lt;'PlayerGrades+'!$AB$12,"C-",IF(F376&lt;'PlayerGrades+'!$AB$11,"C",IF(F376&lt;'PlayerGrades+'!$AB$10,"C+",IF(F376&lt;'PlayerGrades+'!$AB$9,"B-",IF(F376&lt;'PlayerGrades+'!$AB$8,"B",IF(F376&lt;'PlayerGrades+'!$AB$7,"B+",IF(F376&lt;'PlayerGrades+'!$AB$6,"A-",IF(F376&lt;'PlayerGrades+'!$AB$5,"A",IF(F376&lt;'PlayerGrades+'!$AB$4,"A+",IF(F376&lt;'PlayerGrades+'!$AB$3,"S-",IF(F376&lt;'PlayerGrades+'!$AB$2,"S","S+"))))))))))))))))))))</f>
        <v>F</v>
      </c>
      <c r="H376" s="937">
        <f t="shared" si="3"/>
        <v>0</v>
      </c>
      <c r="I376" s="937" t="str">
        <f>IF(H376&lt;'PlayerGrades+'!$AC$21,"F-",IF(H376&lt;'PlayerGrades+'!$AC$20,"F",IF(H376&lt;'PlayerGrades+'!$AC$19,"F+",IF(H376&lt;'PlayerGrades+'!$AC$18,"E-",IF(H376&lt;'PlayerGrades+'!$AC$17,"E",IF(H376&lt;'PlayerGrades+'!$AC$16,"E+",IF(H376&lt;'PlayerGrades+'!$AC$15,"D-",IF(H376&lt;'PlayerGrades+'!$AC$14,"D",IF(H376&lt;'PlayerGrades+'!$AC$13,"D+",IF(H376&lt;'PlayerGrades+'!$AC$12,"C-",IF(H376&lt;'PlayerGrades+'!$AC$11,"C",IF(H376&lt;'PlayerGrades+'!$AC$10,"C+",IF(H376&lt;'PlayerGrades+'!$AC$9,"B-",IF(H376&lt;'PlayerGrades+'!$AC$8,"B",IF(H376&lt;'PlayerGrades+'!$AC$7,"B+",IF(H376&lt;'PlayerGrades+'!$AC$6,"A-",IF(H376&lt;'PlayerGrades+'!$AC$5,"A",IF(H376&lt;'PlayerGrades+'!$AC$4,"A+",IF(H376&lt;'PlayerGrades+'!$AC$3,"S-",IF(H376&lt;'PlayerGrades+'!$AC$2,"S","S+"))))))))))))))))))))</f>
        <v>F-</v>
      </c>
      <c r="J376" s="937">
        <f t="shared" si="4"/>
        <v>0</v>
      </c>
      <c r="K376" s="937" t="str">
        <f>IF(J376&lt;'PlayerGrades+'!$AD$21,"F-",IF(J376&lt;'PlayerGrades+'!$AD$20,"F",IF(J376&lt;'PlayerGrades+'!$AD$19,"F+",IF(J376&lt;'PlayerGrades+'!$AD$18,"E-",IF(J376&lt;'PlayerGrades+'!$AD$17,"E",IF(J376&lt;'PlayerGrades+'!$AD$16,"E+",IF(J376&lt;'PlayerGrades+'!$AD$15,"D-",IF(J376&lt;'PlayerGrades+'!$AD$14,"D",IF(J376&lt;'PlayerGrades+'!$AD$13,"D+",IF(J376&lt;'PlayerGrades+'!$AD$12,"C-",IF(J376&lt;'PlayerGrades+'!$AD$11,"C",IF(J376&lt;'PlayerGrades+'!$AD$10,"C+",IF(J376&lt;'PlayerGrades+'!$AD$9,"B-",IF(J376&lt;'PlayerGrades+'!$AD$8,"B",IF(J376&lt;'PlayerGrades+'!$AD$7,"B+",IF(J376&lt;'PlayerGrades+'!$AD$6,"A-",IF(J376&lt;'PlayerGrades+'!$AD$5,"A",IF(J376&lt;'PlayerGrades+'!$AD$4,"A+",IF(J376&lt;'PlayerGrades+'!$AD$3,"S-",IF(J376&lt;'PlayerGrades+'!$AD$2,"S","S+"))))))))))))))))))))</f>
        <v>F-</v>
      </c>
      <c r="L376" s="677">
        <f t="shared" si="5"/>
        <v>0.2113502935</v>
      </c>
      <c r="M376" s="938" t="str">
        <f>IF(L376&lt;'PlayerGrades+'!$AE$21,"F-",IF(L376&lt;'PlayerGrades+'!$AE$20,"F",IF(L376&lt;'PlayerGrades+'!$AE$19,"F+",IF(L376&lt;'PlayerGrades+'!$AE$18,"E-",IF(L376&lt;'PlayerGrades+'!$AE$17,"E",IF(L376&lt;'PlayerGrades+'!$AE$16,"E+",IF(L376&lt;'PlayerGrades+'!$AE$15,"D-",IF(L376&lt;'PlayerGrades+'!$AE$14,"D",IF(L376&lt;'PlayerGrades+'!$AE$13,"D+",IF(L376&lt;'PlayerGrades+'!$AE$12,"C-",IF(L376&lt;'PlayerGrades+'!$AE$11,"C",IF(L376&lt;'PlayerGrades+'!$AE$10,"C+",IF(L376&lt;'PlayerGrades+'!$AE$9,"B-",IF(L376&lt;'PlayerGrades+'!$AE$8,"B",IF(L376&lt;'PlayerGrades+'!$AE$7,"B+",IF(L376&lt;'PlayerGrades+'!$AE$6,"A-",IF(L376&lt;'PlayerGrades+'!$AE$5,"A",IF(L376&lt;'PlayerGrades+'!$AE$4,"A+",IF(L376&lt;'PlayerGrades+'!$AE$3,"S-",IF(L376&lt;'PlayerGrades+'!$AE$2,"S","S+"))))))))))))))))))))</f>
        <v>F</v>
      </c>
      <c r="N376" s="937">
        <f t="shared" si="6"/>
        <v>0</v>
      </c>
      <c r="O376" s="937" t="str">
        <f>IF(N376&lt;'PlayerGrades+'!$AF$21,"F-",IF(N376&lt;'PlayerGrades+'!$AF$20,"F",IF(N376&lt;'PlayerGrades+'!$AF$19,"F+",IF(N376&lt;'PlayerGrades+'!$AF$18,"E-",IF(N376&lt;'PlayerGrades+'!$AF$17,"E",IF(N376&lt;'PlayerGrades+'!$AF$16,"E+",IF(N376&lt;'PlayerGrades+'!$AF$15,"D-",IF(N376&lt;'PlayerGrades+'!$AF$14,"D",IF(N376&lt;'PlayerGrades+'!$AF$13,"D+",IF(N376&lt;'PlayerGrades+'!$AF$12,"C-",IF(N376&lt;'PlayerGrades+'!$AF$11,"C",IF(N376&lt;'PlayerGrades+'!$AF$10,"C+",IF(N376&lt;'PlayerGrades+'!$AF$9,"B-",IF(N376&lt;'PlayerGrades+'!$AF$8,"B",IF(N376&lt;'PlayerGrades+'!$AF$7,"B+",IF(N376&lt;'PlayerGrades+'!$AF$6,"A-",IF(N376&lt;'PlayerGrades+'!$AF$5,"A",IF(N376&lt;'PlayerGrades+'!$AF$4,"A+",IF(N376&lt;'PlayerGrades+'!$AF$3,"S-",IF(N376&lt;'PlayerGrades+'!$AF$2,"S","S+"))))))))))))))))))))</f>
        <v>F-</v>
      </c>
      <c r="P376" s="937">
        <f t="shared" si="7"/>
        <v>0</v>
      </c>
      <c r="Q376" s="937" t="str">
        <f>IF(P376&lt;'PlayerGrades+'!$AG$21,"F-",IF(P376&lt;'PlayerGrades+'!$AG$20,"F",IF(P376&lt;'PlayerGrades+'!$AG$19,"F+",IF(P376&lt;'PlayerGrades+'!$AG$18,"E-",IF(P376&lt;'PlayerGrades+'!$AG$17,"E",IF(P376&lt;'PlayerGrades+'!$AG$16,"E+",IF(P376&lt;'PlayerGrades+'!$AG$15,"D-",IF(P376&lt;'PlayerGrades+'!$AG$14,"D",IF(P376&lt;'PlayerGrades+'!$AG$13,"D+",IF(P376&lt;'PlayerGrades+'!$AG$12,"C-",IF(P376&lt;'PlayerGrades+'!$AG$11,"C",IF(P376&lt;'PlayerGrades+'!$AG$10,"C+",IF(P376&lt;'PlayerGrades+'!$AG$9,"B-",IF(P376&lt;'PlayerGrades+'!$AG$8,"B",IF(P376&lt;'PlayerGrades+'!$AG$7,"B+",IF(P376&lt;'PlayerGrades+'!$AG$6,"A-",IF(P376&lt;'PlayerGrades+'!$AG$5,"A",IF(P376&lt;'PlayerGrades+'!$AG$4,"A+",IF(P376&lt;'PlayerGrades+'!$AG$3,"S-",IF(P376&lt;'PlayerGrades+'!$AG$2,"S","S+"))))))))))))))))))))</f>
        <v>F</v>
      </c>
      <c r="R376" s="937">
        <f t="shared" si="8"/>
        <v>0.3522504892</v>
      </c>
      <c r="S376" s="937" t="str">
        <f>IF(R376&lt;'PlayerGrades+'!$AH$21,"F-",IF(R376&lt;'PlayerGrades+'!$AH$20,"F",IF(R376&lt;'PlayerGrades+'!$AH$19,"F+",IF(R376&lt;'PlayerGrades+'!$AH$18,"E-",IF(R376&lt;'PlayerGrades+'!$AH$17,"E",IF(R376&lt;'PlayerGrades+'!$AH$16,"E+",IF(R376&lt;'PlayerGrades+'!$AH$15,"D-",IF(R376&lt;'PlayerGrades+'!$AH$14,"D",IF(R376&lt;'PlayerGrades+'!$AH$13,"D+",IF(R376&lt;'PlayerGrades+'!$AH$12,"C-",IF(R376&lt;'PlayerGrades+'!$AH$11,"C",IF(R376&lt;'PlayerGrades+'!$AH$10,"C+",IF(R376&lt;'PlayerGrades+'!$AH$9,"B-",IF(R376&lt;'PlayerGrades+'!$AH$8,"B",IF(R376&lt;'PlayerGrades+'!$AH$7,"B+",IF(R376&lt;'PlayerGrades+'!$AH$6,"A-",IF(R376&lt;'PlayerGrades+'!$AH$5,"A",IF(R376&lt;'PlayerGrades+'!$AH$4,"A+",IF(R376&lt;'PlayerGrades+'!$AH$3,"S-",IF(R376&lt;'PlayerGrades+'!$AH$2,"S","S+"))))))))))))))))))))</f>
        <v>F</v>
      </c>
      <c r="T376" s="937">
        <f t="shared" si="9"/>
        <v>1.446183953</v>
      </c>
      <c r="U376" s="937" t="str">
        <f>IF(T376&lt;'PlayerGrades+'!$AI$21,"F-",IF(T376&lt;'PlayerGrades+'!$AI$20,"F",IF(T376&lt;'PlayerGrades+'!$AI$19,"F+",IF(T376&lt;'PlayerGrades+'!$AI$18,"E-",IF(T376&lt;'PlayerGrades+'!$AI$17,"E",IF(T376&lt;'PlayerGrades+'!$AI$16,"E+",IF(T376&lt;'PlayerGrades+'!$AI$15,"D-",IF(T376&lt;'PlayerGrades+'!$AI$14,"D",IF(T376&lt;'PlayerGrades+'!$AI$13,"D+",IF(T376&lt;'PlayerGrades+'!$AI$12,"C-",IF(T376&lt;'PlayerGrades+'!$AI$11,"C",IF(T376&lt;'PlayerGrades+'!$AI$10,"C+",IF(T376&lt;'PlayerGrades+'!$AI$9,"B-",IF(T376&lt;'PlayerGrades+'!$AI$8,"B",IF(T376&lt;'PlayerGrades+'!$AI$7,"B+",IF(T376&lt;'PlayerGrades+'!$AI$6,"A-",IF(T376&lt;'PlayerGrades+'!$AI$5,"A",IF(T376&lt;'PlayerGrades+'!$AI$4,"A+",IF(T376&lt;'PlayerGrades+'!$AI$3,"S-",IF(T376&lt;'PlayerGrades+'!$AI$2,"S","S+"))))))))))))))))))))</f>
        <v>B+</v>
      </c>
      <c r="V376" s="941">
        <v>1.0</v>
      </c>
      <c r="W376" s="941">
        <v>0.0</v>
      </c>
      <c r="X376" s="941">
        <v>1.0</v>
      </c>
      <c r="Y376" s="941">
        <v>0.0</v>
      </c>
      <c r="Z376" s="941">
        <v>0.0</v>
      </c>
      <c r="AA376" s="941">
        <v>107.0</v>
      </c>
      <c r="AB376" s="941">
        <v>150.0</v>
      </c>
      <c r="AC376" s="941">
        <v>-43.0</v>
      </c>
      <c r="AD376" s="941">
        <v>2.0</v>
      </c>
      <c r="AE376" s="941">
        <v>4.0</v>
      </c>
      <c r="AF376" s="941">
        <v>2.0</v>
      </c>
      <c r="AG376" s="941">
        <v>1981.0</v>
      </c>
      <c r="AH376" s="941">
        <v>2555.0</v>
      </c>
      <c r="AI376" s="941">
        <v>13.0</v>
      </c>
      <c r="AJ376" s="941">
        <v>6.0</v>
      </c>
      <c r="AK376" s="941">
        <v>0.0</v>
      </c>
      <c r="AL376" s="941">
        <v>0.0</v>
      </c>
      <c r="AM376" s="941">
        <v>0.0</v>
      </c>
      <c r="AN376" s="941">
        <v>0.0</v>
      </c>
      <c r="AO376" s="941">
        <v>0.0</v>
      </c>
      <c r="AP376" s="941">
        <v>0.0</v>
      </c>
      <c r="AQ376" s="941">
        <v>0.0</v>
      </c>
      <c r="AR376" s="941">
        <v>9.0</v>
      </c>
      <c r="AS376" s="941">
        <v>0.0</v>
      </c>
      <c r="AT376" s="941">
        <v>0.0</v>
      </c>
      <c r="AU376" s="941">
        <v>0.0</v>
      </c>
      <c r="AV376" s="941">
        <v>0.0</v>
      </c>
      <c r="AW376" s="941">
        <v>0.0</v>
      </c>
      <c r="AX376" s="941">
        <v>0.0</v>
      </c>
      <c r="AY376" s="941">
        <v>0.0</v>
      </c>
      <c r="AZ376" s="941">
        <v>0.0</v>
      </c>
      <c r="BA376" s="941">
        <v>0.0</v>
      </c>
      <c r="BB376" s="941">
        <v>0.0</v>
      </c>
      <c r="BC376" s="941">
        <v>0.0</v>
      </c>
      <c r="BD376" s="941">
        <v>13.0</v>
      </c>
      <c r="BE376" s="941">
        <v>19.0</v>
      </c>
      <c r="BF376" s="941">
        <v>1.0</v>
      </c>
      <c r="BG376" s="942">
        <v>1.0</v>
      </c>
    </row>
    <row r="377">
      <c r="A377" s="943" t="s">
        <v>141</v>
      </c>
      <c r="B377" s="16" t="str">
        <f>IF(C377&lt;'PlayerGrades+'!$Y$44,"F-",IF(C377&lt;'PlayerGrades+'!$Y$43,"F",IF(C377&lt;'PlayerGrades+'!$Y$42,"F+",IF(C377&lt;'PlayerGrades+'!$Y$41,"E-",IF(C377&lt;'PlayerGrades+'!$Y$40,"E",IF(C377&lt;'PlayerGrades+'!$Y$39,"E+",IF(C377&lt;'PlayerGrades+'!$Y$38,"D-",IF(C377&lt;'PlayerGrades+'!$Y$37,"D",IF(C377&lt;'PlayerGrades+'!$Y$36,"D+",IF(C377&lt;'PlayerGrades+'!$Y$35,"C-",IF(C377&lt;'PlayerGrades+'!$Y$34,"C",IF(C377&lt;'PlayerGrades+'!$Y$33,"C+",IF(C377&lt;'PlayerGrades+'!$Y$32,"B-",IF(C377&lt;'PlayerGrades+'!$Y$31,"B",IF(C377&lt;'PlayerGrades+'!$Y$30,"B+",IF(C377&lt;'PlayerGrades+'!$Y$29,"A-",IF(C377&lt;'PlayerGrades+'!$Y$28,"A",IF(C377&lt;'PlayerGrades+'!$Y$27,"A+",IF(C377&lt;'PlayerGrades+'!$Y$26,"S-",IF(C377&lt;'PlayerGrades+'!$Y$25,"S","S+"))))))))))))))))))))</f>
        <v>C-</v>
      </c>
      <c r="C377" s="936">
        <f>('PlayerGrades+'!$Y$47*(VLOOKUP(E377, 'PlayerGrades+'!$X$3:$Y$23, 2, FALSE)))+('PlayerGrades+'!$Y$48*(VLOOKUP(G377, 'PlayerGrades+'!$X$3:$Y$23, 2, FALSE)))+('PlayerGrades+'!$Y$49*(VLOOKUP(I377, 'PlayerGrades+'!$X$3:$Y$23, 2, FALSE)))+('PlayerGrades+'!$Y$50*(VLOOKUP(K377, 'PlayerGrades+'!$X$3:$Y$23, 2, FALSE)))+('PlayerGrades+'!$Y$51*(VLOOKUP(M377, 'PlayerGrades+'!$X$3:$Y$23, 2, FALSE)))+('PlayerGrades+'!$Y$52*(VLOOKUP(O377, 'PlayerGrades+'!$X$3:$Y$23, 2, FALSE)))+('PlayerGrades+'!$Y$53*(VLOOKUP(Q377, 'PlayerGrades+'!$X$3:$Y$23, 2, FALSE)))+('PlayerGrades+'!$Y$54*(VLOOKUP(S377, 'PlayerGrades+'!$X$3:$Y$23, 2, FALSE)))+('PlayerGrades+'!$Y$55*(VLOOKUP(U377, 'PlayerGrades+'!$X$3:$Y$23, 2, FALSE)))</f>
        <v>18.65</v>
      </c>
      <c r="D377" s="937">
        <f t="shared" si="1"/>
        <v>0.02348336595</v>
      </c>
      <c r="E377" s="937" t="str">
        <f>IF(D377&lt;'PlayerGrades+'!$AA$21,"F-",IF(D377&lt;'PlayerGrades+'!$AA$20,"F",IF(D377&lt;'PlayerGrades+'!$AA$19,"F+",IF(D377&lt;'PlayerGrades+'!$AA$18,"E-",IF(D377&lt;'PlayerGrades+'!$AA$17,"E",IF(D377&lt;'PlayerGrades+'!$AA$16,"E+",IF(D377&lt;'PlayerGrades+'!$AA$15,"D-",IF(D377&lt;'PlayerGrades+'!$AA$14,"D",IF(D377&lt;'PlayerGrades+'!$AA$13,"D+",IF(D377&lt;'PlayerGrades+'!$AA$12,"C-",IF(D377&lt;'PlayerGrades+'!$AA$11,"C",IF(D377&lt;'PlayerGrades+'!$AA$10,"C+",IF(D377&lt;'PlayerGrades+'!$AA$9,"B-",IF(D377&lt;'PlayerGrades+'!$AA$8,"B",IF(D377&lt;'PlayerGrades+'!$AA$7,"B+",IF(D377&lt;'PlayerGrades+'!$AA$6,"A-",IF(D377&lt;'PlayerGrades+'!$AA$5,"A",IF(D377&lt;'PlayerGrades+'!$AA$4,"A+",IF(D377&lt;'PlayerGrades+'!$AA$3,"S-",IF(D377&lt;'PlayerGrades+'!$AA$2,"S","S+"))))))))))))))))))))</f>
        <v>E</v>
      </c>
      <c r="F377" s="937">
        <f t="shared" si="2"/>
        <v>-0.6105675147</v>
      </c>
      <c r="G377" s="937" t="str">
        <f>IF(F377&lt;'PlayerGrades+'!$AB$21,"F-",IF(F377&lt;'PlayerGrades+'!$AB$20,"F",IF(F377&lt;'PlayerGrades+'!$AB$19,"F+",IF(F377&lt;'PlayerGrades+'!$AB$18,"E-",IF(F377&lt;'PlayerGrades+'!$AB$17,"E",IF(F377&lt;'PlayerGrades+'!$AB$16,"E+",IF(F377&lt;'PlayerGrades+'!$AB$15,"D-",IF(F377&lt;'PlayerGrades+'!$AB$14,"D",IF(F377&lt;'PlayerGrades+'!$AB$13,"D+",IF(F377&lt;'PlayerGrades+'!$AB$12,"C-",IF(F377&lt;'PlayerGrades+'!$AB$11,"C",IF(F377&lt;'PlayerGrades+'!$AB$10,"C+",IF(F377&lt;'PlayerGrades+'!$AB$9,"B-",IF(F377&lt;'PlayerGrades+'!$AB$8,"B",IF(F377&lt;'PlayerGrades+'!$AB$7,"B+",IF(F377&lt;'PlayerGrades+'!$AB$6,"A-",IF(F377&lt;'PlayerGrades+'!$AB$5,"A",IF(F377&lt;'PlayerGrades+'!$AB$4,"A+",IF(F377&lt;'PlayerGrades+'!$AB$3,"S-",IF(F377&lt;'PlayerGrades+'!$AB$2,"S","S+"))))))))))))))))))))</f>
        <v>D</v>
      </c>
      <c r="H377" s="937">
        <f t="shared" si="3"/>
        <v>0.02348336595</v>
      </c>
      <c r="I377" s="937" t="str">
        <f>IF(H377&lt;'PlayerGrades+'!$AC$21,"F-",IF(H377&lt;'PlayerGrades+'!$AC$20,"F",IF(H377&lt;'PlayerGrades+'!$AC$19,"F+",IF(H377&lt;'PlayerGrades+'!$AC$18,"E-",IF(H377&lt;'PlayerGrades+'!$AC$17,"E",IF(H377&lt;'PlayerGrades+'!$AC$16,"E+",IF(H377&lt;'PlayerGrades+'!$AC$15,"D-",IF(H377&lt;'PlayerGrades+'!$AC$14,"D",IF(H377&lt;'PlayerGrades+'!$AC$13,"D+",IF(H377&lt;'PlayerGrades+'!$AC$12,"C-",IF(H377&lt;'PlayerGrades+'!$AC$11,"C",IF(H377&lt;'PlayerGrades+'!$AC$10,"C+",IF(H377&lt;'PlayerGrades+'!$AC$9,"B-",IF(H377&lt;'PlayerGrades+'!$AC$8,"B",IF(H377&lt;'PlayerGrades+'!$AC$7,"B+",IF(H377&lt;'PlayerGrades+'!$AC$6,"A-",IF(H377&lt;'PlayerGrades+'!$AC$5,"A",IF(H377&lt;'PlayerGrades+'!$AC$4,"A+",IF(H377&lt;'PlayerGrades+'!$AC$3,"S-",IF(H377&lt;'PlayerGrades+'!$AC$2,"S","S+"))))))))))))))))))))</f>
        <v>F-</v>
      </c>
      <c r="J377" s="937">
        <f t="shared" si="4"/>
        <v>0.0469667319</v>
      </c>
      <c r="K377" s="937" t="str">
        <f>IF(J377&lt;'PlayerGrades+'!$AD$21,"F-",IF(J377&lt;'PlayerGrades+'!$AD$20,"F",IF(J377&lt;'PlayerGrades+'!$AD$19,"F+",IF(J377&lt;'PlayerGrades+'!$AD$18,"E-",IF(J377&lt;'PlayerGrades+'!$AD$17,"E",IF(J377&lt;'PlayerGrades+'!$AD$16,"E+",IF(J377&lt;'PlayerGrades+'!$AD$15,"D-",IF(J377&lt;'PlayerGrades+'!$AD$14,"D",IF(J377&lt;'PlayerGrades+'!$AD$13,"D+",IF(J377&lt;'PlayerGrades+'!$AD$12,"C-",IF(J377&lt;'PlayerGrades+'!$AD$11,"C",IF(J377&lt;'PlayerGrades+'!$AD$10,"C+",IF(J377&lt;'PlayerGrades+'!$AD$9,"B-",IF(J377&lt;'PlayerGrades+'!$AD$8,"B",IF(J377&lt;'PlayerGrades+'!$AD$7,"B+",IF(J377&lt;'PlayerGrades+'!$AD$6,"A-",IF(J377&lt;'PlayerGrades+'!$AD$5,"A",IF(J377&lt;'PlayerGrades+'!$AD$4,"A+",IF(J377&lt;'PlayerGrades+'!$AD$3,"S-",IF(J377&lt;'PlayerGrades+'!$AD$2,"S","S+"))))))))))))))))))))</f>
        <v>B-</v>
      </c>
      <c r="L377" s="677">
        <f t="shared" si="5"/>
        <v>0.446183953</v>
      </c>
      <c r="M377" s="938" t="str">
        <f>IF(L377&lt;'PlayerGrades+'!$AE$21,"F-",IF(L377&lt;'PlayerGrades+'!$AE$20,"F",IF(L377&lt;'PlayerGrades+'!$AE$19,"F+",IF(L377&lt;'PlayerGrades+'!$AE$18,"E-",IF(L377&lt;'PlayerGrades+'!$AE$17,"E",IF(L377&lt;'PlayerGrades+'!$AE$16,"E+",IF(L377&lt;'PlayerGrades+'!$AE$15,"D-",IF(L377&lt;'PlayerGrades+'!$AE$14,"D",IF(L377&lt;'PlayerGrades+'!$AE$13,"D+",IF(L377&lt;'PlayerGrades+'!$AE$12,"C-",IF(L377&lt;'PlayerGrades+'!$AE$11,"C",IF(L377&lt;'PlayerGrades+'!$AE$10,"C+",IF(L377&lt;'PlayerGrades+'!$AE$9,"B-",IF(L377&lt;'PlayerGrades+'!$AE$8,"B",IF(L377&lt;'PlayerGrades+'!$AE$7,"B+",IF(L377&lt;'PlayerGrades+'!$AE$6,"A-",IF(L377&lt;'PlayerGrades+'!$AE$5,"A",IF(L377&lt;'PlayerGrades+'!$AE$4,"A+",IF(L377&lt;'PlayerGrades+'!$AE$3,"S-",IF(L377&lt;'PlayerGrades+'!$AE$2,"S","S+"))))))))))))))))))))</f>
        <v>B</v>
      </c>
      <c r="N377" s="937">
        <f t="shared" si="6"/>
        <v>0.0469667319</v>
      </c>
      <c r="O377" s="937" t="str">
        <f>IF(N377&lt;'PlayerGrades+'!$AF$21,"F-",IF(N377&lt;'PlayerGrades+'!$AF$20,"F",IF(N377&lt;'PlayerGrades+'!$AF$19,"F+",IF(N377&lt;'PlayerGrades+'!$AF$18,"E-",IF(N377&lt;'PlayerGrades+'!$AF$17,"E",IF(N377&lt;'PlayerGrades+'!$AF$16,"E+",IF(N377&lt;'PlayerGrades+'!$AF$15,"D-",IF(N377&lt;'PlayerGrades+'!$AF$14,"D",IF(N377&lt;'PlayerGrades+'!$AF$13,"D+",IF(N377&lt;'PlayerGrades+'!$AF$12,"C-",IF(N377&lt;'PlayerGrades+'!$AF$11,"C",IF(N377&lt;'PlayerGrades+'!$AF$10,"C+",IF(N377&lt;'PlayerGrades+'!$AF$9,"B-",IF(N377&lt;'PlayerGrades+'!$AF$8,"B",IF(N377&lt;'PlayerGrades+'!$AF$7,"B+",IF(N377&lt;'PlayerGrades+'!$AF$6,"A-",IF(N377&lt;'PlayerGrades+'!$AF$5,"A",IF(N377&lt;'PlayerGrades+'!$AF$4,"A+",IF(N377&lt;'PlayerGrades+'!$AF$3,"S-",IF(N377&lt;'PlayerGrades+'!$AF$2,"S","S+"))))))))))))))))))))</f>
        <v>D-</v>
      </c>
      <c r="P377" s="937">
        <f t="shared" si="7"/>
        <v>0.0469667319</v>
      </c>
      <c r="Q377" s="937" t="str">
        <f>IF(P377&lt;'PlayerGrades+'!$AG$21,"F-",IF(P377&lt;'PlayerGrades+'!$AG$20,"F",IF(P377&lt;'PlayerGrades+'!$AG$19,"F+",IF(P377&lt;'PlayerGrades+'!$AG$18,"E-",IF(P377&lt;'PlayerGrades+'!$AG$17,"E",IF(P377&lt;'PlayerGrades+'!$AG$16,"E+",IF(P377&lt;'PlayerGrades+'!$AG$15,"D-",IF(P377&lt;'PlayerGrades+'!$AG$14,"D",IF(P377&lt;'PlayerGrades+'!$AG$13,"D+",IF(P377&lt;'PlayerGrades+'!$AG$12,"C-",IF(P377&lt;'PlayerGrades+'!$AG$11,"C",IF(P377&lt;'PlayerGrades+'!$AG$10,"C+",IF(P377&lt;'PlayerGrades+'!$AG$9,"B-",IF(P377&lt;'PlayerGrades+'!$AG$8,"B",IF(P377&lt;'PlayerGrades+'!$AG$7,"B+",IF(P377&lt;'PlayerGrades+'!$AG$6,"A-",IF(P377&lt;'PlayerGrades+'!$AG$5,"A",IF(P377&lt;'PlayerGrades+'!$AG$4,"A+",IF(P377&lt;'PlayerGrades+'!$AG$3,"S-",IF(P377&lt;'PlayerGrades+'!$AG$2,"S","S+"))))))))))))))))))))</f>
        <v>A</v>
      </c>
      <c r="R377" s="937">
        <f t="shared" si="8"/>
        <v>0.5870841487</v>
      </c>
      <c r="S377" s="937" t="str">
        <f>IF(R377&lt;'PlayerGrades+'!$AH$21,"F-",IF(R377&lt;'PlayerGrades+'!$AH$20,"F",IF(R377&lt;'PlayerGrades+'!$AH$19,"F+",IF(R377&lt;'PlayerGrades+'!$AH$18,"E-",IF(R377&lt;'PlayerGrades+'!$AH$17,"E",IF(R377&lt;'PlayerGrades+'!$AH$16,"E+",IF(R377&lt;'PlayerGrades+'!$AH$15,"D-",IF(R377&lt;'PlayerGrades+'!$AH$14,"D",IF(R377&lt;'PlayerGrades+'!$AH$13,"D+",IF(R377&lt;'PlayerGrades+'!$AH$12,"C-",IF(R377&lt;'PlayerGrades+'!$AH$11,"C",IF(R377&lt;'PlayerGrades+'!$AH$10,"C+",IF(R377&lt;'PlayerGrades+'!$AH$9,"B-",IF(R377&lt;'PlayerGrades+'!$AH$8,"B",IF(R377&lt;'PlayerGrades+'!$AH$7,"B+",IF(R377&lt;'PlayerGrades+'!$AH$6,"A-",IF(R377&lt;'PlayerGrades+'!$AH$5,"A",IF(R377&lt;'PlayerGrades+'!$AH$4,"A+",IF(R377&lt;'PlayerGrades+'!$AH$3,"S-",IF(R377&lt;'PlayerGrades+'!$AH$2,"S","S+"))))))))))))))))))))</f>
        <v>B+</v>
      </c>
      <c r="T377" s="937">
        <f t="shared" si="9"/>
        <v>3.422700587</v>
      </c>
      <c r="U377" s="937" t="str">
        <f>IF(T377&lt;'PlayerGrades+'!$AI$21,"F-",IF(T377&lt;'PlayerGrades+'!$AI$20,"F",IF(T377&lt;'PlayerGrades+'!$AI$19,"F+",IF(T377&lt;'PlayerGrades+'!$AI$18,"E-",IF(T377&lt;'PlayerGrades+'!$AI$17,"E",IF(T377&lt;'PlayerGrades+'!$AI$16,"E+",IF(T377&lt;'PlayerGrades+'!$AI$15,"D-",IF(T377&lt;'PlayerGrades+'!$AI$14,"D",IF(T377&lt;'PlayerGrades+'!$AI$13,"D+",IF(T377&lt;'PlayerGrades+'!$AI$12,"C-",IF(T377&lt;'PlayerGrades+'!$AI$11,"C",IF(T377&lt;'PlayerGrades+'!$AI$10,"C+",IF(T377&lt;'PlayerGrades+'!$AI$9,"B-",IF(T377&lt;'PlayerGrades+'!$AI$8,"B",IF(T377&lt;'PlayerGrades+'!$AI$7,"B+",IF(T377&lt;'PlayerGrades+'!$AI$6,"A-",IF(T377&lt;'PlayerGrades+'!$AI$5,"A",IF(T377&lt;'PlayerGrades+'!$AI$4,"A+",IF(T377&lt;'PlayerGrades+'!$AI$3,"S-",IF(T377&lt;'PlayerGrades+'!$AI$2,"S","S+"))))))))))))))))))))</f>
        <v>S+</v>
      </c>
      <c r="V377" s="944">
        <v>1.0</v>
      </c>
      <c r="W377" s="944">
        <v>0.0</v>
      </c>
      <c r="X377" s="944">
        <v>1.0</v>
      </c>
      <c r="Y377" s="944">
        <v>0.0</v>
      </c>
      <c r="Z377" s="944">
        <v>1.0</v>
      </c>
      <c r="AA377" s="944">
        <v>126.0</v>
      </c>
      <c r="AB377" s="944">
        <v>152.0</v>
      </c>
      <c r="AC377" s="944">
        <v>-26.0</v>
      </c>
      <c r="AD377" s="944">
        <v>6.0</v>
      </c>
      <c r="AE377" s="944">
        <v>6.0</v>
      </c>
      <c r="AF377" s="944">
        <v>3.0</v>
      </c>
      <c r="AG377" s="944">
        <v>1980.0</v>
      </c>
      <c r="AH377" s="944">
        <v>2555.0</v>
      </c>
      <c r="AI377" s="944">
        <v>13.0</v>
      </c>
      <c r="AJ377" s="944">
        <v>1.0</v>
      </c>
      <c r="AK377" s="944">
        <v>0.0</v>
      </c>
      <c r="AL377" s="944">
        <v>2.0</v>
      </c>
      <c r="AM377" s="944">
        <v>0.0</v>
      </c>
      <c r="AN377" s="944">
        <v>0.0</v>
      </c>
      <c r="AO377" s="944">
        <v>0.0</v>
      </c>
      <c r="AP377" s="944">
        <v>2.0</v>
      </c>
      <c r="AQ377" s="944">
        <v>0.0</v>
      </c>
      <c r="AR377" s="944">
        <v>19.0</v>
      </c>
      <c r="AS377" s="944">
        <v>2.0</v>
      </c>
      <c r="AT377" s="944">
        <v>1.0</v>
      </c>
      <c r="AU377" s="944">
        <v>1.0</v>
      </c>
      <c r="AV377" s="944">
        <v>0.0</v>
      </c>
      <c r="AW377" s="944">
        <v>0.0</v>
      </c>
      <c r="AX377" s="944">
        <v>0.0</v>
      </c>
      <c r="AY377" s="944">
        <v>0.0</v>
      </c>
      <c r="AZ377" s="944">
        <v>0.0</v>
      </c>
      <c r="BA377" s="944">
        <v>0.0</v>
      </c>
      <c r="BB377" s="944">
        <v>1.0</v>
      </c>
      <c r="BC377" s="944">
        <v>0.0</v>
      </c>
      <c r="BD377" s="944">
        <v>19.0</v>
      </c>
      <c r="BE377" s="944">
        <v>18.0</v>
      </c>
      <c r="BF377" s="944">
        <v>3.0</v>
      </c>
      <c r="BG377" s="945">
        <v>1.0</v>
      </c>
    </row>
    <row r="378">
      <c r="A378" s="946" t="s">
        <v>123</v>
      </c>
      <c r="B378" s="16" t="str">
        <f>IF(C378&lt;'PlayerGrades+'!$Y$44,"F-",IF(C378&lt;'PlayerGrades+'!$Y$43,"F",IF(C378&lt;'PlayerGrades+'!$Y$42,"F+",IF(C378&lt;'PlayerGrades+'!$Y$41,"E-",IF(C378&lt;'PlayerGrades+'!$Y$40,"E",IF(C378&lt;'PlayerGrades+'!$Y$39,"E+",IF(C378&lt;'PlayerGrades+'!$Y$38,"D-",IF(C378&lt;'PlayerGrades+'!$Y$37,"D",IF(C378&lt;'PlayerGrades+'!$Y$36,"D+",IF(C378&lt;'PlayerGrades+'!$Y$35,"C-",IF(C378&lt;'PlayerGrades+'!$Y$34,"C",IF(C378&lt;'PlayerGrades+'!$Y$33,"C+",IF(C378&lt;'PlayerGrades+'!$Y$32,"B-",IF(C378&lt;'PlayerGrades+'!$Y$31,"B",IF(C378&lt;'PlayerGrades+'!$Y$30,"B+",IF(C378&lt;'PlayerGrades+'!$Y$29,"A-",IF(C378&lt;'PlayerGrades+'!$Y$28,"A",IF(C378&lt;'PlayerGrades+'!$Y$27,"A+",IF(C378&lt;'PlayerGrades+'!$Y$26,"S-",IF(C378&lt;'PlayerGrades+'!$Y$25,"S","S+"))))))))))))))))))))</f>
        <v>A</v>
      </c>
      <c r="C378" s="936">
        <f>('PlayerGrades+'!$Y$47*(VLOOKUP(E378, 'PlayerGrades+'!$X$3:$Y$23, 2, FALSE)))+('PlayerGrades+'!$Y$48*(VLOOKUP(G378, 'PlayerGrades+'!$X$3:$Y$23, 2, FALSE)))+('PlayerGrades+'!$Y$49*(VLOOKUP(I378, 'PlayerGrades+'!$X$3:$Y$23, 2, FALSE)))+('PlayerGrades+'!$Y$50*(VLOOKUP(K378, 'PlayerGrades+'!$X$3:$Y$23, 2, FALSE)))+('PlayerGrades+'!$Y$51*(VLOOKUP(M378, 'PlayerGrades+'!$X$3:$Y$23, 2, FALSE)))+('PlayerGrades+'!$Y$52*(VLOOKUP(O378, 'PlayerGrades+'!$X$3:$Y$23, 2, FALSE)))+('PlayerGrades+'!$Y$53*(VLOOKUP(Q378, 'PlayerGrades+'!$X$3:$Y$23, 2, FALSE)))+('PlayerGrades+'!$Y$54*(VLOOKUP(S378, 'PlayerGrades+'!$X$3:$Y$23, 2, FALSE)))+('PlayerGrades+'!$Y$55*(VLOOKUP(U378, 'PlayerGrades+'!$X$3:$Y$23, 2, FALSE)))</f>
        <v>25.65</v>
      </c>
      <c r="D378" s="937">
        <f t="shared" si="1"/>
        <v>1.308724832</v>
      </c>
      <c r="E378" s="937" t="str">
        <f>IF(D378&lt;'PlayerGrades+'!$AA$21,"F-",IF(D378&lt;'PlayerGrades+'!$AA$20,"F",IF(D378&lt;'PlayerGrades+'!$AA$19,"F+",IF(D378&lt;'PlayerGrades+'!$AA$18,"E-",IF(D378&lt;'PlayerGrades+'!$AA$17,"E",IF(D378&lt;'PlayerGrades+'!$AA$16,"E+",IF(D378&lt;'PlayerGrades+'!$AA$15,"D-",IF(D378&lt;'PlayerGrades+'!$AA$14,"D",IF(D378&lt;'PlayerGrades+'!$AA$13,"D+",IF(D378&lt;'PlayerGrades+'!$AA$12,"C-",IF(D378&lt;'PlayerGrades+'!$AA$11,"C",IF(D378&lt;'PlayerGrades+'!$AA$10,"C+",IF(D378&lt;'PlayerGrades+'!$AA$9,"B-",IF(D378&lt;'PlayerGrades+'!$AA$8,"B",IF(D378&lt;'PlayerGrades+'!$AA$7,"B+",IF(D378&lt;'PlayerGrades+'!$AA$6,"A-",IF(D378&lt;'PlayerGrades+'!$AA$5,"A",IF(D378&lt;'PlayerGrades+'!$AA$4,"A+",IF(D378&lt;'PlayerGrades+'!$AA$3,"S-",IF(D378&lt;'PlayerGrades+'!$AA$2,"S","S+"))))))))))))))))))))</f>
        <v>S+</v>
      </c>
      <c r="F378" s="937">
        <f t="shared" si="2"/>
        <v>0.9060402685</v>
      </c>
      <c r="G378" s="937" t="str">
        <f>IF(F378&lt;'PlayerGrades+'!$AB$21,"F-",IF(F378&lt;'PlayerGrades+'!$AB$20,"F",IF(F378&lt;'PlayerGrades+'!$AB$19,"F+",IF(F378&lt;'PlayerGrades+'!$AB$18,"E-",IF(F378&lt;'PlayerGrades+'!$AB$17,"E",IF(F378&lt;'PlayerGrades+'!$AB$16,"E+",IF(F378&lt;'PlayerGrades+'!$AB$15,"D-",IF(F378&lt;'PlayerGrades+'!$AB$14,"D",IF(F378&lt;'PlayerGrades+'!$AB$13,"D+",IF(F378&lt;'PlayerGrades+'!$AB$12,"C-",IF(F378&lt;'PlayerGrades+'!$AB$11,"C",IF(F378&lt;'PlayerGrades+'!$AB$10,"C+",IF(F378&lt;'PlayerGrades+'!$AB$9,"B-",IF(F378&lt;'PlayerGrades+'!$AB$8,"B",IF(F378&lt;'PlayerGrades+'!$AB$7,"B+",IF(F378&lt;'PlayerGrades+'!$AB$6,"A-",IF(F378&lt;'PlayerGrades+'!$AB$5,"A",IF(F378&lt;'PlayerGrades+'!$AB$4,"A+",IF(F378&lt;'PlayerGrades+'!$AB$3,"S-",IF(F378&lt;'PlayerGrades+'!$AB$2,"S","S+"))))))))))))))))))))</f>
        <v>S</v>
      </c>
      <c r="H378" s="937">
        <f t="shared" si="3"/>
        <v>0</v>
      </c>
      <c r="I378" s="937" t="str">
        <f>IF(H378&lt;'PlayerGrades+'!$AC$21,"F-",IF(H378&lt;'PlayerGrades+'!$AC$20,"F",IF(H378&lt;'PlayerGrades+'!$AC$19,"F+",IF(H378&lt;'PlayerGrades+'!$AC$18,"E-",IF(H378&lt;'PlayerGrades+'!$AC$17,"E",IF(H378&lt;'PlayerGrades+'!$AC$16,"E+",IF(H378&lt;'PlayerGrades+'!$AC$15,"D-",IF(H378&lt;'PlayerGrades+'!$AC$14,"D",IF(H378&lt;'PlayerGrades+'!$AC$13,"D+",IF(H378&lt;'PlayerGrades+'!$AC$12,"C-",IF(H378&lt;'PlayerGrades+'!$AC$11,"C",IF(H378&lt;'PlayerGrades+'!$AC$10,"C+",IF(H378&lt;'PlayerGrades+'!$AC$9,"B-",IF(H378&lt;'PlayerGrades+'!$AC$8,"B",IF(H378&lt;'PlayerGrades+'!$AC$7,"B+",IF(H378&lt;'PlayerGrades+'!$AC$6,"A-",IF(H378&lt;'PlayerGrades+'!$AC$5,"A",IF(H378&lt;'PlayerGrades+'!$AC$4,"A+",IF(H378&lt;'PlayerGrades+'!$AC$3,"S-",IF(H378&lt;'PlayerGrades+'!$AC$2,"S","S+"))))))))))))))))))))</f>
        <v>F-</v>
      </c>
      <c r="J378" s="937">
        <f t="shared" si="4"/>
        <v>0</v>
      </c>
      <c r="K378" s="937" t="str">
        <f>IF(J378&lt;'PlayerGrades+'!$AD$21,"F-",IF(J378&lt;'PlayerGrades+'!$AD$20,"F",IF(J378&lt;'PlayerGrades+'!$AD$19,"F+",IF(J378&lt;'PlayerGrades+'!$AD$18,"E-",IF(J378&lt;'PlayerGrades+'!$AD$17,"E",IF(J378&lt;'PlayerGrades+'!$AD$16,"E+",IF(J378&lt;'PlayerGrades+'!$AD$15,"D-",IF(J378&lt;'PlayerGrades+'!$AD$14,"D",IF(J378&lt;'PlayerGrades+'!$AD$13,"D+",IF(J378&lt;'PlayerGrades+'!$AD$12,"C-",IF(J378&lt;'PlayerGrades+'!$AD$11,"C",IF(J378&lt;'PlayerGrades+'!$AD$10,"C+",IF(J378&lt;'PlayerGrades+'!$AD$9,"B-",IF(J378&lt;'PlayerGrades+'!$AD$8,"B",IF(J378&lt;'PlayerGrades+'!$AD$7,"B+",IF(J378&lt;'PlayerGrades+'!$AD$6,"A-",IF(J378&lt;'PlayerGrades+'!$AD$5,"A",IF(J378&lt;'PlayerGrades+'!$AD$4,"A+",IF(J378&lt;'PlayerGrades+'!$AD$3,"S-",IF(J378&lt;'PlayerGrades+'!$AD$2,"S","S+"))))))))))))))))))))</f>
        <v>F-</v>
      </c>
      <c r="L378" s="677">
        <f t="shared" si="5"/>
        <v>0.4026845638</v>
      </c>
      <c r="M378" s="938" t="str">
        <f>IF(L378&lt;'PlayerGrades+'!$AE$21,"F-",IF(L378&lt;'PlayerGrades+'!$AE$20,"F",IF(L378&lt;'PlayerGrades+'!$AE$19,"F+",IF(L378&lt;'PlayerGrades+'!$AE$18,"E-",IF(L378&lt;'PlayerGrades+'!$AE$17,"E",IF(L378&lt;'PlayerGrades+'!$AE$16,"E+",IF(L378&lt;'PlayerGrades+'!$AE$15,"D-",IF(L378&lt;'PlayerGrades+'!$AE$14,"D",IF(L378&lt;'PlayerGrades+'!$AE$13,"D+",IF(L378&lt;'PlayerGrades+'!$AE$12,"C-",IF(L378&lt;'PlayerGrades+'!$AE$11,"C",IF(L378&lt;'PlayerGrades+'!$AE$10,"C+",IF(L378&lt;'PlayerGrades+'!$AE$9,"B-",IF(L378&lt;'PlayerGrades+'!$AE$8,"B",IF(L378&lt;'PlayerGrades+'!$AE$7,"B+",IF(L378&lt;'PlayerGrades+'!$AE$6,"A-",IF(L378&lt;'PlayerGrades+'!$AE$5,"A",IF(L378&lt;'PlayerGrades+'!$AE$4,"A+",IF(L378&lt;'PlayerGrades+'!$AE$3,"S-",IF(L378&lt;'PlayerGrades+'!$AE$2,"S","S+"))))))))))))))))))))</f>
        <v>C</v>
      </c>
      <c r="N378" s="937">
        <f t="shared" si="6"/>
        <v>0.2013422819</v>
      </c>
      <c r="O378" s="937" t="str">
        <f>IF(N378&lt;'PlayerGrades+'!$AF$21,"F-",IF(N378&lt;'PlayerGrades+'!$AF$20,"F",IF(N378&lt;'PlayerGrades+'!$AF$19,"F+",IF(N378&lt;'PlayerGrades+'!$AF$18,"E-",IF(N378&lt;'PlayerGrades+'!$AF$17,"E",IF(N378&lt;'PlayerGrades+'!$AF$16,"E+",IF(N378&lt;'PlayerGrades+'!$AF$15,"D-",IF(N378&lt;'PlayerGrades+'!$AF$14,"D",IF(N378&lt;'PlayerGrades+'!$AF$13,"D+",IF(N378&lt;'PlayerGrades+'!$AF$12,"C-",IF(N378&lt;'PlayerGrades+'!$AF$11,"C",IF(N378&lt;'PlayerGrades+'!$AF$10,"C+",IF(N378&lt;'PlayerGrades+'!$AF$9,"B-",IF(N378&lt;'PlayerGrades+'!$AF$8,"B",IF(N378&lt;'PlayerGrades+'!$AF$7,"B+",IF(N378&lt;'PlayerGrades+'!$AF$6,"A-",IF(N378&lt;'PlayerGrades+'!$AF$5,"A",IF(N378&lt;'PlayerGrades+'!$AF$4,"A+",IF(N378&lt;'PlayerGrades+'!$AF$3,"S-",IF(N378&lt;'PlayerGrades+'!$AF$2,"S","S+"))))))))))))))))))))</f>
        <v>S+</v>
      </c>
      <c r="P378" s="937">
        <f t="shared" si="7"/>
        <v>0</v>
      </c>
      <c r="Q378" s="937" t="str">
        <f>IF(P378&lt;'PlayerGrades+'!$AG$21,"F-",IF(P378&lt;'PlayerGrades+'!$AG$20,"F",IF(P378&lt;'PlayerGrades+'!$AG$19,"F+",IF(P378&lt;'PlayerGrades+'!$AG$18,"E-",IF(P378&lt;'PlayerGrades+'!$AG$17,"E",IF(P378&lt;'PlayerGrades+'!$AG$16,"E+",IF(P378&lt;'PlayerGrades+'!$AG$15,"D-",IF(P378&lt;'PlayerGrades+'!$AG$14,"D",IF(P378&lt;'PlayerGrades+'!$AG$13,"D+",IF(P378&lt;'PlayerGrades+'!$AG$12,"C-",IF(P378&lt;'PlayerGrades+'!$AG$11,"C",IF(P378&lt;'PlayerGrades+'!$AG$10,"C+",IF(P378&lt;'PlayerGrades+'!$AG$9,"B-",IF(P378&lt;'PlayerGrades+'!$AG$8,"B",IF(P378&lt;'PlayerGrades+'!$AG$7,"B+",IF(P378&lt;'PlayerGrades+'!$AG$6,"A-",IF(P378&lt;'PlayerGrades+'!$AG$5,"A",IF(P378&lt;'PlayerGrades+'!$AG$4,"A+",IF(P378&lt;'PlayerGrades+'!$AG$3,"S-",IF(P378&lt;'PlayerGrades+'!$AG$2,"S","S+"))))))))))))))))))))</f>
        <v>F</v>
      </c>
      <c r="R378" s="937">
        <f t="shared" si="8"/>
        <v>0.7046979866</v>
      </c>
      <c r="S378" s="937" t="str">
        <f>IF(R378&lt;'PlayerGrades+'!$AH$21,"F-",IF(R378&lt;'PlayerGrades+'!$AH$20,"F",IF(R378&lt;'PlayerGrades+'!$AH$19,"F+",IF(R378&lt;'PlayerGrades+'!$AH$18,"E-",IF(R378&lt;'PlayerGrades+'!$AH$17,"E",IF(R378&lt;'PlayerGrades+'!$AH$16,"E+",IF(R378&lt;'PlayerGrades+'!$AH$15,"D-",IF(R378&lt;'PlayerGrades+'!$AH$14,"D",IF(R378&lt;'PlayerGrades+'!$AH$13,"D+",IF(R378&lt;'PlayerGrades+'!$AH$12,"C-",IF(R378&lt;'PlayerGrades+'!$AH$11,"C",IF(R378&lt;'PlayerGrades+'!$AH$10,"C+",IF(R378&lt;'PlayerGrades+'!$AH$9,"B-",IF(R378&lt;'PlayerGrades+'!$AH$8,"B",IF(R378&lt;'PlayerGrades+'!$AH$7,"B+",IF(R378&lt;'PlayerGrades+'!$AH$6,"A-",IF(R378&lt;'PlayerGrades+'!$AH$5,"A",IF(R378&lt;'PlayerGrades+'!$AH$4,"A+",IF(R378&lt;'PlayerGrades+'!$AH$3,"S-",IF(R378&lt;'PlayerGrades+'!$AH$2,"S","S+"))))))))))))))))))))</f>
        <v>S-</v>
      </c>
      <c r="T378" s="937">
        <f t="shared" si="9"/>
        <v>1.201342282</v>
      </c>
      <c r="U378" s="937" t="str">
        <f>IF(T378&lt;'PlayerGrades+'!$AI$21,"F-",IF(T378&lt;'PlayerGrades+'!$AI$20,"F",IF(T378&lt;'PlayerGrades+'!$AI$19,"F+",IF(T378&lt;'PlayerGrades+'!$AI$18,"E-",IF(T378&lt;'PlayerGrades+'!$AI$17,"E",IF(T378&lt;'PlayerGrades+'!$AI$16,"E+",IF(T378&lt;'PlayerGrades+'!$AI$15,"D-",IF(T378&lt;'PlayerGrades+'!$AI$14,"D",IF(T378&lt;'PlayerGrades+'!$AI$13,"D+",IF(T378&lt;'PlayerGrades+'!$AI$12,"C-",IF(T378&lt;'PlayerGrades+'!$AI$11,"C",IF(T378&lt;'PlayerGrades+'!$AI$10,"C+",IF(T378&lt;'PlayerGrades+'!$AI$9,"B-",IF(T378&lt;'PlayerGrades+'!$AI$8,"B",IF(T378&lt;'PlayerGrades+'!$AI$7,"B+",IF(T378&lt;'PlayerGrades+'!$AI$6,"A-",IF(T378&lt;'PlayerGrades+'!$AI$5,"A",IF(T378&lt;'PlayerGrades+'!$AI$4,"A+",IF(T378&lt;'PlayerGrades+'!$AI$3,"S-",IF(T378&lt;'PlayerGrades+'!$AI$2,"S","S+"))))))))))))))))))))</f>
        <v>C-</v>
      </c>
      <c r="V378" s="939">
        <v>1.0</v>
      </c>
      <c r="W378" s="939">
        <v>1.0</v>
      </c>
      <c r="X378" s="939">
        <v>0.0</v>
      </c>
      <c r="Y378" s="939">
        <v>4.0</v>
      </c>
      <c r="Z378" s="939">
        <v>9.0</v>
      </c>
      <c r="AA378" s="939">
        <v>27.0</v>
      </c>
      <c r="AB378" s="939">
        <v>18.0</v>
      </c>
      <c r="AC378" s="939">
        <v>9.0</v>
      </c>
      <c r="AD378" s="939">
        <v>1.0</v>
      </c>
      <c r="AE378" s="939">
        <v>4.0</v>
      </c>
      <c r="AF378" s="939">
        <v>0.0</v>
      </c>
      <c r="AG378" s="939">
        <v>473.0</v>
      </c>
      <c r="AH378" s="939">
        <v>596.0</v>
      </c>
      <c r="AI378" s="939">
        <v>26.0</v>
      </c>
      <c r="AJ378" s="939">
        <v>230.0</v>
      </c>
      <c r="AK378" s="939">
        <v>0.0</v>
      </c>
      <c r="AL378" s="939">
        <v>0.0</v>
      </c>
      <c r="AM378" s="939">
        <v>0.0</v>
      </c>
      <c r="AN378" s="939">
        <v>0.0</v>
      </c>
      <c r="AO378" s="939">
        <v>0.0</v>
      </c>
      <c r="AP378" s="939">
        <v>0.0</v>
      </c>
      <c r="AQ378" s="939">
        <v>0.0</v>
      </c>
      <c r="AR378" s="939">
        <v>4.0</v>
      </c>
      <c r="AS378" s="939">
        <v>2.0</v>
      </c>
      <c r="AT378" s="939">
        <v>0.0</v>
      </c>
      <c r="AU378" s="939">
        <v>0.0</v>
      </c>
      <c r="AV378" s="939">
        <v>0.0</v>
      </c>
      <c r="AW378" s="939">
        <v>0.0</v>
      </c>
      <c r="AX378" s="939">
        <v>0.0</v>
      </c>
      <c r="AY378" s="939">
        <v>0.0</v>
      </c>
      <c r="AZ378" s="939">
        <v>0.0</v>
      </c>
      <c r="BA378" s="939">
        <v>0.0</v>
      </c>
      <c r="BB378" s="939">
        <v>0.0</v>
      </c>
      <c r="BC378" s="939">
        <v>0.0</v>
      </c>
      <c r="BD378" s="939">
        <v>6.0</v>
      </c>
      <c r="BE378" s="939">
        <v>2.0</v>
      </c>
      <c r="BF378" s="939">
        <v>1.0</v>
      </c>
      <c r="BG378" s="940">
        <v>0.0</v>
      </c>
    </row>
    <row r="379">
      <c r="A379" s="935" t="s">
        <v>419</v>
      </c>
      <c r="B379" s="16" t="str">
        <f>IF(C379&lt;'PlayerGrades+'!$Y$44,"F-",IF(C379&lt;'PlayerGrades+'!$Y$43,"F",IF(C379&lt;'PlayerGrades+'!$Y$42,"F+",IF(C379&lt;'PlayerGrades+'!$Y$41,"E-",IF(C379&lt;'PlayerGrades+'!$Y$40,"E",IF(C379&lt;'PlayerGrades+'!$Y$39,"E+",IF(C379&lt;'PlayerGrades+'!$Y$38,"D-",IF(C379&lt;'PlayerGrades+'!$Y$37,"D",IF(C379&lt;'PlayerGrades+'!$Y$36,"D+",IF(C379&lt;'PlayerGrades+'!$Y$35,"C-",IF(C379&lt;'PlayerGrades+'!$Y$34,"C",IF(C379&lt;'PlayerGrades+'!$Y$33,"C+",IF(C379&lt;'PlayerGrades+'!$Y$32,"B-",IF(C379&lt;'PlayerGrades+'!$Y$31,"B",IF(C379&lt;'PlayerGrades+'!$Y$30,"B+",IF(C379&lt;'PlayerGrades+'!$Y$29,"A-",IF(C379&lt;'PlayerGrades+'!$Y$28,"A",IF(C379&lt;'PlayerGrades+'!$Y$27,"A+",IF(C379&lt;'PlayerGrades+'!$Y$26,"S-",IF(C379&lt;'PlayerGrades+'!$Y$25,"S","S+"))))))))))))))))))))</f>
        <v>A</v>
      </c>
      <c r="C379" s="936">
        <f>('PlayerGrades+'!$Y$47*(VLOOKUP(E379, 'PlayerGrades+'!$X$3:$Y$23, 2, FALSE)))+('PlayerGrades+'!$Y$48*(VLOOKUP(G379, 'PlayerGrades+'!$X$3:$Y$23, 2, FALSE)))+('PlayerGrades+'!$Y$49*(VLOOKUP(I379, 'PlayerGrades+'!$X$3:$Y$23, 2, FALSE)))+('PlayerGrades+'!$Y$50*(VLOOKUP(K379, 'PlayerGrades+'!$X$3:$Y$23, 2, FALSE)))+('PlayerGrades+'!$Y$51*(VLOOKUP(M379, 'PlayerGrades+'!$X$3:$Y$23, 2, FALSE)))+('PlayerGrades+'!$Y$52*(VLOOKUP(O379, 'PlayerGrades+'!$X$3:$Y$23, 2, FALSE)))+('PlayerGrades+'!$Y$53*(VLOOKUP(Q379, 'PlayerGrades+'!$X$3:$Y$23, 2, FALSE)))+('PlayerGrades+'!$Y$54*(VLOOKUP(S379, 'PlayerGrades+'!$X$3:$Y$23, 2, FALSE)))+('PlayerGrades+'!$Y$55*(VLOOKUP(U379, 'PlayerGrades+'!$X$3:$Y$23, 2, FALSE)))</f>
        <v>26.6</v>
      </c>
      <c r="D379" s="937">
        <f t="shared" si="1"/>
        <v>0.1006711409</v>
      </c>
      <c r="E379" s="937" t="str">
        <f>IF(D379&lt;'PlayerGrades+'!$AA$21,"F-",IF(D379&lt;'PlayerGrades+'!$AA$20,"F",IF(D379&lt;'PlayerGrades+'!$AA$19,"F+",IF(D379&lt;'PlayerGrades+'!$AA$18,"E-",IF(D379&lt;'PlayerGrades+'!$AA$17,"E",IF(D379&lt;'PlayerGrades+'!$AA$16,"E+",IF(D379&lt;'PlayerGrades+'!$AA$15,"D-",IF(D379&lt;'PlayerGrades+'!$AA$14,"D",IF(D379&lt;'PlayerGrades+'!$AA$13,"D+",IF(D379&lt;'PlayerGrades+'!$AA$12,"C-",IF(D379&lt;'PlayerGrades+'!$AA$11,"C",IF(D379&lt;'PlayerGrades+'!$AA$10,"C+",IF(D379&lt;'PlayerGrades+'!$AA$9,"B-",IF(D379&lt;'PlayerGrades+'!$AA$8,"B",IF(D379&lt;'PlayerGrades+'!$AA$7,"B+",IF(D379&lt;'PlayerGrades+'!$AA$6,"A-",IF(D379&lt;'PlayerGrades+'!$AA$5,"A",IF(D379&lt;'PlayerGrades+'!$AA$4,"A+",IF(D379&lt;'PlayerGrades+'!$AA$3,"S-",IF(D379&lt;'PlayerGrades+'!$AA$2,"S","S+"))))))))))))))))))))</f>
        <v>B</v>
      </c>
      <c r="F379" s="937">
        <f t="shared" si="2"/>
        <v>1.10738255</v>
      </c>
      <c r="G379" s="937" t="str">
        <f>IF(F379&lt;'PlayerGrades+'!$AB$21,"F-",IF(F379&lt;'PlayerGrades+'!$AB$20,"F",IF(F379&lt;'PlayerGrades+'!$AB$19,"F+",IF(F379&lt;'PlayerGrades+'!$AB$18,"E-",IF(F379&lt;'PlayerGrades+'!$AB$17,"E",IF(F379&lt;'PlayerGrades+'!$AB$16,"E+",IF(F379&lt;'PlayerGrades+'!$AB$15,"D-",IF(F379&lt;'PlayerGrades+'!$AB$14,"D",IF(F379&lt;'PlayerGrades+'!$AB$13,"D+",IF(F379&lt;'PlayerGrades+'!$AB$12,"C-",IF(F379&lt;'PlayerGrades+'!$AB$11,"C",IF(F379&lt;'PlayerGrades+'!$AB$10,"C+",IF(F379&lt;'PlayerGrades+'!$AB$9,"B-",IF(F379&lt;'PlayerGrades+'!$AB$8,"B",IF(F379&lt;'PlayerGrades+'!$AB$7,"B+",IF(F379&lt;'PlayerGrades+'!$AB$6,"A-",IF(F379&lt;'PlayerGrades+'!$AB$5,"A",IF(F379&lt;'PlayerGrades+'!$AB$4,"A+",IF(F379&lt;'PlayerGrades+'!$AB$3,"S-",IF(F379&lt;'PlayerGrades+'!$AB$2,"S","S+"))))))))))))))))))))</f>
        <v>S+</v>
      </c>
      <c r="H379" s="937">
        <f t="shared" si="3"/>
        <v>0.2013422819</v>
      </c>
      <c r="I379" s="937" t="str">
        <f>IF(H379&lt;'PlayerGrades+'!$AC$21,"F-",IF(H379&lt;'PlayerGrades+'!$AC$20,"F",IF(H379&lt;'PlayerGrades+'!$AC$19,"F+",IF(H379&lt;'PlayerGrades+'!$AC$18,"E-",IF(H379&lt;'PlayerGrades+'!$AC$17,"E",IF(H379&lt;'PlayerGrades+'!$AC$16,"E+",IF(H379&lt;'PlayerGrades+'!$AC$15,"D-",IF(H379&lt;'PlayerGrades+'!$AC$14,"D",IF(H379&lt;'PlayerGrades+'!$AC$13,"D+",IF(H379&lt;'PlayerGrades+'!$AC$12,"C-",IF(H379&lt;'PlayerGrades+'!$AC$11,"C",IF(H379&lt;'PlayerGrades+'!$AC$10,"C+",IF(H379&lt;'PlayerGrades+'!$AC$9,"B-",IF(H379&lt;'PlayerGrades+'!$AC$8,"B",IF(H379&lt;'PlayerGrades+'!$AC$7,"B+",IF(H379&lt;'PlayerGrades+'!$AC$6,"A-",IF(H379&lt;'PlayerGrades+'!$AC$5,"A",IF(H379&lt;'PlayerGrades+'!$AC$4,"A+",IF(H379&lt;'PlayerGrades+'!$AC$3,"S-",IF(H379&lt;'PlayerGrades+'!$AC$2,"S","S+"))))))))))))))))))))</f>
        <v>S</v>
      </c>
      <c r="J379" s="937">
        <f t="shared" si="4"/>
        <v>0</v>
      </c>
      <c r="K379" s="937" t="str">
        <f>IF(J379&lt;'PlayerGrades+'!$AD$21,"F-",IF(J379&lt;'PlayerGrades+'!$AD$20,"F",IF(J379&lt;'PlayerGrades+'!$AD$19,"F+",IF(J379&lt;'PlayerGrades+'!$AD$18,"E-",IF(J379&lt;'PlayerGrades+'!$AD$17,"E",IF(J379&lt;'PlayerGrades+'!$AD$16,"E+",IF(J379&lt;'PlayerGrades+'!$AD$15,"D-",IF(J379&lt;'PlayerGrades+'!$AD$14,"D",IF(J379&lt;'PlayerGrades+'!$AD$13,"D+",IF(J379&lt;'PlayerGrades+'!$AD$12,"C-",IF(J379&lt;'PlayerGrades+'!$AD$11,"C",IF(J379&lt;'PlayerGrades+'!$AD$10,"C+",IF(J379&lt;'PlayerGrades+'!$AD$9,"B-",IF(J379&lt;'PlayerGrades+'!$AD$8,"B",IF(J379&lt;'PlayerGrades+'!$AD$7,"B+",IF(J379&lt;'PlayerGrades+'!$AD$6,"A-",IF(J379&lt;'PlayerGrades+'!$AD$5,"A",IF(J379&lt;'PlayerGrades+'!$AD$4,"A+",IF(J379&lt;'PlayerGrades+'!$AD$3,"S-",IF(J379&lt;'PlayerGrades+'!$AD$2,"S","S+"))))))))))))))))))))</f>
        <v>F-</v>
      </c>
      <c r="L379" s="677">
        <f t="shared" si="5"/>
        <v>0.6040268456</v>
      </c>
      <c r="M379" s="938" t="str">
        <f>IF(L379&lt;'PlayerGrades+'!$AE$21,"F-",IF(L379&lt;'PlayerGrades+'!$AE$20,"F",IF(L379&lt;'PlayerGrades+'!$AE$19,"F+",IF(L379&lt;'PlayerGrades+'!$AE$18,"E-",IF(L379&lt;'PlayerGrades+'!$AE$17,"E",IF(L379&lt;'PlayerGrades+'!$AE$16,"E+",IF(L379&lt;'PlayerGrades+'!$AE$15,"D-",IF(L379&lt;'PlayerGrades+'!$AE$14,"D",IF(L379&lt;'PlayerGrades+'!$AE$13,"D+",IF(L379&lt;'PlayerGrades+'!$AE$12,"C-",IF(L379&lt;'PlayerGrades+'!$AE$11,"C",IF(L379&lt;'PlayerGrades+'!$AE$10,"C+",IF(L379&lt;'PlayerGrades+'!$AE$9,"B-",IF(L379&lt;'PlayerGrades+'!$AE$8,"B",IF(L379&lt;'PlayerGrades+'!$AE$7,"B+",IF(L379&lt;'PlayerGrades+'!$AE$6,"A-",IF(L379&lt;'PlayerGrades+'!$AE$5,"A",IF(L379&lt;'PlayerGrades+'!$AE$4,"A+",IF(L379&lt;'PlayerGrades+'!$AE$3,"S-",IF(L379&lt;'PlayerGrades+'!$AE$2,"S","S+"))))))))))))))))))))</f>
        <v>A+</v>
      </c>
      <c r="N379" s="937">
        <f t="shared" si="6"/>
        <v>0.2013422819</v>
      </c>
      <c r="O379" s="937" t="str">
        <f>IF(N379&lt;'PlayerGrades+'!$AF$21,"F-",IF(N379&lt;'PlayerGrades+'!$AF$20,"F",IF(N379&lt;'PlayerGrades+'!$AF$19,"F+",IF(N379&lt;'PlayerGrades+'!$AF$18,"E-",IF(N379&lt;'PlayerGrades+'!$AF$17,"E",IF(N379&lt;'PlayerGrades+'!$AF$16,"E+",IF(N379&lt;'PlayerGrades+'!$AF$15,"D-",IF(N379&lt;'PlayerGrades+'!$AF$14,"D",IF(N379&lt;'PlayerGrades+'!$AF$13,"D+",IF(N379&lt;'PlayerGrades+'!$AF$12,"C-",IF(N379&lt;'PlayerGrades+'!$AF$11,"C",IF(N379&lt;'PlayerGrades+'!$AF$10,"C+",IF(N379&lt;'PlayerGrades+'!$AF$9,"B-",IF(N379&lt;'PlayerGrades+'!$AF$8,"B",IF(N379&lt;'PlayerGrades+'!$AF$7,"B+",IF(N379&lt;'PlayerGrades+'!$AF$6,"A-",IF(N379&lt;'PlayerGrades+'!$AF$5,"A",IF(N379&lt;'PlayerGrades+'!$AF$4,"A+",IF(N379&lt;'PlayerGrades+'!$AF$3,"S-",IF(N379&lt;'PlayerGrades+'!$AF$2,"S","S+"))))))))))))))))))))</f>
        <v>S+</v>
      </c>
      <c r="P379" s="937">
        <f t="shared" si="7"/>
        <v>0</v>
      </c>
      <c r="Q379" s="937" t="str">
        <f>IF(P379&lt;'PlayerGrades+'!$AG$21,"F-",IF(P379&lt;'PlayerGrades+'!$AG$20,"F",IF(P379&lt;'PlayerGrades+'!$AG$19,"F+",IF(P379&lt;'PlayerGrades+'!$AG$18,"E-",IF(P379&lt;'PlayerGrades+'!$AG$17,"E",IF(P379&lt;'PlayerGrades+'!$AG$16,"E+",IF(P379&lt;'PlayerGrades+'!$AG$15,"D-",IF(P379&lt;'PlayerGrades+'!$AG$14,"D",IF(P379&lt;'PlayerGrades+'!$AG$13,"D+",IF(P379&lt;'PlayerGrades+'!$AG$12,"C-",IF(P379&lt;'PlayerGrades+'!$AG$11,"C",IF(P379&lt;'PlayerGrades+'!$AG$10,"C+",IF(P379&lt;'PlayerGrades+'!$AG$9,"B-",IF(P379&lt;'PlayerGrades+'!$AG$8,"B",IF(P379&lt;'PlayerGrades+'!$AG$7,"B+",IF(P379&lt;'PlayerGrades+'!$AG$6,"A-",IF(P379&lt;'PlayerGrades+'!$AG$5,"A",IF(P379&lt;'PlayerGrades+'!$AG$4,"A+",IF(P379&lt;'PlayerGrades+'!$AG$3,"S-",IF(P379&lt;'PlayerGrades+'!$AG$2,"S","S+"))))))))))))))))))))</f>
        <v>F</v>
      </c>
      <c r="R379" s="937">
        <f t="shared" si="8"/>
        <v>0.4026845638</v>
      </c>
      <c r="S379" s="937" t="str">
        <f>IF(R379&lt;'PlayerGrades+'!$AH$21,"F-",IF(R379&lt;'PlayerGrades+'!$AH$20,"F",IF(R379&lt;'PlayerGrades+'!$AH$19,"F+",IF(R379&lt;'PlayerGrades+'!$AH$18,"E-",IF(R379&lt;'PlayerGrades+'!$AH$17,"E",IF(R379&lt;'PlayerGrades+'!$AH$16,"E+",IF(R379&lt;'PlayerGrades+'!$AH$15,"D-",IF(R379&lt;'PlayerGrades+'!$AH$14,"D",IF(R379&lt;'PlayerGrades+'!$AH$13,"D+",IF(R379&lt;'PlayerGrades+'!$AH$12,"C-",IF(R379&lt;'PlayerGrades+'!$AH$11,"C",IF(R379&lt;'PlayerGrades+'!$AH$10,"C+",IF(R379&lt;'PlayerGrades+'!$AH$9,"B-",IF(R379&lt;'PlayerGrades+'!$AH$8,"B",IF(R379&lt;'PlayerGrades+'!$AH$7,"B+",IF(R379&lt;'PlayerGrades+'!$AH$6,"A-",IF(R379&lt;'PlayerGrades+'!$AH$5,"A",IF(R379&lt;'PlayerGrades+'!$AH$4,"A+",IF(R379&lt;'PlayerGrades+'!$AH$3,"S-",IF(R379&lt;'PlayerGrades+'!$AH$2,"S","S+"))))))))))))))))))))</f>
        <v>F+</v>
      </c>
      <c r="T379" s="937">
        <f t="shared" si="9"/>
        <v>1.604026846</v>
      </c>
      <c r="U379" s="937" t="str">
        <f>IF(T379&lt;'PlayerGrades+'!$AI$21,"F-",IF(T379&lt;'PlayerGrades+'!$AI$20,"F",IF(T379&lt;'PlayerGrades+'!$AI$19,"F+",IF(T379&lt;'PlayerGrades+'!$AI$18,"E-",IF(T379&lt;'PlayerGrades+'!$AI$17,"E",IF(T379&lt;'PlayerGrades+'!$AI$16,"E+",IF(T379&lt;'PlayerGrades+'!$AI$15,"D-",IF(T379&lt;'PlayerGrades+'!$AI$14,"D",IF(T379&lt;'PlayerGrades+'!$AI$13,"D+",IF(T379&lt;'PlayerGrades+'!$AI$12,"C-",IF(T379&lt;'PlayerGrades+'!$AI$11,"C",IF(T379&lt;'PlayerGrades+'!$AI$10,"C+",IF(T379&lt;'PlayerGrades+'!$AI$9,"B-",IF(T379&lt;'PlayerGrades+'!$AI$8,"B",IF(T379&lt;'PlayerGrades+'!$AI$7,"B+",IF(T379&lt;'PlayerGrades+'!$AI$6,"A-",IF(T379&lt;'PlayerGrades+'!$AI$5,"A",IF(T379&lt;'PlayerGrades+'!$AI$4,"A+",IF(T379&lt;'PlayerGrades+'!$AI$3,"S-",IF(T379&lt;'PlayerGrades+'!$AI$2,"S","S+"))))))))))))))))))))</f>
        <v>S-</v>
      </c>
      <c r="V379" s="941">
        <v>1.0</v>
      </c>
      <c r="W379" s="941">
        <v>1.0</v>
      </c>
      <c r="X379" s="941">
        <v>0.0</v>
      </c>
      <c r="Y379" s="941">
        <v>1.0</v>
      </c>
      <c r="Z379" s="941">
        <v>0.0</v>
      </c>
      <c r="AA379" s="941">
        <v>42.0</v>
      </c>
      <c r="AB379" s="941">
        <v>31.0</v>
      </c>
      <c r="AC379" s="941">
        <v>11.0</v>
      </c>
      <c r="AD379" s="941">
        <v>2.0</v>
      </c>
      <c r="AE379" s="941">
        <v>4.0</v>
      </c>
      <c r="AF379" s="941">
        <v>0.0</v>
      </c>
      <c r="AG379" s="941">
        <v>435.0</v>
      </c>
      <c r="AH379" s="941">
        <v>596.0</v>
      </c>
      <c r="AI379" s="941">
        <v>14.0</v>
      </c>
      <c r="AJ379" s="941">
        <v>24.0</v>
      </c>
      <c r="AK379" s="941">
        <v>0.0</v>
      </c>
      <c r="AL379" s="941">
        <v>0.0</v>
      </c>
      <c r="AM379" s="941">
        <v>0.0</v>
      </c>
      <c r="AN379" s="941">
        <v>0.0</v>
      </c>
      <c r="AO379" s="941">
        <v>0.0</v>
      </c>
      <c r="AP379" s="941">
        <v>0.0</v>
      </c>
      <c r="AQ379" s="941">
        <v>0.0</v>
      </c>
      <c r="AR379" s="941">
        <v>6.0</v>
      </c>
      <c r="AS379" s="941">
        <v>2.0</v>
      </c>
      <c r="AT379" s="941">
        <v>1.0</v>
      </c>
      <c r="AU379" s="941">
        <v>0.0</v>
      </c>
      <c r="AV379" s="941">
        <v>0.0</v>
      </c>
      <c r="AW379" s="941">
        <v>0.0</v>
      </c>
      <c r="AX379" s="941">
        <v>0.0</v>
      </c>
      <c r="AY379" s="941">
        <v>0.0</v>
      </c>
      <c r="AZ379" s="941">
        <v>0.0</v>
      </c>
      <c r="BA379" s="941">
        <v>0.0</v>
      </c>
      <c r="BB379" s="941">
        <v>2.0</v>
      </c>
      <c r="BC379" s="941">
        <v>0.0</v>
      </c>
      <c r="BD379" s="941">
        <v>2.0</v>
      </c>
      <c r="BE379" s="941">
        <v>6.0</v>
      </c>
      <c r="BF379" s="941">
        <v>1.0</v>
      </c>
      <c r="BG379" s="942">
        <v>0.0</v>
      </c>
    </row>
    <row r="380">
      <c r="A380" s="935" t="s">
        <v>145</v>
      </c>
      <c r="B380" s="16" t="str">
        <f>IF(C380&lt;'PlayerGrades+'!$Y$44,"F-",IF(C380&lt;'PlayerGrades+'!$Y$43,"F",IF(C380&lt;'PlayerGrades+'!$Y$42,"F+",IF(C380&lt;'PlayerGrades+'!$Y$41,"E-",IF(C380&lt;'PlayerGrades+'!$Y$40,"E",IF(C380&lt;'PlayerGrades+'!$Y$39,"E+",IF(C380&lt;'PlayerGrades+'!$Y$38,"D-",IF(C380&lt;'PlayerGrades+'!$Y$37,"D",IF(C380&lt;'PlayerGrades+'!$Y$36,"D+",IF(C380&lt;'PlayerGrades+'!$Y$35,"C-",IF(C380&lt;'PlayerGrades+'!$Y$34,"C",IF(C380&lt;'PlayerGrades+'!$Y$33,"C+",IF(C380&lt;'PlayerGrades+'!$Y$32,"B-",IF(C380&lt;'PlayerGrades+'!$Y$31,"B",IF(C380&lt;'PlayerGrades+'!$Y$30,"B+",IF(C380&lt;'PlayerGrades+'!$Y$29,"A-",IF(C380&lt;'PlayerGrades+'!$Y$28,"A",IF(C380&lt;'PlayerGrades+'!$Y$27,"A+",IF(C380&lt;'PlayerGrades+'!$Y$26,"S-",IF(C380&lt;'PlayerGrades+'!$Y$25,"S","S+"))))))))))))))))))))</f>
        <v>C+</v>
      </c>
      <c r="C380" s="936">
        <f>('PlayerGrades+'!$Y$47*(VLOOKUP(E380, 'PlayerGrades+'!$X$3:$Y$23, 2, FALSE)))+('PlayerGrades+'!$Y$48*(VLOOKUP(G380, 'PlayerGrades+'!$X$3:$Y$23, 2, FALSE)))+('PlayerGrades+'!$Y$49*(VLOOKUP(I380, 'PlayerGrades+'!$X$3:$Y$23, 2, FALSE)))+('PlayerGrades+'!$Y$50*(VLOOKUP(K380, 'PlayerGrades+'!$X$3:$Y$23, 2, FALSE)))+('PlayerGrades+'!$Y$51*(VLOOKUP(M380, 'PlayerGrades+'!$X$3:$Y$23, 2, FALSE)))+('PlayerGrades+'!$Y$52*(VLOOKUP(O380, 'PlayerGrades+'!$X$3:$Y$23, 2, FALSE)))+('PlayerGrades+'!$Y$53*(VLOOKUP(Q380, 'PlayerGrades+'!$X$3:$Y$23, 2, FALSE)))+('PlayerGrades+'!$Y$54*(VLOOKUP(S380, 'PlayerGrades+'!$X$3:$Y$23, 2, FALSE)))+('PlayerGrades+'!$Y$55*(VLOOKUP(U380, 'PlayerGrades+'!$X$3:$Y$23, 2, FALSE)))</f>
        <v>21.65</v>
      </c>
      <c r="D380" s="937">
        <f t="shared" si="1"/>
        <v>0</v>
      </c>
      <c r="E380" s="937" t="str">
        <f>IF(D380&lt;'PlayerGrades+'!$AA$21,"F-",IF(D380&lt;'PlayerGrades+'!$AA$20,"F",IF(D380&lt;'PlayerGrades+'!$AA$19,"F+",IF(D380&lt;'PlayerGrades+'!$AA$18,"E-",IF(D380&lt;'PlayerGrades+'!$AA$17,"E",IF(D380&lt;'PlayerGrades+'!$AA$16,"E+",IF(D380&lt;'PlayerGrades+'!$AA$15,"D-",IF(D380&lt;'PlayerGrades+'!$AA$14,"D",IF(D380&lt;'PlayerGrades+'!$AA$13,"D+",IF(D380&lt;'PlayerGrades+'!$AA$12,"C-",IF(D380&lt;'PlayerGrades+'!$AA$11,"C",IF(D380&lt;'PlayerGrades+'!$AA$10,"C+",IF(D380&lt;'PlayerGrades+'!$AA$9,"B-",IF(D380&lt;'PlayerGrades+'!$AA$8,"B",IF(D380&lt;'PlayerGrades+'!$AA$7,"B+",IF(D380&lt;'PlayerGrades+'!$AA$6,"A-",IF(D380&lt;'PlayerGrades+'!$AA$5,"A",IF(D380&lt;'PlayerGrades+'!$AA$4,"A+",IF(D380&lt;'PlayerGrades+'!$AA$3,"S-",IF(D380&lt;'PlayerGrades+'!$AA$2,"S","S+"))))))))))))))))))))</f>
        <v>F-</v>
      </c>
      <c r="F380" s="937">
        <f t="shared" si="2"/>
        <v>0.3020134228</v>
      </c>
      <c r="G380" s="937" t="str">
        <f>IF(F380&lt;'PlayerGrades+'!$AB$21,"F-",IF(F380&lt;'PlayerGrades+'!$AB$20,"F",IF(F380&lt;'PlayerGrades+'!$AB$19,"F+",IF(F380&lt;'PlayerGrades+'!$AB$18,"E-",IF(F380&lt;'PlayerGrades+'!$AB$17,"E",IF(F380&lt;'PlayerGrades+'!$AB$16,"E+",IF(F380&lt;'PlayerGrades+'!$AB$15,"D-",IF(F380&lt;'PlayerGrades+'!$AB$14,"D",IF(F380&lt;'PlayerGrades+'!$AB$13,"D+",IF(F380&lt;'PlayerGrades+'!$AB$12,"C-",IF(F380&lt;'PlayerGrades+'!$AB$11,"C",IF(F380&lt;'PlayerGrades+'!$AB$10,"C+",IF(F380&lt;'PlayerGrades+'!$AB$9,"B-",IF(F380&lt;'PlayerGrades+'!$AB$8,"B",IF(F380&lt;'PlayerGrades+'!$AB$7,"B+",IF(F380&lt;'PlayerGrades+'!$AB$6,"A-",IF(F380&lt;'PlayerGrades+'!$AB$5,"A",IF(F380&lt;'PlayerGrades+'!$AB$4,"A+",IF(F380&lt;'PlayerGrades+'!$AB$3,"S-",IF(F380&lt;'PlayerGrades+'!$AB$2,"S","S+"))))))))))))))))))))</f>
        <v>A-</v>
      </c>
      <c r="H380" s="937">
        <f t="shared" si="3"/>
        <v>0.1006711409</v>
      </c>
      <c r="I380" s="937" t="str">
        <f>IF(H380&lt;'PlayerGrades+'!$AC$21,"F-",IF(H380&lt;'PlayerGrades+'!$AC$20,"F",IF(H380&lt;'PlayerGrades+'!$AC$19,"F+",IF(H380&lt;'PlayerGrades+'!$AC$18,"E-",IF(H380&lt;'PlayerGrades+'!$AC$17,"E",IF(H380&lt;'PlayerGrades+'!$AC$16,"E+",IF(H380&lt;'PlayerGrades+'!$AC$15,"D-",IF(H380&lt;'PlayerGrades+'!$AC$14,"D",IF(H380&lt;'PlayerGrades+'!$AC$13,"D+",IF(H380&lt;'PlayerGrades+'!$AC$12,"C-",IF(H380&lt;'PlayerGrades+'!$AC$11,"C",IF(H380&lt;'PlayerGrades+'!$AC$10,"C+",IF(H380&lt;'PlayerGrades+'!$AC$9,"B-",IF(H380&lt;'PlayerGrades+'!$AC$8,"B",IF(H380&lt;'PlayerGrades+'!$AC$7,"B+",IF(H380&lt;'PlayerGrades+'!$AC$6,"A-",IF(H380&lt;'PlayerGrades+'!$AC$5,"A",IF(H380&lt;'PlayerGrades+'!$AC$4,"A+",IF(H380&lt;'PlayerGrades+'!$AC$3,"S-",IF(H380&lt;'PlayerGrades+'!$AC$2,"S","S+"))))))))))))))))))))</f>
        <v>C-</v>
      </c>
      <c r="J380" s="937">
        <f t="shared" si="4"/>
        <v>0.1006711409</v>
      </c>
      <c r="K380" s="937" t="str">
        <f>IF(J380&lt;'PlayerGrades+'!$AD$21,"F-",IF(J380&lt;'PlayerGrades+'!$AD$20,"F",IF(J380&lt;'PlayerGrades+'!$AD$19,"F+",IF(J380&lt;'PlayerGrades+'!$AD$18,"E-",IF(J380&lt;'PlayerGrades+'!$AD$17,"E",IF(J380&lt;'PlayerGrades+'!$AD$16,"E+",IF(J380&lt;'PlayerGrades+'!$AD$15,"D-",IF(J380&lt;'PlayerGrades+'!$AD$14,"D",IF(J380&lt;'PlayerGrades+'!$AD$13,"D+",IF(J380&lt;'PlayerGrades+'!$AD$12,"C-",IF(J380&lt;'PlayerGrades+'!$AD$11,"C",IF(J380&lt;'PlayerGrades+'!$AD$10,"C+",IF(J380&lt;'PlayerGrades+'!$AD$9,"B-",IF(J380&lt;'PlayerGrades+'!$AD$8,"B",IF(J380&lt;'PlayerGrades+'!$AD$7,"B+",IF(J380&lt;'PlayerGrades+'!$AD$6,"A-",IF(J380&lt;'PlayerGrades+'!$AD$5,"A",IF(J380&lt;'PlayerGrades+'!$AD$4,"A+",IF(J380&lt;'PlayerGrades+'!$AD$3,"S-",IF(J380&lt;'PlayerGrades+'!$AD$2,"S","S+"))))))))))))))))))))</f>
        <v>S</v>
      </c>
      <c r="L380" s="677">
        <f t="shared" si="5"/>
        <v>0.3020134228</v>
      </c>
      <c r="M380" s="938" t="str">
        <f>IF(L380&lt;'PlayerGrades+'!$AE$21,"F-",IF(L380&lt;'PlayerGrades+'!$AE$20,"F",IF(L380&lt;'PlayerGrades+'!$AE$19,"F+",IF(L380&lt;'PlayerGrades+'!$AE$18,"E-",IF(L380&lt;'PlayerGrades+'!$AE$17,"E",IF(L380&lt;'PlayerGrades+'!$AE$16,"E+",IF(L380&lt;'PlayerGrades+'!$AE$15,"D-",IF(L380&lt;'PlayerGrades+'!$AE$14,"D",IF(L380&lt;'PlayerGrades+'!$AE$13,"D+",IF(L380&lt;'PlayerGrades+'!$AE$12,"C-",IF(L380&lt;'PlayerGrades+'!$AE$11,"C",IF(L380&lt;'PlayerGrades+'!$AE$10,"C+",IF(L380&lt;'PlayerGrades+'!$AE$9,"B-",IF(L380&lt;'PlayerGrades+'!$AE$8,"B",IF(L380&lt;'PlayerGrades+'!$AE$7,"B+",IF(L380&lt;'PlayerGrades+'!$AE$6,"A-",IF(L380&lt;'PlayerGrades+'!$AE$5,"A",IF(L380&lt;'PlayerGrades+'!$AE$4,"A+",IF(L380&lt;'PlayerGrades+'!$AE$3,"S-",IF(L380&lt;'PlayerGrades+'!$AE$2,"S","S+"))))))))))))))))))))</f>
        <v>E-</v>
      </c>
      <c r="N380" s="937">
        <f t="shared" si="6"/>
        <v>0.1006711409</v>
      </c>
      <c r="O380" s="937" t="str">
        <f>IF(N380&lt;'PlayerGrades+'!$AF$21,"F-",IF(N380&lt;'PlayerGrades+'!$AF$20,"F",IF(N380&lt;'PlayerGrades+'!$AF$19,"F+",IF(N380&lt;'PlayerGrades+'!$AF$18,"E-",IF(N380&lt;'PlayerGrades+'!$AF$17,"E",IF(N380&lt;'PlayerGrades+'!$AF$16,"E+",IF(N380&lt;'PlayerGrades+'!$AF$15,"D-",IF(N380&lt;'PlayerGrades+'!$AF$14,"D",IF(N380&lt;'PlayerGrades+'!$AF$13,"D+",IF(N380&lt;'PlayerGrades+'!$AF$12,"C-",IF(N380&lt;'PlayerGrades+'!$AF$11,"C",IF(N380&lt;'PlayerGrades+'!$AF$10,"C+",IF(N380&lt;'PlayerGrades+'!$AF$9,"B-",IF(N380&lt;'PlayerGrades+'!$AF$8,"B",IF(N380&lt;'PlayerGrades+'!$AF$7,"B+",IF(N380&lt;'PlayerGrades+'!$AF$6,"A-",IF(N380&lt;'PlayerGrades+'!$AF$5,"A",IF(N380&lt;'PlayerGrades+'!$AF$4,"A+",IF(N380&lt;'PlayerGrades+'!$AF$3,"S-",IF(N380&lt;'PlayerGrades+'!$AF$2,"S","S+"))))))))))))))))))))</f>
        <v>A</v>
      </c>
      <c r="P380" s="937">
        <f t="shared" si="7"/>
        <v>0.1006711409</v>
      </c>
      <c r="Q380" s="937" t="str">
        <f>IF(P380&lt;'PlayerGrades+'!$AG$21,"F-",IF(P380&lt;'PlayerGrades+'!$AG$20,"F",IF(P380&lt;'PlayerGrades+'!$AG$19,"F+",IF(P380&lt;'PlayerGrades+'!$AG$18,"E-",IF(P380&lt;'PlayerGrades+'!$AG$17,"E",IF(P380&lt;'PlayerGrades+'!$AG$16,"E+",IF(P380&lt;'PlayerGrades+'!$AG$15,"D-",IF(P380&lt;'PlayerGrades+'!$AG$14,"D",IF(P380&lt;'PlayerGrades+'!$AG$13,"D+",IF(P380&lt;'PlayerGrades+'!$AG$12,"C-",IF(P380&lt;'PlayerGrades+'!$AG$11,"C",IF(P380&lt;'PlayerGrades+'!$AG$10,"C+",IF(P380&lt;'PlayerGrades+'!$AG$9,"B-",IF(P380&lt;'PlayerGrades+'!$AG$8,"B",IF(P380&lt;'PlayerGrades+'!$AG$7,"B+",IF(P380&lt;'PlayerGrades+'!$AG$6,"A-",IF(P380&lt;'PlayerGrades+'!$AG$5,"A",IF(P380&lt;'PlayerGrades+'!$AG$4,"A+",IF(P380&lt;'PlayerGrades+'!$AG$3,"S-",IF(P380&lt;'PlayerGrades+'!$AG$2,"S","S+"))))))))))))))))))))</f>
        <v>S+</v>
      </c>
      <c r="R380" s="937">
        <f t="shared" si="8"/>
        <v>0.5033557047</v>
      </c>
      <c r="S380" s="937" t="str">
        <f>IF(R380&lt;'PlayerGrades+'!$AH$21,"F-",IF(R380&lt;'PlayerGrades+'!$AH$20,"F",IF(R380&lt;'PlayerGrades+'!$AH$19,"F+",IF(R380&lt;'PlayerGrades+'!$AH$18,"E-",IF(R380&lt;'PlayerGrades+'!$AH$17,"E",IF(R380&lt;'PlayerGrades+'!$AH$16,"E+",IF(R380&lt;'PlayerGrades+'!$AH$15,"D-",IF(R380&lt;'PlayerGrades+'!$AH$14,"D",IF(R380&lt;'PlayerGrades+'!$AH$13,"D+",IF(R380&lt;'PlayerGrades+'!$AH$12,"C-",IF(R380&lt;'PlayerGrades+'!$AH$11,"C",IF(R380&lt;'PlayerGrades+'!$AH$10,"C+",IF(R380&lt;'PlayerGrades+'!$AH$9,"B-",IF(R380&lt;'PlayerGrades+'!$AH$8,"B",IF(R380&lt;'PlayerGrades+'!$AH$7,"B+",IF(R380&lt;'PlayerGrades+'!$AH$6,"A-",IF(R380&lt;'PlayerGrades+'!$AH$5,"A",IF(R380&lt;'PlayerGrades+'!$AH$4,"A+",IF(R380&lt;'PlayerGrades+'!$AH$3,"S-",IF(R380&lt;'PlayerGrades+'!$AH$2,"S","S+"))))))))))))))))))))</f>
        <v>D-</v>
      </c>
      <c r="T380" s="937">
        <f t="shared" si="9"/>
        <v>1.805369128</v>
      </c>
      <c r="U380" s="937" t="str">
        <f>IF(T380&lt;'PlayerGrades+'!$AI$21,"F-",IF(T380&lt;'PlayerGrades+'!$AI$20,"F",IF(T380&lt;'PlayerGrades+'!$AI$19,"F+",IF(T380&lt;'PlayerGrades+'!$AI$18,"E-",IF(T380&lt;'PlayerGrades+'!$AI$17,"E",IF(T380&lt;'PlayerGrades+'!$AI$16,"E+",IF(T380&lt;'PlayerGrades+'!$AI$15,"D-",IF(T380&lt;'PlayerGrades+'!$AI$14,"D",IF(T380&lt;'PlayerGrades+'!$AI$13,"D+",IF(T380&lt;'PlayerGrades+'!$AI$12,"C-",IF(T380&lt;'PlayerGrades+'!$AI$11,"C",IF(T380&lt;'PlayerGrades+'!$AI$10,"C+",IF(T380&lt;'PlayerGrades+'!$AI$9,"B-",IF(T380&lt;'PlayerGrades+'!$AI$8,"B",IF(T380&lt;'PlayerGrades+'!$AI$7,"B+",IF(T380&lt;'PlayerGrades+'!$AI$6,"A-",IF(T380&lt;'PlayerGrades+'!$AI$5,"A",IF(T380&lt;'PlayerGrades+'!$AI$4,"A+",IF(T380&lt;'PlayerGrades+'!$AI$3,"S-",IF(T380&lt;'PlayerGrades+'!$AI$2,"S","S+"))))))))))))))))))))</f>
        <v>S</v>
      </c>
      <c r="V380" s="941">
        <v>1.0</v>
      </c>
      <c r="W380" s="941">
        <v>1.0</v>
      </c>
      <c r="X380" s="941">
        <v>0.0</v>
      </c>
      <c r="Y380" s="941">
        <v>0.0</v>
      </c>
      <c r="Z380" s="941">
        <v>0.0</v>
      </c>
      <c r="AA380" s="941">
        <v>30.0</v>
      </c>
      <c r="AB380" s="941">
        <v>27.0</v>
      </c>
      <c r="AC380" s="941">
        <v>3.0</v>
      </c>
      <c r="AD380" s="941">
        <v>2.0</v>
      </c>
      <c r="AE380" s="941">
        <v>5.0</v>
      </c>
      <c r="AF380" s="941">
        <v>2.0</v>
      </c>
      <c r="AG380" s="941">
        <v>447.0</v>
      </c>
      <c r="AH380" s="941">
        <v>596.0</v>
      </c>
      <c r="AI380" s="941">
        <v>16.0</v>
      </c>
      <c r="AJ380" s="941">
        <v>5.0</v>
      </c>
      <c r="AK380" s="941">
        <v>0.0</v>
      </c>
      <c r="AL380" s="941">
        <v>1.0</v>
      </c>
      <c r="AM380" s="941">
        <v>0.0</v>
      </c>
      <c r="AN380" s="941">
        <v>0.0</v>
      </c>
      <c r="AO380" s="941">
        <v>0.0</v>
      </c>
      <c r="AP380" s="941">
        <v>1.0</v>
      </c>
      <c r="AQ380" s="941">
        <v>0.0</v>
      </c>
      <c r="AR380" s="941">
        <v>3.0</v>
      </c>
      <c r="AS380" s="941">
        <v>1.0</v>
      </c>
      <c r="AT380" s="941">
        <v>0.0</v>
      </c>
      <c r="AU380" s="941">
        <v>0.0</v>
      </c>
      <c r="AV380" s="941">
        <v>0.0</v>
      </c>
      <c r="AW380" s="941">
        <v>0.0</v>
      </c>
      <c r="AX380" s="941">
        <v>0.0</v>
      </c>
      <c r="AY380" s="941">
        <v>0.0</v>
      </c>
      <c r="AZ380" s="941">
        <v>0.0</v>
      </c>
      <c r="BA380" s="941">
        <v>0.0</v>
      </c>
      <c r="BB380" s="941">
        <v>1.0</v>
      </c>
      <c r="BC380" s="941">
        <v>0.0</v>
      </c>
      <c r="BD380" s="941">
        <v>3.0</v>
      </c>
      <c r="BE380" s="941">
        <v>8.0</v>
      </c>
      <c r="BF380" s="941">
        <v>1.0</v>
      </c>
      <c r="BG380" s="942">
        <v>0.0</v>
      </c>
    </row>
    <row r="381">
      <c r="A381" s="935" t="s">
        <v>159</v>
      </c>
      <c r="B381" s="16" t="str">
        <f>IF(C381&lt;'PlayerGrades+'!$Y$44,"F-",IF(C381&lt;'PlayerGrades+'!$Y$43,"F",IF(C381&lt;'PlayerGrades+'!$Y$42,"F+",IF(C381&lt;'PlayerGrades+'!$Y$41,"E-",IF(C381&lt;'PlayerGrades+'!$Y$40,"E",IF(C381&lt;'PlayerGrades+'!$Y$39,"E+",IF(C381&lt;'PlayerGrades+'!$Y$38,"D-",IF(C381&lt;'PlayerGrades+'!$Y$37,"D",IF(C381&lt;'PlayerGrades+'!$Y$36,"D+",IF(C381&lt;'PlayerGrades+'!$Y$35,"C-",IF(C381&lt;'PlayerGrades+'!$Y$34,"C",IF(C381&lt;'PlayerGrades+'!$Y$33,"C+",IF(C381&lt;'PlayerGrades+'!$Y$32,"B-",IF(C381&lt;'PlayerGrades+'!$Y$31,"B",IF(C381&lt;'PlayerGrades+'!$Y$30,"B+",IF(C381&lt;'PlayerGrades+'!$Y$29,"A-",IF(C381&lt;'PlayerGrades+'!$Y$28,"A",IF(C381&lt;'PlayerGrades+'!$Y$27,"A+",IF(C381&lt;'PlayerGrades+'!$Y$26,"S-",IF(C381&lt;'PlayerGrades+'!$Y$25,"S","S+"))))))))))))))))))))</f>
        <v>E</v>
      </c>
      <c r="C381" s="936">
        <f>('PlayerGrades+'!$Y$47*(VLOOKUP(E381, 'PlayerGrades+'!$X$3:$Y$23, 2, FALSE)))+('PlayerGrades+'!$Y$48*(VLOOKUP(G381, 'PlayerGrades+'!$X$3:$Y$23, 2, FALSE)))+('PlayerGrades+'!$Y$49*(VLOOKUP(I381, 'PlayerGrades+'!$X$3:$Y$23, 2, FALSE)))+('PlayerGrades+'!$Y$50*(VLOOKUP(K381, 'PlayerGrades+'!$X$3:$Y$23, 2, FALSE)))+('PlayerGrades+'!$Y$51*(VLOOKUP(M381, 'PlayerGrades+'!$X$3:$Y$23, 2, FALSE)))+('PlayerGrades+'!$Y$52*(VLOOKUP(O381, 'PlayerGrades+'!$X$3:$Y$23, 2, FALSE)))+('PlayerGrades+'!$Y$53*(VLOOKUP(Q381, 'PlayerGrades+'!$X$3:$Y$23, 2, FALSE)))+('PlayerGrades+'!$Y$54*(VLOOKUP(S381, 'PlayerGrades+'!$X$3:$Y$23, 2, FALSE)))+('PlayerGrades+'!$Y$55*(VLOOKUP(U381, 'PlayerGrades+'!$X$3:$Y$23, 2, FALSE)))</f>
        <v>12.8</v>
      </c>
      <c r="D381" s="937">
        <f t="shared" si="1"/>
        <v>0</v>
      </c>
      <c r="E381" s="937" t="str">
        <f>IF(D381&lt;'PlayerGrades+'!$AA$21,"F-",IF(D381&lt;'PlayerGrades+'!$AA$20,"F",IF(D381&lt;'PlayerGrades+'!$AA$19,"F+",IF(D381&lt;'PlayerGrades+'!$AA$18,"E-",IF(D381&lt;'PlayerGrades+'!$AA$17,"E",IF(D381&lt;'PlayerGrades+'!$AA$16,"E+",IF(D381&lt;'PlayerGrades+'!$AA$15,"D-",IF(D381&lt;'PlayerGrades+'!$AA$14,"D",IF(D381&lt;'PlayerGrades+'!$AA$13,"D+",IF(D381&lt;'PlayerGrades+'!$AA$12,"C-",IF(D381&lt;'PlayerGrades+'!$AA$11,"C",IF(D381&lt;'PlayerGrades+'!$AA$10,"C+",IF(D381&lt;'PlayerGrades+'!$AA$9,"B-",IF(D381&lt;'PlayerGrades+'!$AA$8,"B",IF(D381&lt;'PlayerGrades+'!$AA$7,"B+",IF(D381&lt;'PlayerGrades+'!$AA$6,"A-",IF(D381&lt;'PlayerGrades+'!$AA$5,"A",IF(D381&lt;'PlayerGrades+'!$AA$4,"A+",IF(D381&lt;'PlayerGrades+'!$AA$3,"S-",IF(D381&lt;'PlayerGrades+'!$AA$2,"S","S+"))))))))))))))))))))</f>
        <v>F-</v>
      </c>
      <c r="F381" s="937">
        <f t="shared" si="2"/>
        <v>-1.308724832</v>
      </c>
      <c r="G381" s="937" t="str">
        <f>IF(F381&lt;'PlayerGrades+'!$AB$21,"F-",IF(F381&lt;'PlayerGrades+'!$AB$20,"F",IF(F381&lt;'PlayerGrades+'!$AB$19,"F+",IF(F381&lt;'PlayerGrades+'!$AB$18,"E-",IF(F381&lt;'PlayerGrades+'!$AB$17,"E",IF(F381&lt;'PlayerGrades+'!$AB$16,"E+",IF(F381&lt;'PlayerGrades+'!$AB$15,"D-",IF(F381&lt;'PlayerGrades+'!$AB$14,"D",IF(F381&lt;'PlayerGrades+'!$AB$13,"D+",IF(F381&lt;'PlayerGrades+'!$AB$12,"C-",IF(F381&lt;'PlayerGrades+'!$AB$11,"C",IF(F381&lt;'PlayerGrades+'!$AB$10,"C+",IF(F381&lt;'PlayerGrades+'!$AB$9,"B-",IF(F381&lt;'PlayerGrades+'!$AB$8,"B",IF(F381&lt;'PlayerGrades+'!$AB$7,"B+",IF(F381&lt;'PlayerGrades+'!$AB$6,"A-",IF(F381&lt;'PlayerGrades+'!$AB$5,"A",IF(F381&lt;'PlayerGrades+'!$AB$4,"A+",IF(F381&lt;'PlayerGrades+'!$AB$3,"S-",IF(F381&lt;'PlayerGrades+'!$AB$2,"S","S+"))))))))))))))))))))</f>
        <v>F-</v>
      </c>
      <c r="H381" s="937">
        <f t="shared" si="3"/>
        <v>0.2013422819</v>
      </c>
      <c r="I381" s="937" t="str">
        <f>IF(H381&lt;'PlayerGrades+'!$AC$21,"F-",IF(H381&lt;'PlayerGrades+'!$AC$20,"F",IF(H381&lt;'PlayerGrades+'!$AC$19,"F+",IF(H381&lt;'PlayerGrades+'!$AC$18,"E-",IF(H381&lt;'PlayerGrades+'!$AC$17,"E",IF(H381&lt;'PlayerGrades+'!$AC$16,"E+",IF(H381&lt;'PlayerGrades+'!$AC$15,"D-",IF(H381&lt;'PlayerGrades+'!$AC$14,"D",IF(H381&lt;'PlayerGrades+'!$AC$13,"D+",IF(H381&lt;'PlayerGrades+'!$AC$12,"C-",IF(H381&lt;'PlayerGrades+'!$AC$11,"C",IF(H381&lt;'PlayerGrades+'!$AC$10,"C+",IF(H381&lt;'PlayerGrades+'!$AC$9,"B-",IF(H381&lt;'PlayerGrades+'!$AC$8,"B",IF(H381&lt;'PlayerGrades+'!$AC$7,"B+",IF(H381&lt;'PlayerGrades+'!$AC$6,"A-",IF(H381&lt;'PlayerGrades+'!$AC$5,"A",IF(H381&lt;'PlayerGrades+'!$AC$4,"A+",IF(H381&lt;'PlayerGrades+'!$AC$3,"S-",IF(H381&lt;'PlayerGrades+'!$AC$2,"S","S+"))))))))))))))))))))</f>
        <v>S</v>
      </c>
      <c r="J381" s="937">
        <f t="shared" si="4"/>
        <v>0</v>
      </c>
      <c r="K381" s="937" t="str">
        <f>IF(J381&lt;'PlayerGrades+'!$AD$21,"F-",IF(J381&lt;'PlayerGrades+'!$AD$20,"F",IF(J381&lt;'PlayerGrades+'!$AD$19,"F+",IF(J381&lt;'PlayerGrades+'!$AD$18,"E-",IF(J381&lt;'PlayerGrades+'!$AD$17,"E",IF(J381&lt;'PlayerGrades+'!$AD$16,"E+",IF(J381&lt;'PlayerGrades+'!$AD$15,"D-",IF(J381&lt;'PlayerGrades+'!$AD$14,"D",IF(J381&lt;'PlayerGrades+'!$AD$13,"D+",IF(J381&lt;'PlayerGrades+'!$AD$12,"C-",IF(J381&lt;'PlayerGrades+'!$AD$11,"C",IF(J381&lt;'PlayerGrades+'!$AD$10,"C+",IF(J381&lt;'PlayerGrades+'!$AD$9,"B-",IF(J381&lt;'PlayerGrades+'!$AD$8,"B",IF(J381&lt;'PlayerGrades+'!$AD$7,"B+",IF(J381&lt;'PlayerGrades+'!$AD$6,"A-",IF(J381&lt;'PlayerGrades+'!$AD$5,"A",IF(J381&lt;'PlayerGrades+'!$AD$4,"A+",IF(J381&lt;'PlayerGrades+'!$AD$3,"S-",IF(J381&lt;'PlayerGrades+'!$AD$2,"S","S+"))))))))))))))))))))</f>
        <v>F-</v>
      </c>
      <c r="L381" s="677">
        <f t="shared" si="5"/>
        <v>0.2013422819</v>
      </c>
      <c r="M381" s="938" t="str">
        <f>IF(L381&lt;'PlayerGrades+'!$AE$21,"F-",IF(L381&lt;'PlayerGrades+'!$AE$20,"F",IF(L381&lt;'PlayerGrades+'!$AE$19,"F+",IF(L381&lt;'PlayerGrades+'!$AE$18,"E-",IF(L381&lt;'PlayerGrades+'!$AE$17,"E",IF(L381&lt;'PlayerGrades+'!$AE$16,"E+",IF(L381&lt;'PlayerGrades+'!$AE$15,"D-",IF(L381&lt;'PlayerGrades+'!$AE$14,"D",IF(L381&lt;'PlayerGrades+'!$AE$13,"D+",IF(L381&lt;'PlayerGrades+'!$AE$12,"C-",IF(L381&lt;'PlayerGrades+'!$AE$11,"C",IF(L381&lt;'PlayerGrades+'!$AE$10,"C+",IF(L381&lt;'PlayerGrades+'!$AE$9,"B-",IF(L381&lt;'PlayerGrades+'!$AE$8,"B",IF(L381&lt;'PlayerGrades+'!$AE$7,"B+",IF(L381&lt;'PlayerGrades+'!$AE$6,"A-",IF(L381&lt;'PlayerGrades+'!$AE$5,"A",IF(L381&lt;'PlayerGrades+'!$AE$4,"A+",IF(L381&lt;'PlayerGrades+'!$AE$3,"S-",IF(L381&lt;'PlayerGrades+'!$AE$2,"S","S+"))))))))))))))))))))</f>
        <v>F</v>
      </c>
      <c r="N381" s="937">
        <f t="shared" si="6"/>
        <v>0.1006711409</v>
      </c>
      <c r="O381" s="937" t="str">
        <f>IF(N381&lt;'PlayerGrades+'!$AF$21,"F-",IF(N381&lt;'PlayerGrades+'!$AF$20,"F",IF(N381&lt;'PlayerGrades+'!$AF$19,"F+",IF(N381&lt;'PlayerGrades+'!$AF$18,"E-",IF(N381&lt;'PlayerGrades+'!$AF$17,"E",IF(N381&lt;'PlayerGrades+'!$AF$16,"E+",IF(N381&lt;'PlayerGrades+'!$AF$15,"D-",IF(N381&lt;'PlayerGrades+'!$AF$14,"D",IF(N381&lt;'PlayerGrades+'!$AF$13,"D+",IF(N381&lt;'PlayerGrades+'!$AF$12,"C-",IF(N381&lt;'PlayerGrades+'!$AF$11,"C",IF(N381&lt;'PlayerGrades+'!$AF$10,"C+",IF(N381&lt;'PlayerGrades+'!$AF$9,"B-",IF(N381&lt;'PlayerGrades+'!$AF$8,"B",IF(N381&lt;'PlayerGrades+'!$AF$7,"B+",IF(N381&lt;'PlayerGrades+'!$AF$6,"A-",IF(N381&lt;'PlayerGrades+'!$AF$5,"A",IF(N381&lt;'PlayerGrades+'!$AF$4,"A+",IF(N381&lt;'PlayerGrades+'!$AF$3,"S-",IF(N381&lt;'PlayerGrades+'!$AF$2,"S","S+"))))))))))))))))))))</f>
        <v>A</v>
      </c>
      <c r="P381" s="937">
        <f t="shared" si="7"/>
        <v>0</v>
      </c>
      <c r="Q381" s="937" t="str">
        <f>IF(P381&lt;'PlayerGrades+'!$AG$21,"F-",IF(P381&lt;'PlayerGrades+'!$AG$20,"F",IF(P381&lt;'PlayerGrades+'!$AG$19,"F+",IF(P381&lt;'PlayerGrades+'!$AG$18,"E-",IF(P381&lt;'PlayerGrades+'!$AG$17,"E",IF(P381&lt;'PlayerGrades+'!$AG$16,"E+",IF(P381&lt;'PlayerGrades+'!$AG$15,"D-",IF(P381&lt;'PlayerGrades+'!$AG$14,"D",IF(P381&lt;'PlayerGrades+'!$AG$13,"D+",IF(P381&lt;'PlayerGrades+'!$AG$12,"C-",IF(P381&lt;'PlayerGrades+'!$AG$11,"C",IF(P381&lt;'PlayerGrades+'!$AG$10,"C+",IF(P381&lt;'PlayerGrades+'!$AG$9,"B-",IF(P381&lt;'PlayerGrades+'!$AG$8,"B",IF(P381&lt;'PlayerGrades+'!$AG$7,"B+",IF(P381&lt;'PlayerGrades+'!$AG$6,"A-",IF(P381&lt;'PlayerGrades+'!$AG$5,"A",IF(P381&lt;'PlayerGrades+'!$AG$4,"A+",IF(P381&lt;'PlayerGrades+'!$AG$3,"S-",IF(P381&lt;'PlayerGrades+'!$AG$2,"S","S+"))))))))))))))))))))</f>
        <v>F</v>
      </c>
      <c r="R381" s="937">
        <f t="shared" si="8"/>
        <v>0.4026845638</v>
      </c>
      <c r="S381" s="937" t="str">
        <f>IF(R381&lt;'PlayerGrades+'!$AH$21,"F-",IF(R381&lt;'PlayerGrades+'!$AH$20,"F",IF(R381&lt;'PlayerGrades+'!$AH$19,"F+",IF(R381&lt;'PlayerGrades+'!$AH$18,"E-",IF(R381&lt;'PlayerGrades+'!$AH$17,"E",IF(R381&lt;'PlayerGrades+'!$AH$16,"E+",IF(R381&lt;'PlayerGrades+'!$AH$15,"D-",IF(R381&lt;'PlayerGrades+'!$AH$14,"D",IF(R381&lt;'PlayerGrades+'!$AH$13,"D+",IF(R381&lt;'PlayerGrades+'!$AH$12,"C-",IF(R381&lt;'PlayerGrades+'!$AH$11,"C",IF(R381&lt;'PlayerGrades+'!$AH$10,"C+",IF(R381&lt;'PlayerGrades+'!$AH$9,"B-",IF(R381&lt;'PlayerGrades+'!$AH$8,"B",IF(R381&lt;'PlayerGrades+'!$AH$7,"B+",IF(R381&lt;'PlayerGrades+'!$AH$6,"A-",IF(R381&lt;'PlayerGrades+'!$AH$5,"A",IF(R381&lt;'PlayerGrades+'!$AH$4,"A+",IF(R381&lt;'PlayerGrades+'!$AH$3,"S-",IF(R381&lt;'PlayerGrades+'!$AH$2,"S","S+"))))))))))))))))))))</f>
        <v>F+</v>
      </c>
      <c r="T381" s="937">
        <f t="shared" si="9"/>
        <v>0.5033557047</v>
      </c>
      <c r="U381" s="937" t="str">
        <f>IF(T381&lt;'PlayerGrades+'!$AI$21,"F-",IF(T381&lt;'PlayerGrades+'!$AI$20,"F",IF(T381&lt;'PlayerGrades+'!$AI$19,"F+",IF(T381&lt;'PlayerGrades+'!$AI$18,"E-",IF(T381&lt;'PlayerGrades+'!$AI$17,"E",IF(T381&lt;'PlayerGrades+'!$AI$16,"E+",IF(T381&lt;'PlayerGrades+'!$AI$15,"D-",IF(T381&lt;'PlayerGrades+'!$AI$14,"D",IF(T381&lt;'PlayerGrades+'!$AI$13,"D+",IF(T381&lt;'PlayerGrades+'!$AI$12,"C-",IF(T381&lt;'PlayerGrades+'!$AI$11,"C",IF(T381&lt;'PlayerGrades+'!$AI$10,"C+",IF(T381&lt;'PlayerGrades+'!$AI$9,"B-",IF(T381&lt;'PlayerGrades+'!$AI$8,"B",IF(T381&lt;'PlayerGrades+'!$AI$7,"B+",IF(T381&lt;'PlayerGrades+'!$AI$6,"A-",IF(T381&lt;'PlayerGrades+'!$AI$5,"A",IF(T381&lt;'PlayerGrades+'!$AI$4,"A+",IF(T381&lt;'PlayerGrades+'!$AI$3,"S-",IF(T381&lt;'PlayerGrades+'!$AI$2,"S","S+"))))))))))))))))))))</f>
        <v>F-</v>
      </c>
      <c r="V381" s="941">
        <v>1.0</v>
      </c>
      <c r="W381" s="941">
        <v>1.0</v>
      </c>
      <c r="X381" s="941">
        <v>0.0</v>
      </c>
      <c r="Y381" s="941">
        <v>0.0</v>
      </c>
      <c r="Z381" s="941">
        <v>0.0</v>
      </c>
      <c r="AA381" s="941">
        <v>23.0</v>
      </c>
      <c r="AB381" s="941">
        <v>36.0</v>
      </c>
      <c r="AC381" s="941">
        <v>-13.0</v>
      </c>
      <c r="AD381" s="941">
        <v>2.0</v>
      </c>
      <c r="AE381" s="941">
        <v>3.0</v>
      </c>
      <c r="AF381" s="941">
        <v>0.0</v>
      </c>
      <c r="AG381" s="941">
        <v>420.0</v>
      </c>
      <c r="AH381" s="941">
        <v>596.0</v>
      </c>
      <c r="AI381" s="941">
        <v>11.0</v>
      </c>
      <c r="AJ381" s="941">
        <v>0.0</v>
      </c>
      <c r="AK381" s="941">
        <v>0.0</v>
      </c>
      <c r="AL381" s="941">
        <v>0.0</v>
      </c>
      <c r="AM381" s="941">
        <v>0.0</v>
      </c>
      <c r="AN381" s="941">
        <v>0.0</v>
      </c>
      <c r="AO381" s="941">
        <v>0.0</v>
      </c>
      <c r="AP381" s="941">
        <v>0.0</v>
      </c>
      <c r="AQ381" s="941">
        <v>0.0</v>
      </c>
      <c r="AR381" s="941">
        <v>2.0</v>
      </c>
      <c r="AS381" s="941">
        <v>1.0</v>
      </c>
      <c r="AT381" s="941">
        <v>0.0</v>
      </c>
      <c r="AU381" s="941">
        <v>0.0</v>
      </c>
      <c r="AV381" s="941">
        <v>0.0</v>
      </c>
      <c r="AW381" s="941">
        <v>0.0</v>
      </c>
      <c r="AX381" s="941">
        <v>0.0</v>
      </c>
      <c r="AY381" s="941">
        <v>0.0</v>
      </c>
      <c r="AZ381" s="941">
        <v>0.0</v>
      </c>
      <c r="BA381" s="941">
        <v>0.0</v>
      </c>
      <c r="BB381" s="941">
        <v>2.0</v>
      </c>
      <c r="BC381" s="941">
        <v>0.0</v>
      </c>
      <c r="BD381" s="941">
        <v>2.0</v>
      </c>
      <c r="BE381" s="941">
        <v>5.0</v>
      </c>
      <c r="BF381" s="941">
        <v>0.0</v>
      </c>
      <c r="BG381" s="942">
        <v>0.0</v>
      </c>
    </row>
    <row r="382">
      <c r="A382" s="935" t="s">
        <v>418</v>
      </c>
      <c r="B382" s="16" t="str">
        <f>IF(C382&lt;'PlayerGrades+'!$Y$44,"F-",IF(C382&lt;'PlayerGrades+'!$Y$43,"F",IF(C382&lt;'PlayerGrades+'!$Y$42,"F+",IF(C382&lt;'PlayerGrades+'!$Y$41,"E-",IF(C382&lt;'PlayerGrades+'!$Y$40,"E",IF(C382&lt;'PlayerGrades+'!$Y$39,"E+",IF(C382&lt;'PlayerGrades+'!$Y$38,"D-",IF(C382&lt;'PlayerGrades+'!$Y$37,"D",IF(C382&lt;'PlayerGrades+'!$Y$36,"D+",IF(C382&lt;'PlayerGrades+'!$Y$35,"C-",IF(C382&lt;'PlayerGrades+'!$Y$34,"C",IF(C382&lt;'PlayerGrades+'!$Y$33,"C+",IF(C382&lt;'PlayerGrades+'!$Y$32,"B-",IF(C382&lt;'PlayerGrades+'!$Y$31,"B",IF(C382&lt;'PlayerGrades+'!$Y$30,"B+",IF(C382&lt;'PlayerGrades+'!$Y$29,"A-",IF(C382&lt;'PlayerGrades+'!$Y$28,"A",IF(C382&lt;'PlayerGrades+'!$Y$27,"A+",IF(C382&lt;'PlayerGrades+'!$Y$26,"S-",IF(C382&lt;'PlayerGrades+'!$Y$25,"S","S+"))))))))))))))))))))</f>
        <v>E-</v>
      </c>
      <c r="C382" s="936">
        <f>('PlayerGrades+'!$Y$47*(VLOOKUP(E382, 'PlayerGrades+'!$X$3:$Y$23, 2, FALSE)))+('PlayerGrades+'!$Y$48*(VLOOKUP(G382, 'PlayerGrades+'!$X$3:$Y$23, 2, FALSE)))+('PlayerGrades+'!$Y$49*(VLOOKUP(I382, 'PlayerGrades+'!$X$3:$Y$23, 2, FALSE)))+('PlayerGrades+'!$Y$50*(VLOOKUP(K382, 'PlayerGrades+'!$X$3:$Y$23, 2, FALSE)))+('PlayerGrades+'!$Y$51*(VLOOKUP(M382, 'PlayerGrades+'!$X$3:$Y$23, 2, FALSE)))+('PlayerGrades+'!$Y$52*(VLOOKUP(O382, 'PlayerGrades+'!$X$3:$Y$23, 2, FALSE)))+('PlayerGrades+'!$Y$53*(VLOOKUP(Q382, 'PlayerGrades+'!$X$3:$Y$23, 2, FALSE)))+('PlayerGrades+'!$Y$54*(VLOOKUP(S382, 'PlayerGrades+'!$X$3:$Y$23, 2, FALSE)))+('PlayerGrades+'!$Y$55*(VLOOKUP(U382, 'PlayerGrades+'!$X$3:$Y$23, 2, FALSE)))</f>
        <v>11.05</v>
      </c>
      <c r="D382" s="937">
        <f t="shared" si="1"/>
        <v>0</v>
      </c>
      <c r="E382" s="937" t="str">
        <f>IF(D382&lt;'PlayerGrades+'!$AA$21,"F-",IF(D382&lt;'PlayerGrades+'!$AA$20,"F",IF(D382&lt;'PlayerGrades+'!$AA$19,"F+",IF(D382&lt;'PlayerGrades+'!$AA$18,"E-",IF(D382&lt;'PlayerGrades+'!$AA$17,"E",IF(D382&lt;'PlayerGrades+'!$AA$16,"E+",IF(D382&lt;'PlayerGrades+'!$AA$15,"D-",IF(D382&lt;'PlayerGrades+'!$AA$14,"D",IF(D382&lt;'PlayerGrades+'!$AA$13,"D+",IF(D382&lt;'PlayerGrades+'!$AA$12,"C-",IF(D382&lt;'PlayerGrades+'!$AA$11,"C",IF(D382&lt;'PlayerGrades+'!$AA$10,"C+",IF(D382&lt;'PlayerGrades+'!$AA$9,"B-",IF(D382&lt;'PlayerGrades+'!$AA$8,"B",IF(D382&lt;'PlayerGrades+'!$AA$7,"B+",IF(D382&lt;'PlayerGrades+'!$AA$6,"A-",IF(D382&lt;'PlayerGrades+'!$AA$5,"A",IF(D382&lt;'PlayerGrades+'!$AA$4,"A+",IF(D382&lt;'PlayerGrades+'!$AA$3,"S-",IF(D382&lt;'PlayerGrades+'!$AA$2,"S","S+"))))))))))))))))))))</f>
        <v>F-</v>
      </c>
      <c r="F382" s="937">
        <f t="shared" si="2"/>
        <v>-0.7046979866</v>
      </c>
      <c r="G382" s="937" t="str">
        <f>IF(F382&lt;'PlayerGrades+'!$AB$21,"F-",IF(F382&lt;'PlayerGrades+'!$AB$20,"F",IF(F382&lt;'PlayerGrades+'!$AB$19,"F+",IF(F382&lt;'PlayerGrades+'!$AB$18,"E-",IF(F382&lt;'PlayerGrades+'!$AB$17,"E",IF(F382&lt;'PlayerGrades+'!$AB$16,"E+",IF(F382&lt;'PlayerGrades+'!$AB$15,"D-",IF(F382&lt;'PlayerGrades+'!$AB$14,"D",IF(F382&lt;'PlayerGrades+'!$AB$13,"D+",IF(F382&lt;'PlayerGrades+'!$AB$12,"C-",IF(F382&lt;'PlayerGrades+'!$AB$11,"C",IF(F382&lt;'PlayerGrades+'!$AB$10,"C+",IF(F382&lt;'PlayerGrades+'!$AB$9,"B-",IF(F382&lt;'PlayerGrades+'!$AB$8,"B",IF(F382&lt;'PlayerGrades+'!$AB$7,"B+",IF(F382&lt;'PlayerGrades+'!$AB$6,"A-",IF(F382&lt;'PlayerGrades+'!$AB$5,"A",IF(F382&lt;'PlayerGrades+'!$AB$4,"A+",IF(F382&lt;'PlayerGrades+'!$AB$3,"S-",IF(F382&lt;'PlayerGrades+'!$AB$2,"S","S+"))))))))))))))))))))</f>
        <v>E+</v>
      </c>
      <c r="H382" s="937">
        <f t="shared" si="3"/>
        <v>0.1006711409</v>
      </c>
      <c r="I382" s="937" t="str">
        <f>IF(H382&lt;'PlayerGrades+'!$AC$21,"F-",IF(H382&lt;'PlayerGrades+'!$AC$20,"F",IF(H382&lt;'PlayerGrades+'!$AC$19,"F+",IF(H382&lt;'PlayerGrades+'!$AC$18,"E-",IF(H382&lt;'PlayerGrades+'!$AC$17,"E",IF(H382&lt;'PlayerGrades+'!$AC$16,"E+",IF(H382&lt;'PlayerGrades+'!$AC$15,"D-",IF(H382&lt;'PlayerGrades+'!$AC$14,"D",IF(H382&lt;'PlayerGrades+'!$AC$13,"D+",IF(H382&lt;'PlayerGrades+'!$AC$12,"C-",IF(H382&lt;'PlayerGrades+'!$AC$11,"C",IF(H382&lt;'PlayerGrades+'!$AC$10,"C+",IF(H382&lt;'PlayerGrades+'!$AC$9,"B-",IF(H382&lt;'PlayerGrades+'!$AC$8,"B",IF(H382&lt;'PlayerGrades+'!$AC$7,"B+",IF(H382&lt;'PlayerGrades+'!$AC$6,"A-",IF(H382&lt;'PlayerGrades+'!$AC$5,"A",IF(H382&lt;'PlayerGrades+'!$AC$4,"A+",IF(H382&lt;'PlayerGrades+'!$AC$3,"S-",IF(H382&lt;'PlayerGrades+'!$AC$2,"S","S+"))))))))))))))))))))</f>
        <v>C-</v>
      </c>
      <c r="J382" s="937">
        <f t="shared" si="4"/>
        <v>0</v>
      </c>
      <c r="K382" s="937" t="str">
        <f>IF(J382&lt;'PlayerGrades+'!$AD$21,"F-",IF(J382&lt;'PlayerGrades+'!$AD$20,"F",IF(J382&lt;'PlayerGrades+'!$AD$19,"F+",IF(J382&lt;'PlayerGrades+'!$AD$18,"E-",IF(J382&lt;'PlayerGrades+'!$AD$17,"E",IF(J382&lt;'PlayerGrades+'!$AD$16,"E+",IF(J382&lt;'PlayerGrades+'!$AD$15,"D-",IF(J382&lt;'PlayerGrades+'!$AD$14,"D",IF(J382&lt;'PlayerGrades+'!$AD$13,"D+",IF(J382&lt;'PlayerGrades+'!$AD$12,"C-",IF(J382&lt;'PlayerGrades+'!$AD$11,"C",IF(J382&lt;'PlayerGrades+'!$AD$10,"C+",IF(J382&lt;'PlayerGrades+'!$AD$9,"B-",IF(J382&lt;'PlayerGrades+'!$AD$8,"B",IF(J382&lt;'PlayerGrades+'!$AD$7,"B+",IF(J382&lt;'PlayerGrades+'!$AD$6,"A-",IF(J382&lt;'PlayerGrades+'!$AD$5,"A",IF(J382&lt;'PlayerGrades+'!$AD$4,"A+",IF(J382&lt;'PlayerGrades+'!$AD$3,"S-",IF(J382&lt;'PlayerGrades+'!$AD$2,"S","S+"))))))))))))))))))))</f>
        <v>F-</v>
      </c>
      <c r="L382" s="677">
        <f t="shared" si="5"/>
        <v>0.5033557047</v>
      </c>
      <c r="M382" s="938" t="str">
        <f>IF(L382&lt;'PlayerGrades+'!$AE$21,"F-",IF(L382&lt;'PlayerGrades+'!$AE$20,"F",IF(L382&lt;'PlayerGrades+'!$AE$19,"F+",IF(L382&lt;'PlayerGrades+'!$AE$18,"E-",IF(L382&lt;'PlayerGrades+'!$AE$17,"E",IF(L382&lt;'PlayerGrades+'!$AE$16,"E+",IF(L382&lt;'PlayerGrades+'!$AE$15,"D-",IF(L382&lt;'PlayerGrades+'!$AE$14,"D",IF(L382&lt;'PlayerGrades+'!$AE$13,"D+",IF(L382&lt;'PlayerGrades+'!$AE$12,"C-",IF(L382&lt;'PlayerGrades+'!$AE$11,"C",IF(L382&lt;'PlayerGrades+'!$AE$10,"C+",IF(L382&lt;'PlayerGrades+'!$AE$9,"B-",IF(L382&lt;'PlayerGrades+'!$AE$8,"B",IF(L382&lt;'PlayerGrades+'!$AE$7,"B+",IF(L382&lt;'PlayerGrades+'!$AE$6,"A-",IF(L382&lt;'PlayerGrades+'!$AE$5,"A",IF(L382&lt;'PlayerGrades+'!$AE$4,"A+",IF(L382&lt;'PlayerGrades+'!$AE$3,"S-",IF(L382&lt;'PlayerGrades+'!$AE$2,"S","S+"))))))))))))))))))))</f>
        <v>A-</v>
      </c>
      <c r="N382" s="937">
        <f t="shared" si="6"/>
        <v>0</v>
      </c>
      <c r="O382" s="937" t="str">
        <f>IF(N382&lt;'PlayerGrades+'!$AF$21,"F-",IF(N382&lt;'PlayerGrades+'!$AF$20,"F",IF(N382&lt;'PlayerGrades+'!$AF$19,"F+",IF(N382&lt;'PlayerGrades+'!$AF$18,"E-",IF(N382&lt;'PlayerGrades+'!$AF$17,"E",IF(N382&lt;'PlayerGrades+'!$AF$16,"E+",IF(N382&lt;'PlayerGrades+'!$AF$15,"D-",IF(N382&lt;'PlayerGrades+'!$AF$14,"D",IF(N382&lt;'PlayerGrades+'!$AF$13,"D+",IF(N382&lt;'PlayerGrades+'!$AF$12,"C-",IF(N382&lt;'PlayerGrades+'!$AF$11,"C",IF(N382&lt;'PlayerGrades+'!$AF$10,"C+",IF(N382&lt;'PlayerGrades+'!$AF$9,"B-",IF(N382&lt;'PlayerGrades+'!$AF$8,"B",IF(N382&lt;'PlayerGrades+'!$AF$7,"B+",IF(N382&lt;'PlayerGrades+'!$AF$6,"A-",IF(N382&lt;'PlayerGrades+'!$AF$5,"A",IF(N382&lt;'PlayerGrades+'!$AF$4,"A+",IF(N382&lt;'PlayerGrades+'!$AF$3,"S-",IF(N382&lt;'PlayerGrades+'!$AF$2,"S","S+"))))))))))))))))))))</f>
        <v>F-</v>
      </c>
      <c r="P382" s="937">
        <f t="shared" si="7"/>
        <v>0</v>
      </c>
      <c r="Q382" s="937" t="str">
        <f>IF(P382&lt;'PlayerGrades+'!$AG$21,"F-",IF(P382&lt;'PlayerGrades+'!$AG$20,"F",IF(P382&lt;'PlayerGrades+'!$AG$19,"F+",IF(P382&lt;'PlayerGrades+'!$AG$18,"E-",IF(P382&lt;'PlayerGrades+'!$AG$17,"E",IF(P382&lt;'PlayerGrades+'!$AG$16,"E+",IF(P382&lt;'PlayerGrades+'!$AG$15,"D-",IF(P382&lt;'PlayerGrades+'!$AG$14,"D",IF(P382&lt;'PlayerGrades+'!$AG$13,"D+",IF(P382&lt;'PlayerGrades+'!$AG$12,"C-",IF(P382&lt;'PlayerGrades+'!$AG$11,"C",IF(P382&lt;'PlayerGrades+'!$AG$10,"C+",IF(P382&lt;'PlayerGrades+'!$AG$9,"B-",IF(P382&lt;'PlayerGrades+'!$AG$8,"B",IF(P382&lt;'PlayerGrades+'!$AG$7,"B+",IF(P382&lt;'PlayerGrades+'!$AG$6,"A-",IF(P382&lt;'PlayerGrades+'!$AG$5,"A",IF(P382&lt;'PlayerGrades+'!$AG$4,"A+",IF(P382&lt;'PlayerGrades+'!$AG$3,"S-",IF(P382&lt;'PlayerGrades+'!$AG$2,"S","S+"))))))))))))))))))))</f>
        <v>F</v>
      </c>
      <c r="R382" s="937">
        <f t="shared" si="8"/>
        <v>0.5033557047</v>
      </c>
      <c r="S382" s="937" t="str">
        <f>IF(R382&lt;'PlayerGrades+'!$AH$21,"F-",IF(R382&lt;'PlayerGrades+'!$AH$20,"F",IF(R382&lt;'PlayerGrades+'!$AH$19,"F+",IF(R382&lt;'PlayerGrades+'!$AH$18,"E-",IF(R382&lt;'PlayerGrades+'!$AH$17,"E",IF(R382&lt;'PlayerGrades+'!$AH$16,"E+",IF(R382&lt;'PlayerGrades+'!$AH$15,"D-",IF(R382&lt;'PlayerGrades+'!$AH$14,"D",IF(R382&lt;'PlayerGrades+'!$AH$13,"D+",IF(R382&lt;'PlayerGrades+'!$AH$12,"C-",IF(R382&lt;'PlayerGrades+'!$AH$11,"C",IF(R382&lt;'PlayerGrades+'!$AH$10,"C+",IF(R382&lt;'PlayerGrades+'!$AH$9,"B-",IF(R382&lt;'PlayerGrades+'!$AH$8,"B",IF(R382&lt;'PlayerGrades+'!$AH$7,"B+",IF(R382&lt;'PlayerGrades+'!$AH$6,"A-",IF(R382&lt;'PlayerGrades+'!$AH$5,"A",IF(R382&lt;'PlayerGrades+'!$AH$4,"A+",IF(R382&lt;'PlayerGrades+'!$AH$3,"S-",IF(R382&lt;'PlayerGrades+'!$AH$2,"S","S+"))))))))))))))))))))</f>
        <v>D-</v>
      </c>
      <c r="T382" s="937">
        <f t="shared" si="9"/>
        <v>0.5033557047</v>
      </c>
      <c r="U382" s="937" t="str">
        <f>IF(T382&lt;'PlayerGrades+'!$AI$21,"F-",IF(T382&lt;'PlayerGrades+'!$AI$20,"F",IF(T382&lt;'PlayerGrades+'!$AI$19,"F+",IF(T382&lt;'PlayerGrades+'!$AI$18,"E-",IF(T382&lt;'PlayerGrades+'!$AI$17,"E",IF(T382&lt;'PlayerGrades+'!$AI$16,"E+",IF(T382&lt;'PlayerGrades+'!$AI$15,"D-",IF(T382&lt;'PlayerGrades+'!$AI$14,"D",IF(T382&lt;'PlayerGrades+'!$AI$13,"D+",IF(T382&lt;'PlayerGrades+'!$AI$12,"C-",IF(T382&lt;'PlayerGrades+'!$AI$11,"C",IF(T382&lt;'PlayerGrades+'!$AI$10,"C+",IF(T382&lt;'PlayerGrades+'!$AI$9,"B-",IF(T382&lt;'PlayerGrades+'!$AI$8,"B",IF(T382&lt;'PlayerGrades+'!$AI$7,"B+",IF(T382&lt;'PlayerGrades+'!$AI$6,"A-",IF(T382&lt;'PlayerGrades+'!$AI$5,"A",IF(T382&lt;'PlayerGrades+'!$AI$4,"A+",IF(T382&lt;'PlayerGrades+'!$AI$3,"S-",IF(T382&lt;'PlayerGrades+'!$AI$2,"S","S+"))))))))))))))))))))</f>
        <v>F-</v>
      </c>
      <c r="V382" s="941">
        <v>1.0</v>
      </c>
      <c r="W382" s="941">
        <v>0.0</v>
      </c>
      <c r="X382" s="941">
        <v>1.0</v>
      </c>
      <c r="Y382" s="941">
        <v>0.0</v>
      </c>
      <c r="Z382" s="941">
        <v>0.0</v>
      </c>
      <c r="AA382" s="941">
        <v>32.0</v>
      </c>
      <c r="AB382" s="941">
        <v>39.0</v>
      </c>
      <c r="AC382" s="941">
        <v>-7.0</v>
      </c>
      <c r="AD382" s="941">
        <v>1.0</v>
      </c>
      <c r="AE382" s="941">
        <v>4.0</v>
      </c>
      <c r="AF382" s="941">
        <v>1.0</v>
      </c>
      <c r="AG382" s="941">
        <v>420.0</v>
      </c>
      <c r="AH382" s="941">
        <v>596.0</v>
      </c>
      <c r="AI382" s="941">
        <v>10.0</v>
      </c>
      <c r="AJ382" s="941">
        <v>5.0</v>
      </c>
      <c r="AK382" s="941">
        <v>0.0</v>
      </c>
      <c r="AL382" s="941">
        <v>0.0</v>
      </c>
      <c r="AM382" s="941">
        <v>0.0</v>
      </c>
      <c r="AN382" s="941">
        <v>0.0</v>
      </c>
      <c r="AO382" s="941">
        <v>0.0</v>
      </c>
      <c r="AP382" s="941">
        <v>0.0</v>
      </c>
      <c r="AQ382" s="941">
        <v>0.0</v>
      </c>
      <c r="AR382" s="941">
        <v>5.0</v>
      </c>
      <c r="AS382" s="941">
        <v>0.0</v>
      </c>
      <c r="AT382" s="941">
        <v>0.0</v>
      </c>
      <c r="AU382" s="941">
        <v>0.0</v>
      </c>
      <c r="AV382" s="941">
        <v>0.0</v>
      </c>
      <c r="AW382" s="941">
        <v>0.0</v>
      </c>
      <c r="AX382" s="941">
        <v>0.0</v>
      </c>
      <c r="AY382" s="941">
        <v>0.0</v>
      </c>
      <c r="AZ382" s="941">
        <v>0.0</v>
      </c>
      <c r="BA382" s="941">
        <v>0.0</v>
      </c>
      <c r="BB382" s="941">
        <v>1.0</v>
      </c>
      <c r="BC382" s="941">
        <v>0.0</v>
      </c>
      <c r="BD382" s="941">
        <v>4.0</v>
      </c>
      <c r="BE382" s="941">
        <v>5.0</v>
      </c>
      <c r="BF382" s="941">
        <v>0.0</v>
      </c>
      <c r="BG382" s="942">
        <v>1.0</v>
      </c>
    </row>
    <row r="383">
      <c r="A383" s="935" t="s">
        <v>115</v>
      </c>
      <c r="B383" s="16" t="str">
        <f>IF(C383&lt;'PlayerGrades+'!$Y$44,"F-",IF(C383&lt;'PlayerGrades+'!$Y$43,"F",IF(C383&lt;'PlayerGrades+'!$Y$42,"F+",IF(C383&lt;'PlayerGrades+'!$Y$41,"E-",IF(C383&lt;'PlayerGrades+'!$Y$40,"E",IF(C383&lt;'PlayerGrades+'!$Y$39,"E+",IF(C383&lt;'PlayerGrades+'!$Y$38,"D-",IF(C383&lt;'PlayerGrades+'!$Y$37,"D",IF(C383&lt;'PlayerGrades+'!$Y$36,"D+",IF(C383&lt;'PlayerGrades+'!$Y$35,"C-",IF(C383&lt;'PlayerGrades+'!$Y$34,"C",IF(C383&lt;'PlayerGrades+'!$Y$33,"C+",IF(C383&lt;'PlayerGrades+'!$Y$32,"B-",IF(C383&lt;'PlayerGrades+'!$Y$31,"B",IF(C383&lt;'PlayerGrades+'!$Y$30,"B+",IF(C383&lt;'PlayerGrades+'!$Y$29,"A-",IF(C383&lt;'PlayerGrades+'!$Y$28,"A",IF(C383&lt;'PlayerGrades+'!$Y$27,"A+",IF(C383&lt;'PlayerGrades+'!$Y$26,"S-",IF(C383&lt;'PlayerGrades+'!$Y$25,"S","S+"))))))))))))))))))))</f>
        <v>F-</v>
      </c>
      <c r="C383" s="936">
        <f>('PlayerGrades+'!$Y$47*(VLOOKUP(E383, 'PlayerGrades+'!$X$3:$Y$23, 2, FALSE)))+('PlayerGrades+'!$Y$48*(VLOOKUP(G383, 'PlayerGrades+'!$X$3:$Y$23, 2, FALSE)))+('PlayerGrades+'!$Y$49*(VLOOKUP(I383, 'PlayerGrades+'!$X$3:$Y$23, 2, FALSE)))+('PlayerGrades+'!$Y$50*(VLOOKUP(K383, 'PlayerGrades+'!$X$3:$Y$23, 2, FALSE)))+('PlayerGrades+'!$Y$51*(VLOOKUP(M383, 'PlayerGrades+'!$X$3:$Y$23, 2, FALSE)))+('PlayerGrades+'!$Y$52*(VLOOKUP(O383, 'PlayerGrades+'!$X$3:$Y$23, 2, FALSE)))+('PlayerGrades+'!$Y$53*(VLOOKUP(Q383, 'PlayerGrades+'!$X$3:$Y$23, 2, FALSE)))+('PlayerGrades+'!$Y$54*(VLOOKUP(S383, 'PlayerGrades+'!$X$3:$Y$23, 2, FALSE)))+('PlayerGrades+'!$Y$55*(VLOOKUP(U383, 'PlayerGrades+'!$X$3:$Y$23, 2, FALSE)))</f>
        <v>8.1</v>
      </c>
      <c r="D383" s="937">
        <f t="shared" si="1"/>
        <v>0</v>
      </c>
      <c r="E383" s="937" t="str">
        <f>IF(D383&lt;'PlayerGrades+'!$AA$21,"F-",IF(D383&lt;'PlayerGrades+'!$AA$20,"F",IF(D383&lt;'PlayerGrades+'!$AA$19,"F+",IF(D383&lt;'PlayerGrades+'!$AA$18,"E-",IF(D383&lt;'PlayerGrades+'!$AA$17,"E",IF(D383&lt;'PlayerGrades+'!$AA$16,"E+",IF(D383&lt;'PlayerGrades+'!$AA$15,"D-",IF(D383&lt;'PlayerGrades+'!$AA$14,"D",IF(D383&lt;'PlayerGrades+'!$AA$13,"D+",IF(D383&lt;'PlayerGrades+'!$AA$12,"C-",IF(D383&lt;'PlayerGrades+'!$AA$11,"C",IF(D383&lt;'PlayerGrades+'!$AA$10,"C+",IF(D383&lt;'PlayerGrades+'!$AA$9,"B-",IF(D383&lt;'PlayerGrades+'!$AA$8,"B",IF(D383&lt;'PlayerGrades+'!$AA$7,"B+",IF(D383&lt;'PlayerGrades+'!$AA$6,"A-",IF(D383&lt;'PlayerGrades+'!$AA$5,"A",IF(D383&lt;'PlayerGrades+'!$AA$4,"A+",IF(D383&lt;'PlayerGrades+'!$AA$3,"S-",IF(D383&lt;'PlayerGrades+'!$AA$2,"S","S+"))))))))))))))))))))</f>
        <v>F-</v>
      </c>
      <c r="F383" s="937">
        <f t="shared" si="2"/>
        <v>-1.912751678</v>
      </c>
      <c r="G383" s="937" t="str">
        <f>IF(F383&lt;'PlayerGrades+'!$AB$21,"F-",IF(F383&lt;'PlayerGrades+'!$AB$20,"F",IF(F383&lt;'PlayerGrades+'!$AB$19,"F+",IF(F383&lt;'PlayerGrades+'!$AB$18,"E-",IF(F383&lt;'PlayerGrades+'!$AB$17,"E",IF(F383&lt;'PlayerGrades+'!$AB$16,"E+",IF(F383&lt;'PlayerGrades+'!$AB$15,"D-",IF(F383&lt;'PlayerGrades+'!$AB$14,"D",IF(F383&lt;'PlayerGrades+'!$AB$13,"D+",IF(F383&lt;'PlayerGrades+'!$AB$12,"C-",IF(F383&lt;'PlayerGrades+'!$AB$11,"C",IF(F383&lt;'PlayerGrades+'!$AB$10,"C+",IF(F383&lt;'PlayerGrades+'!$AB$9,"B-",IF(F383&lt;'PlayerGrades+'!$AB$8,"B",IF(F383&lt;'PlayerGrades+'!$AB$7,"B+",IF(F383&lt;'PlayerGrades+'!$AB$6,"A-",IF(F383&lt;'PlayerGrades+'!$AB$5,"A",IF(F383&lt;'PlayerGrades+'!$AB$4,"A+",IF(F383&lt;'PlayerGrades+'!$AB$3,"S-",IF(F383&lt;'PlayerGrades+'!$AB$2,"S","S+"))))))))))))))))))))</f>
        <v>F-</v>
      </c>
      <c r="H383" s="937">
        <f t="shared" si="3"/>
        <v>0</v>
      </c>
      <c r="I383" s="937" t="str">
        <f>IF(H383&lt;'PlayerGrades+'!$AC$21,"F-",IF(H383&lt;'PlayerGrades+'!$AC$20,"F",IF(H383&lt;'PlayerGrades+'!$AC$19,"F+",IF(H383&lt;'PlayerGrades+'!$AC$18,"E-",IF(H383&lt;'PlayerGrades+'!$AC$17,"E",IF(H383&lt;'PlayerGrades+'!$AC$16,"E+",IF(H383&lt;'PlayerGrades+'!$AC$15,"D-",IF(H383&lt;'PlayerGrades+'!$AC$14,"D",IF(H383&lt;'PlayerGrades+'!$AC$13,"D+",IF(H383&lt;'PlayerGrades+'!$AC$12,"C-",IF(H383&lt;'PlayerGrades+'!$AC$11,"C",IF(H383&lt;'PlayerGrades+'!$AC$10,"C+",IF(H383&lt;'PlayerGrades+'!$AC$9,"B-",IF(H383&lt;'PlayerGrades+'!$AC$8,"B",IF(H383&lt;'PlayerGrades+'!$AC$7,"B+",IF(H383&lt;'PlayerGrades+'!$AC$6,"A-",IF(H383&lt;'PlayerGrades+'!$AC$5,"A",IF(H383&lt;'PlayerGrades+'!$AC$4,"A+",IF(H383&lt;'PlayerGrades+'!$AC$3,"S-",IF(H383&lt;'PlayerGrades+'!$AC$2,"S","S+"))))))))))))))))))))</f>
        <v>F-</v>
      </c>
      <c r="J383" s="937">
        <f t="shared" si="4"/>
        <v>0</v>
      </c>
      <c r="K383" s="937" t="str">
        <f>IF(J383&lt;'PlayerGrades+'!$AD$21,"F-",IF(J383&lt;'PlayerGrades+'!$AD$20,"F",IF(J383&lt;'PlayerGrades+'!$AD$19,"F+",IF(J383&lt;'PlayerGrades+'!$AD$18,"E-",IF(J383&lt;'PlayerGrades+'!$AD$17,"E",IF(J383&lt;'PlayerGrades+'!$AD$16,"E+",IF(J383&lt;'PlayerGrades+'!$AD$15,"D-",IF(J383&lt;'PlayerGrades+'!$AD$14,"D",IF(J383&lt;'PlayerGrades+'!$AD$13,"D+",IF(J383&lt;'PlayerGrades+'!$AD$12,"C-",IF(J383&lt;'PlayerGrades+'!$AD$11,"C",IF(J383&lt;'PlayerGrades+'!$AD$10,"C+",IF(J383&lt;'PlayerGrades+'!$AD$9,"B-",IF(J383&lt;'PlayerGrades+'!$AD$8,"B",IF(J383&lt;'PlayerGrades+'!$AD$7,"B+",IF(J383&lt;'PlayerGrades+'!$AD$6,"A-",IF(J383&lt;'PlayerGrades+'!$AD$5,"A",IF(J383&lt;'PlayerGrades+'!$AD$4,"A+",IF(J383&lt;'PlayerGrades+'!$AD$3,"S-",IF(J383&lt;'PlayerGrades+'!$AD$2,"S","S+"))))))))))))))))))))</f>
        <v>F-</v>
      </c>
      <c r="L383" s="677">
        <f t="shared" si="5"/>
        <v>0.4026845638</v>
      </c>
      <c r="M383" s="938" t="str">
        <f>IF(L383&lt;'PlayerGrades+'!$AE$21,"F-",IF(L383&lt;'PlayerGrades+'!$AE$20,"F",IF(L383&lt;'PlayerGrades+'!$AE$19,"F+",IF(L383&lt;'PlayerGrades+'!$AE$18,"E-",IF(L383&lt;'PlayerGrades+'!$AE$17,"E",IF(L383&lt;'PlayerGrades+'!$AE$16,"E+",IF(L383&lt;'PlayerGrades+'!$AE$15,"D-",IF(L383&lt;'PlayerGrades+'!$AE$14,"D",IF(L383&lt;'PlayerGrades+'!$AE$13,"D+",IF(L383&lt;'PlayerGrades+'!$AE$12,"C-",IF(L383&lt;'PlayerGrades+'!$AE$11,"C",IF(L383&lt;'PlayerGrades+'!$AE$10,"C+",IF(L383&lt;'PlayerGrades+'!$AE$9,"B-",IF(L383&lt;'PlayerGrades+'!$AE$8,"B",IF(L383&lt;'PlayerGrades+'!$AE$7,"B+",IF(L383&lt;'PlayerGrades+'!$AE$6,"A-",IF(L383&lt;'PlayerGrades+'!$AE$5,"A",IF(L383&lt;'PlayerGrades+'!$AE$4,"A+",IF(L383&lt;'PlayerGrades+'!$AE$3,"S-",IF(L383&lt;'PlayerGrades+'!$AE$2,"S","S+"))))))))))))))))))))</f>
        <v>C</v>
      </c>
      <c r="N383" s="937">
        <f t="shared" si="6"/>
        <v>0</v>
      </c>
      <c r="O383" s="937" t="str">
        <f>IF(N383&lt;'PlayerGrades+'!$AF$21,"F-",IF(N383&lt;'PlayerGrades+'!$AF$20,"F",IF(N383&lt;'PlayerGrades+'!$AF$19,"F+",IF(N383&lt;'PlayerGrades+'!$AF$18,"E-",IF(N383&lt;'PlayerGrades+'!$AF$17,"E",IF(N383&lt;'PlayerGrades+'!$AF$16,"E+",IF(N383&lt;'PlayerGrades+'!$AF$15,"D-",IF(N383&lt;'PlayerGrades+'!$AF$14,"D",IF(N383&lt;'PlayerGrades+'!$AF$13,"D+",IF(N383&lt;'PlayerGrades+'!$AF$12,"C-",IF(N383&lt;'PlayerGrades+'!$AF$11,"C",IF(N383&lt;'PlayerGrades+'!$AF$10,"C+",IF(N383&lt;'PlayerGrades+'!$AF$9,"B-",IF(N383&lt;'PlayerGrades+'!$AF$8,"B",IF(N383&lt;'PlayerGrades+'!$AF$7,"B+",IF(N383&lt;'PlayerGrades+'!$AF$6,"A-",IF(N383&lt;'PlayerGrades+'!$AF$5,"A",IF(N383&lt;'PlayerGrades+'!$AF$4,"A+",IF(N383&lt;'PlayerGrades+'!$AF$3,"S-",IF(N383&lt;'PlayerGrades+'!$AF$2,"S","S+"))))))))))))))))))))</f>
        <v>F-</v>
      </c>
      <c r="P383" s="937">
        <f t="shared" si="7"/>
        <v>0</v>
      </c>
      <c r="Q383" s="937" t="str">
        <f>IF(P383&lt;'PlayerGrades+'!$AG$21,"F-",IF(P383&lt;'PlayerGrades+'!$AG$20,"F",IF(P383&lt;'PlayerGrades+'!$AG$19,"F+",IF(P383&lt;'PlayerGrades+'!$AG$18,"E-",IF(P383&lt;'PlayerGrades+'!$AG$17,"E",IF(P383&lt;'PlayerGrades+'!$AG$16,"E+",IF(P383&lt;'PlayerGrades+'!$AG$15,"D-",IF(P383&lt;'PlayerGrades+'!$AG$14,"D",IF(P383&lt;'PlayerGrades+'!$AG$13,"D+",IF(P383&lt;'PlayerGrades+'!$AG$12,"C-",IF(P383&lt;'PlayerGrades+'!$AG$11,"C",IF(P383&lt;'PlayerGrades+'!$AG$10,"C+",IF(P383&lt;'PlayerGrades+'!$AG$9,"B-",IF(P383&lt;'PlayerGrades+'!$AG$8,"B",IF(P383&lt;'PlayerGrades+'!$AG$7,"B+",IF(P383&lt;'PlayerGrades+'!$AG$6,"A-",IF(P383&lt;'PlayerGrades+'!$AG$5,"A",IF(P383&lt;'PlayerGrades+'!$AG$4,"A+",IF(P383&lt;'PlayerGrades+'!$AG$3,"S-",IF(P383&lt;'PlayerGrades+'!$AG$2,"S","S+"))))))))))))))))))))</f>
        <v>F</v>
      </c>
      <c r="R383" s="937">
        <f t="shared" si="8"/>
        <v>0.5033557047</v>
      </c>
      <c r="S383" s="937" t="str">
        <f>IF(R383&lt;'PlayerGrades+'!$AH$21,"F-",IF(R383&lt;'PlayerGrades+'!$AH$20,"F",IF(R383&lt;'PlayerGrades+'!$AH$19,"F+",IF(R383&lt;'PlayerGrades+'!$AH$18,"E-",IF(R383&lt;'PlayerGrades+'!$AH$17,"E",IF(R383&lt;'PlayerGrades+'!$AH$16,"E+",IF(R383&lt;'PlayerGrades+'!$AH$15,"D-",IF(R383&lt;'PlayerGrades+'!$AH$14,"D",IF(R383&lt;'PlayerGrades+'!$AH$13,"D+",IF(R383&lt;'PlayerGrades+'!$AH$12,"C-",IF(R383&lt;'PlayerGrades+'!$AH$11,"C",IF(R383&lt;'PlayerGrades+'!$AH$10,"C+",IF(R383&lt;'PlayerGrades+'!$AH$9,"B-",IF(R383&lt;'PlayerGrades+'!$AH$8,"B",IF(R383&lt;'PlayerGrades+'!$AH$7,"B+",IF(R383&lt;'PlayerGrades+'!$AH$6,"A-",IF(R383&lt;'PlayerGrades+'!$AH$5,"A",IF(R383&lt;'PlayerGrades+'!$AH$4,"A+",IF(R383&lt;'PlayerGrades+'!$AH$3,"S-",IF(R383&lt;'PlayerGrades+'!$AH$2,"S","S+"))))))))))))))))))))</f>
        <v>D-</v>
      </c>
      <c r="T383" s="937">
        <f t="shared" si="9"/>
        <v>1.302013423</v>
      </c>
      <c r="U383" s="937" t="str">
        <f>IF(T383&lt;'PlayerGrades+'!$AI$21,"F-",IF(T383&lt;'PlayerGrades+'!$AI$20,"F",IF(T383&lt;'PlayerGrades+'!$AI$19,"F+",IF(T383&lt;'PlayerGrades+'!$AI$18,"E-",IF(T383&lt;'PlayerGrades+'!$AI$17,"E",IF(T383&lt;'PlayerGrades+'!$AI$16,"E+",IF(T383&lt;'PlayerGrades+'!$AI$15,"D-",IF(T383&lt;'PlayerGrades+'!$AI$14,"D",IF(T383&lt;'PlayerGrades+'!$AI$13,"D+",IF(T383&lt;'PlayerGrades+'!$AI$12,"C-",IF(T383&lt;'PlayerGrades+'!$AI$11,"C",IF(T383&lt;'PlayerGrades+'!$AI$10,"C+",IF(T383&lt;'PlayerGrades+'!$AI$9,"B-",IF(T383&lt;'PlayerGrades+'!$AI$8,"B",IF(T383&lt;'PlayerGrades+'!$AI$7,"B+",IF(T383&lt;'PlayerGrades+'!$AI$6,"A-",IF(T383&lt;'PlayerGrades+'!$AI$5,"A",IF(T383&lt;'PlayerGrades+'!$AI$4,"A+",IF(T383&lt;'PlayerGrades+'!$AI$3,"S-",IF(T383&lt;'PlayerGrades+'!$AI$2,"S","S+"))))))))))))))))))))</f>
        <v>C+</v>
      </c>
      <c r="V383" s="941">
        <v>1.0</v>
      </c>
      <c r="W383" s="941">
        <v>0.0</v>
      </c>
      <c r="X383" s="941">
        <v>1.0</v>
      </c>
      <c r="Y383" s="941">
        <v>0.0</v>
      </c>
      <c r="Z383" s="941">
        <v>0.0</v>
      </c>
      <c r="AA383" s="941">
        <v>29.0</v>
      </c>
      <c r="AB383" s="941">
        <v>48.0</v>
      </c>
      <c r="AC383" s="941">
        <v>-19.0</v>
      </c>
      <c r="AD383" s="941">
        <v>1.0</v>
      </c>
      <c r="AE383" s="941">
        <v>2.0</v>
      </c>
      <c r="AF383" s="941">
        <v>1.0</v>
      </c>
      <c r="AG383" s="941">
        <v>389.0</v>
      </c>
      <c r="AH383" s="941">
        <v>596.0</v>
      </c>
      <c r="AI383" s="941">
        <v>8.0</v>
      </c>
      <c r="AJ383" s="941">
        <v>0.0</v>
      </c>
      <c r="AK383" s="941">
        <v>0.0</v>
      </c>
      <c r="AL383" s="941">
        <v>0.0</v>
      </c>
      <c r="AM383" s="941">
        <v>0.0</v>
      </c>
      <c r="AN383" s="941">
        <v>0.0</v>
      </c>
      <c r="AO383" s="941">
        <v>0.0</v>
      </c>
      <c r="AP383" s="941">
        <v>0.0</v>
      </c>
      <c r="AQ383" s="941">
        <v>0.0</v>
      </c>
      <c r="AR383" s="941">
        <v>4.0</v>
      </c>
      <c r="AS383" s="941">
        <v>0.0</v>
      </c>
      <c r="AT383" s="941">
        <v>0.0</v>
      </c>
      <c r="AU383" s="941">
        <v>0.0</v>
      </c>
      <c r="AV383" s="941">
        <v>0.0</v>
      </c>
      <c r="AW383" s="941">
        <v>0.0</v>
      </c>
      <c r="AX383" s="941">
        <v>0.0</v>
      </c>
      <c r="AY383" s="941">
        <v>0.0</v>
      </c>
      <c r="AZ383" s="941">
        <v>0.0</v>
      </c>
      <c r="BA383" s="941">
        <v>0.0</v>
      </c>
      <c r="BB383" s="941">
        <v>0.0</v>
      </c>
      <c r="BC383" s="941">
        <v>0.0</v>
      </c>
      <c r="BD383" s="941">
        <v>4.0</v>
      </c>
      <c r="BE383" s="941">
        <v>3.0</v>
      </c>
      <c r="BF383" s="941">
        <v>1.0</v>
      </c>
      <c r="BG383" s="942">
        <v>1.0</v>
      </c>
    </row>
    <row r="384">
      <c r="A384" s="935" t="s">
        <v>137</v>
      </c>
      <c r="B384" s="16" t="str">
        <f>IF(C384&lt;'PlayerGrades+'!$Y$44,"F-",IF(C384&lt;'PlayerGrades+'!$Y$43,"F",IF(C384&lt;'PlayerGrades+'!$Y$42,"F+",IF(C384&lt;'PlayerGrades+'!$Y$41,"E-",IF(C384&lt;'PlayerGrades+'!$Y$40,"E",IF(C384&lt;'PlayerGrades+'!$Y$39,"E+",IF(C384&lt;'PlayerGrades+'!$Y$38,"D-",IF(C384&lt;'PlayerGrades+'!$Y$37,"D",IF(C384&lt;'PlayerGrades+'!$Y$36,"D+",IF(C384&lt;'PlayerGrades+'!$Y$35,"C-",IF(C384&lt;'PlayerGrades+'!$Y$34,"C",IF(C384&lt;'PlayerGrades+'!$Y$33,"C+",IF(C384&lt;'PlayerGrades+'!$Y$32,"B-",IF(C384&lt;'PlayerGrades+'!$Y$31,"B",IF(C384&lt;'PlayerGrades+'!$Y$30,"B+",IF(C384&lt;'PlayerGrades+'!$Y$29,"A-",IF(C384&lt;'PlayerGrades+'!$Y$28,"A",IF(C384&lt;'PlayerGrades+'!$Y$27,"A+",IF(C384&lt;'PlayerGrades+'!$Y$26,"S-",IF(C384&lt;'PlayerGrades+'!$Y$25,"S","S+"))))))))))))))))))))</f>
        <v>D-</v>
      </c>
      <c r="C384" s="936">
        <f>('PlayerGrades+'!$Y$47*(VLOOKUP(E384, 'PlayerGrades+'!$X$3:$Y$23, 2, FALSE)))+('PlayerGrades+'!$Y$48*(VLOOKUP(G384, 'PlayerGrades+'!$X$3:$Y$23, 2, FALSE)))+('PlayerGrades+'!$Y$49*(VLOOKUP(I384, 'PlayerGrades+'!$X$3:$Y$23, 2, FALSE)))+('PlayerGrades+'!$Y$50*(VLOOKUP(K384, 'PlayerGrades+'!$X$3:$Y$23, 2, FALSE)))+('PlayerGrades+'!$Y$51*(VLOOKUP(M384, 'PlayerGrades+'!$X$3:$Y$23, 2, FALSE)))+('PlayerGrades+'!$Y$52*(VLOOKUP(O384, 'PlayerGrades+'!$X$3:$Y$23, 2, FALSE)))+('PlayerGrades+'!$Y$53*(VLOOKUP(Q384, 'PlayerGrades+'!$X$3:$Y$23, 2, FALSE)))+('PlayerGrades+'!$Y$54*(VLOOKUP(S384, 'PlayerGrades+'!$X$3:$Y$23, 2, FALSE)))+('PlayerGrades+'!$Y$55*(VLOOKUP(U384, 'PlayerGrades+'!$X$3:$Y$23, 2, FALSE)))</f>
        <v>14.75</v>
      </c>
      <c r="D384" s="937">
        <f t="shared" si="1"/>
        <v>0.1006711409</v>
      </c>
      <c r="E384" s="937" t="str">
        <f>IF(D384&lt;'PlayerGrades+'!$AA$21,"F-",IF(D384&lt;'PlayerGrades+'!$AA$20,"F",IF(D384&lt;'PlayerGrades+'!$AA$19,"F+",IF(D384&lt;'PlayerGrades+'!$AA$18,"E-",IF(D384&lt;'PlayerGrades+'!$AA$17,"E",IF(D384&lt;'PlayerGrades+'!$AA$16,"E+",IF(D384&lt;'PlayerGrades+'!$AA$15,"D-",IF(D384&lt;'PlayerGrades+'!$AA$14,"D",IF(D384&lt;'PlayerGrades+'!$AA$13,"D+",IF(D384&lt;'PlayerGrades+'!$AA$12,"C-",IF(D384&lt;'PlayerGrades+'!$AA$11,"C",IF(D384&lt;'PlayerGrades+'!$AA$10,"C+",IF(D384&lt;'PlayerGrades+'!$AA$9,"B-",IF(D384&lt;'PlayerGrades+'!$AA$8,"B",IF(D384&lt;'PlayerGrades+'!$AA$7,"B+",IF(D384&lt;'PlayerGrades+'!$AA$6,"A-",IF(D384&lt;'PlayerGrades+'!$AA$5,"A",IF(D384&lt;'PlayerGrades+'!$AA$4,"A+",IF(D384&lt;'PlayerGrades+'!$AA$3,"S-",IF(D384&lt;'PlayerGrades+'!$AA$2,"S","S+"))))))))))))))))))))</f>
        <v>B</v>
      </c>
      <c r="F384" s="937">
        <f t="shared" si="2"/>
        <v>-0.7046979866</v>
      </c>
      <c r="G384" s="937" t="str">
        <f>IF(F384&lt;'PlayerGrades+'!$AB$21,"F-",IF(F384&lt;'PlayerGrades+'!$AB$20,"F",IF(F384&lt;'PlayerGrades+'!$AB$19,"F+",IF(F384&lt;'PlayerGrades+'!$AB$18,"E-",IF(F384&lt;'PlayerGrades+'!$AB$17,"E",IF(F384&lt;'PlayerGrades+'!$AB$16,"E+",IF(F384&lt;'PlayerGrades+'!$AB$15,"D-",IF(F384&lt;'PlayerGrades+'!$AB$14,"D",IF(F384&lt;'PlayerGrades+'!$AB$13,"D+",IF(F384&lt;'PlayerGrades+'!$AB$12,"C-",IF(F384&lt;'PlayerGrades+'!$AB$11,"C",IF(F384&lt;'PlayerGrades+'!$AB$10,"C+",IF(F384&lt;'PlayerGrades+'!$AB$9,"B-",IF(F384&lt;'PlayerGrades+'!$AB$8,"B",IF(F384&lt;'PlayerGrades+'!$AB$7,"B+",IF(F384&lt;'PlayerGrades+'!$AB$6,"A-",IF(F384&lt;'PlayerGrades+'!$AB$5,"A",IF(F384&lt;'PlayerGrades+'!$AB$4,"A+",IF(F384&lt;'PlayerGrades+'!$AB$3,"S-",IF(F384&lt;'PlayerGrades+'!$AB$2,"S","S+"))))))))))))))))))))</f>
        <v>E+</v>
      </c>
      <c r="H384" s="937">
        <f t="shared" si="3"/>
        <v>0.2013422819</v>
      </c>
      <c r="I384" s="937" t="str">
        <f>IF(H384&lt;'PlayerGrades+'!$AC$21,"F-",IF(H384&lt;'PlayerGrades+'!$AC$20,"F",IF(H384&lt;'PlayerGrades+'!$AC$19,"F+",IF(H384&lt;'PlayerGrades+'!$AC$18,"E-",IF(H384&lt;'PlayerGrades+'!$AC$17,"E",IF(H384&lt;'PlayerGrades+'!$AC$16,"E+",IF(H384&lt;'PlayerGrades+'!$AC$15,"D-",IF(H384&lt;'PlayerGrades+'!$AC$14,"D",IF(H384&lt;'PlayerGrades+'!$AC$13,"D+",IF(H384&lt;'PlayerGrades+'!$AC$12,"C-",IF(H384&lt;'PlayerGrades+'!$AC$11,"C",IF(H384&lt;'PlayerGrades+'!$AC$10,"C+",IF(H384&lt;'PlayerGrades+'!$AC$9,"B-",IF(H384&lt;'PlayerGrades+'!$AC$8,"B",IF(H384&lt;'PlayerGrades+'!$AC$7,"B+",IF(H384&lt;'PlayerGrades+'!$AC$6,"A-",IF(H384&lt;'PlayerGrades+'!$AC$5,"A",IF(H384&lt;'PlayerGrades+'!$AC$4,"A+",IF(H384&lt;'PlayerGrades+'!$AC$3,"S-",IF(H384&lt;'PlayerGrades+'!$AC$2,"S","S+"))))))))))))))))))))</f>
        <v>S</v>
      </c>
      <c r="J384" s="937">
        <f t="shared" si="4"/>
        <v>0</v>
      </c>
      <c r="K384" s="937" t="str">
        <f>IF(J384&lt;'PlayerGrades+'!$AD$21,"F-",IF(J384&lt;'PlayerGrades+'!$AD$20,"F",IF(J384&lt;'PlayerGrades+'!$AD$19,"F+",IF(J384&lt;'PlayerGrades+'!$AD$18,"E-",IF(J384&lt;'PlayerGrades+'!$AD$17,"E",IF(J384&lt;'PlayerGrades+'!$AD$16,"E+",IF(J384&lt;'PlayerGrades+'!$AD$15,"D-",IF(J384&lt;'PlayerGrades+'!$AD$14,"D",IF(J384&lt;'PlayerGrades+'!$AD$13,"D+",IF(J384&lt;'PlayerGrades+'!$AD$12,"C-",IF(J384&lt;'PlayerGrades+'!$AD$11,"C",IF(J384&lt;'PlayerGrades+'!$AD$10,"C+",IF(J384&lt;'PlayerGrades+'!$AD$9,"B-",IF(J384&lt;'PlayerGrades+'!$AD$8,"B",IF(J384&lt;'PlayerGrades+'!$AD$7,"B+",IF(J384&lt;'PlayerGrades+'!$AD$6,"A-",IF(J384&lt;'PlayerGrades+'!$AD$5,"A",IF(J384&lt;'PlayerGrades+'!$AD$4,"A+",IF(J384&lt;'PlayerGrades+'!$AD$3,"S-",IF(J384&lt;'PlayerGrades+'!$AD$2,"S","S+"))))))))))))))))))))</f>
        <v>F-</v>
      </c>
      <c r="L384" s="677">
        <f t="shared" si="5"/>
        <v>0.4026845638</v>
      </c>
      <c r="M384" s="938" t="str">
        <f>IF(L384&lt;'PlayerGrades+'!$AE$21,"F-",IF(L384&lt;'PlayerGrades+'!$AE$20,"F",IF(L384&lt;'PlayerGrades+'!$AE$19,"F+",IF(L384&lt;'PlayerGrades+'!$AE$18,"E-",IF(L384&lt;'PlayerGrades+'!$AE$17,"E",IF(L384&lt;'PlayerGrades+'!$AE$16,"E+",IF(L384&lt;'PlayerGrades+'!$AE$15,"D-",IF(L384&lt;'PlayerGrades+'!$AE$14,"D",IF(L384&lt;'PlayerGrades+'!$AE$13,"D+",IF(L384&lt;'PlayerGrades+'!$AE$12,"C-",IF(L384&lt;'PlayerGrades+'!$AE$11,"C",IF(L384&lt;'PlayerGrades+'!$AE$10,"C+",IF(L384&lt;'PlayerGrades+'!$AE$9,"B-",IF(L384&lt;'PlayerGrades+'!$AE$8,"B",IF(L384&lt;'PlayerGrades+'!$AE$7,"B+",IF(L384&lt;'PlayerGrades+'!$AE$6,"A-",IF(L384&lt;'PlayerGrades+'!$AE$5,"A",IF(L384&lt;'PlayerGrades+'!$AE$4,"A+",IF(L384&lt;'PlayerGrades+'!$AE$3,"S-",IF(L384&lt;'PlayerGrades+'!$AE$2,"S","S+"))))))))))))))))))))</f>
        <v>C</v>
      </c>
      <c r="N384" s="937">
        <f t="shared" si="6"/>
        <v>0</v>
      </c>
      <c r="O384" s="937" t="str">
        <f>IF(N384&lt;'PlayerGrades+'!$AF$21,"F-",IF(N384&lt;'PlayerGrades+'!$AF$20,"F",IF(N384&lt;'PlayerGrades+'!$AF$19,"F+",IF(N384&lt;'PlayerGrades+'!$AF$18,"E-",IF(N384&lt;'PlayerGrades+'!$AF$17,"E",IF(N384&lt;'PlayerGrades+'!$AF$16,"E+",IF(N384&lt;'PlayerGrades+'!$AF$15,"D-",IF(N384&lt;'PlayerGrades+'!$AF$14,"D",IF(N384&lt;'PlayerGrades+'!$AF$13,"D+",IF(N384&lt;'PlayerGrades+'!$AF$12,"C-",IF(N384&lt;'PlayerGrades+'!$AF$11,"C",IF(N384&lt;'PlayerGrades+'!$AF$10,"C+",IF(N384&lt;'PlayerGrades+'!$AF$9,"B-",IF(N384&lt;'PlayerGrades+'!$AF$8,"B",IF(N384&lt;'PlayerGrades+'!$AF$7,"B+",IF(N384&lt;'PlayerGrades+'!$AF$6,"A-",IF(N384&lt;'PlayerGrades+'!$AF$5,"A",IF(N384&lt;'PlayerGrades+'!$AF$4,"A+",IF(N384&lt;'PlayerGrades+'!$AF$3,"S-",IF(N384&lt;'PlayerGrades+'!$AF$2,"S","S+"))))))))))))))))))))</f>
        <v>F-</v>
      </c>
      <c r="P384" s="937">
        <f t="shared" si="7"/>
        <v>0</v>
      </c>
      <c r="Q384" s="937" t="str">
        <f>IF(P384&lt;'PlayerGrades+'!$AG$21,"F-",IF(P384&lt;'PlayerGrades+'!$AG$20,"F",IF(P384&lt;'PlayerGrades+'!$AG$19,"F+",IF(P384&lt;'PlayerGrades+'!$AG$18,"E-",IF(P384&lt;'PlayerGrades+'!$AG$17,"E",IF(P384&lt;'PlayerGrades+'!$AG$16,"E+",IF(P384&lt;'PlayerGrades+'!$AG$15,"D-",IF(P384&lt;'PlayerGrades+'!$AG$14,"D",IF(P384&lt;'PlayerGrades+'!$AG$13,"D+",IF(P384&lt;'PlayerGrades+'!$AG$12,"C-",IF(P384&lt;'PlayerGrades+'!$AG$11,"C",IF(P384&lt;'PlayerGrades+'!$AG$10,"C+",IF(P384&lt;'PlayerGrades+'!$AG$9,"B-",IF(P384&lt;'PlayerGrades+'!$AG$8,"B",IF(P384&lt;'PlayerGrades+'!$AG$7,"B+",IF(P384&lt;'PlayerGrades+'!$AG$6,"A-",IF(P384&lt;'PlayerGrades+'!$AG$5,"A",IF(P384&lt;'PlayerGrades+'!$AG$4,"A+",IF(P384&lt;'PlayerGrades+'!$AG$3,"S-",IF(P384&lt;'PlayerGrades+'!$AG$2,"S","S+"))))))))))))))))))))</f>
        <v>F</v>
      </c>
      <c r="R384" s="937">
        <f t="shared" si="8"/>
        <v>0.5033557047</v>
      </c>
      <c r="S384" s="937" t="str">
        <f>IF(R384&lt;'PlayerGrades+'!$AH$21,"F-",IF(R384&lt;'PlayerGrades+'!$AH$20,"F",IF(R384&lt;'PlayerGrades+'!$AH$19,"F+",IF(R384&lt;'PlayerGrades+'!$AH$18,"E-",IF(R384&lt;'PlayerGrades+'!$AH$17,"E",IF(R384&lt;'PlayerGrades+'!$AH$16,"E+",IF(R384&lt;'PlayerGrades+'!$AH$15,"D-",IF(R384&lt;'PlayerGrades+'!$AH$14,"D",IF(R384&lt;'PlayerGrades+'!$AH$13,"D+",IF(R384&lt;'PlayerGrades+'!$AH$12,"C-",IF(R384&lt;'PlayerGrades+'!$AH$11,"C",IF(R384&lt;'PlayerGrades+'!$AH$10,"C+",IF(R384&lt;'PlayerGrades+'!$AH$9,"B-",IF(R384&lt;'PlayerGrades+'!$AH$8,"B",IF(R384&lt;'PlayerGrades+'!$AH$7,"B+",IF(R384&lt;'PlayerGrades+'!$AH$6,"A-",IF(R384&lt;'PlayerGrades+'!$AH$5,"A",IF(R384&lt;'PlayerGrades+'!$AH$4,"A+",IF(R384&lt;'PlayerGrades+'!$AH$3,"S-",IF(R384&lt;'PlayerGrades+'!$AH$2,"S","S+"))))))))))))))))))))</f>
        <v>D-</v>
      </c>
      <c r="T384" s="937">
        <f t="shared" si="9"/>
        <v>0.7046979866</v>
      </c>
      <c r="U384" s="937" t="str">
        <f>IF(T384&lt;'PlayerGrades+'!$AI$21,"F-",IF(T384&lt;'PlayerGrades+'!$AI$20,"F",IF(T384&lt;'PlayerGrades+'!$AI$19,"F+",IF(T384&lt;'PlayerGrades+'!$AI$18,"E-",IF(T384&lt;'PlayerGrades+'!$AI$17,"E",IF(T384&lt;'PlayerGrades+'!$AI$16,"E+",IF(T384&lt;'PlayerGrades+'!$AI$15,"D-",IF(T384&lt;'PlayerGrades+'!$AI$14,"D",IF(T384&lt;'PlayerGrades+'!$AI$13,"D+",IF(T384&lt;'PlayerGrades+'!$AI$12,"C-",IF(T384&lt;'PlayerGrades+'!$AI$11,"C",IF(T384&lt;'PlayerGrades+'!$AI$10,"C+",IF(T384&lt;'PlayerGrades+'!$AI$9,"B-",IF(T384&lt;'PlayerGrades+'!$AI$8,"B",IF(T384&lt;'PlayerGrades+'!$AI$7,"B+",IF(T384&lt;'PlayerGrades+'!$AI$6,"A-",IF(T384&lt;'PlayerGrades+'!$AI$5,"A",IF(T384&lt;'PlayerGrades+'!$AI$4,"A+",IF(T384&lt;'PlayerGrades+'!$AI$3,"S-",IF(T384&lt;'PlayerGrades+'!$AI$2,"S","S+"))))))))))))))))))))</f>
        <v>F</v>
      </c>
      <c r="V384" s="941">
        <v>1.0</v>
      </c>
      <c r="W384" s="941">
        <v>0.0</v>
      </c>
      <c r="X384" s="941">
        <v>1.0</v>
      </c>
      <c r="Y384" s="941">
        <v>0.0</v>
      </c>
      <c r="Z384" s="941">
        <v>1.0</v>
      </c>
      <c r="AA384" s="941">
        <v>27.0</v>
      </c>
      <c r="AB384" s="941">
        <v>34.0</v>
      </c>
      <c r="AC384" s="941">
        <v>-7.0</v>
      </c>
      <c r="AD384" s="941">
        <v>0.0</v>
      </c>
      <c r="AE384" s="941">
        <v>4.0</v>
      </c>
      <c r="AF384" s="941">
        <v>2.0</v>
      </c>
      <c r="AG384" s="941">
        <v>432.0</v>
      </c>
      <c r="AH384" s="941">
        <v>596.0</v>
      </c>
      <c r="AI384" s="941">
        <v>12.0</v>
      </c>
      <c r="AJ384" s="941">
        <v>4.0</v>
      </c>
      <c r="AK384" s="941">
        <v>0.0</v>
      </c>
      <c r="AL384" s="941">
        <v>0.0</v>
      </c>
      <c r="AM384" s="941">
        <v>0.0</v>
      </c>
      <c r="AN384" s="941">
        <v>0.0</v>
      </c>
      <c r="AO384" s="941">
        <v>0.0</v>
      </c>
      <c r="AP384" s="941">
        <v>0.0</v>
      </c>
      <c r="AQ384" s="941">
        <v>0.0</v>
      </c>
      <c r="AR384" s="941">
        <v>4.0</v>
      </c>
      <c r="AS384" s="941">
        <v>0.0</v>
      </c>
      <c r="AT384" s="941">
        <v>0.0</v>
      </c>
      <c r="AU384" s="941">
        <v>0.0</v>
      </c>
      <c r="AV384" s="941">
        <v>0.0</v>
      </c>
      <c r="AW384" s="941">
        <v>0.0</v>
      </c>
      <c r="AX384" s="941">
        <v>0.0</v>
      </c>
      <c r="AY384" s="941">
        <v>0.0</v>
      </c>
      <c r="AZ384" s="941">
        <v>0.0</v>
      </c>
      <c r="BA384" s="941">
        <v>0.0</v>
      </c>
      <c r="BB384" s="941">
        <v>2.0</v>
      </c>
      <c r="BC384" s="941">
        <v>0.0</v>
      </c>
      <c r="BD384" s="941">
        <v>5.0</v>
      </c>
      <c r="BE384" s="941">
        <v>7.0</v>
      </c>
      <c r="BF384" s="941">
        <v>0.0</v>
      </c>
      <c r="BG384" s="942">
        <v>1.0</v>
      </c>
    </row>
    <row r="385">
      <c r="A385" s="943" t="s">
        <v>420</v>
      </c>
      <c r="B385" s="16" t="str">
        <f>IF(C385&lt;'PlayerGrades+'!$Y$44,"F-",IF(C385&lt;'PlayerGrades+'!$Y$43,"F",IF(C385&lt;'PlayerGrades+'!$Y$42,"F+",IF(C385&lt;'PlayerGrades+'!$Y$41,"E-",IF(C385&lt;'PlayerGrades+'!$Y$40,"E",IF(C385&lt;'PlayerGrades+'!$Y$39,"E+",IF(C385&lt;'PlayerGrades+'!$Y$38,"D-",IF(C385&lt;'PlayerGrades+'!$Y$37,"D",IF(C385&lt;'PlayerGrades+'!$Y$36,"D+",IF(C385&lt;'PlayerGrades+'!$Y$35,"C-",IF(C385&lt;'PlayerGrades+'!$Y$34,"C",IF(C385&lt;'PlayerGrades+'!$Y$33,"C+",IF(C385&lt;'PlayerGrades+'!$Y$32,"B-",IF(C385&lt;'PlayerGrades+'!$Y$31,"B",IF(C385&lt;'PlayerGrades+'!$Y$30,"B+",IF(C385&lt;'PlayerGrades+'!$Y$29,"A-",IF(C385&lt;'PlayerGrades+'!$Y$28,"A",IF(C385&lt;'PlayerGrades+'!$Y$27,"A+",IF(C385&lt;'PlayerGrades+'!$Y$26,"S-",IF(C385&lt;'PlayerGrades+'!$Y$25,"S","S+"))))))))))))))))))))</f>
        <v>D</v>
      </c>
      <c r="C385" s="936">
        <f>('PlayerGrades+'!$Y$47*(VLOOKUP(E385, 'PlayerGrades+'!$X$3:$Y$23, 2, FALSE)))+('PlayerGrades+'!$Y$48*(VLOOKUP(G385, 'PlayerGrades+'!$X$3:$Y$23, 2, FALSE)))+('PlayerGrades+'!$Y$49*(VLOOKUP(I385, 'PlayerGrades+'!$X$3:$Y$23, 2, FALSE)))+('PlayerGrades+'!$Y$50*(VLOOKUP(K385, 'PlayerGrades+'!$X$3:$Y$23, 2, FALSE)))+('PlayerGrades+'!$Y$51*(VLOOKUP(M385, 'PlayerGrades+'!$X$3:$Y$23, 2, FALSE)))+('PlayerGrades+'!$Y$52*(VLOOKUP(O385, 'PlayerGrades+'!$X$3:$Y$23, 2, FALSE)))+('PlayerGrades+'!$Y$53*(VLOOKUP(Q385, 'PlayerGrades+'!$X$3:$Y$23, 2, FALSE)))+('PlayerGrades+'!$Y$54*(VLOOKUP(S385, 'PlayerGrades+'!$X$3:$Y$23, 2, FALSE)))+('PlayerGrades+'!$Y$55*(VLOOKUP(U385, 'PlayerGrades+'!$X$3:$Y$23, 2, FALSE)))</f>
        <v>16.9</v>
      </c>
      <c r="D385" s="937">
        <f t="shared" si="1"/>
        <v>0.6040268456</v>
      </c>
      <c r="E385" s="937" t="str">
        <f>IF(D385&lt;'PlayerGrades+'!$AA$21,"F-",IF(D385&lt;'PlayerGrades+'!$AA$20,"F",IF(D385&lt;'PlayerGrades+'!$AA$19,"F+",IF(D385&lt;'PlayerGrades+'!$AA$18,"E-",IF(D385&lt;'PlayerGrades+'!$AA$17,"E",IF(D385&lt;'PlayerGrades+'!$AA$16,"E+",IF(D385&lt;'PlayerGrades+'!$AA$15,"D-",IF(D385&lt;'PlayerGrades+'!$AA$14,"D",IF(D385&lt;'PlayerGrades+'!$AA$13,"D+",IF(D385&lt;'PlayerGrades+'!$AA$12,"C-",IF(D385&lt;'PlayerGrades+'!$AA$11,"C",IF(D385&lt;'PlayerGrades+'!$AA$10,"C+",IF(D385&lt;'PlayerGrades+'!$AA$9,"B-",IF(D385&lt;'PlayerGrades+'!$AA$8,"B",IF(D385&lt;'PlayerGrades+'!$AA$7,"B+",IF(D385&lt;'PlayerGrades+'!$AA$6,"A-",IF(D385&lt;'PlayerGrades+'!$AA$5,"A",IF(D385&lt;'PlayerGrades+'!$AA$4,"A+",IF(D385&lt;'PlayerGrades+'!$AA$3,"S-",IF(D385&lt;'PlayerGrades+'!$AA$2,"S","S+"))))))))))))))))))))</f>
        <v>S-</v>
      </c>
      <c r="F385" s="937">
        <f t="shared" si="2"/>
        <v>0.2013422819</v>
      </c>
      <c r="G385" s="937" t="str">
        <f>IF(F385&lt;'PlayerGrades+'!$AB$21,"F-",IF(F385&lt;'PlayerGrades+'!$AB$20,"F",IF(F385&lt;'PlayerGrades+'!$AB$19,"F+",IF(F385&lt;'PlayerGrades+'!$AB$18,"E-",IF(F385&lt;'PlayerGrades+'!$AB$17,"E",IF(F385&lt;'PlayerGrades+'!$AB$16,"E+",IF(F385&lt;'PlayerGrades+'!$AB$15,"D-",IF(F385&lt;'PlayerGrades+'!$AB$14,"D",IF(F385&lt;'PlayerGrades+'!$AB$13,"D+",IF(F385&lt;'PlayerGrades+'!$AB$12,"C-",IF(F385&lt;'PlayerGrades+'!$AB$11,"C",IF(F385&lt;'PlayerGrades+'!$AB$10,"C+",IF(F385&lt;'PlayerGrades+'!$AB$9,"B-",IF(F385&lt;'PlayerGrades+'!$AB$8,"B",IF(F385&lt;'PlayerGrades+'!$AB$7,"B+",IF(F385&lt;'PlayerGrades+'!$AB$6,"A-",IF(F385&lt;'PlayerGrades+'!$AB$5,"A",IF(F385&lt;'PlayerGrades+'!$AB$4,"A+",IF(F385&lt;'PlayerGrades+'!$AB$3,"S-",IF(F385&lt;'PlayerGrades+'!$AB$2,"S","S+"))))))))))))))))))))</f>
        <v>B+</v>
      </c>
      <c r="H385" s="937">
        <f t="shared" si="3"/>
        <v>0.1006711409</v>
      </c>
      <c r="I385" s="937" t="str">
        <f>IF(H385&lt;'PlayerGrades+'!$AC$21,"F-",IF(H385&lt;'PlayerGrades+'!$AC$20,"F",IF(H385&lt;'PlayerGrades+'!$AC$19,"F+",IF(H385&lt;'PlayerGrades+'!$AC$18,"E-",IF(H385&lt;'PlayerGrades+'!$AC$17,"E",IF(H385&lt;'PlayerGrades+'!$AC$16,"E+",IF(H385&lt;'PlayerGrades+'!$AC$15,"D-",IF(H385&lt;'PlayerGrades+'!$AC$14,"D",IF(H385&lt;'PlayerGrades+'!$AC$13,"D+",IF(H385&lt;'PlayerGrades+'!$AC$12,"C-",IF(H385&lt;'PlayerGrades+'!$AC$11,"C",IF(H385&lt;'PlayerGrades+'!$AC$10,"C+",IF(H385&lt;'PlayerGrades+'!$AC$9,"B-",IF(H385&lt;'PlayerGrades+'!$AC$8,"B",IF(H385&lt;'PlayerGrades+'!$AC$7,"B+",IF(H385&lt;'PlayerGrades+'!$AC$6,"A-",IF(H385&lt;'PlayerGrades+'!$AC$5,"A",IF(H385&lt;'PlayerGrades+'!$AC$4,"A+",IF(H385&lt;'PlayerGrades+'!$AC$3,"S-",IF(H385&lt;'PlayerGrades+'!$AC$2,"S","S+"))))))))))))))))))))</f>
        <v>C-</v>
      </c>
      <c r="J385" s="937">
        <f t="shared" si="4"/>
        <v>0.1006711409</v>
      </c>
      <c r="K385" s="937" t="str">
        <f>IF(J385&lt;'PlayerGrades+'!$AD$21,"F-",IF(J385&lt;'PlayerGrades+'!$AD$20,"F",IF(J385&lt;'PlayerGrades+'!$AD$19,"F+",IF(J385&lt;'PlayerGrades+'!$AD$18,"E-",IF(J385&lt;'PlayerGrades+'!$AD$17,"E",IF(J385&lt;'PlayerGrades+'!$AD$16,"E+",IF(J385&lt;'PlayerGrades+'!$AD$15,"D-",IF(J385&lt;'PlayerGrades+'!$AD$14,"D",IF(J385&lt;'PlayerGrades+'!$AD$13,"D+",IF(J385&lt;'PlayerGrades+'!$AD$12,"C-",IF(J385&lt;'PlayerGrades+'!$AD$11,"C",IF(J385&lt;'PlayerGrades+'!$AD$10,"C+",IF(J385&lt;'PlayerGrades+'!$AD$9,"B-",IF(J385&lt;'PlayerGrades+'!$AD$8,"B",IF(J385&lt;'PlayerGrades+'!$AD$7,"B+",IF(J385&lt;'PlayerGrades+'!$AD$6,"A-",IF(J385&lt;'PlayerGrades+'!$AD$5,"A",IF(J385&lt;'PlayerGrades+'!$AD$4,"A+",IF(J385&lt;'PlayerGrades+'!$AD$3,"S-",IF(J385&lt;'PlayerGrades+'!$AD$2,"S","S+"))))))))))))))))))))</f>
        <v>S</v>
      </c>
      <c r="L385" s="677">
        <f t="shared" si="5"/>
        <v>0.2013422819</v>
      </c>
      <c r="M385" s="938" t="str">
        <f>IF(L385&lt;'PlayerGrades+'!$AE$21,"F-",IF(L385&lt;'PlayerGrades+'!$AE$20,"F",IF(L385&lt;'PlayerGrades+'!$AE$19,"F+",IF(L385&lt;'PlayerGrades+'!$AE$18,"E-",IF(L385&lt;'PlayerGrades+'!$AE$17,"E",IF(L385&lt;'PlayerGrades+'!$AE$16,"E+",IF(L385&lt;'PlayerGrades+'!$AE$15,"D-",IF(L385&lt;'PlayerGrades+'!$AE$14,"D",IF(L385&lt;'PlayerGrades+'!$AE$13,"D+",IF(L385&lt;'PlayerGrades+'!$AE$12,"C-",IF(L385&lt;'PlayerGrades+'!$AE$11,"C",IF(L385&lt;'PlayerGrades+'!$AE$10,"C+",IF(L385&lt;'PlayerGrades+'!$AE$9,"B-",IF(L385&lt;'PlayerGrades+'!$AE$8,"B",IF(L385&lt;'PlayerGrades+'!$AE$7,"B+",IF(L385&lt;'PlayerGrades+'!$AE$6,"A-",IF(L385&lt;'PlayerGrades+'!$AE$5,"A",IF(L385&lt;'PlayerGrades+'!$AE$4,"A+",IF(L385&lt;'PlayerGrades+'!$AE$3,"S-",IF(L385&lt;'PlayerGrades+'!$AE$2,"S","S+"))))))))))))))))))))</f>
        <v>F</v>
      </c>
      <c r="N385" s="937">
        <f t="shared" si="6"/>
        <v>0</v>
      </c>
      <c r="O385" s="937" t="str">
        <f>IF(N385&lt;'PlayerGrades+'!$AF$21,"F-",IF(N385&lt;'PlayerGrades+'!$AF$20,"F",IF(N385&lt;'PlayerGrades+'!$AF$19,"F+",IF(N385&lt;'PlayerGrades+'!$AF$18,"E-",IF(N385&lt;'PlayerGrades+'!$AF$17,"E",IF(N385&lt;'PlayerGrades+'!$AF$16,"E+",IF(N385&lt;'PlayerGrades+'!$AF$15,"D-",IF(N385&lt;'PlayerGrades+'!$AF$14,"D",IF(N385&lt;'PlayerGrades+'!$AF$13,"D+",IF(N385&lt;'PlayerGrades+'!$AF$12,"C-",IF(N385&lt;'PlayerGrades+'!$AF$11,"C",IF(N385&lt;'PlayerGrades+'!$AF$10,"C+",IF(N385&lt;'PlayerGrades+'!$AF$9,"B-",IF(N385&lt;'PlayerGrades+'!$AF$8,"B",IF(N385&lt;'PlayerGrades+'!$AF$7,"B+",IF(N385&lt;'PlayerGrades+'!$AF$6,"A-",IF(N385&lt;'PlayerGrades+'!$AF$5,"A",IF(N385&lt;'PlayerGrades+'!$AF$4,"A+",IF(N385&lt;'PlayerGrades+'!$AF$3,"S-",IF(N385&lt;'PlayerGrades+'!$AF$2,"S","S+"))))))))))))))))))))</f>
        <v>F-</v>
      </c>
      <c r="P385" s="937">
        <f t="shared" si="7"/>
        <v>0</v>
      </c>
      <c r="Q385" s="937" t="str">
        <f>IF(P385&lt;'PlayerGrades+'!$AG$21,"F-",IF(P385&lt;'PlayerGrades+'!$AG$20,"F",IF(P385&lt;'PlayerGrades+'!$AG$19,"F+",IF(P385&lt;'PlayerGrades+'!$AG$18,"E-",IF(P385&lt;'PlayerGrades+'!$AG$17,"E",IF(P385&lt;'PlayerGrades+'!$AG$16,"E+",IF(P385&lt;'PlayerGrades+'!$AG$15,"D-",IF(P385&lt;'PlayerGrades+'!$AG$14,"D",IF(P385&lt;'PlayerGrades+'!$AG$13,"D+",IF(P385&lt;'PlayerGrades+'!$AG$12,"C-",IF(P385&lt;'PlayerGrades+'!$AG$11,"C",IF(P385&lt;'PlayerGrades+'!$AG$10,"C+",IF(P385&lt;'PlayerGrades+'!$AG$9,"B-",IF(P385&lt;'PlayerGrades+'!$AG$8,"B",IF(P385&lt;'PlayerGrades+'!$AG$7,"B+",IF(P385&lt;'PlayerGrades+'!$AG$6,"A-",IF(P385&lt;'PlayerGrades+'!$AG$5,"A",IF(P385&lt;'PlayerGrades+'!$AG$4,"A+",IF(P385&lt;'PlayerGrades+'!$AG$3,"S-",IF(P385&lt;'PlayerGrades+'!$AG$2,"S","S+"))))))))))))))))))))</f>
        <v>F</v>
      </c>
      <c r="R385" s="937">
        <f t="shared" si="8"/>
        <v>0.5033557047</v>
      </c>
      <c r="S385" s="937" t="str">
        <f>IF(R385&lt;'PlayerGrades+'!$AH$21,"F-",IF(R385&lt;'PlayerGrades+'!$AH$20,"F",IF(R385&lt;'PlayerGrades+'!$AH$19,"F+",IF(R385&lt;'PlayerGrades+'!$AH$18,"E-",IF(R385&lt;'PlayerGrades+'!$AH$17,"E",IF(R385&lt;'PlayerGrades+'!$AH$16,"E+",IF(R385&lt;'PlayerGrades+'!$AH$15,"D-",IF(R385&lt;'PlayerGrades+'!$AH$14,"D",IF(R385&lt;'PlayerGrades+'!$AH$13,"D+",IF(R385&lt;'PlayerGrades+'!$AH$12,"C-",IF(R385&lt;'PlayerGrades+'!$AH$11,"C",IF(R385&lt;'PlayerGrades+'!$AH$10,"C+",IF(R385&lt;'PlayerGrades+'!$AH$9,"B-",IF(R385&lt;'PlayerGrades+'!$AH$8,"B",IF(R385&lt;'PlayerGrades+'!$AH$7,"B+",IF(R385&lt;'PlayerGrades+'!$AH$6,"A-",IF(R385&lt;'PlayerGrades+'!$AH$5,"A",IF(R385&lt;'PlayerGrades+'!$AH$4,"A+",IF(R385&lt;'PlayerGrades+'!$AH$3,"S-",IF(R385&lt;'PlayerGrades+'!$AH$2,"S","S+"))))))))))))))))))))</f>
        <v>D-</v>
      </c>
      <c r="T385" s="937">
        <f t="shared" si="9"/>
        <v>1.201342282</v>
      </c>
      <c r="U385" s="937" t="str">
        <f>IF(T385&lt;'PlayerGrades+'!$AI$21,"F-",IF(T385&lt;'PlayerGrades+'!$AI$20,"F",IF(T385&lt;'PlayerGrades+'!$AI$19,"F+",IF(T385&lt;'PlayerGrades+'!$AI$18,"E-",IF(T385&lt;'PlayerGrades+'!$AI$17,"E",IF(T385&lt;'PlayerGrades+'!$AI$16,"E+",IF(T385&lt;'PlayerGrades+'!$AI$15,"D-",IF(T385&lt;'PlayerGrades+'!$AI$14,"D",IF(T385&lt;'PlayerGrades+'!$AI$13,"D+",IF(T385&lt;'PlayerGrades+'!$AI$12,"C-",IF(T385&lt;'PlayerGrades+'!$AI$11,"C",IF(T385&lt;'PlayerGrades+'!$AI$10,"C+",IF(T385&lt;'PlayerGrades+'!$AI$9,"B-",IF(T385&lt;'PlayerGrades+'!$AI$8,"B",IF(T385&lt;'PlayerGrades+'!$AI$7,"B+",IF(T385&lt;'PlayerGrades+'!$AI$6,"A-",IF(T385&lt;'PlayerGrades+'!$AI$5,"A",IF(T385&lt;'PlayerGrades+'!$AI$4,"A+",IF(T385&lt;'PlayerGrades+'!$AI$3,"S-",IF(T385&lt;'PlayerGrades+'!$AI$2,"S","S+"))))))))))))))))))))</f>
        <v>C-</v>
      </c>
      <c r="V385" s="944">
        <v>1.0</v>
      </c>
      <c r="W385" s="944">
        <v>0.0</v>
      </c>
      <c r="X385" s="944">
        <v>1.0</v>
      </c>
      <c r="Y385" s="944">
        <v>0.0</v>
      </c>
      <c r="Z385" s="944">
        <v>6.0</v>
      </c>
      <c r="AA385" s="944">
        <v>20.0</v>
      </c>
      <c r="AB385" s="944">
        <v>18.0</v>
      </c>
      <c r="AC385" s="944">
        <v>2.0</v>
      </c>
      <c r="AD385" s="944">
        <v>2.0</v>
      </c>
      <c r="AE385" s="944">
        <v>6.0</v>
      </c>
      <c r="AF385" s="944">
        <v>3.0</v>
      </c>
      <c r="AG385" s="944">
        <v>476.0</v>
      </c>
      <c r="AH385" s="944">
        <v>596.0</v>
      </c>
      <c r="AI385" s="944">
        <v>26.0</v>
      </c>
      <c r="AJ385" s="944">
        <v>204.0</v>
      </c>
      <c r="AK385" s="944">
        <v>0.0</v>
      </c>
      <c r="AL385" s="944">
        <v>1.0</v>
      </c>
      <c r="AM385" s="944">
        <v>0.0</v>
      </c>
      <c r="AN385" s="944">
        <v>0.0</v>
      </c>
      <c r="AO385" s="944">
        <v>0.0</v>
      </c>
      <c r="AP385" s="944">
        <v>0.0</v>
      </c>
      <c r="AQ385" s="944">
        <v>0.0</v>
      </c>
      <c r="AR385" s="944">
        <v>2.0</v>
      </c>
      <c r="AS385" s="944">
        <v>0.0</v>
      </c>
      <c r="AT385" s="944">
        <v>0.0</v>
      </c>
      <c r="AU385" s="944">
        <v>0.0</v>
      </c>
      <c r="AV385" s="944">
        <v>0.0</v>
      </c>
      <c r="AW385" s="944">
        <v>0.0</v>
      </c>
      <c r="AX385" s="944">
        <v>0.0</v>
      </c>
      <c r="AY385" s="944">
        <v>0.0</v>
      </c>
      <c r="AZ385" s="944">
        <v>0.0</v>
      </c>
      <c r="BA385" s="944">
        <v>0.0</v>
      </c>
      <c r="BB385" s="944">
        <v>1.0</v>
      </c>
      <c r="BC385" s="944">
        <v>0.0</v>
      </c>
      <c r="BD385" s="944">
        <v>3.0</v>
      </c>
      <c r="BE385" s="944">
        <v>2.0</v>
      </c>
      <c r="BF385" s="944">
        <v>1.0</v>
      </c>
      <c r="BG385" s="945">
        <v>1.0</v>
      </c>
    </row>
    <row r="386">
      <c r="A386" s="946" t="s">
        <v>119</v>
      </c>
      <c r="B386" s="16" t="str">
        <f>IF(C386&lt;'PlayerGrades+'!$Y$44,"F-",IF(C386&lt;'PlayerGrades+'!$Y$43,"F",IF(C386&lt;'PlayerGrades+'!$Y$42,"F+",IF(C386&lt;'PlayerGrades+'!$Y$41,"E-",IF(C386&lt;'PlayerGrades+'!$Y$40,"E",IF(C386&lt;'PlayerGrades+'!$Y$39,"E+",IF(C386&lt;'PlayerGrades+'!$Y$38,"D-",IF(C386&lt;'PlayerGrades+'!$Y$37,"D",IF(C386&lt;'PlayerGrades+'!$Y$36,"D+",IF(C386&lt;'PlayerGrades+'!$Y$35,"C-",IF(C386&lt;'PlayerGrades+'!$Y$34,"C",IF(C386&lt;'PlayerGrades+'!$Y$33,"C+",IF(C386&lt;'PlayerGrades+'!$Y$32,"B-",IF(C386&lt;'PlayerGrades+'!$Y$31,"B",IF(C386&lt;'PlayerGrades+'!$Y$30,"B+",IF(C386&lt;'PlayerGrades+'!$Y$29,"A-",IF(C386&lt;'PlayerGrades+'!$Y$28,"A",IF(C386&lt;'PlayerGrades+'!$Y$27,"A+",IF(C386&lt;'PlayerGrades+'!$Y$26,"S-",IF(C386&lt;'PlayerGrades+'!$Y$25,"S","S+"))))))))))))))))))))</f>
        <v>A</v>
      </c>
      <c r="C386" s="936">
        <f>('PlayerGrades+'!$Y$47*(VLOOKUP(E386, 'PlayerGrades+'!$X$3:$Y$23, 2, FALSE)))+('PlayerGrades+'!$Y$48*(VLOOKUP(G386, 'PlayerGrades+'!$X$3:$Y$23, 2, FALSE)))+('PlayerGrades+'!$Y$49*(VLOOKUP(I386, 'PlayerGrades+'!$X$3:$Y$23, 2, FALSE)))+('PlayerGrades+'!$Y$50*(VLOOKUP(K386, 'PlayerGrades+'!$X$3:$Y$23, 2, FALSE)))+('PlayerGrades+'!$Y$51*(VLOOKUP(M386, 'PlayerGrades+'!$X$3:$Y$23, 2, FALSE)))+('PlayerGrades+'!$Y$52*(VLOOKUP(O386, 'PlayerGrades+'!$X$3:$Y$23, 2, FALSE)))+('PlayerGrades+'!$Y$53*(VLOOKUP(Q386, 'PlayerGrades+'!$X$3:$Y$23, 2, FALSE)))+('PlayerGrades+'!$Y$54*(VLOOKUP(S386, 'PlayerGrades+'!$X$3:$Y$23, 2, FALSE)))+('PlayerGrades+'!$Y$55*(VLOOKUP(U386, 'PlayerGrades+'!$X$3:$Y$23, 2, FALSE)))</f>
        <v>26.3</v>
      </c>
      <c r="D386" s="937">
        <f t="shared" si="1"/>
        <v>2.763157895</v>
      </c>
      <c r="E386" s="937" t="str">
        <f>IF(D386&lt;'PlayerGrades+'!$AA$21,"F-",IF(D386&lt;'PlayerGrades+'!$AA$20,"F",IF(D386&lt;'PlayerGrades+'!$AA$19,"F+",IF(D386&lt;'PlayerGrades+'!$AA$18,"E-",IF(D386&lt;'PlayerGrades+'!$AA$17,"E",IF(D386&lt;'PlayerGrades+'!$AA$16,"E+",IF(D386&lt;'PlayerGrades+'!$AA$15,"D-",IF(D386&lt;'PlayerGrades+'!$AA$14,"D",IF(D386&lt;'PlayerGrades+'!$AA$13,"D+",IF(D386&lt;'PlayerGrades+'!$AA$12,"C-",IF(D386&lt;'PlayerGrades+'!$AA$11,"C",IF(D386&lt;'PlayerGrades+'!$AA$10,"C+",IF(D386&lt;'PlayerGrades+'!$AA$9,"B-",IF(D386&lt;'PlayerGrades+'!$AA$8,"B",IF(D386&lt;'PlayerGrades+'!$AA$7,"B+",IF(D386&lt;'PlayerGrades+'!$AA$6,"A-",IF(D386&lt;'PlayerGrades+'!$AA$5,"A",IF(D386&lt;'PlayerGrades+'!$AA$4,"A+",IF(D386&lt;'PlayerGrades+'!$AA$3,"S-",IF(D386&lt;'PlayerGrades+'!$AA$2,"S","S+"))))))))))))))))))))</f>
        <v>S+</v>
      </c>
      <c r="F386" s="937">
        <f t="shared" si="2"/>
        <v>1.973684211</v>
      </c>
      <c r="G386" s="937" t="str">
        <f>IF(F386&lt;'PlayerGrades+'!$AB$21,"F-",IF(F386&lt;'PlayerGrades+'!$AB$20,"F",IF(F386&lt;'PlayerGrades+'!$AB$19,"F+",IF(F386&lt;'PlayerGrades+'!$AB$18,"E-",IF(F386&lt;'PlayerGrades+'!$AB$17,"E",IF(F386&lt;'PlayerGrades+'!$AB$16,"E+",IF(F386&lt;'PlayerGrades+'!$AB$15,"D-",IF(F386&lt;'PlayerGrades+'!$AB$14,"D",IF(F386&lt;'PlayerGrades+'!$AB$13,"D+",IF(F386&lt;'PlayerGrades+'!$AB$12,"C-",IF(F386&lt;'PlayerGrades+'!$AB$11,"C",IF(F386&lt;'PlayerGrades+'!$AB$10,"C+",IF(F386&lt;'PlayerGrades+'!$AB$9,"B-",IF(F386&lt;'PlayerGrades+'!$AB$8,"B",IF(F386&lt;'PlayerGrades+'!$AB$7,"B+",IF(F386&lt;'PlayerGrades+'!$AB$6,"A-",IF(F386&lt;'PlayerGrades+'!$AB$5,"A",IF(F386&lt;'PlayerGrades+'!$AB$4,"A+",IF(F386&lt;'PlayerGrades+'!$AB$3,"S-",IF(F386&lt;'PlayerGrades+'!$AB$2,"S","S+"))))))))))))))))))))</f>
        <v>S+</v>
      </c>
      <c r="H386" s="937">
        <f t="shared" si="3"/>
        <v>0</v>
      </c>
      <c r="I386" s="937" t="str">
        <f>IF(H386&lt;'PlayerGrades+'!$AC$21,"F-",IF(H386&lt;'PlayerGrades+'!$AC$20,"F",IF(H386&lt;'PlayerGrades+'!$AC$19,"F+",IF(H386&lt;'PlayerGrades+'!$AC$18,"E-",IF(H386&lt;'PlayerGrades+'!$AC$17,"E",IF(H386&lt;'PlayerGrades+'!$AC$16,"E+",IF(H386&lt;'PlayerGrades+'!$AC$15,"D-",IF(H386&lt;'PlayerGrades+'!$AC$14,"D",IF(H386&lt;'PlayerGrades+'!$AC$13,"D+",IF(H386&lt;'PlayerGrades+'!$AC$12,"C-",IF(H386&lt;'PlayerGrades+'!$AC$11,"C",IF(H386&lt;'PlayerGrades+'!$AC$10,"C+",IF(H386&lt;'PlayerGrades+'!$AC$9,"B-",IF(H386&lt;'PlayerGrades+'!$AC$8,"B",IF(H386&lt;'PlayerGrades+'!$AC$7,"B+",IF(H386&lt;'PlayerGrades+'!$AC$6,"A-",IF(H386&lt;'PlayerGrades+'!$AC$5,"A",IF(H386&lt;'PlayerGrades+'!$AC$4,"A+",IF(H386&lt;'PlayerGrades+'!$AC$3,"S-",IF(H386&lt;'PlayerGrades+'!$AC$2,"S","S+"))))))))))))))))))))</f>
        <v>F-</v>
      </c>
      <c r="J386" s="937">
        <f t="shared" si="4"/>
        <v>0.1973684211</v>
      </c>
      <c r="K386" s="937" t="str">
        <f>IF(J386&lt;'PlayerGrades+'!$AD$21,"F-",IF(J386&lt;'PlayerGrades+'!$AD$20,"F",IF(J386&lt;'PlayerGrades+'!$AD$19,"F+",IF(J386&lt;'PlayerGrades+'!$AD$18,"E-",IF(J386&lt;'PlayerGrades+'!$AD$17,"E",IF(J386&lt;'PlayerGrades+'!$AD$16,"E+",IF(J386&lt;'PlayerGrades+'!$AD$15,"D-",IF(J386&lt;'PlayerGrades+'!$AD$14,"D",IF(J386&lt;'PlayerGrades+'!$AD$13,"D+",IF(J386&lt;'PlayerGrades+'!$AD$12,"C-",IF(J386&lt;'PlayerGrades+'!$AD$11,"C",IF(J386&lt;'PlayerGrades+'!$AD$10,"C+",IF(J386&lt;'PlayerGrades+'!$AD$9,"B-",IF(J386&lt;'PlayerGrades+'!$AD$8,"B",IF(J386&lt;'PlayerGrades+'!$AD$7,"B+",IF(J386&lt;'PlayerGrades+'!$AD$6,"A-",IF(J386&lt;'PlayerGrades+'!$AD$5,"A",IF(J386&lt;'PlayerGrades+'!$AD$4,"A+",IF(J386&lt;'PlayerGrades+'!$AD$3,"S-",IF(J386&lt;'PlayerGrades+'!$AD$2,"S","S+"))))))))))))))))))))</f>
        <v>S+</v>
      </c>
      <c r="L386" s="677">
        <f t="shared" si="5"/>
        <v>0.3947368421</v>
      </c>
      <c r="M386" s="938" t="str">
        <f>IF(L386&lt;'PlayerGrades+'!$AE$21,"F-",IF(L386&lt;'PlayerGrades+'!$AE$20,"F",IF(L386&lt;'PlayerGrades+'!$AE$19,"F+",IF(L386&lt;'PlayerGrades+'!$AE$18,"E-",IF(L386&lt;'PlayerGrades+'!$AE$17,"E",IF(L386&lt;'PlayerGrades+'!$AE$16,"E+",IF(L386&lt;'PlayerGrades+'!$AE$15,"D-",IF(L386&lt;'PlayerGrades+'!$AE$14,"D",IF(L386&lt;'PlayerGrades+'!$AE$13,"D+",IF(L386&lt;'PlayerGrades+'!$AE$12,"C-",IF(L386&lt;'PlayerGrades+'!$AE$11,"C",IF(L386&lt;'PlayerGrades+'!$AE$10,"C+",IF(L386&lt;'PlayerGrades+'!$AE$9,"B-",IF(L386&lt;'PlayerGrades+'!$AE$8,"B",IF(L386&lt;'PlayerGrades+'!$AE$7,"B+",IF(L386&lt;'PlayerGrades+'!$AE$6,"A-",IF(L386&lt;'PlayerGrades+'!$AE$5,"A",IF(L386&lt;'PlayerGrades+'!$AE$4,"A+",IF(L386&lt;'PlayerGrades+'!$AE$3,"S-",IF(L386&lt;'PlayerGrades+'!$AE$2,"S","S+"))))))))))))))))))))</f>
        <v>C</v>
      </c>
      <c r="N386" s="937">
        <f t="shared" si="6"/>
        <v>0.09868421053</v>
      </c>
      <c r="O386" s="937" t="str">
        <f>IF(N386&lt;'PlayerGrades+'!$AF$21,"F-",IF(N386&lt;'PlayerGrades+'!$AF$20,"F",IF(N386&lt;'PlayerGrades+'!$AF$19,"F+",IF(N386&lt;'PlayerGrades+'!$AF$18,"E-",IF(N386&lt;'PlayerGrades+'!$AF$17,"E",IF(N386&lt;'PlayerGrades+'!$AF$16,"E+",IF(N386&lt;'PlayerGrades+'!$AF$15,"D-",IF(N386&lt;'PlayerGrades+'!$AF$14,"D",IF(N386&lt;'PlayerGrades+'!$AF$13,"D+",IF(N386&lt;'PlayerGrades+'!$AF$12,"C-",IF(N386&lt;'PlayerGrades+'!$AF$11,"C",IF(N386&lt;'PlayerGrades+'!$AF$10,"C+",IF(N386&lt;'PlayerGrades+'!$AF$9,"B-",IF(N386&lt;'PlayerGrades+'!$AF$8,"B",IF(N386&lt;'PlayerGrades+'!$AF$7,"B+",IF(N386&lt;'PlayerGrades+'!$AF$6,"A-",IF(N386&lt;'PlayerGrades+'!$AF$5,"A",IF(N386&lt;'PlayerGrades+'!$AF$4,"A+",IF(N386&lt;'PlayerGrades+'!$AF$3,"S-",IF(N386&lt;'PlayerGrades+'!$AF$2,"S","S+"))))))))))))))))))))</f>
        <v>A-</v>
      </c>
      <c r="P386" s="937">
        <f t="shared" si="7"/>
        <v>0</v>
      </c>
      <c r="Q386" s="937" t="str">
        <f>IF(P386&lt;'PlayerGrades+'!$AG$21,"F-",IF(P386&lt;'PlayerGrades+'!$AG$20,"F",IF(P386&lt;'PlayerGrades+'!$AG$19,"F+",IF(P386&lt;'PlayerGrades+'!$AG$18,"E-",IF(P386&lt;'PlayerGrades+'!$AG$17,"E",IF(P386&lt;'PlayerGrades+'!$AG$16,"E+",IF(P386&lt;'PlayerGrades+'!$AG$15,"D-",IF(P386&lt;'PlayerGrades+'!$AG$14,"D",IF(P386&lt;'PlayerGrades+'!$AG$13,"D+",IF(P386&lt;'PlayerGrades+'!$AG$12,"C-",IF(P386&lt;'PlayerGrades+'!$AG$11,"C",IF(P386&lt;'PlayerGrades+'!$AG$10,"C+",IF(P386&lt;'PlayerGrades+'!$AG$9,"B-",IF(P386&lt;'PlayerGrades+'!$AG$8,"B",IF(P386&lt;'PlayerGrades+'!$AG$7,"B+",IF(P386&lt;'PlayerGrades+'!$AG$6,"A-",IF(P386&lt;'PlayerGrades+'!$AG$5,"A",IF(P386&lt;'PlayerGrades+'!$AG$4,"A+",IF(P386&lt;'PlayerGrades+'!$AG$3,"S-",IF(P386&lt;'PlayerGrades+'!$AG$2,"S","S+"))))))))))))))))))))</f>
        <v>F</v>
      </c>
      <c r="R386" s="937">
        <f t="shared" si="8"/>
        <v>0.5921052632</v>
      </c>
      <c r="S386" s="937" t="str">
        <f>IF(R386&lt;'PlayerGrades+'!$AH$21,"F-",IF(R386&lt;'PlayerGrades+'!$AH$20,"F",IF(R386&lt;'PlayerGrades+'!$AH$19,"F+",IF(R386&lt;'PlayerGrades+'!$AH$18,"E-",IF(R386&lt;'PlayerGrades+'!$AH$17,"E",IF(R386&lt;'PlayerGrades+'!$AH$16,"E+",IF(R386&lt;'PlayerGrades+'!$AH$15,"D-",IF(R386&lt;'PlayerGrades+'!$AH$14,"D",IF(R386&lt;'PlayerGrades+'!$AH$13,"D+",IF(R386&lt;'PlayerGrades+'!$AH$12,"C-",IF(R386&lt;'PlayerGrades+'!$AH$11,"C",IF(R386&lt;'PlayerGrades+'!$AH$10,"C+",IF(R386&lt;'PlayerGrades+'!$AH$9,"B-",IF(R386&lt;'PlayerGrades+'!$AH$8,"B",IF(R386&lt;'PlayerGrades+'!$AH$7,"B+",IF(R386&lt;'PlayerGrades+'!$AH$6,"A-",IF(R386&lt;'PlayerGrades+'!$AH$5,"A",IF(R386&lt;'PlayerGrades+'!$AH$4,"A+",IF(R386&lt;'PlayerGrades+'!$AH$3,"S-",IF(R386&lt;'PlayerGrades+'!$AH$2,"S","S+"))))))))))))))))))))</f>
        <v>B+</v>
      </c>
      <c r="T386" s="937">
        <f t="shared" si="9"/>
        <v>1.592105263</v>
      </c>
      <c r="U386" s="937" t="str">
        <f>IF(T386&lt;'PlayerGrades+'!$AI$21,"F-",IF(T386&lt;'PlayerGrades+'!$AI$20,"F",IF(T386&lt;'PlayerGrades+'!$AI$19,"F+",IF(T386&lt;'PlayerGrades+'!$AI$18,"E-",IF(T386&lt;'PlayerGrades+'!$AI$17,"E",IF(T386&lt;'PlayerGrades+'!$AI$16,"E+",IF(T386&lt;'PlayerGrades+'!$AI$15,"D-",IF(T386&lt;'PlayerGrades+'!$AI$14,"D",IF(T386&lt;'PlayerGrades+'!$AI$13,"D+",IF(T386&lt;'PlayerGrades+'!$AI$12,"C-",IF(T386&lt;'PlayerGrades+'!$AI$11,"C",IF(T386&lt;'PlayerGrades+'!$AI$10,"C+",IF(T386&lt;'PlayerGrades+'!$AI$9,"B-",IF(T386&lt;'PlayerGrades+'!$AI$8,"B",IF(T386&lt;'PlayerGrades+'!$AI$7,"B+",IF(T386&lt;'PlayerGrades+'!$AI$6,"A-",IF(T386&lt;'PlayerGrades+'!$AI$5,"A",IF(T386&lt;'PlayerGrades+'!$AI$4,"A+",IF(T386&lt;'PlayerGrades+'!$AI$3,"S-",IF(T386&lt;'PlayerGrades+'!$AI$2,"S","S+"))))))))))))))))))))</f>
        <v>S-</v>
      </c>
      <c r="V386" s="939">
        <v>1.0</v>
      </c>
      <c r="W386" s="939">
        <v>1.0</v>
      </c>
      <c r="X386" s="939">
        <v>0.0</v>
      </c>
      <c r="Y386" s="939">
        <v>3.0</v>
      </c>
      <c r="Z386" s="939">
        <v>25.0</v>
      </c>
      <c r="AA386" s="939">
        <v>38.0</v>
      </c>
      <c r="AB386" s="939">
        <v>18.0</v>
      </c>
      <c r="AC386" s="939">
        <v>20.0</v>
      </c>
      <c r="AD386" s="939">
        <v>0.0</v>
      </c>
      <c r="AE386" s="939">
        <v>9.0</v>
      </c>
      <c r="AF386" s="939">
        <v>2.0</v>
      </c>
      <c r="AG386" s="939">
        <v>472.0</v>
      </c>
      <c r="AH386" s="939">
        <v>608.0</v>
      </c>
      <c r="AI386" s="939">
        <v>26.0</v>
      </c>
      <c r="AJ386" s="939">
        <v>316.0</v>
      </c>
      <c r="AK386" s="939">
        <v>0.0</v>
      </c>
      <c r="AL386" s="939">
        <v>2.0</v>
      </c>
      <c r="AM386" s="939">
        <v>0.0</v>
      </c>
      <c r="AN386" s="939">
        <v>0.0</v>
      </c>
      <c r="AO386" s="939">
        <v>0.0</v>
      </c>
      <c r="AP386" s="939">
        <v>0.0</v>
      </c>
      <c r="AQ386" s="939">
        <v>0.0</v>
      </c>
      <c r="AR386" s="939">
        <v>4.0</v>
      </c>
      <c r="AS386" s="939">
        <v>1.0</v>
      </c>
      <c r="AT386" s="939">
        <v>0.0</v>
      </c>
      <c r="AU386" s="939">
        <v>0.0</v>
      </c>
      <c r="AV386" s="939">
        <v>0.0</v>
      </c>
      <c r="AW386" s="939">
        <v>0.0</v>
      </c>
      <c r="AX386" s="939">
        <v>0.0</v>
      </c>
      <c r="AY386" s="939">
        <v>0.0</v>
      </c>
      <c r="AZ386" s="939">
        <v>0.0</v>
      </c>
      <c r="BA386" s="939">
        <v>0.0</v>
      </c>
      <c r="BB386" s="939">
        <v>0.0</v>
      </c>
      <c r="BC386" s="939">
        <v>0.0</v>
      </c>
      <c r="BD386" s="939">
        <v>6.0</v>
      </c>
      <c r="BE386" s="939">
        <v>6.0</v>
      </c>
      <c r="BF386" s="939">
        <v>1.0</v>
      </c>
      <c r="BG386" s="940">
        <v>1.0</v>
      </c>
    </row>
    <row r="387">
      <c r="A387" s="935" t="s">
        <v>141</v>
      </c>
      <c r="B387" s="16" t="str">
        <f>IF(C387&lt;'PlayerGrades+'!$Y$44,"F-",IF(C387&lt;'PlayerGrades+'!$Y$43,"F",IF(C387&lt;'PlayerGrades+'!$Y$42,"F+",IF(C387&lt;'PlayerGrades+'!$Y$41,"E-",IF(C387&lt;'PlayerGrades+'!$Y$40,"E",IF(C387&lt;'PlayerGrades+'!$Y$39,"E+",IF(C387&lt;'PlayerGrades+'!$Y$38,"D-",IF(C387&lt;'PlayerGrades+'!$Y$37,"D",IF(C387&lt;'PlayerGrades+'!$Y$36,"D+",IF(C387&lt;'PlayerGrades+'!$Y$35,"C-",IF(C387&lt;'PlayerGrades+'!$Y$34,"C",IF(C387&lt;'PlayerGrades+'!$Y$33,"C+",IF(C387&lt;'PlayerGrades+'!$Y$32,"B-",IF(C387&lt;'PlayerGrades+'!$Y$31,"B",IF(C387&lt;'PlayerGrades+'!$Y$30,"B+",IF(C387&lt;'PlayerGrades+'!$Y$29,"A-",IF(C387&lt;'PlayerGrades+'!$Y$28,"A",IF(C387&lt;'PlayerGrades+'!$Y$27,"A+",IF(C387&lt;'PlayerGrades+'!$Y$26,"S-",IF(C387&lt;'PlayerGrades+'!$Y$25,"S","S+"))))))))))))))))))))</f>
        <v>S</v>
      </c>
      <c r="C387" s="936">
        <f>('PlayerGrades+'!$Y$47*(VLOOKUP(E387, 'PlayerGrades+'!$X$3:$Y$23, 2, FALSE)))+('PlayerGrades+'!$Y$48*(VLOOKUP(G387, 'PlayerGrades+'!$X$3:$Y$23, 2, FALSE)))+('PlayerGrades+'!$Y$49*(VLOOKUP(I387, 'PlayerGrades+'!$X$3:$Y$23, 2, FALSE)))+('PlayerGrades+'!$Y$50*(VLOOKUP(K387, 'PlayerGrades+'!$X$3:$Y$23, 2, FALSE)))+('PlayerGrades+'!$Y$51*(VLOOKUP(M387, 'PlayerGrades+'!$X$3:$Y$23, 2, FALSE)))+('PlayerGrades+'!$Y$52*(VLOOKUP(O387, 'PlayerGrades+'!$X$3:$Y$23, 2, FALSE)))+('PlayerGrades+'!$Y$53*(VLOOKUP(Q387, 'PlayerGrades+'!$X$3:$Y$23, 2, FALSE)))+('PlayerGrades+'!$Y$54*(VLOOKUP(S387, 'PlayerGrades+'!$X$3:$Y$23, 2, FALSE)))+('PlayerGrades+'!$Y$55*(VLOOKUP(U387, 'PlayerGrades+'!$X$3:$Y$23, 2, FALSE)))</f>
        <v>32.2</v>
      </c>
      <c r="D387" s="937">
        <f t="shared" si="1"/>
        <v>0.1973684211</v>
      </c>
      <c r="E387" s="937" t="str">
        <f>IF(D387&lt;'PlayerGrades+'!$AA$21,"F-",IF(D387&lt;'PlayerGrades+'!$AA$20,"F",IF(D387&lt;'PlayerGrades+'!$AA$19,"F+",IF(D387&lt;'PlayerGrades+'!$AA$18,"E-",IF(D387&lt;'PlayerGrades+'!$AA$17,"E",IF(D387&lt;'PlayerGrades+'!$AA$16,"E+",IF(D387&lt;'PlayerGrades+'!$AA$15,"D-",IF(D387&lt;'PlayerGrades+'!$AA$14,"D",IF(D387&lt;'PlayerGrades+'!$AA$13,"D+",IF(D387&lt;'PlayerGrades+'!$AA$12,"C-",IF(D387&lt;'PlayerGrades+'!$AA$11,"C",IF(D387&lt;'PlayerGrades+'!$AA$10,"C+",IF(D387&lt;'PlayerGrades+'!$AA$9,"B-",IF(D387&lt;'PlayerGrades+'!$AA$8,"B",IF(D387&lt;'PlayerGrades+'!$AA$7,"B+",IF(D387&lt;'PlayerGrades+'!$AA$6,"A-",IF(D387&lt;'PlayerGrades+'!$AA$5,"A",IF(D387&lt;'PlayerGrades+'!$AA$4,"A+",IF(D387&lt;'PlayerGrades+'!$AA$3,"S-",IF(D387&lt;'PlayerGrades+'!$AA$2,"S","S+"))))))))))))))))))))</f>
        <v>B+</v>
      </c>
      <c r="F387" s="937">
        <f t="shared" si="2"/>
        <v>1.184210526</v>
      </c>
      <c r="G387" s="937" t="str">
        <f>IF(F387&lt;'PlayerGrades+'!$AB$21,"F-",IF(F387&lt;'PlayerGrades+'!$AB$20,"F",IF(F387&lt;'PlayerGrades+'!$AB$19,"F+",IF(F387&lt;'PlayerGrades+'!$AB$18,"E-",IF(F387&lt;'PlayerGrades+'!$AB$17,"E",IF(F387&lt;'PlayerGrades+'!$AB$16,"E+",IF(F387&lt;'PlayerGrades+'!$AB$15,"D-",IF(F387&lt;'PlayerGrades+'!$AB$14,"D",IF(F387&lt;'PlayerGrades+'!$AB$13,"D+",IF(F387&lt;'PlayerGrades+'!$AB$12,"C-",IF(F387&lt;'PlayerGrades+'!$AB$11,"C",IF(F387&lt;'PlayerGrades+'!$AB$10,"C+",IF(F387&lt;'PlayerGrades+'!$AB$9,"B-",IF(F387&lt;'PlayerGrades+'!$AB$8,"B",IF(F387&lt;'PlayerGrades+'!$AB$7,"B+",IF(F387&lt;'PlayerGrades+'!$AB$6,"A-",IF(F387&lt;'PlayerGrades+'!$AB$5,"A",IF(F387&lt;'PlayerGrades+'!$AB$4,"A+",IF(F387&lt;'PlayerGrades+'!$AB$3,"S-",IF(F387&lt;'PlayerGrades+'!$AB$2,"S","S+"))))))))))))))))))))</f>
        <v>S+</v>
      </c>
      <c r="H387" s="937">
        <f t="shared" si="3"/>
        <v>0</v>
      </c>
      <c r="I387" s="937" t="str">
        <f>IF(H387&lt;'PlayerGrades+'!$AC$21,"F-",IF(H387&lt;'PlayerGrades+'!$AC$20,"F",IF(H387&lt;'PlayerGrades+'!$AC$19,"F+",IF(H387&lt;'PlayerGrades+'!$AC$18,"E-",IF(H387&lt;'PlayerGrades+'!$AC$17,"E",IF(H387&lt;'PlayerGrades+'!$AC$16,"E+",IF(H387&lt;'PlayerGrades+'!$AC$15,"D-",IF(H387&lt;'PlayerGrades+'!$AC$14,"D",IF(H387&lt;'PlayerGrades+'!$AC$13,"D+",IF(H387&lt;'PlayerGrades+'!$AC$12,"C-",IF(H387&lt;'PlayerGrades+'!$AC$11,"C",IF(H387&lt;'PlayerGrades+'!$AC$10,"C+",IF(H387&lt;'PlayerGrades+'!$AC$9,"B-",IF(H387&lt;'PlayerGrades+'!$AC$8,"B",IF(H387&lt;'PlayerGrades+'!$AC$7,"B+",IF(H387&lt;'PlayerGrades+'!$AC$6,"A-",IF(H387&lt;'PlayerGrades+'!$AC$5,"A",IF(H387&lt;'PlayerGrades+'!$AC$4,"A+",IF(H387&lt;'PlayerGrades+'!$AC$3,"S-",IF(H387&lt;'PlayerGrades+'!$AC$2,"S","S+"))))))))))))))))))))</f>
        <v>F-</v>
      </c>
      <c r="J387" s="937">
        <f t="shared" si="4"/>
        <v>0.1973684211</v>
      </c>
      <c r="K387" s="937" t="str">
        <f>IF(J387&lt;'PlayerGrades+'!$AD$21,"F-",IF(J387&lt;'PlayerGrades+'!$AD$20,"F",IF(J387&lt;'PlayerGrades+'!$AD$19,"F+",IF(J387&lt;'PlayerGrades+'!$AD$18,"E-",IF(J387&lt;'PlayerGrades+'!$AD$17,"E",IF(J387&lt;'PlayerGrades+'!$AD$16,"E+",IF(J387&lt;'PlayerGrades+'!$AD$15,"D-",IF(J387&lt;'PlayerGrades+'!$AD$14,"D",IF(J387&lt;'PlayerGrades+'!$AD$13,"D+",IF(J387&lt;'PlayerGrades+'!$AD$12,"C-",IF(J387&lt;'PlayerGrades+'!$AD$11,"C",IF(J387&lt;'PlayerGrades+'!$AD$10,"C+",IF(J387&lt;'PlayerGrades+'!$AD$9,"B-",IF(J387&lt;'PlayerGrades+'!$AD$8,"B",IF(J387&lt;'PlayerGrades+'!$AD$7,"B+",IF(J387&lt;'PlayerGrades+'!$AD$6,"A-",IF(J387&lt;'PlayerGrades+'!$AD$5,"A",IF(J387&lt;'PlayerGrades+'!$AD$4,"A+",IF(J387&lt;'PlayerGrades+'!$AD$3,"S-",IF(J387&lt;'PlayerGrades+'!$AD$2,"S","S+"))))))))))))))))))))</f>
        <v>S+</v>
      </c>
      <c r="L387" s="677">
        <f t="shared" si="5"/>
        <v>0.9868421053</v>
      </c>
      <c r="M387" s="938" t="str">
        <f>IF(L387&lt;'PlayerGrades+'!$AE$21,"F-",IF(L387&lt;'PlayerGrades+'!$AE$20,"F",IF(L387&lt;'PlayerGrades+'!$AE$19,"F+",IF(L387&lt;'PlayerGrades+'!$AE$18,"E-",IF(L387&lt;'PlayerGrades+'!$AE$17,"E",IF(L387&lt;'PlayerGrades+'!$AE$16,"E+",IF(L387&lt;'PlayerGrades+'!$AE$15,"D-",IF(L387&lt;'PlayerGrades+'!$AE$14,"D",IF(L387&lt;'PlayerGrades+'!$AE$13,"D+",IF(L387&lt;'PlayerGrades+'!$AE$12,"C-",IF(L387&lt;'PlayerGrades+'!$AE$11,"C",IF(L387&lt;'PlayerGrades+'!$AE$10,"C+",IF(L387&lt;'PlayerGrades+'!$AE$9,"B-",IF(L387&lt;'PlayerGrades+'!$AE$8,"B",IF(L387&lt;'PlayerGrades+'!$AE$7,"B+",IF(L387&lt;'PlayerGrades+'!$AE$6,"A-",IF(L387&lt;'PlayerGrades+'!$AE$5,"A",IF(L387&lt;'PlayerGrades+'!$AE$4,"A+",IF(L387&lt;'PlayerGrades+'!$AE$3,"S-",IF(L387&lt;'PlayerGrades+'!$AE$2,"S","S+"))))))))))))))))))))</f>
        <v>S+</v>
      </c>
      <c r="N387" s="937">
        <f t="shared" si="6"/>
        <v>0.1973684211</v>
      </c>
      <c r="O387" s="937" t="str">
        <f>IF(N387&lt;'PlayerGrades+'!$AF$21,"F-",IF(N387&lt;'PlayerGrades+'!$AF$20,"F",IF(N387&lt;'PlayerGrades+'!$AF$19,"F+",IF(N387&lt;'PlayerGrades+'!$AF$18,"E-",IF(N387&lt;'PlayerGrades+'!$AF$17,"E",IF(N387&lt;'PlayerGrades+'!$AF$16,"E+",IF(N387&lt;'PlayerGrades+'!$AF$15,"D-",IF(N387&lt;'PlayerGrades+'!$AF$14,"D",IF(N387&lt;'PlayerGrades+'!$AF$13,"D+",IF(N387&lt;'PlayerGrades+'!$AF$12,"C-",IF(N387&lt;'PlayerGrades+'!$AF$11,"C",IF(N387&lt;'PlayerGrades+'!$AF$10,"C+",IF(N387&lt;'PlayerGrades+'!$AF$9,"B-",IF(N387&lt;'PlayerGrades+'!$AF$8,"B",IF(N387&lt;'PlayerGrades+'!$AF$7,"B+",IF(N387&lt;'PlayerGrades+'!$AF$6,"A-",IF(N387&lt;'PlayerGrades+'!$AF$5,"A",IF(N387&lt;'PlayerGrades+'!$AF$4,"A+",IF(N387&lt;'PlayerGrades+'!$AF$3,"S-",IF(N387&lt;'PlayerGrades+'!$AF$2,"S","S+"))))))))))))))))))))</f>
        <v>S+</v>
      </c>
      <c r="P387" s="937">
        <f t="shared" si="7"/>
        <v>0.1973684211</v>
      </c>
      <c r="Q387" s="937" t="str">
        <f>IF(P387&lt;'PlayerGrades+'!$AG$21,"F-",IF(P387&lt;'PlayerGrades+'!$AG$20,"F",IF(P387&lt;'PlayerGrades+'!$AG$19,"F+",IF(P387&lt;'PlayerGrades+'!$AG$18,"E-",IF(P387&lt;'PlayerGrades+'!$AG$17,"E",IF(P387&lt;'PlayerGrades+'!$AG$16,"E+",IF(P387&lt;'PlayerGrades+'!$AG$15,"D-",IF(P387&lt;'PlayerGrades+'!$AG$14,"D",IF(P387&lt;'PlayerGrades+'!$AG$13,"D+",IF(P387&lt;'PlayerGrades+'!$AG$12,"C-",IF(P387&lt;'PlayerGrades+'!$AG$11,"C",IF(P387&lt;'PlayerGrades+'!$AG$10,"C+",IF(P387&lt;'PlayerGrades+'!$AG$9,"B-",IF(P387&lt;'PlayerGrades+'!$AG$8,"B",IF(P387&lt;'PlayerGrades+'!$AG$7,"B+",IF(P387&lt;'PlayerGrades+'!$AG$6,"A-",IF(P387&lt;'PlayerGrades+'!$AG$5,"A",IF(P387&lt;'PlayerGrades+'!$AG$4,"A+",IF(P387&lt;'PlayerGrades+'!$AG$3,"S-",IF(P387&lt;'PlayerGrades+'!$AG$2,"S","S+"))))))))))))))))))))</f>
        <v>S+</v>
      </c>
      <c r="R387" s="937">
        <f t="shared" si="8"/>
        <v>0.7894736842</v>
      </c>
      <c r="S387" s="937" t="str">
        <f>IF(R387&lt;'PlayerGrades+'!$AH$21,"F-",IF(R387&lt;'PlayerGrades+'!$AH$20,"F",IF(R387&lt;'PlayerGrades+'!$AH$19,"F+",IF(R387&lt;'PlayerGrades+'!$AH$18,"E-",IF(R387&lt;'PlayerGrades+'!$AH$17,"E",IF(R387&lt;'PlayerGrades+'!$AH$16,"E+",IF(R387&lt;'PlayerGrades+'!$AH$15,"D-",IF(R387&lt;'PlayerGrades+'!$AH$14,"D",IF(R387&lt;'PlayerGrades+'!$AH$13,"D+",IF(R387&lt;'PlayerGrades+'!$AH$12,"C-",IF(R387&lt;'PlayerGrades+'!$AH$11,"C",IF(R387&lt;'PlayerGrades+'!$AH$10,"C+",IF(R387&lt;'PlayerGrades+'!$AH$9,"B-",IF(R387&lt;'PlayerGrades+'!$AH$8,"B",IF(R387&lt;'PlayerGrades+'!$AH$7,"B+",IF(R387&lt;'PlayerGrades+'!$AH$6,"A-",IF(R387&lt;'PlayerGrades+'!$AH$5,"A",IF(R387&lt;'PlayerGrades+'!$AH$4,"A+",IF(R387&lt;'PlayerGrades+'!$AH$3,"S-",IF(R387&lt;'PlayerGrades+'!$AH$2,"S","S+"))))))))))))))))))))</f>
        <v>S+</v>
      </c>
      <c r="T387" s="937">
        <f t="shared" si="9"/>
        <v>3.098684211</v>
      </c>
      <c r="U387" s="937" t="str">
        <f>IF(T387&lt;'PlayerGrades+'!$AI$21,"F-",IF(T387&lt;'PlayerGrades+'!$AI$20,"F",IF(T387&lt;'PlayerGrades+'!$AI$19,"F+",IF(T387&lt;'PlayerGrades+'!$AI$18,"E-",IF(T387&lt;'PlayerGrades+'!$AI$17,"E",IF(T387&lt;'PlayerGrades+'!$AI$16,"E+",IF(T387&lt;'PlayerGrades+'!$AI$15,"D-",IF(T387&lt;'PlayerGrades+'!$AI$14,"D",IF(T387&lt;'PlayerGrades+'!$AI$13,"D+",IF(T387&lt;'PlayerGrades+'!$AI$12,"C-",IF(T387&lt;'PlayerGrades+'!$AI$11,"C",IF(T387&lt;'PlayerGrades+'!$AI$10,"C+",IF(T387&lt;'PlayerGrades+'!$AI$9,"B-",IF(T387&lt;'PlayerGrades+'!$AI$8,"B",IF(T387&lt;'PlayerGrades+'!$AI$7,"B+",IF(T387&lt;'PlayerGrades+'!$AI$6,"A-",IF(T387&lt;'PlayerGrades+'!$AI$5,"A",IF(T387&lt;'PlayerGrades+'!$AI$4,"A+",IF(T387&lt;'PlayerGrades+'!$AI$3,"S-",IF(T387&lt;'PlayerGrades+'!$AI$2,"S","S+"))))))))))))))))))))</f>
        <v>S+</v>
      </c>
      <c r="V387" s="941">
        <v>1.0</v>
      </c>
      <c r="W387" s="941">
        <v>1.0</v>
      </c>
      <c r="X387" s="941">
        <v>0.0</v>
      </c>
      <c r="Y387" s="941">
        <v>2.0</v>
      </c>
      <c r="Z387" s="941">
        <v>0.0</v>
      </c>
      <c r="AA387" s="941">
        <v>47.0</v>
      </c>
      <c r="AB387" s="941">
        <v>35.0</v>
      </c>
      <c r="AC387" s="941">
        <v>12.0</v>
      </c>
      <c r="AD387" s="941">
        <v>1.0</v>
      </c>
      <c r="AE387" s="941">
        <v>6.0</v>
      </c>
      <c r="AF387" s="941">
        <v>2.0</v>
      </c>
      <c r="AG387" s="941">
        <v>423.0</v>
      </c>
      <c r="AH387" s="941">
        <v>608.0</v>
      </c>
      <c r="AI387" s="941">
        <v>12.0</v>
      </c>
      <c r="AJ387" s="941">
        <v>4.0</v>
      </c>
      <c r="AK387" s="941">
        <v>0.0</v>
      </c>
      <c r="AL387" s="941">
        <v>2.0</v>
      </c>
      <c r="AM387" s="941">
        <v>0.0</v>
      </c>
      <c r="AN387" s="941">
        <v>0.0</v>
      </c>
      <c r="AO387" s="941">
        <v>0.0</v>
      </c>
      <c r="AP387" s="941">
        <v>2.0</v>
      </c>
      <c r="AQ387" s="941">
        <v>0.0</v>
      </c>
      <c r="AR387" s="941">
        <v>10.0</v>
      </c>
      <c r="AS387" s="941">
        <v>2.0</v>
      </c>
      <c r="AT387" s="941">
        <v>1.0</v>
      </c>
      <c r="AU387" s="941">
        <v>0.0</v>
      </c>
      <c r="AV387" s="941">
        <v>0.0</v>
      </c>
      <c r="AW387" s="941">
        <v>0.0</v>
      </c>
      <c r="AX387" s="941">
        <v>0.0</v>
      </c>
      <c r="AY387" s="941">
        <v>0.0</v>
      </c>
      <c r="AZ387" s="941">
        <v>0.0</v>
      </c>
      <c r="BA387" s="941">
        <v>0.0</v>
      </c>
      <c r="BB387" s="941">
        <v>0.0</v>
      </c>
      <c r="BC387" s="941">
        <v>0.0</v>
      </c>
      <c r="BD387" s="941">
        <v>7.0</v>
      </c>
      <c r="BE387" s="941">
        <v>1.0</v>
      </c>
      <c r="BF387" s="941">
        <v>3.0</v>
      </c>
      <c r="BG387" s="942">
        <v>1.0</v>
      </c>
    </row>
    <row r="388">
      <c r="A388" s="935" t="s">
        <v>130</v>
      </c>
      <c r="B388" s="16" t="str">
        <f>IF(C388&lt;'PlayerGrades+'!$Y$44,"F-",IF(C388&lt;'PlayerGrades+'!$Y$43,"F",IF(C388&lt;'PlayerGrades+'!$Y$42,"F+",IF(C388&lt;'PlayerGrades+'!$Y$41,"E-",IF(C388&lt;'PlayerGrades+'!$Y$40,"E",IF(C388&lt;'PlayerGrades+'!$Y$39,"E+",IF(C388&lt;'PlayerGrades+'!$Y$38,"D-",IF(C388&lt;'PlayerGrades+'!$Y$37,"D",IF(C388&lt;'PlayerGrades+'!$Y$36,"D+",IF(C388&lt;'PlayerGrades+'!$Y$35,"C-",IF(C388&lt;'PlayerGrades+'!$Y$34,"C",IF(C388&lt;'PlayerGrades+'!$Y$33,"C+",IF(C388&lt;'PlayerGrades+'!$Y$32,"B-",IF(C388&lt;'PlayerGrades+'!$Y$31,"B",IF(C388&lt;'PlayerGrades+'!$Y$30,"B+",IF(C388&lt;'PlayerGrades+'!$Y$29,"A-",IF(C388&lt;'PlayerGrades+'!$Y$28,"A",IF(C388&lt;'PlayerGrades+'!$Y$27,"A+",IF(C388&lt;'PlayerGrades+'!$Y$26,"S-",IF(C388&lt;'PlayerGrades+'!$Y$25,"S","S+"))))))))))))))))))))</f>
        <v>S-</v>
      </c>
      <c r="C388" s="936">
        <f>('PlayerGrades+'!$Y$47*(VLOOKUP(E388, 'PlayerGrades+'!$X$3:$Y$23, 2, FALSE)))+('PlayerGrades+'!$Y$48*(VLOOKUP(G388, 'PlayerGrades+'!$X$3:$Y$23, 2, FALSE)))+('PlayerGrades+'!$Y$49*(VLOOKUP(I388, 'PlayerGrades+'!$X$3:$Y$23, 2, FALSE)))+('PlayerGrades+'!$Y$50*(VLOOKUP(K388, 'PlayerGrades+'!$X$3:$Y$23, 2, FALSE)))+('PlayerGrades+'!$Y$51*(VLOOKUP(M388, 'PlayerGrades+'!$X$3:$Y$23, 2, FALSE)))+('PlayerGrades+'!$Y$52*(VLOOKUP(O388, 'PlayerGrades+'!$X$3:$Y$23, 2, FALSE)))+('PlayerGrades+'!$Y$53*(VLOOKUP(Q388, 'PlayerGrades+'!$X$3:$Y$23, 2, FALSE)))+('PlayerGrades+'!$Y$54*(VLOOKUP(S388, 'PlayerGrades+'!$X$3:$Y$23, 2, FALSE)))+('PlayerGrades+'!$Y$55*(VLOOKUP(U388, 'PlayerGrades+'!$X$3:$Y$23, 2, FALSE)))</f>
        <v>30.45</v>
      </c>
      <c r="D388" s="937">
        <f t="shared" si="1"/>
        <v>0</v>
      </c>
      <c r="E388" s="937" t="str">
        <f>IF(D388&lt;'PlayerGrades+'!$AA$21,"F-",IF(D388&lt;'PlayerGrades+'!$AA$20,"F",IF(D388&lt;'PlayerGrades+'!$AA$19,"F+",IF(D388&lt;'PlayerGrades+'!$AA$18,"E-",IF(D388&lt;'PlayerGrades+'!$AA$17,"E",IF(D388&lt;'PlayerGrades+'!$AA$16,"E+",IF(D388&lt;'PlayerGrades+'!$AA$15,"D-",IF(D388&lt;'PlayerGrades+'!$AA$14,"D",IF(D388&lt;'PlayerGrades+'!$AA$13,"D+",IF(D388&lt;'PlayerGrades+'!$AA$12,"C-",IF(D388&lt;'PlayerGrades+'!$AA$11,"C",IF(D388&lt;'PlayerGrades+'!$AA$10,"C+",IF(D388&lt;'PlayerGrades+'!$AA$9,"B-",IF(D388&lt;'PlayerGrades+'!$AA$8,"B",IF(D388&lt;'PlayerGrades+'!$AA$7,"B+",IF(D388&lt;'PlayerGrades+'!$AA$6,"A-",IF(D388&lt;'PlayerGrades+'!$AA$5,"A",IF(D388&lt;'PlayerGrades+'!$AA$4,"A+",IF(D388&lt;'PlayerGrades+'!$AA$3,"S-",IF(D388&lt;'PlayerGrades+'!$AA$2,"S","S+"))))))))))))))))))))</f>
        <v>F-</v>
      </c>
      <c r="F388" s="937">
        <f t="shared" si="2"/>
        <v>0.7894736842</v>
      </c>
      <c r="G388" s="937" t="str">
        <f>IF(F388&lt;'PlayerGrades+'!$AB$21,"F-",IF(F388&lt;'PlayerGrades+'!$AB$20,"F",IF(F388&lt;'PlayerGrades+'!$AB$19,"F+",IF(F388&lt;'PlayerGrades+'!$AB$18,"E-",IF(F388&lt;'PlayerGrades+'!$AB$17,"E",IF(F388&lt;'PlayerGrades+'!$AB$16,"E+",IF(F388&lt;'PlayerGrades+'!$AB$15,"D-",IF(F388&lt;'PlayerGrades+'!$AB$14,"D",IF(F388&lt;'PlayerGrades+'!$AB$13,"D+",IF(F388&lt;'PlayerGrades+'!$AB$12,"C-",IF(F388&lt;'PlayerGrades+'!$AB$11,"C",IF(F388&lt;'PlayerGrades+'!$AB$10,"C+",IF(F388&lt;'PlayerGrades+'!$AB$9,"B-",IF(F388&lt;'PlayerGrades+'!$AB$8,"B",IF(F388&lt;'PlayerGrades+'!$AB$7,"B+",IF(F388&lt;'PlayerGrades+'!$AB$6,"A-",IF(F388&lt;'PlayerGrades+'!$AB$5,"A",IF(F388&lt;'PlayerGrades+'!$AB$4,"A+",IF(F388&lt;'PlayerGrades+'!$AB$3,"S-",IF(F388&lt;'PlayerGrades+'!$AB$2,"S","S+"))))))))))))))))))))</f>
        <v>S</v>
      </c>
      <c r="H388" s="937">
        <f t="shared" si="3"/>
        <v>0.1973684211</v>
      </c>
      <c r="I388" s="937" t="str">
        <f>IF(H388&lt;'PlayerGrades+'!$AC$21,"F-",IF(H388&lt;'PlayerGrades+'!$AC$20,"F",IF(H388&lt;'PlayerGrades+'!$AC$19,"F+",IF(H388&lt;'PlayerGrades+'!$AC$18,"E-",IF(H388&lt;'PlayerGrades+'!$AC$17,"E",IF(H388&lt;'PlayerGrades+'!$AC$16,"E+",IF(H388&lt;'PlayerGrades+'!$AC$15,"D-",IF(H388&lt;'PlayerGrades+'!$AC$14,"D",IF(H388&lt;'PlayerGrades+'!$AC$13,"D+",IF(H388&lt;'PlayerGrades+'!$AC$12,"C-",IF(H388&lt;'PlayerGrades+'!$AC$11,"C",IF(H388&lt;'PlayerGrades+'!$AC$10,"C+",IF(H388&lt;'PlayerGrades+'!$AC$9,"B-",IF(H388&lt;'PlayerGrades+'!$AC$8,"B",IF(H388&lt;'PlayerGrades+'!$AC$7,"B+",IF(H388&lt;'PlayerGrades+'!$AC$6,"A-",IF(H388&lt;'PlayerGrades+'!$AC$5,"A",IF(H388&lt;'PlayerGrades+'!$AC$4,"A+",IF(H388&lt;'PlayerGrades+'!$AC$3,"S-",IF(H388&lt;'PlayerGrades+'!$AC$2,"S","S+"))))))))))))))))))))</f>
        <v>S</v>
      </c>
      <c r="J388" s="937">
        <f t="shared" si="4"/>
        <v>0.1973684211</v>
      </c>
      <c r="K388" s="937" t="str">
        <f>IF(J388&lt;'PlayerGrades+'!$AD$21,"F-",IF(J388&lt;'PlayerGrades+'!$AD$20,"F",IF(J388&lt;'PlayerGrades+'!$AD$19,"F+",IF(J388&lt;'PlayerGrades+'!$AD$18,"E-",IF(J388&lt;'PlayerGrades+'!$AD$17,"E",IF(J388&lt;'PlayerGrades+'!$AD$16,"E+",IF(J388&lt;'PlayerGrades+'!$AD$15,"D-",IF(J388&lt;'PlayerGrades+'!$AD$14,"D",IF(J388&lt;'PlayerGrades+'!$AD$13,"D+",IF(J388&lt;'PlayerGrades+'!$AD$12,"C-",IF(J388&lt;'PlayerGrades+'!$AD$11,"C",IF(J388&lt;'PlayerGrades+'!$AD$10,"C+",IF(J388&lt;'PlayerGrades+'!$AD$9,"B-",IF(J388&lt;'PlayerGrades+'!$AD$8,"B",IF(J388&lt;'PlayerGrades+'!$AD$7,"B+",IF(J388&lt;'PlayerGrades+'!$AD$6,"A-",IF(J388&lt;'PlayerGrades+'!$AD$5,"A",IF(J388&lt;'PlayerGrades+'!$AD$4,"A+",IF(J388&lt;'PlayerGrades+'!$AD$3,"S-",IF(J388&lt;'PlayerGrades+'!$AD$2,"S","S+"))))))))))))))))))))</f>
        <v>S+</v>
      </c>
      <c r="L388" s="677">
        <f t="shared" si="5"/>
        <v>0.4934210526</v>
      </c>
      <c r="M388" s="938" t="str">
        <f>IF(L388&lt;'PlayerGrades+'!$AE$21,"F-",IF(L388&lt;'PlayerGrades+'!$AE$20,"F",IF(L388&lt;'PlayerGrades+'!$AE$19,"F+",IF(L388&lt;'PlayerGrades+'!$AE$18,"E-",IF(L388&lt;'PlayerGrades+'!$AE$17,"E",IF(L388&lt;'PlayerGrades+'!$AE$16,"E+",IF(L388&lt;'PlayerGrades+'!$AE$15,"D-",IF(L388&lt;'PlayerGrades+'!$AE$14,"D",IF(L388&lt;'PlayerGrades+'!$AE$13,"D+",IF(L388&lt;'PlayerGrades+'!$AE$12,"C-",IF(L388&lt;'PlayerGrades+'!$AE$11,"C",IF(L388&lt;'PlayerGrades+'!$AE$10,"C+",IF(L388&lt;'PlayerGrades+'!$AE$9,"B-",IF(L388&lt;'PlayerGrades+'!$AE$8,"B",IF(L388&lt;'PlayerGrades+'!$AE$7,"B+",IF(L388&lt;'PlayerGrades+'!$AE$6,"A-",IF(L388&lt;'PlayerGrades+'!$AE$5,"A",IF(L388&lt;'PlayerGrades+'!$AE$4,"A+",IF(L388&lt;'PlayerGrades+'!$AE$3,"S-",IF(L388&lt;'PlayerGrades+'!$AE$2,"S","S+"))))))))))))))))))))</f>
        <v>A-</v>
      </c>
      <c r="N388" s="937">
        <f t="shared" si="6"/>
        <v>0.09868421053</v>
      </c>
      <c r="O388" s="937" t="str">
        <f>IF(N388&lt;'PlayerGrades+'!$AF$21,"F-",IF(N388&lt;'PlayerGrades+'!$AF$20,"F",IF(N388&lt;'PlayerGrades+'!$AF$19,"F+",IF(N388&lt;'PlayerGrades+'!$AF$18,"E-",IF(N388&lt;'PlayerGrades+'!$AF$17,"E",IF(N388&lt;'PlayerGrades+'!$AF$16,"E+",IF(N388&lt;'PlayerGrades+'!$AF$15,"D-",IF(N388&lt;'PlayerGrades+'!$AF$14,"D",IF(N388&lt;'PlayerGrades+'!$AF$13,"D+",IF(N388&lt;'PlayerGrades+'!$AF$12,"C-",IF(N388&lt;'PlayerGrades+'!$AF$11,"C",IF(N388&lt;'PlayerGrades+'!$AF$10,"C+",IF(N388&lt;'PlayerGrades+'!$AF$9,"B-",IF(N388&lt;'PlayerGrades+'!$AF$8,"B",IF(N388&lt;'PlayerGrades+'!$AF$7,"B+",IF(N388&lt;'PlayerGrades+'!$AF$6,"A-",IF(N388&lt;'PlayerGrades+'!$AF$5,"A",IF(N388&lt;'PlayerGrades+'!$AF$4,"A+",IF(N388&lt;'PlayerGrades+'!$AF$3,"S-",IF(N388&lt;'PlayerGrades+'!$AF$2,"S","S+"))))))))))))))))))))</f>
        <v>A-</v>
      </c>
      <c r="P388" s="937">
        <f t="shared" si="7"/>
        <v>0.1973684211</v>
      </c>
      <c r="Q388" s="937" t="str">
        <f>IF(P388&lt;'PlayerGrades+'!$AG$21,"F-",IF(P388&lt;'PlayerGrades+'!$AG$20,"F",IF(P388&lt;'PlayerGrades+'!$AG$19,"F+",IF(P388&lt;'PlayerGrades+'!$AG$18,"E-",IF(P388&lt;'PlayerGrades+'!$AG$17,"E",IF(P388&lt;'PlayerGrades+'!$AG$16,"E+",IF(P388&lt;'PlayerGrades+'!$AG$15,"D-",IF(P388&lt;'PlayerGrades+'!$AG$14,"D",IF(P388&lt;'PlayerGrades+'!$AG$13,"D+",IF(P388&lt;'PlayerGrades+'!$AG$12,"C-",IF(P388&lt;'PlayerGrades+'!$AG$11,"C",IF(P388&lt;'PlayerGrades+'!$AG$10,"C+",IF(P388&lt;'PlayerGrades+'!$AG$9,"B-",IF(P388&lt;'PlayerGrades+'!$AG$8,"B",IF(P388&lt;'PlayerGrades+'!$AG$7,"B+",IF(P388&lt;'PlayerGrades+'!$AG$6,"A-",IF(P388&lt;'PlayerGrades+'!$AG$5,"A",IF(P388&lt;'PlayerGrades+'!$AG$4,"A+",IF(P388&lt;'PlayerGrades+'!$AG$3,"S-",IF(P388&lt;'PlayerGrades+'!$AG$2,"S","S+"))))))))))))))))))))</f>
        <v>S+</v>
      </c>
      <c r="R388" s="937">
        <f t="shared" si="8"/>
        <v>1.184210526</v>
      </c>
      <c r="S388" s="937" t="str">
        <f>IF(R388&lt;'PlayerGrades+'!$AH$21,"F-",IF(R388&lt;'PlayerGrades+'!$AH$20,"F",IF(R388&lt;'PlayerGrades+'!$AH$19,"F+",IF(R388&lt;'PlayerGrades+'!$AH$18,"E-",IF(R388&lt;'PlayerGrades+'!$AH$17,"E",IF(R388&lt;'PlayerGrades+'!$AH$16,"E+",IF(R388&lt;'PlayerGrades+'!$AH$15,"D-",IF(R388&lt;'PlayerGrades+'!$AH$14,"D",IF(R388&lt;'PlayerGrades+'!$AH$13,"D+",IF(R388&lt;'PlayerGrades+'!$AH$12,"C-",IF(R388&lt;'PlayerGrades+'!$AH$11,"C",IF(R388&lt;'PlayerGrades+'!$AH$10,"C+",IF(R388&lt;'PlayerGrades+'!$AH$9,"B-",IF(R388&lt;'PlayerGrades+'!$AH$8,"B",IF(R388&lt;'PlayerGrades+'!$AH$7,"B+",IF(R388&lt;'PlayerGrades+'!$AH$6,"A-",IF(R388&lt;'PlayerGrades+'!$AH$5,"A",IF(R388&lt;'PlayerGrades+'!$AH$4,"A+",IF(R388&lt;'PlayerGrades+'!$AH$3,"S-",IF(R388&lt;'PlayerGrades+'!$AH$2,"S","S+"))))))))))))))))))))</f>
        <v>S+</v>
      </c>
      <c r="T388" s="937">
        <f t="shared" si="9"/>
        <v>2.493421053</v>
      </c>
      <c r="U388" s="937" t="str">
        <f>IF(T388&lt;'PlayerGrades+'!$AI$21,"F-",IF(T388&lt;'PlayerGrades+'!$AI$20,"F",IF(T388&lt;'PlayerGrades+'!$AI$19,"F+",IF(T388&lt;'PlayerGrades+'!$AI$18,"E-",IF(T388&lt;'PlayerGrades+'!$AI$17,"E",IF(T388&lt;'PlayerGrades+'!$AI$16,"E+",IF(T388&lt;'PlayerGrades+'!$AI$15,"D-",IF(T388&lt;'PlayerGrades+'!$AI$14,"D",IF(T388&lt;'PlayerGrades+'!$AI$13,"D+",IF(T388&lt;'PlayerGrades+'!$AI$12,"C-",IF(T388&lt;'PlayerGrades+'!$AI$11,"C",IF(T388&lt;'PlayerGrades+'!$AI$10,"C+",IF(T388&lt;'PlayerGrades+'!$AI$9,"B-",IF(T388&lt;'PlayerGrades+'!$AI$8,"B",IF(T388&lt;'PlayerGrades+'!$AI$7,"B+",IF(T388&lt;'PlayerGrades+'!$AI$6,"A-",IF(T388&lt;'PlayerGrades+'!$AI$5,"A",IF(T388&lt;'PlayerGrades+'!$AI$4,"A+",IF(T388&lt;'PlayerGrades+'!$AI$3,"S-",IF(T388&lt;'PlayerGrades+'!$AI$2,"S","S+"))))))))))))))))))))</f>
        <v>S+</v>
      </c>
      <c r="V388" s="941">
        <v>1.0</v>
      </c>
      <c r="W388" s="941">
        <v>1.0</v>
      </c>
      <c r="X388" s="941">
        <v>0.0</v>
      </c>
      <c r="Y388" s="941">
        <v>0.0</v>
      </c>
      <c r="Z388" s="941">
        <v>0.0</v>
      </c>
      <c r="AA388" s="941">
        <v>36.0</v>
      </c>
      <c r="AB388" s="941">
        <v>28.0</v>
      </c>
      <c r="AC388" s="941">
        <v>8.0</v>
      </c>
      <c r="AD388" s="941">
        <v>7.0</v>
      </c>
      <c r="AE388" s="941">
        <v>5.0</v>
      </c>
      <c r="AF388" s="941">
        <v>2.0</v>
      </c>
      <c r="AG388" s="941">
        <v>449.0</v>
      </c>
      <c r="AH388" s="941">
        <v>608.0</v>
      </c>
      <c r="AI388" s="941">
        <v>16.0</v>
      </c>
      <c r="AJ388" s="941">
        <v>0.0</v>
      </c>
      <c r="AK388" s="941">
        <v>0.0</v>
      </c>
      <c r="AL388" s="941">
        <v>2.0</v>
      </c>
      <c r="AM388" s="941">
        <v>0.0</v>
      </c>
      <c r="AN388" s="941">
        <v>0.0</v>
      </c>
      <c r="AO388" s="941">
        <v>0.0</v>
      </c>
      <c r="AP388" s="941">
        <v>2.0</v>
      </c>
      <c r="AQ388" s="941">
        <v>0.0</v>
      </c>
      <c r="AR388" s="941">
        <v>5.0</v>
      </c>
      <c r="AS388" s="941">
        <v>1.0</v>
      </c>
      <c r="AT388" s="941">
        <v>0.0</v>
      </c>
      <c r="AU388" s="941">
        <v>0.0</v>
      </c>
      <c r="AV388" s="941">
        <v>0.0</v>
      </c>
      <c r="AW388" s="941">
        <v>0.0</v>
      </c>
      <c r="AX388" s="941">
        <v>0.0</v>
      </c>
      <c r="AY388" s="941">
        <v>0.0</v>
      </c>
      <c r="AZ388" s="941">
        <v>0.0</v>
      </c>
      <c r="BA388" s="941">
        <v>0.0</v>
      </c>
      <c r="BB388" s="941">
        <v>2.0</v>
      </c>
      <c r="BC388" s="941">
        <v>0.0</v>
      </c>
      <c r="BD388" s="941">
        <v>5.0</v>
      </c>
      <c r="BE388" s="941">
        <v>5.0</v>
      </c>
      <c r="BF388" s="941">
        <v>2.0</v>
      </c>
      <c r="BG388" s="942">
        <v>1.0</v>
      </c>
    </row>
    <row r="389">
      <c r="A389" s="935" t="s">
        <v>152</v>
      </c>
      <c r="B389" s="16" t="str">
        <f>IF(C389&lt;'PlayerGrades+'!$Y$44,"F-",IF(C389&lt;'PlayerGrades+'!$Y$43,"F",IF(C389&lt;'PlayerGrades+'!$Y$42,"F+",IF(C389&lt;'PlayerGrades+'!$Y$41,"E-",IF(C389&lt;'PlayerGrades+'!$Y$40,"E",IF(C389&lt;'PlayerGrades+'!$Y$39,"E+",IF(C389&lt;'PlayerGrades+'!$Y$38,"D-",IF(C389&lt;'PlayerGrades+'!$Y$37,"D",IF(C389&lt;'PlayerGrades+'!$Y$36,"D+",IF(C389&lt;'PlayerGrades+'!$Y$35,"C-",IF(C389&lt;'PlayerGrades+'!$Y$34,"C",IF(C389&lt;'PlayerGrades+'!$Y$33,"C+",IF(C389&lt;'PlayerGrades+'!$Y$32,"B-",IF(C389&lt;'PlayerGrades+'!$Y$31,"B",IF(C389&lt;'PlayerGrades+'!$Y$30,"B+",IF(C389&lt;'PlayerGrades+'!$Y$29,"A-",IF(C389&lt;'PlayerGrades+'!$Y$28,"A",IF(C389&lt;'PlayerGrades+'!$Y$27,"A+",IF(C389&lt;'PlayerGrades+'!$Y$26,"S-",IF(C389&lt;'PlayerGrades+'!$Y$25,"S","S+"))))))))))))))))))))</f>
        <v>F</v>
      </c>
      <c r="C389" s="936">
        <f>('PlayerGrades+'!$Y$47*(VLOOKUP(E389, 'PlayerGrades+'!$X$3:$Y$23, 2, FALSE)))+('PlayerGrades+'!$Y$48*(VLOOKUP(G389, 'PlayerGrades+'!$X$3:$Y$23, 2, FALSE)))+('PlayerGrades+'!$Y$49*(VLOOKUP(I389, 'PlayerGrades+'!$X$3:$Y$23, 2, FALSE)))+('PlayerGrades+'!$Y$50*(VLOOKUP(K389, 'PlayerGrades+'!$X$3:$Y$23, 2, FALSE)))+('PlayerGrades+'!$Y$51*(VLOOKUP(M389, 'PlayerGrades+'!$X$3:$Y$23, 2, FALSE)))+('PlayerGrades+'!$Y$52*(VLOOKUP(O389, 'PlayerGrades+'!$X$3:$Y$23, 2, FALSE)))+('PlayerGrades+'!$Y$53*(VLOOKUP(Q389, 'PlayerGrades+'!$X$3:$Y$23, 2, FALSE)))+('PlayerGrades+'!$Y$54*(VLOOKUP(S389, 'PlayerGrades+'!$X$3:$Y$23, 2, FALSE)))+('PlayerGrades+'!$Y$55*(VLOOKUP(U389, 'PlayerGrades+'!$X$3:$Y$23, 2, FALSE)))</f>
        <v>9</v>
      </c>
      <c r="D389" s="937">
        <f t="shared" si="1"/>
        <v>0</v>
      </c>
      <c r="E389" s="937" t="str">
        <f>IF(D389&lt;'PlayerGrades+'!$AA$21,"F-",IF(D389&lt;'PlayerGrades+'!$AA$20,"F",IF(D389&lt;'PlayerGrades+'!$AA$19,"F+",IF(D389&lt;'PlayerGrades+'!$AA$18,"E-",IF(D389&lt;'PlayerGrades+'!$AA$17,"E",IF(D389&lt;'PlayerGrades+'!$AA$16,"E+",IF(D389&lt;'PlayerGrades+'!$AA$15,"D-",IF(D389&lt;'PlayerGrades+'!$AA$14,"D",IF(D389&lt;'PlayerGrades+'!$AA$13,"D+",IF(D389&lt;'PlayerGrades+'!$AA$12,"C-",IF(D389&lt;'PlayerGrades+'!$AA$11,"C",IF(D389&lt;'PlayerGrades+'!$AA$10,"C+",IF(D389&lt;'PlayerGrades+'!$AA$9,"B-",IF(D389&lt;'PlayerGrades+'!$AA$8,"B",IF(D389&lt;'PlayerGrades+'!$AA$7,"B+",IF(D389&lt;'PlayerGrades+'!$AA$6,"A-",IF(D389&lt;'PlayerGrades+'!$AA$5,"A",IF(D389&lt;'PlayerGrades+'!$AA$4,"A+",IF(D389&lt;'PlayerGrades+'!$AA$3,"S-",IF(D389&lt;'PlayerGrades+'!$AA$2,"S","S+"))))))))))))))))))))</f>
        <v>F-</v>
      </c>
      <c r="F389" s="937">
        <f t="shared" si="2"/>
        <v>-1.282894737</v>
      </c>
      <c r="G389" s="937" t="str">
        <f>IF(F389&lt;'PlayerGrades+'!$AB$21,"F-",IF(F389&lt;'PlayerGrades+'!$AB$20,"F",IF(F389&lt;'PlayerGrades+'!$AB$19,"F+",IF(F389&lt;'PlayerGrades+'!$AB$18,"E-",IF(F389&lt;'PlayerGrades+'!$AB$17,"E",IF(F389&lt;'PlayerGrades+'!$AB$16,"E+",IF(F389&lt;'PlayerGrades+'!$AB$15,"D-",IF(F389&lt;'PlayerGrades+'!$AB$14,"D",IF(F389&lt;'PlayerGrades+'!$AB$13,"D+",IF(F389&lt;'PlayerGrades+'!$AB$12,"C-",IF(F389&lt;'PlayerGrades+'!$AB$11,"C",IF(F389&lt;'PlayerGrades+'!$AB$10,"C+",IF(F389&lt;'PlayerGrades+'!$AB$9,"B-",IF(F389&lt;'PlayerGrades+'!$AB$8,"B",IF(F389&lt;'PlayerGrades+'!$AB$7,"B+",IF(F389&lt;'PlayerGrades+'!$AB$6,"A-",IF(F389&lt;'PlayerGrades+'!$AB$5,"A",IF(F389&lt;'PlayerGrades+'!$AB$4,"A+",IF(F389&lt;'PlayerGrades+'!$AB$3,"S-",IF(F389&lt;'PlayerGrades+'!$AB$2,"S","S+"))))))))))))))))))))</f>
        <v>F-</v>
      </c>
      <c r="H389" s="937">
        <f t="shared" si="3"/>
        <v>0.1973684211</v>
      </c>
      <c r="I389" s="937" t="str">
        <f>IF(H389&lt;'PlayerGrades+'!$AC$21,"F-",IF(H389&lt;'PlayerGrades+'!$AC$20,"F",IF(H389&lt;'PlayerGrades+'!$AC$19,"F+",IF(H389&lt;'PlayerGrades+'!$AC$18,"E-",IF(H389&lt;'PlayerGrades+'!$AC$17,"E",IF(H389&lt;'PlayerGrades+'!$AC$16,"E+",IF(H389&lt;'PlayerGrades+'!$AC$15,"D-",IF(H389&lt;'PlayerGrades+'!$AC$14,"D",IF(H389&lt;'PlayerGrades+'!$AC$13,"D+",IF(H389&lt;'PlayerGrades+'!$AC$12,"C-",IF(H389&lt;'PlayerGrades+'!$AC$11,"C",IF(H389&lt;'PlayerGrades+'!$AC$10,"C+",IF(H389&lt;'PlayerGrades+'!$AC$9,"B-",IF(H389&lt;'PlayerGrades+'!$AC$8,"B",IF(H389&lt;'PlayerGrades+'!$AC$7,"B+",IF(H389&lt;'PlayerGrades+'!$AC$6,"A-",IF(H389&lt;'PlayerGrades+'!$AC$5,"A",IF(H389&lt;'PlayerGrades+'!$AC$4,"A+",IF(H389&lt;'PlayerGrades+'!$AC$3,"S-",IF(H389&lt;'PlayerGrades+'!$AC$2,"S","S+"))))))))))))))))))))</f>
        <v>S</v>
      </c>
      <c r="J389" s="937">
        <f t="shared" si="4"/>
        <v>0</v>
      </c>
      <c r="K389" s="937" t="str">
        <f>IF(J389&lt;'PlayerGrades+'!$AD$21,"F-",IF(J389&lt;'PlayerGrades+'!$AD$20,"F",IF(J389&lt;'PlayerGrades+'!$AD$19,"F+",IF(J389&lt;'PlayerGrades+'!$AD$18,"E-",IF(J389&lt;'PlayerGrades+'!$AD$17,"E",IF(J389&lt;'PlayerGrades+'!$AD$16,"E+",IF(J389&lt;'PlayerGrades+'!$AD$15,"D-",IF(J389&lt;'PlayerGrades+'!$AD$14,"D",IF(J389&lt;'PlayerGrades+'!$AD$13,"D+",IF(J389&lt;'PlayerGrades+'!$AD$12,"C-",IF(J389&lt;'PlayerGrades+'!$AD$11,"C",IF(J389&lt;'PlayerGrades+'!$AD$10,"C+",IF(J389&lt;'PlayerGrades+'!$AD$9,"B-",IF(J389&lt;'PlayerGrades+'!$AD$8,"B",IF(J389&lt;'PlayerGrades+'!$AD$7,"B+",IF(J389&lt;'PlayerGrades+'!$AD$6,"A-",IF(J389&lt;'PlayerGrades+'!$AD$5,"A",IF(J389&lt;'PlayerGrades+'!$AD$4,"A+",IF(J389&lt;'PlayerGrades+'!$AD$3,"S-",IF(J389&lt;'PlayerGrades+'!$AD$2,"S","S+"))))))))))))))))))))</f>
        <v>F-</v>
      </c>
      <c r="L389" s="677">
        <f t="shared" si="5"/>
        <v>0.1973684211</v>
      </c>
      <c r="M389" s="938" t="str">
        <f>IF(L389&lt;'PlayerGrades+'!$AE$21,"F-",IF(L389&lt;'PlayerGrades+'!$AE$20,"F",IF(L389&lt;'PlayerGrades+'!$AE$19,"F+",IF(L389&lt;'PlayerGrades+'!$AE$18,"E-",IF(L389&lt;'PlayerGrades+'!$AE$17,"E",IF(L389&lt;'PlayerGrades+'!$AE$16,"E+",IF(L389&lt;'PlayerGrades+'!$AE$15,"D-",IF(L389&lt;'PlayerGrades+'!$AE$14,"D",IF(L389&lt;'PlayerGrades+'!$AE$13,"D+",IF(L389&lt;'PlayerGrades+'!$AE$12,"C-",IF(L389&lt;'PlayerGrades+'!$AE$11,"C",IF(L389&lt;'PlayerGrades+'!$AE$10,"C+",IF(L389&lt;'PlayerGrades+'!$AE$9,"B-",IF(L389&lt;'PlayerGrades+'!$AE$8,"B",IF(L389&lt;'PlayerGrades+'!$AE$7,"B+",IF(L389&lt;'PlayerGrades+'!$AE$6,"A-",IF(L389&lt;'PlayerGrades+'!$AE$5,"A",IF(L389&lt;'PlayerGrades+'!$AE$4,"A+",IF(L389&lt;'PlayerGrades+'!$AE$3,"S-",IF(L389&lt;'PlayerGrades+'!$AE$2,"S","S+"))))))))))))))))))))</f>
        <v>F</v>
      </c>
      <c r="N389" s="937">
        <f t="shared" si="6"/>
        <v>0</v>
      </c>
      <c r="O389" s="937" t="str">
        <f>IF(N389&lt;'PlayerGrades+'!$AF$21,"F-",IF(N389&lt;'PlayerGrades+'!$AF$20,"F",IF(N389&lt;'PlayerGrades+'!$AF$19,"F+",IF(N389&lt;'PlayerGrades+'!$AF$18,"E-",IF(N389&lt;'PlayerGrades+'!$AF$17,"E",IF(N389&lt;'PlayerGrades+'!$AF$16,"E+",IF(N389&lt;'PlayerGrades+'!$AF$15,"D-",IF(N389&lt;'PlayerGrades+'!$AF$14,"D",IF(N389&lt;'PlayerGrades+'!$AF$13,"D+",IF(N389&lt;'PlayerGrades+'!$AF$12,"C-",IF(N389&lt;'PlayerGrades+'!$AF$11,"C",IF(N389&lt;'PlayerGrades+'!$AF$10,"C+",IF(N389&lt;'PlayerGrades+'!$AF$9,"B-",IF(N389&lt;'PlayerGrades+'!$AF$8,"B",IF(N389&lt;'PlayerGrades+'!$AF$7,"B+",IF(N389&lt;'PlayerGrades+'!$AF$6,"A-",IF(N389&lt;'PlayerGrades+'!$AF$5,"A",IF(N389&lt;'PlayerGrades+'!$AF$4,"A+",IF(N389&lt;'PlayerGrades+'!$AF$3,"S-",IF(N389&lt;'PlayerGrades+'!$AF$2,"S","S+"))))))))))))))))))))</f>
        <v>F-</v>
      </c>
      <c r="P389" s="937">
        <f t="shared" si="7"/>
        <v>0</v>
      </c>
      <c r="Q389" s="937" t="str">
        <f>IF(P389&lt;'PlayerGrades+'!$AG$21,"F-",IF(P389&lt;'PlayerGrades+'!$AG$20,"F",IF(P389&lt;'PlayerGrades+'!$AG$19,"F+",IF(P389&lt;'PlayerGrades+'!$AG$18,"E-",IF(P389&lt;'PlayerGrades+'!$AG$17,"E",IF(P389&lt;'PlayerGrades+'!$AG$16,"E+",IF(P389&lt;'PlayerGrades+'!$AG$15,"D-",IF(P389&lt;'PlayerGrades+'!$AG$14,"D",IF(P389&lt;'PlayerGrades+'!$AG$13,"D+",IF(P389&lt;'PlayerGrades+'!$AG$12,"C-",IF(P389&lt;'PlayerGrades+'!$AG$11,"C",IF(P389&lt;'PlayerGrades+'!$AG$10,"C+",IF(P389&lt;'PlayerGrades+'!$AG$9,"B-",IF(P389&lt;'PlayerGrades+'!$AG$8,"B",IF(P389&lt;'PlayerGrades+'!$AG$7,"B+",IF(P389&lt;'PlayerGrades+'!$AG$6,"A-",IF(P389&lt;'PlayerGrades+'!$AG$5,"A",IF(P389&lt;'PlayerGrades+'!$AG$4,"A+",IF(P389&lt;'PlayerGrades+'!$AG$3,"S-",IF(P389&lt;'PlayerGrades+'!$AG$2,"S","S+"))))))))))))))))))))</f>
        <v>F</v>
      </c>
      <c r="R389" s="937">
        <f t="shared" si="8"/>
        <v>0.4934210526</v>
      </c>
      <c r="S389" s="937" t="str">
        <f>IF(R389&lt;'PlayerGrades+'!$AH$21,"F-",IF(R389&lt;'PlayerGrades+'!$AH$20,"F",IF(R389&lt;'PlayerGrades+'!$AH$19,"F+",IF(R389&lt;'PlayerGrades+'!$AH$18,"E-",IF(R389&lt;'PlayerGrades+'!$AH$17,"E",IF(R389&lt;'PlayerGrades+'!$AH$16,"E+",IF(R389&lt;'PlayerGrades+'!$AH$15,"D-",IF(R389&lt;'PlayerGrades+'!$AH$14,"D",IF(R389&lt;'PlayerGrades+'!$AH$13,"D+",IF(R389&lt;'PlayerGrades+'!$AH$12,"C-",IF(R389&lt;'PlayerGrades+'!$AH$11,"C",IF(R389&lt;'PlayerGrades+'!$AH$10,"C+",IF(R389&lt;'PlayerGrades+'!$AH$9,"B-",IF(R389&lt;'PlayerGrades+'!$AH$8,"B",IF(R389&lt;'PlayerGrades+'!$AH$7,"B+",IF(R389&lt;'PlayerGrades+'!$AH$6,"A-",IF(R389&lt;'PlayerGrades+'!$AH$5,"A",IF(R389&lt;'PlayerGrades+'!$AH$4,"A+",IF(R389&lt;'PlayerGrades+'!$AH$3,"S-",IF(R389&lt;'PlayerGrades+'!$AH$2,"S","S+"))))))))))))))))))))</f>
        <v>D-</v>
      </c>
      <c r="T389" s="937">
        <f t="shared" si="9"/>
        <v>0.1973684211</v>
      </c>
      <c r="U389" s="937" t="str">
        <f>IF(T389&lt;'PlayerGrades+'!$AI$21,"F-",IF(T389&lt;'PlayerGrades+'!$AI$20,"F",IF(T389&lt;'PlayerGrades+'!$AI$19,"F+",IF(T389&lt;'PlayerGrades+'!$AI$18,"E-",IF(T389&lt;'PlayerGrades+'!$AI$17,"E",IF(T389&lt;'PlayerGrades+'!$AI$16,"E+",IF(T389&lt;'PlayerGrades+'!$AI$15,"D-",IF(T389&lt;'PlayerGrades+'!$AI$14,"D",IF(T389&lt;'PlayerGrades+'!$AI$13,"D+",IF(T389&lt;'PlayerGrades+'!$AI$12,"C-",IF(T389&lt;'PlayerGrades+'!$AI$11,"C",IF(T389&lt;'PlayerGrades+'!$AI$10,"C+",IF(T389&lt;'PlayerGrades+'!$AI$9,"B-",IF(T389&lt;'PlayerGrades+'!$AI$8,"B",IF(T389&lt;'PlayerGrades+'!$AI$7,"B+",IF(T389&lt;'PlayerGrades+'!$AI$6,"A-",IF(T389&lt;'PlayerGrades+'!$AI$5,"A",IF(T389&lt;'PlayerGrades+'!$AI$4,"A+",IF(T389&lt;'PlayerGrades+'!$AI$3,"S-",IF(T389&lt;'PlayerGrades+'!$AI$2,"S","S+"))))))))))))))))))))</f>
        <v>F-</v>
      </c>
      <c r="V389" s="941">
        <v>1.0</v>
      </c>
      <c r="W389" s="941">
        <v>1.0</v>
      </c>
      <c r="X389" s="941">
        <v>0.0</v>
      </c>
      <c r="Y389" s="941">
        <v>0.0</v>
      </c>
      <c r="Z389" s="941">
        <v>0.0</v>
      </c>
      <c r="AA389" s="941">
        <v>23.0</v>
      </c>
      <c r="AB389" s="941">
        <v>36.0</v>
      </c>
      <c r="AC389" s="941">
        <v>-13.0</v>
      </c>
      <c r="AD389" s="941">
        <v>3.0</v>
      </c>
      <c r="AE389" s="941">
        <v>3.0</v>
      </c>
      <c r="AF389" s="941">
        <v>0.0</v>
      </c>
      <c r="AG389" s="941">
        <v>419.0</v>
      </c>
      <c r="AH389" s="941">
        <v>608.0</v>
      </c>
      <c r="AI389" s="941">
        <v>11.0</v>
      </c>
      <c r="AJ389" s="941">
        <v>3.0</v>
      </c>
      <c r="AK389" s="941">
        <v>0.0</v>
      </c>
      <c r="AL389" s="941">
        <v>0.0</v>
      </c>
      <c r="AM389" s="941">
        <v>0.0</v>
      </c>
      <c r="AN389" s="941">
        <v>0.0</v>
      </c>
      <c r="AO389" s="941">
        <v>0.0</v>
      </c>
      <c r="AP389" s="941">
        <v>0.0</v>
      </c>
      <c r="AQ389" s="941">
        <v>0.0</v>
      </c>
      <c r="AR389" s="941">
        <v>2.0</v>
      </c>
      <c r="AS389" s="941">
        <v>0.0</v>
      </c>
      <c r="AT389" s="941">
        <v>0.0</v>
      </c>
      <c r="AU389" s="941">
        <v>0.0</v>
      </c>
      <c r="AV389" s="941">
        <v>0.0</v>
      </c>
      <c r="AW389" s="941">
        <v>0.0</v>
      </c>
      <c r="AX389" s="941">
        <v>0.0</v>
      </c>
      <c r="AY389" s="941">
        <v>0.0</v>
      </c>
      <c r="AZ389" s="941">
        <v>0.0</v>
      </c>
      <c r="BA389" s="941">
        <v>0.0</v>
      </c>
      <c r="BB389" s="941">
        <v>2.0</v>
      </c>
      <c r="BC389" s="941">
        <v>0.0</v>
      </c>
      <c r="BD389" s="941">
        <v>2.0</v>
      </c>
      <c r="BE389" s="941">
        <v>2.0</v>
      </c>
      <c r="BF389" s="941">
        <v>0.0</v>
      </c>
      <c r="BG389" s="942">
        <v>1.0</v>
      </c>
    </row>
    <row r="390">
      <c r="A390" s="935" t="s">
        <v>114</v>
      </c>
      <c r="B390" s="16" t="str">
        <f>IF(C390&lt;'PlayerGrades+'!$Y$44,"F-",IF(C390&lt;'PlayerGrades+'!$Y$43,"F",IF(C390&lt;'PlayerGrades+'!$Y$42,"F+",IF(C390&lt;'PlayerGrades+'!$Y$41,"E-",IF(C390&lt;'PlayerGrades+'!$Y$40,"E",IF(C390&lt;'PlayerGrades+'!$Y$39,"E+",IF(C390&lt;'PlayerGrades+'!$Y$38,"D-",IF(C390&lt;'PlayerGrades+'!$Y$37,"D",IF(C390&lt;'PlayerGrades+'!$Y$36,"D+",IF(C390&lt;'PlayerGrades+'!$Y$35,"C-",IF(C390&lt;'PlayerGrades+'!$Y$34,"C",IF(C390&lt;'PlayerGrades+'!$Y$33,"C+",IF(C390&lt;'PlayerGrades+'!$Y$32,"B-",IF(C390&lt;'PlayerGrades+'!$Y$31,"B",IF(C390&lt;'PlayerGrades+'!$Y$30,"B+",IF(C390&lt;'PlayerGrades+'!$Y$29,"A-",IF(C390&lt;'PlayerGrades+'!$Y$28,"A",IF(C390&lt;'PlayerGrades+'!$Y$27,"A+",IF(C390&lt;'PlayerGrades+'!$Y$26,"S-",IF(C390&lt;'PlayerGrades+'!$Y$25,"S","S+"))))))))))))))))))))</f>
        <v>F</v>
      </c>
      <c r="C390" s="936">
        <f>('PlayerGrades+'!$Y$47*(VLOOKUP(E390, 'PlayerGrades+'!$X$3:$Y$23, 2, FALSE)))+('PlayerGrades+'!$Y$48*(VLOOKUP(G390, 'PlayerGrades+'!$X$3:$Y$23, 2, FALSE)))+('PlayerGrades+'!$Y$49*(VLOOKUP(I390, 'PlayerGrades+'!$X$3:$Y$23, 2, FALSE)))+('PlayerGrades+'!$Y$50*(VLOOKUP(K390, 'PlayerGrades+'!$X$3:$Y$23, 2, FALSE)))+('PlayerGrades+'!$Y$51*(VLOOKUP(M390, 'PlayerGrades+'!$X$3:$Y$23, 2, FALSE)))+('PlayerGrades+'!$Y$52*(VLOOKUP(O390, 'PlayerGrades+'!$X$3:$Y$23, 2, FALSE)))+('PlayerGrades+'!$Y$53*(VLOOKUP(Q390, 'PlayerGrades+'!$X$3:$Y$23, 2, FALSE)))+('PlayerGrades+'!$Y$54*(VLOOKUP(S390, 'PlayerGrades+'!$X$3:$Y$23, 2, FALSE)))+('PlayerGrades+'!$Y$55*(VLOOKUP(U390, 'PlayerGrades+'!$X$3:$Y$23, 2, FALSE)))</f>
        <v>9.35</v>
      </c>
      <c r="D390" s="937">
        <f t="shared" si="1"/>
        <v>0.3947368421</v>
      </c>
      <c r="E390" s="937" t="str">
        <f>IF(D390&lt;'PlayerGrades+'!$AA$21,"F-",IF(D390&lt;'PlayerGrades+'!$AA$20,"F",IF(D390&lt;'PlayerGrades+'!$AA$19,"F+",IF(D390&lt;'PlayerGrades+'!$AA$18,"E-",IF(D390&lt;'PlayerGrades+'!$AA$17,"E",IF(D390&lt;'PlayerGrades+'!$AA$16,"E+",IF(D390&lt;'PlayerGrades+'!$AA$15,"D-",IF(D390&lt;'PlayerGrades+'!$AA$14,"D",IF(D390&lt;'PlayerGrades+'!$AA$13,"D+",IF(D390&lt;'PlayerGrades+'!$AA$12,"C-",IF(D390&lt;'PlayerGrades+'!$AA$11,"C",IF(D390&lt;'PlayerGrades+'!$AA$10,"C+",IF(D390&lt;'PlayerGrades+'!$AA$9,"B-",IF(D390&lt;'PlayerGrades+'!$AA$8,"B",IF(D390&lt;'PlayerGrades+'!$AA$7,"B+",IF(D390&lt;'PlayerGrades+'!$AA$6,"A-",IF(D390&lt;'PlayerGrades+'!$AA$5,"A",IF(D390&lt;'PlayerGrades+'!$AA$4,"A+",IF(D390&lt;'PlayerGrades+'!$AA$3,"S-",IF(D390&lt;'PlayerGrades+'!$AA$2,"S","S+"))))))))))))))))))))</f>
        <v>A+</v>
      </c>
      <c r="F390" s="937">
        <f t="shared" si="2"/>
        <v>-0.5921052632</v>
      </c>
      <c r="G390" s="937" t="str">
        <f>IF(F390&lt;'PlayerGrades+'!$AB$21,"F-",IF(F390&lt;'PlayerGrades+'!$AB$20,"F",IF(F390&lt;'PlayerGrades+'!$AB$19,"F+",IF(F390&lt;'PlayerGrades+'!$AB$18,"E-",IF(F390&lt;'PlayerGrades+'!$AB$17,"E",IF(F390&lt;'PlayerGrades+'!$AB$16,"E+",IF(F390&lt;'PlayerGrades+'!$AB$15,"D-",IF(F390&lt;'PlayerGrades+'!$AB$14,"D",IF(F390&lt;'PlayerGrades+'!$AB$13,"D+",IF(F390&lt;'PlayerGrades+'!$AB$12,"C-",IF(F390&lt;'PlayerGrades+'!$AB$11,"C",IF(F390&lt;'PlayerGrades+'!$AB$10,"C+",IF(F390&lt;'PlayerGrades+'!$AB$9,"B-",IF(F390&lt;'PlayerGrades+'!$AB$8,"B",IF(F390&lt;'PlayerGrades+'!$AB$7,"B+",IF(F390&lt;'PlayerGrades+'!$AB$6,"A-",IF(F390&lt;'PlayerGrades+'!$AB$5,"A",IF(F390&lt;'PlayerGrades+'!$AB$4,"A+",IF(F390&lt;'PlayerGrades+'!$AB$3,"S-",IF(F390&lt;'PlayerGrades+'!$AB$2,"S","S+"))))))))))))))))))))</f>
        <v>D</v>
      </c>
      <c r="H390" s="937">
        <f t="shared" si="3"/>
        <v>0</v>
      </c>
      <c r="I390" s="937" t="str">
        <f>IF(H390&lt;'PlayerGrades+'!$AC$21,"F-",IF(H390&lt;'PlayerGrades+'!$AC$20,"F",IF(H390&lt;'PlayerGrades+'!$AC$19,"F+",IF(H390&lt;'PlayerGrades+'!$AC$18,"E-",IF(H390&lt;'PlayerGrades+'!$AC$17,"E",IF(H390&lt;'PlayerGrades+'!$AC$16,"E+",IF(H390&lt;'PlayerGrades+'!$AC$15,"D-",IF(H390&lt;'PlayerGrades+'!$AC$14,"D",IF(H390&lt;'PlayerGrades+'!$AC$13,"D+",IF(H390&lt;'PlayerGrades+'!$AC$12,"C-",IF(H390&lt;'PlayerGrades+'!$AC$11,"C",IF(H390&lt;'PlayerGrades+'!$AC$10,"C+",IF(H390&lt;'PlayerGrades+'!$AC$9,"B-",IF(H390&lt;'PlayerGrades+'!$AC$8,"B",IF(H390&lt;'PlayerGrades+'!$AC$7,"B+",IF(H390&lt;'PlayerGrades+'!$AC$6,"A-",IF(H390&lt;'PlayerGrades+'!$AC$5,"A",IF(H390&lt;'PlayerGrades+'!$AC$4,"A+",IF(H390&lt;'PlayerGrades+'!$AC$3,"S-",IF(H390&lt;'PlayerGrades+'!$AC$2,"S","S+"))))))))))))))))))))</f>
        <v>F-</v>
      </c>
      <c r="J390" s="937">
        <f t="shared" si="4"/>
        <v>0</v>
      </c>
      <c r="K390" s="937" t="str">
        <f>IF(J390&lt;'PlayerGrades+'!$AD$21,"F-",IF(J390&lt;'PlayerGrades+'!$AD$20,"F",IF(J390&lt;'PlayerGrades+'!$AD$19,"F+",IF(J390&lt;'PlayerGrades+'!$AD$18,"E-",IF(J390&lt;'PlayerGrades+'!$AD$17,"E",IF(J390&lt;'PlayerGrades+'!$AD$16,"E+",IF(J390&lt;'PlayerGrades+'!$AD$15,"D-",IF(J390&lt;'PlayerGrades+'!$AD$14,"D",IF(J390&lt;'PlayerGrades+'!$AD$13,"D+",IF(J390&lt;'PlayerGrades+'!$AD$12,"C-",IF(J390&lt;'PlayerGrades+'!$AD$11,"C",IF(J390&lt;'PlayerGrades+'!$AD$10,"C+",IF(J390&lt;'PlayerGrades+'!$AD$9,"B-",IF(J390&lt;'PlayerGrades+'!$AD$8,"B",IF(J390&lt;'PlayerGrades+'!$AD$7,"B+",IF(J390&lt;'PlayerGrades+'!$AD$6,"A-",IF(J390&lt;'PlayerGrades+'!$AD$5,"A",IF(J390&lt;'PlayerGrades+'!$AD$4,"A+",IF(J390&lt;'PlayerGrades+'!$AD$3,"S-",IF(J390&lt;'PlayerGrades+'!$AD$2,"S","S+"))))))))))))))))))))</f>
        <v>F-</v>
      </c>
      <c r="L390" s="677">
        <f t="shared" si="5"/>
        <v>0.1973684211</v>
      </c>
      <c r="M390" s="938" t="str">
        <f>IF(L390&lt;'PlayerGrades+'!$AE$21,"F-",IF(L390&lt;'PlayerGrades+'!$AE$20,"F",IF(L390&lt;'PlayerGrades+'!$AE$19,"F+",IF(L390&lt;'PlayerGrades+'!$AE$18,"E-",IF(L390&lt;'PlayerGrades+'!$AE$17,"E",IF(L390&lt;'PlayerGrades+'!$AE$16,"E+",IF(L390&lt;'PlayerGrades+'!$AE$15,"D-",IF(L390&lt;'PlayerGrades+'!$AE$14,"D",IF(L390&lt;'PlayerGrades+'!$AE$13,"D+",IF(L390&lt;'PlayerGrades+'!$AE$12,"C-",IF(L390&lt;'PlayerGrades+'!$AE$11,"C",IF(L390&lt;'PlayerGrades+'!$AE$10,"C+",IF(L390&lt;'PlayerGrades+'!$AE$9,"B-",IF(L390&lt;'PlayerGrades+'!$AE$8,"B",IF(L390&lt;'PlayerGrades+'!$AE$7,"B+",IF(L390&lt;'PlayerGrades+'!$AE$6,"A-",IF(L390&lt;'PlayerGrades+'!$AE$5,"A",IF(L390&lt;'PlayerGrades+'!$AE$4,"A+",IF(L390&lt;'PlayerGrades+'!$AE$3,"S-",IF(L390&lt;'PlayerGrades+'!$AE$2,"S","S+"))))))))))))))))))))</f>
        <v>F</v>
      </c>
      <c r="N390" s="937">
        <f t="shared" si="6"/>
        <v>0</v>
      </c>
      <c r="O390" s="937" t="str">
        <f>IF(N390&lt;'PlayerGrades+'!$AF$21,"F-",IF(N390&lt;'PlayerGrades+'!$AF$20,"F",IF(N390&lt;'PlayerGrades+'!$AF$19,"F+",IF(N390&lt;'PlayerGrades+'!$AF$18,"E-",IF(N390&lt;'PlayerGrades+'!$AF$17,"E",IF(N390&lt;'PlayerGrades+'!$AF$16,"E+",IF(N390&lt;'PlayerGrades+'!$AF$15,"D-",IF(N390&lt;'PlayerGrades+'!$AF$14,"D",IF(N390&lt;'PlayerGrades+'!$AF$13,"D+",IF(N390&lt;'PlayerGrades+'!$AF$12,"C-",IF(N390&lt;'PlayerGrades+'!$AF$11,"C",IF(N390&lt;'PlayerGrades+'!$AF$10,"C+",IF(N390&lt;'PlayerGrades+'!$AF$9,"B-",IF(N390&lt;'PlayerGrades+'!$AF$8,"B",IF(N390&lt;'PlayerGrades+'!$AF$7,"B+",IF(N390&lt;'PlayerGrades+'!$AF$6,"A-",IF(N390&lt;'PlayerGrades+'!$AF$5,"A",IF(N390&lt;'PlayerGrades+'!$AF$4,"A+",IF(N390&lt;'PlayerGrades+'!$AF$3,"S-",IF(N390&lt;'PlayerGrades+'!$AF$2,"S","S+"))))))))))))))))))))</f>
        <v>F-</v>
      </c>
      <c r="P390" s="937">
        <f t="shared" si="7"/>
        <v>0</v>
      </c>
      <c r="Q390" s="937" t="str">
        <f>IF(P390&lt;'PlayerGrades+'!$AG$21,"F-",IF(P390&lt;'PlayerGrades+'!$AG$20,"F",IF(P390&lt;'PlayerGrades+'!$AG$19,"F+",IF(P390&lt;'PlayerGrades+'!$AG$18,"E-",IF(P390&lt;'PlayerGrades+'!$AG$17,"E",IF(P390&lt;'PlayerGrades+'!$AG$16,"E+",IF(P390&lt;'PlayerGrades+'!$AG$15,"D-",IF(P390&lt;'PlayerGrades+'!$AG$14,"D",IF(P390&lt;'PlayerGrades+'!$AG$13,"D+",IF(P390&lt;'PlayerGrades+'!$AG$12,"C-",IF(P390&lt;'PlayerGrades+'!$AG$11,"C",IF(P390&lt;'PlayerGrades+'!$AG$10,"C+",IF(P390&lt;'PlayerGrades+'!$AG$9,"B-",IF(P390&lt;'PlayerGrades+'!$AG$8,"B",IF(P390&lt;'PlayerGrades+'!$AG$7,"B+",IF(P390&lt;'PlayerGrades+'!$AG$6,"A-",IF(P390&lt;'PlayerGrades+'!$AG$5,"A",IF(P390&lt;'PlayerGrades+'!$AG$4,"A+",IF(P390&lt;'PlayerGrades+'!$AG$3,"S-",IF(P390&lt;'PlayerGrades+'!$AG$2,"S","S+"))))))))))))))))))))</f>
        <v>F</v>
      </c>
      <c r="R390" s="937">
        <f t="shared" si="8"/>
        <v>0.3947368421</v>
      </c>
      <c r="S390" s="937" t="str">
        <f>IF(R390&lt;'PlayerGrades+'!$AH$21,"F-",IF(R390&lt;'PlayerGrades+'!$AH$20,"F",IF(R390&lt;'PlayerGrades+'!$AH$19,"F+",IF(R390&lt;'PlayerGrades+'!$AH$18,"E-",IF(R390&lt;'PlayerGrades+'!$AH$17,"E",IF(R390&lt;'PlayerGrades+'!$AH$16,"E+",IF(R390&lt;'PlayerGrades+'!$AH$15,"D-",IF(R390&lt;'PlayerGrades+'!$AH$14,"D",IF(R390&lt;'PlayerGrades+'!$AH$13,"D+",IF(R390&lt;'PlayerGrades+'!$AH$12,"C-",IF(R390&lt;'PlayerGrades+'!$AH$11,"C",IF(R390&lt;'PlayerGrades+'!$AH$10,"C+",IF(R390&lt;'PlayerGrades+'!$AH$9,"B-",IF(R390&lt;'PlayerGrades+'!$AH$8,"B",IF(R390&lt;'PlayerGrades+'!$AH$7,"B+",IF(R390&lt;'PlayerGrades+'!$AH$6,"A-",IF(R390&lt;'PlayerGrades+'!$AH$5,"A",IF(R390&lt;'PlayerGrades+'!$AH$4,"A+",IF(R390&lt;'PlayerGrades+'!$AH$3,"S-",IF(R390&lt;'PlayerGrades+'!$AH$2,"S","S+"))))))))))))))))))))</f>
        <v>F+</v>
      </c>
      <c r="T390" s="937">
        <f t="shared" si="9"/>
        <v>0</v>
      </c>
      <c r="U390" s="937" t="str">
        <f>IF(T390&lt;'PlayerGrades+'!$AI$21,"F-",IF(T390&lt;'PlayerGrades+'!$AI$20,"F",IF(T390&lt;'PlayerGrades+'!$AI$19,"F+",IF(T390&lt;'PlayerGrades+'!$AI$18,"E-",IF(T390&lt;'PlayerGrades+'!$AI$17,"E",IF(T390&lt;'PlayerGrades+'!$AI$16,"E+",IF(T390&lt;'PlayerGrades+'!$AI$15,"D-",IF(T390&lt;'PlayerGrades+'!$AI$14,"D",IF(T390&lt;'PlayerGrades+'!$AI$13,"D+",IF(T390&lt;'PlayerGrades+'!$AI$12,"C-",IF(T390&lt;'PlayerGrades+'!$AI$11,"C",IF(T390&lt;'PlayerGrades+'!$AI$10,"C+",IF(T390&lt;'PlayerGrades+'!$AI$9,"B-",IF(T390&lt;'PlayerGrades+'!$AI$8,"B",IF(T390&lt;'PlayerGrades+'!$AI$7,"B+",IF(T390&lt;'PlayerGrades+'!$AI$6,"A-",IF(T390&lt;'PlayerGrades+'!$AI$5,"A",IF(T390&lt;'PlayerGrades+'!$AI$4,"A+",IF(T390&lt;'PlayerGrades+'!$AI$3,"S-",IF(T390&lt;'PlayerGrades+'!$AI$2,"S","S+"))))))))))))))))))))</f>
        <v>F-</v>
      </c>
      <c r="V390" s="941">
        <v>1.0</v>
      </c>
      <c r="W390" s="941">
        <v>0.0</v>
      </c>
      <c r="X390" s="941">
        <v>1.0</v>
      </c>
      <c r="Y390" s="941">
        <v>1.0</v>
      </c>
      <c r="Z390" s="941">
        <v>3.0</v>
      </c>
      <c r="AA390" s="941">
        <v>21.0</v>
      </c>
      <c r="AB390" s="941">
        <v>27.0</v>
      </c>
      <c r="AC390" s="941">
        <v>-6.0</v>
      </c>
      <c r="AD390" s="941">
        <v>1.0</v>
      </c>
      <c r="AE390" s="941">
        <v>4.0</v>
      </c>
      <c r="AF390" s="941">
        <v>1.0</v>
      </c>
      <c r="AG390" s="941">
        <v>445.0</v>
      </c>
      <c r="AH390" s="941">
        <v>608.0</v>
      </c>
      <c r="AI390" s="941">
        <v>16.0</v>
      </c>
      <c r="AJ390" s="941">
        <v>126.0</v>
      </c>
      <c r="AK390" s="941">
        <v>0.0</v>
      </c>
      <c r="AL390" s="941">
        <v>0.0</v>
      </c>
      <c r="AM390" s="941">
        <v>0.0</v>
      </c>
      <c r="AN390" s="941">
        <v>0.0</v>
      </c>
      <c r="AO390" s="941">
        <v>0.0</v>
      </c>
      <c r="AP390" s="941">
        <v>0.0</v>
      </c>
      <c r="AQ390" s="941">
        <v>0.0</v>
      </c>
      <c r="AR390" s="941">
        <v>2.0</v>
      </c>
      <c r="AS390" s="941">
        <v>0.0</v>
      </c>
      <c r="AT390" s="941">
        <v>0.0</v>
      </c>
      <c r="AU390" s="941">
        <v>0.0</v>
      </c>
      <c r="AV390" s="941">
        <v>0.0</v>
      </c>
      <c r="AW390" s="941">
        <v>0.0</v>
      </c>
      <c r="AX390" s="941">
        <v>0.0</v>
      </c>
      <c r="AY390" s="941">
        <v>0.0</v>
      </c>
      <c r="AZ390" s="941">
        <v>0.0</v>
      </c>
      <c r="BA390" s="941">
        <v>0.0</v>
      </c>
      <c r="BB390" s="941">
        <v>0.0</v>
      </c>
      <c r="BC390" s="941">
        <v>0.0</v>
      </c>
      <c r="BD390" s="941">
        <v>3.0</v>
      </c>
      <c r="BE390" s="941">
        <v>0.0</v>
      </c>
      <c r="BF390" s="941">
        <v>0.0</v>
      </c>
      <c r="BG390" s="942">
        <v>0.0</v>
      </c>
    </row>
    <row r="391">
      <c r="A391" s="935" t="s">
        <v>129</v>
      </c>
      <c r="B391" s="16" t="str">
        <f>IF(C391&lt;'PlayerGrades+'!$Y$44,"F-",IF(C391&lt;'PlayerGrades+'!$Y$43,"F",IF(C391&lt;'PlayerGrades+'!$Y$42,"F+",IF(C391&lt;'PlayerGrades+'!$Y$41,"E-",IF(C391&lt;'PlayerGrades+'!$Y$40,"E",IF(C391&lt;'PlayerGrades+'!$Y$39,"E+",IF(C391&lt;'PlayerGrades+'!$Y$38,"D-",IF(C391&lt;'PlayerGrades+'!$Y$37,"D",IF(C391&lt;'PlayerGrades+'!$Y$36,"D+",IF(C391&lt;'PlayerGrades+'!$Y$35,"C-",IF(C391&lt;'PlayerGrades+'!$Y$34,"C",IF(C391&lt;'PlayerGrades+'!$Y$33,"C+",IF(C391&lt;'PlayerGrades+'!$Y$32,"B-",IF(C391&lt;'PlayerGrades+'!$Y$31,"B",IF(C391&lt;'PlayerGrades+'!$Y$30,"B+",IF(C391&lt;'PlayerGrades+'!$Y$29,"A-",IF(C391&lt;'PlayerGrades+'!$Y$28,"A",IF(C391&lt;'PlayerGrades+'!$Y$27,"A+",IF(C391&lt;'PlayerGrades+'!$Y$26,"S-",IF(C391&lt;'PlayerGrades+'!$Y$25,"S","S+"))))))))))))))))))))</f>
        <v>E-</v>
      </c>
      <c r="C391" s="936">
        <f>('PlayerGrades+'!$Y$47*(VLOOKUP(E391, 'PlayerGrades+'!$X$3:$Y$23, 2, FALSE)))+('PlayerGrades+'!$Y$48*(VLOOKUP(G391, 'PlayerGrades+'!$X$3:$Y$23, 2, FALSE)))+('PlayerGrades+'!$Y$49*(VLOOKUP(I391, 'PlayerGrades+'!$X$3:$Y$23, 2, FALSE)))+('PlayerGrades+'!$Y$50*(VLOOKUP(K391, 'PlayerGrades+'!$X$3:$Y$23, 2, FALSE)))+('PlayerGrades+'!$Y$51*(VLOOKUP(M391, 'PlayerGrades+'!$X$3:$Y$23, 2, FALSE)))+('PlayerGrades+'!$Y$52*(VLOOKUP(O391, 'PlayerGrades+'!$X$3:$Y$23, 2, FALSE)))+('PlayerGrades+'!$Y$53*(VLOOKUP(Q391, 'PlayerGrades+'!$X$3:$Y$23, 2, FALSE)))+('PlayerGrades+'!$Y$54*(VLOOKUP(S391, 'PlayerGrades+'!$X$3:$Y$23, 2, FALSE)))+('PlayerGrades+'!$Y$55*(VLOOKUP(U391, 'PlayerGrades+'!$X$3:$Y$23, 2, FALSE)))</f>
        <v>12.2</v>
      </c>
      <c r="D391" s="937">
        <f t="shared" si="1"/>
        <v>0</v>
      </c>
      <c r="E391" s="937" t="str">
        <f>IF(D391&lt;'PlayerGrades+'!$AA$21,"F-",IF(D391&lt;'PlayerGrades+'!$AA$20,"F",IF(D391&lt;'PlayerGrades+'!$AA$19,"F+",IF(D391&lt;'PlayerGrades+'!$AA$18,"E-",IF(D391&lt;'PlayerGrades+'!$AA$17,"E",IF(D391&lt;'PlayerGrades+'!$AA$16,"E+",IF(D391&lt;'PlayerGrades+'!$AA$15,"D-",IF(D391&lt;'PlayerGrades+'!$AA$14,"D",IF(D391&lt;'PlayerGrades+'!$AA$13,"D+",IF(D391&lt;'PlayerGrades+'!$AA$12,"C-",IF(D391&lt;'PlayerGrades+'!$AA$11,"C",IF(D391&lt;'PlayerGrades+'!$AA$10,"C+",IF(D391&lt;'PlayerGrades+'!$AA$9,"B-",IF(D391&lt;'PlayerGrades+'!$AA$8,"B",IF(D391&lt;'PlayerGrades+'!$AA$7,"B+",IF(D391&lt;'PlayerGrades+'!$AA$6,"A-",IF(D391&lt;'PlayerGrades+'!$AA$5,"A",IF(D391&lt;'PlayerGrades+'!$AA$4,"A+",IF(D391&lt;'PlayerGrades+'!$AA$3,"S-",IF(D391&lt;'PlayerGrades+'!$AA$2,"S","S+"))))))))))))))))))))</f>
        <v>F-</v>
      </c>
      <c r="F391" s="937">
        <f t="shared" si="2"/>
        <v>-1.282894737</v>
      </c>
      <c r="G391" s="937" t="str">
        <f>IF(F391&lt;'PlayerGrades+'!$AB$21,"F-",IF(F391&lt;'PlayerGrades+'!$AB$20,"F",IF(F391&lt;'PlayerGrades+'!$AB$19,"F+",IF(F391&lt;'PlayerGrades+'!$AB$18,"E-",IF(F391&lt;'PlayerGrades+'!$AB$17,"E",IF(F391&lt;'PlayerGrades+'!$AB$16,"E+",IF(F391&lt;'PlayerGrades+'!$AB$15,"D-",IF(F391&lt;'PlayerGrades+'!$AB$14,"D",IF(F391&lt;'PlayerGrades+'!$AB$13,"D+",IF(F391&lt;'PlayerGrades+'!$AB$12,"C-",IF(F391&lt;'PlayerGrades+'!$AB$11,"C",IF(F391&lt;'PlayerGrades+'!$AB$10,"C+",IF(F391&lt;'PlayerGrades+'!$AB$9,"B-",IF(F391&lt;'PlayerGrades+'!$AB$8,"B",IF(F391&lt;'PlayerGrades+'!$AB$7,"B+",IF(F391&lt;'PlayerGrades+'!$AB$6,"A-",IF(F391&lt;'PlayerGrades+'!$AB$5,"A",IF(F391&lt;'PlayerGrades+'!$AB$4,"A+",IF(F391&lt;'PlayerGrades+'!$AB$3,"S-",IF(F391&lt;'PlayerGrades+'!$AB$2,"S","S+"))))))))))))))))))))</f>
        <v>F-</v>
      </c>
      <c r="H391" s="937">
        <f t="shared" si="3"/>
        <v>0</v>
      </c>
      <c r="I391" s="937" t="str">
        <f>IF(H391&lt;'PlayerGrades+'!$AC$21,"F-",IF(H391&lt;'PlayerGrades+'!$AC$20,"F",IF(H391&lt;'PlayerGrades+'!$AC$19,"F+",IF(H391&lt;'PlayerGrades+'!$AC$18,"E-",IF(H391&lt;'PlayerGrades+'!$AC$17,"E",IF(H391&lt;'PlayerGrades+'!$AC$16,"E+",IF(H391&lt;'PlayerGrades+'!$AC$15,"D-",IF(H391&lt;'PlayerGrades+'!$AC$14,"D",IF(H391&lt;'PlayerGrades+'!$AC$13,"D+",IF(H391&lt;'PlayerGrades+'!$AC$12,"C-",IF(H391&lt;'PlayerGrades+'!$AC$11,"C",IF(H391&lt;'PlayerGrades+'!$AC$10,"C+",IF(H391&lt;'PlayerGrades+'!$AC$9,"B-",IF(H391&lt;'PlayerGrades+'!$AC$8,"B",IF(H391&lt;'PlayerGrades+'!$AC$7,"B+",IF(H391&lt;'PlayerGrades+'!$AC$6,"A-",IF(H391&lt;'PlayerGrades+'!$AC$5,"A",IF(H391&lt;'PlayerGrades+'!$AC$4,"A+",IF(H391&lt;'PlayerGrades+'!$AC$3,"S-",IF(H391&lt;'PlayerGrades+'!$AC$2,"S","S+"))))))))))))))))))))</f>
        <v>F-</v>
      </c>
      <c r="J391" s="937">
        <f t="shared" si="4"/>
        <v>0.09868421053</v>
      </c>
      <c r="K391" s="937" t="str">
        <f>IF(J391&lt;'PlayerGrades+'!$AD$21,"F-",IF(J391&lt;'PlayerGrades+'!$AD$20,"F",IF(J391&lt;'PlayerGrades+'!$AD$19,"F+",IF(J391&lt;'PlayerGrades+'!$AD$18,"E-",IF(J391&lt;'PlayerGrades+'!$AD$17,"E",IF(J391&lt;'PlayerGrades+'!$AD$16,"E+",IF(J391&lt;'PlayerGrades+'!$AD$15,"D-",IF(J391&lt;'PlayerGrades+'!$AD$14,"D",IF(J391&lt;'PlayerGrades+'!$AD$13,"D+",IF(J391&lt;'PlayerGrades+'!$AD$12,"C-",IF(J391&lt;'PlayerGrades+'!$AD$11,"C",IF(J391&lt;'PlayerGrades+'!$AD$10,"C+",IF(J391&lt;'PlayerGrades+'!$AD$9,"B-",IF(J391&lt;'PlayerGrades+'!$AD$8,"B",IF(J391&lt;'PlayerGrades+'!$AD$7,"B+",IF(J391&lt;'PlayerGrades+'!$AD$6,"A-",IF(J391&lt;'PlayerGrades+'!$AD$5,"A",IF(J391&lt;'PlayerGrades+'!$AD$4,"A+",IF(J391&lt;'PlayerGrades+'!$AD$3,"S-",IF(J391&lt;'PlayerGrades+'!$AD$2,"S","S+"))))))))))))))))))))</f>
        <v>S</v>
      </c>
      <c r="L391" s="677">
        <f t="shared" si="5"/>
        <v>0.2960526316</v>
      </c>
      <c r="M391" s="938" t="str">
        <f>IF(L391&lt;'PlayerGrades+'!$AE$21,"F-",IF(L391&lt;'PlayerGrades+'!$AE$20,"F",IF(L391&lt;'PlayerGrades+'!$AE$19,"F+",IF(L391&lt;'PlayerGrades+'!$AE$18,"E-",IF(L391&lt;'PlayerGrades+'!$AE$17,"E",IF(L391&lt;'PlayerGrades+'!$AE$16,"E+",IF(L391&lt;'PlayerGrades+'!$AE$15,"D-",IF(L391&lt;'PlayerGrades+'!$AE$14,"D",IF(L391&lt;'PlayerGrades+'!$AE$13,"D+",IF(L391&lt;'PlayerGrades+'!$AE$12,"C-",IF(L391&lt;'PlayerGrades+'!$AE$11,"C",IF(L391&lt;'PlayerGrades+'!$AE$10,"C+",IF(L391&lt;'PlayerGrades+'!$AE$9,"B-",IF(L391&lt;'PlayerGrades+'!$AE$8,"B",IF(L391&lt;'PlayerGrades+'!$AE$7,"B+",IF(L391&lt;'PlayerGrades+'!$AE$6,"A-",IF(L391&lt;'PlayerGrades+'!$AE$5,"A",IF(L391&lt;'PlayerGrades+'!$AE$4,"A+",IF(L391&lt;'PlayerGrades+'!$AE$3,"S-",IF(L391&lt;'PlayerGrades+'!$AE$2,"S","S+"))))))))))))))))))))</f>
        <v>F+</v>
      </c>
      <c r="N391" s="937">
        <f t="shared" si="6"/>
        <v>0.09868421053</v>
      </c>
      <c r="O391" s="937" t="str">
        <f>IF(N391&lt;'PlayerGrades+'!$AF$21,"F-",IF(N391&lt;'PlayerGrades+'!$AF$20,"F",IF(N391&lt;'PlayerGrades+'!$AF$19,"F+",IF(N391&lt;'PlayerGrades+'!$AF$18,"E-",IF(N391&lt;'PlayerGrades+'!$AF$17,"E",IF(N391&lt;'PlayerGrades+'!$AF$16,"E+",IF(N391&lt;'PlayerGrades+'!$AF$15,"D-",IF(N391&lt;'PlayerGrades+'!$AF$14,"D",IF(N391&lt;'PlayerGrades+'!$AF$13,"D+",IF(N391&lt;'PlayerGrades+'!$AF$12,"C-",IF(N391&lt;'PlayerGrades+'!$AF$11,"C",IF(N391&lt;'PlayerGrades+'!$AF$10,"C+",IF(N391&lt;'PlayerGrades+'!$AF$9,"B-",IF(N391&lt;'PlayerGrades+'!$AF$8,"B",IF(N391&lt;'PlayerGrades+'!$AF$7,"B+",IF(N391&lt;'PlayerGrades+'!$AF$6,"A-",IF(N391&lt;'PlayerGrades+'!$AF$5,"A",IF(N391&lt;'PlayerGrades+'!$AF$4,"A+",IF(N391&lt;'PlayerGrades+'!$AF$3,"S-",IF(N391&lt;'PlayerGrades+'!$AF$2,"S","S+"))))))))))))))))))))</f>
        <v>A-</v>
      </c>
      <c r="P391" s="937">
        <f t="shared" si="7"/>
        <v>0.09868421053</v>
      </c>
      <c r="Q391" s="937" t="str">
        <f>IF(P391&lt;'PlayerGrades+'!$AG$21,"F-",IF(P391&lt;'PlayerGrades+'!$AG$20,"F",IF(P391&lt;'PlayerGrades+'!$AG$19,"F+",IF(P391&lt;'PlayerGrades+'!$AG$18,"E-",IF(P391&lt;'PlayerGrades+'!$AG$17,"E",IF(P391&lt;'PlayerGrades+'!$AG$16,"E+",IF(P391&lt;'PlayerGrades+'!$AG$15,"D-",IF(P391&lt;'PlayerGrades+'!$AG$14,"D",IF(P391&lt;'PlayerGrades+'!$AG$13,"D+",IF(P391&lt;'PlayerGrades+'!$AG$12,"C-",IF(P391&lt;'PlayerGrades+'!$AG$11,"C",IF(P391&lt;'PlayerGrades+'!$AG$10,"C+",IF(P391&lt;'PlayerGrades+'!$AG$9,"B-",IF(P391&lt;'PlayerGrades+'!$AG$8,"B",IF(P391&lt;'PlayerGrades+'!$AG$7,"B+",IF(P391&lt;'PlayerGrades+'!$AG$6,"A-",IF(P391&lt;'PlayerGrades+'!$AG$5,"A",IF(P391&lt;'PlayerGrades+'!$AG$4,"A+",IF(P391&lt;'PlayerGrades+'!$AG$3,"S-",IF(P391&lt;'PlayerGrades+'!$AG$2,"S","S+"))))))))))))))))))))</f>
        <v>S+</v>
      </c>
      <c r="R391" s="937">
        <f t="shared" si="8"/>
        <v>0.2960526316</v>
      </c>
      <c r="S391" s="937" t="str">
        <f>IF(R391&lt;'PlayerGrades+'!$AH$21,"F-",IF(R391&lt;'PlayerGrades+'!$AH$20,"F",IF(R391&lt;'PlayerGrades+'!$AH$19,"F+",IF(R391&lt;'PlayerGrades+'!$AH$18,"E-",IF(R391&lt;'PlayerGrades+'!$AH$17,"E",IF(R391&lt;'PlayerGrades+'!$AH$16,"E+",IF(R391&lt;'PlayerGrades+'!$AH$15,"D-",IF(R391&lt;'PlayerGrades+'!$AH$14,"D",IF(R391&lt;'PlayerGrades+'!$AH$13,"D+",IF(R391&lt;'PlayerGrades+'!$AH$12,"C-",IF(R391&lt;'PlayerGrades+'!$AH$11,"C",IF(R391&lt;'PlayerGrades+'!$AH$10,"C+",IF(R391&lt;'PlayerGrades+'!$AH$9,"B-",IF(R391&lt;'PlayerGrades+'!$AH$8,"B",IF(R391&lt;'PlayerGrades+'!$AH$7,"B+",IF(R391&lt;'PlayerGrades+'!$AH$6,"A-",IF(R391&lt;'PlayerGrades+'!$AH$5,"A",IF(R391&lt;'PlayerGrades+'!$AH$4,"A+",IF(R391&lt;'PlayerGrades+'!$AH$3,"S-",IF(R391&lt;'PlayerGrades+'!$AH$2,"S","S+"))))))))))))))))))))</f>
        <v>F-</v>
      </c>
      <c r="T391" s="937">
        <f t="shared" si="9"/>
        <v>0.1973684211</v>
      </c>
      <c r="U391" s="937" t="str">
        <f>IF(T391&lt;'PlayerGrades+'!$AI$21,"F-",IF(T391&lt;'PlayerGrades+'!$AI$20,"F",IF(T391&lt;'PlayerGrades+'!$AI$19,"F+",IF(T391&lt;'PlayerGrades+'!$AI$18,"E-",IF(T391&lt;'PlayerGrades+'!$AI$17,"E",IF(T391&lt;'PlayerGrades+'!$AI$16,"E+",IF(T391&lt;'PlayerGrades+'!$AI$15,"D-",IF(T391&lt;'PlayerGrades+'!$AI$14,"D",IF(T391&lt;'PlayerGrades+'!$AI$13,"D+",IF(T391&lt;'PlayerGrades+'!$AI$12,"C-",IF(T391&lt;'PlayerGrades+'!$AI$11,"C",IF(T391&lt;'PlayerGrades+'!$AI$10,"C+",IF(T391&lt;'PlayerGrades+'!$AI$9,"B-",IF(T391&lt;'PlayerGrades+'!$AI$8,"B",IF(T391&lt;'PlayerGrades+'!$AI$7,"B+",IF(T391&lt;'PlayerGrades+'!$AI$6,"A-",IF(T391&lt;'PlayerGrades+'!$AI$5,"A",IF(T391&lt;'PlayerGrades+'!$AI$4,"A+",IF(T391&lt;'PlayerGrades+'!$AI$3,"S-",IF(T391&lt;'PlayerGrades+'!$AI$2,"S","S+"))))))))))))))))))))</f>
        <v>F-</v>
      </c>
      <c r="V391" s="941">
        <v>1.0</v>
      </c>
      <c r="W391" s="941">
        <v>0.0</v>
      </c>
      <c r="X391" s="941">
        <v>1.0</v>
      </c>
      <c r="Y391" s="941">
        <v>0.0</v>
      </c>
      <c r="Z391" s="941">
        <v>0.0</v>
      </c>
      <c r="AA391" s="941">
        <v>30.0</v>
      </c>
      <c r="AB391" s="941">
        <v>43.0</v>
      </c>
      <c r="AC391" s="941">
        <v>-13.0</v>
      </c>
      <c r="AD391" s="941">
        <v>3.0</v>
      </c>
      <c r="AE391" s="941">
        <v>5.0</v>
      </c>
      <c r="AF391" s="941">
        <v>0.0</v>
      </c>
      <c r="AG391" s="941">
        <v>406.0</v>
      </c>
      <c r="AH391" s="941">
        <v>608.0</v>
      </c>
      <c r="AI391" s="941">
        <v>9.0</v>
      </c>
      <c r="AJ391" s="941">
        <v>0.0</v>
      </c>
      <c r="AK391" s="941">
        <v>0.0</v>
      </c>
      <c r="AL391" s="941">
        <v>1.0</v>
      </c>
      <c r="AM391" s="941">
        <v>0.0</v>
      </c>
      <c r="AN391" s="941">
        <v>0.0</v>
      </c>
      <c r="AO391" s="941">
        <v>0.0</v>
      </c>
      <c r="AP391" s="941">
        <v>1.0</v>
      </c>
      <c r="AQ391" s="941">
        <v>0.0</v>
      </c>
      <c r="AR391" s="941">
        <v>3.0</v>
      </c>
      <c r="AS391" s="941">
        <v>1.0</v>
      </c>
      <c r="AT391" s="941">
        <v>1.0</v>
      </c>
      <c r="AU391" s="941">
        <v>0.0</v>
      </c>
      <c r="AV391" s="941">
        <v>0.0</v>
      </c>
      <c r="AW391" s="941">
        <v>0.0</v>
      </c>
      <c r="AX391" s="941">
        <v>0.0</v>
      </c>
      <c r="AY391" s="941">
        <v>0.0</v>
      </c>
      <c r="AZ391" s="941">
        <v>0.0</v>
      </c>
      <c r="BA391" s="941">
        <v>0.0</v>
      </c>
      <c r="BB391" s="941">
        <v>0.0</v>
      </c>
      <c r="BC391" s="941">
        <v>0.0</v>
      </c>
      <c r="BD391" s="941">
        <v>0.0</v>
      </c>
      <c r="BE391" s="941">
        <v>2.0</v>
      </c>
      <c r="BF391" s="941">
        <v>0.0</v>
      </c>
      <c r="BG391" s="942">
        <v>0.0</v>
      </c>
    </row>
    <row r="392">
      <c r="A392" s="935" t="s">
        <v>147</v>
      </c>
      <c r="B392" s="16" t="str">
        <f>IF(C392&lt;'PlayerGrades+'!$Y$44,"F-",IF(C392&lt;'PlayerGrades+'!$Y$43,"F",IF(C392&lt;'PlayerGrades+'!$Y$42,"F+",IF(C392&lt;'PlayerGrades+'!$Y$41,"E-",IF(C392&lt;'PlayerGrades+'!$Y$40,"E",IF(C392&lt;'PlayerGrades+'!$Y$39,"E+",IF(C392&lt;'PlayerGrades+'!$Y$38,"D-",IF(C392&lt;'PlayerGrades+'!$Y$37,"D",IF(C392&lt;'PlayerGrades+'!$Y$36,"D+",IF(C392&lt;'PlayerGrades+'!$Y$35,"C-",IF(C392&lt;'PlayerGrades+'!$Y$34,"C",IF(C392&lt;'PlayerGrades+'!$Y$33,"C+",IF(C392&lt;'PlayerGrades+'!$Y$32,"B-",IF(C392&lt;'PlayerGrades+'!$Y$31,"B",IF(C392&lt;'PlayerGrades+'!$Y$30,"B+",IF(C392&lt;'PlayerGrades+'!$Y$29,"A-",IF(C392&lt;'PlayerGrades+'!$Y$28,"A",IF(C392&lt;'PlayerGrades+'!$Y$27,"A+",IF(C392&lt;'PlayerGrades+'!$Y$26,"S-",IF(C392&lt;'PlayerGrades+'!$Y$25,"S","S+"))))))))))))))))))))</f>
        <v>F-</v>
      </c>
      <c r="C392" s="936">
        <f>('PlayerGrades+'!$Y$47*(VLOOKUP(E392, 'PlayerGrades+'!$X$3:$Y$23, 2, FALSE)))+('PlayerGrades+'!$Y$48*(VLOOKUP(G392, 'PlayerGrades+'!$X$3:$Y$23, 2, FALSE)))+('PlayerGrades+'!$Y$49*(VLOOKUP(I392, 'PlayerGrades+'!$X$3:$Y$23, 2, FALSE)))+('PlayerGrades+'!$Y$50*(VLOOKUP(K392, 'PlayerGrades+'!$X$3:$Y$23, 2, FALSE)))+('PlayerGrades+'!$Y$51*(VLOOKUP(M392, 'PlayerGrades+'!$X$3:$Y$23, 2, FALSE)))+('PlayerGrades+'!$Y$52*(VLOOKUP(O392, 'PlayerGrades+'!$X$3:$Y$23, 2, FALSE)))+('PlayerGrades+'!$Y$53*(VLOOKUP(Q392, 'PlayerGrades+'!$X$3:$Y$23, 2, FALSE)))+('PlayerGrades+'!$Y$54*(VLOOKUP(S392, 'PlayerGrades+'!$X$3:$Y$23, 2, FALSE)))+('PlayerGrades+'!$Y$55*(VLOOKUP(U392, 'PlayerGrades+'!$X$3:$Y$23, 2, FALSE)))</f>
        <v>3.5</v>
      </c>
      <c r="D392" s="937">
        <f t="shared" si="1"/>
        <v>0</v>
      </c>
      <c r="E392" s="937" t="str">
        <f>IF(D392&lt;'PlayerGrades+'!$AA$21,"F-",IF(D392&lt;'PlayerGrades+'!$AA$20,"F",IF(D392&lt;'PlayerGrades+'!$AA$19,"F+",IF(D392&lt;'PlayerGrades+'!$AA$18,"E-",IF(D392&lt;'PlayerGrades+'!$AA$17,"E",IF(D392&lt;'PlayerGrades+'!$AA$16,"E+",IF(D392&lt;'PlayerGrades+'!$AA$15,"D-",IF(D392&lt;'PlayerGrades+'!$AA$14,"D",IF(D392&lt;'PlayerGrades+'!$AA$13,"D+",IF(D392&lt;'PlayerGrades+'!$AA$12,"C-",IF(D392&lt;'PlayerGrades+'!$AA$11,"C",IF(D392&lt;'PlayerGrades+'!$AA$10,"C+",IF(D392&lt;'PlayerGrades+'!$AA$9,"B-",IF(D392&lt;'PlayerGrades+'!$AA$8,"B",IF(D392&lt;'PlayerGrades+'!$AA$7,"B+",IF(D392&lt;'PlayerGrades+'!$AA$6,"A-",IF(D392&lt;'PlayerGrades+'!$AA$5,"A",IF(D392&lt;'PlayerGrades+'!$AA$4,"A+",IF(D392&lt;'PlayerGrades+'!$AA$3,"S-",IF(D392&lt;'PlayerGrades+'!$AA$2,"S","S+"))))))))))))))))))))</f>
        <v>F-</v>
      </c>
      <c r="F392" s="937">
        <f t="shared" si="2"/>
        <v>-2.072368421</v>
      </c>
      <c r="G392" s="937" t="str">
        <f>IF(F392&lt;'PlayerGrades+'!$AB$21,"F-",IF(F392&lt;'PlayerGrades+'!$AB$20,"F",IF(F392&lt;'PlayerGrades+'!$AB$19,"F+",IF(F392&lt;'PlayerGrades+'!$AB$18,"E-",IF(F392&lt;'PlayerGrades+'!$AB$17,"E",IF(F392&lt;'PlayerGrades+'!$AB$16,"E+",IF(F392&lt;'PlayerGrades+'!$AB$15,"D-",IF(F392&lt;'PlayerGrades+'!$AB$14,"D",IF(F392&lt;'PlayerGrades+'!$AB$13,"D+",IF(F392&lt;'PlayerGrades+'!$AB$12,"C-",IF(F392&lt;'PlayerGrades+'!$AB$11,"C",IF(F392&lt;'PlayerGrades+'!$AB$10,"C+",IF(F392&lt;'PlayerGrades+'!$AB$9,"B-",IF(F392&lt;'PlayerGrades+'!$AB$8,"B",IF(F392&lt;'PlayerGrades+'!$AB$7,"B+",IF(F392&lt;'PlayerGrades+'!$AB$6,"A-",IF(F392&lt;'PlayerGrades+'!$AB$5,"A",IF(F392&lt;'PlayerGrades+'!$AB$4,"A+",IF(F392&lt;'PlayerGrades+'!$AB$3,"S-",IF(F392&lt;'PlayerGrades+'!$AB$2,"S","S+"))))))))))))))))))))</f>
        <v>F-</v>
      </c>
      <c r="H392" s="937">
        <f t="shared" si="3"/>
        <v>0</v>
      </c>
      <c r="I392" s="937" t="str">
        <f>IF(H392&lt;'PlayerGrades+'!$AC$21,"F-",IF(H392&lt;'PlayerGrades+'!$AC$20,"F",IF(H392&lt;'PlayerGrades+'!$AC$19,"F+",IF(H392&lt;'PlayerGrades+'!$AC$18,"E-",IF(H392&lt;'PlayerGrades+'!$AC$17,"E",IF(H392&lt;'PlayerGrades+'!$AC$16,"E+",IF(H392&lt;'PlayerGrades+'!$AC$15,"D-",IF(H392&lt;'PlayerGrades+'!$AC$14,"D",IF(H392&lt;'PlayerGrades+'!$AC$13,"D+",IF(H392&lt;'PlayerGrades+'!$AC$12,"C-",IF(H392&lt;'PlayerGrades+'!$AC$11,"C",IF(H392&lt;'PlayerGrades+'!$AC$10,"C+",IF(H392&lt;'PlayerGrades+'!$AC$9,"B-",IF(H392&lt;'PlayerGrades+'!$AC$8,"B",IF(H392&lt;'PlayerGrades+'!$AC$7,"B+",IF(H392&lt;'PlayerGrades+'!$AC$6,"A-",IF(H392&lt;'PlayerGrades+'!$AC$5,"A",IF(H392&lt;'PlayerGrades+'!$AC$4,"A+",IF(H392&lt;'PlayerGrades+'!$AC$3,"S-",IF(H392&lt;'PlayerGrades+'!$AC$2,"S","S+"))))))))))))))))))))</f>
        <v>F-</v>
      </c>
      <c r="J392" s="937">
        <f t="shared" si="4"/>
        <v>0</v>
      </c>
      <c r="K392" s="937" t="str">
        <f>IF(J392&lt;'PlayerGrades+'!$AD$21,"F-",IF(J392&lt;'PlayerGrades+'!$AD$20,"F",IF(J392&lt;'PlayerGrades+'!$AD$19,"F+",IF(J392&lt;'PlayerGrades+'!$AD$18,"E-",IF(J392&lt;'PlayerGrades+'!$AD$17,"E",IF(J392&lt;'PlayerGrades+'!$AD$16,"E+",IF(J392&lt;'PlayerGrades+'!$AD$15,"D-",IF(J392&lt;'PlayerGrades+'!$AD$14,"D",IF(J392&lt;'PlayerGrades+'!$AD$13,"D+",IF(J392&lt;'PlayerGrades+'!$AD$12,"C-",IF(J392&lt;'PlayerGrades+'!$AD$11,"C",IF(J392&lt;'PlayerGrades+'!$AD$10,"C+",IF(J392&lt;'PlayerGrades+'!$AD$9,"B-",IF(J392&lt;'PlayerGrades+'!$AD$8,"B",IF(J392&lt;'PlayerGrades+'!$AD$7,"B+",IF(J392&lt;'PlayerGrades+'!$AD$6,"A-",IF(J392&lt;'PlayerGrades+'!$AD$5,"A",IF(J392&lt;'PlayerGrades+'!$AD$4,"A+",IF(J392&lt;'PlayerGrades+'!$AD$3,"S-",IF(J392&lt;'PlayerGrades+'!$AD$2,"S","S+"))))))))))))))))))))</f>
        <v>F-</v>
      </c>
      <c r="L392" s="677">
        <f t="shared" si="5"/>
        <v>0</v>
      </c>
      <c r="M392" s="938" t="str">
        <f>IF(L392&lt;'PlayerGrades+'!$AE$21,"F-",IF(L392&lt;'PlayerGrades+'!$AE$20,"F",IF(L392&lt;'PlayerGrades+'!$AE$19,"F+",IF(L392&lt;'PlayerGrades+'!$AE$18,"E-",IF(L392&lt;'PlayerGrades+'!$AE$17,"E",IF(L392&lt;'PlayerGrades+'!$AE$16,"E+",IF(L392&lt;'PlayerGrades+'!$AE$15,"D-",IF(L392&lt;'PlayerGrades+'!$AE$14,"D",IF(L392&lt;'PlayerGrades+'!$AE$13,"D+",IF(L392&lt;'PlayerGrades+'!$AE$12,"C-",IF(L392&lt;'PlayerGrades+'!$AE$11,"C",IF(L392&lt;'PlayerGrades+'!$AE$10,"C+",IF(L392&lt;'PlayerGrades+'!$AE$9,"B-",IF(L392&lt;'PlayerGrades+'!$AE$8,"B",IF(L392&lt;'PlayerGrades+'!$AE$7,"B+",IF(L392&lt;'PlayerGrades+'!$AE$6,"A-",IF(L392&lt;'PlayerGrades+'!$AE$5,"A",IF(L392&lt;'PlayerGrades+'!$AE$4,"A+",IF(L392&lt;'PlayerGrades+'!$AE$3,"S-",IF(L392&lt;'PlayerGrades+'!$AE$2,"S","S+"))))))))))))))))))))</f>
        <v>F-</v>
      </c>
      <c r="N392" s="937">
        <f t="shared" si="6"/>
        <v>0</v>
      </c>
      <c r="O392" s="937" t="str">
        <f>IF(N392&lt;'PlayerGrades+'!$AF$21,"F-",IF(N392&lt;'PlayerGrades+'!$AF$20,"F",IF(N392&lt;'PlayerGrades+'!$AF$19,"F+",IF(N392&lt;'PlayerGrades+'!$AF$18,"E-",IF(N392&lt;'PlayerGrades+'!$AF$17,"E",IF(N392&lt;'PlayerGrades+'!$AF$16,"E+",IF(N392&lt;'PlayerGrades+'!$AF$15,"D-",IF(N392&lt;'PlayerGrades+'!$AF$14,"D",IF(N392&lt;'PlayerGrades+'!$AF$13,"D+",IF(N392&lt;'PlayerGrades+'!$AF$12,"C-",IF(N392&lt;'PlayerGrades+'!$AF$11,"C",IF(N392&lt;'PlayerGrades+'!$AF$10,"C+",IF(N392&lt;'PlayerGrades+'!$AF$9,"B-",IF(N392&lt;'PlayerGrades+'!$AF$8,"B",IF(N392&lt;'PlayerGrades+'!$AF$7,"B+",IF(N392&lt;'PlayerGrades+'!$AF$6,"A-",IF(N392&lt;'PlayerGrades+'!$AF$5,"A",IF(N392&lt;'PlayerGrades+'!$AF$4,"A+",IF(N392&lt;'PlayerGrades+'!$AF$3,"S-",IF(N392&lt;'PlayerGrades+'!$AF$2,"S","S+"))))))))))))))))))))</f>
        <v>F-</v>
      </c>
      <c r="P392" s="937">
        <f t="shared" si="7"/>
        <v>0</v>
      </c>
      <c r="Q392" s="937" t="str">
        <f>IF(P392&lt;'PlayerGrades+'!$AG$21,"F-",IF(P392&lt;'PlayerGrades+'!$AG$20,"F",IF(P392&lt;'PlayerGrades+'!$AG$19,"F+",IF(P392&lt;'PlayerGrades+'!$AG$18,"E-",IF(P392&lt;'PlayerGrades+'!$AG$17,"E",IF(P392&lt;'PlayerGrades+'!$AG$16,"E+",IF(P392&lt;'PlayerGrades+'!$AG$15,"D-",IF(P392&lt;'PlayerGrades+'!$AG$14,"D",IF(P392&lt;'PlayerGrades+'!$AG$13,"D+",IF(P392&lt;'PlayerGrades+'!$AG$12,"C-",IF(P392&lt;'PlayerGrades+'!$AG$11,"C",IF(P392&lt;'PlayerGrades+'!$AG$10,"C+",IF(P392&lt;'PlayerGrades+'!$AG$9,"B-",IF(P392&lt;'PlayerGrades+'!$AG$8,"B",IF(P392&lt;'PlayerGrades+'!$AG$7,"B+",IF(P392&lt;'PlayerGrades+'!$AG$6,"A-",IF(P392&lt;'PlayerGrades+'!$AG$5,"A",IF(P392&lt;'PlayerGrades+'!$AG$4,"A+",IF(P392&lt;'PlayerGrades+'!$AG$3,"S-",IF(P392&lt;'PlayerGrades+'!$AG$2,"S","S+"))))))))))))))))))))</f>
        <v>F</v>
      </c>
      <c r="R392" s="937">
        <f t="shared" si="8"/>
        <v>0.2960526316</v>
      </c>
      <c r="S392" s="937" t="str">
        <f>IF(R392&lt;'PlayerGrades+'!$AH$21,"F-",IF(R392&lt;'PlayerGrades+'!$AH$20,"F",IF(R392&lt;'PlayerGrades+'!$AH$19,"F+",IF(R392&lt;'PlayerGrades+'!$AH$18,"E-",IF(R392&lt;'PlayerGrades+'!$AH$17,"E",IF(R392&lt;'PlayerGrades+'!$AH$16,"E+",IF(R392&lt;'PlayerGrades+'!$AH$15,"D-",IF(R392&lt;'PlayerGrades+'!$AH$14,"D",IF(R392&lt;'PlayerGrades+'!$AH$13,"D+",IF(R392&lt;'PlayerGrades+'!$AH$12,"C-",IF(R392&lt;'PlayerGrades+'!$AH$11,"C",IF(R392&lt;'PlayerGrades+'!$AH$10,"C+",IF(R392&lt;'PlayerGrades+'!$AH$9,"B-",IF(R392&lt;'PlayerGrades+'!$AH$8,"B",IF(R392&lt;'PlayerGrades+'!$AH$7,"B+",IF(R392&lt;'PlayerGrades+'!$AH$6,"A-",IF(R392&lt;'PlayerGrades+'!$AH$5,"A",IF(R392&lt;'PlayerGrades+'!$AH$4,"A+",IF(R392&lt;'PlayerGrades+'!$AH$3,"S-",IF(R392&lt;'PlayerGrades+'!$AH$2,"S","S+"))))))))))))))))))))</f>
        <v>F-</v>
      </c>
      <c r="T392" s="937">
        <f t="shared" si="9"/>
        <v>0.2960526316</v>
      </c>
      <c r="U392" s="937" t="str">
        <f>IF(T392&lt;'PlayerGrades+'!$AI$21,"F-",IF(T392&lt;'PlayerGrades+'!$AI$20,"F",IF(T392&lt;'PlayerGrades+'!$AI$19,"F+",IF(T392&lt;'PlayerGrades+'!$AI$18,"E-",IF(T392&lt;'PlayerGrades+'!$AI$17,"E",IF(T392&lt;'PlayerGrades+'!$AI$16,"E+",IF(T392&lt;'PlayerGrades+'!$AI$15,"D-",IF(T392&lt;'PlayerGrades+'!$AI$14,"D",IF(T392&lt;'PlayerGrades+'!$AI$13,"D+",IF(T392&lt;'PlayerGrades+'!$AI$12,"C-",IF(T392&lt;'PlayerGrades+'!$AI$11,"C",IF(T392&lt;'PlayerGrades+'!$AI$10,"C+",IF(T392&lt;'PlayerGrades+'!$AI$9,"B-",IF(T392&lt;'PlayerGrades+'!$AI$8,"B",IF(T392&lt;'PlayerGrades+'!$AI$7,"B+",IF(T392&lt;'PlayerGrades+'!$AI$6,"A-",IF(T392&lt;'PlayerGrades+'!$AI$5,"A",IF(T392&lt;'PlayerGrades+'!$AI$4,"A+",IF(T392&lt;'PlayerGrades+'!$AI$3,"S-",IF(T392&lt;'PlayerGrades+'!$AI$2,"S","S+"))))))))))))))))))))</f>
        <v>F-</v>
      </c>
      <c r="V392" s="941">
        <v>1.0</v>
      </c>
      <c r="W392" s="941">
        <v>0.0</v>
      </c>
      <c r="X392" s="941">
        <v>1.0</v>
      </c>
      <c r="Y392" s="941">
        <v>0.0</v>
      </c>
      <c r="Z392" s="941">
        <v>0.0</v>
      </c>
      <c r="AA392" s="941">
        <v>18.0</v>
      </c>
      <c r="AB392" s="941">
        <v>39.0</v>
      </c>
      <c r="AC392" s="941">
        <v>-21.0</v>
      </c>
      <c r="AD392" s="941">
        <v>0.0</v>
      </c>
      <c r="AE392" s="941">
        <v>2.0</v>
      </c>
      <c r="AF392" s="941">
        <v>1.0</v>
      </c>
      <c r="AG392" s="941">
        <v>417.0</v>
      </c>
      <c r="AH392" s="941">
        <v>608.0</v>
      </c>
      <c r="AI392" s="941">
        <v>10.0</v>
      </c>
      <c r="AJ392" s="941">
        <v>0.0</v>
      </c>
      <c r="AK392" s="941">
        <v>0.0</v>
      </c>
      <c r="AL392" s="941">
        <v>0.0</v>
      </c>
      <c r="AM392" s="941">
        <v>0.0</v>
      </c>
      <c r="AN392" s="941">
        <v>0.0</v>
      </c>
      <c r="AO392" s="941">
        <v>0.0</v>
      </c>
      <c r="AP392" s="941">
        <v>0.0</v>
      </c>
      <c r="AQ392" s="941">
        <v>0.0</v>
      </c>
      <c r="AR392" s="941">
        <v>0.0</v>
      </c>
      <c r="AS392" s="941">
        <v>0.0</v>
      </c>
      <c r="AT392" s="941">
        <v>0.0</v>
      </c>
      <c r="AU392" s="941">
        <v>0.0</v>
      </c>
      <c r="AV392" s="941">
        <v>0.0</v>
      </c>
      <c r="AW392" s="941">
        <v>0.0</v>
      </c>
      <c r="AX392" s="941">
        <v>0.0</v>
      </c>
      <c r="AY392" s="941">
        <v>0.0</v>
      </c>
      <c r="AZ392" s="941">
        <v>0.0</v>
      </c>
      <c r="BA392" s="941">
        <v>0.0</v>
      </c>
      <c r="BB392" s="941">
        <v>0.0</v>
      </c>
      <c r="BC392" s="941">
        <v>0.0</v>
      </c>
      <c r="BD392" s="941">
        <v>3.0</v>
      </c>
      <c r="BE392" s="941">
        <v>3.0</v>
      </c>
      <c r="BF392" s="941">
        <v>0.0</v>
      </c>
      <c r="BG392" s="942">
        <v>0.0</v>
      </c>
    </row>
    <row r="393">
      <c r="A393" s="943" t="s">
        <v>136</v>
      </c>
      <c r="B393" s="16" t="str">
        <f>IF(C393&lt;'PlayerGrades+'!$Y$44,"F-",IF(C393&lt;'PlayerGrades+'!$Y$43,"F",IF(C393&lt;'PlayerGrades+'!$Y$42,"F+",IF(C393&lt;'PlayerGrades+'!$Y$41,"E-",IF(C393&lt;'PlayerGrades+'!$Y$40,"E",IF(C393&lt;'PlayerGrades+'!$Y$39,"E+",IF(C393&lt;'PlayerGrades+'!$Y$38,"D-",IF(C393&lt;'PlayerGrades+'!$Y$37,"D",IF(C393&lt;'PlayerGrades+'!$Y$36,"D+",IF(C393&lt;'PlayerGrades+'!$Y$35,"C-",IF(C393&lt;'PlayerGrades+'!$Y$34,"C",IF(C393&lt;'PlayerGrades+'!$Y$33,"C+",IF(C393&lt;'PlayerGrades+'!$Y$32,"B-",IF(C393&lt;'PlayerGrades+'!$Y$31,"B",IF(C393&lt;'PlayerGrades+'!$Y$30,"B+",IF(C393&lt;'PlayerGrades+'!$Y$29,"A-",IF(C393&lt;'PlayerGrades+'!$Y$28,"A",IF(C393&lt;'PlayerGrades+'!$Y$27,"A+",IF(C393&lt;'PlayerGrades+'!$Y$26,"S-",IF(C393&lt;'PlayerGrades+'!$Y$25,"S","S+"))))))))))))))))))))</f>
        <v>E-</v>
      </c>
      <c r="C393" s="936">
        <f>('PlayerGrades+'!$Y$47*(VLOOKUP(E393, 'PlayerGrades+'!$X$3:$Y$23, 2, FALSE)))+('PlayerGrades+'!$Y$48*(VLOOKUP(G393, 'PlayerGrades+'!$X$3:$Y$23, 2, FALSE)))+('PlayerGrades+'!$Y$49*(VLOOKUP(I393, 'PlayerGrades+'!$X$3:$Y$23, 2, FALSE)))+('PlayerGrades+'!$Y$50*(VLOOKUP(K393, 'PlayerGrades+'!$X$3:$Y$23, 2, FALSE)))+('PlayerGrades+'!$Y$51*(VLOOKUP(M393, 'PlayerGrades+'!$X$3:$Y$23, 2, FALSE)))+('PlayerGrades+'!$Y$52*(VLOOKUP(O393, 'PlayerGrades+'!$X$3:$Y$23, 2, FALSE)))+('PlayerGrades+'!$Y$53*(VLOOKUP(Q393, 'PlayerGrades+'!$X$3:$Y$23, 2, FALSE)))+('PlayerGrades+'!$Y$54*(VLOOKUP(S393, 'PlayerGrades+'!$X$3:$Y$23, 2, FALSE)))+('PlayerGrades+'!$Y$55*(VLOOKUP(U393, 'PlayerGrades+'!$X$3:$Y$23, 2, FALSE)))</f>
        <v>11.4</v>
      </c>
      <c r="D393" s="937">
        <f t="shared" si="1"/>
        <v>0.09868421053</v>
      </c>
      <c r="E393" s="937" t="str">
        <f>IF(D393&lt;'PlayerGrades+'!$AA$21,"F-",IF(D393&lt;'PlayerGrades+'!$AA$20,"F",IF(D393&lt;'PlayerGrades+'!$AA$19,"F+",IF(D393&lt;'PlayerGrades+'!$AA$18,"E-",IF(D393&lt;'PlayerGrades+'!$AA$17,"E",IF(D393&lt;'PlayerGrades+'!$AA$16,"E+",IF(D393&lt;'PlayerGrades+'!$AA$15,"D-",IF(D393&lt;'PlayerGrades+'!$AA$14,"D",IF(D393&lt;'PlayerGrades+'!$AA$13,"D+",IF(D393&lt;'PlayerGrades+'!$AA$12,"C-",IF(D393&lt;'PlayerGrades+'!$AA$11,"C",IF(D393&lt;'PlayerGrades+'!$AA$10,"C+",IF(D393&lt;'PlayerGrades+'!$AA$9,"B-",IF(D393&lt;'PlayerGrades+'!$AA$8,"B",IF(D393&lt;'PlayerGrades+'!$AA$7,"B+",IF(D393&lt;'PlayerGrades+'!$AA$6,"A-",IF(D393&lt;'PlayerGrades+'!$AA$5,"A",IF(D393&lt;'PlayerGrades+'!$AA$4,"A+",IF(D393&lt;'PlayerGrades+'!$AA$3,"S-",IF(D393&lt;'PlayerGrades+'!$AA$2,"S","S+"))))))))))))))))))))</f>
        <v>B</v>
      </c>
      <c r="F393" s="937">
        <f t="shared" si="2"/>
        <v>-1.381578947</v>
      </c>
      <c r="G393" s="937" t="str">
        <f>IF(F393&lt;'PlayerGrades+'!$AB$21,"F-",IF(F393&lt;'PlayerGrades+'!$AB$20,"F",IF(F393&lt;'PlayerGrades+'!$AB$19,"F+",IF(F393&lt;'PlayerGrades+'!$AB$18,"E-",IF(F393&lt;'PlayerGrades+'!$AB$17,"E",IF(F393&lt;'PlayerGrades+'!$AB$16,"E+",IF(F393&lt;'PlayerGrades+'!$AB$15,"D-",IF(F393&lt;'PlayerGrades+'!$AB$14,"D",IF(F393&lt;'PlayerGrades+'!$AB$13,"D+",IF(F393&lt;'PlayerGrades+'!$AB$12,"C-",IF(F393&lt;'PlayerGrades+'!$AB$11,"C",IF(F393&lt;'PlayerGrades+'!$AB$10,"C+",IF(F393&lt;'PlayerGrades+'!$AB$9,"B-",IF(F393&lt;'PlayerGrades+'!$AB$8,"B",IF(F393&lt;'PlayerGrades+'!$AB$7,"B+",IF(F393&lt;'PlayerGrades+'!$AB$6,"A-",IF(F393&lt;'PlayerGrades+'!$AB$5,"A",IF(F393&lt;'PlayerGrades+'!$AB$4,"A+",IF(F393&lt;'PlayerGrades+'!$AB$3,"S-",IF(F393&lt;'PlayerGrades+'!$AB$2,"S","S+"))))))))))))))))))))</f>
        <v>F-</v>
      </c>
      <c r="H393" s="937">
        <f t="shared" si="3"/>
        <v>0.09868421053</v>
      </c>
      <c r="I393" s="937" t="str">
        <f>IF(H393&lt;'PlayerGrades+'!$AC$21,"F-",IF(H393&lt;'PlayerGrades+'!$AC$20,"F",IF(H393&lt;'PlayerGrades+'!$AC$19,"F+",IF(H393&lt;'PlayerGrades+'!$AC$18,"E-",IF(H393&lt;'PlayerGrades+'!$AC$17,"E",IF(H393&lt;'PlayerGrades+'!$AC$16,"E+",IF(H393&lt;'PlayerGrades+'!$AC$15,"D-",IF(H393&lt;'PlayerGrades+'!$AC$14,"D",IF(H393&lt;'PlayerGrades+'!$AC$13,"D+",IF(H393&lt;'PlayerGrades+'!$AC$12,"C-",IF(H393&lt;'PlayerGrades+'!$AC$11,"C",IF(H393&lt;'PlayerGrades+'!$AC$10,"C+",IF(H393&lt;'PlayerGrades+'!$AC$9,"B-",IF(H393&lt;'PlayerGrades+'!$AC$8,"B",IF(H393&lt;'PlayerGrades+'!$AC$7,"B+",IF(H393&lt;'PlayerGrades+'!$AC$6,"A-",IF(H393&lt;'PlayerGrades+'!$AC$5,"A",IF(H393&lt;'PlayerGrades+'!$AC$4,"A+",IF(H393&lt;'PlayerGrades+'!$AC$3,"S-",IF(H393&lt;'PlayerGrades+'!$AC$2,"S","S+"))))))))))))))))))))</f>
        <v>C-</v>
      </c>
      <c r="J393" s="937">
        <f t="shared" si="4"/>
        <v>0</v>
      </c>
      <c r="K393" s="937" t="str">
        <f>IF(J393&lt;'PlayerGrades+'!$AD$21,"F-",IF(J393&lt;'PlayerGrades+'!$AD$20,"F",IF(J393&lt;'PlayerGrades+'!$AD$19,"F+",IF(J393&lt;'PlayerGrades+'!$AD$18,"E-",IF(J393&lt;'PlayerGrades+'!$AD$17,"E",IF(J393&lt;'PlayerGrades+'!$AD$16,"E+",IF(J393&lt;'PlayerGrades+'!$AD$15,"D-",IF(J393&lt;'PlayerGrades+'!$AD$14,"D",IF(J393&lt;'PlayerGrades+'!$AD$13,"D+",IF(J393&lt;'PlayerGrades+'!$AD$12,"C-",IF(J393&lt;'PlayerGrades+'!$AD$11,"C",IF(J393&lt;'PlayerGrades+'!$AD$10,"C+",IF(J393&lt;'PlayerGrades+'!$AD$9,"B-",IF(J393&lt;'PlayerGrades+'!$AD$8,"B",IF(J393&lt;'PlayerGrades+'!$AD$7,"B+",IF(J393&lt;'PlayerGrades+'!$AD$6,"A-",IF(J393&lt;'PlayerGrades+'!$AD$5,"A",IF(J393&lt;'PlayerGrades+'!$AD$4,"A+",IF(J393&lt;'PlayerGrades+'!$AD$3,"S-",IF(J393&lt;'PlayerGrades+'!$AD$2,"S","S+"))))))))))))))))))))</f>
        <v>F-</v>
      </c>
      <c r="L393" s="677">
        <f t="shared" si="5"/>
        <v>0.3947368421</v>
      </c>
      <c r="M393" s="938" t="str">
        <f>IF(L393&lt;'PlayerGrades+'!$AE$21,"F-",IF(L393&lt;'PlayerGrades+'!$AE$20,"F",IF(L393&lt;'PlayerGrades+'!$AE$19,"F+",IF(L393&lt;'PlayerGrades+'!$AE$18,"E-",IF(L393&lt;'PlayerGrades+'!$AE$17,"E",IF(L393&lt;'PlayerGrades+'!$AE$16,"E+",IF(L393&lt;'PlayerGrades+'!$AE$15,"D-",IF(L393&lt;'PlayerGrades+'!$AE$14,"D",IF(L393&lt;'PlayerGrades+'!$AE$13,"D+",IF(L393&lt;'PlayerGrades+'!$AE$12,"C-",IF(L393&lt;'PlayerGrades+'!$AE$11,"C",IF(L393&lt;'PlayerGrades+'!$AE$10,"C+",IF(L393&lt;'PlayerGrades+'!$AE$9,"B-",IF(L393&lt;'PlayerGrades+'!$AE$8,"B",IF(L393&lt;'PlayerGrades+'!$AE$7,"B+",IF(L393&lt;'PlayerGrades+'!$AE$6,"A-",IF(L393&lt;'PlayerGrades+'!$AE$5,"A",IF(L393&lt;'PlayerGrades+'!$AE$4,"A+",IF(L393&lt;'PlayerGrades+'!$AE$3,"S-",IF(L393&lt;'PlayerGrades+'!$AE$2,"S","S+"))))))))))))))))))))</f>
        <v>C</v>
      </c>
      <c r="N393" s="937">
        <f t="shared" si="6"/>
        <v>0</v>
      </c>
      <c r="O393" s="937" t="str">
        <f>IF(N393&lt;'PlayerGrades+'!$AF$21,"F-",IF(N393&lt;'PlayerGrades+'!$AF$20,"F",IF(N393&lt;'PlayerGrades+'!$AF$19,"F+",IF(N393&lt;'PlayerGrades+'!$AF$18,"E-",IF(N393&lt;'PlayerGrades+'!$AF$17,"E",IF(N393&lt;'PlayerGrades+'!$AF$16,"E+",IF(N393&lt;'PlayerGrades+'!$AF$15,"D-",IF(N393&lt;'PlayerGrades+'!$AF$14,"D",IF(N393&lt;'PlayerGrades+'!$AF$13,"D+",IF(N393&lt;'PlayerGrades+'!$AF$12,"C-",IF(N393&lt;'PlayerGrades+'!$AF$11,"C",IF(N393&lt;'PlayerGrades+'!$AF$10,"C+",IF(N393&lt;'PlayerGrades+'!$AF$9,"B-",IF(N393&lt;'PlayerGrades+'!$AF$8,"B",IF(N393&lt;'PlayerGrades+'!$AF$7,"B+",IF(N393&lt;'PlayerGrades+'!$AF$6,"A-",IF(N393&lt;'PlayerGrades+'!$AF$5,"A",IF(N393&lt;'PlayerGrades+'!$AF$4,"A+",IF(N393&lt;'PlayerGrades+'!$AF$3,"S-",IF(N393&lt;'PlayerGrades+'!$AF$2,"S","S+"))))))))))))))))))))</f>
        <v>F-</v>
      </c>
      <c r="P393" s="937">
        <f t="shared" si="7"/>
        <v>0</v>
      </c>
      <c r="Q393" s="937" t="str">
        <f>IF(P393&lt;'PlayerGrades+'!$AG$21,"F-",IF(P393&lt;'PlayerGrades+'!$AG$20,"F",IF(P393&lt;'PlayerGrades+'!$AG$19,"F+",IF(P393&lt;'PlayerGrades+'!$AG$18,"E-",IF(P393&lt;'PlayerGrades+'!$AG$17,"E",IF(P393&lt;'PlayerGrades+'!$AG$16,"E+",IF(P393&lt;'PlayerGrades+'!$AG$15,"D-",IF(P393&lt;'PlayerGrades+'!$AG$14,"D",IF(P393&lt;'PlayerGrades+'!$AG$13,"D+",IF(P393&lt;'PlayerGrades+'!$AG$12,"C-",IF(P393&lt;'PlayerGrades+'!$AG$11,"C",IF(P393&lt;'PlayerGrades+'!$AG$10,"C+",IF(P393&lt;'PlayerGrades+'!$AG$9,"B-",IF(P393&lt;'PlayerGrades+'!$AG$8,"B",IF(P393&lt;'PlayerGrades+'!$AG$7,"B+",IF(P393&lt;'PlayerGrades+'!$AG$6,"A-",IF(P393&lt;'PlayerGrades+'!$AG$5,"A",IF(P393&lt;'PlayerGrades+'!$AG$4,"A+",IF(P393&lt;'PlayerGrades+'!$AG$3,"S-",IF(P393&lt;'PlayerGrades+'!$AG$2,"S","S+"))))))))))))))))))))</f>
        <v>F</v>
      </c>
      <c r="R393" s="937">
        <f t="shared" si="8"/>
        <v>0.4934210526</v>
      </c>
      <c r="S393" s="937" t="str">
        <f>IF(R393&lt;'PlayerGrades+'!$AH$21,"F-",IF(R393&lt;'PlayerGrades+'!$AH$20,"F",IF(R393&lt;'PlayerGrades+'!$AH$19,"F+",IF(R393&lt;'PlayerGrades+'!$AH$18,"E-",IF(R393&lt;'PlayerGrades+'!$AH$17,"E",IF(R393&lt;'PlayerGrades+'!$AH$16,"E+",IF(R393&lt;'PlayerGrades+'!$AH$15,"D-",IF(R393&lt;'PlayerGrades+'!$AH$14,"D",IF(R393&lt;'PlayerGrades+'!$AH$13,"D+",IF(R393&lt;'PlayerGrades+'!$AH$12,"C-",IF(R393&lt;'PlayerGrades+'!$AH$11,"C",IF(R393&lt;'PlayerGrades+'!$AH$10,"C+",IF(R393&lt;'PlayerGrades+'!$AH$9,"B-",IF(R393&lt;'PlayerGrades+'!$AH$8,"B",IF(R393&lt;'PlayerGrades+'!$AH$7,"B+",IF(R393&lt;'PlayerGrades+'!$AH$6,"A-",IF(R393&lt;'PlayerGrades+'!$AH$5,"A",IF(R393&lt;'PlayerGrades+'!$AH$4,"A+",IF(R393&lt;'PlayerGrades+'!$AH$3,"S-",IF(R393&lt;'PlayerGrades+'!$AH$2,"S","S+"))))))))))))))))))))</f>
        <v>D-</v>
      </c>
      <c r="T393" s="937">
        <f t="shared" si="9"/>
        <v>0.4934210526</v>
      </c>
      <c r="U393" s="937" t="str">
        <f>IF(T393&lt;'PlayerGrades+'!$AI$21,"F-",IF(T393&lt;'PlayerGrades+'!$AI$20,"F",IF(T393&lt;'PlayerGrades+'!$AI$19,"F+",IF(T393&lt;'PlayerGrades+'!$AI$18,"E-",IF(T393&lt;'PlayerGrades+'!$AI$17,"E",IF(T393&lt;'PlayerGrades+'!$AI$16,"E+",IF(T393&lt;'PlayerGrades+'!$AI$15,"D-",IF(T393&lt;'PlayerGrades+'!$AI$14,"D",IF(T393&lt;'PlayerGrades+'!$AI$13,"D+",IF(T393&lt;'PlayerGrades+'!$AI$12,"C-",IF(T393&lt;'PlayerGrades+'!$AI$11,"C",IF(T393&lt;'PlayerGrades+'!$AI$10,"C+",IF(T393&lt;'PlayerGrades+'!$AI$9,"B-",IF(T393&lt;'PlayerGrades+'!$AI$8,"B",IF(T393&lt;'PlayerGrades+'!$AI$7,"B+",IF(T393&lt;'PlayerGrades+'!$AI$6,"A-",IF(T393&lt;'PlayerGrades+'!$AI$5,"A",IF(T393&lt;'PlayerGrades+'!$AI$4,"A+",IF(T393&lt;'PlayerGrades+'!$AI$3,"S-",IF(T393&lt;'PlayerGrades+'!$AI$2,"S","S+"))))))))))))))))))))</f>
        <v>F-</v>
      </c>
      <c r="V393" s="944">
        <v>1.0</v>
      </c>
      <c r="W393" s="944">
        <v>0.0</v>
      </c>
      <c r="X393" s="944">
        <v>1.0</v>
      </c>
      <c r="Y393" s="944">
        <v>0.0</v>
      </c>
      <c r="Z393" s="944">
        <v>1.0</v>
      </c>
      <c r="AA393" s="944">
        <v>33.0</v>
      </c>
      <c r="AB393" s="944">
        <v>47.0</v>
      </c>
      <c r="AC393" s="944">
        <v>-14.0</v>
      </c>
      <c r="AD393" s="944">
        <v>2.0</v>
      </c>
      <c r="AE393" s="944">
        <v>2.0</v>
      </c>
      <c r="AF393" s="944">
        <v>0.0</v>
      </c>
      <c r="AG393" s="944">
        <v>384.0</v>
      </c>
      <c r="AH393" s="944">
        <v>608.0</v>
      </c>
      <c r="AI393" s="944">
        <v>8.0</v>
      </c>
      <c r="AJ393" s="944">
        <v>7.0</v>
      </c>
      <c r="AK393" s="944">
        <v>0.0</v>
      </c>
      <c r="AL393" s="944">
        <v>0.0</v>
      </c>
      <c r="AM393" s="944">
        <v>0.0</v>
      </c>
      <c r="AN393" s="944">
        <v>0.0</v>
      </c>
      <c r="AO393" s="944">
        <v>0.0</v>
      </c>
      <c r="AP393" s="944">
        <v>0.0</v>
      </c>
      <c r="AQ393" s="944">
        <v>0.0</v>
      </c>
      <c r="AR393" s="944">
        <v>4.0</v>
      </c>
      <c r="AS393" s="944">
        <v>0.0</v>
      </c>
      <c r="AT393" s="944">
        <v>0.0</v>
      </c>
      <c r="AU393" s="944">
        <v>0.0</v>
      </c>
      <c r="AV393" s="944">
        <v>0.0</v>
      </c>
      <c r="AW393" s="944">
        <v>0.0</v>
      </c>
      <c r="AX393" s="944">
        <v>0.0</v>
      </c>
      <c r="AY393" s="944">
        <v>0.0</v>
      </c>
      <c r="AZ393" s="944">
        <v>0.0</v>
      </c>
      <c r="BA393" s="944">
        <v>0.0</v>
      </c>
      <c r="BB393" s="944">
        <v>1.0</v>
      </c>
      <c r="BC393" s="944">
        <v>0.0</v>
      </c>
      <c r="BD393" s="944">
        <v>3.0</v>
      </c>
      <c r="BE393" s="944">
        <v>5.0</v>
      </c>
      <c r="BF393" s="944">
        <v>0.0</v>
      </c>
      <c r="BG393" s="945">
        <v>0.0</v>
      </c>
    </row>
    <row r="394">
      <c r="A394" s="1" t="s">
        <v>123</v>
      </c>
      <c r="B394" s="16" t="str">
        <f>IF(C394&lt;'PlayerGrades+'!$Y$44,"F-",IF(C394&lt;'PlayerGrades+'!$Y$43,"F",IF(C394&lt;'PlayerGrades+'!$Y$42,"F+",IF(C394&lt;'PlayerGrades+'!$Y$41,"E-",IF(C394&lt;'PlayerGrades+'!$Y$40,"E",IF(C394&lt;'PlayerGrades+'!$Y$39,"E+",IF(C394&lt;'PlayerGrades+'!$Y$38,"D-",IF(C394&lt;'PlayerGrades+'!$Y$37,"D",IF(C394&lt;'PlayerGrades+'!$Y$36,"D+",IF(C394&lt;'PlayerGrades+'!$Y$35,"C-",IF(C394&lt;'PlayerGrades+'!$Y$34,"C",IF(C394&lt;'PlayerGrades+'!$Y$33,"C+",IF(C394&lt;'PlayerGrades+'!$Y$32,"B-",IF(C394&lt;'PlayerGrades+'!$Y$31,"B",IF(C394&lt;'PlayerGrades+'!$Y$30,"B+",IF(C394&lt;'PlayerGrades+'!$Y$29,"A-",IF(C394&lt;'PlayerGrades+'!$Y$28,"A",IF(C394&lt;'PlayerGrades+'!$Y$27,"A+",IF(C394&lt;'PlayerGrades+'!$Y$26,"S-",IF(C394&lt;'PlayerGrades+'!$Y$25,"S","S+"))))))))))))))))))))</f>
        <v>A-</v>
      </c>
      <c r="C394" s="936">
        <f>('PlayerGrades+'!$Y$47*(VLOOKUP(E394, 'PlayerGrades+'!$X$3:$Y$23, 2, FALSE)))+('PlayerGrades+'!$Y$48*(VLOOKUP(G394, 'PlayerGrades+'!$X$3:$Y$23, 2, FALSE)))+('PlayerGrades+'!$Y$49*(VLOOKUP(I394, 'PlayerGrades+'!$X$3:$Y$23, 2, FALSE)))+('PlayerGrades+'!$Y$50*(VLOOKUP(K394, 'PlayerGrades+'!$X$3:$Y$23, 2, FALSE)))+('PlayerGrades+'!$Y$51*(VLOOKUP(M394, 'PlayerGrades+'!$X$3:$Y$23, 2, FALSE)))+('PlayerGrades+'!$Y$52*(VLOOKUP(O394, 'PlayerGrades+'!$X$3:$Y$23, 2, FALSE)))+('PlayerGrades+'!$Y$53*(VLOOKUP(Q394, 'PlayerGrades+'!$X$3:$Y$23, 2, FALSE)))+('PlayerGrades+'!$Y$54*(VLOOKUP(S394, 'PlayerGrades+'!$X$3:$Y$23, 2, FALSE)))+('PlayerGrades+'!$Y$55*(VLOOKUP(U394, 'PlayerGrades+'!$X$3:$Y$23, 2, FALSE)))</f>
        <v>24.95</v>
      </c>
      <c r="D394" s="937">
        <f t="shared" si="1"/>
        <v>1.379897785</v>
      </c>
      <c r="E394" s="937" t="str">
        <f>IF(D394&lt;'PlayerGrades+'!$AA$21,"F-",IF(D394&lt;'PlayerGrades+'!$AA$20,"F",IF(D394&lt;'PlayerGrades+'!$AA$19,"F+",IF(D394&lt;'PlayerGrades+'!$AA$18,"E-",IF(D394&lt;'PlayerGrades+'!$AA$17,"E",IF(D394&lt;'PlayerGrades+'!$AA$16,"E+",IF(D394&lt;'PlayerGrades+'!$AA$15,"D-",IF(D394&lt;'PlayerGrades+'!$AA$14,"D",IF(D394&lt;'PlayerGrades+'!$AA$13,"D+",IF(D394&lt;'PlayerGrades+'!$AA$12,"C-",IF(D394&lt;'PlayerGrades+'!$AA$11,"C",IF(D394&lt;'PlayerGrades+'!$AA$10,"C+",IF(D394&lt;'PlayerGrades+'!$AA$9,"B-",IF(D394&lt;'PlayerGrades+'!$AA$8,"B",IF(D394&lt;'PlayerGrades+'!$AA$7,"B+",IF(D394&lt;'PlayerGrades+'!$AA$6,"A-",IF(D394&lt;'PlayerGrades+'!$AA$5,"A",IF(D394&lt;'PlayerGrades+'!$AA$4,"A+",IF(D394&lt;'PlayerGrades+'!$AA$3,"S-",IF(D394&lt;'PlayerGrades+'!$AA$2,"S","S+"))))))))))))))))))))</f>
        <v>S+</v>
      </c>
      <c r="F394" s="937">
        <f t="shared" si="2"/>
        <v>1.226575809</v>
      </c>
      <c r="G394" s="937" t="str">
        <f>IF(F394&lt;'PlayerGrades+'!$AB$21,"F-",IF(F394&lt;'PlayerGrades+'!$AB$20,"F",IF(F394&lt;'PlayerGrades+'!$AB$19,"F+",IF(F394&lt;'PlayerGrades+'!$AB$18,"E-",IF(F394&lt;'PlayerGrades+'!$AB$17,"E",IF(F394&lt;'PlayerGrades+'!$AB$16,"E+",IF(F394&lt;'PlayerGrades+'!$AB$15,"D-",IF(F394&lt;'PlayerGrades+'!$AB$14,"D",IF(F394&lt;'PlayerGrades+'!$AB$13,"D+",IF(F394&lt;'PlayerGrades+'!$AB$12,"C-",IF(F394&lt;'PlayerGrades+'!$AB$11,"C",IF(F394&lt;'PlayerGrades+'!$AB$10,"C+",IF(F394&lt;'PlayerGrades+'!$AB$9,"B-",IF(F394&lt;'PlayerGrades+'!$AB$8,"B",IF(F394&lt;'PlayerGrades+'!$AB$7,"B+",IF(F394&lt;'PlayerGrades+'!$AB$6,"A-",IF(F394&lt;'PlayerGrades+'!$AB$5,"A",IF(F394&lt;'PlayerGrades+'!$AB$4,"A+",IF(F394&lt;'PlayerGrades+'!$AB$3,"S-",IF(F394&lt;'PlayerGrades+'!$AB$2,"S","S+"))))))))))))))))))))</f>
        <v>S+</v>
      </c>
      <c r="H394" s="937">
        <f t="shared" si="3"/>
        <v>0</v>
      </c>
      <c r="I394" s="937" t="str">
        <f>IF(H394&lt;'PlayerGrades+'!$AC$21,"F-",IF(H394&lt;'PlayerGrades+'!$AC$20,"F",IF(H394&lt;'PlayerGrades+'!$AC$19,"F+",IF(H394&lt;'PlayerGrades+'!$AC$18,"E-",IF(H394&lt;'PlayerGrades+'!$AC$17,"E",IF(H394&lt;'PlayerGrades+'!$AC$16,"E+",IF(H394&lt;'PlayerGrades+'!$AC$15,"D-",IF(H394&lt;'PlayerGrades+'!$AC$14,"D",IF(H394&lt;'PlayerGrades+'!$AC$13,"D+",IF(H394&lt;'PlayerGrades+'!$AC$12,"C-",IF(H394&lt;'PlayerGrades+'!$AC$11,"C",IF(H394&lt;'PlayerGrades+'!$AC$10,"C+",IF(H394&lt;'PlayerGrades+'!$AC$9,"B-",IF(H394&lt;'PlayerGrades+'!$AC$8,"B",IF(H394&lt;'PlayerGrades+'!$AC$7,"B+",IF(H394&lt;'PlayerGrades+'!$AC$6,"A-",IF(H394&lt;'PlayerGrades+'!$AC$5,"A",IF(H394&lt;'PlayerGrades+'!$AC$4,"A+",IF(H394&lt;'PlayerGrades+'!$AC$3,"S-",IF(H394&lt;'PlayerGrades+'!$AC$2,"S","S+"))))))))))))))))))))</f>
        <v>F-</v>
      </c>
      <c r="J394" s="937">
        <f t="shared" si="4"/>
        <v>0.1533219761</v>
      </c>
      <c r="K394" s="937" t="str">
        <f>IF(J394&lt;'PlayerGrades+'!$AD$21,"F-",IF(J394&lt;'PlayerGrades+'!$AD$20,"F",IF(J394&lt;'PlayerGrades+'!$AD$19,"F+",IF(J394&lt;'PlayerGrades+'!$AD$18,"E-",IF(J394&lt;'PlayerGrades+'!$AD$17,"E",IF(J394&lt;'PlayerGrades+'!$AD$16,"E+",IF(J394&lt;'PlayerGrades+'!$AD$15,"D-",IF(J394&lt;'PlayerGrades+'!$AD$14,"D",IF(J394&lt;'PlayerGrades+'!$AD$13,"D+",IF(J394&lt;'PlayerGrades+'!$AD$12,"C-",IF(J394&lt;'PlayerGrades+'!$AD$11,"C",IF(J394&lt;'PlayerGrades+'!$AD$10,"C+",IF(J394&lt;'PlayerGrades+'!$AD$9,"B-",IF(J394&lt;'PlayerGrades+'!$AD$8,"B",IF(J394&lt;'PlayerGrades+'!$AD$7,"B+",IF(J394&lt;'PlayerGrades+'!$AD$6,"A-",IF(J394&lt;'PlayerGrades+'!$AD$5,"A",IF(J394&lt;'PlayerGrades+'!$AD$4,"A+",IF(J394&lt;'PlayerGrades+'!$AD$3,"S-",IF(J394&lt;'PlayerGrades+'!$AD$2,"S","S+"))))))))))))))))))))</f>
        <v>S+</v>
      </c>
      <c r="L394" s="677">
        <f t="shared" si="5"/>
        <v>0.3577512777</v>
      </c>
      <c r="M394" s="938" t="str">
        <f>IF(L394&lt;'PlayerGrades+'!$AE$21,"F-",IF(L394&lt;'PlayerGrades+'!$AE$20,"F",IF(L394&lt;'PlayerGrades+'!$AE$19,"F+",IF(L394&lt;'PlayerGrades+'!$AE$18,"E-",IF(L394&lt;'PlayerGrades+'!$AE$17,"E",IF(L394&lt;'PlayerGrades+'!$AE$16,"E+",IF(L394&lt;'PlayerGrades+'!$AE$15,"D-",IF(L394&lt;'PlayerGrades+'!$AE$14,"D",IF(L394&lt;'PlayerGrades+'!$AE$13,"D+",IF(L394&lt;'PlayerGrades+'!$AE$12,"C-",IF(L394&lt;'PlayerGrades+'!$AE$11,"C",IF(L394&lt;'PlayerGrades+'!$AE$10,"C+",IF(L394&lt;'PlayerGrades+'!$AE$9,"B-",IF(L394&lt;'PlayerGrades+'!$AE$8,"B",IF(L394&lt;'PlayerGrades+'!$AE$7,"B+",IF(L394&lt;'PlayerGrades+'!$AE$6,"A-",IF(L394&lt;'PlayerGrades+'!$AE$5,"A",IF(L394&lt;'PlayerGrades+'!$AE$4,"A+",IF(L394&lt;'PlayerGrades+'!$AE$3,"S-",IF(L394&lt;'PlayerGrades+'!$AE$2,"S","S+"))))))))))))))))))))</f>
        <v>D+</v>
      </c>
      <c r="N394" s="937">
        <f t="shared" si="6"/>
        <v>0.1022146508</v>
      </c>
      <c r="O394" s="937" t="str">
        <f>IF(N394&lt;'PlayerGrades+'!$AF$21,"F-",IF(N394&lt;'PlayerGrades+'!$AF$20,"F",IF(N394&lt;'PlayerGrades+'!$AF$19,"F+",IF(N394&lt;'PlayerGrades+'!$AF$18,"E-",IF(N394&lt;'PlayerGrades+'!$AF$17,"E",IF(N394&lt;'PlayerGrades+'!$AF$16,"E+",IF(N394&lt;'PlayerGrades+'!$AF$15,"D-",IF(N394&lt;'PlayerGrades+'!$AF$14,"D",IF(N394&lt;'PlayerGrades+'!$AF$13,"D+",IF(N394&lt;'PlayerGrades+'!$AF$12,"C-",IF(N394&lt;'PlayerGrades+'!$AF$11,"C",IF(N394&lt;'PlayerGrades+'!$AF$10,"C+",IF(N394&lt;'PlayerGrades+'!$AF$9,"B-",IF(N394&lt;'PlayerGrades+'!$AF$8,"B",IF(N394&lt;'PlayerGrades+'!$AF$7,"B+",IF(N394&lt;'PlayerGrades+'!$AF$6,"A-",IF(N394&lt;'PlayerGrades+'!$AF$5,"A",IF(N394&lt;'PlayerGrades+'!$AF$4,"A+",IF(N394&lt;'PlayerGrades+'!$AF$3,"S-",IF(N394&lt;'PlayerGrades+'!$AF$2,"S","S+"))))))))))))))))))))</f>
        <v>A+</v>
      </c>
      <c r="P394" s="937">
        <f t="shared" si="7"/>
        <v>0</v>
      </c>
      <c r="Q394" s="937" t="str">
        <f>IF(P394&lt;'PlayerGrades+'!$AG$21,"F-",IF(P394&lt;'PlayerGrades+'!$AG$20,"F",IF(P394&lt;'PlayerGrades+'!$AG$19,"F+",IF(P394&lt;'PlayerGrades+'!$AG$18,"E-",IF(P394&lt;'PlayerGrades+'!$AG$17,"E",IF(P394&lt;'PlayerGrades+'!$AG$16,"E+",IF(P394&lt;'PlayerGrades+'!$AG$15,"D-",IF(P394&lt;'PlayerGrades+'!$AG$14,"D",IF(P394&lt;'PlayerGrades+'!$AG$13,"D+",IF(P394&lt;'PlayerGrades+'!$AG$12,"C-",IF(P394&lt;'PlayerGrades+'!$AG$11,"C",IF(P394&lt;'PlayerGrades+'!$AG$10,"C+",IF(P394&lt;'PlayerGrades+'!$AG$9,"B-",IF(P394&lt;'PlayerGrades+'!$AG$8,"B",IF(P394&lt;'PlayerGrades+'!$AG$7,"B+",IF(P394&lt;'PlayerGrades+'!$AG$6,"A-",IF(P394&lt;'PlayerGrades+'!$AG$5,"A",IF(P394&lt;'PlayerGrades+'!$AG$4,"A+",IF(P394&lt;'PlayerGrades+'!$AG$3,"S-",IF(P394&lt;'PlayerGrades+'!$AG$2,"S","S+"))))))))))))))))))))</f>
        <v>F</v>
      </c>
      <c r="R394" s="937">
        <f t="shared" si="8"/>
        <v>0.5110732538</v>
      </c>
      <c r="S394" s="937" t="str">
        <f>IF(R394&lt;'PlayerGrades+'!$AH$21,"F-",IF(R394&lt;'PlayerGrades+'!$AH$20,"F",IF(R394&lt;'PlayerGrades+'!$AH$19,"F+",IF(R394&lt;'PlayerGrades+'!$AH$18,"E-",IF(R394&lt;'PlayerGrades+'!$AH$17,"E",IF(R394&lt;'PlayerGrades+'!$AH$16,"E+",IF(R394&lt;'PlayerGrades+'!$AH$15,"D-",IF(R394&lt;'PlayerGrades+'!$AH$14,"D",IF(R394&lt;'PlayerGrades+'!$AH$13,"D+",IF(R394&lt;'PlayerGrades+'!$AH$12,"C-",IF(R394&lt;'PlayerGrades+'!$AH$11,"C",IF(R394&lt;'PlayerGrades+'!$AH$10,"C+",IF(R394&lt;'PlayerGrades+'!$AH$9,"B-",IF(R394&lt;'PlayerGrades+'!$AH$8,"B",IF(R394&lt;'PlayerGrades+'!$AH$7,"B+",IF(R394&lt;'PlayerGrades+'!$AH$6,"A-",IF(R394&lt;'PlayerGrades+'!$AH$5,"A",IF(R394&lt;'PlayerGrades+'!$AH$4,"A+",IF(R394&lt;'PlayerGrades+'!$AH$3,"S-",IF(R394&lt;'PlayerGrades+'!$AH$2,"S","S+"))))))))))))))))))))</f>
        <v>D</v>
      </c>
      <c r="T394" s="937">
        <f t="shared" si="9"/>
        <v>2.051107325</v>
      </c>
      <c r="U394" s="937" t="str">
        <f>IF(T394&lt;'PlayerGrades+'!$AI$21,"F-",IF(T394&lt;'PlayerGrades+'!$AI$20,"F",IF(T394&lt;'PlayerGrades+'!$AI$19,"F+",IF(T394&lt;'PlayerGrades+'!$AI$18,"E-",IF(T394&lt;'PlayerGrades+'!$AI$17,"E",IF(T394&lt;'PlayerGrades+'!$AI$16,"E+",IF(T394&lt;'PlayerGrades+'!$AI$15,"D-",IF(T394&lt;'PlayerGrades+'!$AI$14,"D",IF(T394&lt;'PlayerGrades+'!$AI$13,"D+",IF(T394&lt;'PlayerGrades+'!$AI$12,"C-",IF(T394&lt;'PlayerGrades+'!$AI$11,"C",IF(T394&lt;'PlayerGrades+'!$AI$10,"C+",IF(T394&lt;'PlayerGrades+'!$AI$9,"B-",IF(T394&lt;'PlayerGrades+'!$AI$8,"B",IF(T394&lt;'PlayerGrades+'!$AI$7,"B+",IF(T394&lt;'PlayerGrades+'!$AI$6,"A-",IF(T394&lt;'PlayerGrades+'!$AI$5,"A",IF(T394&lt;'PlayerGrades+'!$AI$4,"A+",IF(T394&lt;'PlayerGrades+'!$AI$3,"S-",IF(T394&lt;'PlayerGrades+'!$AI$2,"S","S+"))))))))))))))))))))</f>
        <v>S+</v>
      </c>
      <c r="V394" s="941">
        <v>1.0</v>
      </c>
      <c r="W394" s="941">
        <v>1.0</v>
      </c>
      <c r="X394" s="941">
        <v>0.0</v>
      </c>
      <c r="Y394" s="941">
        <v>4.0</v>
      </c>
      <c r="Z394" s="941">
        <v>23.0</v>
      </c>
      <c r="AA394" s="941">
        <v>62.0</v>
      </c>
      <c r="AB394" s="941">
        <v>38.0</v>
      </c>
      <c r="AC394" s="941">
        <v>24.0</v>
      </c>
      <c r="AD394" s="941">
        <v>0.0</v>
      </c>
      <c r="AE394" s="941">
        <v>8.0</v>
      </c>
      <c r="AF394" s="941">
        <v>3.0</v>
      </c>
      <c r="AG394" s="941">
        <v>956.0</v>
      </c>
      <c r="AH394" s="941">
        <v>1174.0</v>
      </c>
      <c r="AI394" s="941">
        <v>25.0</v>
      </c>
      <c r="AJ394" s="941">
        <v>478.0</v>
      </c>
      <c r="AK394" s="941">
        <v>0.0</v>
      </c>
      <c r="AL394" s="941">
        <v>3.0</v>
      </c>
      <c r="AM394" s="941">
        <v>0.0</v>
      </c>
      <c r="AN394" s="941">
        <v>0.0</v>
      </c>
      <c r="AO394" s="941">
        <v>0.0</v>
      </c>
      <c r="AP394" s="941">
        <v>0.0</v>
      </c>
      <c r="AQ394" s="941">
        <v>0.0</v>
      </c>
      <c r="AR394" s="941">
        <v>7.0</v>
      </c>
      <c r="AS394" s="941">
        <v>2.0</v>
      </c>
      <c r="AT394" s="941">
        <v>1.0</v>
      </c>
      <c r="AU394" s="941">
        <v>0.0</v>
      </c>
      <c r="AV394" s="941">
        <v>0.0</v>
      </c>
      <c r="AW394" s="941">
        <v>0.0</v>
      </c>
      <c r="AX394" s="941">
        <v>0.0</v>
      </c>
      <c r="AY394" s="941">
        <v>0.0</v>
      </c>
      <c r="AZ394" s="941">
        <v>0.0</v>
      </c>
      <c r="BA394" s="941">
        <v>1.0</v>
      </c>
      <c r="BB394" s="941">
        <v>0.0</v>
      </c>
      <c r="BC394" s="941">
        <v>0.0</v>
      </c>
      <c r="BD394" s="941">
        <v>10.0</v>
      </c>
      <c r="BE394" s="941">
        <v>1.0</v>
      </c>
      <c r="BF394" s="941">
        <v>2.0</v>
      </c>
      <c r="BG394" s="941">
        <v>0.0</v>
      </c>
    </row>
    <row r="395">
      <c r="A395" s="1" t="s">
        <v>419</v>
      </c>
      <c r="B395" s="16" t="str">
        <f>IF(C395&lt;'PlayerGrades+'!$Y$44,"F-",IF(C395&lt;'PlayerGrades+'!$Y$43,"F",IF(C395&lt;'PlayerGrades+'!$Y$42,"F+",IF(C395&lt;'PlayerGrades+'!$Y$41,"E-",IF(C395&lt;'PlayerGrades+'!$Y$40,"E",IF(C395&lt;'PlayerGrades+'!$Y$39,"E+",IF(C395&lt;'PlayerGrades+'!$Y$38,"D-",IF(C395&lt;'PlayerGrades+'!$Y$37,"D",IF(C395&lt;'PlayerGrades+'!$Y$36,"D+",IF(C395&lt;'PlayerGrades+'!$Y$35,"C-",IF(C395&lt;'PlayerGrades+'!$Y$34,"C",IF(C395&lt;'PlayerGrades+'!$Y$33,"C+",IF(C395&lt;'PlayerGrades+'!$Y$32,"B-",IF(C395&lt;'PlayerGrades+'!$Y$31,"B",IF(C395&lt;'PlayerGrades+'!$Y$30,"B+",IF(C395&lt;'PlayerGrades+'!$Y$29,"A-",IF(C395&lt;'PlayerGrades+'!$Y$28,"A",IF(C395&lt;'PlayerGrades+'!$Y$27,"A+",IF(C395&lt;'PlayerGrades+'!$Y$26,"S-",IF(C395&lt;'PlayerGrades+'!$Y$25,"S","S+"))))))))))))))))))))</f>
        <v>D</v>
      </c>
      <c r="C395" s="936">
        <f>('PlayerGrades+'!$Y$47*(VLOOKUP(E395, 'PlayerGrades+'!$X$3:$Y$23, 2, FALSE)))+('PlayerGrades+'!$Y$48*(VLOOKUP(G395, 'PlayerGrades+'!$X$3:$Y$23, 2, FALSE)))+('PlayerGrades+'!$Y$49*(VLOOKUP(I395, 'PlayerGrades+'!$X$3:$Y$23, 2, FALSE)))+('PlayerGrades+'!$Y$50*(VLOOKUP(K395, 'PlayerGrades+'!$X$3:$Y$23, 2, FALSE)))+('PlayerGrades+'!$Y$51*(VLOOKUP(M395, 'PlayerGrades+'!$X$3:$Y$23, 2, FALSE)))+('PlayerGrades+'!$Y$52*(VLOOKUP(O395, 'PlayerGrades+'!$X$3:$Y$23, 2, FALSE)))+('PlayerGrades+'!$Y$53*(VLOOKUP(Q395, 'PlayerGrades+'!$X$3:$Y$23, 2, FALSE)))+('PlayerGrades+'!$Y$54*(VLOOKUP(S395, 'PlayerGrades+'!$X$3:$Y$23, 2, FALSE)))+('PlayerGrades+'!$Y$55*(VLOOKUP(U395, 'PlayerGrades+'!$X$3:$Y$23, 2, FALSE)))</f>
        <v>17.05</v>
      </c>
      <c r="D395" s="937">
        <f t="shared" si="1"/>
        <v>0.05110732538</v>
      </c>
      <c r="E395" s="937" t="str">
        <f>IF(D395&lt;'PlayerGrades+'!$AA$21,"F-",IF(D395&lt;'PlayerGrades+'!$AA$20,"F",IF(D395&lt;'PlayerGrades+'!$AA$19,"F+",IF(D395&lt;'PlayerGrades+'!$AA$18,"E-",IF(D395&lt;'PlayerGrades+'!$AA$17,"E",IF(D395&lt;'PlayerGrades+'!$AA$16,"E+",IF(D395&lt;'PlayerGrades+'!$AA$15,"D-",IF(D395&lt;'PlayerGrades+'!$AA$14,"D",IF(D395&lt;'PlayerGrades+'!$AA$13,"D+",IF(D395&lt;'PlayerGrades+'!$AA$12,"C-",IF(D395&lt;'PlayerGrades+'!$AA$11,"C",IF(D395&lt;'PlayerGrades+'!$AA$10,"C+",IF(D395&lt;'PlayerGrades+'!$AA$9,"B-",IF(D395&lt;'PlayerGrades+'!$AA$8,"B",IF(D395&lt;'PlayerGrades+'!$AA$7,"B+",IF(D395&lt;'PlayerGrades+'!$AA$6,"A-",IF(D395&lt;'PlayerGrades+'!$AA$5,"A",IF(D395&lt;'PlayerGrades+'!$AA$4,"A+",IF(D395&lt;'PlayerGrades+'!$AA$3,"S-",IF(D395&lt;'PlayerGrades+'!$AA$2,"S","S+"))))))))))))))))))))</f>
        <v>C+</v>
      </c>
      <c r="F395" s="937">
        <f t="shared" si="2"/>
        <v>-0.5110732538</v>
      </c>
      <c r="G395" s="937" t="str">
        <f>IF(F395&lt;'PlayerGrades+'!$AB$21,"F-",IF(F395&lt;'PlayerGrades+'!$AB$20,"F",IF(F395&lt;'PlayerGrades+'!$AB$19,"F+",IF(F395&lt;'PlayerGrades+'!$AB$18,"E-",IF(F395&lt;'PlayerGrades+'!$AB$17,"E",IF(F395&lt;'PlayerGrades+'!$AB$16,"E+",IF(F395&lt;'PlayerGrades+'!$AB$15,"D-",IF(F395&lt;'PlayerGrades+'!$AB$14,"D",IF(F395&lt;'PlayerGrades+'!$AB$13,"D+",IF(F395&lt;'PlayerGrades+'!$AB$12,"C-",IF(F395&lt;'PlayerGrades+'!$AB$11,"C",IF(F395&lt;'PlayerGrades+'!$AB$10,"C+",IF(F395&lt;'PlayerGrades+'!$AB$9,"B-",IF(F395&lt;'PlayerGrades+'!$AB$8,"B",IF(F395&lt;'PlayerGrades+'!$AB$7,"B+",IF(F395&lt;'PlayerGrades+'!$AB$6,"A-",IF(F395&lt;'PlayerGrades+'!$AB$5,"A",IF(F395&lt;'PlayerGrades+'!$AB$4,"A+",IF(F395&lt;'PlayerGrades+'!$AB$3,"S-",IF(F395&lt;'PlayerGrades+'!$AB$2,"S","S+"))))))))))))))))))))</f>
        <v>D</v>
      </c>
      <c r="H395" s="937">
        <f t="shared" si="3"/>
        <v>0.2044293015</v>
      </c>
      <c r="I395" s="937" t="str">
        <f>IF(H395&lt;'PlayerGrades+'!$AC$21,"F-",IF(H395&lt;'PlayerGrades+'!$AC$20,"F",IF(H395&lt;'PlayerGrades+'!$AC$19,"F+",IF(H395&lt;'PlayerGrades+'!$AC$18,"E-",IF(H395&lt;'PlayerGrades+'!$AC$17,"E",IF(H395&lt;'PlayerGrades+'!$AC$16,"E+",IF(H395&lt;'PlayerGrades+'!$AC$15,"D-",IF(H395&lt;'PlayerGrades+'!$AC$14,"D",IF(H395&lt;'PlayerGrades+'!$AC$13,"D+",IF(H395&lt;'PlayerGrades+'!$AC$12,"C-",IF(H395&lt;'PlayerGrades+'!$AC$11,"C",IF(H395&lt;'PlayerGrades+'!$AC$10,"C+",IF(H395&lt;'PlayerGrades+'!$AC$9,"B-",IF(H395&lt;'PlayerGrades+'!$AC$8,"B",IF(H395&lt;'PlayerGrades+'!$AC$7,"B+",IF(H395&lt;'PlayerGrades+'!$AC$6,"A-",IF(H395&lt;'PlayerGrades+'!$AC$5,"A",IF(H395&lt;'PlayerGrades+'!$AC$4,"A+",IF(H395&lt;'PlayerGrades+'!$AC$3,"S-",IF(H395&lt;'PlayerGrades+'!$AC$2,"S","S+"))))))))))))))))))))</f>
        <v>S</v>
      </c>
      <c r="J395" s="937">
        <f t="shared" si="4"/>
        <v>0</v>
      </c>
      <c r="K395" s="937" t="str">
        <f>IF(J395&lt;'PlayerGrades+'!$AD$21,"F-",IF(J395&lt;'PlayerGrades+'!$AD$20,"F",IF(J395&lt;'PlayerGrades+'!$AD$19,"F+",IF(J395&lt;'PlayerGrades+'!$AD$18,"E-",IF(J395&lt;'PlayerGrades+'!$AD$17,"E",IF(J395&lt;'PlayerGrades+'!$AD$16,"E+",IF(J395&lt;'PlayerGrades+'!$AD$15,"D-",IF(J395&lt;'PlayerGrades+'!$AD$14,"D",IF(J395&lt;'PlayerGrades+'!$AD$13,"D+",IF(J395&lt;'PlayerGrades+'!$AD$12,"C-",IF(J395&lt;'PlayerGrades+'!$AD$11,"C",IF(J395&lt;'PlayerGrades+'!$AD$10,"C+",IF(J395&lt;'PlayerGrades+'!$AD$9,"B-",IF(J395&lt;'PlayerGrades+'!$AD$8,"B",IF(J395&lt;'PlayerGrades+'!$AD$7,"B+",IF(J395&lt;'PlayerGrades+'!$AD$6,"A-",IF(J395&lt;'PlayerGrades+'!$AD$5,"A",IF(J395&lt;'PlayerGrades+'!$AD$4,"A+",IF(J395&lt;'PlayerGrades+'!$AD$3,"S-",IF(J395&lt;'PlayerGrades+'!$AD$2,"S","S+"))))))))))))))))))))</f>
        <v>F-</v>
      </c>
      <c r="L395" s="677">
        <f t="shared" si="5"/>
        <v>0.4088586031</v>
      </c>
      <c r="M395" s="938" t="str">
        <f>IF(L395&lt;'PlayerGrades+'!$AE$21,"F-",IF(L395&lt;'PlayerGrades+'!$AE$20,"F",IF(L395&lt;'PlayerGrades+'!$AE$19,"F+",IF(L395&lt;'PlayerGrades+'!$AE$18,"E-",IF(L395&lt;'PlayerGrades+'!$AE$17,"E",IF(L395&lt;'PlayerGrades+'!$AE$16,"E+",IF(L395&lt;'PlayerGrades+'!$AE$15,"D-",IF(L395&lt;'PlayerGrades+'!$AE$14,"D",IF(L395&lt;'PlayerGrades+'!$AE$13,"D+",IF(L395&lt;'PlayerGrades+'!$AE$12,"C-",IF(L395&lt;'PlayerGrades+'!$AE$11,"C",IF(L395&lt;'PlayerGrades+'!$AE$10,"C+",IF(L395&lt;'PlayerGrades+'!$AE$9,"B-",IF(L395&lt;'PlayerGrades+'!$AE$8,"B",IF(L395&lt;'PlayerGrades+'!$AE$7,"B+",IF(L395&lt;'PlayerGrades+'!$AE$6,"A-",IF(L395&lt;'PlayerGrades+'!$AE$5,"A",IF(L395&lt;'PlayerGrades+'!$AE$4,"A+",IF(L395&lt;'PlayerGrades+'!$AE$3,"S-",IF(L395&lt;'PlayerGrades+'!$AE$2,"S","S+"))))))))))))))))))))</f>
        <v>C+</v>
      </c>
      <c r="N395" s="937">
        <f t="shared" si="6"/>
        <v>0.05110732538</v>
      </c>
      <c r="O395" s="937" t="str">
        <f>IF(N395&lt;'PlayerGrades+'!$AF$21,"F-",IF(N395&lt;'PlayerGrades+'!$AF$20,"F",IF(N395&lt;'PlayerGrades+'!$AF$19,"F+",IF(N395&lt;'PlayerGrades+'!$AF$18,"E-",IF(N395&lt;'PlayerGrades+'!$AF$17,"E",IF(N395&lt;'PlayerGrades+'!$AF$16,"E+",IF(N395&lt;'PlayerGrades+'!$AF$15,"D-",IF(N395&lt;'PlayerGrades+'!$AF$14,"D",IF(N395&lt;'PlayerGrades+'!$AF$13,"D+",IF(N395&lt;'PlayerGrades+'!$AF$12,"C-",IF(N395&lt;'PlayerGrades+'!$AF$11,"C",IF(N395&lt;'PlayerGrades+'!$AF$10,"C+",IF(N395&lt;'PlayerGrades+'!$AF$9,"B-",IF(N395&lt;'PlayerGrades+'!$AF$8,"B",IF(N395&lt;'PlayerGrades+'!$AF$7,"B+",IF(N395&lt;'PlayerGrades+'!$AF$6,"A-",IF(N395&lt;'PlayerGrades+'!$AF$5,"A",IF(N395&lt;'PlayerGrades+'!$AF$4,"A+",IF(N395&lt;'PlayerGrades+'!$AF$3,"S-",IF(N395&lt;'PlayerGrades+'!$AF$2,"S","S+"))))))))))))))))))))</f>
        <v>D</v>
      </c>
      <c r="P395" s="937">
        <f t="shared" si="7"/>
        <v>0</v>
      </c>
      <c r="Q395" s="937" t="str">
        <f>IF(P395&lt;'PlayerGrades+'!$AG$21,"F-",IF(P395&lt;'PlayerGrades+'!$AG$20,"F",IF(P395&lt;'PlayerGrades+'!$AG$19,"F+",IF(P395&lt;'PlayerGrades+'!$AG$18,"E-",IF(P395&lt;'PlayerGrades+'!$AG$17,"E",IF(P395&lt;'PlayerGrades+'!$AG$16,"E+",IF(P395&lt;'PlayerGrades+'!$AG$15,"D-",IF(P395&lt;'PlayerGrades+'!$AG$14,"D",IF(P395&lt;'PlayerGrades+'!$AG$13,"D+",IF(P395&lt;'PlayerGrades+'!$AG$12,"C-",IF(P395&lt;'PlayerGrades+'!$AG$11,"C",IF(P395&lt;'PlayerGrades+'!$AG$10,"C+",IF(P395&lt;'PlayerGrades+'!$AG$9,"B-",IF(P395&lt;'PlayerGrades+'!$AG$8,"B",IF(P395&lt;'PlayerGrades+'!$AG$7,"B+",IF(P395&lt;'PlayerGrades+'!$AG$6,"A-",IF(P395&lt;'PlayerGrades+'!$AG$5,"A",IF(P395&lt;'PlayerGrades+'!$AG$4,"A+",IF(P395&lt;'PlayerGrades+'!$AG$3,"S-",IF(P395&lt;'PlayerGrades+'!$AG$2,"S","S+"))))))))))))))))))))</f>
        <v>F</v>
      </c>
      <c r="R395" s="937">
        <f t="shared" si="8"/>
        <v>0.2555366269</v>
      </c>
      <c r="S395" s="937" t="str">
        <f>IF(R395&lt;'PlayerGrades+'!$AH$21,"F-",IF(R395&lt;'PlayerGrades+'!$AH$20,"F",IF(R395&lt;'PlayerGrades+'!$AH$19,"F+",IF(R395&lt;'PlayerGrades+'!$AH$18,"E-",IF(R395&lt;'PlayerGrades+'!$AH$17,"E",IF(R395&lt;'PlayerGrades+'!$AH$16,"E+",IF(R395&lt;'PlayerGrades+'!$AH$15,"D-",IF(R395&lt;'PlayerGrades+'!$AH$14,"D",IF(R395&lt;'PlayerGrades+'!$AH$13,"D+",IF(R395&lt;'PlayerGrades+'!$AH$12,"C-",IF(R395&lt;'PlayerGrades+'!$AH$11,"C",IF(R395&lt;'PlayerGrades+'!$AH$10,"C+",IF(R395&lt;'PlayerGrades+'!$AH$9,"B-",IF(R395&lt;'PlayerGrades+'!$AH$8,"B",IF(R395&lt;'PlayerGrades+'!$AH$7,"B+",IF(R395&lt;'PlayerGrades+'!$AH$6,"A-",IF(R395&lt;'PlayerGrades+'!$AH$5,"A",IF(R395&lt;'PlayerGrades+'!$AH$4,"A+",IF(R395&lt;'PlayerGrades+'!$AH$3,"S-",IF(R395&lt;'PlayerGrades+'!$AH$2,"S","S+"))))))))))))))))))))</f>
        <v>F-</v>
      </c>
      <c r="T395" s="937">
        <f t="shared" si="9"/>
        <v>1.459965928</v>
      </c>
      <c r="U395" s="937" t="str">
        <f>IF(T395&lt;'PlayerGrades+'!$AI$21,"F-",IF(T395&lt;'PlayerGrades+'!$AI$20,"F",IF(T395&lt;'PlayerGrades+'!$AI$19,"F+",IF(T395&lt;'PlayerGrades+'!$AI$18,"E-",IF(T395&lt;'PlayerGrades+'!$AI$17,"E",IF(T395&lt;'PlayerGrades+'!$AI$16,"E+",IF(T395&lt;'PlayerGrades+'!$AI$15,"D-",IF(T395&lt;'PlayerGrades+'!$AI$14,"D",IF(T395&lt;'PlayerGrades+'!$AI$13,"D+",IF(T395&lt;'PlayerGrades+'!$AI$12,"C-",IF(T395&lt;'PlayerGrades+'!$AI$11,"C",IF(T395&lt;'PlayerGrades+'!$AI$10,"C+",IF(T395&lt;'PlayerGrades+'!$AI$9,"B-",IF(T395&lt;'PlayerGrades+'!$AI$8,"B",IF(T395&lt;'PlayerGrades+'!$AI$7,"B+",IF(T395&lt;'PlayerGrades+'!$AI$6,"A-",IF(T395&lt;'PlayerGrades+'!$AI$5,"A",IF(T395&lt;'PlayerGrades+'!$AI$4,"A+",IF(T395&lt;'PlayerGrades+'!$AI$3,"S-",IF(T395&lt;'PlayerGrades+'!$AI$2,"S","S+"))))))))))))))))))))</f>
        <v>A-</v>
      </c>
      <c r="V395" s="941">
        <v>1.0</v>
      </c>
      <c r="W395" s="941">
        <v>1.0</v>
      </c>
      <c r="X395" s="941">
        <v>0.0</v>
      </c>
      <c r="Y395" s="941">
        <v>1.0</v>
      </c>
      <c r="Z395" s="941">
        <v>0.0</v>
      </c>
      <c r="AA395" s="941">
        <v>57.0</v>
      </c>
      <c r="AB395" s="941">
        <v>67.0</v>
      </c>
      <c r="AC395" s="941">
        <v>-10.0</v>
      </c>
      <c r="AD395" s="941">
        <v>2.0</v>
      </c>
      <c r="AE395" s="941">
        <v>4.0</v>
      </c>
      <c r="AF395" s="941">
        <v>0.0</v>
      </c>
      <c r="AG395" s="941">
        <v>861.0</v>
      </c>
      <c r="AH395" s="941">
        <v>1174.0</v>
      </c>
      <c r="AI395" s="941">
        <v>12.0</v>
      </c>
      <c r="AJ395" s="941">
        <v>24.0</v>
      </c>
      <c r="AK395" s="941">
        <v>0.0</v>
      </c>
      <c r="AL395" s="941">
        <v>0.0</v>
      </c>
      <c r="AM395" s="941">
        <v>0.0</v>
      </c>
      <c r="AN395" s="941">
        <v>0.0</v>
      </c>
      <c r="AO395" s="941">
        <v>0.0</v>
      </c>
      <c r="AP395" s="941">
        <v>0.0</v>
      </c>
      <c r="AQ395" s="941">
        <v>0.0</v>
      </c>
      <c r="AR395" s="941">
        <v>8.0</v>
      </c>
      <c r="AS395" s="941">
        <v>1.0</v>
      </c>
      <c r="AT395" s="941">
        <v>0.0</v>
      </c>
      <c r="AU395" s="941">
        <v>0.0</v>
      </c>
      <c r="AV395" s="941">
        <v>0.0</v>
      </c>
      <c r="AW395" s="941">
        <v>0.0</v>
      </c>
      <c r="AX395" s="941">
        <v>0.0</v>
      </c>
      <c r="AY395" s="941">
        <v>0.0</v>
      </c>
      <c r="AZ395" s="941">
        <v>0.0</v>
      </c>
      <c r="BA395" s="941">
        <v>0.0</v>
      </c>
      <c r="BB395" s="941">
        <v>4.0</v>
      </c>
      <c r="BC395" s="941">
        <v>0.0</v>
      </c>
      <c r="BD395" s="941">
        <v>3.0</v>
      </c>
      <c r="BE395" s="941">
        <v>9.0</v>
      </c>
      <c r="BF395" s="941">
        <v>1.0</v>
      </c>
      <c r="BG395" s="941">
        <v>0.0</v>
      </c>
    </row>
    <row r="396">
      <c r="A396" s="1" t="s">
        <v>145</v>
      </c>
      <c r="B396" s="16" t="str">
        <f>IF(C396&lt;'PlayerGrades+'!$Y$44,"F-",IF(C396&lt;'PlayerGrades+'!$Y$43,"F",IF(C396&lt;'PlayerGrades+'!$Y$42,"F+",IF(C396&lt;'PlayerGrades+'!$Y$41,"E-",IF(C396&lt;'PlayerGrades+'!$Y$40,"E",IF(C396&lt;'PlayerGrades+'!$Y$39,"E+",IF(C396&lt;'PlayerGrades+'!$Y$38,"D-",IF(C396&lt;'PlayerGrades+'!$Y$37,"D",IF(C396&lt;'PlayerGrades+'!$Y$36,"D+",IF(C396&lt;'PlayerGrades+'!$Y$35,"C-",IF(C396&lt;'PlayerGrades+'!$Y$34,"C",IF(C396&lt;'PlayerGrades+'!$Y$33,"C+",IF(C396&lt;'PlayerGrades+'!$Y$32,"B-",IF(C396&lt;'PlayerGrades+'!$Y$31,"B",IF(C396&lt;'PlayerGrades+'!$Y$30,"B+",IF(C396&lt;'PlayerGrades+'!$Y$29,"A-",IF(C396&lt;'PlayerGrades+'!$Y$28,"A",IF(C396&lt;'PlayerGrades+'!$Y$27,"A+",IF(C396&lt;'PlayerGrades+'!$Y$26,"S-",IF(C396&lt;'PlayerGrades+'!$Y$25,"S","S+"))))))))))))))))))))</f>
        <v>E-</v>
      </c>
      <c r="C396" s="936">
        <f>('PlayerGrades+'!$Y$47*(VLOOKUP(E396, 'PlayerGrades+'!$X$3:$Y$23, 2, FALSE)))+('PlayerGrades+'!$Y$48*(VLOOKUP(G396, 'PlayerGrades+'!$X$3:$Y$23, 2, FALSE)))+('PlayerGrades+'!$Y$49*(VLOOKUP(I396, 'PlayerGrades+'!$X$3:$Y$23, 2, FALSE)))+('PlayerGrades+'!$Y$50*(VLOOKUP(K396, 'PlayerGrades+'!$X$3:$Y$23, 2, FALSE)))+('PlayerGrades+'!$Y$51*(VLOOKUP(M396, 'PlayerGrades+'!$X$3:$Y$23, 2, FALSE)))+('PlayerGrades+'!$Y$52*(VLOOKUP(O396, 'PlayerGrades+'!$X$3:$Y$23, 2, FALSE)))+('PlayerGrades+'!$Y$53*(VLOOKUP(Q396, 'PlayerGrades+'!$X$3:$Y$23, 2, FALSE)))+('PlayerGrades+'!$Y$54*(VLOOKUP(S396, 'PlayerGrades+'!$X$3:$Y$23, 2, FALSE)))+('PlayerGrades+'!$Y$55*(VLOOKUP(U396, 'PlayerGrades+'!$X$3:$Y$23, 2, FALSE)))</f>
        <v>11.5</v>
      </c>
      <c r="D396" s="937">
        <f t="shared" si="1"/>
        <v>0</v>
      </c>
      <c r="E396" s="937" t="str">
        <f>IF(D396&lt;'PlayerGrades+'!$AA$21,"F-",IF(D396&lt;'PlayerGrades+'!$AA$20,"F",IF(D396&lt;'PlayerGrades+'!$AA$19,"F+",IF(D396&lt;'PlayerGrades+'!$AA$18,"E-",IF(D396&lt;'PlayerGrades+'!$AA$17,"E",IF(D396&lt;'PlayerGrades+'!$AA$16,"E+",IF(D396&lt;'PlayerGrades+'!$AA$15,"D-",IF(D396&lt;'PlayerGrades+'!$AA$14,"D",IF(D396&lt;'PlayerGrades+'!$AA$13,"D+",IF(D396&lt;'PlayerGrades+'!$AA$12,"C-",IF(D396&lt;'PlayerGrades+'!$AA$11,"C",IF(D396&lt;'PlayerGrades+'!$AA$10,"C+",IF(D396&lt;'PlayerGrades+'!$AA$9,"B-",IF(D396&lt;'PlayerGrades+'!$AA$8,"B",IF(D396&lt;'PlayerGrades+'!$AA$7,"B+",IF(D396&lt;'PlayerGrades+'!$AA$6,"A-",IF(D396&lt;'PlayerGrades+'!$AA$5,"A",IF(D396&lt;'PlayerGrades+'!$AA$4,"A+",IF(D396&lt;'PlayerGrades+'!$AA$3,"S-",IF(D396&lt;'PlayerGrades+'!$AA$2,"S","S+"))))))))))))))))))))</f>
        <v>F-</v>
      </c>
      <c r="F396" s="937">
        <f t="shared" si="2"/>
        <v>-1.124361158</v>
      </c>
      <c r="G396" s="937" t="str">
        <f>IF(F396&lt;'PlayerGrades+'!$AB$21,"F-",IF(F396&lt;'PlayerGrades+'!$AB$20,"F",IF(F396&lt;'PlayerGrades+'!$AB$19,"F+",IF(F396&lt;'PlayerGrades+'!$AB$18,"E-",IF(F396&lt;'PlayerGrades+'!$AB$17,"E",IF(F396&lt;'PlayerGrades+'!$AB$16,"E+",IF(F396&lt;'PlayerGrades+'!$AB$15,"D-",IF(F396&lt;'PlayerGrades+'!$AB$14,"D",IF(F396&lt;'PlayerGrades+'!$AB$13,"D+",IF(F396&lt;'PlayerGrades+'!$AB$12,"C-",IF(F396&lt;'PlayerGrades+'!$AB$11,"C",IF(F396&lt;'PlayerGrades+'!$AB$10,"C+",IF(F396&lt;'PlayerGrades+'!$AB$9,"B-",IF(F396&lt;'PlayerGrades+'!$AB$8,"B",IF(F396&lt;'PlayerGrades+'!$AB$7,"B+",IF(F396&lt;'PlayerGrades+'!$AB$6,"A-",IF(F396&lt;'PlayerGrades+'!$AB$5,"A",IF(F396&lt;'PlayerGrades+'!$AB$4,"A+",IF(F396&lt;'PlayerGrades+'!$AB$3,"S-",IF(F396&lt;'PlayerGrades+'!$AB$2,"S","S+"))))))))))))))))))))</f>
        <v>F-</v>
      </c>
      <c r="H396" s="937">
        <f t="shared" si="3"/>
        <v>0.05110732538</v>
      </c>
      <c r="I396" s="937" t="str">
        <f>IF(H396&lt;'PlayerGrades+'!$AC$21,"F-",IF(H396&lt;'PlayerGrades+'!$AC$20,"F",IF(H396&lt;'PlayerGrades+'!$AC$19,"F+",IF(H396&lt;'PlayerGrades+'!$AC$18,"E-",IF(H396&lt;'PlayerGrades+'!$AC$17,"E",IF(H396&lt;'PlayerGrades+'!$AC$16,"E+",IF(H396&lt;'PlayerGrades+'!$AC$15,"D-",IF(H396&lt;'PlayerGrades+'!$AC$14,"D",IF(H396&lt;'PlayerGrades+'!$AC$13,"D+",IF(H396&lt;'PlayerGrades+'!$AC$12,"C-",IF(H396&lt;'PlayerGrades+'!$AC$11,"C",IF(H396&lt;'PlayerGrades+'!$AC$10,"C+",IF(H396&lt;'PlayerGrades+'!$AC$9,"B-",IF(H396&lt;'PlayerGrades+'!$AC$8,"B",IF(H396&lt;'PlayerGrades+'!$AC$7,"B+",IF(H396&lt;'PlayerGrades+'!$AC$6,"A-",IF(H396&lt;'PlayerGrades+'!$AC$5,"A",IF(H396&lt;'PlayerGrades+'!$AC$4,"A+",IF(H396&lt;'PlayerGrades+'!$AC$3,"S-",IF(H396&lt;'PlayerGrades+'!$AC$2,"S","S+"))))))))))))))))))))</f>
        <v>F</v>
      </c>
      <c r="J396" s="937">
        <f t="shared" si="4"/>
        <v>0</v>
      </c>
      <c r="K396" s="937" t="str">
        <f>IF(J396&lt;'PlayerGrades+'!$AD$21,"F-",IF(J396&lt;'PlayerGrades+'!$AD$20,"F",IF(J396&lt;'PlayerGrades+'!$AD$19,"F+",IF(J396&lt;'PlayerGrades+'!$AD$18,"E-",IF(J396&lt;'PlayerGrades+'!$AD$17,"E",IF(J396&lt;'PlayerGrades+'!$AD$16,"E+",IF(J396&lt;'PlayerGrades+'!$AD$15,"D-",IF(J396&lt;'PlayerGrades+'!$AD$14,"D",IF(J396&lt;'PlayerGrades+'!$AD$13,"D+",IF(J396&lt;'PlayerGrades+'!$AD$12,"C-",IF(J396&lt;'PlayerGrades+'!$AD$11,"C",IF(J396&lt;'PlayerGrades+'!$AD$10,"C+",IF(J396&lt;'PlayerGrades+'!$AD$9,"B-",IF(J396&lt;'PlayerGrades+'!$AD$8,"B",IF(J396&lt;'PlayerGrades+'!$AD$7,"B+",IF(J396&lt;'PlayerGrades+'!$AD$6,"A-",IF(J396&lt;'PlayerGrades+'!$AD$5,"A",IF(J396&lt;'PlayerGrades+'!$AD$4,"A+",IF(J396&lt;'PlayerGrades+'!$AD$3,"S-",IF(J396&lt;'PlayerGrades+'!$AD$2,"S","S+"))))))))))))))))))))</f>
        <v>F-</v>
      </c>
      <c r="L396" s="677">
        <f t="shared" si="5"/>
        <v>0.3066439523</v>
      </c>
      <c r="M396" s="938" t="str">
        <f>IF(L396&lt;'PlayerGrades+'!$AE$21,"F-",IF(L396&lt;'PlayerGrades+'!$AE$20,"F",IF(L396&lt;'PlayerGrades+'!$AE$19,"F+",IF(L396&lt;'PlayerGrades+'!$AE$18,"E-",IF(L396&lt;'PlayerGrades+'!$AE$17,"E",IF(L396&lt;'PlayerGrades+'!$AE$16,"E+",IF(L396&lt;'PlayerGrades+'!$AE$15,"D-",IF(L396&lt;'PlayerGrades+'!$AE$14,"D",IF(L396&lt;'PlayerGrades+'!$AE$13,"D+",IF(L396&lt;'PlayerGrades+'!$AE$12,"C-",IF(L396&lt;'PlayerGrades+'!$AE$11,"C",IF(L396&lt;'PlayerGrades+'!$AE$10,"C+",IF(L396&lt;'PlayerGrades+'!$AE$9,"B-",IF(L396&lt;'PlayerGrades+'!$AE$8,"B",IF(L396&lt;'PlayerGrades+'!$AE$7,"B+",IF(L396&lt;'PlayerGrades+'!$AE$6,"A-",IF(L396&lt;'PlayerGrades+'!$AE$5,"A",IF(L396&lt;'PlayerGrades+'!$AE$4,"A+",IF(L396&lt;'PlayerGrades+'!$AE$3,"S-",IF(L396&lt;'PlayerGrades+'!$AE$2,"S","S+"))))))))))))))))))))</f>
        <v>E-</v>
      </c>
      <c r="N396" s="937">
        <f t="shared" si="6"/>
        <v>0.1022146508</v>
      </c>
      <c r="O396" s="937" t="str">
        <f>IF(N396&lt;'PlayerGrades+'!$AF$21,"F-",IF(N396&lt;'PlayerGrades+'!$AF$20,"F",IF(N396&lt;'PlayerGrades+'!$AF$19,"F+",IF(N396&lt;'PlayerGrades+'!$AF$18,"E-",IF(N396&lt;'PlayerGrades+'!$AF$17,"E",IF(N396&lt;'PlayerGrades+'!$AF$16,"E+",IF(N396&lt;'PlayerGrades+'!$AF$15,"D-",IF(N396&lt;'PlayerGrades+'!$AF$14,"D",IF(N396&lt;'PlayerGrades+'!$AF$13,"D+",IF(N396&lt;'PlayerGrades+'!$AF$12,"C-",IF(N396&lt;'PlayerGrades+'!$AF$11,"C",IF(N396&lt;'PlayerGrades+'!$AF$10,"C+",IF(N396&lt;'PlayerGrades+'!$AF$9,"B-",IF(N396&lt;'PlayerGrades+'!$AF$8,"B",IF(N396&lt;'PlayerGrades+'!$AF$7,"B+",IF(N396&lt;'PlayerGrades+'!$AF$6,"A-",IF(N396&lt;'PlayerGrades+'!$AF$5,"A",IF(N396&lt;'PlayerGrades+'!$AF$4,"A+",IF(N396&lt;'PlayerGrades+'!$AF$3,"S-",IF(N396&lt;'PlayerGrades+'!$AF$2,"S","S+"))))))))))))))))))))</f>
        <v>A+</v>
      </c>
      <c r="P396" s="937">
        <f t="shared" si="7"/>
        <v>0</v>
      </c>
      <c r="Q396" s="937" t="str">
        <f>IF(P396&lt;'PlayerGrades+'!$AG$21,"F-",IF(P396&lt;'PlayerGrades+'!$AG$20,"F",IF(P396&lt;'PlayerGrades+'!$AG$19,"F+",IF(P396&lt;'PlayerGrades+'!$AG$18,"E-",IF(P396&lt;'PlayerGrades+'!$AG$17,"E",IF(P396&lt;'PlayerGrades+'!$AG$16,"E+",IF(P396&lt;'PlayerGrades+'!$AG$15,"D-",IF(P396&lt;'PlayerGrades+'!$AG$14,"D",IF(P396&lt;'PlayerGrades+'!$AG$13,"D+",IF(P396&lt;'PlayerGrades+'!$AG$12,"C-",IF(P396&lt;'PlayerGrades+'!$AG$11,"C",IF(P396&lt;'PlayerGrades+'!$AG$10,"C+",IF(P396&lt;'PlayerGrades+'!$AG$9,"B-",IF(P396&lt;'PlayerGrades+'!$AG$8,"B",IF(P396&lt;'PlayerGrades+'!$AG$7,"B+",IF(P396&lt;'PlayerGrades+'!$AG$6,"A-",IF(P396&lt;'PlayerGrades+'!$AG$5,"A",IF(P396&lt;'PlayerGrades+'!$AG$4,"A+",IF(P396&lt;'PlayerGrades+'!$AG$3,"S-",IF(P396&lt;'PlayerGrades+'!$AG$2,"S","S+"))))))))))))))))))))</f>
        <v>F</v>
      </c>
      <c r="R396" s="937">
        <f t="shared" si="8"/>
        <v>0.4088586031</v>
      </c>
      <c r="S396" s="937" t="str">
        <f>IF(R396&lt;'PlayerGrades+'!$AH$21,"F-",IF(R396&lt;'PlayerGrades+'!$AH$20,"F",IF(R396&lt;'PlayerGrades+'!$AH$19,"F+",IF(R396&lt;'PlayerGrades+'!$AH$18,"E-",IF(R396&lt;'PlayerGrades+'!$AH$17,"E",IF(R396&lt;'PlayerGrades+'!$AH$16,"E+",IF(R396&lt;'PlayerGrades+'!$AH$15,"D-",IF(R396&lt;'PlayerGrades+'!$AH$14,"D",IF(R396&lt;'PlayerGrades+'!$AH$13,"D+",IF(R396&lt;'PlayerGrades+'!$AH$12,"C-",IF(R396&lt;'PlayerGrades+'!$AH$11,"C",IF(R396&lt;'PlayerGrades+'!$AH$10,"C+",IF(R396&lt;'PlayerGrades+'!$AH$9,"B-",IF(R396&lt;'PlayerGrades+'!$AH$8,"B",IF(R396&lt;'PlayerGrades+'!$AH$7,"B+",IF(R396&lt;'PlayerGrades+'!$AH$6,"A-",IF(R396&lt;'PlayerGrades+'!$AH$5,"A",IF(R396&lt;'PlayerGrades+'!$AH$4,"A+",IF(R396&lt;'PlayerGrades+'!$AH$3,"S-",IF(R396&lt;'PlayerGrades+'!$AH$2,"S","S+"))))))))))))))))))))</f>
        <v>F+</v>
      </c>
      <c r="T396" s="937">
        <f t="shared" si="9"/>
        <v>1.511073254</v>
      </c>
      <c r="U396" s="937" t="str">
        <f>IF(T396&lt;'PlayerGrades+'!$AI$21,"F-",IF(T396&lt;'PlayerGrades+'!$AI$20,"F",IF(T396&lt;'PlayerGrades+'!$AI$19,"F+",IF(T396&lt;'PlayerGrades+'!$AI$18,"E-",IF(T396&lt;'PlayerGrades+'!$AI$17,"E",IF(T396&lt;'PlayerGrades+'!$AI$16,"E+",IF(T396&lt;'PlayerGrades+'!$AI$15,"D-",IF(T396&lt;'PlayerGrades+'!$AI$14,"D",IF(T396&lt;'PlayerGrades+'!$AI$13,"D+",IF(T396&lt;'PlayerGrades+'!$AI$12,"C-",IF(T396&lt;'PlayerGrades+'!$AI$11,"C",IF(T396&lt;'PlayerGrades+'!$AI$10,"C+",IF(T396&lt;'PlayerGrades+'!$AI$9,"B-",IF(T396&lt;'PlayerGrades+'!$AI$8,"B",IF(T396&lt;'PlayerGrades+'!$AI$7,"B+",IF(T396&lt;'PlayerGrades+'!$AI$6,"A-",IF(T396&lt;'PlayerGrades+'!$AI$5,"A",IF(T396&lt;'PlayerGrades+'!$AI$4,"A+",IF(T396&lt;'PlayerGrades+'!$AI$3,"S-",IF(T396&lt;'PlayerGrades+'!$AI$2,"S","S+"))))))))))))))))))))</f>
        <v>A</v>
      </c>
      <c r="V396" s="941">
        <v>1.0</v>
      </c>
      <c r="W396" s="941">
        <v>1.0</v>
      </c>
      <c r="X396" s="941">
        <v>0.0</v>
      </c>
      <c r="Y396" s="941">
        <v>0.0</v>
      </c>
      <c r="Z396" s="941">
        <v>0.0</v>
      </c>
      <c r="AA396" s="941">
        <v>55.0</v>
      </c>
      <c r="AB396" s="941">
        <v>77.0</v>
      </c>
      <c r="AC396" s="941">
        <v>-22.0</v>
      </c>
      <c r="AD396" s="941">
        <v>7.0</v>
      </c>
      <c r="AE396" s="941">
        <v>4.0</v>
      </c>
      <c r="AF396" s="941">
        <v>2.0</v>
      </c>
      <c r="AG396" s="941">
        <v>834.0</v>
      </c>
      <c r="AH396" s="941">
        <v>1174.0</v>
      </c>
      <c r="AI396" s="941">
        <v>10.0</v>
      </c>
      <c r="AJ396" s="941">
        <v>0.0</v>
      </c>
      <c r="AK396" s="941">
        <v>0.0</v>
      </c>
      <c r="AL396" s="941">
        <v>0.0</v>
      </c>
      <c r="AM396" s="941">
        <v>0.0</v>
      </c>
      <c r="AN396" s="941">
        <v>0.0</v>
      </c>
      <c r="AO396" s="941">
        <v>0.0</v>
      </c>
      <c r="AP396" s="941">
        <v>0.0</v>
      </c>
      <c r="AQ396" s="941">
        <v>0.0</v>
      </c>
      <c r="AR396" s="941">
        <v>6.0</v>
      </c>
      <c r="AS396" s="941">
        <v>2.0</v>
      </c>
      <c r="AT396" s="941">
        <v>1.0</v>
      </c>
      <c r="AU396" s="941">
        <v>0.0</v>
      </c>
      <c r="AV396" s="941">
        <v>0.0</v>
      </c>
      <c r="AW396" s="941">
        <v>0.0</v>
      </c>
      <c r="AX396" s="941">
        <v>0.0</v>
      </c>
      <c r="AY396" s="941">
        <v>0.0</v>
      </c>
      <c r="AZ396" s="941">
        <v>0.0</v>
      </c>
      <c r="BA396" s="941">
        <v>0.0</v>
      </c>
      <c r="BB396" s="941">
        <v>1.0</v>
      </c>
      <c r="BC396" s="941">
        <v>0.0</v>
      </c>
      <c r="BD396" s="941">
        <v>1.0</v>
      </c>
      <c r="BE396" s="941">
        <v>10.0</v>
      </c>
      <c r="BF396" s="941">
        <v>1.0</v>
      </c>
      <c r="BG396" s="941">
        <v>0.0</v>
      </c>
    </row>
    <row r="397">
      <c r="A397" s="1" t="s">
        <v>156</v>
      </c>
      <c r="B397" s="16" t="str">
        <f>IF(C397&lt;'PlayerGrades+'!$Y$44,"F-",IF(C397&lt;'PlayerGrades+'!$Y$43,"F",IF(C397&lt;'PlayerGrades+'!$Y$42,"F+",IF(C397&lt;'PlayerGrades+'!$Y$41,"E-",IF(C397&lt;'PlayerGrades+'!$Y$40,"E",IF(C397&lt;'PlayerGrades+'!$Y$39,"E+",IF(C397&lt;'PlayerGrades+'!$Y$38,"D-",IF(C397&lt;'PlayerGrades+'!$Y$37,"D",IF(C397&lt;'PlayerGrades+'!$Y$36,"D+",IF(C397&lt;'PlayerGrades+'!$Y$35,"C-",IF(C397&lt;'PlayerGrades+'!$Y$34,"C",IF(C397&lt;'PlayerGrades+'!$Y$33,"C+",IF(C397&lt;'PlayerGrades+'!$Y$32,"B-",IF(C397&lt;'PlayerGrades+'!$Y$31,"B",IF(C397&lt;'PlayerGrades+'!$Y$30,"B+",IF(C397&lt;'PlayerGrades+'!$Y$29,"A-",IF(C397&lt;'PlayerGrades+'!$Y$28,"A",IF(C397&lt;'PlayerGrades+'!$Y$27,"A+",IF(C397&lt;'PlayerGrades+'!$Y$26,"S-",IF(C397&lt;'PlayerGrades+'!$Y$25,"S","S+"))))))))))))))))))))</f>
        <v>C-</v>
      </c>
      <c r="C397" s="936">
        <f>('PlayerGrades+'!$Y$47*(VLOOKUP(E397, 'PlayerGrades+'!$X$3:$Y$23, 2, FALSE)))+('PlayerGrades+'!$Y$48*(VLOOKUP(G397, 'PlayerGrades+'!$X$3:$Y$23, 2, FALSE)))+('PlayerGrades+'!$Y$49*(VLOOKUP(I397, 'PlayerGrades+'!$X$3:$Y$23, 2, FALSE)))+('PlayerGrades+'!$Y$50*(VLOOKUP(K397, 'PlayerGrades+'!$X$3:$Y$23, 2, FALSE)))+('PlayerGrades+'!$Y$51*(VLOOKUP(M397, 'PlayerGrades+'!$X$3:$Y$23, 2, FALSE)))+('PlayerGrades+'!$Y$52*(VLOOKUP(O397, 'PlayerGrades+'!$X$3:$Y$23, 2, FALSE)))+('PlayerGrades+'!$Y$53*(VLOOKUP(Q397, 'PlayerGrades+'!$X$3:$Y$23, 2, FALSE)))+('PlayerGrades+'!$Y$54*(VLOOKUP(S397, 'PlayerGrades+'!$X$3:$Y$23, 2, FALSE)))+('PlayerGrades+'!$Y$55*(VLOOKUP(U397, 'PlayerGrades+'!$X$3:$Y$23, 2, FALSE)))</f>
        <v>18.7</v>
      </c>
      <c r="D397" s="937">
        <f t="shared" si="1"/>
        <v>0.05110732538</v>
      </c>
      <c r="E397" s="937" t="str">
        <f>IF(D397&lt;'PlayerGrades+'!$AA$21,"F-",IF(D397&lt;'PlayerGrades+'!$AA$20,"F",IF(D397&lt;'PlayerGrades+'!$AA$19,"F+",IF(D397&lt;'PlayerGrades+'!$AA$18,"E-",IF(D397&lt;'PlayerGrades+'!$AA$17,"E",IF(D397&lt;'PlayerGrades+'!$AA$16,"E+",IF(D397&lt;'PlayerGrades+'!$AA$15,"D-",IF(D397&lt;'PlayerGrades+'!$AA$14,"D",IF(D397&lt;'PlayerGrades+'!$AA$13,"D+",IF(D397&lt;'PlayerGrades+'!$AA$12,"C-",IF(D397&lt;'PlayerGrades+'!$AA$11,"C",IF(D397&lt;'PlayerGrades+'!$AA$10,"C+",IF(D397&lt;'PlayerGrades+'!$AA$9,"B-",IF(D397&lt;'PlayerGrades+'!$AA$8,"B",IF(D397&lt;'PlayerGrades+'!$AA$7,"B+",IF(D397&lt;'PlayerGrades+'!$AA$6,"A-",IF(D397&lt;'PlayerGrades+'!$AA$5,"A",IF(D397&lt;'PlayerGrades+'!$AA$4,"A+",IF(D397&lt;'PlayerGrades+'!$AA$3,"S-",IF(D397&lt;'PlayerGrades+'!$AA$2,"S","S+"))))))))))))))))))))</f>
        <v>C+</v>
      </c>
      <c r="F397" s="937">
        <f t="shared" si="2"/>
        <v>-0.9199318569</v>
      </c>
      <c r="G397" s="937" t="str">
        <f>IF(F397&lt;'PlayerGrades+'!$AB$21,"F-",IF(F397&lt;'PlayerGrades+'!$AB$20,"F",IF(F397&lt;'PlayerGrades+'!$AB$19,"F+",IF(F397&lt;'PlayerGrades+'!$AB$18,"E-",IF(F397&lt;'PlayerGrades+'!$AB$17,"E",IF(F397&lt;'PlayerGrades+'!$AB$16,"E+",IF(F397&lt;'PlayerGrades+'!$AB$15,"D-",IF(F397&lt;'PlayerGrades+'!$AB$14,"D",IF(F397&lt;'PlayerGrades+'!$AB$13,"D+",IF(F397&lt;'PlayerGrades+'!$AB$12,"C-",IF(F397&lt;'PlayerGrades+'!$AB$11,"C",IF(F397&lt;'PlayerGrades+'!$AB$10,"C+",IF(F397&lt;'PlayerGrades+'!$AB$9,"B-",IF(F397&lt;'PlayerGrades+'!$AB$8,"B",IF(F397&lt;'PlayerGrades+'!$AB$7,"B+",IF(F397&lt;'PlayerGrades+'!$AB$6,"A-",IF(F397&lt;'PlayerGrades+'!$AB$5,"A",IF(F397&lt;'PlayerGrades+'!$AB$4,"A+",IF(F397&lt;'PlayerGrades+'!$AB$3,"S-",IF(F397&lt;'PlayerGrades+'!$AB$2,"S","S+"))))))))))))))))))))</f>
        <v>E-</v>
      </c>
      <c r="H397" s="937">
        <f t="shared" si="3"/>
        <v>0.05110732538</v>
      </c>
      <c r="I397" s="937" t="str">
        <f>IF(H397&lt;'PlayerGrades+'!$AC$21,"F-",IF(H397&lt;'PlayerGrades+'!$AC$20,"F",IF(H397&lt;'PlayerGrades+'!$AC$19,"F+",IF(H397&lt;'PlayerGrades+'!$AC$18,"E-",IF(H397&lt;'PlayerGrades+'!$AC$17,"E",IF(H397&lt;'PlayerGrades+'!$AC$16,"E+",IF(H397&lt;'PlayerGrades+'!$AC$15,"D-",IF(H397&lt;'PlayerGrades+'!$AC$14,"D",IF(H397&lt;'PlayerGrades+'!$AC$13,"D+",IF(H397&lt;'PlayerGrades+'!$AC$12,"C-",IF(H397&lt;'PlayerGrades+'!$AC$11,"C",IF(H397&lt;'PlayerGrades+'!$AC$10,"C+",IF(H397&lt;'PlayerGrades+'!$AC$9,"B-",IF(H397&lt;'PlayerGrades+'!$AC$8,"B",IF(H397&lt;'PlayerGrades+'!$AC$7,"B+",IF(H397&lt;'PlayerGrades+'!$AC$6,"A-",IF(H397&lt;'PlayerGrades+'!$AC$5,"A",IF(H397&lt;'PlayerGrades+'!$AC$4,"A+",IF(H397&lt;'PlayerGrades+'!$AC$3,"S-",IF(H397&lt;'PlayerGrades+'!$AC$2,"S","S+"))))))))))))))))))))</f>
        <v>F</v>
      </c>
      <c r="J397" s="937">
        <f t="shared" si="4"/>
        <v>0</v>
      </c>
      <c r="K397" s="937" t="str">
        <f>IF(J397&lt;'PlayerGrades+'!$AD$21,"F-",IF(J397&lt;'PlayerGrades+'!$AD$20,"F",IF(J397&lt;'PlayerGrades+'!$AD$19,"F+",IF(J397&lt;'PlayerGrades+'!$AD$18,"E-",IF(J397&lt;'PlayerGrades+'!$AD$17,"E",IF(J397&lt;'PlayerGrades+'!$AD$16,"E+",IF(J397&lt;'PlayerGrades+'!$AD$15,"D-",IF(J397&lt;'PlayerGrades+'!$AD$14,"D",IF(J397&lt;'PlayerGrades+'!$AD$13,"D+",IF(J397&lt;'PlayerGrades+'!$AD$12,"C-",IF(J397&lt;'PlayerGrades+'!$AD$11,"C",IF(J397&lt;'PlayerGrades+'!$AD$10,"C+",IF(J397&lt;'PlayerGrades+'!$AD$9,"B-",IF(J397&lt;'PlayerGrades+'!$AD$8,"B",IF(J397&lt;'PlayerGrades+'!$AD$7,"B+",IF(J397&lt;'PlayerGrades+'!$AD$6,"A-",IF(J397&lt;'PlayerGrades+'!$AD$5,"A",IF(J397&lt;'PlayerGrades+'!$AD$4,"A+",IF(J397&lt;'PlayerGrades+'!$AD$3,"S-",IF(J397&lt;'PlayerGrades+'!$AD$2,"S","S+"))))))))))))))))))))</f>
        <v>F-</v>
      </c>
      <c r="L397" s="677">
        <f t="shared" si="5"/>
        <v>0.4088586031</v>
      </c>
      <c r="M397" s="938" t="str">
        <f>IF(L397&lt;'PlayerGrades+'!$AE$21,"F-",IF(L397&lt;'PlayerGrades+'!$AE$20,"F",IF(L397&lt;'PlayerGrades+'!$AE$19,"F+",IF(L397&lt;'PlayerGrades+'!$AE$18,"E-",IF(L397&lt;'PlayerGrades+'!$AE$17,"E",IF(L397&lt;'PlayerGrades+'!$AE$16,"E+",IF(L397&lt;'PlayerGrades+'!$AE$15,"D-",IF(L397&lt;'PlayerGrades+'!$AE$14,"D",IF(L397&lt;'PlayerGrades+'!$AE$13,"D+",IF(L397&lt;'PlayerGrades+'!$AE$12,"C-",IF(L397&lt;'PlayerGrades+'!$AE$11,"C",IF(L397&lt;'PlayerGrades+'!$AE$10,"C+",IF(L397&lt;'PlayerGrades+'!$AE$9,"B-",IF(L397&lt;'PlayerGrades+'!$AE$8,"B",IF(L397&lt;'PlayerGrades+'!$AE$7,"B+",IF(L397&lt;'PlayerGrades+'!$AE$6,"A-",IF(L397&lt;'PlayerGrades+'!$AE$5,"A",IF(L397&lt;'PlayerGrades+'!$AE$4,"A+",IF(L397&lt;'PlayerGrades+'!$AE$3,"S-",IF(L397&lt;'PlayerGrades+'!$AE$2,"S","S+"))))))))))))))))))))</f>
        <v>C+</v>
      </c>
      <c r="N397" s="937">
        <f t="shared" si="6"/>
        <v>0.1022146508</v>
      </c>
      <c r="O397" s="937" t="str">
        <f>IF(N397&lt;'PlayerGrades+'!$AF$21,"F-",IF(N397&lt;'PlayerGrades+'!$AF$20,"F",IF(N397&lt;'PlayerGrades+'!$AF$19,"F+",IF(N397&lt;'PlayerGrades+'!$AF$18,"E-",IF(N397&lt;'PlayerGrades+'!$AF$17,"E",IF(N397&lt;'PlayerGrades+'!$AF$16,"E+",IF(N397&lt;'PlayerGrades+'!$AF$15,"D-",IF(N397&lt;'PlayerGrades+'!$AF$14,"D",IF(N397&lt;'PlayerGrades+'!$AF$13,"D+",IF(N397&lt;'PlayerGrades+'!$AF$12,"C-",IF(N397&lt;'PlayerGrades+'!$AF$11,"C",IF(N397&lt;'PlayerGrades+'!$AF$10,"C+",IF(N397&lt;'PlayerGrades+'!$AF$9,"B-",IF(N397&lt;'PlayerGrades+'!$AF$8,"B",IF(N397&lt;'PlayerGrades+'!$AF$7,"B+",IF(N397&lt;'PlayerGrades+'!$AF$6,"A-",IF(N397&lt;'PlayerGrades+'!$AF$5,"A",IF(N397&lt;'PlayerGrades+'!$AF$4,"A+",IF(N397&lt;'PlayerGrades+'!$AF$3,"S-",IF(N397&lt;'PlayerGrades+'!$AF$2,"S","S+"))))))))))))))))))))</f>
        <v>A+</v>
      </c>
      <c r="P397" s="937">
        <f t="shared" si="7"/>
        <v>0</v>
      </c>
      <c r="Q397" s="937" t="str">
        <f>IF(P397&lt;'PlayerGrades+'!$AG$21,"F-",IF(P397&lt;'PlayerGrades+'!$AG$20,"F",IF(P397&lt;'PlayerGrades+'!$AG$19,"F+",IF(P397&lt;'PlayerGrades+'!$AG$18,"E-",IF(P397&lt;'PlayerGrades+'!$AG$17,"E",IF(P397&lt;'PlayerGrades+'!$AG$16,"E+",IF(P397&lt;'PlayerGrades+'!$AG$15,"D-",IF(P397&lt;'PlayerGrades+'!$AG$14,"D",IF(P397&lt;'PlayerGrades+'!$AG$13,"D+",IF(P397&lt;'PlayerGrades+'!$AG$12,"C-",IF(P397&lt;'PlayerGrades+'!$AG$11,"C",IF(P397&lt;'PlayerGrades+'!$AG$10,"C+",IF(P397&lt;'PlayerGrades+'!$AG$9,"B-",IF(P397&lt;'PlayerGrades+'!$AG$8,"B",IF(P397&lt;'PlayerGrades+'!$AG$7,"B+",IF(P397&lt;'PlayerGrades+'!$AG$6,"A-",IF(P397&lt;'PlayerGrades+'!$AG$5,"A",IF(P397&lt;'PlayerGrades+'!$AG$4,"A+",IF(P397&lt;'PlayerGrades+'!$AG$3,"S-",IF(P397&lt;'PlayerGrades+'!$AG$2,"S","S+"))))))))))))))))))))</f>
        <v>F</v>
      </c>
      <c r="R397" s="937">
        <f t="shared" si="8"/>
        <v>0.7155025554</v>
      </c>
      <c r="S397" s="937" t="str">
        <f>IF(R397&lt;'PlayerGrades+'!$AH$21,"F-",IF(R397&lt;'PlayerGrades+'!$AH$20,"F",IF(R397&lt;'PlayerGrades+'!$AH$19,"F+",IF(R397&lt;'PlayerGrades+'!$AH$18,"E-",IF(R397&lt;'PlayerGrades+'!$AH$17,"E",IF(R397&lt;'PlayerGrades+'!$AH$16,"E+",IF(R397&lt;'PlayerGrades+'!$AH$15,"D-",IF(R397&lt;'PlayerGrades+'!$AH$14,"D",IF(R397&lt;'PlayerGrades+'!$AH$13,"D+",IF(R397&lt;'PlayerGrades+'!$AH$12,"C-",IF(R397&lt;'PlayerGrades+'!$AH$11,"C",IF(R397&lt;'PlayerGrades+'!$AH$10,"C+",IF(R397&lt;'PlayerGrades+'!$AH$9,"B-",IF(R397&lt;'PlayerGrades+'!$AH$8,"B",IF(R397&lt;'PlayerGrades+'!$AH$7,"B+",IF(R397&lt;'PlayerGrades+'!$AH$6,"A-",IF(R397&lt;'PlayerGrades+'!$AH$5,"A",IF(R397&lt;'PlayerGrades+'!$AH$4,"A+",IF(R397&lt;'PlayerGrades+'!$AH$3,"S-",IF(R397&lt;'PlayerGrades+'!$AH$2,"S","S+"))))))))))))))))))))</f>
        <v>S</v>
      </c>
      <c r="T397" s="937">
        <f t="shared" si="9"/>
        <v>0.4599659284</v>
      </c>
      <c r="U397" s="937" t="str">
        <f>IF(T397&lt;'PlayerGrades+'!$AI$21,"F-",IF(T397&lt;'PlayerGrades+'!$AI$20,"F",IF(T397&lt;'PlayerGrades+'!$AI$19,"F+",IF(T397&lt;'PlayerGrades+'!$AI$18,"E-",IF(T397&lt;'PlayerGrades+'!$AI$17,"E",IF(T397&lt;'PlayerGrades+'!$AI$16,"E+",IF(T397&lt;'PlayerGrades+'!$AI$15,"D-",IF(T397&lt;'PlayerGrades+'!$AI$14,"D",IF(T397&lt;'PlayerGrades+'!$AI$13,"D+",IF(T397&lt;'PlayerGrades+'!$AI$12,"C-",IF(T397&lt;'PlayerGrades+'!$AI$11,"C",IF(T397&lt;'PlayerGrades+'!$AI$10,"C+",IF(T397&lt;'PlayerGrades+'!$AI$9,"B-",IF(T397&lt;'PlayerGrades+'!$AI$8,"B",IF(T397&lt;'PlayerGrades+'!$AI$7,"B+",IF(T397&lt;'PlayerGrades+'!$AI$6,"A-",IF(T397&lt;'PlayerGrades+'!$AI$5,"A",IF(T397&lt;'PlayerGrades+'!$AI$4,"A+",IF(T397&lt;'PlayerGrades+'!$AI$3,"S-",IF(T397&lt;'PlayerGrades+'!$AI$2,"S","S+"))))))))))))))))))))</f>
        <v>F-</v>
      </c>
      <c r="V397" s="941">
        <v>1.0</v>
      </c>
      <c r="W397" s="941">
        <v>1.0</v>
      </c>
      <c r="X397" s="941">
        <v>0.0</v>
      </c>
      <c r="Y397" s="941">
        <v>0.0</v>
      </c>
      <c r="Z397" s="941">
        <v>1.0</v>
      </c>
      <c r="AA397" s="941">
        <v>47.0</v>
      </c>
      <c r="AB397" s="941">
        <v>65.0</v>
      </c>
      <c r="AC397" s="941">
        <v>-18.0</v>
      </c>
      <c r="AD397" s="941">
        <v>3.0</v>
      </c>
      <c r="AE397" s="941">
        <v>4.0</v>
      </c>
      <c r="AF397" s="941">
        <v>2.0</v>
      </c>
      <c r="AG397" s="941">
        <v>870.0</v>
      </c>
      <c r="AH397" s="941">
        <v>1174.0</v>
      </c>
      <c r="AI397" s="941">
        <v>13.0</v>
      </c>
      <c r="AJ397" s="941">
        <v>14.0</v>
      </c>
      <c r="AK397" s="941">
        <v>0.0</v>
      </c>
      <c r="AL397" s="941">
        <v>0.0</v>
      </c>
      <c r="AM397" s="941">
        <v>0.0</v>
      </c>
      <c r="AN397" s="941">
        <v>0.0</v>
      </c>
      <c r="AO397" s="941">
        <v>0.0</v>
      </c>
      <c r="AP397" s="941">
        <v>0.0</v>
      </c>
      <c r="AQ397" s="941">
        <v>0.0</v>
      </c>
      <c r="AR397" s="941">
        <v>8.0</v>
      </c>
      <c r="AS397" s="941">
        <v>2.0</v>
      </c>
      <c r="AT397" s="941">
        <v>0.0</v>
      </c>
      <c r="AU397" s="941">
        <v>0.0</v>
      </c>
      <c r="AV397" s="941">
        <v>0.0</v>
      </c>
      <c r="AW397" s="941">
        <v>0.0</v>
      </c>
      <c r="AX397" s="941">
        <v>0.0</v>
      </c>
      <c r="AY397" s="941">
        <v>0.0</v>
      </c>
      <c r="AZ397" s="941">
        <v>0.0</v>
      </c>
      <c r="BA397" s="941">
        <v>0.0</v>
      </c>
      <c r="BB397" s="941">
        <v>1.0</v>
      </c>
      <c r="BC397" s="941">
        <v>0.0</v>
      </c>
      <c r="BD397" s="941">
        <v>11.0</v>
      </c>
      <c r="BE397" s="941">
        <v>9.0</v>
      </c>
      <c r="BF397" s="941">
        <v>0.0</v>
      </c>
      <c r="BG397" s="941">
        <v>0.0</v>
      </c>
    </row>
    <row r="398">
      <c r="A398" s="1" t="s">
        <v>118</v>
      </c>
      <c r="B398" s="16" t="str">
        <f>IF(C398&lt;'PlayerGrades+'!$Y$44,"F-",IF(C398&lt;'PlayerGrades+'!$Y$43,"F",IF(C398&lt;'PlayerGrades+'!$Y$42,"F+",IF(C398&lt;'PlayerGrades+'!$Y$41,"E-",IF(C398&lt;'PlayerGrades+'!$Y$40,"E",IF(C398&lt;'PlayerGrades+'!$Y$39,"E+",IF(C398&lt;'PlayerGrades+'!$Y$38,"D-",IF(C398&lt;'PlayerGrades+'!$Y$37,"D",IF(C398&lt;'PlayerGrades+'!$Y$36,"D+",IF(C398&lt;'PlayerGrades+'!$Y$35,"C-",IF(C398&lt;'PlayerGrades+'!$Y$34,"C",IF(C398&lt;'PlayerGrades+'!$Y$33,"C+",IF(C398&lt;'PlayerGrades+'!$Y$32,"B-",IF(C398&lt;'PlayerGrades+'!$Y$31,"B",IF(C398&lt;'PlayerGrades+'!$Y$30,"B+",IF(C398&lt;'PlayerGrades+'!$Y$29,"A-",IF(C398&lt;'PlayerGrades+'!$Y$28,"A",IF(C398&lt;'PlayerGrades+'!$Y$27,"A+",IF(C398&lt;'PlayerGrades+'!$Y$26,"S-",IF(C398&lt;'PlayerGrades+'!$Y$25,"S","S+"))))))))))))))))))))</f>
        <v>B</v>
      </c>
      <c r="C398" s="936">
        <f>('PlayerGrades+'!$Y$47*(VLOOKUP(E398, 'PlayerGrades+'!$X$3:$Y$23, 2, FALSE)))+('PlayerGrades+'!$Y$48*(VLOOKUP(G398, 'PlayerGrades+'!$X$3:$Y$23, 2, FALSE)))+('PlayerGrades+'!$Y$49*(VLOOKUP(I398, 'PlayerGrades+'!$X$3:$Y$23, 2, FALSE)))+('PlayerGrades+'!$Y$50*(VLOOKUP(K398, 'PlayerGrades+'!$X$3:$Y$23, 2, FALSE)))+('PlayerGrades+'!$Y$51*(VLOOKUP(M398, 'PlayerGrades+'!$X$3:$Y$23, 2, FALSE)))+('PlayerGrades+'!$Y$52*(VLOOKUP(O398, 'PlayerGrades+'!$X$3:$Y$23, 2, FALSE)))+('PlayerGrades+'!$Y$53*(VLOOKUP(Q398, 'PlayerGrades+'!$X$3:$Y$23, 2, FALSE)))+('PlayerGrades+'!$Y$54*(VLOOKUP(S398, 'PlayerGrades+'!$X$3:$Y$23, 2, FALSE)))+('PlayerGrades+'!$Y$55*(VLOOKUP(U398, 'PlayerGrades+'!$X$3:$Y$23, 2, FALSE)))</f>
        <v>22.85</v>
      </c>
      <c r="D398" s="937">
        <f t="shared" si="1"/>
        <v>0.7155025554</v>
      </c>
      <c r="E398" s="937" t="str">
        <f>IF(D398&lt;'PlayerGrades+'!$AA$21,"F-",IF(D398&lt;'PlayerGrades+'!$AA$20,"F",IF(D398&lt;'PlayerGrades+'!$AA$19,"F+",IF(D398&lt;'PlayerGrades+'!$AA$18,"E-",IF(D398&lt;'PlayerGrades+'!$AA$17,"E",IF(D398&lt;'PlayerGrades+'!$AA$16,"E+",IF(D398&lt;'PlayerGrades+'!$AA$15,"D-",IF(D398&lt;'PlayerGrades+'!$AA$14,"D",IF(D398&lt;'PlayerGrades+'!$AA$13,"D+",IF(D398&lt;'PlayerGrades+'!$AA$12,"C-",IF(D398&lt;'PlayerGrades+'!$AA$11,"C",IF(D398&lt;'PlayerGrades+'!$AA$10,"C+",IF(D398&lt;'PlayerGrades+'!$AA$9,"B-",IF(D398&lt;'PlayerGrades+'!$AA$8,"B",IF(D398&lt;'PlayerGrades+'!$AA$7,"B+",IF(D398&lt;'PlayerGrades+'!$AA$6,"A-",IF(D398&lt;'PlayerGrades+'!$AA$5,"A",IF(D398&lt;'PlayerGrades+'!$AA$4,"A+",IF(D398&lt;'PlayerGrades+'!$AA$3,"S-",IF(D398&lt;'PlayerGrades+'!$AA$2,"S","S+"))))))))))))))))))))</f>
        <v>S</v>
      </c>
      <c r="F398" s="937">
        <f t="shared" si="2"/>
        <v>0.1533219761</v>
      </c>
      <c r="G398" s="937" t="str">
        <f>IF(F398&lt;'PlayerGrades+'!$AB$21,"F-",IF(F398&lt;'PlayerGrades+'!$AB$20,"F",IF(F398&lt;'PlayerGrades+'!$AB$19,"F+",IF(F398&lt;'PlayerGrades+'!$AB$18,"E-",IF(F398&lt;'PlayerGrades+'!$AB$17,"E",IF(F398&lt;'PlayerGrades+'!$AB$16,"E+",IF(F398&lt;'PlayerGrades+'!$AB$15,"D-",IF(F398&lt;'PlayerGrades+'!$AB$14,"D",IF(F398&lt;'PlayerGrades+'!$AB$13,"D+",IF(F398&lt;'PlayerGrades+'!$AB$12,"C-",IF(F398&lt;'PlayerGrades+'!$AB$11,"C",IF(F398&lt;'PlayerGrades+'!$AB$10,"C+",IF(F398&lt;'PlayerGrades+'!$AB$9,"B-",IF(F398&lt;'PlayerGrades+'!$AB$8,"B",IF(F398&lt;'PlayerGrades+'!$AB$7,"B+",IF(F398&lt;'PlayerGrades+'!$AB$6,"A-",IF(F398&lt;'PlayerGrades+'!$AB$5,"A",IF(F398&lt;'PlayerGrades+'!$AB$4,"A+",IF(F398&lt;'PlayerGrades+'!$AB$3,"S-",IF(F398&lt;'PlayerGrades+'!$AB$2,"S","S+"))))))))))))))))))))</f>
        <v>B+</v>
      </c>
      <c r="H398" s="937">
        <f t="shared" si="3"/>
        <v>0</v>
      </c>
      <c r="I398" s="937" t="str">
        <f>IF(H398&lt;'PlayerGrades+'!$AC$21,"F-",IF(H398&lt;'PlayerGrades+'!$AC$20,"F",IF(H398&lt;'PlayerGrades+'!$AC$19,"F+",IF(H398&lt;'PlayerGrades+'!$AC$18,"E-",IF(H398&lt;'PlayerGrades+'!$AC$17,"E",IF(H398&lt;'PlayerGrades+'!$AC$16,"E+",IF(H398&lt;'PlayerGrades+'!$AC$15,"D-",IF(H398&lt;'PlayerGrades+'!$AC$14,"D",IF(H398&lt;'PlayerGrades+'!$AC$13,"D+",IF(H398&lt;'PlayerGrades+'!$AC$12,"C-",IF(H398&lt;'PlayerGrades+'!$AC$11,"C",IF(H398&lt;'PlayerGrades+'!$AC$10,"C+",IF(H398&lt;'PlayerGrades+'!$AC$9,"B-",IF(H398&lt;'PlayerGrades+'!$AC$8,"B",IF(H398&lt;'PlayerGrades+'!$AC$7,"B+",IF(H398&lt;'PlayerGrades+'!$AC$6,"A-",IF(H398&lt;'PlayerGrades+'!$AC$5,"A",IF(H398&lt;'PlayerGrades+'!$AC$4,"A+",IF(H398&lt;'PlayerGrades+'!$AC$3,"S-",IF(H398&lt;'PlayerGrades+'!$AC$2,"S","S+"))))))))))))))))))))</f>
        <v>F-</v>
      </c>
      <c r="J398" s="937">
        <f t="shared" si="4"/>
        <v>0.05110732538</v>
      </c>
      <c r="K398" s="937" t="str">
        <f>IF(J398&lt;'PlayerGrades+'!$AD$21,"F-",IF(J398&lt;'PlayerGrades+'!$AD$20,"F",IF(J398&lt;'PlayerGrades+'!$AD$19,"F+",IF(J398&lt;'PlayerGrades+'!$AD$18,"E-",IF(J398&lt;'PlayerGrades+'!$AD$17,"E",IF(J398&lt;'PlayerGrades+'!$AD$16,"E+",IF(J398&lt;'PlayerGrades+'!$AD$15,"D-",IF(J398&lt;'PlayerGrades+'!$AD$14,"D",IF(J398&lt;'PlayerGrades+'!$AD$13,"D+",IF(J398&lt;'PlayerGrades+'!$AD$12,"C-",IF(J398&lt;'PlayerGrades+'!$AD$11,"C",IF(J398&lt;'PlayerGrades+'!$AD$10,"C+",IF(J398&lt;'PlayerGrades+'!$AD$9,"B-",IF(J398&lt;'PlayerGrades+'!$AD$8,"B",IF(J398&lt;'PlayerGrades+'!$AD$7,"B+",IF(J398&lt;'PlayerGrades+'!$AD$6,"A-",IF(J398&lt;'PlayerGrades+'!$AD$5,"A",IF(J398&lt;'PlayerGrades+'!$AD$4,"A+",IF(J398&lt;'PlayerGrades+'!$AD$3,"S-",IF(J398&lt;'PlayerGrades+'!$AD$2,"S","S+"))))))))))))))))))))</f>
        <v>B</v>
      </c>
      <c r="L398" s="677">
        <f t="shared" si="5"/>
        <v>0.3066439523</v>
      </c>
      <c r="M398" s="938" t="str">
        <f>IF(L398&lt;'PlayerGrades+'!$AE$21,"F-",IF(L398&lt;'PlayerGrades+'!$AE$20,"F",IF(L398&lt;'PlayerGrades+'!$AE$19,"F+",IF(L398&lt;'PlayerGrades+'!$AE$18,"E-",IF(L398&lt;'PlayerGrades+'!$AE$17,"E",IF(L398&lt;'PlayerGrades+'!$AE$16,"E+",IF(L398&lt;'PlayerGrades+'!$AE$15,"D-",IF(L398&lt;'PlayerGrades+'!$AE$14,"D",IF(L398&lt;'PlayerGrades+'!$AE$13,"D+",IF(L398&lt;'PlayerGrades+'!$AE$12,"C-",IF(L398&lt;'PlayerGrades+'!$AE$11,"C",IF(L398&lt;'PlayerGrades+'!$AE$10,"C+",IF(L398&lt;'PlayerGrades+'!$AE$9,"B-",IF(L398&lt;'PlayerGrades+'!$AE$8,"B",IF(L398&lt;'PlayerGrades+'!$AE$7,"B+",IF(L398&lt;'PlayerGrades+'!$AE$6,"A-",IF(L398&lt;'PlayerGrades+'!$AE$5,"A",IF(L398&lt;'PlayerGrades+'!$AE$4,"A+",IF(L398&lt;'PlayerGrades+'!$AE$3,"S-",IF(L398&lt;'PlayerGrades+'!$AE$2,"S","S+"))))))))))))))))))))</f>
        <v>E-</v>
      </c>
      <c r="N398" s="937">
        <f t="shared" si="6"/>
        <v>0.1022146508</v>
      </c>
      <c r="O398" s="937" t="str">
        <f>IF(N398&lt;'PlayerGrades+'!$AF$21,"F-",IF(N398&lt;'PlayerGrades+'!$AF$20,"F",IF(N398&lt;'PlayerGrades+'!$AF$19,"F+",IF(N398&lt;'PlayerGrades+'!$AF$18,"E-",IF(N398&lt;'PlayerGrades+'!$AF$17,"E",IF(N398&lt;'PlayerGrades+'!$AF$16,"E+",IF(N398&lt;'PlayerGrades+'!$AF$15,"D-",IF(N398&lt;'PlayerGrades+'!$AF$14,"D",IF(N398&lt;'PlayerGrades+'!$AF$13,"D+",IF(N398&lt;'PlayerGrades+'!$AF$12,"C-",IF(N398&lt;'PlayerGrades+'!$AF$11,"C",IF(N398&lt;'PlayerGrades+'!$AF$10,"C+",IF(N398&lt;'PlayerGrades+'!$AF$9,"B-",IF(N398&lt;'PlayerGrades+'!$AF$8,"B",IF(N398&lt;'PlayerGrades+'!$AF$7,"B+",IF(N398&lt;'PlayerGrades+'!$AF$6,"A-",IF(N398&lt;'PlayerGrades+'!$AF$5,"A",IF(N398&lt;'PlayerGrades+'!$AF$4,"A+",IF(N398&lt;'PlayerGrades+'!$AF$3,"S-",IF(N398&lt;'PlayerGrades+'!$AF$2,"S","S+"))))))))))))))))))))</f>
        <v>A+</v>
      </c>
      <c r="P398" s="937">
        <f t="shared" si="7"/>
        <v>0</v>
      </c>
      <c r="Q398" s="937" t="str">
        <f>IF(P398&lt;'PlayerGrades+'!$AG$21,"F-",IF(P398&lt;'PlayerGrades+'!$AG$20,"F",IF(P398&lt;'PlayerGrades+'!$AG$19,"F+",IF(P398&lt;'PlayerGrades+'!$AG$18,"E-",IF(P398&lt;'PlayerGrades+'!$AG$17,"E",IF(P398&lt;'PlayerGrades+'!$AG$16,"E+",IF(P398&lt;'PlayerGrades+'!$AG$15,"D-",IF(P398&lt;'PlayerGrades+'!$AG$14,"D",IF(P398&lt;'PlayerGrades+'!$AG$13,"D+",IF(P398&lt;'PlayerGrades+'!$AG$12,"C-",IF(P398&lt;'PlayerGrades+'!$AG$11,"C",IF(P398&lt;'PlayerGrades+'!$AG$10,"C+",IF(P398&lt;'PlayerGrades+'!$AG$9,"B-",IF(P398&lt;'PlayerGrades+'!$AG$8,"B",IF(P398&lt;'PlayerGrades+'!$AG$7,"B+",IF(P398&lt;'PlayerGrades+'!$AG$6,"A-",IF(P398&lt;'PlayerGrades+'!$AG$5,"A",IF(P398&lt;'PlayerGrades+'!$AG$4,"A+",IF(P398&lt;'PlayerGrades+'!$AG$3,"S-",IF(P398&lt;'PlayerGrades+'!$AG$2,"S","S+"))))))))))))))))))))</f>
        <v>F</v>
      </c>
      <c r="R398" s="937">
        <f t="shared" si="8"/>
        <v>0.6132879046</v>
      </c>
      <c r="S398" s="937" t="str">
        <f>IF(R398&lt;'PlayerGrades+'!$AH$21,"F-",IF(R398&lt;'PlayerGrades+'!$AH$20,"F",IF(R398&lt;'PlayerGrades+'!$AH$19,"F+",IF(R398&lt;'PlayerGrades+'!$AH$18,"E-",IF(R398&lt;'PlayerGrades+'!$AH$17,"E",IF(R398&lt;'PlayerGrades+'!$AH$16,"E+",IF(R398&lt;'PlayerGrades+'!$AH$15,"D-",IF(R398&lt;'PlayerGrades+'!$AH$14,"D",IF(R398&lt;'PlayerGrades+'!$AH$13,"D+",IF(R398&lt;'PlayerGrades+'!$AH$12,"C-",IF(R398&lt;'PlayerGrades+'!$AH$11,"C",IF(R398&lt;'PlayerGrades+'!$AH$10,"C+",IF(R398&lt;'PlayerGrades+'!$AH$9,"B-",IF(R398&lt;'PlayerGrades+'!$AH$8,"B",IF(R398&lt;'PlayerGrades+'!$AH$7,"B+",IF(R398&lt;'PlayerGrades+'!$AH$6,"A-",IF(R398&lt;'PlayerGrades+'!$AH$5,"A",IF(R398&lt;'PlayerGrades+'!$AH$4,"A+",IF(R398&lt;'PlayerGrades+'!$AH$3,"S-",IF(R398&lt;'PlayerGrades+'!$AH$2,"S","S+"))))))))))))))))))))</f>
        <v>A-</v>
      </c>
      <c r="T398" s="937">
        <f t="shared" si="9"/>
        <v>1.357751278</v>
      </c>
      <c r="U398" s="937" t="str">
        <f>IF(T398&lt;'PlayerGrades+'!$AI$21,"F-",IF(T398&lt;'PlayerGrades+'!$AI$20,"F",IF(T398&lt;'PlayerGrades+'!$AI$19,"F+",IF(T398&lt;'PlayerGrades+'!$AI$18,"E-",IF(T398&lt;'PlayerGrades+'!$AI$17,"E",IF(T398&lt;'PlayerGrades+'!$AI$16,"E+",IF(T398&lt;'PlayerGrades+'!$AI$15,"D-",IF(T398&lt;'PlayerGrades+'!$AI$14,"D",IF(T398&lt;'PlayerGrades+'!$AI$13,"D+",IF(T398&lt;'PlayerGrades+'!$AI$12,"C-",IF(T398&lt;'PlayerGrades+'!$AI$11,"C",IF(T398&lt;'PlayerGrades+'!$AI$10,"C+",IF(T398&lt;'PlayerGrades+'!$AI$9,"B-",IF(T398&lt;'PlayerGrades+'!$AI$8,"B",IF(T398&lt;'PlayerGrades+'!$AI$7,"B+",IF(T398&lt;'PlayerGrades+'!$AI$6,"A-",IF(T398&lt;'PlayerGrades+'!$AI$5,"A",IF(T398&lt;'PlayerGrades+'!$AI$4,"A+",IF(T398&lt;'PlayerGrades+'!$AI$3,"S-",IF(T398&lt;'PlayerGrades+'!$AI$2,"S","S+"))))))))))))))))))))</f>
        <v>B</v>
      </c>
      <c r="V398" s="941">
        <v>1.0</v>
      </c>
      <c r="W398" s="941">
        <v>0.0</v>
      </c>
      <c r="X398" s="941">
        <v>1.0</v>
      </c>
      <c r="Y398" s="941">
        <v>3.0</v>
      </c>
      <c r="Z398" s="941">
        <v>11.0</v>
      </c>
      <c r="AA398" s="941">
        <v>54.0</v>
      </c>
      <c r="AB398" s="941">
        <v>51.0</v>
      </c>
      <c r="AC398" s="941">
        <v>3.0</v>
      </c>
      <c r="AD398" s="941">
        <v>2.0</v>
      </c>
      <c r="AE398" s="941">
        <v>5.0</v>
      </c>
      <c r="AF398" s="941">
        <v>0.0</v>
      </c>
      <c r="AG398" s="941">
        <v>916.0</v>
      </c>
      <c r="AH398" s="941">
        <v>1174.0</v>
      </c>
      <c r="AI398" s="941">
        <v>17.0</v>
      </c>
      <c r="AJ398" s="941">
        <v>405.0</v>
      </c>
      <c r="AK398" s="941">
        <v>0.0</v>
      </c>
      <c r="AL398" s="941">
        <v>1.0</v>
      </c>
      <c r="AM398" s="941">
        <v>0.0</v>
      </c>
      <c r="AN398" s="941">
        <v>0.0</v>
      </c>
      <c r="AO398" s="941">
        <v>0.0</v>
      </c>
      <c r="AP398" s="941">
        <v>0.0</v>
      </c>
      <c r="AQ398" s="941">
        <v>0.0</v>
      </c>
      <c r="AR398" s="941">
        <v>6.0</v>
      </c>
      <c r="AS398" s="941">
        <v>2.0</v>
      </c>
      <c r="AT398" s="941">
        <v>0.0</v>
      </c>
      <c r="AU398" s="941">
        <v>0.0</v>
      </c>
      <c r="AV398" s="941">
        <v>0.0</v>
      </c>
      <c r="AW398" s="941">
        <v>0.0</v>
      </c>
      <c r="AX398" s="941">
        <v>0.0</v>
      </c>
      <c r="AY398" s="941">
        <v>0.0</v>
      </c>
      <c r="AZ398" s="941">
        <v>0.0</v>
      </c>
      <c r="BA398" s="941">
        <v>0.0</v>
      </c>
      <c r="BB398" s="941">
        <v>0.0</v>
      </c>
      <c r="BC398" s="941">
        <v>0.0</v>
      </c>
      <c r="BD398" s="941">
        <v>10.0</v>
      </c>
      <c r="BE398" s="941">
        <v>7.0</v>
      </c>
      <c r="BF398" s="941">
        <v>1.0</v>
      </c>
      <c r="BG398" s="941">
        <v>1.0</v>
      </c>
    </row>
    <row r="399">
      <c r="A399" s="1" t="s">
        <v>140</v>
      </c>
      <c r="B399" s="16" t="str">
        <f>IF(C399&lt;'PlayerGrades+'!$Y$44,"F-",IF(C399&lt;'PlayerGrades+'!$Y$43,"F",IF(C399&lt;'PlayerGrades+'!$Y$42,"F+",IF(C399&lt;'PlayerGrades+'!$Y$41,"E-",IF(C399&lt;'PlayerGrades+'!$Y$40,"E",IF(C399&lt;'PlayerGrades+'!$Y$39,"E+",IF(C399&lt;'PlayerGrades+'!$Y$38,"D-",IF(C399&lt;'PlayerGrades+'!$Y$37,"D",IF(C399&lt;'PlayerGrades+'!$Y$36,"D+",IF(C399&lt;'PlayerGrades+'!$Y$35,"C-",IF(C399&lt;'PlayerGrades+'!$Y$34,"C",IF(C399&lt;'PlayerGrades+'!$Y$33,"C+",IF(C399&lt;'PlayerGrades+'!$Y$32,"B-",IF(C399&lt;'PlayerGrades+'!$Y$31,"B",IF(C399&lt;'PlayerGrades+'!$Y$30,"B+",IF(C399&lt;'PlayerGrades+'!$Y$29,"A-",IF(C399&lt;'PlayerGrades+'!$Y$28,"A",IF(C399&lt;'PlayerGrades+'!$Y$27,"A+",IF(C399&lt;'PlayerGrades+'!$Y$26,"S-",IF(C399&lt;'PlayerGrades+'!$Y$25,"S","S+"))))))))))))))))))))</f>
        <v>D</v>
      </c>
      <c r="C399" s="936">
        <f>('PlayerGrades+'!$Y$47*(VLOOKUP(E399, 'PlayerGrades+'!$X$3:$Y$23, 2, FALSE)))+('PlayerGrades+'!$Y$48*(VLOOKUP(G399, 'PlayerGrades+'!$X$3:$Y$23, 2, FALSE)))+('PlayerGrades+'!$Y$49*(VLOOKUP(I399, 'PlayerGrades+'!$X$3:$Y$23, 2, FALSE)))+('PlayerGrades+'!$Y$50*(VLOOKUP(K399, 'PlayerGrades+'!$X$3:$Y$23, 2, FALSE)))+('PlayerGrades+'!$Y$51*(VLOOKUP(M399, 'PlayerGrades+'!$X$3:$Y$23, 2, FALSE)))+('PlayerGrades+'!$Y$52*(VLOOKUP(O399, 'PlayerGrades+'!$X$3:$Y$23, 2, FALSE)))+('PlayerGrades+'!$Y$53*(VLOOKUP(Q399, 'PlayerGrades+'!$X$3:$Y$23, 2, FALSE)))+('PlayerGrades+'!$Y$54*(VLOOKUP(S399, 'PlayerGrades+'!$X$3:$Y$23, 2, FALSE)))+('PlayerGrades+'!$Y$55*(VLOOKUP(U399, 'PlayerGrades+'!$X$3:$Y$23, 2, FALSE)))</f>
        <v>15.8</v>
      </c>
      <c r="D399" s="937">
        <f t="shared" si="1"/>
        <v>0</v>
      </c>
      <c r="E399" s="937" t="str">
        <f>IF(D399&lt;'PlayerGrades+'!$AA$21,"F-",IF(D399&lt;'PlayerGrades+'!$AA$20,"F",IF(D399&lt;'PlayerGrades+'!$AA$19,"F+",IF(D399&lt;'PlayerGrades+'!$AA$18,"E-",IF(D399&lt;'PlayerGrades+'!$AA$17,"E",IF(D399&lt;'PlayerGrades+'!$AA$16,"E+",IF(D399&lt;'PlayerGrades+'!$AA$15,"D-",IF(D399&lt;'PlayerGrades+'!$AA$14,"D",IF(D399&lt;'PlayerGrades+'!$AA$13,"D+",IF(D399&lt;'PlayerGrades+'!$AA$12,"C-",IF(D399&lt;'PlayerGrades+'!$AA$11,"C",IF(D399&lt;'PlayerGrades+'!$AA$10,"C+",IF(D399&lt;'PlayerGrades+'!$AA$9,"B-",IF(D399&lt;'PlayerGrades+'!$AA$8,"B",IF(D399&lt;'PlayerGrades+'!$AA$7,"B+",IF(D399&lt;'PlayerGrades+'!$AA$6,"A-",IF(D399&lt;'PlayerGrades+'!$AA$5,"A",IF(D399&lt;'PlayerGrades+'!$AA$4,"A+",IF(D399&lt;'PlayerGrades+'!$AA$3,"S-",IF(D399&lt;'PlayerGrades+'!$AA$2,"S","S+"))))))))))))))))))))</f>
        <v>F-</v>
      </c>
      <c r="F399" s="937">
        <f t="shared" si="2"/>
        <v>-0.2555366269</v>
      </c>
      <c r="G399" s="937" t="str">
        <f>IF(F399&lt;'PlayerGrades+'!$AB$21,"F-",IF(F399&lt;'PlayerGrades+'!$AB$20,"F",IF(F399&lt;'PlayerGrades+'!$AB$19,"F+",IF(F399&lt;'PlayerGrades+'!$AB$18,"E-",IF(F399&lt;'PlayerGrades+'!$AB$17,"E",IF(F399&lt;'PlayerGrades+'!$AB$16,"E+",IF(F399&lt;'PlayerGrades+'!$AB$15,"D-",IF(F399&lt;'PlayerGrades+'!$AB$14,"D",IF(F399&lt;'PlayerGrades+'!$AB$13,"D+",IF(F399&lt;'PlayerGrades+'!$AB$12,"C-",IF(F399&lt;'PlayerGrades+'!$AB$11,"C",IF(F399&lt;'PlayerGrades+'!$AB$10,"C+",IF(F399&lt;'PlayerGrades+'!$AB$9,"B-",IF(F399&lt;'PlayerGrades+'!$AB$8,"B",IF(F399&lt;'PlayerGrades+'!$AB$7,"B+",IF(F399&lt;'PlayerGrades+'!$AB$6,"A-",IF(F399&lt;'PlayerGrades+'!$AB$5,"A",IF(F399&lt;'PlayerGrades+'!$AB$4,"A+",IF(F399&lt;'PlayerGrades+'!$AB$3,"S-",IF(F399&lt;'PlayerGrades+'!$AB$2,"S","S+"))))))))))))))))))))</f>
        <v>C</v>
      </c>
      <c r="H399" s="937">
        <f t="shared" si="3"/>
        <v>0.2044293015</v>
      </c>
      <c r="I399" s="937" t="str">
        <f>IF(H399&lt;'PlayerGrades+'!$AC$21,"F-",IF(H399&lt;'PlayerGrades+'!$AC$20,"F",IF(H399&lt;'PlayerGrades+'!$AC$19,"F+",IF(H399&lt;'PlayerGrades+'!$AC$18,"E-",IF(H399&lt;'PlayerGrades+'!$AC$17,"E",IF(H399&lt;'PlayerGrades+'!$AC$16,"E+",IF(H399&lt;'PlayerGrades+'!$AC$15,"D-",IF(H399&lt;'PlayerGrades+'!$AC$14,"D",IF(H399&lt;'PlayerGrades+'!$AC$13,"D+",IF(H399&lt;'PlayerGrades+'!$AC$12,"C-",IF(H399&lt;'PlayerGrades+'!$AC$11,"C",IF(H399&lt;'PlayerGrades+'!$AC$10,"C+",IF(H399&lt;'PlayerGrades+'!$AC$9,"B-",IF(H399&lt;'PlayerGrades+'!$AC$8,"B",IF(H399&lt;'PlayerGrades+'!$AC$7,"B+",IF(H399&lt;'PlayerGrades+'!$AC$6,"A-",IF(H399&lt;'PlayerGrades+'!$AC$5,"A",IF(H399&lt;'PlayerGrades+'!$AC$4,"A+",IF(H399&lt;'PlayerGrades+'!$AC$3,"S-",IF(H399&lt;'PlayerGrades+'!$AC$2,"S","S+"))))))))))))))))))))</f>
        <v>S</v>
      </c>
      <c r="J399" s="937">
        <f t="shared" si="4"/>
        <v>0.1022146508</v>
      </c>
      <c r="K399" s="937" t="str">
        <f>IF(J399&lt;'PlayerGrades+'!$AD$21,"F-",IF(J399&lt;'PlayerGrades+'!$AD$20,"F",IF(J399&lt;'PlayerGrades+'!$AD$19,"F+",IF(J399&lt;'PlayerGrades+'!$AD$18,"E-",IF(J399&lt;'PlayerGrades+'!$AD$17,"E",IF(J399&lt;'PlayerGrades+'!$AD$16,"E+",IF(J399&lt;'PlayerGrades+'!$AD$15,"D-",IF(J399&lt;'PlayerGrades+'!$AD$14,"D",IF(J399&lt;'PlayerGrades+'!$AD$13,"D+",IF(J399&lt;'PlayerGrades+'!$AD$12,"C-",IF(J399&lt;'PlayerGrades+'!$AD$11,"C",IF(J399&lt;'PlayerGrades+'!$AD$10,"C+",IF(J399&lt;'PlayerGrades+'!$AD$9,"B-",IF(J399&lt;'PlayerGrades+'!$AD$8,"B",IF(J399&lt;'PlayerGrades+'!$AD$7,"B+",IF(J399&lt;'PlayerGrades+'!$AD$6,"A-",IF(J399&lt;'PlayerGrades+'!$AD$5,"A",IF(J399&lt;'PlayerGrades+'!$AD$4,"A+",IF(J399&lt;'PlayerGrades+'!$AD$3,"S-",IF(J399&lt;'PlayerGrades+'!$AD$2,"S","S+"))))))))))))))))))))</f>
        <v>S</v>
      </c>
      <c r="L399" s="677">
        <f t="shared" si="5"/>
        <v>0.4088586031</v>
      </c>
      <c r="M399" s="938" t="str">
        <f>IF(L399&lt;'PlayerGrades+'!$AE$21,"F-",IF(L399&lt;'PlayerGrades+'!$AE$20,"F",IF(L399&lt;'PlayerGrades+'!$AE$19,"F+",IF(L399&lt;'PlayerGrades+'!$AE$18,"E-",IF(L399&lt;'PlayerGrades+'!$AE$17,"E",IF(L399&lt;'PlayerGrades+'!$AE$16,"E+",IF(L399&lt;'PlayerGrades+'!$AE$15,"D-",IF(L399&lt;'PlayerGrades+'!$AE$14,"D",IF(L399&lt;'PlayerGrades+'!$AE$13,"D+",IF(L399&lt;'PlayerGrades+'!$AE$12,"C-",IF(L399&lt;'PlayerGrades+'!$AE$11,"C",IF(L399&lt;'PlayerGrades+'!$AE$10,"C+",IF(L399&lt;'PlayerGrades+'!$AE$9,"B-",IF(L399&lt;'PlayerGrades+'!$AE$8,"B",IF(L399&lt;'PlayerGrades+'!$AE$7,"B+",IF(L399&lt;'PlayerGrades+'!$AE$6,"A-",IF(L399&lt;'PlayerGrades+'!$AE$5,"A",IF(L399&lt;'PlayerGrades+'!$AE$4,"A+",IF(L399&lt;'PlayerGrades+'!$AE$3,"S-",IF(L399&lt;'PlayerGrades+'!$AE$2,"S","S+"))))))))))))))))))))</f>
        <v>C+</v>
      </c>
      <c r="N399" s="937">
        <f t="shared" si="6"/>
        <v>0</v>
      </c>
      <c r="O399" s="937" t="str">
        <f>IF(N399&lt;'PlayerGrades+'!$AF$21,"F-",IF(N399&lt;'PlayerGrades+'!$AF$20,"F",IF(N399&lt;'PlayerGrades+'!$AF$19,"F+",IF(N399&lt;'PlayerGrades+'!$AF$18,"E-",IF(N399&lt;'PlayerGrades+'!$AF$17,"E",IF(N399&lt;'PlayerGrades+'!$AF$16,"E+",IF(N399&lt;'PlayerGrades+'!$AF$15,"D-",IF(N399&lt;'PlayerGrades+'!$AF$14,"D",IF(N399&lt;'PlayerGrades+'!$AF$13,"D+",IF(N399&lt;'PlayerGrades+'!$AF$12,"C-",IF(N399&lt;'PlayerGrades+'!$AF$11,"C",IF(N399&lt;'PlayerGrades+'!$AF$10,"C+",IF(N399&lt;'PlayerGrades+'!$AF$9,"B-",IF(N399&lt;'PlayerGrades+'!$AF$8,"B",IF(N399&lt;'PlayerGrades+'!$AF$7,"B+",IF(N399&lt;'PlayerGrades+'!$AF$6,"A-",IF(N399&lt;'PlayerGrades+'!$AF$5,"A",IF(N399&lt;'PlayerGrades+'!$AF$4,"A+",IF(N399&lt;'PlayerGrades+'!$AF$3,"S-",IF(N399&lt;'PlayerGrades+'!$AF$2,"S","S+"))))))))))))))))))))</f>
        <v>F-</v>
      </c>
      <c r="P399" s="937">
        <f t="shared" si="7"/>
        <v>0.1022146508</v>
      </c>
      <c r="Q399" s="937" t="str">
        <f>IF(P399&lt;'PlayerGrades+'!$AG$21,"F-",IF(P399&lt;'PlayerGrades+'!$AG$20,"F",IF(P399&lt;'PlayerGrades+'!$AG$19,"F+",IF(P399&lt;'PlayerGrades+'!$AG$18,"E-",IF(P399&lt;'PlayerGrades+'!$AG$17,"E",IF(P399&lt;'PlayerGrades+'!$AG$16,"E+",IF(P399&lt;'PlayerGrades+'!$AG$15,"D-",IF(P399&lt;'PlayerGrades+'!$AG$14,"D",IF(P399&lt;'PlayerGrades+'!$AG$13,"D+",IF(P399&lt;'PlayerGrades+'!$AG$12,"C-",IF(P399&lt;'PlayerGrades+'!$AG$11,"C",IF(P399&lt;'PlayerGrades+'!$AG$10,"C+",IF(P399&lt;'PlayerGrades+'!$AG$9,"B-",IF(P399&lt;'PlayerGrades+'!$AG$8,"B",IF(P399&lt;'PlayerGrades+'!$AG$7,"B+",IF(P399&lt;'PlayerGrades+'!$AG$6,"A-",IF(P399&lt;'PlayerGrades+'!$AG$5,"A",IF(P399&lt;'PlayerGrades+'!$AG$4,"A+",IF(P399&lt;'PlayerGrades+'!$AG$3,"S-",IF(P399&lt;'PlayerGrades+'!$AG$2,"S","S+"))))))))))))))))))))</f>
        <v>S+</v>
      </c>
      <c r="R399" s="937">
        <f t="shared" si="8"/>
        <v>0.2555366269</v>
      </c>
      <c r="S399" s="937" t="str">
        <f>IF(R399&lt;'PlayerGrades+'!$AH$21,"F-",IF(R399&lt;'PlayerGrades+'!$AH$20,"F",IF(R399&lt;'PlayerGrades+'!$AH$19,"F+",IF(R399&lt;'PlayerGrades+'!$AH$18,"E-",IF(R399&lt;'PlayerGrades+'!$AH$17,"E",IF(R399&lt;'PlayerGrades+'!$AH$16,"E+",IF(R399&lt;'PlayerGrades+'!$AH$15,"D-",IF(R399&lt;'PlayerGrades+'!$AH$14,"D",IF(R399&lt;'PlayerGrades+'!$AH$13,"D+",IF(R399&lt;'PlayerGrades+'!$AH$12,"C-",IF(R399&lt;'PlayerGrades+'!$AH$11,"C",IF(R399&lt;'PlayerGrades+'!$AH$10,"C+",IF(R399&lt;'PlayerGrades+'!$AH$9,"B-",IF(R399&lt;'PlayerGrades+'!$AH$8,"B",IF(R399&lt;'PlayerGrades+'!$AH$7,"B+",IF(R399&lt;'PlayerGrades+'!$AH$6,"A-",IF(R399&lt;'PlayerGrades+'!$AH$5,"A",IF(R399&lt;'PlayerGrades+'!$AH$4,"A+",IF(R399&lt;'PlayerGrades+'!$AH$3,"S-",IF(R399&lt;'PlayerGrades+'!$AH$2,"S","S+"))))))))))))))))))))</f>
        <v>F-</v>
      </c>
      <c r="T399" s="937">
        <f t="shared" si="9"/>
        <v>0.2555366269</v>
      </c>
      <c r="U399" s="937" t="str">
        <f>IF(T399&lt;'PlayerGrades+'!$AI$21,"F-",IF(T399&lt;'PlayerGrades+'!$AI$20,"F",IF(T399&lt;'PlayerGrades+'!$AI$19,"F+",IF(T399&lt;'PlayerGrades+'!$AI$18,"E-",IF(T399&lt;'PlayerGrades+'!$AI$17,"E",IF(T399&lt;'PlayerGrades+'!$AI$16,"E+",IF(T399&lt;'PlayerGrades+'!$AI$15,"D-",IF(T399&lt;'PlayerGrades+'!$AI$14,"D",IF(T399&lt;'PlayerGrades+'!$AI$13,"D+",IF(T399&lt;'PlayerGrades+'!$AI$12,"C-",IF(T399&lt;'PlayerGrades+'!$AI$11,"C",IF(T399&lt;'PlayerGrades+'!$AI$10,"C+",IF(T399&lt;'PlayerGrades+'!$AI$9,"B-",IF(T399&lt;'PlayerGrades+'!$AI$8,"B",IF(T399&lt;'PlayerGrades+'!$AI$7,"B+",IF(T399&lt;'PlayerGrades+'!$AI$6,"A-",IF(T399&lt;'PlayerGrades+'!$AI$5,"A",IF(T399&lt;'PlayerGrades+'!$AI$4,"A+",IF(T399&lt;'PlayerGrades+'!$AI$3,"S-",IF(T399&lt;'PlayerGrades+'!$AI$2,"S","S+"))))))))))))))))))))</f>
        <v>F-</v>
      </c>
      <c r="V399" s="941">
        <v>1.0</v>
      </c>
      <c r="W399" s="941">
        <v>0.0</v>
      </c>
      <c r="X399" s="941">
        <v>1.0</v>
      </c>
      <c r="Y399" s="941">
        <v>0.0</v>
      </c>
      <c r="Z399" s="941">
        <v>0.0</v>
      </c>
      <c r="AA399" s="941">
        <v>53.0</v>
      </c>
      <c r="AB399" s="941">
        <v>58.0</v>
      </c>
      <c r="AC399" s="941">
        <v>-5.0</v>
      </c>
      <c r="AD399" s="941">
        <v>4.0</v>
      </c>
      <c r="AE399" s="941">
        <v>7.0</v>
      </c>
      <c r="AF399" s="941">
        <v>1.0</v>
      </c>
      <c r="AG399" s="941">
        <v>889.0</v>
      </c>
      <c r="AH399" s="941">
        <v>1174.0</v>
      </c>
      <c r="AI399" s="941">
        <v>15.0</v>
      </c>
      <c r="AJ399" s="941">
        <v>5.0</v>
      </c>
      <c r="AK399" s="941">
        <v>0.0</v>
      </c>
      <c r="AL399" s="941">
        <v>2.0</v>
      </c>
      <c r="AM399" s="941">
        <v>0.0</v>
      </c>
      <c r="AN399" s="941">
        <v>0.0</v>
      </c>
      <c r="AO399" s="941">
        <v>0.0</v>
      </c>
      <c r="AP399" s="941">
        <v>2.0</v>
      </c>
      <c r="AQ399" s="941">
        <v>0.0</v>
      </c>
      <c r="AR399" s="941">
        <v>8.0</v>
      </c>
      <c r="AS399" s="941">
        <v>0.0</v>
      </c>
      <c r="AT399" s="941">
        <v>0.0</v>
      </c>
      <c r="AU399" s="941">
        <v>0.0</v>
      </c>
      <c r="AV399" s="941">
        <v>0.0</v>
      </c>
      <c r="AW399" s="941">
        <v>0.0</v>
      </c>
      <c r="AX399" s="941">
        <v>0.0</v>
      </c>
      <c r="AY399" s="941">
        <v>0.0</v>
      </c>
      <c r="AZ399" s="941">
        <v>0.0</v>
      </c>
      <c r="BA399" s="941">
        <v>0.0</v>
      </c>
      <c r="BB399" s="941">
        <v>4.0</v>
      </c>
      <c r="BC399" s="941">
        <v>0.0</v>
      </c>
      <c r="BD399" s="941">
        <v>1.0</v>
      </c>
      <c r="BE399" s="941">
        <v>5.0</v>
      </c>
      <c r="BF399" s="941">
        <v>0.0</v>
      </c>
      <c r="BG399" s="941">
        <v>1.0</v>
      </c>
    </row>
    <row r="400">
      <c r="A400" s="1" t="s">
        <v>129</v>
      </c>
      <c r="B400" s="16" t="str">
        <f>IF(C400&lt;'PlayerGrades+'!$Y$44,"F-",IF(C400&lt;'PlayerGrades+'!$Y$43,"F",IF(C400&lt;'PlayerGrades+'!$Y$42,"F+",IF(C400&lt;'PlayerGrades+'!$Y$41,"E-",IF(C400&lt;'PlayerGrades+'!$Y$40,"E",IF(C400&lt;'PlayerGrades+'!$Y$39,"E+",IF(C400&lt;'PlayerGrades+'!$Y$38,"D-",IF(C400&lt;'PlayerGrades+'!$Y$37,"D",IF(C400&lt;'PlayerGrades+'!$Y$36,"D+",IF(C400&lt;'PlayerGrades+'!$Y$35,"C-",IF(C400&lt;'PlayerGrades+'!$Y$34,"C",IF(C400&lt;'PlayerGrades+'!$Y$33,"C+",IF(C400&lt;'PlayerGrades+'!$Y$32,"B-",IF(C400&lt;'PlayerGrades+'!$Y$31,"B",IF(C400&lt;'PlayerGrades+'!$Y$30,"B+",IF(C400&lt;'PlayerGrades+'!$Y$29,"A-",IF(C400&lt;'PlayerGrades+'!$Y$28,"A",IF(C400&lt;'PlayerGrades+'!$Y$27,"A+",IF(C400&lt;'PlayerGrades+'!$Y$26,"S-",IF(C400&lt;'PlayerGrades+'!$Y$25,"S","S+"))))))))))))))))))))</f>
        <v>S+</v>
      </c>
      <c r="C400" s="936">
        <f>('PlayerGrades+'!$Y$47*(VLOOKUP(E400, 'PlayerGrades+'!$X$3:$Y$23, 2, FALSE)))+('PlayerGrades+'!$Y$48*(VLOOKUP(G400, 'PlayerGrades+'!$X$3:$Y$23, 2, FALSE)))+('PlayerGrades+'!$Y$49*(VLOOKUP(I400, 'PlayerGrades+'!$X$3:$Y$23, 2, FALSE)))+('PlayerGrades+'!$Y$50*(VLOOKUP(K400, 'PlayerGrades+'!$X$3:$Y$23, 2, FALSE)))+('PlayerGrades+'!$Y$51*(VLOOKUP(M400, 'PlayerGrades+'!$X$3:$Y$23, 2, FALSE)))+('PlayerGrades+'!$Y$52*(VLOOKUP(O400, 'PlayerGrades+'!$X$3:$Y$23, 2, FALSE)))+('PlayerGrades+'!$Y$53*(VLOOKUP(Q400, 'PlayerGrades+'!$X$3:$Y$23, 2, FALSE)))+('PlayerGrades+'!$Y$54*(VLOOKUP(S400, 'PlayerGrades+'!$X$3:$Y$23, 2, FALSE)))+('PlayerGrades+'!$Y$55*(VLOOKUP(U400, 'PlayerGrades+'!$X$3:$Y$23, 2, FALSE)))</f>
        <v>34.9</v>
      </c>
      <c r="D400" s="937">
        <f t="shared" si="1"/>
        <v>0.1022146508</v>
      </c>
      <c r="E400" s="937" t="str">
        <f>IF(D400&lt;'PlayerGrades+'!$AA$21,"F-",IF(D400&lt;'PlayerGrades+'!$AA$20,"F",IF(D400&lt;'PlayerGrades+'!$AA$19,"F+",IF(D400&lt;'PlayerGrades+'!$AA$18,"E-",IF(D400&lt;'PlayerGrades+'!$AA$17,"E",IF(D400&lt;'PlayerGrades+'!$AA$16,"E+",IF(D400&lt;'PlayerGrades+'!$AA$15,"D-",IF(D400&lt;'PlayerGrades+'!$AA$14,"D",IF(D400&lt;'PlayerGrades+'!$AA$13,"D+",IF(D400&lt;'PlayerGrades+'!$AA$12,"C-",IF(D400&lt;'PlayerGrades+'!$AA$11,"C",IF(D400&lt;'PlayerGrades+'!$AA$10,"C+",IF(D400&lt;'PlayerGrades+'!$AA$9,"B-",IF(D400&lt;'PlayerGrades+'!$AA$8,"B",IF(D400&lt;'PlayerGrades+'!$AA$7,"B+",IF(D400&lt;'PlayerGrades+'!$AA$6,"A-",IF(D400&lt;'PlayerGrades+'!$AA$5,"A",IF(D400&lt;'PlayerGrades+'!$AA$4,"A+",IF(D400&lt;'PlayerGrades+'!$AA$3,"S-",IF(D400&lt;'PlayerGrades+'!$AA$2,"S","S+"))))))))))))))))))))</f>
        <v>B</v>
      </c>
      <c r="F400" s="937">
        <f t="shared" si="2"/>
        <v>1.584327087</v>
      </c>
      <c r="G400" s="937" t="str">
        <f>IF(F400&lt;'PlayerGrades+'!$AB$21,"F-",IF(F400&lt;'PlayerGrades+'!$AB$20,"F",IF(F400&lt;'PlayerGrades+'!$AB$19,"F+",IF(F400&lt;'PlayerGrades+'!$AB$18,"E-",IF(F400&lt;'PlayerGrades+'!$AB$17,"E",IF(F400&lt;'PlayerGrades+'!$AB$16,"E+",IF(F400&lt;'PlayerGrades+'!$AB$15,"D-",IF(F400&lt;'PlayerGrades+'!$AB$14,"D",IF(F400&lt;'PlayerGrades+'!$AB$13,"D+",IF(F400&lt;'PlayerGrades+'!$AB$12,"C-",IF(F400&lt;'PlayerGrades+'!$AB$11,"C",IF(F400&lt;'PlayerGrades+'!$AB$10,"C+",IF(F400&lt;'PlayerGrades+'!$AB$9,"B-",IF(F400&lt;'PlayerGrades+'!$AB$8,"B",IF(F400&lt;'PlayerGrades+'!$AB$7,"B+",IF(F400&lt;'PlayerGrades+'!$AB$6,"A-",IF(F400&lt;'PlayerGrades+'!$AB$5,"A",IF(F400&lt;'PlayerGrades+'!$AB$4,"A+",IF(F400&lt;'PlayerGrades+'!$AB$3,"S-",IF(F400&lt;'PlayerGrades+'!$AB$2,"S","S+"))))))))))))))))))))</f>
        <v>S+</v>
      </c>
      <c r="H400" s="937">
        <f t="shared" si="3"/>
        <v>0.2044293015</v>
      </c>
      <c r="I400" s="937" t="str">
        <f>IF(H400&lt;'PlayerGrades+'!$AC$21,"F-",IF(H400&lt;'PlayerGrades+'!$AC$20,"F",IF(H400&lt;'PlayerGrades+'!$AC$19,"F+",IF(H400&lt;'PlayerGrades+'!$AC$18,"E-",IF(H400&lt;'PlayerGrades+'!$AC$17,"E",IF(H400&lt;'PlayerGrades+'!$AC$16,"E+",IF(H400&lt;'PlayerGrades+'!$AC$15,"D-",IF(H400&lt;'PlayerGrades+'!$AC$14,"D",IF(H400&lt;'PlayerGrades+'!$AC$13,"D+",IF(H400&lt;'PlayerGrades+'!$AC$12,"C-",IF(H400&lt;'PlayerGrades+'!$AC$11,"C",IF(H400&lt;'PlayerGrades+'!$AC$10,"C+",IF(H400&lt;'PlayerGrades+'!$AC$9,"B-",IF(H400&lt;'PlayerGrades+'!$AC$8,"B",IF(H400&lt;'PlayerGrades+'!$AC$7,"B+",IF(H400&lt;'PlayerGrades+'!$AC$6,"A-",IF(H400&lt;'PlayerGrades+'!$AC$5,"A",IF(H400&lt;'PlayerGrades+'!$AC$4,"A+",IF(H400&lt;'PlayerGrades+'!$AC$3,"S-",IF(H400&lt;'PlayerGrades+'!$AC$2,"S","S+"))))))))))))))))))))</f>
        <v>S</v>
      </c>
      <c r="J400" s="937">
        <f t="shared" si="4"/>
        <v>0.3066439523</v>
      </c>
      <c r="K400" s="937" t="str">
        <f>IF(J400&lt;'PlayerGrades+'!$AD$21,"F-",IF(J400&lt;'PlayerGrades+'!$AD$20,"F",IF(J400&lt;'PlayerGrades+'!$AD$19,"F+",IF(J400&lt;'PlayerGrades+'!$AD$18,"E-",IF(J400&lt;'PlayerGrades+'!$AD$17,"E",IF(J400&lt;'PlayerGrades+'!$AD$16,"E+",IF(J400&lt;'PlayerGrades+'!$AD$15,"D-",IF(J400&lt;'PlayerGrades+'!$AD$14,"D",IF(J400&lt;'PlayerGrades+'!$AD$13,"D+",IF(J400&lt;'PlayerGrades+'!$AD$12,"C-",IF(J400&lt;'PlayerGrades+'!$AD$11,"C",IF(J400&lt;'PlayerGrades+'!$AD$10,"C+",IF(J400&lt;'PlayerGrades+'!$AD$9,"B-",IF(J400&lt;'PlayerGrades+'!$AD$8,"B",IF(J400&lt;'PlayerGrades+'!$AD$7,"B+",IF(J400&lt;'PlayerGrades+'!$AD$6,"A-",IF(J400&lt;'PlayerGrades+'!$AD$5,"A",IF(J400&lt;'PlayerGrades+'!$AD$4,"A+",IF(J400&lt;'PlayerGrades+'!$AD$3,"S-",IF(J400&lt;'PlayerGrades+'!$AD$2,"S","S+"))))))))))))))))))))</f>
        <v>S+</v>
      </c>
      <c r="L400" s="677">
        <f t="shared" si="5"/>
        <v>0.7666098807</v>
      </c>
      <c r="M400" s="938" t="str">
        <f>IF(L400&lt;'PlayerGrades+'!$AE$21,"F-",IF(L400&lt;'PlayerGrades+'!$AE$20,"F",IF(L400&lt;'PlayerGrades+'!$AE$19,"F+",IF(L400&lt;'PlayerGrades+'!$AE$18,"E-",IF(L400&lt;'PlayerGrades+'!$AE$17,"E",IF(L400&lt;'PlayerGrades+'!$AE$16,"E+",IF(L400&lt;'PlayerGrades+'!$AE$15,"D-",IF(L400&lt;'PlayerGrades+'!$AE$14,"D",IF(L400&lt;'PlayerGrades+'!$AE$13,"D+",IF(L400&lt;'PlayerGrades+'!$AE$12,"C-",IF(L400&lt;'PlayerGrades+'!$AE$11,"C",IF(L400&lt;'PlayerGrades+'!$AE$10,"C+",IF(L400&lt;'PlayerGrades+'!$AE$9,"B-",IF(L400&lt;'PlayerGrades+'!$AE$8,"B",IF(L400&lt;'PlayerGrades+'!$AE$7,"B+",IF(L400&lt;'PlayerGrades+'!$AE$6,"A-",IF(L400&lt;'PlayerGrades+'!$AE$5,"A",IF(L400&lt;'PlayerGrades+'!$AE$4,"A+",IF(L400&lt;'PlayerGrades+'!$AE$3,"S-",IF(L400&lt;'PlayerGrades+'!$AE$2,"S","S+"))))))))))))))))))))</f>
        <v>S+</v>
      </c>
      <c r="N400" s="937">
        <f t="shared" si="6"/>
        <v>0.1022146508</v>
      </c>
      <c r="O400" s="937" t="str">
        <f>IF(N400&lt;'PlayerGrades+'!$AF$21,"F-",IF(N400&lt;'PlayerGrades+'!$AF$20,"F",IF(N400&lt;'PlayerGrades+'!$AF$19,"F+",IF(N400&lt;'PlayerGrades+'!$AF$18,"E-",IF(N400&lt;'PlayerGrades+'!$AF$17,"E",IF(N400&lt;'PlayerGrades+'!$AF$16,"E+",IF(N400&lt;'PlayerGrades+'!$AF$15,"D-",IF(N400&lt;'PlayerGrades+'!$AF$14,"D",IF(N400&lt;'PlayerGrades+'!$AF$13,"D+",IF(N400&lt;'PlayerGrades+'!$AF$12,"C-",IF(N400&lt;'PlayerGrades+'!$AF$11,"C",IF(N400&lt;'PlayerGrades+'!$AF$10,"C+",IF(N400&lt;'PlayerGrades+'!$AF$9,"B-",IF(N400&lt;'PlayerGrades+'!$AF$8,"B",IF(N400&lt;'PlayerGrades+'!$AF$7,"B+",IF(N400&lt;'PlayerGrades+'!$AF$6,"A-",IF(N400&lt;'PlayerGrades+'!$AF$5,"A",IF(N400&lt;'PlayerGrades+'!$AF$4,"A+",IF(N400&lt;'PlayerGrades+'!$AF$3,"S-",IF(N400&lt;'PlayerGrades+'!$AF$2,"S","S+"))))))))))))))))))))</f>
        <v>A+</v>
      </c>
      <c r="P400" s="937">
        <f t="shared" si="7"/>
        <v>0.3066439523</v>
      </c>
      <c r="Q400" s="937" t="str">
        <f>IF(P400&lt;'PlayerGrades+'!$AG$21,"F-",IF(P400&lt;'PlayerGrades+'!$AG$20,"F",IF(P400&lt;'PlayerGrades+'!$AG$19,"F+",IF(P400&lt;'PlayerGrades+'!$AG$18,"E-",IF(P400&lt;'PlayerGrades+'!$AG$17,"E",IF(P400&lt;'PlayerGrades+'!$AG$16,"E+",IF(P400&lt;'PlayerGrades+'!$AG$15,"D-",IF(P400&lt;'PlayerGrades+'!$AG$14,"D",IF(P400&lt;'PlayerGrades+'!$AG$13,"D+",IF(P400&lt;'PlayerGrades+'!$AG$12,"C-",IF(P400&lt;'PlayerGrades+'!$AG$11,"C",IF(P400&lt;'PlayerGrades+'!$AG$10,"C+",IF(P400&lt;'PlayerGrades+'!$AG$9,"B-",IF(P400&lt;'PlayerGrades+'!$AG$8,"B",IF(P400&lt;'PlayerGrades+'!$AG$7,"B+",IF(P400&lt;'PlayerGrades+'!$AG$6,"A-",IF(P400&lt;'PlayerGrades+'!$AG$5,"A",IF(P400&lt;'PlayerGrades+'!$AG$4,"A+",IF(P400&lt;'PlayerGrades+'!$AG$3,"S-",IF(P400&lt;'PlayerGrades+'!$AG$2,"S","S+"))))))))))))))))))))</f>
        <v>S+</v>
      </c>
      <c r="R400" s="937">
        <f t="shared" si="8"/>
        <v>0.9199318569</v>
      </c>
      <c r="S400" s="937" t="str">
        <f>IF(R400&lt;'PlayerGrades+'!$AH$21,"F-",IF(R400&lt;'PlayerGrades+'!$AH$20,"F",IF(R400&lt;'PlayerGrades+'!$AH$19,"F+",IF(R400&lt;'PlayerGrades+'!$AH$18,"E-",IF(R400&lt;'PlayerGrades+'!$AH$17,"E",IF(R400&lt;'PlayerGrades+'!$AH$16,"E+",IF(R400&lt;'PlayerGrades+'!$AH$15,"D-",IF(R400&lt;'PlayerGrades+'!$AH$14,"D",IF(R400&lt;'PlayerGrades+'!$AH$13,"D+",IF(R400&lt;'PlayerGrades+'!$AH$12,"C-",IF(R400&lt;'PlayerGrades+'!$AH$11,"C",IF(R400&lt;'PlayerGrades+'!$AH$10,"C+",IF(R400&lt;'PlayerGrades+'!$AH$9,"B-",IF(R400&lt;'PlayerGrades+'!$AH$8,"B",IF(R400&lt;'PlayerGrades+'!$AH$7,"B+",IF(R400&lt;'PlayerGrades+'!$AH$6,"A-",IF(R400&lt;'PlayerGrades+'!$AH$5,"A",IF(R400&lt;'PlayerGrades+'!$AH$4,"A+",IF(R400&lt;'PlayerGrades+'!$AH$3,"S-",IF(R400&lt;'PlayerGrades+'!$AH$2,"S","S+"))))))))))))))))))))</f>
        <v>S+</v>
      </c>
      <c r="T400" s="937">
        <f t="shared" si="9"/>
        <v>2.204429302</v>
      </c>
      <c r="U400" s="937" t="str">
        <f>IF(T400&lt;'PlayerGrades+'!$AI$21,"F-",IF(T400&lt;'PlayerGrades+'!$AI$20,"F",IF(T400&lt;'PlayerGrades+'!$AI$19,"F+",IF(T400&lt;'PlayerGrades+'!$AI$18,"E-",IF(T400&lt;'PlayerGrades+'!$AI$17,"E",IF(T400&lt;'PlayerGrades+'!$AI$16,"E+",IF(T400&lt;'PlayerGrades+'!$AI$15,"D-",IF(T400&lt;'PlayerGrades+'!$AI$14,"D",IF(T400&lt;'PlayerGrades+'!$AI$13,"D+",IF(T400&lt;'PlayerGrades+'!$AI$12,"C-",IF(T400&lt;'PlayerGrades+'!$AI$11,"C",IF(T400&lt;'PlayerGrades+'!$AI$10,"C+",IF(T400&lt;'PlayerGrades+'!$AI$9,"B-",IF(T400&lt;'PlayerGrades+'!$AI$8,"B",IF(T400&lt;'PlayerGrades+'!$AI$7,"B+",IF(T400&lt;'PlayerGrades+'!$AI$6,"A-",IF(T400&lt;'PlayerGrades+'!$AI$5,"A",IF(T400&lt;'PlayerGrades+'!$AI$4,"A+",IF(T400&lt;'PlayerGrades+'!$AI$3,"S-",IF(T400&lt;'PlayerGrades+'!$AI$2,"S","S+"))))))))))))))))))))</f>
        <v>S+</v>
      </c>
      <c r="V400" s="941">
        <v>1.0</v>
      </c>
      <c r="W400" s="941">
        <v>0.0</v>
      </c>
      <c r="X400" s="941">
        <v>1.0</v>
      </c>
      <c r="Y400" s="941">
        <v>0.0</v>
      </c>
      <c r="Z400" s="941">
        <v>2.0</v>
      </c>
      <c r="AA400" s="941">
        <v>84.0</v>
      </c>
      <c r="AB400" s="941">
        <v>53.0</v>
      </c>
      <c r="AC400" s="941">
        <v>31.0</v>
      </c>
      <c r="AD400" s="941">
        <v>7.0</v>
      </c>
      <c r="AE400" s="941">
        <v>10.0</v>
      </c>
      <c r="AF400" s="941">
        <v>0.0</v>
      </c>
      <c r="AG400" s="941">
        <v>906.0</v>
      </c>
      <c r="AH400" s="941">
        <v>1174.0</v>
      </c>
      <c r="AI400" s="941">
        <v>17.0</v>
      </c>
      <c r="AJ400" s="941">
        <v>28.0</v>
      </c>
      <c r="AK400" s="941">
        <v>0.0</v>
      </c>
      <c r="AL400" s="941">
        <v>6.0</v>
      </c>
      <c r="AM400" s="941">
        <v>1.0</v>
      </c>
      <c r="AN400" s="941">
        <v>0.0</v>
      </c>
      <c r="AO400" s="941">
        <v>0.0</v>
      </c>
      <c r="AP400" s="941">
        <v>6.0</v>
      </c>
      <c r="AQ400" s="941">
        <v>0.0</v>
      </c>
      <c r="AR400" s="941">
        <v>15.0</v>
      </c>
      <c r="AS400" s="941">
        <v>2.0</v>
      </c>
      <c r="AT400" s="941">
        <v>0.0</v>
      </c>
      <c r="AU400" s="941">
        <v>0.0</v>
      </c>
      <c r="AV400" s="941">
        <v>0.0</v>
      </c>
      <c r="AW400" s="941">
        <v>0.0</v>
      </c>
      <c r="AX400" s="941">
        <v>0.0</v>
      </c>
      <c r="AY400" s="941">
        <v>0.0</v>
      </c>
      <c r="AZ400" s="941">
        <v>0.0</v>
      </c>
      <c r="BA400" s="941">
        <v>0.0</v>
      </c>
      <c r="BB400" s="941">
        <v>4.0</v>
      </c>
      <c r="BC400" s="941">
        <v>0.0</v>
      </c>
      <c r="BD400" s="941">
        <v>11.0</v>
      </c>
      <c r="BE400" s="941">
        <v>4.0</v>
      </c>
      <c r="BF400" s="941">
        <v>2.0</v>
      </c>
      <c r="BG400" s="941">
        <v>1.0</v>
      </c>
    </row>
    <row r="401">
      <c r="A401" s="1" t="s">
        <v>151</v>
      </c>
      <c r="B401" s="16" t="str">
        <f>IF(C401&lt;'PlayerGrades+'!$Y$44,"F-",IF(C401&lt;'PlayerGrades+'!$Y$43,"F",IF(C401&lt;'PlayerGrades+'!$Y$42,"F+",IF(C401&lt;'PlayerGrades+'!$Y$41,"E-",IF(C401&lt;'PlayerGrades+'!$Y$40,"E",IF(C401&lt;'PlayerGrades+'!$Y$39,"E+",IF(C401&lt;'PlayerGrades+'!$Y$38,"D-",IF(C401&lt;'PlayerGrades+'!$Y$37,"D",IF(C401&lt;'PlayerGrades+'!$Y$36,"D+",IF(C401&lt;'PlayerGrades+'!$Y$35,"C-",IF(C401&lt;'PlayerGrades+'!$Y$34,"C",IF(C401&lt;'PlayerGrades+'!$Y$33,"C+",IF(C401&lt;'PlayerGrades+'!$Y$32,"B-",IF(C401&lt;'PlayerGrades+'!$Y$31,"B",IF(C401&lt;'PlayerGrades+'!$Y$30,"B+",IF(C401&lt;'PlayerGrades+'!$Y$29,"A-",IF(C401&lt;'PlayerGrades+'!$Y$28,"A",IF(C401&lt;'PlayerGrades+'!$Y$27,"A+",IF(C401&lt;'PlayerGrades+'!$Y$26,"S-",IF(C401&lt;'PlayerGrades+'!$Y$25,"S","S+"))))))))))))))))))))</f>
        <v>F-</v>
      </c>
      <c r="C401" s="936">
        <f>('PlayerGrades+'!$Y$47*(VLOOKUP(E401, 'PlayerGrades+'!$X$3:$Y$23, 2, FALSE)))+('PlayerGrades+'!$Y$48*(VLOOKUP(G401, 'PlayerGrades+'!$X$3:$Y$23, 2, FALSE)))+('PlayerGrades+'!$Y$49*(VLOOKUP(I401, 'PlayerGrades+'!$X$3:$Y$23, 2, FALSE)))+('PlayerGrades+'!$Y$50*(VLOOKUP(K401, 'PlayerGrades+'!$X$3:$Y$23, 2, FALSE)))+('PlayerGrades+'!$Y$51*(VLOOKUP(M401, 'PlayerGrades+'!$X$3:$Y$23, 2, FALSE)))+('PlayerGrades+'!$Y$52*(VLOOKUP(O401, 'PlayerGrades+'!$X$3:$Y$23, 2, FALSE)))+('PlayerGrades+'!$Y$53*(VLOOKUP(Q401, 'PlayerGrades+'!$X$3:$Y$23, 2, FALSE)))+('PlayerGrades+'!$Y$54*(VLOOKUP(S401, 'PlayerGrades+'!$X$3:$Y$23, 2, FALSE)))+('PlayerGrades+'!$Y$55*(VLOOKUP(U401, 'PlayerGrades+'!$X$3:$Y$23, 2, FALSE)))</f>
        <v>4.9</v>
      </c>
      <c r="D401" s="937">
        <f t="shared" si="1"/>
        <v>0</v>
      </c>
      <c r="E401" s="937" t="str">
        <f>IF(D401&lt;'PlayerGrades+'!$AA$21,"F-",IF(D401&lt;'PlayerGrades+'!$AA$20,"F",IF(D401&lt;'PlayerGrades+'!$AA$19,"F+",IF(D401&lt;'PlayerGrades+'!$AA$18,"E-",IF(D401&lt;'PlayerGrades+'!$AA$17,"E",IF(D401&lt;'PlayerGrades+'!$AA$16,"E+",IF(D401&lt;'PlayerGrades+'!$AA$15,"D-",IF(D401&lt;'PlayerGrades+'!$AA$14,"D",IF(D401&lt;'PlayerGrades+'!$AA$13,"D+",IF(D401&lt;'PlayerGrades+'!$AA$12,"C-",IF(D401&lt;'PlayerGrades+'!$AA$11,"C",IF(D401&lt;'PlayerGrades+'!$AA$10,"C+",IF(D401&lt;'PlayerGrades+'!$AA$9,"B-",IF(D401&lt;'PlayerGrades+'!$AA$8,"B",IF(D401&lt;'PlayerGrades+'!$AA$7,"B+",IF(D401&lt;'PlayerGrades+'!$AA$6,"A-",IF(D401&lt;'PlayerGrades+'!$AA$5,"A",IF(D401&lt;'PlayerGrades+'!$AA$4,"A+",IF(D401&lt;'PlayerGrades+'!$AA$3,"S-",IF(D401&lt;'PlayerGrades+'!$AA$2,"S","S+"))))))))))))))))))))</f>
        <v>F-</v>
      </c>
      <c r="F401" s="937">
        <f t="shared" si="2"/>
        <v>-1.533219761</v>
      </c>
      <c r="G401" s="937" t="str">
        <f>IF(F401&lt;'PlayerGrades+'!$AB$21,"F-",IF(F401&lt;'PlayerGrades+'!$AB$20,"F",IF(F401&lt;'PlayerGrades+'!$AB$19,"F+",IF(F401&lt;'PlayerGrades+'!$AB$18,"E-",IF(F401&lt;'PlayerGrades+'!$AB$17,"E",IF(F401&lt;'PlayerGrades+'!$AB$16,"E+",IF(F401&lt;'PlayerGrades+'!$AB$15,"D-",IF(F401&lt;'PlayerGrades+'!$AB$14,"D",IF(F401&lt;'PlayerGrades+'!$AB$13,"D+",IF(F401&lt;'PlayerGrades+'!$AB$12,"C-",IF(F401&lt;'PlayerGrades+'!$AB$11,"C",IF(F401&lt;'PlayerGrades+'!$AB$10,"C+",IF(F401&lt;'PlayerGrades+'!$AB$9,"B-",IF(F401&lt;'PlayerGrades+'!$AB$8,"B",IF(F401&lt;'PlayerGrades+'!$AB$7,"B+",IF(F401&lt;'PlayerGrades+'!$AB$6,"A-",IF(F401&lt;'PlayerGrades+'!$AB$5,"A",IF(F401&lt;'PlayerGrades+'!$AB$4,"A+",IF(F401&lt;'PlayerGrades+'!$AB$3,"S-",IF(F401&lt;'PlayerGrades+'!$AB$2,"S","S+"))))))))))))))))))))</f>
        <v>F-</v>
      </c>
      <c r="H401" s="937">
        <f t="shared" si="3"/>
        <v>0.05110732538</v>
      </c>
      <c r="I401" s="937" t="str">
        <f>IF(H401&lt;'PlayerGrades+'!$AC$21,"F-",IF(H401&lt;'PlayerGrades+'!$AC$20,"F",IF(H401&lt;'PlayerGrades+'!$AC$19,"F+",IF(H401&lt;'PlayerGrades+'!$AC$18,"E-",IF(H401&lt;'PlayerGrades+'!$AC$17,"E",IF(H401&lt;'PlayerGrades+'!$AC$16,"E+",IF(H401&lt;'PlayerGrades+'!$AC$15,"D-",IF(H401&lt;'PlayerGrades+'!$AC$14,"D",IF(H401&lt;'PlayerGrades+'!$AC$13,"D+",IF(H401&lt;'PlayerGrades+'!$AC$12,"C-",IF(H401&lt;'PlayerGrades+'!$AC$11,"C",IF(H401&lt;'PlayerGrades+'!$AC$10,"C+",IF(H401&lt;'PlayerGrades+'!$AC$9,"B-",IF(H401&lt;'PlayerGrades+'!$AC$8,"B",IF(H401&lt;'PlayerGrades+'!$AC$7,"B+",IF(H401&lt;'PlayerGrades+'!$AC$6,"A-",IF(H401&lt;'PlayerGrades+'!$AC$5,"A",IF(H401&lt;'PlayerGrades+'!$AC$4,"A+",IF(H401&lt;'PlayerGrades+'!$AC$3,"S-",IF(H401&lt;'PlayerGrades+'!$AC$2,"S","S+"))))))))))))))))))))</f>
        <v>F</v>
      </c>
      <c r="J401" s="937">
        <f t="shared" si="4"/>
        <v>0</v>
      </c>
      <c r="K401" s="937" t="str">
        <f>IF(J401&lt;'PlayerGrades+'!$AD$21,"F-",IF(J401&lt;'PlayerGrades+'!$AD$20,"F",IF(J401&lt;'PlayerGrades+'!$AD$19,"F+",IF(J401&lt;'PlayerGrades+'!$AD$18,"E-",IF(J401&lt;'PlayerGrades+'!$AD$17,"E",IF(J401&lt;'PlayerGrades+'!$AD$16,"E+",IF(J401&lt;'PlayerGrades+'!$AD$15,"D-",IF(J401&lt;'PlayerGrades+'!$AD$14,"D",IF(J401&lt;'PlayerGrades+'!$AD$13,"D+",IF(J401&lt;'PlayerGrades+'!$AD$12,"C-",IF(J401&lt;'PlayerGrades+'!$AD$11,"C",IF(J401&lt;'PlayerGrades+'!$AD$10,"C+",IF(J401&lt;'PlayerGrades+'!$AD$9,"B-",IF(J401&lt;'PlayerGrades+'!$AD$8,"B",IF(J401&lt;'PlayerGrades+'!$AD$7,"B+",IF(J401&lt;'PlayerGrades+'!$AD$6,"A-",IF(J401&lt;'PlayerGrades+'!$AD$5,"A",IF(J401&lt;'PlayerGrades+'!$AD$4,"A+",IF(J401&lt;'PlayerGrades+'!$AD$3,"S-",IF(J401&lt;'PlayerGrades+'!$AD$2,"S","S+"))))))))))))))))))))</f>
        <v>F-</v>
      </c>
      <c r="L401" s="677">
        <f t="shared" si="5"/>
        <v>0.2555366269</v>
      </c>
      <c r="M401" s="938" t="str">
        <f>IF(L401&lt;'PlayerGrades+'!$AE$21,"F-",IF(L401&lt;'PlayerGrades+'!$AE$20,"F",IF(L401&lt;'PlayerGrades+'!$AE$19,"F+",IF(L401&lt;'PlayerGrades+'!$AE$18,"E-",IF(L401&lt;'PlayerGrades+'!$AE$17,"E",IF(L401&lt;'PlayerGrades+'!$AE$16,"E+",IF(L401&lt;'PlayerGrades+'!$AE$15,"D-",IF(L401&lt;'PlayerGrades+'!$AE$14,"D",IF(L401&lt;'PlayerGrades+'!$AE$13,"D+",IF(L401&lt;'PlayerGrades+'!$AE$12,"C-",IF(L401&lt;'PlayerGrades+'!$AE$11,"C",IF(L401&lt;'PlayerGrades+'!$AE$10,"C+",IF(L401&lt;'PlayerGrades+'!$AE$9,"B-",IF(L401&lt;'PlayerGrades+'!$AE$8,"B",IF(L401&lt;'PlayerGrades+'!$AE$7,"B+",IF(L401&lt;'PlayerGrades+'!$AE$6,"A-",IF(L401&lt;'PlayerGrades+'!$AE$5,"A",IF(L401&lt;'PlayerGrades+'!$AE$4,"A+",IF(L401&lt;'PlayerGrades+'!$AE$3,"S-",IF(L401&lt;'PlayerGrades+'!$AE$2,"S","S+"))))))))))))))))))))</f>
        <v>F</v>
      </c>
      <c r="N401" s="937">
        <f t="shared" si="6"/>
        <v>0</v>
      </c>
      <c r="O401" s="937" t="str">
        <f>IF(N401&lt;'PlayerGrades+'!$AF$21,"F-",IF(N401&lt;'PlayerGrades+'!$AF$20,"F",IF(N401&lt;'PlayerGrades+'!$AF$19,"F+",IF(N401&lt;'PlayerGrades+'!$AF$18,"E-",IF(N401&lt;'PlayerGrades+'!$AF$17,"E",IF(N401&lt;'PlayerGrades+'!$AF$16,"E+",IF(N401&lt;'PlayerGrades+'!$AF$15,"D-",IF(N401&lt;'PlayerGrades+'!$AF$14,"D",IF(N401&lt;'PlayerGrades+'!$AF$13,"D+",IF(N401&lt;'PlayerGrades+'!$AF$12,"C-",IF(N401&lt;'PlayerGrades+'!$AF$11,"C",IF(N401&lt;'PlayerGrades+'!$AF$10,"C+",IF(N401&lt;'PlayerGrades+'!$AF$9,"B-",IF(N401&lt;'PlayerGrades+'!$AF$8,"B",IF(N401&lt;'PlayerGrades+'!$AF$7,"B+",IF(N401&lt;'PlayerGrades+'!$AF$6,"A-",IF(N401&lt;'PlayerGrades+'!$AF$5,"A",IF(N401&lt;'PlayerGrades+'!$AF$4,"A+",IF(N401&lt;'PlayerGrades+'!$AF$3,"S-",IF(N401&lt;'PlayerGrades+'!$AF$2,"S","S+"))))))))))))))))))))</f>
        <v>F-</v>
      </c>
      <c r="P401" s="937">
        <f t="shared" si="7"/>
        <v>0</v>
      </c>
      <c r="Q401" s="937" t="str">
        <f>IF(P401&lt;'PlayerGrades+'!$AG$21,"F-",IF(P401&lt;'PlayerGrades+'!$AG$20,"F",IF(P401&lt;'PlayerGrades+'!$AG$19,"F+",IF(P401&lt;'PlayerGrades+'!$AG$18,"E-",IF(P401&lt;'PlayerGrades+'!$AG$17,"E",IF(P401&lt;'PlayerGrades+'!$AG$16,"E+",IF(P401&lt;'PlayerGrades+'!$AG$15,"D-",IF(P401&lt;'PlayerGrades+'!$AG$14,"D",IF(P401&lt;'PlayerGrades+'!$AG$13,"D+",IF(P401&lt;'PlayerGrades+'!$AG$12,"C-",IF(P401&lt;'PlayerGrades+'!$AG$11,"C",IF(P401&lt;'PlayerGrades+'!$AG$10,"C+",IF(P401&lt;'PlayerGrades+'!$AG$9,"B-",IF(P401&lt;'PlayerGrades+'!$AG$8,"B",IF(P401&lt;'PlayerGrades+'!$AG$7,"B+",IF(P401&lt;'PlayerGrades+'!$AG$6,"A-",IF(P401&lt;'PlayerGrades+'!$AG$5,"A",IF(P401&lt;'PlayerGrades+'!$AG$4,"A+",IF(P401&lt;'PlayerGrades+'!$AG$3,"S-",IF(P401&lt;'PlayerGrades+'!$AG$2,"S","S+"))))))))))))))))))))</f>
        <v>F</v>
      </c>
      <c r="R401" s="937">
        <f t="shared" si="8"/>
        <v>0.3066439523</v>
      </c>
      <c r="S401" s="937" t="str">
        <f>IF(R401&lt;'PlayerGrades+'!$AH$21,"F-",IF(R401&lt;'PlayerGrades+'!$AH$20,"F",IF(R401&lt;'PlayerGrades+'!$AH$19,"F+",IF(R401&lt;'PlayerGrades+'!$AH$18,"E-",IF(R401&lt;'PlayerGrades+'!$AH$17,"E",IF(R401&lt;'PlayerGrades+'!$AH$16,"E+",IF(R401&lt;'PlayerGrades+'!$AH$15,"D-",IF(R401&lt;'PlayerGrades+'!$AH$14,"D",IF(R401&lt;'PlayerGrades+'!$AH$13,"D+",IF(R401&lt;'PlayerGrades+'!$AH$12,"C-",IF(R401&lt;'PlayerGrades+'!$AH$11,"C",IF(R401&lt;'PlayerGrades+'!$AH$10,"C+",IF(R401&lt;'PlayerGrades+'!$AH$9,"B-",IF(R401&lt;'PlayerGrades+'!$AH$8,"B",IF(R401&lt;'PlayerGrades+'!$AH$7,"B+",IF(R401&lt;'PlayerGrades+'!$AH$6,"A-",IF(R401&lt;'PlayerGrades+'!$AH$5,"A",IF(R401&lt;'PlayerGrades+'!$AH$4,"A+",IF(R401&lt;'PlayerGrades+'!$AH$3,"S-",IF(R401&lt;'PlayerGrades+'!$AH$2,"S","S+"))))))))))))))))))))</f>
        <v>F-</v>
      </c>
      <c r="T401" s="937">
        <f t="shared" si="9"/>
        <v>1.255536627</v>
      </c>
      <c r="U401" s="937" t="str">
        <f>IF(T401&lt;'PlayerGrades+'!$AI$21,"F-",IF(T401&lt;'PlayerGrades+'!$AI$20,"F",IF(T401&lt;'PlayerGrades+'!$AI$19,"F+",IF(T401&lt;'PlayerGrades+'!$AI$18,"E-",IF(T401&lt;'PlayerGrades+'!$AI$17,"E",IF(T401&lt;'PlayerGrades+'!$AI$16,"E+",IF(T401&lt;'PlayerGrades+'!$AI$15,"D-",IF(T401&lt;'PlayerGrades+'!$AI$14,"D",IF(T401&lt;'PlayerGrades+'!$AI$13,"D+",IF(T401&lt;'PlayerGrades+'!$AI$12,"C-",IF(T401&lt;'PlayerGrades+'!$AI$11,"C",IF(T401&lt;'PlayerGrades+'!$AI$10,"C+",IF(T401&lt;'PlayerGrades+'!$AI$9,"B-",IF(T401&lt;'PlayerGrades+'!$AI$8,"B",IF(T401&lt;'PlayerGrades+'!$AI$7,"B+",IF(T401&lt;'PlayerGrades+'!$AI$6,"A-",IF(T401&lt;'PlayerGrades+'!$AI$5,"A",IF(T401&lt;'PlayerGrades+'!$AI$4,"A+",IF(T401&lt;'PlayerGrades+'!$AI$3,"S-",IF(T401&lt;'PlayerGrades+'!$AI$2,"S","S+"))))))))))))))))))))</f>
        <v>C</v>
      </c>
      <c r="V401" s="941">
        <v>1.0</v>
      </c>
      <c r="W401" s="941">
        <v>0.0</v>
      </c>
      <c r="X401" s="941">
        <v>1.0</v>
      </c>
      <c r="Y401" s="941">
        <v>0.0</v>
      </c>
      <c r="Z401" s="941">
        <v>0.0</v>
      </c>
      <c r="AA401" s="941">
        <v>39.0</v>
      </c>
      <c r="AB401" s="941">
        <v>69.0</v>
      </c>
      <c r="AC401" s="941">
        <v>-30.0</v>
      </c>
      <c r="AD401" s="941">
        <v>4.0</v>
      </c>
      <c r="AE401" s="941">
        <v>4.0</v>
      </c>
      <c r="AF401" s="941">
        <v>2.0</v>
      </c>
      <c r="AG401" s="941">
        <v>859.0</v>
      </c>
      <c r="AH401" s="941">
        <v>1174.0</v>
      </c>
      <c r="AI401" s="941">
        <v>12.0</v>
      </c>
      <c r="AJ401" s="941">
        <v>0.0</v>
      </c>
      <c r="AK401" s="941">
        <v>0.0</v>
      </c>
      <c r="AL401" s="941">
        <v>0.0</v>
      </c>
      <c r="AM401" s="941">
        <v>0.0</v>
      </c>
      <c r="AN401" s="941">
        <v>0.0</v>
      </c>
      <c r="AO401" s="941">
        <v>0.0</v>
      </c>
      <c r="AP401" s="941">
        <v>0.0</v>
      </c>
      <c r="AQ401" s="941">
        <v>0.0</v>
      </c>
      <c r="AR401" s="941">
        <v>5.0</v>
      </c>
      <c r="AS401" s="941">
        <v>0.0</v>
      </c>
      <c r="AT401" s="941">
        <v>0.0</v>
      </c>
      <c r="AU401" s="941">
        <v>0.0</v>
      </c>
      <c r="AV401" s="941">
        <v>0.0</v>
      </c>
      <c r="AW401" s="941">
        <v>0.0</v>
      </c>
      <c r="AX401" s="941">
        <v>0.0</v>
      </c>
      <c r="AY401" s="941">
        <v>0.0</v>
      </c>
      <c r="AZ401" s="941">
        <v>0.0</v>
      </c>
      <c r="BA401" s="941">
        <v>0.0</v>
      </c>
      <c r="BB401" s="941">
        <v>1.0</v>
      </c>
      <c r="BC401" s="941">
        <v>0.0</v>
      </c>
      <c r="BD401" s="941">
        <v>2.0</v>
      </c>
      <c r="BE401" s="941">
        <v>5.0</v>
      </c>
      <c r="BF401" s="941">
        <v>1.0</v>
      </c>
      <c r="BG401" s="941">
        <v>1.0</v>
      </c>
    </row>
    <row r="402">
      <c r="A402" s="946" t="s">
        <v>118</v>
      </c>
      <c r="B402" s="16" t="str">
        <f>IF(C402&lt;'PlayerGrades+'!$Y$44,"F-",IF(C402&lt;'PlayerGrades+'!$Y$43,"F",IF(C402&lt;'PlayerGrades+'!$Y$42,"F+",IF(C402&lt;'PlayerGrades+'!$Y$41,"E-",IF(C402&lt;'PlayerGrades+'!$Y$40,"E",IF(C402&lt;'PlayerGrades+'!$Y$39,"E+",IF(C402&lt;'PlayerGrades+'!$Y$38,"D-",IF(C402&lt;'PlayerGrades+'!$Y$37,"D",IF(C402&lt;'PlayerGrades+'!$Y$36,"D+",IF(C402&lt;'PlayerGrades+'!$Y$35,"C-",IF(C402&lt;'PlayerGrades+'!$Y$34,"C",IF(C402&lt;'PlayerGrades+'!$Y$33,"C+",IF(C402&lt;'PlayerGrades+'!$Y$32,"B-",IF(C402&lt;'PlayerGrades+'!$Y$31,"B",IF(C402&lt;'PlayerGrades+'!$Y$30,"B+",IF(C402&lt;'PlayerGrades+'!$Y$29,"A-",IF(C402&lt;'PlayerGrades+'!$Y$28,"A",IF(C402&lt;'PlayerGrades+'!$Y$27,"A+",IF(C402&lt;'PlayerGrades+'!$Y$26,"S-",IF(C402&lt;'PlayerGrades+'!$Y$25,"S","S+"))))))))))))))))))))</f>
        <v>S-</v>
      </c>
      <c r="C402" s="936">
        <f>('PlayerGrades+'!$Y$47*(VLOOKUP(E402, 'PlayerGrades+'!$X$3:$Y$23, 2, FALSE)))+('PlayerGrades+'!$Y$48*(VLOOKUP(G402, 'PlayerGrades+'!$X$3:$Y$23, 2, FALSE)))+('PlayerGrades+'!$Y$49*(VLOOKUP(I402, 'PlayerGrades+'!$X$3:$Y$23, 2, FALSE)))+('PlayerGrades+'!$Y$50*(VLOOKUP(K402, 'PlayerGrades+'!$X$3:$Y$23, 2, FALSE)))+('PlayerGrades+'!$Y$51*(VLOOKUP(M402, 'PlayerGrades+'!$X$3:$Y$23, 2, FALSE)))+('PlayerGrades+'!$Y$52*(VLOOKUP(O402, 'PlayerGrades+'!$X$3:$Y$23, 2, FALSE)))+('PlayerGrades+'!$Y$53*(VLOOKUP(Q402, 'PlayerGrades+'!$X$3:$Y$23, 2, FALSE)))+('PlayerGrades+'!$Y$54*(VLOOKUP(S402, 'PlayerGrades+'!$X$3:$Y$23, 2, FALSE)))+('PlayerGrades+'!$Y$55*(VLOOKUP(U402, 'PlayerGrades+'!$X$3:$Y$23, 2, FALSE)))</f>
        <v>30</v>
      </c>
      <c r="D402" s="937">
        <f t="shared" si="1"/>
        <v>2.035541195</v>
      </c>
      <c r="E402" s="937" t="str">
        <f>IF(D402&lt;'PlayerGrades+'!$AA$21,"F-",IF(D402&lt;'PlayerGrades+'!$AA$20,"F",IF(D402&lt;'PlayerGrades+'!$AA$19,"F+",IF(D402&lt;'PlayerGrades+'!$AA$18,"E-",IF(D402&lt;'PlayerGrades+'!$AA$17,"E",IF(D402&lt;'PlayerGrades+'!$AA$16,"E+",IF(D402&lt;'PlayerGrades+'!$AA$15,"D-",IF(D402&lt;'PlayerGrades+'!$AA$14,"D",IF(D402&lt;'PlayerGrades+'!$AA$13,"D+",IF(D402&lt;'PlayerGrades+'!$AA$12,"C-",IF(D402&lt;'PlayerGrades+'!$AA$11,"C",IF(D402&lt;'PlayerGrades+'!$AA$10,"C+",IF(D402&lt;'PlayerGrades+'!$AA$9,"B-",IF(D402&lt;'PlayerGrades+'!$AA$8,"B",IF(D402&lt;'PlayerGrades+'!$AA$7,"B+",IF(D402&lt;'PlayerGrades+'!$AA$6,"A-",IF(D402&lt;'PlayerGrades+'!$AA$5,"A",IF(D402&lt;'PlayerGrades+'!$AA$4,"A+",IF(D402&lt;'PlayerGrades+'!$AA$3,"S-",IF(D402&lt;'PlayerGrades+'!$AA$2,"S","S+"))))))))))))))))))))</f>
        <v>S+</v>
      </c>
      <c r="F402" s="937">
        <f t="shared" si="2"/>
        <v>1.938610662</v>
      </c>
      <c r="G402" s="937" t="str">
        <f>IF(F402&lt;'PlayerGrades+'!$AB$21,"F-",IF(F402&lt;'PlayerGrades+'!$AB$20,"F",IF(F402&lt;'PlayerGrades+'!$AB$19,"F+",IF(F402&lt;'PlayerGrades+'!$AB$18,"E-",IF(F402&lt;'PlayerGrades+'!$AB$17,"E",IF(F402&lt;'PlayerGrades+'!$AB$16,"E+",IF(F402&lt;'PlayerGrades+'!$AB$15,"D-",IF(F402&lt;'PlayerGrades+'!$AB$14,"D",IF(F402&lt;'PlayerGrades+'!$AB$13,"D+",IF(F402&lt;'PlayerGrades+'!$AB$12,"C-",IF(F402&lt;'PlayerGrades+'!$AB$11,"C",IF(F402&lt;'PlayerGrades+'!$AB$10,"C+",IF(F402&lt;'PlayerGrades+'!$AB$9,"B-",IF(F402&lt;'PlayerGrades+'!$AB$8,"B",IF(F402&lt;'PlayerGrades+'!$AB$7,"B+",IF(F402&lt;'PlayerGrades+'!$AB$6,"A-",IF(F402&lt;'PlayerGrades+'!$AB$5,"A",IF(F402&lt;'PlayerGrades+'!$AB$4,"A+",IF(F402&lt;'PlayerGrades+'!$AB$3,"S-",IF(F402&lt;'PlayerGrades+'!$AB$2,"S","S+"))))))))))))))))))))</f>
        <v>S+</v>
      </c>
      <c r="H402" s="937">
        <f t="shared" si="3"/>
        <v>0.1938610662</v>
      </c>
      <c r="I402" s="937" t="str">
        <f>IF(H402&lt;'PlayerGrades+'!$AC$21,"F-",IF(H402&lt;'PlayerGrades+'!$AC$20,"F",IF(H402&lt;'PlayerGrades+'!$AC$19,"F+",IF(H402&lt;'PlayerGrades+'!$AC$18,"E-",IF(H402&lt;'PlayerGrades+'!$AC$17,"E",IF(H402&lt;'PlayerGrades+'!$AC$16,"E+",IF(H402&lt;'PlayerGrades+'!$AC$15,"D-",IF(H402&lt;'PlayerGrades+'!$AC$14,"D",IF(H402&lt;'PlayerGrades+'!$AC$13,"D+",IF(H402&lt;'PlayerGrades+'!$AC$12,"C-",IF(H402&lt;'PlayerGrades+'!$AC$11,"C",IF(H402&lt;'PlayerGrades+'!$AC$10,"C+",IF(H402&lt;'PlayerGrades+'!$AC$9,"B-",IF(H402&lt;'PlayerGrades+'!$AC$8,"B",IF(H402&lt;'PlayerGrades+'!$AC$7,"B+",IF(H402&lt;'PlayerGrades+'!$AC$6,"A-",IF(H402&lt;'PlayerGrades+'!$AC$5,"A",IF(H402&lt;'PlayerGrades+'!$AC$4,"A+",IF(H402&lt;'PlayerGrades+'!$AC$3,"S-",IF(H402&lt;'PlayerGrades+'!$AC$2,"S","S+"))))))))))))))))))))</f>
        <v>S</v>
      </c>
      <c r="J402" s="937">
        <f t="shared" si="4"/>
        <v>0.2423263328</v>
      </c>
      <c r="K402" s="937" t="str">
        <f>IF(J402&lt;'PlayerGrades+'!$AD$21,"F-",IF(J402&lt;'PlayerGrades+'!$AD$20,"F",IF(J402&lt;'PlayerGrades+'!$AD$19,"F+",IF(J402&lt;'PlayerGrades+'!$AD$18,"E-",IF(J402&lt;'PlayerGrades+'!$AD$17,"E",IF(J402&lt;'PlayerGrades+'!$AD$16,"E+",IF(J402&lt;'PlayerGrades+'!$AD$15,"D-",IF(J402&lt;'PlayerGrades+'!$AD$14,"D",IF(J402&lt;'PlayerGrades+'!$AD$13,"D+",IF(J402&lt;'PlayerGrades+'!$AD$12,"C-",IF(J402&lt;'PlayerGrades+'!$AD$11,"C",IF(J402&lt;'PlayerGrades+'!$AD$10,"C+",IF(J402&lt;'PlayerGrades+'!$AD$9,"B-",IF(J402&lt;'PlayerGrades+'!$AD$8,"B",IF(J402&lt;'PlayerGrades+'!$AD$7,"B+",IF(J402&lt;'PlayerGrades+'!$AD$6,"A-",IF(J402&lt;'PlayerGrades+'!$AD$5,"A",IF(J402&lt;'PlayerGrades+'!$AD$4,"A+",IF(J402&lt;'PlayerGrades+'!$AD$3,"S-",IF(J402&lt;'PlayerGrades+'!$AD$2,"S","S+"))))))))))))))))))))</f>
        <v>S+</v>
      </c>
      <c r="L402" s="677">
        <f t="shared" si="5"/>
        <v>0.436187399</v>
      </c>
      <c r="M402" s="938" t="str">
        <f>IF(L402&lt;'PlayerGrades+'!$AE$21,"F-",IF(L402&lt;'PlayerGrades+'!$AE$20,"F",IF(L402&lt;'PlayerGrades+'!$AE$19,"F+",IF(L402&lt;'PlayerGrades+'!$AE$18,"E-",IF(L402&lt;'PlayerGrades+'!$AE$17,"E",IF(L402&lt;'PlayerGrades+'!$AE$16,"E+",IF(L402&lt;'PlayerGrades+'!$AE$15,"D-",IF(L402&lt;'PlayerGrades+'!$AE$14,"D",IF(L402&lt;'PlayerGrades+'!$AE$13,"D+",IF(L402&lt;'PlayerGrades+'!$AE$12,"C-",IF(L402&lt;'PlayerGrades+'!$AE$11,"C",IF(L402&lt;'PlayerGrades+'!$AE$10,"C+",IF(L402&lt;'PlayerGrades+'!$AE$9,"B-",IF(L402&lt;'PlayerGrades+'!$AE$8,"B",IF(L402&lt;'PlayerGrades+'!$AE$7,"B+",IF(L402&lt;'PlayerGrades+'!$AE$6,"A-",IF(L402&lt;'PlayerGrades+'!$AE$5,"A",IF(L402&lt;'PlayerGrades+'!$AE$4,"A+",IF(L402&lt;'PlayerGrades+'!$AE$3,"S-",IF(L402&lt;'PlayerGrades+'!$AE$2,"S","S+"))))))))))))))))))))</f>
        <v>B-</v>
      </c>
      <c r="N402" s="937">
        <f t="shared" si="6"/>
        <v>0.04846526656</v>
      </c>
      <c r="O402" s="937" t="str">
        <f>IF(N402&lt;'PlayerGrades+'!$AF$21,"F-",IF(N402&lt;'PlayerGrades+'!$AF$20,"F",IF(N402&lt;'PlayerGrades+'!$AF$19,"F+",IF(N402&lt;'PlayerGrades+'!$AF$18,"E-",IF(N402&lt;'PlayerGrades+'!$AF$17,"E",IF(N402&lt;'PlayerGrades+'!$AF$16,"E+",IF(N402&lt;'PlayerGrades+'!$AF$15,"D-",IF(N402&lt;'PlayerGrades+'!$AF$14,"D",IF(N402&lt;'PlayerGrades+'!$AF$13,"D+",IF(N402&lt;'PlayerGrades+'!$AF$12,"C-",IF(N402&lt;'PlayerGrades+'!$AF$11,"C",IF(N402&lt;'PlayerGrades+'!$AF$10,"C+",IF(N402&lt;'PlayerGrades+'!$AF$9,"B-",IF(N402&lt;'PlayerGrades+'!$AF$8,"B",IF(N402&lt;'PlayerGrades+'!$AF$7,"B+",IF(N402&lt;'PlayerGrades+'!$AF$6,"A-",IF(N402&lt;'PlayerGrades+'!$AF$5,"A",IF(N402&lt;'PlayerGrades+'!$AF$4,"A+",IF(N402&lt;'PlayerGrades+'!$AF$3,"S-",IF(N402&lt;'PlayerGrades+'!$AF$2,"S","S+"))))))))))))))))))))</f>
        <v>D-</v>
      </c>
      <c r="P402" s="937">
        <f t="shared" si="7"/>
        <v>0.04846526656</v>
      </c>
      <c r="Q402" s="937" t="str">
        <f>IF(P402&lt;'PlayerGrades+'!$AG$21,"F-",IF(P402&lt;'PlayerGrades+'!$AG$20,"F",IF(P402&lt;'PlayerGrades+'!$AG$19,"F+",IF(P402&lt;'PlayerGrades+'!$AG$18,"E-",IF(P402&lt;'PlayerGrades+'!$AG$17,"E",IF(P402&lt;'PlayerGrades+'!$AG$16,"E+",IF(P402&lt;'PlayerGrades+'!$AG$15,"D-",IF(P402&lt;'PlayerGrades+'!$AG$14,"D",IF(P402&lt;'PlayerGrades+'!$AG$13,"D+",IF(P402&lt;'PlayerGrades+'!$AG$12,"C-",IF(P402&lt;'PlayerGrades+'!$AG$11,"C",IF(P402&lt;'PlayerGrades+'!$AG$10,"C+",IF(P402&lt;'PlayerGrades+'!$AG$9,"B-",IF(P402&lt;'PlayerGrades+'!$AG$8,"B",IF(P402&lt;'PlayerGrades+'!$AG$7,"B+",IF(P402&lt;'PlayerGrades+'!$AG$6,"A-",IF(P402&lt;'PlayerGrades+'!$AG$5,"A",IF(P402&lt;'PlayerGrades+'!$AG$4,"A+",IF(P402&lt;'PlayerGrades+'!$AG$3,"S-",IF(P402&lt;'PlayerGrades+'!$AG$2,"S","S+"))))))))))))))))))))</f>
        <v>A</v>
      </c>
      <c r="R402" s="937">
        <f t="shared" si="8"/>
        <v>0.6300484653</v>
      </c>
      <c r="S402" s="937" t="str">
        <f>IF(R402&lt;'PlayerGrades+'!$AH$21,"F-",IF(R402&lt;'PlayerGrades+'!$AH$20,"F",IF(R402&lt;'PlayerGrades+'!$AH$19,"F+",IF(R402&lt;'PlayerGrades+'!$AH$18,"E-",IF(R402&lt;'PlayerGrades+'!$AH$17,"E",IF(R402&lt;'PlayerGrades+'!$AH$16,"E+",IF(R402&lt;'PlayerGrades+'!$AH$15,"D-",IF(R402&lt;'PlayerGrades+'!$AH$14,"D",IF(R402&lt;'PlayerGrades+'!$AH$13,"D+",IF(R402&lt;'PlayerGrades+'!$AH$12,"C-",IF(R402&lt;'PlayerGrades+'!$AH$11,"C",IF(R402&lt;'PlayerGrades+'!$AH$10,"C+",IF(R402&lt;'PlayerGrades+'!$AH$9,"B-",IF(R402&lt;'PlayerGrades+'!$AH$8,"B",IF(R402&lt;'PlayerGrades+'!$AH$7,"B+",IF(R402&lt;'PlayerGrades+'!$AH$6,"A-",IF(R402&lt;'PlayerGrades+'!$AH$5,"A",IF(R402&lt;'PlayerGrades+'!$AH$4,"A+",IF(R402&lt;'PlayerGrades+'!$AH$3,"S-",IF(R402&lt;'PlayerGrades+'!$AH$2,"S","S+"))))))))))))))))))))</f>
        <v>A</v>
      </c>
      <c r="T402" s="937">
        <f t="shared" si="9"/>
        <v>2.242326333</v>
      </c>
      <c r="U402" s="937" t="str">
        <f>IF(T402&lt;'PlayerGrades+'!$AI$21,"F-",IF(T402&lt;'PlayerGrades+'!$AI$20,"F",IF(T402&lt;'PlayerGrades+'!$AI$19,"F+",IF(T402&lt;'PlayerGrades+'!$AI$18,"E-",IF(T402&lt;'PlayerGrades+'!$AI$17,"E",IF(T402&lt;'PlayerGrades+'!$AI$16,"E+",IF(T402&lt;'PlayerGrades+'!$AI$15,"D-",IF(T402&lt;'PlayerGrades+'!$AI$14,"D",IF(T402&lt;'PlayerGrades+'!$AI$13,"D+",IF(T402&lt;'PlayerGrades+'!$AI$12,"C-",IF(T402&lt;'PlayerGrades+'!$AI$11,"C",IF(T402&lt;'PlayerGrades+'!$AI$10,"C+",IF(T402&lt;'PlayerGrades+'!$AI$9,"B-",IF(T402&lt;'PlayerGrades+'!$AI$8,"B",IF(T402&lt;'PlayerGrades+'!$AI$7,"B+",IF(T402&lt;'PlayerGrades+'!$AI$6,"A-",IF(T402&lt;'PlayerGrades+'!$AI$5,"A",IF(T402&lt;'PlayerGrades+'!$AI$4,"A+",IF(T402&lt;'PlayerGrades+'!$AI$3,"S-",IF(T402&lt;'PlayerGrades+'!$AI$2,"S","S+"))))))))))))))))))))</f>
        <v>S+</v>
      </c>
      <c r="V402" s="939">
        <v>1.0</v>
      </c>
      <c r="W402" s="939">
        <v>1.0</v>
      </c>
      <c r="X402" s="939">
        <v>0.0</v>
      </c>
      <c r="Y402" s="939">
        <v>4.0</v>
      </c>
      <c r="Z402" s="939">
        <v>38.0</v>
      </c>
      <c r="AA402" s="939">
        <v>66.0</v>
      </c>
      <c r="AB402" s="939">
        <v>26.0</v>
      </c>
      <c r="AC402" s="939">
        <v>40.0</v>
      </c>
      <c r="AD402" s="939">
        <v>1.0</v>
      </c>
      <c r="AE402" s="939">
        <v>12.0</v>
      </c>
      <c r="AF402" s="939">
        <v>1.0</v>
      </c>
      <c r="AG402" s="939">
        <v>1066.0</v>
      </c>
      <c r="AH402" s="939">
        <v>1238.0</v>
      </c>
      <c r="AI402" s="939">
        <v>41.0</v>
      </c>
      <c r="AJ402" s="939">
        <v>776.0</v>
      </c>
      <c r="AK402" s="939">
        <v>0.0</v>
      </c>
      <c r="AL402" s="939">
        <v>5.0</v>
      </c>
      <c r="AM402" s="939">
        <v>1.0</v>
      </c>
      <c r="AN402" s="939">
        <v>0.0</v>
      </c>
      <c r="AO402" s="939">
        <v>0.0</v>
      </c>
      <c r="AP402" s="939">
        <v>1.0</v>
      </c>
      <c r="AQ402" s="939">
        <v>0.0</v>
      </c>
      <c r="AR402" s="939">
        <v>9.0</v>
      </c>
      <c r="AS402" s="939">
        <v>1.0</v>
      </c>
      <c r="AT402" s="939">
        <v>1.0</v>
      </c>
      <c r="AU402" s="939">
        <v>1.0</v>
      </c>
      <c r="AV402" s="939">
        <v>0.0</v>
      </c>
      <c r="AW402" s="939">
        <v>0.0</v>
      </c>
      <c r="AX402" s="939">
        <v>0.0</v>
      </c>
      <c r="AY402" s="939">
        <v>0.0</v>
      </c>
      <c r="AZ402" s="939">
        <v>0.0</v>
      </c>
      <c r="BA402" s="939">
        <v>0.0</v>
      </c>
      <c r="BB402" s="939">
        <v>4.0</v>
      </c>
      <c r="BC402" s="939">
        <v>0.0</v>
      </c>
      <c r="BD402" s="939">
        <v>12.0</v>
      </c>
      <c r="BE402" s="939">
        <v>5.0</v>
      </c>
      <c r="BF402" s="939">
        <v>2.0</v>
      </c>
      <c r="BG402" s="940">
        <v>1.0</v>
      </c>
    </row>
    <row r="403">
      <c r="A403" s="935" t="s">
        <v>129</v>
      </c>
      <c r="B403" s="16" t="str">
        <f>IF(C403&lt;'PlayerGrades+'!$Y$44,"F-",IF(C403&lt;'PlayerGrades+'!$Y$43,"F",IF(C403&lt;'PlayerGrades+'!$Y$42,"F+",IF(C403&lt;'PlayerGrades+'!$Y$41,"E-",IF(C403&lt;'PlayerGrades+'!$Y$40,"E",IF(C403&lt;'PlayerGrades+'!$Y$39,"E+",IF(C403&lt;'PlayerGrades+'!$Y$38,"D-",IF(C403&lt;'PlayerGrades+'!$Y$37,"D",IF(C403&lt;'PlayerGrades+'!$Y$36,"D+",IF(C403&lt;'PlayerGrades+'!$Y$35,"C-",IF(C403&lt;'PlayerGrades+'!$Y$34,"C",IF(C403&lt;'PlayerGrades+'!$Y$33,"C+",IF(C403&lt;'PlayerGrades+'!$Y$32,"B-",IF(C403&lt;'PlayerGrades+'!$Y$31,"B",IF(C403&lt;'PlayerGrades+'!$Y$30,"B+",IF(C403&lt;'PlayerGrades+'!$Y$29,"A-",IF(C403&lt;'PlayerGrades+'!$Y$28,"A",IF(C403&lt;'PlayerGrades+'!$Y$27,"A+",IF(C403&lt;'PlayerGrades+'!$Y$26,"S-",IF(C403&lt;'PlayerGrades+'!$Y$25,"S","S+"))))))))))))))))))))</f>
        <v>S+</v>
      </c>
      <c r="C403" s="936">
        <f>('PlayerGrades+'!$Y$47*(VLOOKUP(E403, 'PlayerGrades+'!$X$3:$Y$23, 2, FALSE)))+('PlayerGrades+'!$Y$48*(VLOOKUP(G403, 'PlayerGrades+'!$X$3:$Y$23, 2, FALSE)))+('PlayerGrades+'!$Y$49*(VLOOKUP(I403, 'PlayerGrades+'!$X$3:$Y$23, 2, FALSE)))+('PlayerGrades+'!$Y$50*(VLOOKUP(K403, 'PlayerGrades+'!$X$3:$Y$23, 2, FALSE)))+('PlayerGrades+'!$Y$51*(VLOOKUP(M403, 'PlayerGrades+'!$X$3:$Y$23, 2, FALSE)))+('PlayerGrades+'!$Y$52*(VLOOKUP(O403, 'PlayerGrades+'!$X$3:$Y$23, 2, FALSE)))+('PlayerGrades+'!$Y$53*(VLOOKUP(Q403, 'PlayerGrades+'!$X$3:$Y$23, 2, FALSE)))+('PlayerGrades+'!$Y$54*(VLOOKUP(S403, 'PlayerGrades+'!$X$3:$Y$23, 2, FALSE)))+('PlayerGrades+'!$Y$55*(VLOOKUP(U403, 'PlayerGrades+'!$X$3:$Y$23, 2, FALSE)))</f>
        <v>34.9</v>
      </c>
      <c r="D403" s="937">
        <f t="shared" si="1"/>
        <v>0.04846526656</v>
      </c>
      <c r="E403" s="937" t="str">
        <f>IF(D403&lt;'PlayerGrades+'!$AA$21,"F-",IF(D403&lt;'PlayerGrades+'!$AA$20,"F",IF(D403&lt;'PlayerGrades+'!$AA$19,"F+",IF(D403&lt;'PlayerGrades+'!$AA$18,"E-",IF(D403&lt;'PlayerGrades+'!$AA$17,"E",IF(D403&lt;'PlayerGrades+'!$AA$16,"E+",IF(D403&lt;'PlayerGrades+'!$AA$15,"D-",IF(D403&lt;'PlayerGrades+'!$AA$14,"D",IF(D403&lt;'PlayerGrades+'!$AA$13,"D+",IF(D403&lt;'PlayerGrades+'!$AA$12,"C-",IF(D403&lt;'PlayerGrades+'!$AA$11,"C",IF(D403&lt;'PlayerGrades+'!$AA$10,"C+",IF(D403&lt;'PlayerGrades+'!$AA$9,"B-",IF(D403&lt;'PlayerGrades+'!$AA$8,"B",IF(D403&lt;'PlayerGrades+'!$AA$7,"B+",IF(D403&lt;'PlayerGrades+'!$AA$6,"A-",IF(D403&lt;'PlayerGrades+'!$AA$5,"A",IF(D403&lt;'PlayerGrades+'!$AA$4,"A+",IF(D403&lt;'PlayerGrades+'!$AA$3,"S-",IF(D403&lt;'PlayerGrades+'!$AA$2,"S","S+"))))))))))))))))))))</f>
        <v>C+</v>
      </c>
      <c r="F403" s="937">
        <f t="shared" si="2"/>
        <v>1.357027464</v>
      </c>
      <c r="G403" s="937" t="str">
        <f>IF(F403&lt;'PlayerGrades+'!$AB$21,"F-",IF(F403&lt;'PlayerGrades+'!$AB$20,"F",IF(F403&lt;'PlayerGrades+'!$AB$19,"F+",IF(F403&lt;'PlayerGrades+'!$AB$18,"E-",IF(F403&lt;'PlayerGrades+'!$AB$17,"E",IF(F403&lt;'PlayerGrades+'!$AB$16,"E+",IF(F403&lt;'PlayerGrades+'!$AB$15,"D-",IF(F403&lt;'PlayerGrades+'!$AB$14,"D",IF(F403&lt;'PlayerGrades+'!$AB$13,"D+",IF(F403&lt;'PlayerGrades+'!$AB$12,"C-",IF(F403&lt;'PlayerGrades+'!$AB$11,"C",IF(F403&lt;'PlayerGrades+'!$AB$10,"C+",IF(F403&lt;'PlayerGrades+'!$AB$9,"B-",IF(F403&lt;'PlayerGrades+'!$AB$8,"B",IF(F403&lt;'PlayerGrades+'!$AB$7,"B+",IF(F403&lt;'PlayerGrades+'!$AB$6,"A-",IF(F403&lt;'PlayerGrades+'!$AB$5,"A",IF(F403&lt;'PlayerGrades+'!$AB$4,"A+",IF(F403&lt;'PlayerGrades+'!$AB$3,"S-",IF(F403&lt;'PlayerGrades+'!$AB$2,"S","S+"))))))))))))))))))))</f>
        <v>S+</v>
      </c>
      <c r="H403" s="937">
        <f t="shared" si="3"/>
        <v>0.1938610662</v>
      </c>
      <c r="I403" s="937" t="str">
        <f>IF(H403&lt;'PlayerGrades+'!$AC$21,"F-",IF(H403&lt;'PlayerGrades+'!$AC$20,"F",IF(H403&lt;'PlayerGrades+'!$AC$19,"F+",IF(H403&lt;'PlayerGrades+'!$AC$18,"E-",IF(H403&lt;'PlayerGrades+'!$AC$17,"E",IF(H403&lt;'PlayerGrades+'!$AC$16,"E+",IF(H403&lt;'PlayerGrades+'!$AC$15,"D-",IF(H403&lt;'PlayerGrades+'!$AC$14,"D",IF(H403&lt;'PlayerGrades+'!$AC$13,"D+",IF(H403&lt;'PlayerGrades+'!$AC$12,"C-",IF(H403&lt;'PlayerGrades+'!$AC$11,"C",IF(H403&lt;'PlayerGrades+'!$AC$10,"C+",IF(H403&lt;'PlayerGrades+'!$AC$9,"B-",IF(H403&lt;'PlayerGrades+'!$AC$8,"B",IF(H403&lt;'PlayerGrades+'!$AC$7,"B+",IF(H403&lt;'PlayerGrades+'!$AC$6,"A-",IF(H403&lt;'PlayerGrades+'!$AC$5,"A",IF(H403&lt;'PlayerGrades+'!$AC$4,"A+",IF(H403&lt;'PlayerGrades+'!$AC$3,"S-",IF(H403&lt;'PlayerGrades+'!$AC$2,"S","S+"))))))))))))))))))))</f>
        <v>S</v>
      </c>
      <c r="J403" s="937">
        <f t="shared" si="4"/>
        <v>0.1453957997</v>
      </c>
      <c r="K403" s="937" t="str">
        <f>IF(J403&lt;'PlayerGrades+'!$AD$21,"F-",IF(J403&lt;'PlayerGrades+'!$AD$20,"F",IF(J403&lt;'PlayerGrades+'!$AD$19,"F+",IF(J403&lt;'PlayerGrades+'!$AD$18,"E-",IF(J403&lt;'PlayerGrades+'!$AD$17,"E",IF(J403&lt;'PlayerGrades+'!$AD$16,"E+",IF(J403&lt;'PlayerGrades+'!$AD$15,"D-",IF(J403&lt;'PlayerGrades+'!$AD$14,"D",IF(J403&lt;'PlayerGrades+'!$AD$13,"D+",IF(J403&lt;'PlayerGrades+'!$AD$12,"C-",IF(J403&lt;'PlayerGrades+'!$AD$11,"C",IF(J403&lt;'PlayerGrades+'!$AD$10,"C+",IF(J403&lt;'PlayerGrades+'!$AD$9,"B-",IF(J403&lt;'PlayerGrades+'!$AD$8,"B",IF(J403&lt;'PlayerGrades+'!$AD$7,"B+",IF(J403&lt;'PlayerGrades+'!$AD$6,"A-",IF(J403&lt;'PlayerGrades+'!$AD$5,"A",IF(J403&lt;'PlayerGrades+'!$AD$4,"A+",IF(J403&lt;'PlayerGrades+'!$AD$3,"S-",IF(J403&lt;'PlayerGrades+'!$AD$2,"S","S+"))))))))))))))))))))</f>
        <v>S+</v>
      </c>
      <c r="L403" s="677">
        <f t="shared" si="5"/>
        <v>0.8239095315</v>
      </c>
      <c r="M403" s="938" t="str">
        <f>IF(L403&lt;'PlayerGrades+'!$AE$21,"F-",IF(L403&lt;'PlayerGrades+'!$AE$20,"F",IF(L403&lt;'PlayerGrades+'!$AE$19,"F+",IF(L403&lt;'PlayerGrades+'!$AE$18,"E-",IF(L403&lt;'PlayerGrades+'!$AE$17,"E",IF(L403&lt;'PlayerGrades+'!$AE$16,"E+",IF(L403&lt;'PlayerGrades+'!$AE$15,"D-",IF(L403&lt;'PlayerGrades+'!$AE$14,"D",IF(L403&lt;'PlayerGrades+'!$AE$13,"D+",IF(L403&lt;'PlayerGrades+'!$AE$12,"C-",IF(L403&lt;'PlayerGrades+'!$AE$11,"C",IF(L403&lt;'PlayerGrades+'!$AE$10,"C+",IF(L403&lt;'PlayerGrades+'!$AE$9,"B-",IF(L403&lt;'PlayerGrades+'!$AE$8,"B",IF(L403&lt;'PlayerGrades+'!$AE$7,"B+",IF(L403&lt;'PlayerGrades+'!$AE$6,"A-",IF(L403&lt;'PlayerGrades+'!$AE$5,"A",IF(L403&lt;'PlayerGrades+'!$AE$4,"A+",IF(L403&lt;'PlayerGrades+'!$AE$3,"S-",IF(L403&lt;'PlayerGrades+'!$AE$2,"S","S+"))))))))))))))))))))</f>
        <v>S+</v>
      </c>
      <c r="N403" s="937">
        <f t="shared" si="6"/>
        <v>0.2423263328</v>
      </c>
      <c r="O403" s="937" t="str">
        <f>IF(N403&lt;'PlayerGrades+'!$AF$21,"F-",IF(N403&lt;'PlayerGrades+'!$AF$20,"F",IF(N403&lt;'PlayerGrades+'!$AF$19,"F+",IF(N403&lt;'PlayerGrades+'!$AF$18,"E-",IF(N403&lt;'PlayerGrades+'!$AF$17,"E",IF(N403&lt;'PlayerGrades+'!$AF$16,"E+",IF(N403&lt;'PlayerGrades+'!$AF$15,"D-",IF(N403&lt;'PlayerGrades+'!$AF$14,"D",IF(N403&lt;'PlayerGrades+'!$AF$13,"D+",IF(N403&lt;'PlayerGrades+'!$AF$12,"C-",IF(N403&lt;'PlayerGrades+'!$AF$11,"C",IF(N403&lt;'PlayerGrades+'!$AF$10,"C+",IF(N403&lt;'PlayerGrades+'!$AF$9,"B-",IF(N403&lt;'PlayerGrades+'!$AF$8,"B",IF(N403&lt;'PlayerGrades+'!$AF$7,"B+",IF(N403&lt;'PlayerGrades+'!$AF$6,"A-",IF(N403&lt;'PlayerGrades+'!$AF$5,"A",IF(N403&lt;'PlayerGrades+'!$AF$4,"A+",IF(N403&lt;'PlayerGrades+'!$AF$3,"S-",IF(N403&lt;'PlayerGrades+'!$AF$2,"S","S+"))))))))))))))))))))</f>
        <v>S+</v>
      </c>
      <c r="P403" s="937">
        <f t="shared" si="7"/>
        <v>0.09693053312</v>
      </c>
      <c r="Q403" s="937" t="str">
        <f>IF(P403&lt;'PlayerGrades+'!$AG$21,"F-",IF(P403&lt;'PlayerGrades+'!$AG$20,"F",IF(P403&lt;'PlayerGrades+'!$AG$19,"F+",IF(P403&lt;'PlayerGrades+'!$AG$18,"E-",IF(P403&lt;'PlayerGrades+'!$AG$17,"E",IF(P403&lt;'PlayerGrades+'!$AG$16,"E+",IF(P403&lt;'PlayerGrades+'!$AG$15,"D-",IF(P403&lt;'PlayerGrades+'!$AG$14,"D",IF(P403&lt;'PlayerGrades+'!$AG$13,"D+",IF(P403&lt;'PlayerGrades+'!$AG$12,"C-",IF(P403&lt;'PlayerGrades+'!$AG$11,"C",IF(P403&lt;'PlayerGrades+'!$AG$10,"C+",IF(P403&lt;'PlayerGrades+'!$AG$9,"B-",IF(P403&lt;'PlayerGrades+'!$AG$8,"B",IF(P403&lt;'PlayerGrades+'!$AG$7,"B+",IF(P403&lt;'PlayerGrades+'!$AG$6,"A-",IF(P403&lt;'PlayerGrades+'!$AG$5,"A",IF(P403&lt;'PlayerGrades+'!$AG$4,"A+",IF(P403&lt;'PlayerGrades+'!$AG$3,"S-",IF(P403&lt;'PlayerGrades+'!$AG$2,"S","S+"))))))))))))))))))))</f>
        <v>S+</v>
      </c>
      <c r="R403" s="937">
        <f t="shared" si="8"/>
        <v>0.6785137318</v>
      </c>
      <c r="S403" s="937" t="str">
        <f>IF(R403&lt;'PlayerGrades+'!$AH$21,"F-",IF(R403&lt;'PlayerGrades+'!$AH$20,"F",IF(R403&lt;'PlayerGrades+'!$AH$19,"F+",IF(R403&lt;'PlayerGrades+'!$AH$18,"E-",IF(R403&lt;'PlayerGrades+'!$AH$17,"E",IF(R403&lt;'PlayerGrades+'!$AH$16,"E+",IF(R403&lt;'PlayerGrades+'!$AH$15,"D-",IF(R403&lt;'PlayerGrades+'!$AH$14,"D",IF(R403&lt;'PlayerGrades+'!$AH$13,"D+",IF(R403&lt;'PlayerGrades+'!$AH$12,"C-",IF(R403&lt;'PlayerGrades+'!$AH$11,"C",IF(R403&lt;'PlayerGrades+'!$AH$10,"C+",IF(R403&lt;'PlayerGrades+'!$AH$9,"B-",IF(R403&lt;'PlayerGrades+'!$AH$8,"B",IF(R403&lt;'PlayerGrades+'!$AH$7,"B+",IF(R403&lt;'PlayerGrades+'!$AH$6,"A-",IF(R403&lt;'PlayerGrades+'!$AH$5,"A",IF(R403&lt;'PlayerGrades+'!$AH$4,"A+",IF(R403&lt;'PlayerGrades+'!$AH$3,"S-",IF(R403&lt;'PlayerGrades+'!$AH$2,"S","S+"))))))))))))))))))))</f>
        <v>S-</v>
      </c>
      <c r="T403" s="937">
        <f t="shared" si="9"/>
        <v>3.484652666</v>
      </c>
      <c r="U403" s="937" t="str">
        <f>IF(T403&lt;'PlayerGrades+'!$AI$21,"F-",IF(T403&lt;'PlayerGrades+'!$AI$20,"F",IF(T403&lt;'PlayerGrades+'!$AI$19,"F+",IF(T403&lt;'PlayerGrades+'!$AI$18,"E-",IF(T403&lt;'PlayerGrades+'!$AI$17,"E",IF(T403&lt;'PlayerGrades+'!$AI$16,"E+",IF(T403&lt;'PlayerGrades+'!$AI$15,"D-",IF(T403&lt;'PlayerGrades+'!$AI$14,"D",IF(T403&lt;'PlayerGrades+'!$AI$13,"D+",IF(T403&lt;'PlayerGrades+'!$AI$12,"C-",IF(T403&lt;'PlayerGrades+'!$AI$11,"C",IF(T403&lt;'PlayerGrades+'!$AI$10,"C+",IF(T403&lt;'PlayerGrades+'!$AI$9,"B-",IF(T403&lt;'PlayerGrades+'!$AI$8,"B",IF(T403&lt;'PlayerGrades+'!$AI$7,"B+",IF(T403&lt;'PlayerGrades+'!$AI$6,"A-",IF(T403&lt;'PlayerGrades+'!$AI$5,"A",IF(T403&lt;'PlayerGrades+'!$AI$4,"A+",IF(T403&lt;'PlayerGrades+'!$AI$3,"S-",IF(T403&lt;'PlayerGrades+'!$AI$2,"S","S+"))))))))))))))))))))</f>
        <v>S+</v>
      </c>
      <c r="V403" s="941">
        <v>1.0</v>
      </c>
      <c r="W403" s="941">
        <v>1.0</v>
      </c>
      <c r="X403" s="941">
        <v>0.0</v>
      </c>
      <c r="Y403" s="941">
        <v>1.0</v>
      </c>
      <c r="Z403" s="941">
        <v>0.0</v>
      </c>
      <c r="AA403" s="941">
        <v>91.0</v>
      </c>
      <c r="AB403" s="941">
        <v>63.0</v>
      </c>
      <c r="AC403" s="941">
        <v>28.0</v>
      </c>
      <c r="AD403" s="941">
        <v>6.0</v>
      </c>
      <c r="AE403" s="941">
        <v>5.0</v>
      </c>
      <c r="AF403" s="941">
        <v>0.0</v>
      </c>
      <c r="AG403" s="941">
        <v>954.0</v>
      </c>
      <c r="AH403" s="941">
        <v>1238.0</v>
      </c>
      <c r="AI403" s="941">
        <v>15.0</v>
      </c>
      <c r="AJ403" s="941">
        <v>22.0</v>
      </c>
      <c r="AK403" s="941">
        <v>0.0</v>
      </c>
      <c r="AL403" s="941">
        <v>3.0</v>
      </c>
      <c r="AM403" s="941">
        <v>0.0</v>
      </c>
      <c r="AN403" s="941">
        <v>0.0</v>
      </c>
      <c r="AO403" s="941">
        <v>0.0</v>
      </c>
      <c r="AP403" s="941">
        <v>2.0</v>
      </c>
      <c r="AQ403" s="941">
        <v>0.0</v>
      </c>
      <c r="AR403" s="941">
        <v>17.0</v>
      </c>
      <c r="AS403" s="941">
        <v>5.0</v>
      </c>
      <c r="AT403" s="941">
        <v>2.0</v>
      </c>
      <c r="AU403" s="941">
        <v>1.0</v>
      </c>
      <c r="AV403" s="941">
        <v>0.0</v>
      </c>
      <c r="AW403" s="941">
        <v>0.0</v>
      </c>
      <c r="AX403" s="941">
        <v>0.0</v>
      </c>
      <c r="AY403" s="941">
        <v>0.0</v>
      </c>
      <c r="AZ403" s="941">
        <v>0.0</v>
      </c>
      <c r="BA403" s="941">
        <v>0.0</v>
      </c>
      <c r="BB403" s="941">
        <v>4.0</v>
      </c>
      <c r="BC403" s="941">
        <v>0.0</v>
      </c>
      <c r="BD403" s="941">
        <v>8.0</v>
      </c>
      <c r="BE403" s="941">
        <v>10.0</v>
      </c>
      <c r="BF403" s="941">
        <v>3.0</v>
      </c>
      <c r="BG403" s="942">
        <v>1.0</v>
      </c>
    </row>
    <row r="404">
      <c r="A404" s="935" t="s">
        <v>140</v>
      </c>
      <c r="B404" s="16" t="str">
        <f>IF(C404&lt;'PlayerGrades+'!$Y$44,"F-",IF(C404&lt;'PlayerGrades+'!$Y$43,"F",IF(C404&lt;'PlayerGrades+'!$Y$42,"F+",IF(C404&lt;'PlayerGrades+'!$Y$41,"E-",IF(C404&lt;'PlayerGrades+'!$Y$40,"E",IF(C404&lt;'PlayerGrades+'!$Y$39,"E+",IF(C404&lt;'PlayerGrades+'!$Y$38,"D-",IF(C404&lt;'PlayerGrades+'!$Y$37,"D",IF(C404&lt;'PlayerGrades+'!$Y$36,"D+",IF(C404&lt;'PlayerGrades+'!$Y$35,"C-",IF(C404&lt;'PlayerGrades+'!$Y$34,"C",IF(C404&lt;'PlayerGrades+'!$Y$33,"C+",IF(C404&lt;'PlayerGrades+'!$Y$32,"B-",IF(C404&lt;'PlayerGrades+'!$Y$31,"B",IF(C404&lt;'PlayerGrades+'!$Y$30,"B+",IF(C404&lt;'PlayerGrades+'!$Y$29,"A-",IF(C404&lt;'PlayerGrades+'!$Y$28,"A",IF(C404&lt;'PlayerGrades+'!$Y$27,"A+",IF(C404&lt;'PlayerGrades+'!$Y$26,"S-",IF(C404&lt;'PlayerGrades+'!$Y$25,"S","S+"))))))))))))))))))))</f>
        <v>C</v>
      </c>
      <c r="C404" s="936">
        <f>('PlayerGrades+'!$Y$47*(VLOOKUP(E404, 'PlayerGrades+'!$X$3:$Y$23, 2, FALSE)))+('PlayerGrades+'!$Y$48*(VLOOKUP(G404, 'PlayerGrades+'!$X$3:$Y$23, 2, FALSE)))+('PlayerGrades+'!$Y$49*(VLOOKUP(I404, 'PlayerGrades+'!$X$3:$Y$23, 2, FALSE)))+('PlayerGrades+'!$Y$50*(VLOOKUP(K404, 'PlayerGrades+'!$X$3:$Y$23, 2, FALSE)))+('PlayerGrades+'!$Y$51*(VLOOKUP(M404, 'PlayerGrades+'!$X$3:$Y$23, 2, FALSE)))+('PlayerGrades+'!$Y$52*(VLOOKUP(O404, 'PlayerGrades+'!$X$3:$Y$23, 2, FALSE)))+('PlayerGrades+'!$Y$53*(VLOOKUP(Q404, 'PlayerGrades+'!$X$3:$Y$23, 2, FALSE)))+('PlayerGrades+'!$Y$54*(VLOOKUP(S404, 'PlayerGrades+'!$X$3:$Y$23, 2, FALSE)))+('PlayerGrades+'!$Y$55*(VLOOKUP(U404, 'PlayerGrades+'!$X$3:$Y$23, 2, FALSE)))</f>
        <v>20.05</v>
      </c>
      <c r="D404" s="937">
        <f t="shared" si="1"/>
        <v>0</v>
      </c>
      <c r="E404" s="937" t="str">
        <f>IF(D404&lt;'PlayerGrades+'!$AA$21,"F-",IF(D404&lt;'PlayerGrades+'!$AA$20,"F",IF(D404&lt;'PlayerGrades+'!$AA$19,"F+",IF(D404&lt;'PlayerGrades+'!$AA$18,"E-",IF(D404&lt;'PlayerGrades+'!$AA$17,"E",IF(D404&lt;'PlayerGrades+'!$AA$16,"E+",IF(D404&lt;'PlayerGrades+'!$AA$15,"D-",IF(D404&lt;'PlayerGrades+'!$AA$14,"D",IF(D404&lt;'PlayerGrades+'!$AA$13,"D+",IF(D404&lt;'PlayerGrades+'!$AA$12,"C-",IF(D404&lt;'PlayerGrades+'!$AA$11,"C",IF(D404&lt;'PlayerGrades+'!$AA$10,"C+",IF(D404&lt;'PlayerGrades+'!$AA$9,"B-",IF(D404&lt;'PlayerGrades+'!$AA$8,"B",IF(D404&lt;'PlayerGrades+'!$AA$7,"B+",IF(D404&lt;'PlayerGrades+'!$AA$6,"A-",IF(D404&lt;'PlayerGrades+'!$AA$5,"A",IF(D404&lt;'PlayerGrades+'!$AA$4,"A+",IF(D404&lt;'PlayerGrades+'!$AA$3,"S-",IF(D404&lt;'PlayerGrades+'!$AA$2,"S","S+"))))))))))))))))))))</f>
        <v>F-</v>
      </c>
      <c r="F404" s="937">
        <f t="shared" si="2"/>
        <v>0.3877221325</v>
      </c>
      <c r="G404" s="937" t="str">
        <f>IF(F404&lt;'PlayerGrades+'!$AB$21,"F-",IF(F404&lt;'PlayerGrades+'!$AB$20,"F",IF(F404&lt;'PlayerGrades+'!$AB$19,"F+",IF(F404&lt;'PlayerGrades+'!$AB$18,"E-",IF(F404&lt;'PlayerGrades+'!$AB$17,"E",IF(F404&lt;'PlayerGrades+'!$AB$16,"E+",IF(F404&lt;'PlayerGrades+'!$AB$15,"D-",IF(F404&lt;'PlayerGrades+'!$AB$14,"D",IF(F404&lt;'PlayerGrades+'!$AB$13,"D+",IF(F404&lt;'PlayerGrades+'!$AB$12,"C-",IF(F404&lt;'PlayerGrades+'!$AB$11,"C",IF(F404&lt;'PlayerGrades+'!$AB$10,"C+",IF(F404&lt;'PlayerGrades+'!$AB$9,"B-",IF(F404&lt;'PlayerGrades+'!$AB$8,"B",IF(F404&lt;'PlayerGrades+'!$AB$7,"B+",IF(F404&lt;'PlayerGrades+'!$AB$6,"A-",IF(F404&lt;'PlayerGrades+'!$AB$5,"A",IF(F404&lt;'PlayerGrades+'!$AB$4,"A+",IF(F404&lt;'PlayerGrades+'!$AB$3,"S-",IF(F404&lt;'PlayerGrades+'!$AB$2,"S","S+"))))))))))))))))))))</f>
        <v>A</v>
      </c>
      <c r="H404" s="937">
        <f t="shared" si="3"/>
        <v>0.1938610662</v>
      </c>
      <c r="I404" s="937" t="str">
        <f>IF(H404&lt;'PlayerGrades+'!$AC$21,"F-",IF(H404&lt;'PlayerGrades+'!$AC$20,"F",IF(H404&lt;'PlayerGrades+'!$AC$19,"F+",IF(H404&lt;'PlayerGrades+'!$AC$18,"E-",IF(H404&lt;'PlayerGrades+'!$AC$17,"E",IF(H404&lt;'PlayerGrades+'!$AC$16,"E+",IF(H404&lt;'PlayerGrades+'!$AC$15,"D-",IF(H404&lt;'PlayerGrades+'!$AC$14,"D",IF(H404&lt;'PlayerGrades+'!$AC$13,"D+",IF(H404&lt;'PlayerGrades+'!$AC$12,"C-",IF(H404&lt;'PlayerGrades+'!$AC$11,"C",IF(H404&lt;'PlayerGrades+'!$AC$10,"C+",IF(H404&lt;'PlayerGrades+'!$AC$9,"B-",IF(H404&lt;'PlayerGrades+'!$AC$8,"B",IF(H404&lt;'PlayerGrades+'!$AC$7,"B+",IF(H404&lt;'PlayerGrades+'!$AC$6,"A-",IF(H404&lt;'PlayerGrades+'!$AC$5,"A",IF(H404&lt;'PlayerGrades+'!$AC$4,"A+",IF(H404&lt;'PlayerGrades+'!$AC$3,"S-",IF(H404&lt;'PlayerGrades+'!$AC$2,"S","S+"))))))))))))))))))))</f>
        <v>S</v>
      </c>
      <c r="J404" s="937">
        <f t="shared" si="4"/>
        <v>0.09693053312</v>
      </c>
      <c r="K404" s="937" t="str">
        <f>IF(J404&lt;'PlayerGrades+'!$AD$21,"F-",IF(J404&lt;'PlayerGrades+'!$AD$20,"F",IF(J404&lt;'PlayerGrades+'!$AD$19,"F+",IF(J404&lt;'PlayerGrades+'!$AD$18,"E-",IF(J404&lt;'PlayerGrades+'!$AD$17,"E",IF(J404&lt;'PlayerGrades+'!$AD$16,"E+",IF(J404&lt;'PlayerGrades+'!$AD$15,"D-",IF(J404&lt;'PlayerGrades+'!$AD$14,"D",IF(J404&lt;'PlayerGrades+'!$AD$13,"D+",IF(J404&lt;'PlayerGrades+'!$AD$12,"C-",IF(J404&lt;'PlayerGrades+'!$AD$11,"C",IF(J404&lt;'PlayerGrades+'!$AD$10,"C+",IF(J404&lt;'PlayerGrades+'!$AD$9,"B-",IF(J404&lt;'PlayerGrades+'!$AD$8,"B",IF(J404&lt;'PlayerGrades+'!$AD$7,"B+",IF(J404&lt;'PlayerGrades+'!$AD$6,"A-",IF(J404&lt;'PlayerGrades+'!$AD$5,"A",IF(J404&lt;'PlayerGrades+'!$AD$4,"A+",IF(J404&lt;'PlayerGrades+'!$AD$3,"S-",IF(J404&lt;'PlayerGrades+'!$AD$2,"S","S+"))))))))))))))))))))</f>
        <v>S</v>
      </c>
      <c r="L404" s="677">
        <f t="shared" si="5"/>
        <v>0.2423263328</v>
      </c>
      <c r="M404" s="938" t="str">
        <f>IF(L404&lt;'PlayerGrades+'!$AE$21,"F-",IF(L404&lt;'PlayerGrades+'!$AE$20,"F",IF(L404&lt;'PlayerGrades+'!$AE$19,"F+",IF(L404&lt;'PlayerGrades+'!$AE$18,"E-",IF(L404&lt;'PlayerGrades+'!$AE$17,"E",IF(L404&lt;'PlayerGrades+'!$AE$16,"E+",IF(L404&lt;'PlayerGrades+'!$AE$15,"D-",IF(L404&lt;'PlayerGrades+'!$AE$14,"D",IF(L404&lt;'PlayerGrades+'!$AE$13,"D+",IF(L404&lt;'PlayerGrades+'!$AE$12,"C-",IF(L404&lt;'PlayerGrades+'!$AE$11,"C",IF(L404&lt;'PlayerGrades+'!$AE$10,"C+",IF(L404&lt;'PlayerGrades+'!$AE$9,"B-",IF(L404&lt;'PlayerGrades+'!$AE$8,"B",IF(L404&lt;'PlayerGrades+'!$AE$7,"B+",IF(L404&lt;'PlayerGrades+'!$AE$6,"A-",IF(L404&lt;'PlayerGrades+'!$AE$5,"A",IF(L404&lt;'PlayerGrades+'!$AE$4,"A+",IF(L404&lt;'PlayerGrades+'!$AE$3,"S-",IF(L404&lt;'PlayerGrades+'!$AE$2,"S","S+"))))))))))))))))))))</f>
        <v>F</v>
      </c>
      <c r="N404" s="937">
        <f t="shared" si="6"/>
        <v>0</v>
      </c>
      <c r="O404" s="937" t="str">
        <f>IF(N404&lt;'PlayerGrades+'!$AF$21,"F-",IF(N404&lt;'PlayerGrades+'!$AF$20,"F",IF(N404&lt;'PlayerGrades+'!$AF$19,"F+",IF(N404&lt;'PlayerGrades+'!$AF$18,"E-",IF(N404&lt;'PlayerGrades+'!$AF$17,"E",IF(N404&lt;'PlayerGrades+'!$AF$16,"E+",IF(N404&lt;'PlayerGrades+'!$AF$15,"D-",IF(N404&lt;'PlayerGrades+'!$AF$14,"D",IF(N404&lt;'PlayerGrades+'!$AF$13,"D+",IF(N404&lt;'PlayerGrades+'!$AF$12,"C-",IF(N404&lt;'PlayerGrades+'!$AF$11,"C",IF(N404&lt;'PlayerGrades+'!$AF$10,"C+",IF(N404&lt;'PlayerGrades+'!$AF$9,"B-",IF(N404&lt;'PlayerGrades+'!$AF$8,"B",IF(N404&lt;'PlayerGrades+'!$AF$7,"B+",IF(N404&lt;'PlayerGrades+'!$AF$6,"A-",IF(N404&lt;'PlayerGrades+'!$AF$5,"A",IF(N404&lt;'PlayerGrades+'!$AF$4,"A+",IF(N404&lt;'PlayerGrades+'!$AF$3,"S-",IF(N404&lt;'PlayerGrades+'!$AF$2,"S","S+"))))))))))))))))))))</f>
        <v>F-</v>
      </c>
      <c r="P404" s="937">
        <f t="shared" si="7"/>
        <v>0.09693053312</v>
      </c>
      <c r="Q404" s="937" t="str">
        <f>IF(P404&lt;'PlayerGrades+'!$AG$21,"F-",IF(P404&lt;'PlayerGrades+'!$AG$20,"F",IF(P404&lt;'PlayerGrades+'!$AG$19,"F+",IF(P404&lt;'PlayerGrades+'!$AG$18,"E-",IF(P404&lt;'PlayerGrades+'!$AG$17,"E",IF(P404&lt;'PlayerGrades+'!$AG$16,"E+",IF(P404&lt;'PlayerGrades+'!$AG$15,"D-",IF(P404&lt;'PlayerGrades+'!$AG$14,"D",IF(P404&lt;'PlayerGrades+'!$AG$13,"D+",IF(P404&lt;'PlayerGrades+'!$AG$12,"C-",IF(P404&lt;'PlayerGrades+'!$AG$11,"C",IF(P404&lt;'PlayerGrades+'!$AG$10,"C+",IF(P404&lt;'PlayerGrades+'!$AG$9,"B-",IF(P404&lt;'PlayerGrades+'!$AG$8,"B",IF(P404&lt;'PlayerGrades+'!$AG$7,"B+",IF(P404&lt;'PlayerGrades+'!$AG$6,"A-",IF(P404&lt;'PlayerGrades+'!$AG$5,"A",IF(P404&lt;'PlayerGrades+'!$AG$4,"A+",IF(P404&lt;'PlayerGrades+'!$AG$3,"S-",IF(P404&lt;'PlayerGrades+'!$AG$2,"S","S+"))))))))))))))))))))</f>
        <v>S+</v>
      </c>
      <c r="R404" s="937">
        <f t="shared" si="8"/>
        <v>0.5331179321</v>
      </c>
      <c r="S404" s="937" t="str">
        <f>IF(R404&lt;'PlayerGrades+'!$AH$21,"F-",IF(R404&lt;'PlayerGrades+'!$AH$20,"F",IF(R404&lt;'PlayerGrades+'!$AH$19,"F+",IF(R404&lt;'PlayerGrades+'!$AH$18,"E-",IF(R404&lt;'PlayerGrades+'!$AH$17,"E",IF(R404&lt;'PlayerGrades+'!$AH$16,"E+",IF(R404&lt;'PlayerGrades+'!$AH$15,"D-",IF(R404&lt;'PlayerGrades+'!$AH$14,"D",IF(R404&lt;'PlayerGrades+'!$AH$13,"D+",IF(R404&lt;'PlayerGrades+'!$AH$12,"C-",IF(R404&lt;'PlayerGrades+'!$AH$11,"C",IF(R404&lt;'PlayerGrades+'!$AH$10,"C+",IF(R404&lt;'PlayerGrades+'!$AH$9,"B-",IF(R404&lt;'PlayerGrades+'!$AH$8,"B",IF(R404&lt;'PlayerGrades+'!$AH$7,"B+",IF(R404&lt;'PlayerGrades+'!$AH$6,"A-",IF(R404&lt;'PlayerGrades+'!$AH$5,"A",IF(R404&lt;'PlayerGrades+'!$AH$4,"A+",IF(R404&lt;'PlayerGrades+'!$AH$3,"S-",IF(R404&lt;'PlayerGrades+'!$AH$2,"S","S+"))))))))))))))))))))</f>
        <v>C+</v>
      </c>
      <c r="T404" s="937">
        <f t="shared" si="9"/>
        <v>2.339256866</v>
      </c>
      <c r="U404" s="937" t="str">
        <f>IF(T404&lt;'PlayerGrades+'!$AI$21,"F-",IF(T404&lt;'PlayerGrades+'!$AI$20,"F",IF(T404&lt;'PlayerGrades+'!$AI$19,"F+",IF(T404&lt;'PlayerGrades+'!$AI$18,"E-",IF(T404&lt;'PlayerGrades+'!$AI$17,"E",IF(T404&lt;'PlayerGrades+'!$AI$16,"E+",IF(T404&lt;'PlayerGrades+'!$AI$15,"D-",IF(T404&lt;'PlayerGrades+'!$AI$14,"D",IF(T404&lt;'PlayerGrades+'!$AI$13,"D+",IF(T404&lt;'PlayerGrades+'!$AI$12,"C-",IF(T404&lt;'PlayerGrades+'!$AI$11,"C",IF(T404&lt;'PlayerGrades+'!$AI$10,"C+",IF(T404&lt;'PlayerGrades+'!$AI$9,"B-",IF(T404&lt;'PlayerGrades+'!$AI$8,"B",IF(T404&lt;'PlayerGrades+'!$AI$7,"B+",IF(T404&lt;'PlayerGrades+'!$AI$6,"A-",IF(T404&lt;'PlayerGrades+'!$AI$5,"A",IF(T404&lt;'PlayerGrades+'!$AI$4,"A+",IF(T404&lt;'PlayerGrades+'!$AI$3,"S-",IF(T404&lt;'PlayerGrades+'!$AI$2,"S","S+"))))))))))))))))))))</f>
        <v>S+</v>
      </c>
      <c r="V404" s="941">
        <v>1.0</v>
      </c>
      <c r="W404" s="941">
        <v>1.0</v>
      </c>
      <c r="X404" s="941">
        <v>0.0</v>
      </c>
      <c r="Y404" s="941">
        <v>0.0</v>
      </c>
      <c r="Z404" s="941">
        <v>0.0</v>
      </c>
      <c r="AA404" s="941">
        <v>61.0</v>
      </c>
      <c r="AB404" s="941">
        <v>53.0</v>
      </c>
      <c r="AC404" s="941">
        <v>8.0</v>
      </c>
      <c r="AD404" s="941">
        <v>4.0</v>
      </c>
      <c r="AE404" s="941">
        <v>5.0</v>
      </c>
      <c r="AF404" s="941">
        <v>0.0</v>
      </c>
      <c r="AG404" s="941">
        <v>989.0</v>
      </c>
      <c r="AH404" s="941">
        <v>1238.0</v>
      </c>
      <c r="AI404" s="941">
        <v>18.0</v>
      </c>
      <c r="AJ404" s="941">
        <v>13.0</v>
      </c>
      <c r="AK404" s="941">
        <v>0.0</v>
      </c>
      <c r="AL404" s="941">
        <v>2.0</v>
      </c>
      <c r="AM404" s="941">
        <v>0.0</v>
      </c>
      <c r="AN404" s="941">
        <v>0.0</v>
      </c>
      <c r="AO404" s="941">
        <v>0.0</v>
      </c>
      <c r="AP404" s="941">
        <v>2.0</v>
      </c>
      <c r="AQ404" s="941">
        <v>0.0</v>
      </c>
      <c r="AR404" s="941">
        <v>5.0</v>
      </c>
      <c r="AS404" s="941">
        <v>0.0</v>
      </c>
      <c r="AT404" s="941">
        <v>0.0</v>
      </c>
      <c r="AU404" s="941">
        <v>0.0</v>
      </c>
      <c r="AV404" s="941">
        <v>0.0</v>
      </c>
      <c r="AW404" s="941">
        <v>0.0</v>
      </c>
      <c r="AX404" s="941">
        <v>0.0</v>
      </c>
      <c r="AY404" s="941">
        <v>0.0</v>
      </c>
      <c r="AZ404" s="941">
        <v>0.0</v>
      </c>
      <c r="BA404" s="941">
        <v>0.0</v>
      </c>
      <c r="BB404" s="941">
        <v>4.0</v>
      </c>
      <c r="BC404" s="941">
        <v>0.0</v>
      </c>
      <c r="BD404" s="941">
        <v>7.0</v>
      </c>
      <c r="BE404" s="941">
        <v>7.0</v>
      </c>
      <c r="BF404" s="941">
        <v>2.0</v>
      </c>
      <c r="BG404" s="942">
        <v>1.0</v>
      </c>
    </row>
    <row r="405">
      <c r="A405" s="935" t="s">
        <v>151</v>
      </c>
      <c r="B405" s="16" t="str">
        <f>IF(C405&lt;'PlayerGrades+'!$Y$44,"F-",IF(C405&lt;'PlayerGrades+'!$Y$43,"F",IF(C405&lt;'PlayerGrades+'!$Y$42,"F+",IF(C405&lt;'PlayerGrades+'!$Y$41,"E-",IF(C405&lt;'PlayerGrades+'!$Y$40,"E",IF(C405&lt;'PlayerGrades+'!$Y$39,"E+",IF(C405&lt;'PlayerGrades+'!$Y$38,"D-",IF(C405&lt;'PlayerGrades+'!$Y$37,"D",IF(C405&lt;'PlayerGrades+'!$Y$36,"D+",IF(C405&lt;'PlayerGrades+'!$Y$35,"C-",IF(C405&lt;'PlayerGrades+'!$Y$34,"C",IF(C405&lt;'PlayerGrades+'!$Y$33,"C+",IF(C405&lt;'PlayerGrades+'!$Y$32,"B-",IF(C405&lt;'PlayerGrades+'!$Y$31,"B",IF(C405&lt;'PlayerGrades+'!$Y$30,"B+",IF(C405&lt;'PlayerGrades+'!$Y$29,"A-",IF(C405&lt;'PlayerGrades+'!$Y$28,"A",IF(C405&lt;'PlayerGrades+'!$Y$27,"A+",IF(C405&lt;'PlayerGrades+'!$Y$26,"S-",IF(C405&lt;'PlayerGrades+'!$Y$25,"S","S+"))))))))))))))))))))</f>
        <v>F-</v>
      </c>
      <c r="C405" s="936">
        <f>('PlayerGrades+'!$Y$47*(VLOOKUP(E405, 'PlayerGrades+'!$X$3:$Y$23, 2, FALSE)))+('PlayerGrades+'!$Y$48*(VLOOKUP(G405, 'PlayerGrades+'!$X$3:$Y$23, 2, FALSE)))+('PlayerGrades+'!$Y$49*(VLOOKUP(I405, 'PlayerGrades+'!$X$3:$Y$23, 2, FALSE)))+('PlayerGrades+'!$Y$50*(VLOOKUP(K405, 'PlayerGrades+'!$X$3:$Y$23, 2, FALSE)))+('PlayerGrades+'!$Y$51*(VLOOKUP(M405, 'PlayerGrades+'!$X$3:$Y$23, 2, FALSE)))+('PlayerGrades+'!$Y$52*(VLOOKUP(O405, 'PlayerGrades+'!$X$3:$Y$23, 2, FALSE)))+('PlayerGrades+'!$Y$53*(VLOOKUP(Q405, 'PlayerGrades+'!$X$3:$Y$23, 2, FALSE)))+('PlayerGrades+'!$Y$54*(VLOOKUP(S405, 'PlayerGrades+'!$X$3:$Y$23, 2, FALSE)))+('PlayerGrades+'!$Y$55*(VLOOKUP(U405, 'PlayerGrades+'!$X$3:$Y$23, 2, FALSE)))</f>
        <v>6.5</v>
      </c>
      <c r="D405" s="937">
        <f t="shared" si="1"/>
        <v>0</v>
      </c>
      <c r="E405" s="937" t="str">
        <f>IF(D405&lt;'PlayerGrades+'!$AA$21,"F-",IF(D405&lt;'PlayerGrades+'!$AA$20,"F",IF(D405&lt;'PlayerGrades+'!$AA$19,"F+",IF(D405&lt;'PlayerGrades+'!$AA$18,"E-",IF(D405&lt;'PlayerGrades+'!$AA$17,"E",IF(D405&lt;'PlayerGrades+'!$AA$16,"E+",IF(D405&lt;'PlayerGrades+'!$AA$15,"D-",IF(D405&lt;'PlayerGrades+'!$AA$14,"D",IF(D405&lt;'PlayerGrades+'!$AA$13,"D+",IF(D405&lt;'PlayerGrades+'!$AA$12,"C-",IF(D405&lt;'PlayerGrades+'!$AA$11,"C",IF(D405&lt;'PlayerGrades+'!$AA$10,"C+",IF(D405&lt;'PlayerGrades+'!$AA$9,"B-",IF(D405&lt;'PlayerGrades+'!$AA$8,"B",IF(D405&lt;'PlayerGrades+'!$AA$7,"B+",IF(D405&lt;'PlayerGrades+'!$AA$6,"A-",IF(D405&lt;'PlayerGrades+'!$AA$5,"A",IF(D405&lt;'PlayerGrades+'!$AA$4,"A+",IF(D405&lt;'PlayerGrades+'!$AA$3,"S-",IF(D405&lt;'PlayerGrades+'!$AA$2,"S","S+"))))))))))))))))))))</f>
        <v>F-</v>
      </c>
      <c r="F405" s="937">
        <f t="shared" si="2"/>
        <v>-0.9208400646</v>
      </c>
      <c r="G405" s="937" t="str">
        <f>IF(F405&lt;'PlayerGrades+'!$AB$21,"F-",IF(F405&lt;'PlayerGrades+'!$AB$20,"F",IF(F405&lt;'PlayerGrades+'!$AB$19,"F+",IF(F405&lt;'PlayerGrades+'!$AB$18,"E-",IF(F405&lt;'PlayerGrades+'!$AB$17,"E",IF(F405&lt;'PlayerGrades+'!$AB$16,"E+",IF(F405&lt;'PlayerGrades+'!$AB$15,"D-",IF(F405&lt;'PlayerGrades+'!$AB$14,"D",IF(F405&lt;'PlayerGrades+'!$AB$13,"D+",IF(F405&lt;'PlayerGrades+'!$AB$12,"C-",IF(F405&lt;'PlayerGrades+'!$AB$11,"C",IF(F405&lt;'PlayerGrades+'!$AB$10,"C+",IF(F405&lt;'PlayerGrades+'!$AB$9,"B-",IF(F405&lt;'PlayerGrades+'!$AB$8,"B",IF(F405&lt;'PlayerGrades+'!$AB$7,"B+",IF(F405&lt;'PlayerGrades+'!$AB$6,"A-",IF(F405&lt;'PlayerGrades+'!$AB$5,"A",IF(F405&lt;'PlayerGrades+'!$AB$4,"A+",IF(F405&lt;'PlayerGrades+'!$AB$3,"S-",IF(F405&lt;'PlayerGrades+'!$AB$2,"S","S+"))))))))))))))))))))</f>
        <v>E-</v>
      </c>
      <c r="H405" s="937">
        <f t="shared" si="3"/>
        <v>0</v>
      </c>
      <c r="I405" s="937" t="str">
        <f>IF(H405&lt;'PlayerGrades+'!$AC$21,"F-",IF(H405&lt;'PlayerGrades+'!$AC$20,"F",IF(H405&lt;'PlayerGrades+'!$AC$19,"F+",IF(H405&lt;'PlayerGrades+'!$AC$18,"E-",IF(H405&lt;'PlayerGrades+'!$AC$17,"E",IF(H405&lt;'PlayerGrades+'!$AC$16,"E+",IF(H405&lt;'PlayerGrades+'!$AC$15,"D-",IF(H405&lt;'PlayerGrades+'!$AC$14,"D",IF(H405&lt;'PlayerGrades+'!$AC$13,"D+",IF(H405&lt;'PlayerGrades+'!$AC$12,"C-",IF(H405&lt;'PlayerGrades+'!$AC$11,"C",IF(H405&lt;'PlayerGrades+'!$AC$10,"C+",IF(H405&lt;'PlayerGrades+'!$AC$9,"B-",IF(H405&lt;'PlayerGrades+'!$AC$8,"B",IF(H405&lt;'PlayerGrades+'!$AC$7,"B+",IF(H405&lt;'PlayerGrades+'!$AC$6,"A-",IF(H405&lt;'PlayerGrades+'!$AC$5,"A",IF(H405&lt;'PlayerGrades+'!$AC$4,"A+",IF(H405&lt;'PlayerGrades+'!$AC$3,"S-",IF(H405&lt;'PlayerGrades+'!$AC$2,"S","S+"))))))))))))))))))))</f>
        <v>F-</v>
      </c>
      <c r="J405" s="937">
        <f t="shared" si="4"/>
        <v>0</v>
      </c>
      <c r="K405" s="937" t="str">
        <f>IF(J405&lt;'PlayerGrades+'!$AD$21,"F-",IF(J405&lt;'PlayerGrades+'!$AD$20,"F",IF(J405&lt;'PlayerGrades+'!$AD$19,"F+",IF(J405&lt;'PlayerGrades+'!$AD$18,"E-",IF(J405&lt;'PlayerGrades+'!$AD$17,"E",IF(J405&lt;'PlayerGrades+'!$AD$16,"E+",IF(J405&lt;'PlayerGrades+'!$AD$15,"D-",IF(J405&lt;'PlayerGrades+'!$AD$14,"D",IF(J405&lt;'PlayerGrades+'!$AD$13,"D+",IF(J405&lt;'PlayerGrades+'!$AD$12,"C-",IF(J405&lt;'PlayerGrades+'!$AD$11,"C",IF(J405&lt;'PlayerGrades+'!$AD$10,"C+",IF(J405&lt;'PlayerGrades+'!$AD$9,"B-",IF(J405&lt;'PlayerGrades+'!$AD$8,"B",IF(J405&lt;'PlayerGrades+'!$AD$7,"B+",IF(J405&lt;'PlayerGrades+'!$AD$6,"A-",IF(J405&lt;'PlayerGrades+'!$AD$5,"A",IF(J405&lt;'PlayerGrades+'!$AD$4,"A+",IF(J405&lt;'PlayerGrades+'!$AD$3,"S-",IF(J405&lt;'PlayerGrades+'!$AD$2,"S","S+"))))))))))))))))))))</f>
        <v>F-</v>
      </c>
      <c r="L405" s="677">
        <f t="shared" si="5"/>
        <v>0.2423263328</v>
      </c>
      <c r="M405" s="938" t="str">
        <f>IF(L405&lt;'PlayerGrades+'!$AE$21,"F-",IF(L405&lt;'PlayerGrades+'!$AE$20,"F",IF(L405&lt;'PlayerGrades+'!$AE$19,"F+",IF(L405&lt;'PlayerGrades+'!$AE$18,"E-",IF(L405&lt;'PlayerGrades+'!$AE$17,"E",IF(L405&lt;'PlayerGrades+'!$AE$16,"E+",IF(L405&lt;'PlayerGrades+'!$AE$15,"D-",IF(L405&lt;'PlayerGrades+'!$AE$14,"D",IF(L405&lt;'PlayerGrades+'!$AE$13,"D+",IF(L405&lt;'PlayerGrades+'!$AE$12,"C-",IF(L405&lt;'PlayerGrades+'!$AE$11,"C",IF(L405&lt;'PlayerGrades+'!$AE$10,"C+",IF(L405&lt;'PlayerGrades+'!$AE$9,"B-",IF(L405&lt;'PlayerGrades+'!$AE$8,"B",IF(L405&lt;'PlayerGrades+'!$AE$7,"B+",IF(L405&lt;'PlayerGrades+'!$AE$6,"A-",IF(L405&lt;'PlayerGrades+'!$AE$5,"A",IF(L405&lt;'PlayerGrades+'!$AE$4,"A+",IF(L405&lt;'PlayerGrades+'!$AE$3,"S-",IF(L405&lt;'PlayerGrades+'!$AE$2,"S","S+"))))))))))))))))))))</f>
        <v>F</v>
      </c>
      <c r="N405" s="937">
        <f t="shared" si="6"/>
        <v>0.04846526656</v>
      </c>
      <c r="O405" s="937" t="str">
        <f>IF(N405&lt;'PlayerGrades+'!$AF$21,"F-",IF(N405&lt;'PlayerGrades+'!$AF$20,"F",IF(N405&lt;'PlayerGrades+'!$AF$19,"F+",IF(N405&lt;'PlayerGrades+'!$AF$18,"E-",IF(N405&lt;'PlayerGrades+'!$AF$17,"E",IF(N405&lt;'PlayerGrades+'!$AF$16,"E+",IF(N405&lt;'PlayerGrades+'!$AF$15,"D-",IF(N405&lt;'PlayerGrades+'!$AF$14,"D",IF(N405&lt;'PlayerGrades+'!$AF$13,"D+",IF(N405&lt;'PlayerGrades+'!$AF$12,"C-",IF(N405&lt;'PlayerGrades+'!$AF$11,"C",IF(N405&lt;'PlayerGrades+'!$AF$10,"C+",IF(N405&lt;'PlayerGrades+'!$AF$9,"B-",IF(N405&lt;'PlayerGrades+'!$AF$8,"B",IF(N405&lt;'PlayerGrades+'!$AF$7,"B+",IF(N405&lt;'PlayerGrades+'!$AF$6,"A-",IF(N405&lt;'PlayerGrades+'!$AF$5,"A",IF(N405&lt;'PlayerGrades+'!$AF$4,"A+",IF(N405&lt;'PlayerGrades+'!$AF$3,"S-",IF(N405&lt;'PlayerGrades+'!$AF$2,"S","S+"))))))))))))))))))))</f>
        <v>D-</v>
      </c>
      <c r="P405" s="937">
        <f t="shared" si="7"/>
        <v>0</v>
      </c>
      <c r="Q405" s="937" t="str">
        <f>IF(P405&lt;'PlayerGrades+'!$AG$21,"F-",IF(P405&lt;'PlayerGrades+'!$AG$20,"F",IF(P405&lt;'PlayerGrades+'!$AG$19,"F+",IF(P405&lt;'PlayerGrades+'!$AG$18,"E-",IF(P405&lt;'PlayerGrades+'!$AG$17,"E",IF(P405&lt;'PlayerGrades+'!$AG$16,"E+",IF(P405&lt;'PlayerGrades+'!$AG$15,"D-",IF(P405&lt;'PlayerGrades+'!$AG$14,"D",IF(P405&lt;'PlayerGrades+'!$AG$13,"D+",IF(P405&lt;'PlayerGrades+'!$AG$12,"C-",IF(P405&lt;'PlayerGrades+'!$AG$11,"C",IF(P405&lt;'PlayerGrades+'!$AG$10,"C+",IF(P405&lt;'PlayerGrades+'!$AG$9,"B-",IF(P405&lt;'PlayerGrades+'!$AG$8,"B",IF(P405&lt;'PlayerGrades+'!$AG$7,"B+",IF(P405&lt;'PlayerGrades+'!$AG$6,"A-",IF(P405&lt;'PlayerGrades+'!$AG$5,"A",IF(P405&lt;'PlayerGrades+'!$AG$4,"A+",IF(P405&lt;'PlayerGrades+'!$AG$3,"S-",IF(P405&lt;'PlayerGrades+'!$AG$2,"S","S+"))))))))))))))))))))</f>
        <v>F</v>
      </c>
      <c r="R405" s="937">
        <f t="shared" si="8"/>
        <v>0.3877221325</v>
      </c>
      <c r="S405" s="937" t="str">
        <f>IF(R405&lt;'PlayerGrades+'!$AH$21,"F-",IF(R405&lt;'PlayerGrades+'!$AH$20,"F",IF(R405&lt;'PlayerGrades+'!$AH$19,"F+",IF(R405&lt;'PlayerGrades+'!$AH$18,"E-",IF(R405&lt;'PlayerGrades+'!$AH$17,"E",IF(R405&lt;'PlayerGrades+'!$AH$16,"E+",IF(R405&lt;'PlayerGrades+'!$AH$15,"D-",IF(R405&lt;'PlayerGrades+'!$AH$14,"D",IF(R405&lt;'PlayerGrades+'!$AH$13,"D+",IF(R405&lt;'PlayerGrades+'!$AH$12,"C-",IF(R405&lt;'PlayerGrades+'!$AH$11,"C",IF(R405&lt;'PlayerGrades+'!$AH$10,"C+",IF(R405&lt;'PlayerGrades+'!$AH$9,"B-",IF(R405&lt;'PlayerGrades+'!$AH$8,"B",IF(R405&lt;'PlayerGrades+'!$AH$7,"B+",IF(R405&lt;'PlayerGrades+'!$AH$6,"A-",IF(R405&lt;'PlayerGrades+'!$AH$5,"A",IF(R405&lt;'PlayerGrades+'!$AH$4,"A+",IF(R405&lt;'PlayerGrades+'!$AH$3,"S-",IF(R405&lt;'PlayerGrades+'!$AH$2,"S","S+"))))))))))))))))))))</f>
        <v>F</v>
      </c>
      <c r="T405" s="937">
        <f t="shared" si="9"/>
        <v>0.2907915994</v>
      </c>
      <c r="U405" s="937" t="str">
        <f>IF(T405&lt;'PlayerGrades+'!$AI$21,"F-",IF(T405&lt;'PlayerGrades+'!$AI$20,"F",IF(T405&lt;'PlayerGrades+'!$AI$19,"F+",IF(T405&lt;'PlayerGrades+'!$AI$18,"E-",IF(T405&lt;'PlayerGrades+'!$AI$17,"E",IF(T405&lt;'PlayerGrades+'!$AI$16,"E+",IF(T405&lt;'PlayerGrades+'!$AI$15,"D-",IF(T405&lt;'PlayerGrades+'!$AI$14,"D",IF(T405&lt;'PlayerGrades+'!$AI$13,"D+",IF(T405&lt;'PlayerGrades+'!$AI$12,"C-",IF(T405&lt;'PlayerGrades+'!$AI$11,"C",IF(T405&lt;'PlayerGrades+'!$AI$10,"C+",IF(T405&lt;'PlayerGrades+'!$AI$9,"B-",IF(T405&lt;'PlayerGrades+'!$AI$8,"B",IF(T405&lt;'PlayerGrades+'!$AI$7,"B+",IF(T405&lt;'PlayerGrades+'!$AI$6,"A-",IF(T405&lt;'PlayerGrades+'!$AI$5,"A",IF(T405&lt;'PlayerGrades+'!$AI$4,"A+",IF(T405&lt;'PlayerGrades+'!$AI$3,"S-",IF(T405&lt;'PlayerGrades+'!$AI$2,"S","S+"))))))))))))))))))))</f>
        <v>F-</v>
      </c>
      <c r="V405" s="941">
        <v>1.0</v>
      </c>
      <c r="W405" s="941">
        <v>1.0</v>
      </c>
      <c r="X405" s="941">
        <v>0.0</v>
      </c>
      <c r="Y405" s="941">
        <v>0.0</v>
      </c>
      <c r="Z405" s="941">
        <v>0.0</v>
      </c>
      <c r="AA405" s="941">
        <v>49.0</v>
      </c>
      <c r="AB405" s="941">
        <v>68.0</v>
      </c>
      <c r="AC405" s="941">
        <v>-19.0</v>
      </c>
      <c r="AD405" s="941">
        <v>6.0</v>
      </c>
      <c r="AE405" s="941">
        <v>4.0</v>
      </c>
      <c r="AF405" s="941">
        <v>2.0</v>
      </c>
      <c r="AG405" s="941">
        <v>942.0</v>
      </c>
      <c r="AH405" s="941">
        <v>1238.0</v>
      </c>
      <c r="AI405" s="941">
        <v>13.0</v>
      </c>
      <c r="AJ405" s="941">
        <v>0.0</v>
      </c>
      <c r="AK405" s="941">
        <v>0.0</v>
      </c>
      <c r="AL405" s="941">
        <v>0.0</v>
      </c>
      <c r="AM405" s="941">
        <v>0.0</v>
      </c>
      <c r="AN405" s="941">
        <v>0.0</v>
      </c>
      <c r="AO405" s="941">
        <v>0.0</v>
      </c>
      <c r="AP405" s="941">
        <v>0.0</v>
      </c>
      <c r="AQ405" s="941">
        <v>0.0</v>
      </c>
      <c r="AR405" s="941">
        <v>5.0</v>
      </c>
      <c r="AS405" s="941">
        <v>1.0</v>
      </c>
      <c r="AT405" s="941">
        <v>1.0</v>
      </c>
      <c r="AU405" s="941">
        <v>0.0</v>
      </c>
      <c r="AV405" s="941">
        <v>0.0</v>
      </c>
      <c r="AW405" s="941">
        <v>0.0</v>
      </c>
      <c r="AX405" s="941">
        <v>0.0</v>
      </c>
      <c r="AY405" s="941">
        <v>0.0</v>
      </c>
      <c r="AZ405" s="941">
        <v>0.0</v>
      </c>
      <c r="BA405" s="941">
        <v>0.0</v>
      </c>
      <c r="BB405" s="941">
        <v>0.0</v>
      </c>
      <c r="BC405" s="941">
        <v>0.0</v>
      </c>
      <c r="BD405" s="941">
        <v>2.0</v>
      </c>
      <c r="BE405" s="941">
        <v>6.0</v>
      </c>
      <c r="BF405" s="941">
        <v>0.0</v>
      </c>
      <c r="BG405" s="942">
        <v>1.0</v>
      </c>
    </row>
    <row r="406">
      <c r="A406" s="935" t="s">
        <v>121</v>
      </c>
      <c r="B406" s="16" t="str">
        <f>IF(C406&lt;'PlayerGrades+'!$Y$44,"F-",IF(C406&lt;'PlayerGrades+'!$Y$43,"F",IF(C406&lt;'PlayerGrades+'!$Y$42,"F+",IF(C406&lt;'PlayerGrades+'!$Y$41,"E-",IF(C406&lt;'PlayerGrades+'!$Y$40,"E",IF(C406&lt;'PlayerGrades+'!$Y$39,"E+",IF(C406&lt;'PlayerGrades+'!$Y$38,"D-",IF(C406&lt;'PlayerGrades+'!$Y$37,"D",IF(C406&lt;'PlayerGrades+'!$Y$36,"D+",IF(C406&lt;'PlayerGrades+'!$Y$35,"C-",IF(C406&lt;'PlayerGrades+'!$Y$34,"C",IF(C406&lt;'PlayerGrades+'!$Y$33,"C+",IF(C406&lt;'PlayerGrades+'!$Y$32,"B-",IF(C406&lt;'PlayerGrades+'!$Y$31,"B",IF(C406&lt;'PlayerGrades+'!$Y$30,"B+",IF(C406&lt;'PlayerGrades+'!$Y$29,"A-",IF(C406&lt;'PlayerGrades+'!$Y$28,"A",IF(C406&lt;'PlayerGrades+'!$Y$27,"A+",IF(C406&lt;'PlayerGrades+'!$Y$26,"S-",IF(C406&lt;'PlayerGrades+'!$Y$25,"S","S+"))))))))))))))))))))</f>
        <v>B</v>
      </c>
      <c r="C406" s="936">
        <f>('PlayerGrades+'!$Y$47*(VLOOKUP(E406, 'PlayerGrades+'!$X$3:$Y$23, 2, FALSE)))+('PlayerGrades+'!$Y$48*(VLOOKUP(G406, 'PlayerGrades+'!$X$3:$Y$23, 2, FALSE)))+('PlayerGrades+'!$Y$49*(VLOOKUP(I406, 'PlayerGrades+'!$X$3:$Y$23, 2, FALSE)))+('PlayerGrades+'!$Y$50*(VLOOKUP(K406, 'PlayerGrades+'!$X$3:$Y$23, 2, FALSE)))+('PlayerGrades+'!$Y$51*(VLOOKUP(M406, 'PlayerGrades+'!$X$3:$Y$23, 2, FALSE)))+('PlayerGrades+'!$Y$52*(VLOOKUP(O406, 'PlayerGrades+'!$X$3:$Y$23, 2, FALSE)))+('PlayerGrades+'!$Y$53*(VLOOKUP(Q406, 'PlayerGrades+'!$X$3:$Y$23, 2, FALSE)))+('PlayerGrades+'!$Y$54*(VLOOKUP(S406, 'PlayerGrades+'!$X$3:$Y$23, 2, FALSE)))+('PlayerGrades+'!$Y$55*(VLOOKUP(U406, 'PlayerGrades+'!$X$3:$Y$23, 2, FALSE)))</f>
        <v>23.45</v>
      </c>
      <c r="D406" s="937">
        <f t="shared" si="1"/>
        <v>0.09693053312</v>
      </c>
      <c r="E406" s="937" t="str">
        <f>IF(D406&lt;'PlayerGrades+'!$AA$21,"F-",IF(D406&lt;'PlayerGrades+'!$AA$20,"F",IF(D406&lt;'PlayerGrades+'!$AA$19,"F+",IF(D406&lt;'PlayerGrades+'!$AA$18,"E-",IF(D406&lt;'PlayerGrades+'!$AA$17,"E",IF(D406&lt;'PlayerGrades+'!$AA$16,"E+",IF(D406&lt;'PlayerGrades+'!$AA$15,"D-",IF(D406&lt;'PlayerGrades+'!$AA$14,"D",IF(D406&lt;'PlayerGrades+'!$AA$13,"D+",IF(D406&lt;'PlayerGrades+'!$AA$12,"C-",IF(D406&lt;'PlayerGrades+'!$AA$11,"C",IF(D406&lt;'PlayerGrades+'!$AA$10,"C+",IF(D406&lt;'PlayerGrades+'!$AA$9,"B-",IF(D406&lt;'PlayerGrades+'!$AA$8,"B",IF(D406&lt;'PlayerGrades+'!$AA$7,"B+",IF(D406&lt;'PlayerGrades+'!$AA$6,"A-",IF(D406&lt;'PlayerGrades+'!$AA$5,"A",IF(D406&lt;'PlayerGrades+'!$AA$4,"A+",IF(D406&lt;'PlayerGrades+'!$AA$3,"S-",IF(D406&lt;'PlayerGrades+'!$AA$2,"S","S+"))))))))))))))))))))</f>
        <v>B</v>
      </c>
      <c r="F406" s="937">
        <f t="shared" si="2"/>
        <v>0.1938610662</v>
      </c>
      <c r="G406" s="937" t="str">
        <f>IF(F406&lt;'PlayerGrades+'!$AB$21,"F-",IF(F406&lt;'PlayerGrades+'!$AB$20,"F",IF(F406&lt;'PlayerGrades+'!$AB$19,"F+",IF(F406&lt;'PlayerGrades+'!$AB$18,"E-",IF(F406&lt;'PlayerGrades+'!$AB$17,"E",IF(F406&lt;'PlayerGrades+'!$AB$16,"E+",IF(F406&lt;'PlayerGrades+'!$AB$15,"D-",IF(F406&lt;'PlayerGrades+'!$AB$14,"D",IF(F406&lt;'PlayerGrades+'!$AB$13,"D+",IF(F406&lt;'PlayerGrades+'!$AB$12,"C-",IF(F406&lt;'PlayerGrades+'!$AB$11,"C",IF(F406&lt;'PlayerGrades+'!$AB$10,"C+",IF(F406&lt;'PlayerGrades+'!$AB$9,"B-",IF(F406&lt;'PlayerGrades+'!$AB$8,"B",IF(F406&lt;'PlayerGrades+'!$AB$7,"B+",IF(F406&lt;'PlayerGrades+'!$AB$6,"A-",IF(F406&lt;'PlayerGrades+'!$AB$5,"A",IF(F406&lt;'PlayerGrades+'!$AB$4,"A+",IF(F406&lt;'PlayerGrades+'!$AB$3,"S-",IF(F406&lt;'PlayerGrades+'!$AB$2,"S","S+"))))))))))))))))))))</f>
        <v>B+</v>
      </c>
      <c r="H406" s="937">
        <f t="shared" si="3"/>
        <v>0.09693053312</v>
      </c>
      <c r="I406" s="937" t="str">
        <f>IF(H406&lt;'PlayerGrades+'!$AC$21,"F-",IF(H406&lt;'PlayerGrades+'!$AC$20,"F",IF(H406&lt;'PlayerGrades+'!$AC$19,"F+",IF(H406&lt;'PlayerGrades+'!$AC$18,"E-",IF(H406&lt;'PlayerGrades+'!$AC$17,"E",IF(H406&lt;'PlayerGrades+'!$AC$16,"E+",IF(H406&lt;'PlayerGrades+'!$AC$15,"D-",IF(H406&lt;'PlayerGrades+'!$AC$14,"D",IF(H406&lt;'PlayerGrades+'!$AC$13,"D+",IF(H406&lt;'PlayerGrades+'!$AC$12,"C-",IF(H406&lt;'PlayerGrades+'!$AC$11,"C",IF(H406&lt;'PlayerGrades+'!$AC$10,"C+",IF(H406&lt;'PlayerGrades+'!$AC$9,"B-",IF(H406&lt;'PlayerGrades+'!$AC$8,"B",IF(H406&lt;'PlayerGrades+'!$AC$7,"B+",IF(H406&lt;'PlayerGrades+'!$AC$6,"A-",IF(H406&lt;'PlayerGrades+'!$AC$5,"A",IF(H406&lt;'PlayerGrades+'!$AC$4,"A+",IF(H406&lt;'PlayerGrades+'!$AC$3,"S-",IF(H406&lt;'PlayerGrades+'!$AC$2,"S","S+"))))))))))))))))))))</f>
        <v>C-</v>
      </c>
      <c r="J406" s="937">
        <f t="shared" si="4"/>
        <v>0</v>
      </c>
      <c r="K406" s="937" t="str">
        <f>IF(J406&lt;'PlayerGrades+'!$AD$21,"F-",IF(J406&lt;'PlayerGrades+'!$AD$20,"F",IF(J406&lt;'PlayerGrades+'!$AD$19,"F+",IF(J406&lt;'PlayerGrades+'!$AD$18,"E-",IF(J406&lt;'PlayerGrades+'!$AD$17,"E",IF(J406&lt;'PlayerGrades+'!$AD$16,"E+",IF(J406&lt;'PlayerGrades+'!$AD$15,"D-",IF(J406&lt;'PlayerGrades+'!$AD$14,"D",IF(J406&lt;'PlayerGrades+'!$AD$13,"D+",IF(J406&lt;'PlayerGrades+'!$AD$12,"C-",IF(J406&lt;'PlayerGrades+'!$AD$11,"C",IF(J406&lt;'PlayerGrades+'!$AD$10,"C+",IF(J406&lt;'PlayerGrades+'!$AD$9,"B-",IF(J406&lt;'PlayerGrades+'!$AD$8,"B",IF(J406&lt;'PlayerGrades+'!$AD$7,"B+",IF(J406&lt;'PlayerGrades+'!$AD$6,"A-",IF(J406&lt;'PlayerGrades+'!$AD$5,"A",IF(J406&lt;'PlayerGrades+'!$AD$4,"A+",IF(J406&lt;'PlayerGrades+'!$AD$3,"S-",IF(J406&lt;'PlayerGrades+'!$AD$2,"S","S+"))))))))))))))))))))</f>
        <v>F-</v>
      </c>
      <c r="L406" s="677">
        <f t="shared" si="5"/>
        <v>0.4846526656</v>
      </c>
      <c r="M406" s="938" t="str">
        <f>IF(L406&lt;'PlayerGrades+'!$AE$21,"F-",IF(L406&lt;'PlayerGrades+'!$AE$20,"F",IF(L406&lt;'PlayerGrades+'!$AE$19,"F+",IF(L406&lt;'PlayerGrades+'!$AE$18,"E-",IF(L406&lt;'PlayerGrades+'!$AE$17,"E",IF(L406&lt;'PlayerGrades+'!$AE$16,"E+",IF(L406&lt;'PlayerGrades+'!$AE$15,"D-",IF(L406&lt;'PlayerGrades+'!$AE$14,"D",IF(L406&lt;'PlayerGrades+'!$AE$13,"D+",IF(L406&lt;'PlayerGrades+'!$AE$12,"C-",IF(L406&lt;'PlayerGrades+'!$AE$11,"C",IF(L406&lt;'PlayerGrades+'!$AE$10,"C+",IF(L406&lt;'PlayerGrades+'!$AE$9,"B-",IF(L406&lt;'PlayerGrades+'!$AE$8,"B",IF(L406&lt;'PlayerGrades+'!$AE$7,"B+",IF(L406&lt;'PlayerGrades+'!$AE$6,"A-",IF(L406&lt;'PlayerGrades+'!$AE$5,"A",IF(L406&lt;'PlayerGrades+'!$AE$4,"A+",IF(L406&lt;'PlayerGrades+'!$AE$3,"S-",IF(L406&lt;'PlayerGrades+'!$AE$2,"S","S+"))))))))))))))))))))</f>
        <v>B+</v>
      </c>
      <c r="N406" s="937">
        <f t="shared" si="6"/>
        <v>0.09693053312</v>
      </c>
      <c r="O406" s="937" t="str">
        <f>IF(N406&lt;'PlayerGrades+'!$AF$21,"F-",IF(N406&lt;'PlayerGrades+'!$AF$20,"F",IF(N406&lt;'PlayerGrades+'!$AF$19,"F+",IF(N406&lt;'PlayerGrades+'!$AF$18,"E-",IF(N406&lt;'PlayerGrades+'!$AF$17,"E",IF(N406&lt;'PlayerGrades+'!$AF$16,"E+",IF(N406&lt;'PlayerGrades+'!$AF$15,"D-",IF(N406&lt;'PlayerGrades+'!$AF$14,"D",IF(N406&lt;'PlayerGrades+'!$AF$13,"D+",IF(N406&lt;'PlayerGrades+'!$AF$12,"C-",IF(N406&lt;'PlayerGrades+'!$AF$11,"C",IF(N406&lt;'PlayerGrades+'!$AF$10,"C+",IF(N406&lt;'PlayerGrades+'!$AF$9,"B-",IF(N406&lt;'PlayerGrades+'!$AF$8,"B",IF(N406&lt;'PlayerGrades+'!$AF$7,"B+",IF(N406&lt;'PlayerGrades+'!$AF$6,"A-",IF(N406&lt;'PlayerGrades+'!$AF$5,"A",IF(N406&lt;'PlayerGrades+'!$AF$4,"A+",IF(N406&lt;'PlayerGrades+'!$AF$3,"S-",IF(N406&lt;'PlayerGrades+'!$AF$2,"S","S+"))))))))))))))))))))</f>
        <v>A-</v>
      </c>
      <c r="P406" s="937">
        <f t="shared" si="7"/>
        <v>0</v>
      </c>
      <c r="Q406" s="937" t="str">
        <f>IF(P406&lt;'PlayerGrades+'!$AG$21,"F-",IF(P406&lt;'PlayerGrades+'!$AG$20,"F",IF(P406&lt;'PlayerGrades+'!$AG$19,"F+",IF(P406&lt;'PlayerGrades+'!$AG$18,"E-",IF(P406&lt;'PlayerGrades+'!$AG$17,"E",IF(P406&lt;'PlayerGrades+'!$AG$16,"E+",IF(P406&lt;'PlayerGrades+'!$AG$15,"D-",IF(P406&lt;'PlayerGrades+'!$AG$14,"D",IF(P406&lt;'PlayerGrades+'!$AG$13,"D+",IF(P406&lt;'PlayerGrades+'!$AG$12,"C-",IF(P406&lt;'PlayerGrades+'!$AG$11,"C",IF(P406&lt;'PlayerGrades+'!$AG$10,"C+",IF(P406&lt;'PlayerGrades+'!$AG$9,"B-",IF(P406&lt;'PlayerGrades+'!$AG$8,"B",IF(P406&lt;'PlayerGrades+'!$AG$7,"B+",IF(P406&lt;'PlayerGrades+'!$AG$6,"A-",IF(P406&lt;'PlayerGrades+'!$AG$5,"A",IF(P406&lt;'PlayerGrades+'!$AG$4,"A+",IF(P406&lt;'PlayerGrades+'!$AG$3,"S-",IF(P406&lt;'PlayerGrades+'!$AG$2,"S","S+"))))))))))))))))))))</f>
        <v>F</v>
      </c>
      <c r="R406" s="937">
        <f t="shared" si="8"/>
        <v>0.7269789984</v>
      </c>
      <c r="S406" s="937" t="str">
        <f>IF(R406&lt;'PlayerGrades+'!$AH$21,"F-",IF(R406&lt;'PlayerGrades+'!$AH$20,"F",IF(R406&lt;'PlayerGrades+'!$AH$19,"F+",IF(R406&lt;'PlayerGrades+'!$AH$18,"E-",IF(R406&lt;'PlayerGrades+'!$AH$17,"E",IF(R406&lt;'PlayerGrades+'!$AH$16,"E+",IF(R406&lt;'PlayerGrades+'!$AH$15,"D-",IF(R406&lt;'PlayerGrades+'!$AH$14,"D",IF(R406&lt;'PlayerGrades+'!$AH$13,"D+",IF(R406&lt;'PlayerGrades+'!$AH$12,"C-",IF(R406&lt;'PlayerGrades+'!$AH$11,"C",IF(R406&lt;'PlayerGrades+'!$AH$10,"C+",IF(R406&lt;'PlayerGrades+'!$AH$9,"B-",IF(R406&lt;'PlayerGrades+'!$AH$8,"B",IF(R406&lt;'PlayerGrades+'!$AH$7,"B+",IF(R406&lt;'PlayerGrades+'!$AH$6,"A-",IF(R406&lt;'PlayerGrades+'!$AH$5,"A",IF(R406&lt;'PlayerGrades+'!$AH$4,"A+",IF(R406&lt;'PlayerGrades+'!$AH$3,"S-",IF(R406&lt;'PlayerGrades+'!$AH$2,"S","S+"))))))))))))))))))))</f>
        <v>S</v>
      </c>
      <c r="T406" s="937">
        <f t="shared" si="9"/>
        <v>0.2423263328</v>
      </c>
      <c r="U406" s="937" t="str">
        <f>IF(T406&lt;'PlayerGrades+'!$AI$21,"F-",IF(T406&lt;'PlayerGrades+'!$AI$20,"F",IF(T406&lt;'PlayerGrades+'!$AI$19,"F+",IF(T406&lt;'PlayerGrades+'!$AI$18,"E-",IF(T406&lt;'PlayerGrades+'!$AI$17,"E",IF(T406&lt;'PlayerGrades+'!$AI$16,"E+",IF(T406&lt;'PlayerGrades+'!$AI$15,"D-",IF(T406&lt;'PlayerGrades+'!$AI$14,"D",IF(T406&lt;'PlayerGrades+'!$AI$13,"D+",IF(T406&lt;'PlayerGrades+'!$AI$12,"C-",IF(T406&lt;'PlayerGrades+'!$AI$11,"C",IF(T406&lt;'PlayerGrades+'!$AI$10,"C+",IF(T406&lt;'PlayerGrades+'!$AI$9,"B-",IF(T406&lt;'PlayerGrades+'!$AI$8,"B",IF(T406&lt;'PlayerGrades+'!$AI$7,"B+",IF(T406&lt;'PlayerGrades+'!$AI$6,"A-",IF(T406&lt;'PlayerGrades+'!$AI$5,"A",IF(T406&lt;'PlayerGrades+'!$AI$4,"A+",IF(T406&lt;'PlayerGrades+'!$AI$3,"S-",IF(T406&lt;'PlayerGrades+'!$AI$2,"S","S+"))))))))))))))))))))</f>
        <v>F-</v>
      </c>
      <c r="V406" s="941">
        <v>1.0</v>
      </c>
      <c r="W406" s="941">
        <v>0.0</v>
      </c>
      <c r="X406" s="941">
        <v>1.0</v>
      </c>
      <c r="Y406" s="941">
        <v>1.0</v>
      </c>
      <c r="Z406" s="941">
        <v>1.0</v>
      </c>
      <c r="AA406" s="941">
        <v>67.0</v>
      </c>
      <c r="AB406" s="941">
        <v>63.0</v>
      </c>
      <c r="AC406" s="941">
        <v>4.0</v>
      </c>
      <c r="AD406" s="941">
        <v>6.0</v>
      </c>
      <c r="AE406" s="941">
        <v>4.0</v>
      </c>
      <c r="AF406" s="941">
        <v>4.0</v>
      </c>
      <c r="AG406" s="941">
        <v>964.0</v>
      </c>
      <c r="AH406" s="941">
        <v>1238.0</v>
      </c>
      <c r="AI406" s="941">
        <v>15.0</v>
      </c>
      <c r="AJ406" s="941">
        <v>15.0</v>
      </c>
      <c r="AK406" s="941">
        <v>0.0</v>
      </c>
      <c r="AL406" s="941">
        <v>0.0</v>
      </c>
      <c r="AM406" s="941">
        <v>0.0</v>
      </c>
      <c r="AN406" s="941">
        <v>0.0</v>
      </c>
      <c r="AO406" s="941">
        <v>0.0</v>
      </c>
      <c r="AP406" s="941">
        <v>0.0</v>
      </c>
      <c r="AQ406" s="941">
        <v>0.0</v>
      </c>
      <c r="AR406" s="941">
        <v>10.0</v>
      </c>
      <c r="AS406" s="941">
        <v>2.0</v>
      </c>
      <c r="AT406" s="941">
        <v>0.0</v>
      </c>
      <c r="AU406" s="941">
        <v>0.0</v>
      </c>
      <c r="AV406" s="941">
        <v>0.0</v>
      </c>
      <c r="AW406" s="941">
        <v>0.0</v>
      </c>
      <c r="AX406" s="941">
        <v>0.0</v>
      </c>
      <c r="AY406" s="941">
        <v>0.0</v>
      </c>
      <c r="AZ406" s="941">
        <v>0.0</v>
      </c>
      <c r="BA406" s="941">
        <v>0.0</v>
      </c>
      <c r="BB406" s="941">
        <v>2.0</v>
      </c>
      <c r="BC406" s="941">
        <v>0.0</v>
      </c>
      <c r="BD406" s="941">
        <v>9.0</v>
      </c>
      <c r="BE406" s="941">
        <v>5.0</v>
      </c>
      <c r="BF406" s="941">
        <v>0.0</v>
      </c>
      <c r="BG406" s="942">
        <v>0.0</v>
      </c>
    </row>
    <row r="407">
      <c r="A407" s="935" t="s">
        <v>514</v>
      </c>
      <c r="B407" s="16" t="str">
        <f>IF(C407&lt;'PlayerGrades+'!$Y$44,"F-",IF(C407&lt;'PlayerGrades+'!$Y$43,"F",IF(C407&lt;'PlayerGrades+'!$Y$42,"F+",IF(C407&lt;'PlayerGrades+'!$Y$41,"E-",IF(C407&lt;'PlayerGrades+'!$Y$40,"E",IF(C407&lt;'PlayerGrades+'!$Y$39,"E+",IF(C407&lt;'PlayerGrades+'!$Y$38,"D-",IF(C407&lt;'PlayerGrades+'!$Y$37,"D",IF(C407&lt;'PlayerGrades+'!$Y$36,"D+",IF(C407&lt;'PlayerGrades+'!$Y$35,"C-",IF(C407&lt;'PlayerGrades+'!$Y$34,"C",IF(C407&lt;'PlayerGrades+'!$Y$33,"C+",IF(C407&lt;'PlayerGrades+'!$Y$32,"B-",IF(C407&lt;'PlayerGrades+'!$Y$31,"B",IF(C407&lt;'PlayerGrades+'!$Y$30,"B+",IF(C407&lt;'PlayerGrades+'!$Y$29,"A-",IF(C407&lt;'PlayerGrades+'!$Y$28,"A",IF(C407&lt;'PlayerGrades+'!$Y$27,"A+",IF(C407&lt;'PlayerGrades+'!$Y$26,"S-",IF(C407&lt;'PlayerGrades+'!$Y$25,"S","S+"))))))))))))))))))))</f>
        <v>F</v>
      </c>
      <c r="C407" s="936">
        <f>('PlayerGrades+'!$Y$47*(VLOOKUP(E407, 'PlayerGrades+'!$X$3:$Y$23, 2, FALSE)))+('PlayerGrades+'!$Y$48*(VLOOKUP(G407, 'PlayerGrades+'!$X$3:$Y$23, 2, FALSE)))+('PlayerGrades+'!$Y$49*(VLOOKUP(I407, 'PlayerGrades+'!$X$3:$Y$23, 2, FALSE)))+('PlayerGrades+'!$Y$50*(VLOOKUP(K407, 'PlayerGrades+'!$X$3:$Y$23, 2, FALSE)))+('PlayerGrades+'!$Y$51*(VLOOKUP(M407, 'PlayerGrades+'!$X$3:$Y$23, 2, FALSE)))+('PlayerGrades+'!$Y$52*(VLOOKUP(O407, 'PlayerGrades+'!$X$3:$Y$23, 2, FALSE)))+('PlayerGrades+'!$Y$53*(VLOOKUP(Q407, 'PlayerGrades+'!$X$3:$Y$23, 2, FALSE)))+('PlayerGrades+'!$Y$54*(VLOOKUP(S407, 'PlayerGrades+'!$X$3:$Y$23, 2, FALSE)))+('PlayerGrades+'!$Y$55*(VLOOKUP(U407, 'PlayerGrades+'!$X$3:$Y$23, 2, FALSE)))</f>
        <v>8.75</v>
      </c>
      <c r="D407" s="937">
        <f t="shared" si="1"/>
        <v>0.1453957997</v>
      </c>
      <c r="E407" s="937" t="str">
        <f>IF(D407&lt;'PlayerGrades+'!$AA$21,"F-",IF(D407&lt;'PlayerGrades+'!$AA$20,"F",IF(D407&lt;'PlayerGrades+'!$AA$19,"F+",IF(D407&lt;'PlayerGrades+'!$AA$18,"E-",IF(D407&lt;'PlayerGrades+'!$AA$17,"E",IF(D407&lt;'PlayerGrades+'!$AA$16,"E+",IF(D407&lt;'PlayerGrades+'!$AA$15,"D-",IF(D407&lt;'PlayerGrades+'!$AA$14,"D",IF(D407&lt;'PlayerGrades+'!$AA$13,"D+",IF(D407&lt;'PlayerGrades+'!$AA$12,"C-",IF(D407&lt;'PlayerGrades+'!$AA$11,"C",IF(D407&lt;'PlayerGrades+'!$AA$10,"C+",IF(D407&lt;'PlayerGrades+'!$AA$9,"B-",IF(D407&lt;'PlayerGrades+'!$AA$8,"B",IF(D407&lt;'PlayerGrades+'!$AA$7,"B+",IF(D407&lt;'PlayerGrades+'!$AA$6,"A-",IF(D407&lt;'PlayerGrades+'!$AA$5,"A",IF(D407&lt;'PlayerGrades+'!$AA$4,"A+",IF(D407&lt;'PlayerGrades+'!$AA$3,"S-",IF(D407&lt;'PlayerGrades+'!$AA$2,"S","S+"))))))))))))))))))))</f>
        <v>B+</v>
      </c>
      <c r="F407" s="937">
        <f t="shared" si="2"/>
        <v>-1.987075929</v>
      </c>
      <c r="G407" s="937" t="str">
        <f>IF(F407&lt;'PlayerGrades+'!$AB$21,"F-",IF(F407&lt;'PlayerGrades+'!$AB$20,"F",IF(F407&lt;'PlayerGrades+'!$AB$19,"F+",IF(F407&lt;'PlayerGrades+'!$AB$18,"E-",IF(F407&lt;'PlayerGrades+'!$AB$17,"E",IF(F407&lt;'PlayerGrades+'!$AB$16,"E+",IF(F407&lt;'PlayerGrades+'!$AB$15,"D-",IF(F407&lt;'PlayerGrades+'!$AB$14,"D",IF(F407&lt;'PlayerGrades+'!$AB$13,"D+",IF(F407&lt;'PlayerGrades+'!$AB$12,"C-",IF(F407&lt;'PlayerGrades+'!$AB$11,"C",IF(F407&lt;'PlayerGrades+'!$AB$10,"C+",IF(F407&lt;'PlayerGrades+'!$AB$9,"B-",IF(F407&lt;'PlayerGrades+'!$AB$8,"B",IF(F407&lt;'PlayerGrades+'!$AB$7,"B+",IF(F407&lt;'PlayerGrades+'!$AB$6,"A-",IF(F407&lt;'PlayerGrades+'!$AB$5,"A",IF(F407&lt;'PlayerGrades+'!$AB$4,"A+",IF(F407&lt;'PlayerGrades+'!$AB$3,"S-",IF(F407&lt;'PlayerGrades+'!$AB$2,"S","S+"))))))))))))))))))))</f>
        <v>F-</v>
      </c>
      <c r="H407" s="937">
        <f t="shared" si="3"/>
        <v>0.09693053312</v>
      </c>
      <c r="I407" s="937" t="str">
        <f>IF(H407&lt;'PlayerGrades+'!$AC$21,"F-",IF(H407&lt;'PlayerGrades+'!$AC$20,"F",IF(H407&lt;'PlayerGrades+'!$AC$19,"F+",IF(H407&lt;'PlayerGrades+'!$AC$18,"E-",IF(H407&lt;'PlayerGrades+'!$AC$17,"E",IF(H407&lt;'PlayerGrades+'!$AC$16,"E+",IF(H407&lt;'PlayerGrades+'!$AC$15,"D-",IF(H407&lt;'PlayerGrades+'!$AC$14,"D",IF(H407&lt;'PlayerGrades+'!$AC$13,"D+",IF(H407&lt;'PlayerGrades+'!$AC$12,"C-",IF(H407&lt;'PlayerGrades+'!$AC$11,"C",IF(H407&lt;'PlayerGrades+'!$AC$10,"C+",IF(H407&lt;'PlayerGrades+'!$AC$9,"B-",IF(H407&lt;'PlayerGrades+'!$AC$8,"B",IF(H407&lt;'PlayerGrades+'!$AC$7,"B+",IF(H407&lt;'PlayerGrades+'!$AC$6,"A-",IF(H407&lt;'PlayerGrades+'!$AC$5,"A",IF(H407&lt;'PlayerGrades+'!$AC$4,"A+",IF(H407&lt;'PlayerGrades+'!$AC$3,"S-",IF(H407&lt;'PlayerGrades+'!$AC$2,"S","S+"))))))))))))))))))))</f>
        <v>C-</v>
      </c>
      <c r="J407" s="937">
        <f t="shared" si="4"/>
        <v>0</v>
      </c>
      <c r="K407" s="937" t="str">
        <f>IF(J407&lt;'PlayerGrades+'!$AD$21,"F-",IF(J407&lt;'PlayerGrades+'!$AD$20,"F",IF(J407&lt;'PlayerGrades+'!$AD$19,"F+",IF(J407&lt;'PlayerGrades+'!$AD$18,"E-",IF(J407&lt;'PlayerGrades+'!$AD$17,"E",IF(J407&lt;'PlayerGrades+'!$AD$16,"E+",IF(J407&lt;'PlayerGrades+'!$AD$15,"D-",IF(J407&lt;'PlayerGrades+'!$AD$14,"D",IF(J407&lt;'PlayerGrades+'!$AD$13,"D+",IF(J407&lt;'PlayerGrades+'!$AD$12,"C-",IF(J407&lt;'PlayerGrades+'!$AD$11,"C",IF(J407&lt;'PlayerGrades+'!$AD$10,"C+",IF(J407&lt;'PlayerGrades+'!$AD$9,"B-",IF(J407&lt;'PlayerGrades+'!$AD$8,"B",IF(J407&lt;'PlayerGrades+'!$AD$7,"B+",IF(J407&lt;'PlayerGrades+'!$AD$6,"A-",IF(J407&lt;'PlayerGrades+'!$AD$5,"A",IF(J407&lt;'PlayerGrades+'!$AD$4,"A+",IF(J407&lt;'PlayerGrades+'!$AD$3,"S-",IF(J407&lt;'PlayerGrades+'!$AD$2,"S","S+"))))))))))))))))))))</f>
        <v>F-</v>
      </c>
      <c r="L407" s="677">
        <f t="shared" si="5"/>
        <v>0.2907915994</v>
      </c>
      <c r="M407" s="938" t="str">
        <f>IF(L407&lt;'PlayerGrades+'!$AE$21,"F-",IF(L407&lt;'PlayerGrades+'!$AE$20,"F",IF(L407&lt;'PlayerGrades+'!$AE$19,"F+",IF(L407&lt;'PlayerGrades+'!$AE$18,"E-",IF(L407&lt;'PlayerGrades+'!$AE$17,"E",IF(L407&lt;'PlayerGrades+'!$AE$16,"E+",IF(L407&lt;'PlayerGrades+'!$AE$15,"D-",IF(L407&lt;'PlayerGrades+'!$AE$14,"D",IF(L407&lt;'PlayerGrades+'!$AE$13,"D+",IF(L407&lt;'PlayerGrades+'!$AE$12,"C-",IF(L407&lt;'PlayerGrades+'!$AE$11,"C",IF(L407&lt;'PlayerGrades+'!$AE$10,"C+",IF(L407&lt;'PlayerGrades+'!$AE$9,"B-",IF(L407&lt;'PlayerGrades+'!$AE$8,"B",IF(L407&lt;'PlayerGrades+'!$AE$7,"B+",IF(L407&lt;'PlayerGrades+'!$AE$6,"A-",IF(L407&lt;'PlayerGrades+'!$AE$5,"A",IF(L407&lt;'PlayerGrades+'!$AE$4,"A+",IF(L407&lt;'PlayerGrades+'!$AE$3,"S-",IF(L407&lt;'PlayerGrades+'!$AE$2,"S","S+"))))))))))))))))))))</f>
        <v>F+</v>
      </c>
      <c r="N407" s="937">
        <f t="shared" si="6"/>
        <v>0</v>
      </c>
      <c r="O407" s="937" t="str">
        <f>IF(N407&lt;'PlayerGrades+'!$AF$21,"F-",IF(N407&lt;'PlayerGrades+'!$AF$20,"F",IF(N407&lt;'PlayerGrades+'!$AF$19,"F+",IF(N407&lt;'PlayerGrades+'!$AF$18,"E-",IF(N407&lt;'PlayerGrades+'!$AF$17,"E",IF(N407&lt;'PlayerGrades+'!$AF$16,"E+",IF(N407&lt;'PlayerGrades+'!$AF$15,"D-",IF(N407&lt;'PlayerGrades+'!$AF$14,"D",IF(N407&lt;'PlayerGrades+'!$AF$13,"D+",IF(N407&lt;'PlayerGrades+'!$AF$12,"C-",IF(N407&lt;'PlayerGrades+'!$AF$11,"C",IF(N407&lt;'PlayerGrades+'!$AF$10,"C+",IF(N407&lt;'PlayerGrades+'!$AF$9,"B-",IF(N407&lt;'PlayerGrades+'!$AF$8,"B",IF(N407&lt;'PlayerGrades+'!$AF$7,"B+",IF(N407&lt;'PlayerGrades+'!$AF$6,"A-",IF(N407&lt;'PlayerGrades+'!$AF$5,"A",IF(N407&lt;'PlayerGrades+'!$AF$4,"A+",IF(N407&lt;'PlayerGrades+'!$AF$3,"S-",IF(N407&lt;'PlayerGrades+'!$AF$2,"S","S+"))))))))))))))))))))</f>
        <v>F-</v>
      </c>
      <c r="P407" s="937">
        <f t="shared" si="7"/>
        <v>0</v>
      </c>
      <c r="Q407" s="937" t="str">
        <f>IF(P407&lt;'PlayerGrades+'!$AG$21,"F-",IF(P407&lt;'PlayerGrades+'!$AG$20,"F",IF(P407&lt;'PlayerGrades+'!$AG$19,"F+",IF(P407&lt;'PlayerGrades+'!$AG$18,"E-",IF(P407&lt;'PlayerGrades+'!$AG$17,"E",IF(P407&lt;'PlayerGrades+'!$AG$16,"E+",IF(P407&lt;'PlayerGrades+'!$AG$15,"D-",IF(P407&lt;'PlayerGrades+'!$AG$14,"D",IF(P407&lt;'PlayerGrades+'!$AG$13,"D+",IF(P407&lt;'PlayerGrades+'!$AG$12,"C-",IF(P407&lt;'PlayerGrades+'!$AG$11,"C",IF(P407&lt;'PlayerGrades+'!$AG$10,"C+",IF(P407&lt;'PlayerGrades+'!$AG$9,"B-",IF(P407&lt;'PlayerGrades+'!$AG$8,"B",IF(P407&lt;'PlayerGrades+'!$AG$7,"B+",IF(P407&lt;'PlayerGrades+'!$AG$6,"A-",IF(P407&lt;'PlayerGrades+'!$AG$5,"A",IF(P407&lt;'PlayerGrades+'!$AG$4,"A+",IF(P407&lt;'PlayerGrades+'!$AG$3,"S-",IF(P407&lt;'PlayerGrades+'!$AG$2,"S","S+"))))))))))))))))))))</f>
        <v>F</v>
      </c>
      <c r="R407" s="937">
        <f t="shared" si="8"/>
        <v>0.3877221325</v>
      </c>
      <c r="S407" s="937" t="str">
        <f>IF(R407&lt;'PlayerGrades+'!$AH$21,"F-",IF(R407&lt;'PlayerGrades+'!$AH$20,"F",IF(R407&lt;'PlayerGrades+'!$AH$19,"F+",IF(R407&lt;'PlayerGrades+'!$AH$18,"E-",IF(R407&lt;'PlayerGrades+'!$AH$17,"E",IF(R407&lt;'PlayerGrades+'!$AH$16,"E+",IF(R407&lt;'PlayerGrades+'!$AH$15,"D-",IF(R407&lt;'PlayerGrades+'!$AH$14,"D",IF(R407&lt;'PlayerGrades+'!$AH$13,"D+",IF(R407&lt;'PlayerGrades+'!$AH$12,"C-",IF(R407&lt;'PlayerGrades+'!$AH$11,"C",IF(R407&lt;'PlayerGrades+'!$AH$10,"C+",IF(R407&lt;'PlayerGrades+'!$AH$9,"B-",IF(R407&lt;'PlayerGrades+'!$AH$8,"B",IF(R407&lt;'PlayerGrades+'!$AH$7,"B+",IF(R407&lt;'PlayerGrades+'!$AH$6,"A-",IF(R407&lt;'PlayerGrades+'!$AH$5,"A",IF(R407&lt;'PlayerGrades+'!$AH$4,"A+",IF(R407&lt;'PlayerGrades+'!$AH$3,"S-",IF(R407&lt;'PlayerGrades+'!$AH$2,"S","S+"))))))))))))))))))))</f>
        <v>F</v>
      </c>
      <c r="T407" s="937">
        <f t="shared" si="9"/>
        <v>0.2423263328</v>
      </c>
      <c r="U407" s="937" t="str">
        <f>IF(T407&lt;'PlayerGrades+'!$AI$21,"F-",IF(T407&lt;'PlayerGrades+'!$AI$20,"F",IF(T407&lt;'PlayerGrades+'!$AI$19,"F+",IF(T407&lt;'PlayerGrades+'!$AI$18,"E-",IF(T407&lt;'PlayerGrades+'!$AI$17,"E",IF(T407&lt;'PlayerGrades+'!$AI$16,"E+",IF(T407&lt;'PlayerGrades+'!$AI$15,"D-",IF(T407&lt;'PlayerGrades+'!$AI$14,"D",IF(T407&lt;'PlayerGrades+'!$AI$13,"D+",IF(T407&lt;'PlayerGrades+'!$AI$12,"C-",IF(T407&lt;'PlayerGrades+'!$AI$11,"C",IF(T407&lt;'PlayerGrades+'!$AI$10,"C+",IF(T407&lt;'PlayerGrades+'!$AI$9,"B-",IF(T407&lt;'PlayerGrades+'!$AI$8,"B",IF(T407&lt;'PlayerGrades+'!$AI$7,"B+",IF(T407&lt;'PlayerGrades+'!$AI$6,"A-",IF(T407&lt;'PlayerGrades+'!$AI$5,"A",IF(T407&lt;'PlayerGrades+'!$AI$4,"A+",IF(T407&lt;'PlayerGrades+'!$AI$3,"S-",IF(T407&lt;'PlayerGrades+'!$AI$2,"S","S+"))))))))))))))))))))</f>
        <v>F-</v>
      </c>
      <c r="V407" s="941">
        <v>1.0</v>
      </c>
      <c r="W407" s="941">
        <v>0.0</v>
      </c>
      <c r="X407" s="941">
        <v>1.0</v>
      </c>
      <c r="Y407" s="941">
        <v>1.0</v>
      </c>
      <c r="Z407" s="941">
        <v>2.0</v>
      </c>
      <c r="AA407" s="941">
        <v>35.0</v>
      </c>
      <c r="AB407" s="941">
        <v>76.0</v>
      </c>
      <c r="AC407" s="941">
        <v>-41.0</v>
      </c>
      <c r="AD407" s="941">
        <v>7.0</v>
      </c>
      <c r="AE407" s="941">
        <v>3.0</v>
      </c>
      <c r="AF407" s="941">
        <v>0.0</v>
      </c>
      <c r="AG407" s="941">
        <v>913.0</v>
      </c>
      <c r="AH407" s="941">
        <v>1238.0</v>
      </c>
      <c r="AI407" s="941">
        <v>12.0</v>
      </c>
      <c r="AJ407" s="941">
        <v>159.0</v>
      </c>
      <c r="AK407" s="941">
        <v>0.0</v>
      </c>
      <c r="AL407" s="941">
        <v>0.0</v>
      </c>
      <c r="AM407" s="941">
        <v>0.0</v>
      </c>
      <c r="AN407" s="941">
        <v>0.0</v>
      </c>
      <c r="AO407" s="941">
        <v>0.0</v>
      </c>
      <c r="AP407" s="941">
        <v>0.0</v>
      </c>
      <c r="AQ407" s="941">
        <v>0.0</v>
      </c>
      <c r="AR407" s="941">
        <v>6.0</v>
      </c>
      <c r="AS407" s="941">
        <v>0.0</v>
      </c>
      <c r="AT407" s="941">
        <v>0.0</v>
      </c>
      <c r="AU407" s="941">
        <v>0.0</v>
      </c>
      <c r="AV407" s="941">
        <v>0.0</v>
      </c>
      <c r="AW407" s="941">
        <v>0.0</v>
      </c>
      <c r="AX407" s="941">
        <v>0.0</v>
      </c>
      <c r="AY407" s="941">
        <v>0.0</v>
      </c>
      <c r="AZ407" s="941">
        <v>0.0</v>
      </c>
      <c r="BA407" s="941">
        <v>0.0</v>
      </c>
      <c r="BB407" s="941">
        <v>2.0</v>
      </c>
      <c r="BC407" s="941">
        <v>0.0</v>
      </c>
      <c r="BD407" s="941">
        <v>1.0</v>
      </c>
      <c r="BE407" s="941">
        <v>5.0</v>
      </c>
      <c r="BF407" s="941">
        <v>0.0</v>
      </c>
      <c r="BG407" s="942">
        <v>0.0</v>
      </c>
    </row>
    <row r="408">
      <c r="A408" s="935" t="s">
        <v>154</v>
      </c>
      <c r="B408" s="16" t="str">
        <f>IF(C408&lt;'PlayerGrades+'!$Y$44,"F-",IF(C408&lt;'PlayerGrades+'!$Y$43,"F",IF(C408&lt;'PlayerGrades+'!$Y$42,"F+",IF(C408&lt;'PlayerGrades+'!$Y$41,"E-",IF(C408&lt;'PlayerGrades+'!$Y$40,"E",IF(C408&lt;'PlayerGrades+'!$Y$39,"E+",IF(C408&lt;'PlayerGrades+'!$Y$38,"D-",IF(C408&lt;'PlayerGrades+'!$Y$37,"D",IF(C408&lt;'PlayerGrades+'!$Y$36,"D+",IF(C408&lt;'PlayerGrades+'!$Y$35,"C-",IF(C408&lt;'PlayerGrades+'!$Y$34,"C",IF(C408&lt;'PlayerGrades+'!$Y$33,"C+",IF(C408&lt;'PlayerGrades+'!$Y$32,"B-",IF(C408&lt;'PlayerGrades+'!$Y$31,"B",IF(C408&lt;'PlayerGrades+'!$Y$30,"B+",IF(C408&lt;'PlayerGrades+'!$Y$29,"A-",IF(C408&lt;'PlayerGrades+'!$Y$28,"A",IF(C408&lt;'PlayerGrades+'!$Y$27,"A+",IF(C408&lt;'PlayerGrades+'!$Y$26,"S-",IF(C408&lt;'PlayerGrades+'!$Y$25,"S","S+"))))))))))))))))))))</f>
        <v>F-</v>
      </c>
      <c r="C408" s="936">
        <f>('PlayerGrades+'!$Y$47*(VLOOKUP(E408, 'PlayerGrades+'!$X$3:$Y$23, 2, FALSE)))+('PlayerGrades+'!$Y$48*(VLOOKUP(G408, 'PlayerGrades+'!$X$3:$Y$23, 2, FALSE)))+('PlayerGrades+'!$Y$49*(VLOOKUP(I408, 'PlayerGrades+'!$X$3:$Y$23, 2, FALSE)))+('PlayerGrades+'!$Y$50*(VLOOKUP(K408, 'PlayerGrades+'!$X$3:$Y$23, 2, FALSE)))+('PlayerGrades+'!$Y$51*(VLOOKUP(M408, 'PlayerGrades+'!$X$3:$Y$23, 2, FALSE)))+('PlayerGrades+'!$Y$52*(VLOOKUP(O408, 'PlayerGrades+'!$X$3:$Y$23, 2, FALSE)))+('PlayerGrades+'!$Y$53*(VLOOKUP(Q408, 'PlayerGrades+'!$X$3:$Y$23, 2, FALSE)))+('PlayerGrades+'!$Y$54*(VLOOKUP(S408, 'PlayerGrades+'!$X$3:$Y$23, 2, FALSE)))+('PlayerGrades+'!$Y$55*(VLOOKUP(U408, 'PlayerGrades+'!$X$3:$Y$23, 2, FALSE)))</f>
        <v>6.15</v>
      </c>
      <c r="D408" s="937">
        <f t="shared" si="1"/>
        <v>0.04846526656</v>
      </c>
      <c r="E408" s="937" t="str">
        <f>IF(D408&lt;'PlayerGrades+'!$AA$21,"F-",IF(D408&lt;'PlayerGrades+'!$AA$20,"F",IF(D408&lt;'PlayerGrades+'!$AA$19,"F+",IF(D408&lt;'PlayerGrades+'!$AA$18,"E-",IF(D408&lt;'PlayerGrades+'!$AA$17,"E",IF(D408&lt;'PlayerGrades+'!$AA$16,"E+",IF(D408&lt;'PlayerGrades+'!$AA$15,"D-",IF(D408&lt;'PlayerGrades+'!$AA$14,"D",IF(D408&lt;'PlayerGrades+'!$AA$13,"D+",IF(D408&lt;'PlayerGrades+'!$AA$12,"C-",IF(D408&lt;'PlayerGrades+'!$AA$11,"C",IF(D408&lt;'PlayerGrades+'!$AA$10,"C+",IF(D408&lt;'PlayerGrades+'!$AA$9,"B-",IF(D408&lt;'PlayerGrades+'!$AA$8,"B",IF(D408&lt;'PlayerGrades+'!$AA$7,"B+",IF(D408&lt;'PlayerGrades+'!$AA$6,"A-",IF(D408&lt;'PlayerGrades+'!$AA$5,"A",IF(D408&lt;'PlayerGrades+'!$AA$4,"A+",IF(D408&lt;'PlayerGrades+'!$AA$3,"S-",IF(D408&lt;'PlayerGrades+'!$AA$2,"S","S+"))))))))))))))))))))</f>
        <v>C+</v>
      </c>
      <c r="F408" s="937">
        <f t="shared" si="2"/>
        <v>-1.69628433</v>
      </c>
      <c r="G408" s="937" t="str">
        <f>IF(F408&lt;'PlayerGrades+'!$AB$21,"F-",IF(F408&lt;'PlayerGrades+'!$AB$20,"F",IF(F408&lt;'PlayerGrades+'!$AB$19,"F+",IF(F408&lt;'PlayerGrades+'!$AB$18,"E-",IF(F408&lt;'PlayerGrades+'!$AB$17,"E",IF(F408&lt;'PlayerGrades+'!$AB$16,"E+",IF(F408&lt;'PlayerGrades+'!$AB$15,"D-",IF(F408&lt;'PlayerGrades+'!$AB$14,"D",IF(F408&lt;'PlayerGrades+'!$AB$13,"D+",IF(F408&lt;'PlayerGrades+'!$AB$12,"C-",IF(F408&lt;'PlayerGrades+'!$AB$11,"C",IF(F408&lt;'PlayerGrades+'!$AB$10,"C+",IF(F408&lt;'PlayerGrades+'!$AB$9,"B-",IF(F408&lt;'PlayerGrades+'!$AB$8,"B",IF(F408&lt;'PlayerGrades+'!$AB$7,"B+",IF(F408&lt;'PlayerGrades+'!$AB$6,"A-",IF(F408&lt;'PlayerGrades+'!$AB$5,"A",IF(F408&lt;'PlayerGrades+'!$AB$4,"A+",IF(F408&lt;'PlayerGrades+'!$AB$3,"S-",IF(F408&lt;'PlayerGrades+'!$AB$2,"S","S+"))))))))))))))))))))</f>
        <v>F-</v>
      </c>
      <c r="H408" s="937">
        <f t="shared" si="3"/>
        <v>0</v>
      </c>
      <c r="I408" s="937" t="str">
        <f>IF(H408&lt;'PlayerGrades+'!$AC$21,"F-",IF(H408&lt;'PlayerGrades+'!$AC$20,"F",IF(H408&lt;'PlayerGrades+'!$AC$19,"F+",IF(H408&lt;'PlayerGrades+'!$AC$18,"E-",IF(H408&lt;'PlayerGrades+'!$AC$17,"E",IF(H408&lt;'PlayerGrades+'!$AC$16,"E+",IF(H408&lt;'PlayerGrades+'!$AC$15,"D-",IF(H408&lt;'PlayerGrades+'!$AC$14,"D",IF(H408&lt;'PlayerGrades+'!$AC$13,"D+",IF(H408&lt;'PlayerGrades+'!$AC$12,"C-",IF(H408&lt;'PlayerGrades+'!$AC$11,"C",IF(H408&lt;'PlayerGrades+'!$AC$10,"C+",IF(H408&lt;'PlayerGrades+'!$AC$9,"B-",IF(H408&lt;'PlayerGrades+'!$AC$8,"B",IF(H408&lt;'PlayerGrades+'!$AC$7,"B+",IF(H408&lt;'PlayerGrades+'!$AC$6,"A-",IF(H408&lt;'PlayerGrades+'!$AC$5,"A",IF(H408&lt;'PlayerGrades+'!$AC$4,"A+",IF(H408&lt;'PlayerGrades+'!$AC$3,"S-",IF(H408&lt;'PlayerGrades+'!$AC$2,"S","S+"))))))))))))))))))))</f>
        <v>F-</v>
      </c>
      <c r="J408" s="937">
        <f t="shared" si="4"/>
        <v>0</v>
      </c>
      <c r="K408" s="937" t="str">
        <f>IF(J408&lt;'PlayerGrades+'!$AD$21,"F-",IF(J408&lt;'PlayerGrades+'!$AD$20,"F",IF(J408&lt;'PlayerGrades+'!$AD$19,"F+",IF(J408&lt;'PlayerGrades+'!$AD$18,"E-",IF(J408&lt;'PlayerGrades+'!$AD$17,"E",IF(J408&lt;'PlayerGrades+'!$AD$16,"E+",IF(J408&lt;'PlayerGrades+'!$AD$15,"D-",IF(J408&lt;'PlayerGrades+'!$AD$14,"D",IF(J408&lt;'PlayerGrades+'!$AD$13,"D+",IF(J408&lt;'PlayerGrades+'!$AD$12,"C-",IF(J408&lt;'PlayerGrades+'!$AD$11,"C",IF(J408&lt;'PlayerGrades+'!$AD$10,"C+",IF(J408&lt;'PlayerGrades+'!$AD$9,"B-",IF(J408&lt;'PlayerGrades+'!$AD$8,"B",IF(J408&lt;'PlayerGrades+'!$AD$7,"B+",IF(J408&lt;'PlayerGrades+'!$AD$6,"A-",IF(J408&lt;'PlayerGrades+'!$AD$5,"A",IF(J408&lt;'PlayerGrades+'!$AD$4,"A+",IF(J408&lt;'PlayerGrades+'!$AD$3,"S-",IF(J408&lt;'PlayerGrades+'!$AD$2,"S","S+"))))))))))))))))))))</f>
        <v>F-</v>
      </c>
      <c r="L408" s="677">
        <f t="shared" si="5"/>
        <v>0.1938610662</v>
      </c>
      <c r="M408" s="938" t="str">
        <f>IF(L408&lt;'PlayerGrades+'!$AE$21,"F-",IF(L408&lt;'PlayerGrades+'!$AE$20,"F",IF(L408&lt;'PlayerGrades+'!$AE$19,"F+",IF(L408&lt;'PlayerGrades+'!$AE$18,"E-",IF(L408&lt;'PlayerGrades+'!$AE$17,"E",IF(L408&lt;'PlayerGrades+'!$AE$16,"E+",IF(L408&lt;'PlayerGrades+'!$AE$15,"D-",IF(L408&lt;'PlayerGrades+'!$AE$14,"D",IF(L408&lt;'PlayerGrades+'!$AE$13,"D+",IF(L408&lt;'PlayerGrades+'!$AE$12,"C-",IF(L408&lt;'PlayerGrades+'!$AE$11,"C",IF(L408&lt;'PlayerGrades+'!$AE$10,"C+",IF(L408&lt;'PlayerGrades+'!$AE$9,"B-",IF(L408&lt;'PlayerGrades+'!$AE$8,"B",IF(L408&lt;'PlayerGrades+'!$AE$7,"B+",IF(L408&lt;'PlayerGrades+'!$AE$6,"A-",IF(L408&lt;'PlayerGrades+'!$AE$5,"A",IF(L408&lt;'PlayerGrades+'!$AE$4,"A+",IF(L408&lt;'PlayerGrades+'!$AE$3,"S-",IF(L408&lt;'PlayerGrades+'!$AE$2,"S","S+"))))))))))))))))))))</f>
        <v>F</v>
      </c>
      <c r="N408" s="937">
        <f t="shared" si="6"/>
        <v>0</v>
      </c>
      <c r="O408" s="937" t="str">
        <f>IF(N408&lt;'PlayerGrades+'!$AF$21,"F-",IF(N408&lt;'PlayerGrades+'!$AF$20,"F",IF(N408&lt;'PlayerGrades+'!$AF$19,"F+",IF(N408&lt;'PlayerGrades+'!$AF$18,"E-",IF(N408&lt;'PlayerGrades+'!$AF$17,"E",IF(N408&lt;'PlayerGrades+'!$AF$16,"E+",IF(N408&lt;'PlayerGrades+'!$AF$15,"D-",IF(N408&lt;'PlayerGrades+'!$AF$14,"D",IF(N408&lt;'PlayerGrades+'!$AF$13,"D+",IF(N408&lt;'PlayerGrades+'!$AF$12,"C-",IF(N408&lt;'PlayerGrades+'!$AF$11,"C",IF(N408&lt;'PlayerGrades+'!$AF$10,"C+",IF(N408&lt;'PlayerGrades+'!$AF$9,"B-",IF(N408&lt;'PlayerGrades+'!$AF$8,"B",IF(N408&lt;'PlayerGrades+'!$AF$7,"B+",IF(N408&lt;'PlayerGrades+'!$AF$6,"A-",IF(N408&lt;'PlayerGrades+'!$AF$5,"A",IF(N408&lt;'PlayerGrades+'!$AF$4,"A+",IF(N408&lt;'PlayerGrades+'!$AF$3,"S-",IF(N408&lt;'PlayerGrades+'!$AF$2,"S","S+"))))))))))))))))))))</f>
        <v>F-</v>
      </c>
      <c r="P408" s="937">
        <f t="shared" si="7"/>
        <v>0</v>
      </c>
      <c r="Q408" s="937" t="str">
        <f>IF(P408&lt;'PlayerGrades+'!$AG$21,"F-",IF(P408&lt;'PlayerGrades+'!$AG$20,"F",IF(P408&lt;'PlayerGrades+'!$AG$19,"F+",IF(P408&lt;'PlayerGrades+'!$AG$18,"E-",IF(P408&lt;'PlayerGrades+'!$AG$17,"E",IF(P408&lt;'PlayerGrades+'!$AG$16,"E+",IF(P408&lt;'PlayerGrades+'!$AG$15,"D-",IF(P408&lt;'PlayerGrades+'!$AG$14,"D",IF(P408&lt;'PlayerGrades+'!$AG$13,"D+",IF(P408&lt;'PlayerGrades+'!$AG$12,"C-",IF(P408&lt;'PlayerGrades+'!$AG$11,"C",IF(P408&lt;'PlayerGrades+'!$AG$10,"C+",IF(P408&lt;'PlayerGrades+'!$AG$9,"B-",IF(P408&lt;'PlayerGrades+'!$AG$8,"B",IF(P408&lt;'PlayerGrades+'!$AG$7,"B+",IF(P408&lt;'PlayerGrades+'!$AG$6,"A-",IF(P408&lt;'PlayerGrades+'!$AG$5,"A",IF(P408&lt;'PlayerGrades+'!$AG$4,"A+",IF(P408&lt;'PlayerGrades+'!$AG$3,"S-",IF(P408&lt;'PlayerGrades+'!$AG$2,"S","S+"))))))))))))))))))))</f>
        <v>F</v>
      </c>
      <c r="R408" s="937">
        <f t="shared" si="8"/>
        <v>0.3877221325</v>
      </c>
      <c r="S408" s="937" t="str">
        <f>IF(R408&lt;'PlayerGrades+'!$AH$21,"F-",IF(R408&lt;'PlayerGrades+'!$AH$20,"F",IF(R408&lt;'PlayerGrades+'!$AH$19,"F+",IF(R408&lt;'PlayerGrades+'!$AH$18,"E-",IF(R408&lt;'PlayerGrades+'!$AH$17,"E",IF(R408&lt;'PlayerGrades+'!$AH$16,"E+",IF(R408&lt;'PlayerGrades+'!$AH$15,"D-",IF(R408&lt;'PlayerGrades+'!$AH$14,"D",IF(R408&lt;'PlayerGrades+'!$AH$13,"D+",IF(R408&lt;'PlayerGrades+'!$AH$12,"C-",IF(R408&lt;'PlayerGrades+'!$AH$11,"C",IF(R408&lt;'PlayerGrades+'!$AH$10,"C+",IF(R408&lt;'PlayerGrades+'!$AH$9,"B-",IF(R408&lt;'PlayerGrades+'!$AH$8,"B",IF(R408&lt;'PlayerGrades+'!$AH$7,"B+",IF(R408&lt;'PlayerGrades+'!$AH$6,"A-",IF(R408&lt;'PlayerGrades+'!$AH$5,"A",IF(R408&lt;'PlayerGrades+'!$AH$4,"A+",IF(R408&lt;'PlayerGrades+'!$AH$3,"S-",IF(R408&lt;'PlayerGrades+'!$AH$2,"S","S+"))))))))))))))))))))</f>
        <v>F</v>
      </c>
      <c r="T408" s="937">
        <f t="shared" si="9"/>
        <v>0.1938610662</v>
      </c>
      <c r="U408" s="937" t="str">
        <f>IF(T408&lt;'PlayerGrades+'!$AI$21,"F-",IF(T408&lt;'PlayerGrades+'!$AI$20,"F",IF(T408&lt;'PlayerGrades+'!$AI$19,"F+",IF(T408&lt;'PlayerGrades+'!$AI$18,"E-",IF(T408&lt;'PlayerGrades+'!$AI$17,"E",IF(T408&lt;'PlayerGrades+'!$AI$16,"E+",IF(T408&lt;'PlayerGrades+'!$AI$15,"D-",IF(T408&lt;'PlayerGrades+'!$AI$14,"D",IF(T408&lt;'PlayerGrades+'!$AI$13,"D+",IF(T408&lt;'PlayerGrades+'!$AI$12,"C-",IF(T408&lt;'PlayerGrades+'!$AI$11,"C",IF(T408&lt;'PlayerGrades+'!$AI$10,"C+",IF(T408&lt;'PlayerGrades+'!$AI$9,"B-",IF(T408&lt;'PlayerGrades+'!$AI$8,"B",IF(T408&lt;'PlayerGrades+'!$AI$7,"B+",IF(T408&lt;'PlayerGrades+'!$AI$6,"A-",IF(T408&lt;'PlayerGrades+'!$AI$5,"A",IF(T408&lt;'PlayerGrades+'!$AI$4,"A+",IF(T408&lt;'PlayerGrades+'!$AI$3,"S-",IF(T408&lt;'PlayerGrades+'!$AI$2,"S","S+"))))))))))))))))))))</f>
        <v>F-</v>
      </c>
      <c r="V408" s="941">
        <v>1.0</v>
      </c>
      <c r="W408" s="941">
        <v>0.0</v>
      </c>
      <c r="X408" s="941">
        <v>1.0</v>
      </c>
      <c r="Y408" s="941">
        <v>0.0</v>
      </c>
      <c r="Z408" s="941">
        <v>1.0</v>
      </c>
      <c r="AA408" s="941">
        <v>35.0</v>
      </c>
      <c r="AB408" s="941">
        <v>70.0</v>
      </c>
      <c r="AC408" s="941">
        <v>-35.0</v>
      </c>
      <c r="AD408" s="941">
        <v>2.0</v>
      </c>
      <c r="AE408" s="941">
        <v>3.0</v>
      </c>
      <c r="AF408" s="941">
        <v>1.0</v>
      </c>
      <c r="AG408" s="941">
        <v>934.0</v>
      </c>
      <c r="AH408" s="941">
        <v>1238.0</v>
      </c>
      <c r="AI408" s="941">
        <v>13.0</v>
      </c>
      <c r="AJ408" s="941">
        <v>42.0</v>
      </c>
      <c r="AK408" s="941">
        <v>0.0</v>
      </c>
      <c r="AL408" s="941">
        <v>0.0</v>
      </c>
      <c r="AM408" s="941">
        <v>0.0</v>
      </c>
      <c r="AN408" s="941">
        <v>0.0</v>
      </c>
      <c r="AO408" s="941">
        <v>0.0</v>
      </c>
      <c r="AP408" s="941">
        <v>0.0</v>
      </c>
      <c r="AQ408" s="941">
        <v>0.0</v>
      </c>
      <c r="AR408" s="941">
        <v>4.0</v>
      </c>
      <c r="AS408" s="941">
        <v>0.0</v>
      </c>
      <c r="AT408" s="941">
        <v>0.0</v>
      </c>
      <c r="AU408" s="941">
        <v>0.0</v>
      </c>
      <c r="AV408" s="941">
        <v>0.0</v>
      </c>
      <c r="AW408" s="941">
        <v>0.0</v>
      </c>
      <c r="AX408" s="941">
        <v>0.0</v>
      </c>
      <c r="AY408" s="941">
        <v>0.0</v>
      </c>
      <c r="AZ408" s="941">
        <v>0.0</v>
      </c>
      <c r="BA408" s="941">
        <v>0.0</v>
      </c>
      <c r="BB408" s="941">
        <v>0.0</v>
      </c>
      <c r="BC408" s="941">
        <v>0.0</v>
      </c>
      <c r="BD408" s="941">
        <v>6.0</v>
      </c>
      <c r="BE408" s="941">
        <v>4.0</v>
      </c>
      <c r="BF408" s="941">
        <v>0.0</v>
      </c>
      <c r="BG408" s="942">
        <v>0.0</v>
      </c>
    </row>
    <row r="409">
      <c r="A409" s="943" t="s">
        <v>132</v>
      </c>
      <c r="B409" s="16" t="str">
        <f>IF(C409&lt;'PlayerGrades+'!$Y$44,"F-",IF(C409&lt;'PlayerGrades+'!$Y$43,"F",IF(C409&lt;'PlayerGrades+'!$Y$42,"F+",IF(C409&lt;'PlayerGrades+'!$Y$41,"E-",IF(C409&lt;'PlayerGrades+'!$Y$40,"E",IF(C409&lt;'PlayerGrades+'!$Y$39,"E+",IF(C409&lt;'PlayerGrades+'!$Y$38,"D-",IF(C409&lt;'PlayerGrades+'!$Y$37,"D",IF(C409&lt;'PlayerGrades+'!$Y$36,"D+",IF(C409&lt;'PlayerGrades+'!$Y$35,"C-",IF(C409&lt;'PlayerGrades+'!$Y$34,"C",IF(C409&lt;'PlayerGrades+'!$Y$33,"C+",IF(C409&lt;'PlayerGrades+'!$Y$32,"B-",IF(C409&lt;'PlayerGrades+'!$Y$31,"B",IF(C409&lt;'PlayerGrades+'!$Y$30,"B+",IF(C409&lt;'PlayerGrades+'!$Y$29,"A-",IF(C409&lt;'PlayerGrades+'!$Y$28,"A",IF(C409&lt;'PlayerGrades+'!$Y$27,"A+",IF(C409&lt;'PlayerGrades+'!$Y$26,"S-",IF(C409&lt;'PlayerGrades+'!$Y$25,"S","S+"))))))))))))))))))))</f>
        <v>F+</v>
      </c>
      <c r="C409" s="936">
        <f>('PlayerGrades+'!$Y$47*(VLOOKUP(E409, 'PlayerGrades+'!$X$3:$Y$23, 2, FALSE)))+('PlayerGrades+'!$Y$48*(VLOOKUP(G409, 'PlayerGrades+'!$X$3:$Y$23, 2, FALSE)))+('PlayerGrades+'!$Y$49*(VLOOKUP(I409, 'PlayerGrades+'!$X$3:$Y$23, 2, FALSE)))+('PlayerGrades+'!$Y$50*(VLOOKUP(K409, 'PlayerGrades+'!$X$3:$Y$23, 2, FALSE)))+('PlayerGrades+'!$Y$51*(VLOOKUP(M409, 'PlayerGrades+'!$X$3:$Y$23, 2, FALSE)))+('PlayerGrades+'!$Y$52*(VLOOKUP(O409, 'PlayerGrades+'!$X$3:$Y$23, 2, FALSE)))+('PlayerGrades+'!$Y$53*(VLOOKUP(Q409, 'PlayerGrades+'!$X$3:$Y$23, 2, FALSE)))+('PlayerGrades+'!$Y$54*(VLOOKUP(S409, 'PlayerGrades+'!$X$3:$Y$23, 2, FALSE)))+('PlayerGrades+'!$Y$55*(VLOOKUP(U409, 'PlayerGrades+'!$X$3:$Y$23, 2, FALSE)))</f>
        <v>10.6</v>
      </c>
      <c r="D409" s="937">
        <f t="shared" si="1"/>
        <v>0</v>
      </c>
      <c r="E409" s="937" t="str">
        <f>IF(D409&lt;'PlayerGrades+'!$AA$21,"F-",IF(D409&lt;'PlayerGrades+'!$AA$20,"F",IF(D409&lt;'PlayerGrades+'!$AA$19,"F+",IF(D409&lt;'PlayerGrades+'!$AA$18,"E-",IF(D409&lt;'PlayerGrades+'!$AA$17,"E",IF(D409&lt;'PlayerGrades+'!$AA$16,"E+",IF(D409&lt;'PlayerGrades+'!$AA$15,"D-",IF(D409&lt;'PlayerGrades+'!$AA$14,"D",IF(D409&lt;'PlayerGrades+'!$AA$13,"D+",IF(D409&lt;'PlayerGrades+'!$AA$12,"C-",IF(D409&lt;'PlayerGrades+'!$AA$11,"C",IF(D409&lt;'PlayerGrades+'!$AA$10,"C+",IF(D409&lt;'PlayerGrades+'!$AA$9,"B-",IF(D409&lt;'PlayerGrades+'!$AA$8,"B",IF(D409&lt;'PlayerGrades+'!$AA$7,"B+",IF(D409&lt;'PlayerGrades+'!$AA$6,"A-",IF(D409&lt;'PlayerGrades+'!$AA$5,"A",IF(D409&lt;'PlayerGrades+'!$AA$4,"A+",IF(D409&lt;'PlayerGrades+'!$AA$3,"S-",IF(D409&lt;'PlayerGrades+'!$AA$2,"S","S+"))))))))))))))))))))</f>
        <v>F-</v>
      </c>
      <c r="F409" s="937">
        <f t="shared" si="2"/>
        <v>-0.6300484653</v>
      </c>
      <c r="G409" s="937" t="str">
        <f>IF(F409&lt;'PlayerGrades+'!$AB$21,"F-",IF(F409&lt;'PlayerGrades+'!$AB$20,"F",IF(F409&lt;'PlayerGrades+'!$AB$19,"F+",IF(F409&lt;'PlayerGrades+'!$AB$18,"E-",IF(F409&lt;'PlayerGrades+'!$AB$17,"E",IF(F409&lt;'PlayerGrades+'!$AB$16,"E+",IF(F409&lt;'PlayerGrades+'!$AB$15,"D-",IF(F409&lt;'PlayerGrades+'!$AB$14,"D",IF(F409&lt;'PlayerGrades+'!$AB$13,"D+",IF(F409&lt;'PlayerGrades+'!$AB$12,"C-",IF(F409&lt;'PlayerGrades+'!$AB$11,"C",IF(F409&lt;'PlayerGrades+'!$AB$10,"C+",IF(F409&lt;'PlayerGrades+'!$AB$9,"B-",IF(F409&lt;'PlayerGrades+'!$AB$8,"B",IF(F409&lt;'PlayerGrades+'!$AB$7,"B+",IF(F409&lt;'PlayerGrades+'!$AB$6,"A-",IF(F409&lt;'PlayerGrades+'!$AB$5,"A",IF(F409&lt;'PlayerGrades+'!$AB$4,"A+",IF(F409&lt;'PlayerGrades+'!$AB$3,"S-",IF(F409&lt;'PlayerGrades+'!$AB$2,"S","S+"))))))))))))))))))))</f>
        <v>D-</v>
      </c>
      <c r="H409" s="937">
        <f t="shared" si="3"/>
        <v>0.04846526656</v>
      </c>
      <c r="I409" s="937" t="str">
        <f>IF(H409&lt;'PlayerGrades+'!$AC$21,"F-",IF(H409&lt;'PlayerGrades+'!$AC$20,"F",IF(H409&lt;'PlayerGrades+'!$AC$19,"F+",IF(H409&lt;'PlayerGrades+'!$AC$18,"E-",IF(H409&lt;'PlayerGrades+'!$AC$17,"E",IF(H409&lt;'PlayerGrades+'!$AC$16,"E+",IF(H409&lt;'PlayerGrades+'!$AC$15,"D-",IF(H409&lt;'PlayerGrades+'!$AC$14,"D",IF(H409&lt;'PlayerGrades+'!$AC$13,"D+",IF(H409&lt;'PlayerGrades+'!$AC$12,"C-",IF(H409&lt;'PlayerGrades+'!$AC$11,"C",IF(H409&lt;'PlayerGrades+'!$AC$10,"C+",IF(H409&lt;'PlayerGrades+'!$AC$9,"B-",IF(H409&lt;'PlayerGrades+'!$AC$8,"B",IF(H409&lt;'PlayerGrades+'!$AC$7,"B+",IF(H409&lt;'PlayerGrades+'!$AC$6,"A-",IF(H409&lt;'PlayerGrades+'!$AC$5,"A",IF(H409&lt;'PlayerGrades+'!$AC$4,"A+",IF(H409&lt;'PlayerGrades+'!$AC$3,"S-",IF(H409&lt;'PlayerGrades+'!$AC$2,"S","S+"))))))))))))))))))))</f>
        <v>F</v>
      </c>
      <c r="J409" s="937">
        <f t="shared" si="4"/>
        <v>0</v>
      </c>
      <c r="K409" s="937" t="str">
        <f>IF(J409&lt;'PlayerGrades+'!$AD$21,"F-",IF(J409&lt;'PlayerGrades+'!$AD$20,"F",IF(J409&lt;'PlayerGrades+'!$AD$19,"F+",IF(J409&lt;'PlayerGrades+'!$AD$18,"E-",IF(J409&lt;'PlayerGrades+'!$AD$17,"E",IF(J409&lt;'PlayerGrades+'!$AD$16,"E+",IF(J409&lt;'PlayerGrades+'!$AD$15,"D-",IF(J409&lt;'PlayerGrades+'!$AD$14,"D",IF(J409&lt;'PlayerGrades+'!$AD$13,"D+",IF(J409&lt;'PlayerGrades+'!$AD$12,"C-",IF(J409&lt;'PlayerGrades+'!$AD$11,"C",IF(J409&lt;'PlayerGrades+'!$AD$10,"C+",IF(J409&lt;'PlayerGrades+'!$AD$9,"B-",IF(J409&lt;'PlayerGrades+'!$AD$8,"B",IF(J409&lt;'PlayerGrades+'!$AD$7,"B+",IF(J409&lt;'PlayerGrades+'!$AD$6,"A-",IF(J409&lt;'PlayerGrades+'!$AD$5,"A",IF(J409&lt;'PlayerGrades+'!$AD$4,"A+",IF(J409&lt;'PlayerGrades+'!$AD$3,"S-",IF(J409&lt;'PlayerGrades+'!$AD$2,"S","S+"))))))))))))))))))))</f>
        <v>F-</v>
      </c>
      <c r="L409" s="677">
        <f t="shared" si="5"/>
        <v>0.2907915994</v>
      </c>
      <c r="M409" s="938" t="str">
        <f>IF(L409&lt;'PlayerGrades+'!$AE$21,"F-",IF(L409&lt;'PlayerGrades+'!$AE$20,"F",IF(L409&lt;'PlayerGrades+'!$AE$19,"F+",IF(L409&lt;'PlayerGrades+'!$AE$18,"E-",IF(L409&lt;'PlayerGrades+'!$AE$17,"E",IF(L409&lt;'PlayerGrades+'!$AE$16,"E+",IF(L409&lt;'PlayerGrades+'!$AE$15,"D-",IF(L409&lt;'PlayerGrades+'!$AE$14,"D",IF(L409&lt;'PlayerGrades+'!$AE$13,"D+",IF(L409&lt;'PlayerGrades+'!$AE$12,"C-",IF(L409&lt;'PlayerGrades+'!$AE$11,"C",IF(L409&lt;'PlayerGrades+'!$AE$10,"C+",IF(L409&lt;'PlayerGrades+'!$AE$9,"B-",IF(L409&lt;'PlayerGrades+'!$AE$8,"B",IF(L409&lt;'PlayerGrades+'!$AE$7,"B+",IF(L409&lt;'PlayerGrades+'!$AE$6,"A-",IF(L409&lt;'PlayerGrades+'!$AE$5,"A",IF(L409&lt;'PlayerGrades+'!$AE$4,"A+",IF(L409&lt;'PlayerGrades+'!$AE$3,"S-",IF(L409&lt;'PlayerGrades+'!$AE$2,"S","S+"))))))))))))))))))))</f>
        <v>F+</v>
      </c>
      <c r="N409" s="937">
        <f t="shared" si="6"/>
        <v>0</v>
      </c>
      <c r="O409" s="937" t="str">
        <f>IF(N409&lt;'PlayerGrades+'!$AF$21,"F-",IF(N409&lt;'PlayerGrades+'!$AF$20,"F",IF(N409&lt;'PlayerGrades+'!$AF$19,"F+",IF(N409&lt;'PlayerGrades+'!$AF$18,"E-",IF(N409&lt;'PlayerGrades+'!$AF$17,"E",IF(N409&lt;'PlayerGrades+'!$AF$16,"E+",IF(N409&lt;'PlayerGrades+'!$AF$15,"D-",IF(N409&lt;'PlayerGrades+'!$AF$14,"D",IF(N409&lt;'PlayerGrades+'!$AF$13,"D+",IF(N409&lt;'PlayerGrades+'!$AF$12,"C-",IF(N409&lt;'PlayerGrades+'!$AF$11,"C",IF(N409&lt;'PlayerGrades+'!$AF$10,"C+",IF(N409&lt;'PlayerGrades+'!$AF$9,"B-",IF(N409&lt;'PlayerGrades+'!$AF$8,"B",IF(N409&lt;'PlayerGrades+'!$AF$7,"B+",IF(N409&lt;'PlayerGrades+'!$AF$6,"A-",IF(N409&lt;'PlayerGrades+'!$AF$5,"A",IF(N409&lt;'PlayerGrades+'!$AF$4,"A+",IF(N409&lt;'PlayerGrades+'!$AF$3,"S-",IF(N409&lt;'PlayerGrades+'!$AF$2,"S","S+"))))))))))))))))))))</f>
        <v>F-</v>
      </c>
      <c r="P409" s="937">
        <f t="shared" si="7"/>
        <v>0</v>
      </c>
      <c r="Q409" s="937" t="str">
        <f>IF(P409&lt;'PlayerGrades+'!$AG$21,"F-",IF(P409&lt;'PlayerGrades+'!$AG$20,"F",IF(P409&lt;'PlayerGrades+'!$AG$19,"F+",IF(P409&lt;'PlayerGrades+'!$AG$18,"E-",IF(P409&lt;'PlayerGrades+'!$AG$17,"E",IF(P409&lt;'PlayerGrades+'!$AG$16,"E+",IF(P409&lt;'PlayerGrades+'!$AG$15,"D-",IF(P409&lt;'PlayerGrades+'!$AG$14,"D",IF(P409&lt;'PlayerGrades+'!$AG$13,"D+",IF(P409&lt;'PlayerGrades+'!$AG$12,"C-",IF(P409&lt;'PlayerGrades+'!$AG$11,"C",IF(P409&lt;'PlayerGrades+'!$AG$10,"C+",IF(P409&lt;'PlayerGrades+'!$AG$9,"B-",IF(P409&lt;'PlayerGrades+'!$AG$8,"B",IF(P409&lt;'PlayerGrades+'!$AG$7,"B+",IF(P409&lt;'PlayerGrades+'!$AG$6,"A-",IF(P409&lt;'PlayerGrades+'!$AG$5,"A",IF(P409&lt;'PlayerGrades+'!$AG$4,"A+",IF(P409&lt;'PlayerGrades+'!$AG$3,"S-",IF(P409&lt;'PlayerGrades+'!$AG$2,"S","S+"))))))))))))))))))))</f>
        <v>F</v>
      </c>
      <c r="R409" s="937">
        <f t="shared" si="8"/>
        <v>0.8723747981</v>
      </c>
      <c r="S409" s="937" t="str">
        <f>IF(R409&lt;'PlayerGrades+'!$AH$21,"F-",IF(R409&lt;'PlayerGrades+'!$AH$20,"F",IF(R409&lt;'PlayerGrades+'!$AH$19,"F+",IF(R409&lt;'PlayerGrades+'!$AH$18,"E-",IF(R409&lt;'PlayerGrades+'!$AH$17,"E",IF(R409&lt;'PlayerGrades+'!$AH$16,"E+",IF(R409&lt;'PlayerGrades+'!$AH$15,"D-",IF(R409&lt;'PlayerGrades+'!$AH$14,"D",IF(R409&lt;'PlayerGrades+'!$AH$13,"D+",IF(R409&lt;'PlayerGrades+'!$AH$12,"C-",IF(R409&lt;'PlayerGrades+'!$AH$11,"C",IF(R409&lt;'PlayerGrades+'!$AH$10,"C+",IF(R409&lt;'PlayerGrades+'!$AH$9,"B-",IF(R409&lt;'PlayerGrades+'!$AH$8,"B",IF(R409&lt;'PlayerGrades+'!$AH$7,"B+",IF(R409&lt;'PlayerGrades+'!$AH$6,"A-",IF(R409&lt;'PlayerGrades+'!$AH$5,"A",IF(R409&lt;'PlayerGrades+'!$AH$4,"A+",IF(R409&lt;'PlayerGrades+'!$AH$3,"S-",IF(R409&lt;'PlayerGrades+'!$AH$2,"S","S+"))))))))))))))))))))</f>
        <v>S+</v>
      </c>
      <c r="T409" s="937">
        <f t="shared" si="9"/>
        <v>0.5815831987</v>
      </c>
      <c r="U409" s="937" t="str">
        <f>IF(T409&lt;'PlayerGrades+'!$AI$21,"F-",IF(T409&lt;'PlayerGrades+'!$AI$20,"F",IF(T409&lt;'PlayerGrades+'!$AI$19,"F+",IF(T409&lt;'PlayerGrades+'!$AI$18,"E-",IF(T409&lt;'PlayerGrades+'!$AI$17,"E",IF(T409&lt;'PlayerGrades+'!$AI$16,"E+",IF(T409&lt;'PlayerGrades+'!$AI$15,"D-",IF(T409&lt;'PlayerGrades+'!$AI$14,"D",IF(T409&lt;'PlayerGrades+'!$AI$13,"D+",IF(T409&lt;'PlayerGrades+'!$AI$12,"C-",IF(T409&lt;'PlayerGrades+'!$AI$11,"C",IF(T409&lt;'PlayerGrades+'!$AI$10,"C+",IF(T409&lt;'PlayerGrades+'!$AI$9,"B-",IF(T409&lt;'PlayerGrades+'!$AI$8,"B",IF(T409&lt;'PlayerGrades+'!$AI$7,"B+",IF(T409&lt;'PlayerGrades+'!$AI$6,"A-",IF(T409&lt;'PlayerGrades+'!$AI$5,"A",IF(T409&lt;'PlayerGrades+'!$AI$4,"A+",IF(T409&lt;'PlayerGrades+'!$AI$3,"S-",IF(T409&lt;'PlayerGrades+'!$AI$2,"S","S+"))))))))))))))))))))</f>
        <v>F-</v>
      </c>
      <c r="V409" s="944">
        <v>1.0</v>
      </c>
      <c r="W409" s="944">
        <v>0.0</v>
      </c>
      <c r="X409" s="944">
        <v>1.0</v>
      </c>
      <c r="Y409" s="944">
        <v>0.0</v>
      </c>
      <c r="Z409" s="944">
        <v>0.0</v>
      </c>
      <c r="AA409" s="944">
        <v>61.0</v>
      </c>
      <c r="AB409" s="944">
        <v>74.0</v>
      </c>
      <c r="AC409" s="944">
        <v>-13.0</v>
      </c>
      <c r="AD409" s="944">
        <v>7.0</v>
      </c>
      <c r="AE409" s="944">
        <v>3.0</v>
      </c>
      <c r="AF409" s="944">
        <v>0.0</v>
      </c>
      <c r="AG409" s="944">
        <v>926.0</v>
      </c>
      <c r="AH409" s="944">
        <v>1238.0</v>
      </c>
      <c r="AI409" s="944">
        <v>12.0</v>
      </c>
      <c r="AJ409" s="944">
        <v>2.0</v>
      </c>
      <c r="AK409" s="944">
        <v>0.0</v>
      </c>
      <c r="AL409" s="944">
        <v>0.0</v>
      </c>
      <c r="AM409" s="944">
        <v>0.0</v>
      </c>
      <c r="AN409" s="944">
        <v>0.0</v>
      </c>
      <c r="AO409" s="944">
        <v>0.0</v>
      </c>
      <c r="AP409" s="944">
        <v>0.0</v>
      </c>
      <c r="AQ409" s="944">
        <v>0.0</v>
      </c>
      <c r="AR409" s="944">
        <v>6.0</v>
      </c>
      <c r="AS409" s="944">
        <v>0.0</v>
      </c>
      <c r="AT409" s="944">
        <v>0.0</v>
      </c>
      <c r="AU409" s="944">
        <v>0.0</v>
      </c>
      <c r="AV409" s="944">
        <v>0.0</v>
      </c>
      <c r="AW409" s="944">
        <v>0.0</v>
      </c>
      <c r="AX409" s="944">
        <v>0.0</v>
      </c>
      <c r="AY409" s="944">
        <v>0.0</v>
      </c>
      <c r="AZ409" s="944">
        <v>0.0</v>
      </c>
      <c r="BA409" s="944">
        <v>0.0</v>
      </c>
      <c r="BB409" s="944">
        <v>1.0</v>
      </c>
      <c r="BC409" s="944">
        <v>0.0</v>
      </c>
      <c r="BD409" s="944">
        <v>11.0</v>
      </c>
      <c r="BE409" s="944">
        <v>12.0</v>
      </c>
      <c r="BF409" s="944">
        <v>0.0</v>
      </c>
      <c r="BG409" s="945">
        <v>0.0</v>
      </c>
    </row>
    <row r="410">
      <c r="A410" s="946" t="s">
        <v>128</v>
      </c>
      <c r="B410" s="16" t="str">
        <f>IF(C410&lt;'PlayerGrades+'!$Y$44,"F-",IF(C410&lt;'PlayerGrades+'!$Y$43,"F",IF(C410&lt;'PlayerGrades+'!$Y$42,"F+",IF(C410&lt;'PlayerGrades+'!$Y$41,"E-",IF(C410&lt;'PlayerGrades+'!$Y$40,"E",IF(C410&lt;'PlayerGrades+'!$Y$39,"E+",IF(C410&lt;'PlayerGrades+'!$Y$38,"D-",IF(C410&lt;'PlayerGrades+'!$Y$37,"D",IF(C410&lt;'PlayerGrades+'!$Y$36,"D+",IF(C410&lt;'PlayerGrades+'!$Y$35,"C-",IF(C410&lt;'PlayerGrades+'!$Y$34,"C",IF(C410&lt;'PlayerGrades+'!$Y$33,"C+",IF(C410&lt;'PlayerGrades+'!$Y$32,"B-",IF(C410&lt;'PlayerGrades+'!$Y$31,"B",IF(C410&lt;'PlayerGrades+'!$Y$30,"B+",IF(C410&lt;'PlayerGrades+'!$Y$29,"A-",IF(C410&lt;'PlayerGrades+'!$Y$28,"A",IF(C410&lt;'PlayerGrades+'!$Y$27,"A+",IF(C410&lt;'PlayerGrades+'!$Y$26,"S-",IF(C410&lt;'PlayerGrades+'!$Y$25,"S","S+"))))))))))))))))))))</f>
        <v>E</v>
      </c>
      <c r="C410" s="936">
        <f>('PlayerGrades+'!$Y$47*(VLOOKUP(E410, 'PlayerGrades+'!$X$3:$Y$23, 2, FALSE)))+('PlayerGrades+'!$Y$48*(VLOOKUP(G410, 'PlayerGrades+'!$X$3:$Y$23, 2, FALSE)))+('PlayerGrades+'!$Y$49*(VLOOKUP(I410, 'PlayerGrades+'!$X$3:$Y$23, 2, FALSE)))+('PlayerGrades+'!$Y$50*(VLOOKUP(K410, 'PlayerGrades+'!$X$3:$Y$23, 2, FALSE)))+('PlayerGrades+'!$Y$51*(VLOOKUP(M410, 'PlayerGrades+'!$X$3:$Y$23, 2, FALSE)))+('PlayerGrades+'!$Y$52*(VLOOKUP(O410, 'PlayerGrades+'!$X$3:$Y$23, 2, FALSE)))+('PlayerGrades+'!$Y$53*(VLOOKUP(Q410, 'PlayerGrades+'!$X$3:$Y$23, 2, FALSE)))+('PlayerGrades+'!$Y$54*(VLOOKUP(S410, 'PlayerGrades+'!$X$3:$Y$23, 2, FALSE)))+('PlayerGrades+'!$Y$55*(VLOOKUP(U410, 'PlayerGrades+'!$X$3:$Y$23, 2, FALSE)))</f>
        <v>13.15</v>
      </c>
      <c r="D410" s="937">
        <f t="shared" si="1"/>
        <v>0.3661327231</v>
      </c>
      <c r="E410" s="937" t="str">
        <f>IF(D410&lt;'PlayerGrades+'!$AA$21,"F-",IF(D410&lt;'PlayerGrades+'!$AA$20,"F",IF(D410&lt;'PlayerGrades+'!$AA$19,"F+",IF(D410&lt;'PlayerGrades+'!$AA$18,"E-",IF(D410&lt;'PlayerGrades+'!$AA$17,"E",IF(D410&lt;'PlayerGrades+'!$AA$16,"E+",IF(D410&lt;'PlayerGrades+'!$AA$15,"D-",IF(D410&lt;'PlayerGrades+'!$AA$14,"D",IF(D410&lt;'PlayerGrades+'!$AA$13,"D+",IF(D410&lt;'PlayerGrades+'!$AA$12,"C-",IF(D410&lt;'PlayerGrades+'!$AA$11,"C",IF(D410&lt;'PlayerGrades+'!$AA$10,"C+",IF(D410&lt;'PlayerGrades+'!$AA$9,"B-",IF(D410&lt;'PlayerGrades+'!$AA$8,"B",IF(D410&lt;'PlayerGrades+'!$AA$7,"B+",IF(D410&lt;'PlayerGrades+'!$AA$6,"A-",IF(D410&lt;'PlayerGrades+'!$AA$5,"A",IF(D410&lt;'PlayerGrades+'!$AA$4,"A+",IF(D410&lt;'PlayerGrades+'!$AA$3,"S-",IF(D410&lt;'PlayerGrades+'!$AA$2,"S","S+"))))))))))))))))))))</f>
        <v>A</v>
      </c>
      <c r="F410" s="937">
        <f t="shared" si="2"/>
        <v>-0.823798627</v>
      </c>
      <c r="G410" s="937" t="str">
        <f>IF(F410&lt;'PlayerGrades+'!$AB$21,"F-",IF(F410&lt;'PlayerGrades+'!$AB$20,"F",IF(F410&lt;'PlayerGrades+'!$AB$19,"F+",IF(F410&lt;'PlayerGrades+'!$AB$18,"E-",IF(F410&lt;'PlayerGrades+'!$AB$17,"E",IF(F410&lt;'PlayerGrades+'!$AB$16,"E+",IF(F410&lt;'PlayerGrades+'!$AB$15,"D-",IF(F410&lt;'PlayerGrades+'!$AB$14,"D",IF(F410&lt;'PlayerGrades+'!$AB$13,"D+",IF(F410&lt;'PlayerGrades+'!$AB$12,"C-",IF(F410&lt;'PlayerGrades+'!$AB$11,"C",IF(F410&lt;'PlayerGrades+'!$AB$10,"C+",IF(F410&lt;'PlayerGrades+'!$AB$9,"B-",IF(F410&lt;'PlayerGrades+'!$AB$8,"B",IF(F410&lt;'PlayerGrades+'!$AB$7,"B+",IF(F410&lt;'PlayerGrades+'!$AB$6,"A-",IF(F410&lt;'PlayerGrades+'!$AB$5,"A",IF(F410&lt;'PlayerGrades+'!$AB$4,"A+",IF(F410&lt;'PlayerGrades+'!$AB$3,"S-",IF(F410&lt;'PlayerGrades+'!$AB$2,"S","S+"))))))))))))))))))))</f>
        <v>E</v>
      </c>
      <c r="H410" s="937">
        <f t="shared" si="3"/>
        <v>0.04576659039</v>
      </c>
      <c r="I410" s="937" t="str">
        <f>IF(H410&lt;'PlayerGrades+'!$AC$21,"F-",IF(H410&lt;'PlayerGrades+'!$AC$20,"F",IF(H410&lt;'PlayerGrades+'!$AC$19,"F+",IF(H410&lt;'PlayerGrades+'!$AC$18,"E-",IF(H410&lt;'PlayerGrades+'!$AC$17,"E",IF(H410&lt;'PlayerGrades+'!$AC$16,"E+",IF(H410&lt;'PlayerGrades+'!$AC$15,"D-",IF(H410&lt;'PlayerGrades+'!$AC$14,"D",IF(H410&lt;'PlayerGrades+'!$AC$13,"D+",IF(H410&lt;'PlayerGrades+'!$AC$12,"C-",IF(H410&lt;'PlayerGrades+'!$AC$11,"C",IF(H410&lt;'PlayerGrades+'!$AC$10,"C+",IF(H410&lt;'PlayerGrades+'!$AC$9,"B-",IF(H410&lt;'PlayerGrades+'!$AC$8,"B",IF(H410&lt;'PlayerGrades+'!$AC$7,"B+",IF(H410&lt;'PlayerGrades+'!$AC$6,"A-",IF(H410&lt;'PlayerGrades+'!$AC$5,"A",IF(H410&lt;'PlayerGrades+'!$AC$4,"A+",IF(H410&lt;'PlayerGrades+'!$AC$3,"S-",IF(H410&lt;'PlayerGrades+'!$AC$2,"S","S+"))))))))))))))))))))</f>
        <v>F</v>
      </c>
      <c r="J410" s="937">
        <f t="shared" si="4"/>
        <v>0</v>
      </c>
      <c r="K410" s="937" t="str">
        <f>IF(J410&lt;'PlayerGrades+'!$AD$21,"F-",IF(J410&lt;'PlayerGrades+'!$AD$20,"F",IF(J410&lt;'PlayerGrades+'!$AD$19,"F+",IF(J410&lt;'PlayerGrades+'!$AD$18,"E-",IF(J410&lt;'PlayerGrades+'!$AD$17,"E",IF(J410&lt;'PlayerGrades+'!$AD$16,"E+",IF(J410&lt;'PlayerGrades+'!$AD$15,"D-",IF(J410&lt;'PlayerGrades+'!$AD$14,"D",IF(J410&lt;'PlayerGrades+'!$AD$13,"D+",IF(J410&lt;'PlayerGrades+'!$AD$12,"C-",IF(J410&lt;'PlayerGrades+'!$AD$11,"C",IF(J410&lt;'PlayerGrades+'!$AD$10,"C+",IF(J410&lt;'PlayerGrades+'!$AD$9,"B-",IF(J410&lt;'PlayerGrades+'!$AD$8,"B",IF(J410&lt;'PlayerGrades+'!$AD$7,"B+",IF(J410&lt;'PlayerGrades+'!$AD$6,"A-",IF(J410&lt;'PlayerGrades+'!$AD$5,"A",IF(J410&lt;'PlayerGrades+'!$AD$4,"A+",IF(J410&lt;'PlayerGrades+'!$AD$3,"S-",IF(J410&lt;'PlayerGrades+'!$AD$2,"S","S+"))))))))))))))))))))</f>
        <v>F-</v>
      </c>
      <c r="L410" s="677">
        <f t="shared" si="5"/>
        <v>0.4118993135</v>
      </c>
      <c r="M410" s="938" t="str">
        <f>IF(L410&lt;'PlayerGrades+'!$AE$21,"F-",IF(L410&lt;'PlayerGrades+'!$AE$20,"F",IF(L410&lt;'PlayerGrades+'!$AE$19,"F+",IF(L410&lt;'PlayerGrades+'!$AE$18,"E-",IF(L410&lt;'PlayerGrades+'!$AE$17,"E",IF(L410&lt;'PlayerGrades+'!$AE$16,"E+",IF(L410&lt;'PlayerGrades+'!$AE$15,"D-",IF(L410&lt;'PlayerGrades+'!$AE$14,"D",IF(L410&lt;'PlayerGrades+'!$AE$13,"D+",IF(L410&lt;'PlayerGrades+'!$AE$12,"C-",IF(L410&lt;'PlayerGrades+'!$AE$11,"C",IF(L410&lt;'PlayerGrades+'!$AE$10,"C+",IF(L410&lt;'PlayerGrades+'!$AE$9,"B-",IF(L410&lt;'PlayerGrades+'!$AE$8,"B",IF(L410&lt;'PlayerGrades+'!$AE$7,"B+",IF(L410&lt;'PlayerGrades+'!$AE$6,"A-",IF(L410&lt;'PlayerGrades+'!$AE$5,"A",IF(L410&lt;'PlayerGrades+'!$AE$4,"A+",IF(L410&lt;'PlayerGrades+'!$AE$3,"S-",IF(L410&lt;'PlayerGrades+'!$AE$2,"S","S+"))))))))))))))))))))</f>
        <v>C+</v>
      </c>
      <c r="N410" s="937">
        <f t="shared" si="6"/>
        <v>0.04576659039</v>
      </c>
      <c r="O410" s="937" t="str">
        <f>IF(N410&lt;'PlayerGrades+'!$AF$21,"F-",IF(N410&lt;'PlayerGrades+'!$AF$20,"F",IF(N410&lt;'PlayerGrades+'!$AF$19,"F+",IF(N410&lt;'PlayerGrades+'!$AF$18,"E-",IF(N410&lt;'PlayerGrades+'!$AF$17,"E",IF(N410&lt;'PlayerGrades+'!$AF$16,"E+",IF(N410&lt;'PlayerGrades+'!$AF$15,"D-",IF(N410&lt;'PlayerGrades+'!$AF$14,"D",IF(N410&lt;'PlayerGrades+'!$AF$13,"D+",IF(N410&lt;'PlayerGrades+'!$AF$12,"C-",IF(N410&lt;'PlayerGrades+'!$AF$11,"C",IF(N410&lt;'PlayerGrades+'!$AF$10,"C+",IF(N410&lt;'PlayerGrades+'!$AF$9,"B-",IF(N410&lt;'PlayerGrades+'!$AF$8,"B",IF(N410&lt;'PlayerGrades+'!$AF$7,"B+",IF(N410&lt;'PlayerGrades+'!$AF$6,"A-",IF(N410&lt;'PlayerGrades+'!$AF$5,"A",IF(N410&lt;'PlayerGrades+'!$AF$4,"A+",IF(N410&lt;'PlayerGrades+'!$AF$3,"S-",IF(N410&lt;'PlayerGrades+'!$AF$2,"S","S+"))))))))))))))))))))</f>
        <v>E+</v>
      </c>
      <c r="P410" s="937">
        <f t="shared" si="7"/>
        <v>0</v>
      </c>
      <c r="Q410" s="937" t="str">
        <f>IF(P410&lt;'PlayerGrades+'!$AG$21,"F-",IF(P410&lt;'PlayerGrades+'!$AG$20,"F",IF(P410&lt;'PlayerGrades+'!$AG$19,"F+",IF(P410&lt;'PlayerGrades+'!$AG$18,"E-",IF(P410&lt;'PlayerGrades+'!$AG$17,"E",IF(P410&lt;'PlayerGrades+'!$AG$16,"E+",IF(P410&lt;'PlayerGrades+'!$AG$15,"D-",IF(P410&lt;'PlayerGrades+'!$AG$14,"D",IF(P410&lt;'PlayerGrades+'!$AG$13,"D+",IF(P410&lt;'PlayerGrades+'!$AG$12,"C-",IF(P410&lt;'PlayerGrades+'!$AG$11,"C",IF(P410&lt;'PlayerGrades+'!$AG$10,"C+",IF(P410&lt;'PlayerGrades+'!$AG$9,"B-",IF(P410&lt;'PlayerGrades+'!$AG$8,"B",IF(P410&lt;'PlayerGrades+'!$AG$7,"B+",IF(P410&lt;'PlayerGrades+'!$AG$6,"A-",IF(P410&lt;'PlayerGrades+'!$AG$5,"A",IF(P410&lt;'PlayerGrades+'!$AG$4,"A+",IF(P410&lt;'PlayerGrades+'!$AG$3,"S-",IF(P410&lt;'PlayerGrades+'!$AG$2,"S","S+"))))))))))))))))))))</f>
        <v>F</v>
      </c>
      <c r="R410" s="937">
        <f t="shared" si="8"/>
        <v>0.3661327231</v>
      </c>
      <c r="S410" s="937" t="str">
        <f>IF(R410&lt;'PlayerGrades+'!$AH$21,"F-",IF(R410&lt;'PlayerGrades+'!$AH$20,"F",IF(R410&lt;'PlayerGrades+'!$AH$19,"F+",IF(R410&lt;'PlayerGrades+'!$AH$18,"E-",IF(R410&lt;'PlayerGrades+'!$AH$17,"E",IF(R410&lt;'PlayerGrades+'!$AH$16,"E+",IF(R410&lt;'PlayerGrades+'!$AH$15,"D-",IF(R410&lt;'PlayerGrades+'!$AH$14,"D",IF(R410&lt;'PlayerGrades+'!$AH$13,"D+",IF(R410&lt;'PlayerGrades+'!$AH$12,"C-",IF(R410&lt;'PlayerGrades+'!$AH$11,"C",IF(R410&lt;'PlayerGrades+'!$AH$10,"C+",IF(R410&lt;'PlayerGrades+'!$AH$9,"B-",IF(R410&lt;'PlayerGrades+'!$AH$8,"B",IF(R410&lt;'PlayerGrades+'!$AH$7,"B+",IF(R410&lt;'PlayerGrades+'!$AH$6,"A-",IF(R410&lt;'PlayerGrades+'!$AH$5,"A",IF(R410&lt;'PlayerGrades+'!$AH$4,"A+",IF(R410&lt;'PlayerGrades+'!$AH$3,"S-",IF(R410&lt;'PlayerGrades+'!$AH$2,"S","S+"))))))))))))))))))))</f>
        <v>F</v>
      </c>
      <c r="T410" s="937">
        <f t="shared" si="9"/>
        <v>1.366132723</v>
      </c>
      <c r="U410" s="937" t="str">
        <f>IF(T410&lt;'PlayerGrades+'!$AI$21,"F-",IF(T410&lt;'PlayerGrades+'!$AI$20,"F",IF(T410&lt;'PlayerGrades+'!$AI$19,"F+",IF(T410&lt;'PlayerGrades+'!$AI$18,"E-",IF(T410&lt;'PlayerGrades+'!$AI$17,"E",IF(T410&lt;'PlayerGrades+'!$AI$16,"E+",IF(T410&lt;'PlayerGrades+'!$AI$15,"D-",IF(T410&lt;'PlayerGrades+'!$AI$14,"D",IF(T410&lt;'PlayerGrades+'!$AI$13,"D+",IF(T410&lt;'PlayerGrades+'!$AI$12,"C-",IF(T410&lt;'PlayerGrades+'!$AI$11,"C",IF(T410&lt;'PlayerGrades+'!$AI$10,"C+",IF(T410&lt;'PlayerGrades+'!$AI$9,"B-",IF(T410&lt;'PlayerGrades+'!$AI$8,"B",IF(T410&lt;'PlayerGrades+'!$AI$7,"B+",IF(T410&lt;'PlayerGrades+'!$AI$6,"A-",IF(T410&lt;'PlayerGrades+'!$AI$5,"A",IF(T410&lt;'PlayerGrades+'!$AI$4,"A+",IF(T410&lt;'PlayerGrades+'!$AI$3,"S-",IF(T410&lt;'PlayerGrades+'!$AI$2,"S","S+"))))))))))))))))))))</f>
        <v>B</v>
      </c>
      <c r="V410" s="939">
        <v>1.0</v>
      </c>
      <c r="W410" s="939">
        <v>1.0</v>
      </c>
      <c r="X410" s="939">
        <v>0.0</v>
      </c>
      <c r="Y410" s="939">
        <v>4.0</v>
      </c>
      <c r="Z410" s="939">
        <v>4.0</v>
      </c>
      <c r="AA410" s="939">
        <v>54.0</v>
      </c>
      <c r="AB410" s="939">
        <v>72.0</v>
      </c>
      <c r="AC410" s="939">
        <v>-18.0</v>
      </c>
      <c r="AD410" s="939">
        <v>5.0</v>
      </c>
      <c r="AE410" s="939">
        <v>4.0</v>
      </c>
      <c r="AF410" s="939">
        <v>0.0</v>
      </c>
      <c r="AG410" s="939">
        <v>1014.0</v>
      </c>
      <c r="AH410" s="939">
        <v>1311.0</v>
      </c>
      <c r="AI410" s="939">
        <v>14.0</v>
      </c>
      <c r="AJ410" s="939">
        <v>224.0</v>
      </c>
      <c r="AK410" s="939">
        <v>0.0</v>
      </c>
      <c r="AL410" s="939">
        <v>0.0</v>
      </c>
      <c r="AM410" s="939">
        <v>0.0</v>
      </c>
      <c r="AN410" s="939">
        <v>0.0</v>
      </c>
      <c r="AO410" s="939">
        <v>0.0</v>
      </c>
      <c r="AP410" s="939">
        <v>0.0</v>
      </c>
      <c r="AQ410" s="939">
        <v>0.0</v>
      </c>
      <c r="AR410" s="939">
        <v>9.0</v>
      </c>
      <c r="AS410" s="939">
        <v>1.0</v>
      </c>
      <c r="AT410" s="939">
        <v>1.0</v>
      </c>
      <c r="AU410" s="939">
        <v>0.0</v>
      </c>
      <c r="AV410" s="939">
        <v>0.0</v>
      </c>
      <c r="AW410" s="939">
        <v>0.0</v>
      </c>
      <c r="AX410" s="939">
        <v>0.0</v>
      </c>
      <c r="AY410" s="939">
        <v>0.0</v>
      </c>
      <c r="AZ410" s="939">
        <v>0.0</v>
      </c>
      <c r="BA410" s="939">
        <v>0.0</v>
      </c>
      <c r="BB410" s="939">
        <v>1.0</v>
      </c>
      <c r="BC410" s="939">
        <v>0.0</v>
      </c>
      <c r="BD410" s="939">
        <v>3.0</v>
      </c>
      <c r="BE410" s="939">
        <v>8.0</v>
      </c>
      <c r="BF410" s="939">
        <v>1.0</v>
      </c>
      <c r="BG410" s="940">
        <v>1.0</v>
      </c>
    </row>
    <row r="411">
      <c r="A411" s="935" t="s">
        <v>117</v>
      </c>
      <c r="B411" s="16" t="str">
        <f>IF(C411&lt;'PlayerGrades+'!$Y$44,"F-",IF(C411&lt;'PlayerGrades+'!$Y$43,"F",IF(C411&lt;'PlayerGrades+'!$Y$42,"F+",IF(C411&lt;'PlayerGrades+'!$Y$41,"E-",IF(C411&lt;'PlayerGrades+'!$Y$40,"E",IF(C411&lt;'PlayerGrades+'!$Y$39,"E+",IF(C411&lt;'PlayerGrades+'!$Y$38,"D-",IF(C411&lt;'PlayerGrades+'!$Y$37,"D",IF(C411&lt;'PlayerGrades+'!$Y$36,"D+",IF(C411&lt;'PlayerGrades+'!$Y$35,"C-",IF(C411&lt;'PlayerGrades+'!$Y$34,"C",IF(C411&lt;'PlayerGrades+'!$Y$33,"C+",IF(C411&lt;'PlayerGrades+'!$Y$32,"B-",IF(C411&lt;'PlayerGrades+'!$Y$31,"B",IF(C411&lt;'PlayerGrades+'!$Y$30,"B+",IF(C411&lt;'PlayerGrades+'!$Y$29,"A-",IF(C411&lt;'PlayerGrades+'!$Y$28,"A",IF(C411&lt;'PlayerGrades+'!$Y$27,"A+",IF(C411&lt;'PlayerGrades+'!$Y$26,"S-",IF(C411&lt;'PlayerGrades+'!$Y$25,"S","S+"))))))))))))))))))))</f>
        <v>A</v>
      </c>
      <c r="C411" s="936">
        <f>('PlayerGrades+'!$Y$47*(VLOOKUP(E411, 'PlayerGrades+'!$X$3:$Y$23, 2, FALSE)))+('PlayerGrades+'!$Y$48*(VLOOKUP(G411, 'PlayerGrades+'!$X$3:$Y$23, 2, FALSE)))+('PlayerGrades+'!$Y$49*(VLOOKUP(I411, 'PlayerGrades+'!$X$3:$Y$23, 2, FALSE)))+('PlayerGrades+'!$Y$50*(VLOOKUP(K411, 'PlayerGrades+'!$X$3:$Y$23, 2, FALSE)))+('PlayerGrades+'!$Y$51*(VLOOKUP(M411, 'PlayerGrades+'!$X$3:$Y$23, 2, FALSE)))+('PlayerGrades+'!$Y$52*(VLOOKUP(O411, 'PlayerGrades+'!$X$3:$Y$23, 2, FALSE)))+('PlayerGrades+'!$Y$53*(VLOOKUP(Q411, 'PlayerGrades+'!$X$3:$Y$23, 2, FALSE)))+('PlayerGrades+'!$Y$54*(VLOOKUP(S411, 'PlayerGrades+'!$X$3:$Y$23, 2, FALSE)))+('PlayerGrades+'!$Y$55*(VLOOKUP(U411, 'PlayerGrades+'!$X$3:$Y$23, 2, FALSE)))</f>
        <v>25.85</v>
      </c>
      <c r="D411" s="937">
        <f t="shared" si="1"/>
        <v>0.09153318078</v>
      </c>
      <c r="E411" s="937" t="str">
        <f>IF(D411&lt;'PlayerGrades+'!$AA$21,"F-",IF(D411&lt;'PlayerGrades+'!$AA$20,"F",IF(D411&lt;'PlayerGrades+'!$AA$19,"F+",IF(D411&lt;'PlayerGrades+'!$AA$18,"E-",IF(D411&lt;'PlayerGrades+'!$AA$17,"E",IF(D411&lt;'PlayerGrades+'!$AA$16,"E+",IF(D411&lt;'PlayerGrades+'!$AA$15,"D-",IF(D411&lt;'PlayerGrades+'!$AA$14,"D",IF(D411&lt;'PlayerGrades+'!$AA$13,"D+",IF(D411&lt;'PlayerGrades+'!$AA$12,"C-",IF(D411&lt;'PlayerGrades+'!$AA$11,"C",IF(D411&lt;'PlayerGrades+'!$AA$10,"C+",IF(D411&lt;'PlayerGrades+'!$AA$9,"B-",IF(D411&lt;'PlayerGrades+'!$AA$8,"B",IF(D411&lt;'PlayerGrades+'!$AA$7,"B+",IF(D411&lt;'PlayerGrades+'!$AA$6,"A-",IF(D411&lt;'PlayerGrades+'!$AA$5,"A",IF(D411&lt;'PlayerGrades+'!$AA$4,"A+",IF(D411&lt;'PlayerGrades+'!$AA$3,"S-",IF(D411&lt;'PlayerGrades+'!$AA$2,"S","S+"))))))))))))))))))))</f>
        <v>B</v>
      </c>
      <c r="F411" s="937">
        <f t="shared" si="2"/>
        <v>0.4118993135</v>
      </c>
      <c r="G411" s="937" t="str">
        <f>IF(F411&lt;'PlayerGrades+'!$AB$21,"F-",IF(F411&lt;'PlayerGrades+'!$AB$20,"F",IF(F411&lt;'PlayerGrades+'!$AB$19,"F+",IF(F411&lt;'PlayerGrades+'!$AB$18,"E-",IF(F411&lt;'PlayerGrades+'!$AB$17,"E",IF(F411&lt;'PlayerGrades+'!$AB$16,"E+",IF(F411&lt;'PlayerGrades+'!$AB$15,"D-",IF(F411&lt;'PlayerGrades+'!$AB$14,"D",IF(F411&lt;'PlayerGrades+'!$AB$13,"D+",IF(F411&lt;'PlayerGrades+'!$AB$12,"C-",IF(F411&lt;'PlayerGrades+'!$AB$11,"C",IF(F411&lt;'PlayerGrades+'!$AB$10,"C+",IF(F411&lt;'PlayerGrades+'!$AB$9,"B-",IF(F411&lt;'PlayerGrades+'!$AB$8,"B",IF(F411&lt;'PlayerGrades+'!$AB$7,"B+",IF(F411&lt;'PlayerGrades+'!$AB$6,"A-",IF(F411&lt;'PlayerGrades+'!$AB$5,"A",IF(F411&lt;'PlayerGrades+'!$AB$4,"A+",IF(F411&lt;'PlayerGrades+'!$AB$3,"S-",IF(F411&lt;'PlayerGrades+'!$AB$2,"S","S+"))))))))))))))))))))</f>
        <v>A</v>
      </c>
      <c r="H411" s="937">
        <f t="shared" si="3"/>
        <v>0.09153318078</v>
      </c>
      <c r="I411" s="937" t="str">
        <f>IF(H411&lt;'PlayerGrades+'!$AC$21,"F-",IF(H411&lt;'PlayerGrades+'!$AC$20,"F",IF(H411&lt;'PlayerGrades+'!$AC$19,"F+",IF(H411&lt;'PlayerGrades+'!$AC$18,"E-",IF(H411&lt;'PlayerGrades+'!$AC$17,"E",IF(H411&lt;'PlayerGrades+'!$AC$16,"E+",IF(H411&lt;'PlayerGrades+'!$AC$15,"D-",IF(H411&lt;'PlayerGrades+'!$AC$14,"D",IF(H411&lt;'PlayerGrades+'!$AC$13,"D+",IF(H411&lt;'PlayerGrades+'!$AC$12,"C-",IF(H411&lt;'PlayerGrades+'!$AC$11,"C",IF(H411&lt;'PlayerGrades+'!$AC$10,"C+",IF(H411&lt;'PlayerGrades+'!$AC$9,"B-",IF(H411&lt;'PlayerGrades+'!$AC$8,"B",IF(H411&lt;'PlayerGrades+'!$AC$7,"B+",IF(H411&lt;'PlayerGrades+'!$AC$6,"A-",IF(H411&lt;'PlayerGrades+'!$AC$5,"A",IF(H411&lt;'PlayerGrades+'!$AC$4,"A+",IF(H411&lt;'PlayerGrades+'!$AC$3,"S-",IF(H411&lt;'PlayerGrades+'!$AC$2,"S","S+"))))))))))))))))))))</f>
        <v>D</v>
      </c>
      <c r="J411" s="937">
        <f t="shared" si="4"/>
        <v>0.09153318078</v>
      </c>
      <c r="K411" s="937" t="str">
        <f>IF(J411&lt;'PlayerGrades+'!$AD$21,"F-",IF(J411&lt;'PlayerGrades+'!$AD$20,"F",IF(J411&lt;'PlayerGrades+'!$AD$19,"F+",IF(J411&lt;'PlayerGrades+'!$AD$18,"E-",IF(J411&lt;'PlayerGrades+'!$AD$17,"E",IF(J411&lt;'PlayerGrades+'!$AD$16,"E+",IF(J411&lt;'PlayerGrades+'!$AD$15,"D-",IF(J411&lt;'PlayerGrades+'!$AD$14,"D",IF(J411&lt;'PlayerGrades+'!$AD$13,"D+",IF(J411&lt;'PlayerGrades+'!$AD$12,"C-",IF(J411&lt;'PlayerGrades+'!$AD$11,"C",IF(J411&lt;'PlayerGrades+'!$AD$10,"C+",IF(J411&lt;'PlayerGrades+'!$AD$9,"B-",IF(J411&lt;'PlayerGrades+'!$AD$8,"B",IF(J411&lt;'PlayerGrades+'!$AD$7,"B+",IF(J411&lt;'PlayerGrades+'!$AD$6,"A-",IF(J411&lt;'PlayerGrades+'!$AD$5,"A",IF(J411&lt;'PlayerGrades+'!$AD$4,"A+",IF(J411&lt;'PlayerGrades+'!$AD$3,"S-",IF(J411&lt;'PlayerGrades+'!$AD$2,"S","S+"))))))))))))))))))))</f>
        <v>S-</v>
      </c>
      <c r="L411" s="677">
        <f t="shared" si="5"/>
        <v>0.3661327231</v>
      </c>
      <c r="M411" s="938" t="str">
        <f>IF(L411&lt;'PlayerGrades+'!$AE$21,"F-",IF(L411&lt;'PlayerGrades+'!$AE$20,"F",IF(L411&lt;'PlayerGrades+'!$AE$19,"F+",IF(L411&lt;'PlayerGrades+'!$AE$18,"E-",IF(L411&lt;'PlayerGrades+'!$AE$17,"E",IF(L411&lt;'PlayerGrades+'!$AE$16,"E+",IF(L411&lt;'PlayerGrades+'!$AE$15,"D-",IF(L411&lt;'PlayerGrades+'!$AE$14,"D",IF(L411&lt;'PlayerGrades+'!$AE$13,"D+",IF(L411&lt;'PlayerGrades+'!$AE$12,"C-",IF(L411&lt;'PlayerGrades+'!$AE$11,"C",IF(L411&lt;'PlayerGrades+'!$AE$10,"C+",IF(L411&lt;'PlayerGrades+'!$AE$9,"B-",IF(L411&lt;'PlayerGrades+'!$AE$8,"B",IF(L411&lt;'PlayerGrades+'!$AE$7,"B+",IF(L411&lt;'PlayerGrades+'!$AE$6,"A-",IF(L411&lt;'PlayerGrades+'!$AE$5,"A",IF(L411&lt;'PlayerGrades+'!$AE$4,"A+",IF(L411&lt;'PlayerGrades+'!$AE$3,"S-",IF(L411&lt;'PlayerGrades+'!$AE$2,"S","S+"))))))))))))))))))))</f>
        <v>C-</v>
      </c>
      <c r="N411" s="937">
        <f t="shared" si="6"/>
        <v>0.09153318078</v>
      </c>
      <c r="O411" s="937" t="str">
        <f>IF(N411&lt;'PlayerGrades+'!$AF$21,"F-",IF(N411&lt;'PlayerGrades+'!$AF$20,"F",IF(N411&lt;'PlayerGrades+'!$AF$19,"F+",IF(N411&lt;'PlayerGrades+'!$AF$18,"E-",IF(N411&lt;'PlayerGrades+'!$AF$17,"E",IF(N411&lt;'PlayerGrades+'!$AF$16,"E+",IF(N411&lt;'PlayerGrades+'!$AF$15,"D-",IF(N411&lt;'PlayerGrades+'!$AF$14,"D",IF(N411&lt;'PlayerGrades+'!$AF$13,"D+",IF(N411&lt;'PlayerGrades+'!$AF$12,"C-",IF(N411&lt;'PlayerGrades+'!$AF$11,"C",IF(N411&lt;'PlayerGrades+'!$AF$10,"C+",IF(N411&lt;'PlayerGrades+'!$AF$9,"B-",IF(N411&lt;'PlayerGrades+'!$AF$8,"B",IF(N411&lt;'PlayerGrades+'!$AF$7,"B+",IF(N411&lt;'PlayerGrades+'!$AF$6,"A-",IF(N411&lt;'PlayerGrades+'!$AF$5,"A",IF(N411&lt;'PlayerGrades+'!$AF$4,"A+",IF(N411&lt;'PlayerGrades+'!$AF$3,"S-",IF(N411&lt;'PlayerGrades+'!$AF$2,"S","S+"))))))))))))))))))))</f>
        <v>A-</v>
      </c>
      <c r="P411" s="937">
        <f t="shared" si="7"/>
        <v>0.04576659039</v>
      </c>
      <c r="Q411" s="937" t="str">
        <f>IF(P411&lt;'PlayerGrades+'!$AG$21,"F-",IF(P411&lt;'PlayerGrades+'!$AG$20,"F",IF(P411&lt;'PlayerGrades+'!$AG$19,"F+",IF(P411&lt;'PlayerGrades+'!$AG$18,"E-",IF(P411&lt;'PlayerGrades+'!$AG$17,"E",IF(P411&lt;'PlayerGrades+'!$AG$16,"E+",IF(P411&lt;'PlayerGrades+'!$AG$15,"D-",IF(P411&lt;'PlayerGrades+'!$AG$14,"D",IF(P411&lt;'PlayerGrades+'!$AG$13,"D+",IF(P411&lt;'PlayerGrades+'!$AG$12,"C-",IF(P411&lt;'PlayerGrades+'!$AG$11,"C",IF(P411&lt;'PlayerGrades+'!$AG$10,"C+",IF(P411&lt;'PlayerGrades+'!$AG$9,"B-",IF(P411&lt;'PlayerGrades+'!$AG$8,"B",IF(P411&lt;'PlayerGrades+'!$AG$7,"B+",IF(P411&lt;'PlayerGrades+'!$AG$6,"A-",IF(P411&lt;'PlayerGrades+'!$AG$5,"A",IF(P411&lt;'PlayerGrades+'!$AG$4,"A+",IF(P411&lt;'PlayerGrades+'!$AG$3,"S-",IF(P411&lt;'PlayerGrades+'!$AG$2,"S","S+"))))))))))))))))))))</f>
        <v>A</v>
      </c>
      <c r="R411" s="937">
        <f t="shared" si="8"/>
        <v>0.7322654462</v>
      </c>
      <c r="S411" s="937" t="str">
        <f>IF(R411&lt;'PlayerGrades+'!$AH$21,"F-",IF(R411&lt;'PlayerGrades+'!$AH$20,"F",IF(R411&lt;'PlayerGrades+'!$AH$19,"F+",IF(R411&lt;'PlayerGrades+'!$AH$18,"E-",IF(R411&lt;'PlayerGrades+'!$AH$17,"E",IF(R411&lt;'PlayerGrades+'!$AH$16,"E+",IF(R411&lt;'PlayerGrades+'!$AH$15,"D-",IF(R411&lt;'PlayerGrades+'!$AH$14,"D",IF(R411&lt;'PlayerGrades+'!$AH$13,"D+",IF(R411&lt;'PlayerGrades+'!$AH$12,"C-",IF(R411&lt;'PlayerGrades+'!$AH$11,"C",IF(R411&lt;'PlayerGrades+'!$AH$10,"C+",IF(R411&lt;'PlayerGrades+'!$AH$9,"B-",IF(R411&lt;'PlayerGrades+'!$AH$8,"B",IF(R411&lt;'PlayerGrades+'!$AH$7,"B+",IF(R411&lt;'PlayerGrades+'!$AH$6,"A-",IF(R411&lt;'PlayerGrades+'!$AH$5,"A",IF(R411&lt;'PlayerGrades+'!$AH$4,"A+",IF(R411&lt;'PlayerGrades+'!$AH$3,"S-",IF(R411&lt;'PlayerGrades+'!$AH$2,"S","S+"))))))))))))))))))))</f>
        <v>S</v>
      </c>
      <c r="T411" s="937">
        <f t="shared" si="9"/>
        <v>0.5034324943</v>
      </c>
      <c r="U411" s="937" t="str">
        <f>IF(T411&lt;'PlayerGrades+'!$AI$21,"F-",IF(T411&lt;'PlayerGrades+'!$AI$20,"F",IF(T411&lt;'PlayerGrades+'!$AI$19,"F+",IF(T411&lt;'PlayerGrades+'!$AI$18,"E-",IF(T411&lt;'PlayerGrades+'!$AI$17,"E",IF(T411&lt;'PlayerGrades+'!$AI$16,"E+",IF(T411&lt;'PlayerGrades+'!$AI$15,"D-",IF(T411&lt;'PlayerGrades+'!$AI$14,"D",IF(T411&lt;'PlayerGrades+'!$AI$13,"D+",IF(T411&lt;'PlayerGrades+'!$AI$12,"C-",IF(T411&lt;'PlayerGrades+'!$AI$11,"C",IF(T411&lt;'PlayerGrades+'!$AI$10,"C+",IF(T411&lt;'PlayerGrades+'!$AI$9,"B-",IF(T411&lt;'PlayerGrades+'!$AI$8,"B",IF(T411&lt;'PlayerGrades+'!$AI$7,"B+",IF(T411&lt;'PlayerGrades+'!$AI$6,"A-",IF(T411&lt;'PlayerGrades+'!$AI$5,"A",IF(T411&lt;'PlayerGrades+'!$AI$4,"A+",IF(T411&lt;'PlayerGrades+'!$AI$3,"S-",IF(T411&lt;'PlayerGrades+'!$AI$2,"S","S+"))))))))))))))))))))</f>
        <v>F-</v>
      </c>
      <c r="V411" s="941">
        <v>1.0</v>
      </c>
      <c r="W411" s="941">
        <v>1.0</v>
      </c>
      <c r="X411" s="941">
        <v>0.0</v>
      </c>
      <c r="Y411" s="941">
        <v>1.0</v>
      </c>
      <c r="Z411" s="941">
        <v>1.0</v>
      </c>
      <c r="AA411" s="941">
        <v>74.0</v>
      </c>
      <c r="AB411" s="941">
        <v>65.0</v>
      </c>
      <c r="AC411" s="941">
        <v>9.0</v>
      </c>
      <c r="AD411" s="941">
        <v>7.0</v>
      </c>
      <c r="AE411" s="941">
        <v>5.0</v>
      </c>
      <c r="AF411" s="941">
        <v>4.0</v>
      </c>
      <c r="AG411" s="941">
        <v>1039.0</v>
      </c>
      <c r="AH411" s="941">
        <v>1311.0</v>
      </c>
      <c r="AI411" s="941">
        <v>15.0</v>
      </c>
      <c r="AJ411" s="941">
        <v>73.0</v>
      </c>
      <c r="AK411" s="941">
        <v>0.0</v>
      </c>
      <c r="AL411" s="941">
        <v>2.0</v>
      </c>
      <c r="AM411" s="941">
        <v>0.0</v>
      </c>
      <c r="AN411" s="941">
        <v>0.0</v>
      </c>
      <c r="AO411" s="941">
        <v>0.0</v>
      </c>
      <c r="AP411" s="941">
        <v>1.0</v>
      </c>
      <c r="AQ411" s="941">
        <v>0.0</v>
      </c>
      <c r="AR411" s="941">
        <v>8.0</v>
      </c>
      <c r="AS411" s="941">
        <v>2.0</v>
      </c>
      <c r="AT411" s="941">
        <v>0.0</v>
      </c>
      <c r="AU411" s="941">
        <v>0.0</v>
      </c>
      <c r="AV411" s="941">
        <v>0.0</v>
      </c>
      <c r="AW411" s="941">
        <v>0.0</v>
      </c>
      <c r="AX411" s="941">
        <v>0.0</v>
      </c>
      <c r="AY411" s="941">
        <v>0.0</v>
      </c>
      <c r="AZ411" s="941">
        <v>0.0</v>
      </c>
      <c r="BA411" s="941">
        <v>0.0</v>
      </c>
      <c r="BB411" s="941">
        <v>2.0</v>
      </c>
      <c r="BC411" s="941">
        <v>0.0</v>
      </c>
      <c r="BD411" s="941">
        <v>9.0</v>
      </c>
      <c r="BE411" s="941">
        <v>11.0</v>
      </c>
      <c r="BF411" s="941">
        <v>0.0</v>
      </c>
      <c r="BG411" s="942">
        <v>1.0</v>
      </c>
    </row>
    <row r="412">
      <c r="A412" s="935" t="s">
        <v>150</v>
      </c>
      <c r="B412" s="16" t="str">
        <f>IF(C412&lt;'PlayerGrades+'!$Y$44,"F-",IF(C412&lt;'PlayerGrades+'!$Y$43,"F",IF(C412&lt;'PlayerGrades+'!$Y$42,"F+",IF(C412&lt;'PlayerGrades+'!$Y$41,"E-",IF(C412&lt;'PlayerGrades+'!$Y$40,"E",IF(C412&lt;'PlayerGrades+'!$Y$39,"E+",IF(C412&lt;'PlayerGrades+'!$Y$38,"D-",IF(C412&lt;'PlayerGrades+'!$Y$37,"D",IF(C412&lt;'PlayerGrades+'!$Y$36,"D+",IF(C412&lt;'PlayerGrades+'!$Y$35,"C-",IF(C412&lt;'PlayerGrades+'!$Y$34,"C",IF(C412&lt;'PlayerGrades+'!$Y$33,"C+",IF(C412&lt;'PlayerGrades+'!$Y$32,"B-",IF(C412&lt;'PlayerGrades+'!$Y$31,"B",IF(C412&lt;'PlayerGrades+'!$Y$30,"B+",IF(C412&lt;'PlayerGrades+'!$Y$29,"A-",IF(C412&lt;'PlayerGrades+'!$Y$28,"A",IF(C412&lt;'PlayerGrades+'!$Y$27,"A+",IF(C412&lt;'PlayerGrades+'!$Y$26,"S-",IF(C412&lt;'PlayerGrades+'!$Y$25,"S","S+"))))))))))))))))))))</f>
        <v>F-</v>
      </c>
      <c r="C412" s="936">
        <f>('PlayerGrades+'!$Y$47*(VLOOKUP(E412, 'PlayerGrades+'!$X$3:$Y$23, 2, FALSE)))+('PlayerGrades+'!$Y$48*(VLOOKUP(G412, 'PlayerGrades+'!$X$3:$Y$23, 2, FALSE)))+('PlayerGrades+'!$Y$49*(VLOOKUP(I412, 'PlayerGrades+'!$X$3:$Y$23, 2, FALSE)))+('PlayerGrades+'!$Y$50*(VLOOKUP(K412, 'PlayerGrades+'!$X$3:$Y$23, 2, FALSE)))+('PlayerGrades+'!$Y$51*(VLOOKUP(M412, 'PlayerGrades+'!$X$3:$Y$23, 2, FALSE)))+('PlayerGrades+'!$Y$52*(VLOOKUP(O412, 'PlayerGrades+'!$X$3:$Y$23, 2, FALSE)))+('PlayerGrades+'!$Y$53*(VLOOKUP(Q412, 'PlayerGrades+'!$X$3:$Y$23, 2, FALSE)))+('PlayerGrades+'!$Y$54*(VLOOKUP(S412, 'PlayerGrades+'!$X$3:$Y$23, 2, FALSE)))+('PlayerGrades+'!$Y$55*(VLOOKUP(U412, 'PlayerGrades+'!$X$3:$Y$23, 2, FALSE)))</f>
        <v>7.45</v>
      </c>
      <c r="D412" s="937">
        <f t="shared" si="1"/>
        <v>0.04576659039</v>
      </c>
      <c r="E412" s="937" t="str">
        <f>IF(D412&lt;'PlayerGrades+'!$AA$21,"F-",IF(D412&lt;'PlayerGrades+'!$AA$20,"F",IF(D412&lt;'PlayerGrades+'!$AA$19,"F+",IF(D412&lt;'PlayerGrades+'!$AA$18,"E-",IF(D412&lt;'PlayerGrades+'!$AA$17,"E",IF(D412&lt;'PlayerGrades+'!$AA$16,"E+",IF(D412&lt;'PlayerGrades+'!$AA$15,"D-",IF(D412&lt;'PlayerGrades+'!$AA$14,"D",IF(D412&lt;'PlayerGrades+'!$AA$13,"D+",IF(D412&lt;'PlayerGrades+'!$AA$12,"C-",IF(D412&lt;'PlayerGrades+'!$AA$11,"C",IF(D412&lt;'PlayerGrades+'!$AA$10,"C+",IF(D412&lt;'PlayerGrades+'!$AA$9,"B-",IF(D412&lt;'PlayerGrades+'!$AA$8,"B",IF(D412&lt;'PlayerGrades+'!$AA$7,"B+",IF(D412&lt;'PlayerGrades+'!$AA$6,"A-",IF(D412&lt;'PlayerGrades+'!$AA$5,"A",IF(D412&lt;'PlayerGrades+'!$AA$4,"A+",IF(D412&lt;'PlayerGrades+'!$AA$3,"S-",IF(D412&lt;'PlayerGrades+'!$AA$2,"S","S+"))))))))))))))))))))</f>
        <v>C+</v>
      </c>
      <c r="F412" s="937">
        <f t="shared" si="2"/>
        <v>-1.14416476</v>
      </c>
      <c r="G412" s="937" t="str">
        <f>IF(F412&lt;'PlayerGrades+'!$AB$21,"F-",IF(F412&lt;'PlayerGrades+'!$AB$20,"F",IF(F412&lt;'PlayerGrades+'!$AB$19,"F+",IF(F412&lt;'PlayerGrades+'!$AB$18,"E-",IF(F412&lt;'PlayerGrades+'!$AB$17,"E",IF(F412&lt;'PlayerGrades+'!$AB$16,"E+",IF(F412&lt;'PlayerGrades+'!$AB$15,"D-",IF(F412&lt;'PlayerGrades+'!$AB$14,"D",IF(F412&lt;'PlayerGrades+'!$AB$13,"D+",IF(F412&lt;'PlayerGrades+'!$AB$12,"C-",IF(F412&lt;'PlayerGrades+'!$AB$11,"C",IF(F412&lt;'PlayerGrades+'!$AB$10,"C+",IF(F412&lt;'PlayerGrades+'!$AB$9,"B-",IF(F412&lt;'PlayerGrades+'!$AB$8,"B",IF(F412&lt;'PlayerGrades+'!$AB$7,"B+",IF(F412&lt;'PlayerGrades+'!$AB$6,"A-",IF(F412&lt;'PlayerGrades+'!$AB$5,"A",IF(F412&lt;'PlayerGrades+'!$AB$4,"A+",IF(F412&lt;'PlayerGrades+'!$AB$3,"S-",IF(F412&lt;'PlayerGrades+'!$AB$2,"S","S+"))))))))))))))))))))</f>
        <v>F-</v>
      </c>
      <c r="H412" s="937">
        <f t="shared" si="3"/>
        <v>0.04576659039</v>
      </c>
      <c r="I412" s="937" t="str">
        <f>IF(H412&lt;'PlayerGrades+'!$AC$21,"F-",IF(H412&lt;'PlayerGrades+'!$AC$20,"F",IF(H412&lt;'PlayerGrades+'!$AC$19,"F+",IF(H412&lt;'PlayerGrades+'!$AC$18,"E-",IF(H412&lt;'PlayerGrades+'!$AC$17,"E",IF(H412&lt;'PlayerGrades+'!$AC$16,"E+",IF(H412&lt;'PlayerGrades+'!$AC$15,"D-",IF(H412&lt;'PlayerGrades+'!$AC$14,"D",IF(H412&lt;'PlayerGrades+'!$AC$13,"D+",IF(H412&lt;'PlayerGrades+'!$AC$12,"C-",IF(H412&lt;'PlayerGrades+'!$AC$11,"C",IF(H412&lt;'PlayerGrades+'!$AC$10,"C+",IF(H412&lt;'PlayerGrades+'!$AC$9,"B-",IF(H412&lt;'PlayerGrades+'!$AC$8,"B",IF(H412&lt;'PlayerGrades+'!$AC$7,"B+",IF(H412&lt;'PlayerGrades+'!$AC$6,"A-",IF(H412&lt;'PlayerGrades+'!$AC$5,"A",IF(H412&lt;'PlayerGrades+'!$AC$4,"A+",IF(H412&lt;'PlayerGrades+'!$AC$3,"S-",IF(H412&lt;'PlayerGrades+'!$AC$2,"S","S+"))))))))))))))))))))</f>
        <v>F</v>
      </c>
      <c r="J412" s="937">
        <f t="shared" si="4"/>
        <v>0</v>
      </c>
      <c r="K412" s="937" t="str">
        <f>IF(J412&lt;'PlayerGrades+'!$AD$21,"F-",IF(J412&lt;'PlayerGrades+'!$AD$20,"F",IF(J412&lt;'PlayerGrades+'!$AD$19,"F+",IF(J412&lt;'PlayerGrades+'!$AD$18,"E-",IF(J412&lt;'PlayerGrades+'!$AD$17,"E",IF(J412&lt;'PlayerGrades+'!$AD$16,"E+",IF(J412&lt;'PlayerGrades+'!$AD$15,"D-",IF(J412&lt;'PlayerGrades+'!$AD$14,"D",IF(J412&lt;'PlayerGrades+'!$AD$13,"D+",IF(J412&lt;'PlayerGrades+'!$AD$12,"C-",IF(J412&lt;'PlayerGrades+'!$AD$11,"C",IF(J412&lt;'PlayerGrades+'!$AD$10,"C+",IF(J412&lt;'PlayerGrades+'!$AD$9,"B-",IF(J412&lt;'PlayerGrades+'!$AD$8,"B",IF(J412&lt;'PlayerGrades+'!$AD$7,"B+",IF(J412&lt;'PlayerGrades+'!$AD$6,"A-",IF(J412&lt;'PlayerGrades+'!$AD$5,"A",IF(J412&lt;'PlayerGrades+'!$AD$4,"A+",IF(J412&lt;'PlayerGrades+'!$AD$3,"S-",IF(J412&lt;'PlayerGrades+'!$AD$2,"S","S+"))))))))))))))))))))</f>
        <v>F-</v>
      </c>
      <c r="L412" s="677">
        <f t="shared" si="5"/>
        <v>0.3203661327</v>
      </c>
      <c r="M412" s="938" t="str">
        <f>IF(L412&lt;'PlayerGrades+'!$AE$21,"F-",IF(L412&lt;'PlayerGrades+'!$AE$20,"F",IF(L412&lt;'PlayerGrades+'!$AE$19,"F+",IF(L412&lt;'PlayerGrades+'!$AE$18,"E-",IF(L412&lt;'PlayerGrades+'!$AE$17,"E",IF(L412&lt;'PlayerGrades+'!$AE$16,"E+",IF(L412&lt;'PlayerGrades+'!$AE$15,"D-",IF(L412&lt;'PlayerGrades+'!$AE$14,"D",IF(L412&lt;'PlayerGrades+'!$AE$13,"D+",IF(L412&lt;'PlayerGrades+'!$AE$12,"C-",IF(L412&lt;'PlayerGrades+'!$AE$11,"C",IF(L412&lt;'PlayerGrades+'!$AE$10,"C+",IF(L412&lt;'PlayerGrades+'!$AE$9,"B-",IF(L412&lt;'PlayerGrades+'!$AE$8,"B",IF(L412&lt;'PlayerGrades+'!$AE$7,"B+",IF(L412&lt;'PlayerGrades+'!$AE$6,"A-",IF(L412&lt;'PlayerGrades+'!$AE$5,"A",IF(L412&lt;'PlayerGrades+'!$AE$4,"A+",IF(L412&lt;'PlayerGrades+'!$AE$3,"S-",IF(L412&lt;'PlayerGrades+'!$AE$2,"S","S+"))))))))))))))))))))</f>
        <v>E</v>
      </c>
      <c r="N412" s="937">
        <f t="shared" si="6"/>
        <v>0</v>
      </c>
      <c r="O412" s="937" t="str">
        <f>IF(N412&lt;'PlayerGrades+'!$AF$21,"F-",IF(N412&lt;'PlayerGrades+'!$AF$20,"F",IF(N412&lt;'PlayerGrades+'!$AF$19,"F+",IF(N412&lt;'PlayerGrades+'!$AF$18,"E-",IF(N412&lt;'PlayerGrades+'!$AF$17,"E",IF(N412&lt;'PlayerGrades+'!$AF$16,"E+",IF(N412&lt;'PlayerGrades+'!$AF$15,"D-",IF(N412&lt;'PlayerGrades+'!$AF$14,"D",IF(N412&lt;'PlayerGrades+'!$AF$13,"D+",IF(N412&lt;'PlayerGrades+'!$AF$12,"C-",IF(N412&lt;'PlayerGrades+'!$AF$11,"C",IF(N412&lt;'PlayerGrades+'!$AF$10,"C+",IF(N412&lt;'PlayerGrades+'!$AF$9,"B-",IF(N412&lt;'PlayerGrades+'!$AF$8,"B",IF(N412&lt;'PlayerGrades+'!$AF$7,"B+",IF(N412&lt;'PlayerGrades+'!$AF$6,"A-",IF(N412&lt;'PlayerGrades+'!$AF$5,"A",IF(N412&lt;'PlayerGrades+'!$AF$4,"A+",IF(N412&lt;'PlayerGrades+'!$AF$3,"S-",IF(N412&lt;'PlayerGrades+'!$AF$2,"S","S+"))))))))))))))))))))</f>
        <v>F-</v>
      </c>
      <c r="P412" s="937">
        <f t="shared" si="7"/>
        <v>0</v>
      </c>
      <c r="Q412" s="937" t="str">
        <f>IF(P412&lt;'PlayerGrades+'!$AG$21,"F-",IF(P412&lt;'PlayerGrades+'!$AG$20,"F",IF(P412&lt;'PlayerGrades+'!$AG$19,"F+",IF(P412&lt;'PlayerGrades+'!$AG$18,"E-",IF(P412&lt;'PlayerGrades+'!$AG$17,"E",IF(P412&lt;'PlayerGrades+'!$AG$16,"E+",IF(P412&lt;'PlayerGrades+'!$AG$15,"D-",IF(P412&lt;'PlayerGrades+'!$AG$14,"D",IF(P412&lt;'PlayerGrades+'!$AG$13,"D+",IF(P412&lt;'PlayerGrades+'!$AG$12,"C-",IF(P412&lt;'PlayerGrades+'!$AG$11,"C",IF(P412&lt;'PlayerGrades+'!$AG$10,"C+",IF(P412&lt;'PlayerGrades+'!$AG$9,"B-",IF(P412&lt;'PlayerGrades+'!$AG$8,"B",IF(P412&lt;'PlayerGrades+'!$AG$7,"B+",IF(P412&lt;'PlayerGrades+'!$AG$6,"A-",IF(P412&lt;'PlayerGrades+'!$AG$5,"A",IF(P412&lt;'PlayerGrades+'!$AG$4,"A+",IF(P412&lt;'PlayerGrades+'!$AG$3,"S-",IF(P412&lt;'PlayerGrades+'!$AG$2,"S","S+"))))))))))))))))))))</f>
        <v>F</v>
      </c>
      <c r="R412" s="937">
        <f t="shared" si="8"/>
        <v>0.4576659039</v>
      </c>
      <c r="S412" s="937" t="str">
        <f>IF(R412&lt;'PlayerGrades+'!$AH$21,"F-",IF(R412&lt;'PlayerGrades+'!$AH$20,"F",IF(R412&lt;'PlayerGrades+'!$AH$19,"F+",IF(R412&lt;'PlayerGrades+'!$AH$18,"E-",IF(R412&lt;'PlayerGrades+'!$AH$17,"E",IF(R412&lt;'PlayerGrades+'!$AH$16,"E+",IF(R412&lt;'PlayerGrades+'!$AH$15,"D-",IF(R412&lt;'PlayerGrades+'!$AH$14,"D",IF(R412&lt;'PlayerGrades+'!$AH$13,"D+",IF(R412&lt;'PlayerGrades+'!$AH$12,"C-",IF(R412&lt;'PlayerGrades+'!$AH$11,"C",IF(R412&lt;'PlayerGrades+'!$AH$10,"C+",IF(R412&lt;'PlayerGrades+'!$AH$9,"B-",IF(R412&lt;'PlayerGrades+'!$AH$8,"B",IF(R412&lt;'PlayerGrades+'!$AH$7,"B+",IF(R412&lt;'PlayerGrades+'!$AH$6,"A-",IF(R412&lt;'PlayerGrades+'!$AH$5,"A",IF(R412&lt;'PlayerGrades+'!$AH$4,"A+",IF(R412&lt;'PlayerGrades+'!$AH$3,"S-",IF(R412&lt;'PlayerGrades+'!$AH$2,"S","S+"))))))))))))))))))))</f>
        <v>E-</v>
      </c>
      <c r="T412" s="937">
        <f t="shared" si="9"/>
        <v>0.3661327231</v>
      </c>
      <c r="U412" s="937" t="str">
        <f>IF(T412&lt;'PlayerGrades+'!$AI$21,"F-",IF(T412&lt;'PlayerGrades+'!$AI$20,"F",IF(T412&lt;'PlayerGrades+'!$AI$19,"F+",IF(T412&lt;'PlayerGrades+'!$AI$18,"E-",IF(T412&lt;'PlayerGrades+'!$AI$17,"E",IF(T412&lt;'PlayerGrades+'!$AI$16,"E+",IF(T412&lt;'PlayerGrades+'!$AI$15,"D-",IF(T412&lt;'PlayerGrades+'!$AI$14,"D",IF(T412&lt;'PlayerGrades+'!$AI$13,"D+",IF(T412&lt;'PlayerGrades+'!$AI$12,"C-",IF(T412&lt;'PlayerGrades+'!$AI$11,"C",IF(T412&lt;'PlayerGrades+'!$AI$10,"C+",IF(T412&lt;'PlayerGrades+'!$AI$9,"B-",IF(T412&lt;'PlayerGrades+'!$AI$8,"B",IF(T412&lt;'PlayerGrades+'!$AI$7,"B+",IF(T412&lt;'PlayerGrades+'!$AI$6,"A-",IF(T412&lt;'PlayerGrades+'!$AI$5,"A",IF(T412&lt;'PlayerGrades+'!$AI$4,"A+",IF(T412&lt;'PlayerGrades+'!$AI$3,"S-",IF(T412&lt;'PlayerGrades+'!$AI$2,"S","S+"))))))))))))))))))))</f>
        <v>F-</v>
      </c>
      <c r="V412" s="941">
        <v>1.0</v>
      </c>
      <c r="W412" s="941">
        <v>1.0</v>
      </c>
      <c r="X412" s="941">
        <v>0.0</v>
      </c>
      <c r="Y412" s="941">
        <v>0.0</v>
      </c>
      <c r="Z412" s="941">
        <v>1.0</v>
      </c>
      <c r="AA412" s="941">
        <v>66.0</v>
      </c>
      <c r="AB412" s="941">
        <v>91.0</v>
      </c>
      <c r="AC412" s="941">
        <v>-25.0</v>
      </c>
      <c r="AD412" s="941">
        <v>4.0</v>
      </c>
      <c r="AE412" s="941">
        <v>4.0</v>
      </c>
      <c r="AF412" s="941">
        <v>1.0</v>
      </c>
      <c r="AG412" s="941">
        <v>955.0</v>
      </c>
      <c r="AH412" s="941">
        <v>1311.0</v>
      </c>
      <c r="AI412" s="941">
        <v>10.0</v>
      </c>
      <c r="AJ412" s="941">
        <v>47.0</v>
      </c>
      <c r="AK412" s="941">
        <v>0.0</v>
      </c>
      <c r="AL412" s="941">
        <v>0.0</v>
      </c>
      <c r="AM412" s="941">
        <v>0.0</v>
      </c>
      <c r="AN412" s="941">
        <v>0.0</v>
      </c>
      <c r="AO412" s="941">
        <v>0.0</v>
      </c>
      <c r="AP412" s="941">
        <v>0.0</v>
      </c>
      <c r="AQ412" s="941">
        <v>0.0</v>
      </c>
      <c r="AR412" s="941">
        <v>7.0</v>
      </c>
      <c r="AS412" s="941">
        <v>0.0</v>
      </c>
      <c r="AT412" s="941">
        <v>0.0</v>
      </c>
      <c r="AU412" s="941">
        <v>0.0</v>
      </c>
      <c r="AV412" s="941">
        <v>0.0</v>
      </c>
      <c r="AW412" s="941">
        <v>0.0</v>
      </c>
      <c r="AX412" s="941">
        <v>0.0</v>
      </c>
      <c r="AY412" s="941">
        <v>0.0</v>
      </c>
      <c r="AZ412" s="941">
        <v>0.0</v>
      </c>
      <c r="BA412" s="941">
        <v>0.0</v>
      </c>
      <c r="BB412" s="941">
        <v>1.0</v>
      </c>
      <c r="BC412" s="941">
        <v>0.0</v>
      </c>
      <c r="BD412" s="941">
        <v>6.0</v>
      </c>
      <c r="BE412" s="941">
        <v>8.0</v>
      </c>
      <c r="BF412" s="941">
        <v>0.0</v>
      </c>
      <c r="BG412" s="942">
        <v>1.0</v>
      </c>
    </row>
    <row r="413">
      <c r="A413" s="935" t="s">
        <v>139</v>
      </c>
      <c r="B413" s="16" t="str">
        <f>IF(C413&lt;'PlayerGrades+'!$Y$44,"F-",IF(C413&lt;'PlayerGrades+'!$Y$43,"F",IF(C413&lt;'PlayerGrades+'!$Y$42,"F+",IF(C413&lt;'PlayerGrades+'!$Y$41,"E-",IF(C413&lt;'PlayerGrades+'!$Y$40,"E",IF(C413&lt;'PlayerGrades+'!$Y$39,"E+",IF(C413&lt;'PlayerGrades+'!$Y$38,"D-",IF(C413&lt;'PlayerGrades+'!$Y$37,"D",IF(C413&lt;'PlayerGrades+'!$Y$36,"D+",IF(C413&lt;'PlayerGrades+'!$Y$35,"C-",IF(C413&lt;'PlayerGrades+'!$Y$34,"C",IF(C413&lt;'PlayerGrades+'!$Y$33,"C+",IF(C413&lt;'PlayerGrades+'!$Y$32,"B-",IF(C413&lt;'PlayerGrades+'!$Y$31,"B",IF(C413&lt;'PlayerGrades+'!$Y$30,"B+",IF(C413&lt;'PlayerGrades+'!$Y$29,"A-",IF(C413&lt;'PlayerGrades+'!$Y$28,"A",IF(C413&lt;'PlayerGrades+'!$Y$27,"A+",IF(C413&lt;'PlayerGrades+'!$Y$26,"S-",IF(C413&lt;'PlayerGrades+'!$Y$25,"S","S+"))))))))))))))))))))</f>
        <v>D-</v>
      </c>
      <c r="C413" s="936">
        <f>('PlayerGrades+'!$Y$47*(VLOOKUP(E413, 'PlayerGrades+'!$X$3:$Y$23, 2, FALSE)))+('PlayerGrades+'!$Y$48*(VLOOKUP(G413, 'PlayerGrades+'!$X$3:$Y$23, 2, FALSE)))+('PlayerGrades+'!$Y$49*(VLOOKUP(I413, 'PlayerGrades+'!$X$3:$Y$23, 2, FALSE)))+('PlayerGrades+'!$Y$50*(VLOOKUP(K413, 'PlayerGrades+'!$X$3:$Y$23, 2, FALSE)))+('PlayerGrades+'!$Y$51*(VLOOKUP(M413, 'PlayerGrades+'!$X$3:$Y$23, 2, FALSE)))+('PlayerGrades+'!$Y$52*(VLOOKUP(O413, 'PlayerGrades+'!$X$3:$Y$23, 2, FALSE)))+('PlayerGrades+'!$Y$53*(VLOOKUP(Q413, 'PlayerGrades+'!$X$3:$Y$23, 2, FALSE)))+('PlayerGrades+'!$Y$54*(VLOOKUP(S413, 'PlayerGrades+'!$X$3:$Y$23, 2, FALSE)))+('PlayerGrades+'!$Y$55*(VLOOKUP(U413, 'PlayerGrades+'!$X$3:$Y$23, 2, FALSE)))</f>
        <v>14.75</v>
      </c>
      <c r="D413" s="937">
        <f t="shared" si="1"/>
        <v>0</v>
      </c>
      <c r="E413" s="937" t="str">
        <f>IF(D413&lt;'PlayerGrades+'!$AA$21,"F-",IF(D413&lt;'PlayerGrades+'!$AA$20,"F",IF(D413&lt;'PlayerGrades+'!$AA$19,"F+",IF(D413&lt;'PlayerGrades+'!$AA$18,"E-",IF(D413&lt;'PlayerGrades+'!$AA$17,"E",IF(D413&lt;'PlayerGrades+'!$AA$16,"E+",IF(D413&lt;'PlayerGrades+'!$AA$15,"D-",IF(D413&lt;'PlayerGrades+'!$AA$14,"D",IF(D413&lt;'PlayerGrades+'!$AA$13,"D+",IF(D413&lt;'PlayerGrades+'!$AA$12,"C-",IF(D413&lt;'PlayerGrades+'!$AA$11,"C",IF(D413&lt;'PlayerGrades+'!$AA$10,"C+",IF(D413&lt;'PlayerGrades+'!$AA$9,"B-",IF(D413&lt;'PlayerGrades+'!$AA$8,"B",IF(D413&lt;'PlayerGrades+'!$AA$7,"B+",IF(D413&lt;'PlayerGrades+'!$AA$6,"A-",IF(D413&lt;'PlayerGrades+'!$AA$5,"A",IF(D413&lt;'PlayerGrades+'!$AA$4,"A+",IF(D413&lt;'PlayerGrades+'!$AA$3,"S-",IF(D413&lt;'PlayerGrades+'!$AA$2,"S","S+"))))))))))))))))))))</f>
        <v>F-</v>
      </c>
      <c r="F413" s="937">
        <f t="shared" si="2"/>
        <v>-0.5491990847</v>
      </c>
      <c r="G413" s="937" t="str">
        <f>IF(F413&lt;'PlayerGrades+'!$AB$21,"F-",IF(F413&lt;'PlayerGrades+'!$AB$20,"F",IF(F413&lt;'PlayerGrades+'!$AB$19,"F+",IF(F413&lt;'PlayerGrades+'!$AB$18,"E-",IF(F413&lt;'PlayerGrades+'!$AB$17,"E",IF(F413&lt;'PlayerGrades+'!$AB$16,"E+",IF(F413&lt;'PlayerGrades+'!$AB$15,"D-",IF(F413&lt;'PlayerGrades+'!$AB$14,"D",IF(F413&lt;'PlayerGrades+'!$AB$13,"D+",IF(F413&lt;'PlayerGrades+'!$AB$12,"C-",IF(F413&lt;'PlayerGrades+'!$AB$11,"C",IF(F413&lt;'PlayerGrades+'!$AB$10,"C+",IF(F413&lt;'PlayerGrades+'!$AB$9,"B-",IF(F413&lt;'PlayerGrades+'!$AB$8,"B",IF(F413&lt;'PlayerGrades+'!$AB$7,"B+",IF(F413&lt;'PlayerGrades+'!$AB$6,"A-",IF(F413&lt;'PlayerGrades+'!$AB$5,"A",IF(F413&lt;'PlayerGrades+'!$AB$4,"A+",IF(F413&lt;'PlayerGrades+'!$AB$3,"S-",IF(F413&lt;'PlayerGrades+'!$AB$2,"S","S+"))))))))))))))))))))</f>
        <v>D</v>
      </c>
      <c r="H413" s="937">
        <f t="shared" si="3"/>
        <v>0.04576659039</v>
      </c>
      <c r="I413" s="937" t="str">
        <f>IF(H413&lt;'PlayerGrades+'!$AC$21,"F-",IF(H413&lt;'PlayerGrades+'!$AC$20,"F",IF(H413&lt;'PlayerGrades+'!$AC$19,"F+",IF(H413&lt;'PlayerGrades+'!$AC$18,"E-",IF(H413&lt;'PlayerGrades+'!$AC$17,"E",IF(H413&lt;'PlayerGrades+'!$AC$16,"E+",IF(H413&lt;'PlayerGrades+'!$AC$15,"D-",IF(H413&lt;'PlayerGrades+'!$AC$14,"D",IF(H413&lt;'PlayerGrades+'!$AC$13,"D+",IF(H413&lt;'PlayerGrades+'!$AC$12,"C-",IF(H413&lt;'PlayerGrades+'!$AC$11,"C",IF(H413&lt;'PlayerGrades+'!$AC$10,"C+",IF(H413&lt;'PlayerGrades+'!$AC$9,"B-",IF(H413&lt;'PlayerGrades+'!$AC$8,"B",IF(H413&lt;'PlayerGrades+'!$AC$7,"B+",IF(H413&lt;'PlayerGrades+'!$AC$6,"A-",IF(H413&lt;'PlayerGrades+'!$AC$5,"A",IF(H413&lt;'PlayerGrades+'!$AC$4,"A+",IF(H413&lt;'PlayerGrades+'!$AC$3,"S-",IF(H413&lt;'PlayerGrades+'!$AC$2,"S","S+"))))))))))))))))))))</f>
        <v>F</v>
      </c>
      <c r="J413" s="937">
        <f t="shared" si="4"/>
        <v>0</v>
      </c>
      <c r="K413" s="937" t="str">
        <f>IF(J413&lt;'PlayerGrades+'!$AD$21,"F-",IF(J413&lt;'PlayerGrades+'!$AD$20,"F",IF(J413&lt;'PlayerGrades+'!$AD$19,"F+",IF(J413&lt;'PlayerGrades+'!$AD$18,"E-",IF(J413&lt;'PlayerGrades+'!$AD$17,"E",IF(J413&lt;'PlayerGrades+'!$AD$16,"E+",IF(J413&lt;'PlayerGrades+'!$AD$15,"D-",IF(J413&lt;'PlayerGrades+'!$AD$14,"D",IF(J413&lt;'PlayerGrades+'!$AD$13,"D+",IF(J413&lt;'PlayerGrades+'!$AD$12,"C-",IF(J413&lt;'PlayerGrades+'!$AD$11,"C",IF(J413&lt;'PlayerGrades+'!$AD$10,"C+",IF(J413&lt;'PlayerGrades+'!$AD$9,"B-",IF(J413&lt;'PlayerGrades+'!$AD$8,"B",IF(J413&lt;'PlayerGrades+'!$AD$7,"B+",IF(J413&lt;'PlayerGrades+'!$AD$6,"A-",IF(J413&lt;'PlayerGrades+'!$AD$5,"A",IF(J413&lt;'PlayerGrades+'!$AD$4,"A+",IF(J413&lt;'PlayerGrades+'!$AD$3,"S-",IF(J413&lt;'PlayerGrades+'!$AD$2,"S","S+"))))))))))))))))))))</f>
        <v>F-</v>
      </c>
      <c r="L413" s="677">
        <f t="shared" si="5"/>
        <v>0.3661327231</v>
      </c>
      <c r="M413" s="938" t="str">
        <f>IF(L413&lt;'PlayerGrades+'!$AE$21,"F-",IF(L413&lt;'PlayerGrades+'!$AE$20,"F",IF(L413&lt;'PlayerGrades+'!$AE$19,"F+",IF(L413&lt;'PlayerGrades+'!$AE$18,"E-",IF(L413&lt;'PlayerGrades+'!$AE$17,"E",IF(L413&lt;'PlayerGrades+'!$AE$16,"E+",IF(L413&lt;'PlayerGrades+'!$AE$15,"D-",IF(L413&lt;'PlayerGrades+'!$AE$14,"D",IF(L413&lt;'PlayerGrades+'!$AE$13,"D+",IF(L413&lt;'PlayerGrades+'!$AE$12,"C-",IF(L413&lt;'PlayerGrades+'!$AE$11,"C",IF(L413&lt;'PlayerGrades+'!$AE$10,"C+",IF(L413&lt;'PlayerGrades+'!$AE$9,"B-",IF(L413&lt;'PlayerGrades+'!$AE$8,"B",IF(L413&lt;'PlayerGrades+'!$AE$7,"B+",IF(L413&lt;'PlayerGrades+'!$AE$6,"A-",IF(L413&lt;'PlayerGrades+'!$AE$5,"A",IF(L413&lt;'PlayerGrades+'!$AE$4,"A+",IF(L413&lt;'PlayerGrades+'!$AE$3,"S-",IF(L413&lt;'PlayerGrades+'!$AE$2,"S","S+"))))))))))))))))))))</f>
        <v>C-</v>
      </c>
      <c r="N413" s="937">
        <f t="shared" si="6"/>
        <v>0.04576659039</v>
      </c>
      <c r="O413" s="937" t="str">
        <f>IF(N413&lt;'PlayerGrades+'!$AF$21,"F-",IF(N413&lt;'PlayerGrades+'!$AF$20,"F",IF(N413&lt;'PlayerGrades+'!$AF$19,"F+",IF(N413&lt;'PlayerGrades+'!$AF$18,"E-",IF(N413&lt;'PlayerGrades+'!$AF$17,"E",IF(N413&lt;'PlayerGrades+'!$AF$16,"E+",IF(N413&lt;'PlayerGrades+'!$AF$15,"D-",IF(N413&lt;'PlayerGrades+'!$AF$14,"D",IF(N413&lt;'PlayerGrades+'!$AF$13,"D+",IF(N413&lt;'PlayerGrades+'!$AF$12,"C-",IF(N413&lt;'PlayerGrades+'!$AF$11,"C",IF(N413&lt;'PlayerGrades+'!$AF$10,"C+",IF(N413&lt;'PlayerGrades+'!$AF$9,"B-",IF(N413&lt;'PlayerGrades+'!$AF$8,"B",IF(N413&lt;'PlayerGrades+'!$AF$7,"B+",IF(N413&lt;'PlayerGrades+'!$AF$6,"A-",IF(N413&lt;'PlayerGrades+'!$AF$5,"A",IF(N413&lt;'PlayerGrades+'!$AF$4,"A+",IF(N413&lt;'PlayerGrades+'!$AF$3,"S-",IF(N413&lt;'PlayerGrades+'!$AF$2,"S","S+"))))))))))))))))))))</f>
        <v>E+</v>
      </c>
      <c r="P413" s="937">
        <f t="shared" si="7"/>
        <v>0</v>
      </c>
      <c r="Q413" s="937" t="str">
        <f>IF(P413&lt;'PlayerGrades+'!$AG$21,"F-",IF(P413&lt;'PlayerGrades+'!$AG$20,"F",IF(P413&lt;'PlayerGrades+'!$AG$19,"F+",IF(P413&lt;'PlayerGrades+'!$AG$18,"E-",IF(P413&lt;'PlayerGrades+'!$AG$17,"E",IF(P413&lt;'PlayerGrades+'!$AG$16,"E+",IF(P413&lt;'PlayerGrades+'!$AG$15,"D-",IF(P413&lt;'PlayerGrades+'!$AG$14,"D",IF(P413&lt;'PlayerGrades+'!$AG$13,"D+",IF(P413&lt;'PlayerGrades+'!$AG$12,"C-",IF(P413&lt;'PlayerGrades+'!$AG$11,"C",IF(P413&lt;'PlayerGrades+'!$AG$10,"C+",IF(P413&lt;'PlayerGrades+'!$AG$9,"B-",IF(P413&lt;'PlayerGrades+'!$AG$8,"B",IF(P413&lt;'PlayerGrades+'!$AG$7,"B+",IF(P413&lt;'PlayerGrades+'!$AG$6,"A-",IF(P413&lt;'PlayerGrades+'!$AG$5,"A",IF(P413&lt;'PlayerGrades+'!$AG$4,"A+",IF(P413&lt;'PlayerGrades+'!$AG$3,"S-",IF(P413&lt;'PlayerGrades+'!$AG$2,"S","S+"))))))))))))))))))))</f>
        <v>F</v>
      </c>
      <c r="R413" s="937">
        <f t="shared" si="8"/>
        <v>0.6407322654</v>
      </c>
      <c r="S413" s="937" t="str">
        <f>IF(R413&lt;'PlayerGrades+'!$AH$21,"F-",IF(R413&lt;'PlayerGrades+'!$AH$20,"F",IF(R413&lt;'PlayerGrades+'!$AH$19,"F+",IF(R413&lt;'PlayerGrades+'!$AH$18,"E-",IF(R413&lt;'PlayerGrades+'!$AH$17,"E",IF(R413&lt;'PlayerGrades+'!$AH$16,"E+",IF(R413&lt;'PlayerGrades+'!$AH$15,"D-",IF(R413&lt;'PlayerGrades+'!$AH$14,"D",IF(R413&lt;'PlayerGrades+'!$AH$13,"D+",IF(R413&lt;'PlayerGrades+'!$AH$12,"C-",IF(R413&lt;'PlayerGrades+'!$AH$11,"C",IF(R413&lt;'PlayerGrades+'!$AH$10,"C+",IF(R413&lt;'PlayerGrades+'!$AH$9,"B-",IF(R413&lt;'PlayerGrades+'!$AH$8,"B",IF(R413&lt;'PlayerGrades+'!$AH$7,"B+",IF(R413&lt;'PlayerGrades+'!$AH$6,"A-",IF(R413&lt;'PlayerGrades+'!$AH$5,"A",IF(R413&lt;'PlayerGrades+'!$AH$4,"A+",IF(R413&lt;'PlayerGrades+'!$AH$3,"S-",IF(R413&lt;'PlayerGrades+'!$AH$2,"S","S+"))))))))))))))))))))</f>
        <v>A</v>
      </c>
      <c r="T413" s="937">
        <f t="shared" si="9"/>
        <v>2.457665904</v>
      </c>
      <c r="U413" s="937" t="str">
        <f>IF(T413&lt;'PlayerGrades+'!$AI$21,"F-",IF(T413&lt;'PlayerGrades+'!$AI$20,"F",IF(T413&lt;'PlayerGrades+'!$AI$19,"F+",IF(T413&lt;'PlayerGrades+'!$AI$18,"E-",IF(T413&lt;'PlayerGrades+'!$AI$17,"E",IF(T413&lt;'PlayerGrades+'!$AI$16,"E+",IF(T413&lt;'PlayerGrades+'!$AI$15,"D-",IF(T413&lt;'PlayerGrades+'!$AI$14,"D",IF(T413&lt;'PlayerGrades+'!$AI$13,"D+",IF(T413&lt;'PlayerGrades+'!$AI$12,"C-",IF(T413&lt;'PlayerGrades+'!$AI$11,"C",IF(T413&lt;'PlayerGrades+'!$AI$10,"C+",IF(T413&lt;'PlayerGrades+'!$AI$9,"B-",IF(T413&lt;'PlayerGrades+'!$AI$8,"B",IF(T413&lt;'PlayerGrades+'!$AI$7,"B+",IF(T413&lt;'PlayerGrades+'!$AI$6,"A-",IF(T413&lt;'PlayerGrades+'!$AI$5,"A",IF(T413&lt;'PlayerGrades+'!$AI$4,"A+",IF(T413&lt;'PlayerGrades+'!$AI$3,"S-",IF(T413&lt;'PlayerGrades+'!$AI$2,"S","S+"))))))))))))))))))))</f>
        <v>S+</v>
      </c>
      <c r="V413" s="941">
        <v>1.0</v>
      </c>
      <c r="W413" s="941">
        <v>1.0</v>
      </c>
      <c r="X413" s="941">
        <v>0.0</v>
      </c>
      <c r="Y413" s="941">
        <v>0.0</v>
      </c>
      <c r="Z413" s="941">
        <v>0.0</v>
      </c>
      <c r="AA413" s="941">
        <v>74.0</v>
      </c>
      <c r="AB413" s="941">
        <v>86.0</v>
      </c>
      <c r="AC413" s="941">
        <v>-12.0</v>
      </c>
      <c r="AD413" s="941">
        <v>4.0</v>
      </c>
      <c r="AE413" s="941">
        <v>4.0</v>
      </c>
      <c r="AF413" s="941">
        <v>2.0</v>
      </c>
      <c r="AG413" s="941">
        <v>978.0</v>
      </c>
      <c r="AH413" s="941">
        <v>1311.0</v>
      </c>
      <c r="AI413" s="941">
        <v>11.0</v>
      </c>
      <c r="AJ413" s="941">
        <v>14.0</v>
      </c>
      <c r="AK413" s="941">
        <v>0.0</v>
      </c>
      <c r="AL413" s="941">
        <v>0.0</v>
      </c>
      <c r="AM413" s="941">
        <v>0.0</v>
      </c>
      <c r="AN413" s="941">
        <v>0.0</v>
      </c>
      <c r="AO413" s="941">
        <v>0.0</v>
      </c>
      <c r="AP413" s="941">
        <v>0.0</v>
      </c>
      <c r="AQ413" s="941">
        <v>0.0</v>
      </c>
      <c r="AR413" s="941">
        <v>8.0</v>
      </c>
      <c r="AS413" s="941">
        <v>1.0</v>
      </c>
      <c r="AT413" s="941">
        <v>0.0</v>
      </c>
      <c r="AU413" s="941">
        <v>0.0</v>
      </c>
      <c r="AV413" s="941">
        <v>0.0</v>
      </c>
      <c r="AW413" s="941">
        <v>0.0</v>
      </c>
      <c r="AX413" s="941">
        <v>0.0</v>
      </c>
      <c r="AY413" s="941">
        <v>0.0</v>
      </c>
      <c r="AZ413" s="941">
        <v>0.0</v>
      </c>
      <c r="BA413" s="941">
        <v>0.0</v>
      </c>
      <c r="BB413" s="941">
        <v>1.0</v>
      </c>
      <c r="BC413" s="941">
        <v>0.0</v>
      </c>
      <c r="BD413" s="941">
        <v>10.0</v>
      </c>
      <c r="BE413" s="941">
        <v>10.0</v>
      </c>
      <c r="BF413" s="941">
        <v>2.0</v>
      </c>
      <c r="BG413" s="942">
        <v>1.0</v>
      </c>
    </row>
    <row r="414">
      <c r="A414" s="935" t="s">
        <v>420</v>
      </c>
      <c r="B414" s="16" t="str">
        <f>IF(C414&lt;'PlayerGrades+'!$Y$44,"F-",IF(C414&lt;'PlayerGrades+'!$Y$43,"F",IF(C414&lt;'PlayerGrades+'!$Y$42,"F+",IF(C414&lt;'PlayerGrades+'!$Y$41,"E-",IF(C414&lt;'PlayerGrades+'!$Y$40,"E",IF(C414&lt;'PlayerGrades+'!$Y$39,"E+",IF(C414&lt;'PlayerGrades+'!$Y$38,"D-",IF(C414&lt;'PlayerGrades+'!$Y$37,"D",IF(C414&lt;'PlayerGrades+'!$Y$36,"D+",IF(C414&lt;'PlayerGrades+'!$Y$35,"C-",IF(C414&lt;'PlayerGrades+'!$Y$34,"C",IF(C414&lt;'PlayerGrades+'!$Y$33,"C+",IF(C414&lt;'PlayerGrades+'!$Y$32,"B-",IF(C414&lt;'PlayerGrades+'!$Y$31,"B",IF(C414&lt;'PlayerGrades+'!$Y$30,"B+",IF(C414&lt;'PlayerGrades+'!$Y$29,"A-",IF(C414&lt;'PlayerGrades+'!$Y$28,"A",IF(C414&lt;'PlayerGrades+'!$Y$27,"A+",IF(C414&lt;'PlayerGrades+'!$Y$26,"S-",IF(C414&lt;'PlayerGrades+'!$Y$25,"S","S+"))))))))))))))))))))</f>
        <v>B</v>
      </c>
      <c r="C414" s="936">
        <f>('PlayerGrades+'!$Y$47*(VLOOKUP(E414, 'PlayerGrades+'!$X$3:$Y$23, 2, FALSE)))+('PlayerGrades+'!$Y$48*(VLOOKUP(G414, 'PlayerGrades+'!$X$3:$Y$23, 2, FALSE)))+('PlayerGrades+'!$Y$49*(VLOOKUP(I414, 'PlayerGrades+'!$X$3:$Y$23, 2, FALSE)))+('PlayerGrades+'!$Y$50*(VLOOKUP(K414, 'PlayerGrades+'!$X$3:$Y$23, 2, FALSE)))+('PlayerGrades+'!$Y$51*(VLOOKUP(M414, 'PlayerGrades+'!$X$3:$Y$23, 2, FALSE)))+('PlayerGrades+'!$Y$52*(VLOOKUP(O414, 'PlayerGrades+'!$X$3:$Y$23, 2, FALSE)))+('PlayerGrades+'!$Y$53*(VLOOKUP(Q414, 'PlayerGrades+'!$X$3:$Y$23, 2, FALSE)))+('PlayerGrades+'!$Y$54*(VLOOKUP(S414, 'PlayerGrades+'!$X$3:$Y$23, 2, FALSE)))+('PlayerGrades+'!$Y$55*(VLOOKUP(U414, 'PlayerGrades+'!$X$3:$Y$23, 2, FALSE)))</f>
        <v>23.35</v>
      </c>
      <c r="D414" s="937">
        <f t="shared" si="1"/>
        <v>0.6864988558</v>
      </c>
      <c r="E414" s="937" t="str">
        <f>IF(D414&lt;'PlayerGrades+'!$AA$21,"F-",IF(D414&lt;'PlayerGrades+'!$AA$20,"F",IF(D414&lt;'PlayerGrades+'!$AA$19,"F+",IF(D414&lt;'PlayerGrades+'!$AA$18,"E-",IF(D414&lt;'PlayerGrades+'!$AA$17,"E",IF(D414&lt;'PlayerGrades+'!$AA$16,"E+",IF(D414&lt;'PlayerGrades+'!$AA$15,"D-",IF(D414&lt;'PlayerGrades+'!$AA$14,"D",IF(D414&lt;'PlayerGrades+'!$AA$13,"D+",IF(D414&lt;'PlayerGrades+'!$AA$12,"C-",IF(D414&lt;'PlayerGrades+'!$AA$11,"C",IF(D414&lt;'PlayerGrades+'!$AA$10,"C+",IF(D414&lt;'PlayerGrades+'!$AA$9,"B-",IF(D414&lt;'PlayerGrades+'!$AA$8,"B",IF(D414&lt;'PlayerGrades+'!$AA$7,"B+",IF(D414&lt;'PlayerGrades+'!$AA$6,"A-",IF(D414&lt;'PlayerGrades+'!$AA$5,"A",IF(D414&lt;'PlayerGrades+'!$AA$4,"A+",IF(D414&lt;'PlayerGrades+'!$AA$3,"S-",IF(D414&lt;'PlayerGrades+'!$AA$2,"S","S+"))))))))))))))))))))</f>
        <v>S</v>
      </c>
      <c r="F414" s="937">
        <f t="shared" si="2"/>
        <v>0.6864988558</v>
      </c>
      <c r="G414" s="937" t="str">
        <f>IF(F414&lt;'PlayerGrades+'!$AB$21,"F-",IF(F414&lt;'PlayerGrades+'!$AB$20,"F",IF(F414&lt;'PlayerGrades+'!$AB$19,"F+",IF(F414&lt;'PlayerGrades+'!$AB$18,"E-",IF(F414&lt;'PlayerGrades+'!$AB$17,"E",IF(F414&lt;'PlayerGrades+'!$AB$16,"E+",IF(F414&lt;'PlayerGrades+'!$AB$15,"D-",IF(F414&lt;'PlayerGrades+'!$AB$14,"D",IF(F414&lt;'PlayerGrades+'!$AB$13,"D+",IF(F414&lt;'PlayerGrades+'!$AB$12,"C-",IF(F414&lt;'PlayerGrades+'!$AB$11,"C",IF(F414&lt;'PlayerGrades+'!$AB$10,"C+",IF(F414&lt;'PlayerGrades+'!$AB$9,"B-",IF(F414&lt;'PlayerGrades+'!$AB$8,"B",IF(F414&lt;'PlayerGrades+'!$AB$7,"B+",IF(F414&lt;'PlayerGrades+'!$AB$6,"A-",IF(F414&lt;'PlayerGrades+'!$AB$5,"A",IF(F414&lt;'PlayerGrades+'!$AB$4,"A+",IF(F414&lt;'PlayerGrades+'!$AB$3,"S-",IF(F414&lt;'PlayerGrades+'!$AB$2,"S","S+"))))))))))))))))))))</f>
        <v>S-</v>
      </c>
      <c r="H414" s="937">
        <f t="shared" si="3"/>
        <v>0.04576659039</v>
      </c>
      <c r="I414" s="937" t="str">
        <f>IF(H414&lt;'PlayerGrades+'!$AC$21,"F-",IF(H414&lt;'PlayerGrades+'!$AC$20,"F",IF(H414&lt;'PlayerGrades+'!$AC$19,"F+",IF(H414&lt;'PlayerGrades+'!$AC$18,"E-",IF(H414&lt;'PlayerGrades+'!$AC$17,"E",IF(H414&lt;'PlayerGrades+'!$AC$16,"E+",IF(H414&lt;'PlayerGrades+'!$AC$15,"D-",IF(H414&lt;'PlayerGrades+'!$AC$14,"D",IF(H414&lt;'PlayerGrades+'!$AC$13,"D+",IF(H414&lt;'PlayerGrades+'!$AC$12,"C-",IF(H414&lt;'PlayerGrades+'!$AC$11,"C",IF(H414&lt;'PlayerGrades+'!$AC$10,"C+",IF(H414&lt;'PlayerGrades+'!$AC$9,"B-",IF(H414&lt;'PlayerGrades+'!$AC$8,"B",IF(H414&lt;'PlayerGrades+'!$AC$7,"B+",IF(H414&lt;'PlayerGrades+'!$AC$6,"A-",IF(H414&lt;'PlayerGrades+'!$AC$5,"A",IF(H414&lt;'PlayerGrades+'!$AC$4,"A+",IF(H414&lt;'PlayerGrades+'!$AC$3,"S-",IF(H414&lt;'PlayerGrades+'!$AC$2,"S","S+"))))))))))))))))))))</f>
        <v>F</v>
      </c>
      <c r="J414" s="937">
        <f t="shared" si="4"/>
        <v>0.04576659039</v>
      </c>
      <c r="K414" s="937" t="str">
        <f>IF(J414&lt;'PlayerGrades+'!$AD$21,"F-",IF(J414&lt;'PlayerGrades+'!$AD$20,"F",IF(J414&lt;'PlayerGrades+'!$AD$19,"F+",IF(J414&lt;'PlayerGrades+'!$AD$18,"E-",IF(J414&lt;'PlayerGrades+'!$AD$17,"E",IF(J414&lt;'PlayerGrades+'!$AD$16,"E+",IF(J414&lt;'PlayerGrades+'!$AD$15,"D-",IF(J414&lt;'PlayerGrades+'!$AD$14,"D",IF(J414&lt;'PlayerGrades+'!$AD$13,"D+",IF(J414&lt;'PlayerGrades+'!$AD$12,"C-",IF(J414&lt;'PlayerGrades+'!$AD$11,"C",IF(J414&lt;'PlayerGrades+'!$AD$10,"C+",IF(J414&lt;'PlayerGrades+'!$AD$9,"B-",IF(J414&lt;'PlayerGrades+'!$AD$8,"B",IF(J414&lt;'PlayerGrades+'!$AD$7,"B+",IF(J414&lt;'PlayerGrades+'!$AD$6,"A-",IF(J414&lt;'PlayerGrades+'!$AD$5,"A",IF(J414&lt;'PlayerGrades+'!$AD$4,"A+",IF(J414&lt;'PlayerGrades+'!$AD$3,"S-",IF(J414&lt;'PlayerGrades+'!$AD$2,"S","S+"))))))))))))))))))))</f>
        <v>B-</v>
      </c>
      <c r="L414" s="677">
        <f t="shared" si="5"/>
        <v>0.4576659039</v>
      </c>
      <c r="M414" s="938" t="str">
        <f>IF(L414&lt;'PlayerGrades+'!$AE$21,"F-",IF(L414&lt;'PlayerGrades+'!$AE$20,"F",IF(L414&lt;'PlayerGrades+'!$AE$19,"F+",IF(L414&lt;'PlayerGrades+'!$AE$18,"E-",IF(L414&lt;'PlayerGrades+'!$AE$17,"E",IF(L414&lt;'PlayerGrades+'!$AE$16,"E+",IF(L414&lt;'PlayerGrades+'!$AE$15,"D-",IF(L414&lt;'PlayerGrades+'!$AE$14,"D",IF(L414&lt;'PlayerGrades+'!$AE$13,"D+",IF(L414&lt;'PlayerGrades+'!$AE$12,"C-",IF(L414&lt;'PlayerGrades+'!$AE$11,"C",IF(L414&lt;'PlayerGrades+'!$AE$10,"C+",IF(L414&lt;'PlayerGrades+'!$AE$9,"B-",IF(L414&lt;'PlayerGrades+'!$AE$8,"B",IF(L414&lt;'PlayerGrades+'!$AE$7,"B+",IF(L414&lt;'PlayerGrades+'!$AE$6,"A-",IF(L414&lt;'PlayerGrades+'!$AE$5,"A",IF(L414&lt;'PlayerGrades+'!$AE$4,"A+",IF(L414&lt;'PlayerGrades+'!$AE$3,"S-",IF(L414&lt;'PlayerGrades+'!$AE$2,"S","S+"))))))))))))))))))))</f>
        <v>B+</v>
      </c>
      <c r="N414" s="937">
        <f t="shared" si="6"/>
        <v>0.04576659039</v>
      </c>
      <c r="O414" s="937" t="str">
        <f>IF(N414&lt;'PlayerGrades+'!$AF$21,"F-",IF(N414&lt;'PlayerGrades+'!$AF$20,"F",IF(N414&lt;'PlayerGrades+'!$AF$19,"F+",IF(N414&lt;'PlayerGrades+'!$AF$18,"E-",IF(N414&lt;'PlayerGrades+'!$AF$17,"E",IF(N414&lt;'PlayerGrades+'!$AF$16,"E+",IF(N414&lt;'PlayerGrades+'!$AF$15,"D-",IF(N414&lt;'PlayerGrades+'!$AF$14,"D",IF(N414&lt;'PlayerGrades+'!$AF$13,"D+",IF(N414&lt;'PlayerGrades+'!$AF$12,"C-",IF(N414&lt;'PlayerGrades+'!$AF$11,"C",IF(N414&lt;'PlayerGrades+'!$AF$10,"C+",IF(N414&lt;'PlayerGrades+'!$AF$9,"B-",IF(N414&lt;'PlayerGrades+'!$AF$8,"B",IF(N414&lt;'PlayerGrades+'!$AF$7,"B+",IF(N414&lt;'PlayerGrades+'!$AF$6,"A-",IF(N414&lt;'PlayerGrades+'!$AF$5,"A",IF(N414&lt;'PlayerGrades+'!$AF$4,"A+",IF(N414&lt;'PlayerGrades+'!$AF$3,"S-",IF(N414&lt;'PlayerGrades+'!$AF$2,"S","S+"))))))))))))))))))))</f>
        <v>E+</v>
      </c>
      <c r="P414" s="937">
        <f t="shared" si="7"/>
        <v>0</v>
      </c>
      <c r="Q414" s="937" t="str">
        <f>IF(P414&lt;'PlayerGrades+'!$AG$21,"F-",IF(P414&lt;'PlayerGrades+'!$AG$20,"F",IF(P414&lt;'PlayerGrades+'!$AG$19,"F+",IF(P414&lt;'PlayerGrades+'!$AG$18,"E-",IF(P414&lt;'PlayerGrades+'!$AG$17,"E",IF(P414&lt;'PlayerGrades+'!$AG$16,"E+",IF(P414&lt;'PlayerGrades+'!$AG$15,"D-",IF(P414&lt;'PlayerGrades+'!$AG$14,"D",IF(P414&lt;'PlayerGrades+'!$AG$13,"D+",IF(P414&lt;'PlayerGrades+'!$AG$12,"C-",IF(P414&lt;'PlayerGrades+'!$AG$11,"C",IF(P414&lt;'PlayerGrades+'!$AG$10,"C+",IF(P414&lt;'PlayerGrades+'!$AG$9,"B-",IF(P414&lt;'PlayerGrades+'!$AG$8,"B",IF(P414&lt;'PlayerGrades+'!$AG$7,"B+",IF(P414&lt;'PlayerGrades+'!$AG$6,"A-",IF(P414&lt;'PlayerGrades+'!$AG$5,"A",IF(P414&lt;'PlayerGrades+'!$AG$4,"A+",IF(P414&lt;'PlayerGrades+'!$AG$3,"S-",IF(P414&lt;'PlayerGrades+'!$AG$2,"S","S+"))))))))))))))))))))</f>
        <v>F</v>
      </c>
      <c r="R414" s="937">
        <f t="shared" si="8"/>
        <v>0.7322654462</v>
      </c>
      <c r="S414" s="937" t="str">
        <f>IF(R414&lt;'PlayerGrades+'!$AH$21,"F-",IF(R414&lt;'PlayerGrades+'!$AH$20,"F",IF(R414&lt;'PlayerGrades+'!$AH$19,"F+",IF(R414&lt;'PlayerGrades+'!$AH$18,"E-",IF(R414&lt;'PlayerGrades+'!$AH$17,"E",IF(R414&lt;'PlayerGrades+'!$AH$16,"E+",IF(R414&lt;'PlayerGrades+'!$AH$15,"D-",IF(R414&lt;'PlayerGrades+'!$AH$14,"D",IF(R414&lt;'PlayerGrades+'!$AH$13,"D+",IF(R414&lt;'PlayerGrades+'!$AH$12,"C-",IF(R414&lt;'PlayerGrades+'!$AH$11,"C",IF(R414&lt;'PlayerGrades+'!$AH$10,"C+",IF(R414&lt;'PlayerGrades+'!$AH$9,"B-",IF(R414&lt;'PlayerGrades+'!$AH$8,"B",IF(R414&lt;'PlayerGrades+'!$AH$7,"B+",IF(R414&lt;'PlayerGrades+'!$AH$6,"A-",IF(R414&lt;'PlayerGrades+'!$AH$5,"A",IF(R414&lt;'PlayerGrades+'!$AH$4,"A+",IF(R414&lt;'PlayerGrades+'!$AH$3,"S-",IF(R414&lt;'PlayerGrades+'!$AH$2,"S","S+"))))))))))))))))))))</f>
        <v>S</v>
      </c>
      <c r="T414" s="937">
        <f t="shared" si="9"/>
        <v>1.320366133</v>
      </c>
      <c r="U414" s="937" t="str">
        <f>IF(T414&lt;'PlayerGrades+'!$AI$21,"F-",IF(T414&lt;'PlayerGrades+'!$AI$20,"F",IF(T414&lt;'PlayerGrades+'!$AI$19,"F+",IF(T414&lt;'PlayerGrades+'!$AI$18,"E-",IF(T414&lt;'PlayerGrades+'!$AI$17,"E",IF(T414&lt;'PlayerGrades+'!$AI$16,"E+",IF(T414&lt;'PlayerGrades+'!$AI$15,"D-",IF(T414&lt;'PlayerGrades+'!$AI$14,"D",IF(T414&lt;'PlayerGrades+'!$AI$13,"D+",IF(T414&lt;'PlayerGrades+'!$AI$12,"C-",IF(T414&lt;'PlayerGrades+'!$AI$11,"C",IF(T414&lt;'PlayerGrades+'!$AI$10,"C+",IF(T414&lt;'PlayerGrades+'!$AI$9,"B-",IF(T414&lt;'PlayerGrades+'!$AI$8,"B",IF(T414&lt;'PlayerGrades+'!$AI$7,"B+",IF(T414&lt;'PlayerGrades+'!$AI$6,"A-",IF(T414&lt;'PlayerGrades+'!$AI$5,"A",IF(T414&lt;'PlayerGrades+'!$AI$4,"A+",IF(T414&lt;'PlayerGrades+'!$AI$3,"S-",IF(T414&lt;'PlayerGrades+'!$AI$2,"S","S+"))))))))))))))))))))</f>
        <v>C+</v>
      </c>
      <c r="V414" s="941">
        <v>1.0</v>
      </c>
      <c r="W414" s="941">
        <v>0.0</v>
      </c>
      <c r="X414" s="941">
        <v>1.0</v>
      </c>
      <c r="Y414" s="941">
        <v>1.0</v>
      </c>
      <c r="Z414" s="941">
        <v>14.0</v>
      </c>
      <c r="AA414" s="941">
        <v>61.0</v>
      </c>
      <c r="AB414" s="941">
        <v>46.0</v>
      </c>
      <c r="AC414" s="941">
        <v>15.0</v>
      </c>
      <c r="AD414" s="941">
        <v>6.0</v>
      </c>
      <c r="AE414" s="941">
        <v>6.0</v>
      </c>
      <c r="AF414" s="941">
        <v>0.0</v>
      </c>
      <c r="AG414" s="941">
        <v>1100.0</v>
      </c>
      <c r="AH414" s="941">
        <v>1311.0</v>
      </c>
      <c r="AI414" s="941">
        <v>23.0</v>
      </c>
      <c r="AJ414" s="941">
        <v>514.0</v>
      </c>
      <c r="AK414" s="941">
        <v>0.0</v>
      </c>
      <c r="AL414" s="941">
        <v>1.0</v>
      </c>
      <c r="AM414" s="941">
        <v>0.0</v>
      </c>
      <c r="AN414" s="941">
        <v>0.0</v>
      </c>
      <c r="AO414" s="941">
        <v>0.0</v>
      </c>
      <c r="AP414" s="941">
        <v>0.0</v>
      </c>
      <c r="AQ414" s="941">
        <v>0.0</v>
      </c>
      <c r="AR414" s="941">
        <v>10.0</v>
      </c>
      <c r="AS414" s="941">
        <v>1.0</v>
      </c>
      <c r="AT414" s="941">
        <v>0.0</v>
      </c>
      <c r="AU414" s="941">
        <v>0.0</v>
      </c>
      <c r="AV414" s="941">
        <v>0.0</v>
      </c>
      <c r="AW414" s="941">
        <v>0.0</v>
      </c>
      <c r="AX414" s="941">
        <v>0.0</v>
      </c>
      <c r="AY414" s="941">
        <v>0.0</v>
      </c>
      <c r="AZ414" s="941">
        <v>0.0</v>
      </c>
      <c r="BA414" s="941">
        <v>0.0</v>
      </c>
      <c r="BB414" s="941">
        <v>1.0</v>
      </c>
      <c r="BC414" s="941">
        <v>0.0</v>
      </c>
      <c r="BD414" s="941">
        <v>10.0</v>
      </c>
      <c r="BE414" s="941">
        <v>7.0</v>
      </c>
      <c r="BF414" s="941">
        <v>1.0</v>
      </c>
      <c r="BG414" s="942">
        <v>0.0</v>
      </c>
    </row>
    <row r="415">
      <c r="A415" s="935" t="s">
        <v>418</v>
      </c>
      <c r="B415" s="16" t="str">
        <f>IF(C415&lt;'PlayerGrades+'!$Y$44,"F-",IF(C415&lt;'PlayerGrades+'!$Y$43,"F",IF(C415&lt;'PlayerGrades+'!$Y$42,"F+",IF(C415&lt;'PlayerGrades+'!$Y$41,"E-",IF(C415&lt;'PlayerGrades+'!$Y$40,"E",IF(C415&lt;'PlayerGrades+'!$Y$39,"E+",IF(C415&lt;'PlayerGrades+'!$Y$38,"D-",IF(C415&lt;'PlayerGrades+'!$Y$37,"D",IF(C415&lt;'PlayerGrades+'!$Y$36,"D+",IF(C415&lt;'PlayerGrades+'!$Y$35,"C-",IF(C415&lt;'PlayerGrades+'!$Y$34,"C",IF(C415&lt;'PlayerGrades+'!$Y$33,"C+",IF(C415&lt;'PlayerGrades+'!$Y$32,"B-",IF(C415&lt;'PlayerGrades+'!$Y$31,"B",IF(C415&lt;'PlayerGrades+'!$Y$30,"B+",IF(C415&lt;'PlayerGrades+'!$Y$29,"A-",IF(C415&lt;'PlayerGrades+'!$Y$28,"A",IF(C415&lt;'PlayerGrades+'!$Y$27,"A+",IF(C415&lt;'PlayerGrades+'!$Y$26,"S-",IF(C415&lt;'PlayerGrades+'!$Y$25,"S","S+"))))))))))))))))))))</f>
        <v>S+</v>
      </c>
      <c r="C415" s="936">
        <f>('PlayerGrades+'!$Y$47*(VLOOKUP(E415, 'PlayerGrades+'!$X$3:$Y$23, 2, FALSE)))+('PlayerGrades+'!$Y$48*(VLOOKUP(G415, 'PlayerGrades+'!$X$3:$Y$23, 2, FALSE)))+('PlayerGrades+'!$Y$49*(VLOOKUP(I415, 'PlayerGrades+'!$X$3:$Y$23, 2, FALSE)))+('PlayerGrades+'!$Y$50*(VLOOKUP(K415, 'PlayerGrades+'!$X$3:$Y$23, 2, FALSE)))+('PlayerGrades+'!$Y$51*(VLOOKUP(M415, 'PlayerGrades+'!$X$3:$Y$23, 2, FALSE)))+('PlayerGrades+'!$Y$52*(VLOOKUP(O415, 'PlayerGrades+'!$X$3:$Y$23, 2, FALSE)))+('PlayerGrades+'!$Y$53*(VLOOKUP(Q415, 'PlayerGrades+'!$X$3:$Y$23, 2, FALSE)))+('PlayerGrades+'!$Y$54*(VLOOKUP(S415, 'PlayerGrades+'!$X$3:$Y$23, 2, FALSE)))+('PlayerGrades+'!$Y$55*(VLOOKUP(U415, 'PlayerGrades+'!$X$3:$Y$23, 2, FALSE)))</f>
        <v>33.2</v>
      </c>
      <c r="D415" s="937">
        <f t="shared" si="1"/>
        <v>0.04576659039</v>
      </c>
      <c r="E415" s="937" t="str">
        <f>IF(D415&lt;'PlayerGrades+'!$AA$21,"F-",IF(D415&lt;'PlayerGrades+'!$AA$20,"F",IF(D415&lt;'PlayerGrades+'!$AA$19,"F+",IF(D415&lt;'PlayerGrades+'!$AA$18,"E-",IF(D415&lt;'PlayerGrades+'!$AA$17,"E",IF(D415&lt;'PlayerGrades+'!$AA$16,"E+",IF(D415&lt;'PlayerGrades+'!$AA$15,"D-",IF(D415&lt;'PlayerGrades+'!$AA$14,"D",IF(D415&lt;'PlayerGrades+'!$AA$13,"D+",IF(D415&lt;'PlayerGrades+'!$AA$12,"C-",IF(D415&lt;'PlayerGrades+'!$AA$11,"C",IF(D415&lt;'PlayerGrades+'!$AA$10,"C+",IF(D415&lt;'PlayerGrades+'!$AA$9,"B-",IF(D415&lt;'PlayerGrades+'!$AA$8,"B",IF(D415&lt;'PlayerGrades+'!$AA$7,"B+",IF(D415&lt;'PlayerGrades+'!$AA$6,"A-",IF(D415&lt;'PlayerGrades+'!$AA$5,"A",IF(D415&lt;'PlayerGrades+'!$AA$4,"A+",IF(D415&lt;'PlayerGrades+'!$AA$3,"S-",IF(D415&lt;'PlayerGrades+'!$AA$2,"S","S+"))))))))))))))))))))</f>
        <v>C+</v>
      </c>
      <c r="F415" s="937">
        <f t="shared" si="2"/>
        <v>1.006864989</v>
      </c>
      <c r="G415" s="937" t="str">
        <f>IF(F415&lt;'PlayerGrades+'!$AB$21,"F-",IF(F415&lt;'PlayerGrades+'!$AB$20,"F",IF(F415&lt;'PlayerGrades+'!$AB$19,"F+",IF(F415&lt;'PlayerGrades+'!$AB$18,"E-",IF(F415&lt;'PlayerGrades+'!$AB$17,"E",IF(F415&lt;'PlayerGrades+'!$AB$16,"E+",IF(F415&lt;'PlayerGrades+'!$AB$15,"D-",IF(F415&lt;'PlayerGrades+'!$AB$14,"D",IF(F415&lt;'PlayerGrades+'!$AB$13,"D+",IF(F415&lt;'PlayerGrades+'!$AB$12,"C-",IF(F415&lt;'PlayerGrades+'!$AB$11,"C",IF(F415&lt;'PlayerGrades+'!$AB$10,"C+",IF(F415&lt;'PlayerGrades+'!$AB$9,"B-",IF(F415&lt;'PlayerGrades+'!$AB$8,"B",IF(F415&lt;'PlayerGrades+'!$AB$7,"B+",IF(F415&lt;'PlayerGrades+'!$AB$6,"A-",IF(F415&lt;'PlayerGrades+'!$AB$5,"A",IF(F415&lt;'PlayerGrades+'!$AB$4,"A+",IF(F415&lt;'PlayerGrades+'!$AB$3,"S-",IF(F415&lt;'PlayerGrades+'!$AB$2,"S","S+"))))))))))))))))))))</f>
        <v>S+</v>
      </c>
      <c r="H415" s="937">
        <f t="shared" si="3"/>
        <v>0.1830663616</v>
      </c>
      <c r="I415" s="937" t="str">
        <f>IF(H415&lt;'PlayerGrades+'!$AC$21,"F-",IF(H415&lt;'PlayerGrades+'!$AC$20,"F",IF(H415&lt;'PlayerGrades+'!$AC$19,"F+",IF(H415&lt;'PlayerGrades+'!$AC$18,"E-",IF(H415&lt;'PlayerGrades+'!$AC$17,"E",IF(H415&lt;'PlayerGrades+'!$AC$16,"E+",IF(H415&lt;'PlayerGrades+'!$AC$15,"D-",IF(H415&lt;'PlayerGrades+'!$AC$14,"D",IF(H415&lt;'PlayerGrades+'!$AC$13,"D+",IF(H415&lt;'PlayerGrades+'!$AC$12,"C-",IF(H415&lt;'PlayerGrades+'!$AC$11,"C",IF(H415&lt;'PlayerGrades+'!$AC$10,"C+",IF(H415&lt;'PlayerGrades+'!$AC$9,"B-",IF(H415&lt;'PlayerGrades+'!$AC$8,"B",IF(H415&lt;'PlayerGrades+'!$AC$7,"B+",IF(H415&lt;'PlayerGrades+'!$AC$6,"A-",IF(H415&lt;'PlayerGrades+'!$AC$5,"A",IF(H415&lt;'PlayerGrades+'!$AC$4,"A+",IF(H415&lt;'PlayerGrades+'!$AC$3,"S-",IF(H415&lt;'PlayerGrades+'!$AC$2,"S","S+"))))))))))))))))))))</f>
        <v>S</v>
      </c>
      <c r="J415" s="937">
        <f t="shared" si="4"/>
        <v>0.09153318078</v>
      </c>
      <c r="K415" s="937" t="str">
        <f>IF(J415&lt;'PlayerGrades+'!$AD$21,"F-",IF(J415&lt;'PlayerGrades+'!$AD$20,"F",IF(J415&lt;'PlayerGrades+'!$AD$19,"F+",IF(J415&lt;'PlayerGrades+'!$AD$18,"E-",IF(J415&lt;'PlayerGrades+'!$AD$17,"E",IF(J415&lt;'PlayerGrades+'!$AD$16,"E+",IF(J415&lt;'PlayerGrades+'!$AD$15,"D-",IF(J415&lt;'PlayerGrades+'!$AD$14,"D",IF(J415&lt;'PlayerGrades+'!$AD$13,"D+",IF(J415&lt;'PlayerGrades+'!$AD$12,"C-",IF(J415&lt;'PlayerGrades+'!$AD$11,"C",IF(J415&lt;'PlayerGrades+'!$AD$10,"C+",IF(J415&lt;'PlayerGrades+'!$AD$9,"B-",IF(J415&lt;'PlayerGrades+'!$AD$8,"B",IF(J415&lt;'PlayerGrades+'!$AD$7,"B+",IF(J415&lt;'PlayerGrades+'!$AD$6,"A-",IF(J415&lt;'PlayerGrades+'!$AD$5,"A",IF(J415&lt;'PlayerGrades+'!$AD$4,"A+",IF(J415&lt;'PlayerGrades+'!$AD$3,"S-",IF(J415&lt;'PlayerGrades+'!$AD$2,"S","S+"))))))))))))))))))))</f>
        <v>S-</v>
      </c>
      <c r="L415" s="677">
        <f t="shared" si="5"/>
        <v>0.823798627</v>
      </c>
      <c r="M415" s="938" t="str">
        <f>IF(L415&lt;'PlayerGrades+'!$AE$21,"F-",IF(L415&lt;'PlayerGrades+'!$AE$20,"F",IF(L415&lt;'PlayerGrades+'!$AE$19,"F+",IF(L415&lt;'PlayerGrades+'!$AE$18,"E-",IF(L415&lt;'PlayerGrades+'!$AE$17,"E",IF(L415&lt;'PlayerGrades+'!$AE$16,"E+",IF(L415&lt;'PlayerGrades+'!$AE$15,"D-",IF(L415&lt;'PlayerGrades+'!$AE$14,"D",IF(L415&lt;'PlayerGrades+'!$AE$13,"D+",IF(L415&lt;'PlayerGrades+'!$AE$12,"C-",IF(L415&lt;'PlayerGrades+'!$AE$11,"C",IF(L415&lt;'PlayerGrades+'!$AE$10,"C+",IF(L415&lt;'PlayerGrades+'!$AE$9,"B-",IF(L415&lt;'PlayerGrades+'!$AE$8,"B",IF(L415&lt;'PlayerGrades+'!$AE$7,"B+",IF(L415&lt;'PlayerGrades+'!$AE$6,"A-",IF(L415&lt;'PlayerGrades+'!$AE$5,"A",IF(L415&lt;'PlayerGrades+'!$AE$4,"A+",IF(L415&lt;'PlayerGrades+'!$AE$3,"S-",IF(L415&lt;'PlayerGrades+'!$AE$2,"S","S+"))))))))))))))))))))</f>
        <v>S+</v>
      </c>
      <c r="N415" s="937">
        <f t="shared" si="6"/>
        <v>0.1830663616</v>
      </c>
      <c r="O415" s="937" t="str">
        <f>IF(N415&lt;'PlayerGrades+'!$AF$21,"F-",IF(N415&lt;'PlayerGrades+'!$AF$20,"F",IF(N415&lt;'PlayerGrades+'!$AF$19,"F+",IF(N415&lt;'PlayerGrades+'!$AF$18,"E-",IF(N415&lt;'PlayerGrades+'!$AF$17,"E",IF(N415&lt;'PlayerGrades+'!$AF$16,"E+",IF(N415&lt;'PlayerGrades+'!$AF$15,"D-",IF(N415&lt;'PlayerGrades+'!$AF$14,"D",IF(N415&lt;'PlayerGrades+'!$AF$13,"D+",IF(N415&lt;'PlayerGrades+'!$AF$12,"C-",IF(N415&lt;'PlayerGrades+'!$AF$11,"C",IF(N415&lt;'PlayerGrades+'!$AF$10,"C+",IF(N415&lt;'PlayerGrades+'!$AF$9,"B-",IF(N415&lt;'PlayerGrades+'!$AF$8,"B",IF(N415&lt;'PlayerGrades+'!$AF$7,"B+",IF(N415&lt;'PlayerGrades+'!$AF$6,"A-",IF(N415&lt;'PlayerGrades+'!$AF$5,"A",IF(N415&lt;'PlayerGrades+'!$AF$4,"A+",IF(N415&lt;'PlayerGrades+'!$AF$3,"S-",IF(N415&lt;'PlayerGrades+'!$AF$2,"S","S+"))))))))))))))))))))</f>
        <v>S+</v>
      </c>
      <c r="P415" s="937">
        <f t="shared" si="7"/>
        <v>0.09153318078</v>
      </c>
      <c r="Q415" s="937" t="str">
        <f>IF(P415&lt;'PlayerGrades+'!$AG$21,"F-",IF(P415&lt;'PlayerGrades+'!$AG$20,"F",IF(P415&lt;'PlayerGrades+'!$AG$19,"F+",IF(P415&lt;'PlayerGrades+'!$AG$18,"E-",IF(P415&lt;'PlayerGrades+'!$AG$17,"E",IF(P415&lt;'PlayerGrades+'!$AG$16,"E+",IF(P415&lt;'PlayerGrades+'!$AG$15,"D-",IF(P415&lt;'PlayerGrades+'!$AG$14,"D",IF(P415&lt;'PlayerGrades+'!$AG$13,"D+",IF(P415&lt;'PlayerGrades+'!$AG$12,"C-",IF(P415&lt;'PlayerGrades+'!$AG$11,"C",IF(P415&lt;'PlayerGrades+'!$AG$10,"C+",IF(P415&lt;'PlayerGrades+'!$AG$9,"B-",IF(P415&lt;'PlayerGrades+'!$AG$8,"B",IF(P415&lt;'PlayerGrades+'!$AG$7,"B+",IF(P415&lt;'PlayerGrades+'!$AG$6,"A-",IF(P415&lt;'PlayerGrades+'!$AG$5,"A",IF(P415&lt;'PlayerGrades+'!$AG$4,"A+",IF(P415&lt;'PlayerGrades+'!$AG$3,"S-",IF(P415&lt;'PlayerGrades+'!$AG$2,"S","S+"))))))))))))))))))))</f>
        <v>S+</v>
      </c>
      <c r="R415" s="937">
        <f t="shared" si="8"/>
        <v>0.8695652174</v>
      </c>
      <c r="S415" s="937" t="str">
        <f>IF(R415&lt;'PlayerGrades+'!$AH$21,"F-",IF(R415&lt;'PlayerGrades+'!$AH$20,"F",IF(R415&lt;'PlayerGrades+'!$AH$19,"F+",IF(R415&lt;'PlayerGrades+'!$AH$18,"E-",IF(R415&lt;'PlayerGrades+'!$AH$17,"E",IF(R415&lt;'PlayerGrades+'!$AH$16,"E+",IF(R415&lt;'PlayerGrades+'!$AH$15,"D-",IF(R415&lt;'PlayerGrades+'!$AH$14,"D",IF(R415&lt;'PlayerGrades+'!$AH$13,"D+",IF(R415&lt;'PlayerGrades+'!$AH$12,"C-",IF(R415&lt;'PlayerGrades+'!$AH$11,"C",IF(R415&lt;'PlayerGrades+'!$AH$10,"C+",IF(R415&lt;'PlayerGrades+'!$AH$9,"B-",IF(R415&lt;'PlayerGrades+'!$AH$8,"B",IF(R415&lt;'PlayerGrades+'!$AH$7,"B+",IF(R415&lt;'PlayerGrades+'!$AH$6,"A-",IF(R415&lt;'PlayerGrades+'!$AH$5,"A",IF(R415&lt;'PlayerGrades+'!$AH$4,"A+",IF(R415&lt;'PlayerGrades+'!$AH$3,"S-",IF(R415&lt;'PlayerGrades+'!$AH$2,"S","S+"))))))))))))))))))))</f>
        <v>S+</v>
      </c>
      <c r="T415" s="937">
        <f t="shared" si="9"/>
        <v>0.3661327231</v>
      </c>
      <c r="U415" s="937" t="str">
        <f>IF(T415&lt;'PlayerGrades+'!$AI$21,"F-",IF(T415&lt;'PlayerGrades+'!$AI$20,"F",IF(T415&lt;'PlayerGrades+'!$AI$19,"F+",IF(T415&lt;'PlayerGrades+'!$AI$18,"E-",IF(T415&lt;'PlayerGrades+'!$AI$17,"E",IF(T415&lt;'PlayerGrades+'!$AI$16,"E+",IF(T415&lt;'PlayerGrades+'!$AI$15,"D-",IF(T415&lt;'PlayerGrades+'!$AI$14,"D",IF(T415&lt;'PlayerGrades+'!$AI$13,"D+",IF(T415&lt;'PlayerGrades+'!$AI$12,"C-",IF(T415&lt;'PlayerGrades+'!$AI$11,"C",IF(T415&lt;'PlayerGrades+'!$AI$10,"C+",IF(T415&lt;'PlayerGrades+'!$AI$9,"B-",IF(T415&lt;'PlayerGrades+'!$AI$8,"B",IF(T415&lt;'PlayerGrades+'!$AI$7,"B+",IF(T415&lt;'PlayerGrades+'!$AI$6,"A-",IF(T415&lt;'PlayerGrades+'!$AI$5,"A",IF(T415&lt;'PlayerGrades+'!$AI$4,"A+",IF(T415&lt;'PlayerGrades+'!$AI$3,"S-",IF(T415&lt;'PlayerGrades+'!$AI$2,"S","S+"))))))))))))))))))))</f>
        <v>F-</v>
      </c>
      <c r="V415" s="941">
        <v>1.0</v>
      </c>
      <c r="W415" s="941">
        <v>0.0</v>
      </c>
      <c r="X415" s="941">
        <v>1.0</v>
      </c>
      <c r="Y415" s="941">
        <v>0.0</v>
      </c>
      <c r="Z415" s="941">
        <v>1.0</v>
      </c>
      <c r="AA415" s="941">
        <v>97.0</v>
      </c>
      <c r="AB415" s="941">
        <v>75.0</v>
      </c>
      <c r="AC415" s="941">
        <v>22.0</v>
      </c>
      <c r="AD415" s="941">
        <v>8.0</v>
      </c>
      <c r="AE415" s="941">
        <v>7.0</v>
      </c>
      <c r="AF415" s="941">
        <v>0.0</v>
      </c>
      <c r="AG415" s="941">
        <v>1003.0</v>
      </c>
      <c r="AH415" s="941">
        <v>1311.0</v>
      </c>
      <c r="AI415" s="941">
        <v>13.0</v>
      </c>
      <c r="AJ415" s="941">
        <v>21.0</v>
      </c>
      <c r="AK415" s="941">
        <v>0.0</v>
      </c>
      <c r="AL415" s="941">
        <v>2.0</v>
      </c>
      <c r="AM415" s="941">
        <v>0.0</v>
      </c>
      <c r="AN415" s="941">
        <v>0.0</v>
      </c>
      <c r="AO415" s="941">
        <v>0.0</v>
      </c>
      <c r="AP415" s="941">
        <v>2.0</v>
      </c>
      <c r="AQ415" s="941">
        <v>0.0</v>
      </c>
      <c r="AR415" s="941">
        <v>18.0</v>
      </c>
      <c r="AS415" s="941">
        <v>4.0</v>
      </c>
      <c r="AT415" s="941">
        <v>0.0</v>
      </c>
      <c r="AU415" s="941">
        <v>0.0</v>
      </c>
      <c r="AV415" s="941">
        <v>0.0</v>
      </c>
      <c r="AW415" s="941">
        <v>0.0</v>
      </c>
      <c r="AX415" s="941">
        <v>0.0</v>
      </c>
      <c r="AY415" s="941">
        <v>0.0</v>
      </c>
      <c r="AZ415" s="941">
        <v>0.0</v>
      </c>
      <c r="BA415" s="941">
        <v>0.0</v>
      </c>
      <c r="BB415" s="941">
        <v>4.0</v>
      </c>
      <c r="BC415" s="941">
        <v>0.0</v>
      </c>
      <c r="BD415" s="941">
        <v>11.0</v>
      </c>
      <c r="BE415" s="941">
        <v>8.0</v>
      </c>
      <c r="BF415" s="941">
        <v>0.0</v>
      </c>
      <c r="BG415" s="942">
        <v>0.0</v>
      </c>
    </row>
    <row r="416">
      <c r="A416" s="935" t="s">
        <v>115</v>
      </c>
      <c r="B416" s="16" t="str">
        <f>IF(C416&lt;'PlayerGrades+'!$Y$44,"F-",IF(C416&lt;'PlayerGrades+'!$Y$43,"F",IF(C416&lt;'PlayerGrades+'!$Y$42,"F+",IF(C416&lt;'PlayerGrades+'!$Y$41,"E-",IF(C416&lt;'PlayerGrades+'!$Y$40,"E",IF(C416&lt;'PlayerGrades+'!$Y$39,"E+",IF(C416&lt;'PlayerGrades+'!$Y$38,"D-",IF(C416&lt;'PlayerGrades+'!$Y$37,"D",IF(C416&lt;'PlayerGrades+'!$Y$36,"D+",IF(C416&lt;'PlayerGrades+'!$Y$35,"C-",IF(C416&lt;'PlayerGrades+'!$Y$34,"C",IF(C416&lt;'PlayerGrades+'!$Y$33,"C+",IF(C416&lt;'PlayerGrades+'!$Y$32,"B-",IF(C416&lt;'PlayerGrades+'!$Y$31,"B",IF(C416&lt;'PlayerGrades+'!$Y$30,"B+",IF(C416&lt;'PlayerGrades+'!$Y$29,"A-",IF(C416&lt;'PlayerGrades+'!$Y$28,"A",IF(C416&lt;'PlayerGrades+'!$Y$27,"A+",IF(C416&lt;'PlayerGrades+'!$Y$26,"S-",IF(C416&lt;'PlayerGrades+'!$Y$25,"S","S+"))))))))))))))))))))</f>
        <v>E</v>
      </c>
      <c r="C416" s="936">
        <f>('PlayerGrades+'!$Y$47*(VLOOKUP(E416, 'PlayerGrades+'!$X$3:$Y$23, 2, FALSE)))+('PlayerGrades+'!$Y$48*(VLOOKUP(G416, 'PlayerGrades+'!$X$3:$Y$23, 2, FALSE)))+('PlayerGrades+'!$Y$49*(VLOOKUP(I416, 'PlayerGrades+'!$X$3:$Y$23, 2, FALSE)))+('PlayerGrades+'!$Y$50*(VLOOKUP(K416, 'PlayerGrades+'!$X$3:$Y$23, 2, FALSE)))+('PlayerGrades+'!$Y$51*(VLOOKUP(M416, 'PlayerGrades+'!$X$3:$Y$23, 2, FALSE)))+('PlayerGrades+'!$Y$52*(VLOOKUP(O416, 'PlayerGrades+'!$X$3:$Y$23, 2, FALSE)))+('PlayerGrades+'!$Y$53*(VLOOKUP(Q416, 'PlayerGrades+'!$X$3:$Y$23, 2, FALSE)))+('PlayerGrades+'!$Y$54*(VLOOKUP(S416, 'PlayerGrades+'!$X$3:$Y$23, 2, FALSE)))+('PlayerGrades+'!$Y$55*(VLOOKUP(U416, 'PlayerGrades+'!$X$3:$Y$23, 2, FALSE)))</f>
        <v>12.9</v>
      </c>
      <c r="D416" s="937">
        <f t="shared" si="1"/>
        <v>0</v>
      </c>
      <c r="E416" s="937" t="str">
        <f>IF(D416&lt;'PlayerGrades+'!$AA$21,"F-",IF(D416&lt;'PlayerGrades+'!$AA$20,"F",IF(D416&lt;'PlayerGrades+'!$AA$19,"F+",IF(D416&lt;'PlayerGrades+'!$AA$18,"E-",IF(D416&lt;'PlayerGrades+'!$AA$17,"E",IF(D416&lt;'PlayerGrades+'!$AA$16,"E+",IF(D416&lt;'PlayerGrades+'!$AA$15,"D-",IF(D416&lt;'PlayerGrades+'!$AA$14,"D",IF(D416&lt;'PlayerGrades+'!$AA$13,"D+",IF(D416&lt;'PlayerGrades+'!$AA$12,"C-",IF(D416&lt;'PlayerGrades+'!$AA$11,"C",IF(D416&lt;'PlayerGrades+'!$AA$10,"C+",IF(D416&lt;'PlayerGrades+'!$AA$9,"B-",IF(D416&lt;'PlayerGrades+'!$AA$8,"B",IF(D416&lt;'PlayerGrades+'!$AA$7,"B+",IF(D416&lt;'PlayerGrades+'!$AA$6,"A-",IF(D416&lt;'PlayerGrades+'!$AA$5,"A",IF(D416&lt;'PlayerGrades+'!$AA$4,"A+",IF(D416&lt;'PlayerGrades+'!$AA$3,"S-",IF(D416&lt;'PlayerGrades+'!$AA$2,"S","S+"))))))))))))))))))))</f>
        <v>F-</v>
      </c>
      <c r="F416" s="937">
        <f t="shared" si="2"/>
        <v>-0.9153318078</v>
      </c>
      <c r="G416" s="937" t="str">
        <f>IF(F416&lt;'PlayerGrades+'!$AB$21,"F-",IF(F416&lt;'PlayerGrades+'!$AB$20,"F",IF(F416&lt;'PlayerGrades+'!$AB$19,"F+",IF(F416&lt;'PlayerGrades+'!$AB$18,"E-",IF(F416&lt;'PlayerGrades+'!$AB$17,"E",IF(F416&lt;'PlayerGrades+'!$AB$16,"E+",IF(F416&lt;'PlayerGrades+'!$AB$15,"D-",IF(F416&lt;'PlayerGrades+'!$AB$14,"D",IF(F416&lt;'PlayerGrades+'!$AB$13,"D+",IF(F416&lt;'PlayerGrades+'!$AB$12,"C-",IF(F416&lt;'PlayerGrades+'!$AB$11,"C",IF(F416&lt;'PlayerGrades+'!$AB$10,"C+",IF(F416&lt;'PlayerGrades+'!$AB$9,"B-",IF(F416&lt;'PlayerGrades+'!$AB$8,"B",IF(F416&lt;'PlayerGrades+'!$AB$7,"B+",IF(F416&lt;'PlayerGrades+'!$AB$6,"A-",IF(F416&lt;'PlayerGrades+'!$AB$5,"A",IF(F416&lt;'PlayerGrades+'!$AB$4,"A+",IF(F416&lt;'PlayerGrades+'!$AB$3,"S-",IF(F416&lt;'PlayerGrades+'!$AB$2,"S","S+"))))))))))))))))))))</f>
        <v>E-</v>
      </c>
      <c r="H416" s="937">
        <f t="shared" si="3"/>
        <v>0.09153318078</v>
      </c>
      <c r="I416" s="937" t="str">
        <f>IF(H416&lt;'PlayerGrades+'!$AC$21,"F-",IF(H416&lt;'PlayerGrades+'!$AC$20,"F",IF(H416&lt;'PlayerGrades+'!$AC$19,"F+",IF(H416&lt;'PlayerGrades+'!$AC$18,"E-",IF(H416&lt;'PlayerGrades+'!$AC$17,"E",IF(H416&lt;'PlayerGrades+'!$AC$16,"E+",IF(H416&lt;'PlayerGrades+'!$AC$15,"D-",IF(H416&lt;'PlayerGrades+'!$AC$14,"D",IF(H416&lt;'PlayerGrades+'!$AC$13,"D+",IF(H416&lt;'PlayerGrades+'!$AC$12,"C-",IF(H416&lt;'PlayerGrades+'!$AC$11,"C",IF(H416&lt;'PlayerGrades+'!$AC$10,"C+",IF(H416&lt;'PlayerGrades+'!$AC$9,"B-",IF(H416&lt;'PlayerGrades+'!$AC$8,"B",IF(H416&lt;'PlayerGrades+'!$AC$7,"B+",IF(H416&lt;'PlayerGrades+'!$AC$6,"A-",IF(H416&lt;'PlayerGrades+'!$AC$5,"A",IF(H416&lt;'PlayerGrades+'!$AC$4,"A+",IF(H416&lt;'PlayerGrades+'!$AC$3,"S-",IF(H416&lt;'PlayerGrades+'!$AC$2,"S","S+"))))))))))))))))))))</f>
        <v>D</v>
      </c>
      <c r="J416" s="937">
        <f t="shared" si="4"/>
        <v>0</v>
      </c>
      <c r="K416" s="937" t="str">
        <f>IF(J416&lt;'PlayerGrades+'!$AD$21,"F-",IF(J416&lt;'PlayerGrades+'!$AD$20,"F",IF(J416&lt;'PlayerGrades+'!$AD$19,"F+",IF(J416&lt;'PlayerGrades+'!$AD$18,"E-",IF(J416&lt;'PlayerGrades+'!$AD$17,"E",IF(J416&lt;'PlayerGrades+'!$AD$16,"E+",IF(J416&lt;'PlayerGrades+'!$AD$15,"D-",IF(J416&lt;'PlayerGrades+'!$AD$14,"D",IF(J416&lt;'PlayerGrades+'!$AD$13,"D+",IF(J416&lt;'PlayerGrades+'!$AD$12,"C-",IF(J416&lt;'PlayerGrades+'!$AD$11,"C",IF(J416&lt;'PlayerGrades+'!$AD$10,"C+",IF(J416&lt;'PlayerGrades+'!$AD$9,"B-",IF(J416&lt;'PlayerGrades+'!$AD$8,"B",IF(J416&lt;'PlayerGrades+'!$AD$7,"B+",IF(J416&lt;'PlayerGrades+'!$AD$6,"A-",IF(J416&lt;'PlayerGrades+'!$AD$5,"A",IF(J416&lt;'PlayerGrades+'!$AD$4,"A+",IF(J416&lt;'PlayerGrades+'!$AD$3,"S-",IF(J416&lt;'PlayerGrades+'!$AD$2,"S","S+"))))))))))))))))))))</f>
        <v>F-</v>
      </c>
      <c r="L416" s="677">
        <f t="shared" si="5"/>
        <v>0.5034324943</v>
      </c>
      <c r="M416" s="938" t="str">
        <f>IF(L416&lt;'PlayerGrades+'!$AE$21,"F-",IF(L416&lt;'PlayerGrades+'!$AE$20,"F",IF(L416&lt;'PlayerGrades+'!$AE$19,"F+",IF(L416&lt;'PlayerGrades+'!$AE$18,"E-",IF(L416&lt;'PlayerGrades+'!$AE$17,"E",IF(L416&lt;'PlayerGrades+'!$AE$16,"E+",IF(L416&lt;'PlayerGrades+'!$AE$15,"D-",IF(L416&lt;'PlayerGrades+'!$AE$14,"D",IF(L416&lt;'PlayerGrades+'!$AE$13,"D+",IF(L416&lt;'PlayerGrades+'!$AE$12,"C-",IF(L416&lt;'PlayerGrades+'!$AE$11,"C",IF(L416&lt;'PlayerGrades+'!$AE$10,"C+",IF(L416&lt;'PlayerGrades+'!$AE$9,"B-",IF(L416&lt;'PlayerGrades+'!$AE$8,"B",IF(L416&lt;'PlayerGrades+'!$AE$7,"B+",IF(L416&lt;'PlayerGrades+'!$AE$6,"A-",IF(L416&lt;'PlayerGrades+'!$AE$5,"A",IF(L416&lt;'PlayerGrades+'!$AE$4,"A+",IF(L416&lt;'PlayerGrades+'!$AE$3,"S-",IF(L416&lt;'PlayerGrades+'!$AE$2,"S","S+"))))))))))))))))))))</f>
        <v>A-</v>
      </c>
      <c r="N416" s="937">
        <f t="shared" si="6"/>
        <v>0.04576659039</v>
      </c>
      <c r="O416" s="937" t="str">
        <f>IF(N416&lt;'PlayerGrades+'!$AF$21,"F-",IF(N416&lt;'PlayerGrades+'!$AF$20,"F",IF(N416&lt;'PlayerGrades+'!$AF$19,"F+",IF(N416&lt;'PlayerGrades+'!$AF$18,"E-",IF(N416&lt;'PlayerGrades+'!$AF$17,"E",IF(N416&lt;'PlayerGrades+'!$AF$16,"E+",IF(N416&lt;'PlayerGrades+'!$AF$15,"D-",IF(N416&lt;'PlayerGrades+'!$AF$14,"D",IF(N416&lt;'PlayerGrades+'!$AF$13,"D+",IF(N416&lt;'PlayerGrades+'!$AF$12,"C-",IF(N416&lt;'PlayerGrades+'!$AF$11,"C",IF(N416&lt;'PlayerGrades+'!$AF$10,"C+",IF(N416&lt;'PlayerGrades+'!$AF$9,"B-",IF(N416&lt;'PlayerGrades+'!$AF$8,"B",IF(N416&lt;'PlayerGrades+'!$AF$7,"B+",IF(N416&lt;'PlayerGrades+'!$AF$6,"A-",IF(N416&lt;'PlayerGrades+'!$AF$5,"A",IF(N416&lt;'PlayerGrades+'!$AF$4,"A+",IF(N416&lt;'PlayerGrades+'!$AF$3,"S-",IF(N416&lt;'PlayerGrades+'!$AF$2,"S","S+"))))))))))))))))))))</f>
        <v>E+</v>
      </c>
      <c r="P416" s="937">
        <f t="shared" si="7"/>
        <v>0</v>
      </c>
      <c r="Q416" s="937" t="str">
        <f>IF(P416&lt;'PlayerGrades+'!$AG$21,"F-",IF(P416&lt;'PlayerGrades+'!$AG$20,"F",IF(P416&lt;'PlayerGrades+'!$AG$19,"F+",IF(P416&lt;'PlayerGrades+'!$AG$18,"E-",IF(P416&lt;'PlayerGrades+'!$AG$17,"E",IF(P416&lt;'PlayerGrades+'!$AG$16,"E+",IF(P416&lt;'PlayerGrades+'!$AG$15,"D-",IF(P416&lt;'PlayerGrades+'!$AG$14,"D",IF(P416&lt;'PlayerGrades+'!$AG$13,"D+",IF(P416&lt;'PlayerGrades+'!$AG$12,"C-",IF(P416&lt;'PlayerGrades+'!$AG$11,"C",IF(P416&lt;'PlayerGrades+'!$AG$10,"C+",IF(P416&lt;'PlayerGrades+'!$AG$9,"B-",IF(P416&lt;'PlayerGrades+'!$AG$8,"B",IF(P416&lt;'PlayerGrades+'!$AG$7,"B+",IF(P416&lt;'PlayerGrades+'!$AG$6,"A-",IF(P416&lt;'PlayerGrades+'!$AG$5,"A",IF(P416&lt;'PlayerGrades+'!$AG$4,"A+",IF(P416&lt;'PlayerGrades+'!$AG$3,"S-",IF(P416&lt;'PlayerGrades+'!$AG$2,"S","S+"))))))))))))))))))))</f>
        <v>F</v>
      </c>
      <c r="R416" s="937">
        <f t="shared" si="8"/>
        <v>0.4576659039</v>
      </c>
      <c r="S416" s="937" t="str">
        <f>IF(R416&lt;'PlayerGrades+'!$AH$21,"F-",IF(R416&lt;'PlayerGrades+'!$AH$20,"F",IF(R416&lt;'PlayerGrades+'!$AH$19,"F+",IF(R416&lt;'PlayerGrades+'!$AH$18,"E-",IF(R416&lt;'PlayerGrades+'!$AH$17,"E",IF(R416&lt;'PlayerGrades+'!$AH$16,"E+",IF(R416&lt;'PlayerGrades+'!$AH$15,"D-",IF(R416&lt;'PlayerGrades+'!$AH$14,"D",IF(R416&lt;'PlayerGrades+'!$AH$13,"D+",IF(R416&lt;'PlayerGrades+'!$AH$12,"C-",IF(R416&lt;'PlayerGrades+'!$AH$11,"C",IF(R416&lt;'PlayerGrades+'!$AH$10,"C+",IF(R416&lt;'PlayerGrades+'!$AH$9,"B-",IF(R416&lt;'PlayerGrades+'!$AH$8,"B",IF(R416&lt;'PlayerGrades+'!$AH$7,"B+",IF(R416&lt;'PlayerGrades+'!$AH$6,"A-",IF(R416&lt;'PlayerGrades+'!$AH$5,"A",IF(R416&lt;'PlayerGrades+'!$AH$4,"A+",IF(R416&lt;'PlayerGrades+'!$AH$3,"S-",IF(R416&lt;'PlayerGrades+'!$AH$2,"S","S+"))))))))))))))))))))</f>
        <v>E-</v>
      </c>
      <c r="T416" s="937">
        <f t="shared" si="9"/>
        <v>2.274599542</v>
      </c>
      <c r="U416" s="937" t="str">
        <f>IF(T416&lt;'PlayerGrades+'!$AI$21,"F-",IF(T416&lt;'PlayerGrades+'!$AI$20,"F",IF(T416&lt;'PlayerGrades+'!$AI$19,"F+",IF(T416&lt;'PlayerGrades+'!$AI$18,"E-",IF(T416&lt;'PlayerGrades+'!$AI$17,"E",IF(T416&lt;'PlayerGrades+'!$AI$16,"E+",IF(T416&lt;'PlayerGrades+'!$AI$15,"D-",IF(T416&lt;'PlayerGrades+'!$AI$14,"D",IF(T416&lt;'PlayerGrades+'!$AI$13,"D+",IF(T416&lt;'PlayerGrades+'!$AI$12,"C-",IF(T416&lt;'PlayerGrades+'!$AI$11,"C",IF(T416&lt;'PlayerGrades+'!$AI$10,"C+",IF(T416&lt;'PlayerGrades+'!$AI$9,"B-",IF(T416&lt;'PlayerGrades+'!$AI$8,"B",IF(T416&lt;'PlayerGrades+'!$AI$7,"B+",IF(T416&lt;'PlayerGrades+'!$AI$6,"A-",IF(T416&lt;'PlayerGrades+'!$AI$5,"A",IF(T416&lt;'PlayerGrades+'!$AI$4,"A+",IF(T416&lt;'PlayerGrades+'!$AI$3,"S-",IF(T416&lt;'PlayerGrades+'!$AI$2,"S","S+"))))))))))))))))))))</f>
        <v>S+</v>
      </c>
      <c r="V416" s="941">
        <v>1.0</v>
      </c>
      <c r="W416" s="941">
        <v>0.0</v>
      </c>
      <c r="X416" s="941">
        <v>1.0</v>
      </c>
      <c r="Y416" s="941">
        <v>0.0</v>
      </c>
      <c r="Z416" s="941">
        <v>0.0</v>
      </c>
      <c r="AA416" s="941">
        <v>76.0</v>
      </c>
      <c r="AB416" s="941">
        <v>96.0</v>
      </c>
      <c r="AC416" s="941">
        <v>-20.0</v>
      </c>
      <c r="AD416" s="941">
        <v>4.0</v>
      </c>
      <c r="AE416" s="941">
        <v>3.0</v>
      </c>
      <c r="AF416" s="941">
        <v>2.0</v>
      </c>
      <c r="AG416" s="941">
        <v>945.0</v>
      </c>
      <c r="AH416" s="941">
        <v>1311.0</v>
      </c>
      <c r="AI416" s="941">
        <v>9.0</v>
      </c>
      <c r="AJ416" s="941">
        <v>6.0</v>
      </c>
      <c r="AK416" s="941">
        <v>0.0</v>
      </c>
      <c r="AL416" s="941">
        <v>0.0</v>
      </c>
      <c r="AM416" s="941">
        <v>0.0</v>
      </c>
      <c r="AN416" s="941">
        <v>0.0</v>
      </c>
      <c r="AO416" s="941">
        <v>0.0</v>
      </c>
      <c r="AP416" s="941">
        <v>0.0</v>
      </c>
      <c r="AQ416" s="941">
        <v>0.0</v>
      </c>
      <c r="AR416" s="941">
        <v>11.0</v>
      </c>
      <c r="AS416" s="941">
        <v>1.0</v>
      </c>
      <c r="AT416" s="941">
        <v>0.0</v>
      </c>
      <c r="AU416" s="941">
        <v>0.0</v>
      </c>
      <c r="AV416" s="941">
        <v>0.0</v>
      </c>
      <c r="AW416" s="941">
        <v>0.0</v>
      </c>
      <c r="AX416" s="941">
        <v>0.0</v>
      </c>
      <c r="AY416" s="941">
        <v>0.0</v>
      </c>
      <c r="AZ416" s="941">
        <v>0.0</v>
      </c>
      <c r="BA416" s="941">
        <v>0.0</v>
      </c>
      <c r="BB416" s="941">
        <v>2.0</v>
      </c>
      <c r="BC416" s="941">
        <v>0.0</v>
      </c>
      <c r="BD416" s="941">
        <v>6.0</v>
      </c>
      <c r="BE416" s="941">
        <v>6.0</v>
      </c>
      <c r="BF416" s="941">
        <v>2.0</v>
      </c>
      <c r="BG416" s="942">
        <v>0.0</v>
      </c>
    </row>
    <row r="417">
      <c r="A417" s="943" t="s">
        <v>137</v>
      </c>
      <c r="B417" s="16" t="str">
        <f>IF(C417&lt;'PlayerGrades+'!$Y$44,"F-",IF(C417&lt;'PlayerGrades+'!$Y$43,"F",IF(C417&lt;'PlayerGrades+'!$Y$42,"F+",IF(C417&lt;'PlayerGrades+'!$Y$41,"E-",IF(C417&lt;'PlayerGrades+'!$Y$40,"E",IF(C417&lt;'PlayerGrades+'!$Y$39,"E+",IF(C417&lt;'PlayerGrades+'!$Y$38,"D-",IF(C417&lt;'PlayerGrades+'!$Y$37,"D",IF(C417&lt;'PlayerGrades+'!$Y$36,"D+",IF(C417&lt;'PlayerGrades+'!$Y$35,"C-",IF(C417&lt;'PlayerGrades+'!$Y$34,"C",IF(C417&lt;'PlayerGrades+'!$Y$33,"C+",IF(C417&lt;'PlayerGrades+'!$Y$32,"B-",IF(C417&lt;'PlayerGrades+'!$Y$31,"B",IF(C417&lt;'PlayerGrades+'!$Y$30,"B+",IF(C417&lt;'PlayerGrades+'!$Y$29,"A-",IF(C417&lt;'PlayerGrades+'!$Y$28,"A",IF(C417&lt;'PlayerGrades+'!$Y$27,"A+",IF(C417&lt;'PlayerGrades+'!$Y$26,"S-",IF(C417&lt;'PlayerGrades+'!$Y$25,"S","S+"))))))))))))))))))))</f>
        <v>A</v>
      </c>
      <c r="C417" s="936">
        <f>('PlayerGrades+'!$Y$47*(VLOOKUP(E417, 'PlayerGrades+'!$X$3:$Y$23, 2, FALSE)))+('PlayerGrades+'!$Y$48*(VLOOKUP(G417, 'PlayerGrades+'!$X$3:$Y$23, 2, FALSE)))+('PlayerGrades+'!$Y$49*(VLOOKUP(I417, 'PlayerGrades+'!$X$3:$Y$23, 2, FALSE)))+('PlayerGrades+'!$Y$50*(VLOOKUP(K417, 'PlayerGrades+'!$X$3:$Y$23, 2, FALSE)))+('PlayerGrades+'!$Y$51*(VLOOKUP(M417, 'PlayerGrades+'!$X$3:$Y$23, 2, FALSE)))+('PlayerGrades+'!$Y$52*(VLOOKUP(O417, 'PlayerGrades+'!$X$3:$Y$23, 2, FALSE)))+('PlayerGrades+'!$Y$53*(VLOOKUP(Q417, 'PlayerGrades+'!$X$3:$Y$23, 2, FALSE)))+('PlayerGrades+'!$Y$54*(VLOOKUP(S417, 'PlayerGrades+'!$X$3:$Y$23, 2, FALSE)))+('PlayerGrades+'!$Y$55*(VLOOKUP(U417, 'PlayerGrades+'!$X$3:$Y$23, 2, FALSE)))</f>
        <v>25.5</v>
      </c>
      <c r="D417" s="937">
        <f t="shared" si="1"/>
        <v>0.3661327231</v>
      </c>
      <c r="E417" s="937" t="str">
        <f>IF(D417&lt;'PlayerGrades+'!$AA$21,"F-",IF(D417&lt;'PlayerGrades+'!$AA$20,"F",IF(D417&lt;'PlayerGrades+'!$AA$19,"F+",IF(D417&lt;'PlayerGrades+'!$AA$18,"E-",IF(D417&lt;'PlayerGrades+'!$AA$17,"E",IF(D417&lt;'PlayerGrades+'!$AA$16,"E+",IF(D417&lt;'PlayerGrades+'!$AA$15,"D-",IF(D417&lt;'PlayerGrades+'!$AA$14,"D",IF(D417&lt;'PlayerGrades+'!$AA$13,"D+",IF(D417&lt;'PlayerGrades+'!$AA$12,"C-",IF(D417&lt;'PlayerGrades+'!$AA$11,"C",IF(D417&lt;'PlayerGrades+'!$AA$10,"C+",IF(D417&lt;'PlayerGrades+'!$AA$9,"B-",IF(D417&lt;'PlayerGrades+'!$AA$8,"B",IF(D417&lt;'PlayerGrades+'!$AA$7,"B+",IF(D417&lt;'PlayerGrades+'!$AA$6,"A-",IF(D417&lt;'PlayerGrades+'!$AA$5,"A",IF(D417&lt;'PlayerGrades+'!$AA$4,"A+",IF(D417&lt;'PlayerGrades+'!$AA$3,"S-",IF(D417&lt;'PlayerGrades+'!$AA$2,"S","S+"))))))))))))))))))))</f>
        <v>A</v>
      </c>
      <c r="F417" s="937">
        <f t="shared" si="2"/>
        <v>0</v>
      </c>
      <c r="G417" s="937" t="str">
        <f>IF(F417&lt;'PlayerGrades+'!$AB$21,"F-",IF(F417&lt;'PlayerGrades+'!$AB$20,"F",IF(F417&lt;'PlayerGrades+'!$AB$19,"F+",IF(F417&lt;'PlayerGrades+'!$AB$18,"E-",IF(F417&lt;'PlayerGrades+'!$AB$17,"E",IF(F417&lt;'PlayerGrades+'!$AB$16,"E+",IF(F417&lt;'PlayerGrades+'!$AB$15,"D-",IF(F417&lt;'PlayerGrades+'!$AB$14,"D",IF(F417&lt;'PlayerGrades+'!$AB$13,"D+",IF(F417&lt;'PlayerGrades+'!$AB$12,"C-",IF(F417&lt;'PlayerGrades+'!$AB$11,"C",IF(F417&lt;'PlayerGrades+'!$AB$10,"C+",IF(F417&lt;'PlayerGrades+'!$AB$9,"B-",IF(F417&lt;'PlayerGrades+'!$AB$8,"B",IF(F417&lt;'PlayerGrades+'!$AB$7,"B+",IF(F417&lt;'PlayerGrades+'!$AB$6,"A-",IF(F417&lt;'PlayerGrades+'!$AB$5,"A",IF(F417&lt;'PlayerGrades+'!$AB$4,"A+",IF(F417&lt;'PlayerGrades+'!$AB$3,"S-",IF(F417&lt;'PlayerGrades+'!$AB$2,"S","S+"))))))))))))))))))))</f>
        <v>B</v>
      </c>
      <c r="H417" s="937">
        <f t="shared" si="3"/>
        <v>0.2745995423</v>
      </c>
      <c r="I417" s="937" t="str">
        <f>IF(H417&lt;'PlayerGrades+'!$AC$21,"F-",IF(H417&lt;'PlayerGrades+'!$AC$20,"F",IF(H417&lt;'PlayerGrades+'!$AC$19,"F+",IF(H417&lt;'PlayerGrades+'!$AC$18,"E-",IF(H417&lt;'PlayerGrades+'!$AC$17,"E",IF(H417&lt;'PlayerGrades+'!$AC$16,"E+",IF(H417&lt;'PlayerGrades+'!$AC$15,"D-",IF(H417&lt;'PlayerGrades+'!$AC$14,"D",IF(H417&lt;'PlayerGrades+'!$AC$13,"D+",IF(H417&lt;'PlayerGrades+'!$AC$12,"C-",IF(H417&lt;'PlayerGrades+'!$AC$11,"C",IF(H417&lt;'PlayerGrades+'!$AC$10,"C+",IF(H417&lt;'PlayerGrades+'!$AC$9,"B-",IF(H417&lt;'PlayerGrades+'!$AC$8,"B",IF(H417&lt;'PlayerGrades+'!$AC$7,"B+",IF(H417&lt;'PlayerGrades+'!$AC$6,"A-",IF(H417&lt;'PlayerGrades+'!$AC$5,"A",IF(H417&lt;'PlayerGrades+'!$AC$4,"A+",IF(H417&lt;'PlayerGrades+'!$AC$3,"S-",IF(H417&lt;'PlayerGrades+'!$AC$2,"S","S+"))))))))))))))))))))</f>
        <v>S</v>
      </c>
      <c r="J417" s="937">
        <f t="shared" si="4"/>
        <v>0.09153318078</v>
      </c>
      <c r="K417" s="937" t="str">
        <f>IF(J417&lt;'PlayerGrades+'!$AD$21,"F-",IF(J417&lt;'PlayerGrades+'!$AD$20,"F",IF(J417&lt;'PlayerGrades+'!$AD$19,"F+",IF(J417&lt;'PlayerGrades+'!$AD$18,"E-",IF(J417&lt;'PlayerGrades+'!$AD$17,"E",IF(J417&lt;'PlayerGrades+'!$AD$16,"E+",IF(J417&lt;'PlayerGrades+'!$AD$15,"D-",IF(J417&lt;'PlayerGrades+'!$AD$14,"D",IF(J417&lt;'PlayerGrades+'!$AD$13,"D+",IF(J417&lt;'PlayerGrades+'!$AD$12,"C-",IF(J417&lt;'PlayerGrades+'!$AD$11,"C",IF(J417&lt;'PlayerGrades+'!$AD$10,"C+",IF(J417&lt;'PlayerGrades+'!$AD$9,"B-",IF(J417&lt;'PlayerGrades+'!$AD$8,"B",IF(J417&lt;'PlayerGrades+'!$AD$7,"B+",IF(J417&lt;'PlayerGrades+'!$AD$6,"A-",IF(J417&lt;'PlayerGrades+'!$AD$5,"A",IF(J417&lt;'PlayerGrades+'!$AD$4,"A+",IF(J417&lt;'PlayerGrades+'!$AD$3,"S-",IF(J417&lt;'PlayerGrades+'!$AD$2,"S","S+"))))))))))))))))))))</f>
        <v>S-</v>
      </c>
      <c r="L417" s="677">
        <f t="shared" si="5"/>
        <v>0.4118993135</v>
      </c>
      <c r="M417" s="938" t="str">
        <f>IF(L417&lt;'PlayerGrades+'!$AE$21,"F-",IF(L417&lt;'PlayerGrades+'!$AE$20,"F",IF(L417&lt;'PlayerGrades+'!$AE$19,"F+",IF(L417&lt;'PlayerGrades+'!$AE$18,"E-",IF(L417&lt;'PlayerGrades+'!$AE$17,"E",IF(L417&lt;'PlayerGrades+'!$AE$16,"E+",IF(L417&lt;'PlayerGrades+'!$AE$15,"D-",IF(L417&lt;'PlayerGrades+'!$AE$14,"D",IF(L417&lt;'PlayerGrades+'!$AE$13,"D+",IF(L417&lt;'PlayerGrades+'!$AE$12,"C-",IF(L417&lt;'PlayerGrades+'!$AE$11,"C",IF(L417&lt;'PlayerGrades+'!$AE$10,"C+",IF(L417&lt;'PlayerGrades+'!$AE$9,"B-",IF(L417&lt;'PlayerGrades+'!$AE$8,"B",IF(L417&lt;'PlayerGrades+'!$AE$7,"B+",IF(L417&lt;'PlayerGrades+'!$AE$6,"A-",IF(L417&lt;'PlayerGrades+'!$AE$5,"A",IF(L417&lt;'PlayerGrades+'!$AE$4,"A+",IF(L417&lt;'PlayerGrades+'!$AE$3,"S-",IF(L417&lt;'PlayerGrades+'!$AE$2,"S","S+"))))))))))))))))))))</f>
        <v>C+</v>
      </c>
      <c r="N417" s="937">
        <f t="shared" si="6"/>
        <v>0.04576659039</v>
      </c>
      <c r="O417" s="937" t="str">
        <f>IF(N417&lt;'PlayerGrades+'!$AF$21,"F-",IF(N417&lt;'PlayerGrades+'!$AF$20,"F",IF(N417&lt;'PlayerGrades+'!$AF$19,"F+",IF(N417&lt;'PlayerGrades+'!$AF$18,"E-",IF(N417&lt;'PlayerGrades+'!$AF$17,"E",IF(N417&lt;'PlayerGrades+'!$AF$16,"E+",IF(N417&lt;'PlayerGrades+'!$AF$15,"D-",IF(N417&lt;'PlayerGrades+'!$AF$14,"D",IF(N417&lt;'PlayerGrades+'!$AF$13,"D+",IF(N417&lt;'PlayerGrades+'!$AF$12,"C-",IF(N417&lt;'PlayerGrades+'!$AF$11,"C",IF(N417&lt;'PlayerGrades+'!$AF$10,"C+",IF(N417&lt;'PlayerGrades+'!$AF$9,"B-",IF(N417&lt;'PlayerGrades+'!$AF$8,"B",IF(N417&lt;'PlayerGrades+'!$AF$7,"B+",IF(N417&lt;'PlayerGrades+'!$AF$6,"A-",IF(N417&lt;'PlayerGrades+'!$AF$5,"A",IF(N417&lt;'PlayerGrades+'!$AF$4,"A+",IF(N417&lt;'PlayerGrades+'!$AF$3,"S-",IF(N417&lt;'PlayerGrades+'!$AF$2,"S","S+"))))))))))))))))))))</f>
        <v>E+</v>
      </c>
      <c r="P417" s="937">
        <f t="shared" si="7"/>
        <v>0.04576659039</v>
      </c>
      <c r="Q417" s="937" t="str">
        <f>IF(P417&lt;'PlayerGrades+'!$AG$21,"F-",IF(P417&lt;'PlayerGrades+'!$AG$20,"F",IF(P417&lt;'PlayerGrades+'!$AG$19,"F+",IF(P417&lt;'PlayerGrades+'!$AG$18,"E-",IF(P417&lt;'PlayerGrades+'!$AG$17,"E",IF(P417&lt;'PlayerGrades+'!$AG$16,"E+",IF(P417&lt;'PlayerGrades+'!$AG$15,"D-",IF(P417&lt;'PlayerGrades+'!$AG$14,"D",IF(P417&lt;'PlayerGrades+'!$AG$13,"D+",IF(P417&lt;'PlayerGrades+'!$AG$12,"C-",IF(P417&lt;'PlayerGrades+'!$AG$11,"C",IF(P417&lt;'PlayerGrades+'!$AG$10,"C+",IF(P417&lt;'PlayerGrades+'!$AG$9,"B-",IF(P417&lt;'PlayerGrades+'!$AG$8,"B",IF(P417&lt;'PlayerGrades+'!$AG$7,"B+",IF(P417&lt;'PlayerGrades+'!$AG$6,"A-",IF(P417&lt;'PlayerGrades+'!$AG$5,"A",IF(P417&lt;'PlayerGrades+'!$AG$4,"A+",IF(P417&lt;'PlayerGrades+'!$AG$3,"S-",IF(P417&lt;'PlayerGrades+'!$AG$2,"S","S+"))))))))))))))))))))</f>
        <v>A</v>
      </c>
      <c r="R417" s="937">
        <f t="shared" si="8"/>
        <v>0.7322654462</v>
      </c>
      <c r="S417" s="937" t="str">
        <f>IF(R417&lt;'PlayerGrades+'!$AH$21,"F-",IF(R417&lt;'PlayerGrades+'!$AH$20,"F",IF(R417&lt;'PlayerGrades+'!$AH$19,"F+",IF(R417&lt;'PlayerGrades+'!$AH$18,"E-",IF(R417&lt;'PlayerGrades+'!$AH$17,"E",IF(R417&lt;'PlayerGrades+'!$AH$16,"E+",IF(R417&lt;'PlayerGrades+'!$AH$15,"D-",IF(R417&lt;'PlayerGrades+'!$AH$14,"D",IF(R417&lt;'PlayerGrades+'!$AH$13,"D+",IF(R417&lt;'PlayerGrades+'!$AH$12,"C-",IF(R417&lt;'PlayerGrades+'!$AH$11,"C",IF(R417&lt;'PlayerGrades+'!$AH$10,"C+",IF(R417&lt;'PlayerGrades+'!$AH$9,"B-",IF(R417&lt;'PlayerGrades+'!$AH$8,"B",IF(R417&lt;'PlayerGrades+'!$AH$7,"B+",IF(R417&lt;'PlayerGrades+'!$AH$6,"A-",IF(R417&lt;'PlayerGrades+'!$AH$5,"A",IF(R417&lt;'PlayerGrades+'!$AH$4,"A+",IF(R417&lt;'PlayerGrades+'!$AH$3,"S-",IF(R417&lt;'PlayerGrades+'!$AH$2,"S","S+"))))))))))))))))))))</f>
        <v>S</v>
      </c>
      <c r="T417" s="937">
        <f t="shared" si="9"/>
        <v>0.2745995423</v>
      </c>
      <c r="U417" s="937" t="str">
        <f>IF(T417&lt;'PlayerGrades+'!$AI$21,"F-",IF(T417&lt;'PlayerGrades+'!$AI$20,"F",IF(T417&lt;'PlayerGrades+'!$AI$19,"F+",IF(T417&lt;'PlayerGrades+'!$AI$18,"E-",IF(T417&lt;'PlayerGrades+'!$AI$17,"E",IF(T417&lt;'PlayerGrades+'!$AI$16,"E+",IF(T417&lt;'PlayerGrades+'!$AI$15,"D-",IF(T417&lt;'PlayerGrades+'!$AI$14,"D",IF(T417&lt;'PlayerGrades+'!$AI$13,"D+",IF(T417&lt;'PlayerGrades+'!$AI$12,"C-",IF(T417&lt;'PlayerGrades+'!$AI$11,"C",IF(T417&lt;'PlayerGrades+'!$AI$10,"C+",IF(T417&lt;'PlayerGrades+'!$AI$9,"B-",IF(T417&lt;'PlayerGrades+'!$AI$8,"B",IF(T417&lt;'PlayerGrades+'!$AI$7,"B+",IF(T417&lt;'PlayerGrades+'!$AI$6,"A-",IF(T417&lt;'PlayerGrades+'!$AI$5,"A",IF(T417&lt;'PlayerGrades+'!$AI$4,"A+",IF(T417&lt;'PlayerGrades+'!$AI$3,"S-",IF(T417&lt;'PlayerGrades+'!$AI$2,"S","S+"))))))))))))))))))))</f>
        <v>F-</v>
      </c>
      <c r="V417" s="944">
        <v>1.0</v>
      </c>
      <c r="W417" s="944">
        <v>0.0</v>
      </c>
      <c r="X417" s="944">
        <v>1.0</v>
      </c>
      <c r="Y417" s="944">
        <v>0.0</v>
      </c>
      <c r="Z417" s="944">
        <v>8.0</v>
      </c>
      <c r="AA417" s="944">
        <v>63.0</v>
      </c>
      <c r="AB417" s="944">
        <v>63.0</v>
      </c>
      <c r="AC417" s="944">
        <v>0.0</v>
      </c>
      <c r="AD417" s="944">
        <v>9.0</v>
      </c>
      <c r="AE417" s="944">
        <v>9.0</v>
      </c>
      <c r="AF417" s="944">
        <v>3.0</v>
      </c>
      <c r="AG417" s="944">
        <v>1047.0</v>
      </c>
      <c r="AH417" s="944">
        <v>1311.0</v>
      </c>
      <c r="AI417" s="944">
        <v>16.0</v>
      </c>
      <c r="AJ417" s="944">
        <v>243.0</v>
      </c>
      <c r="AK417" s="944">
        <v>0.0</v>
      </c>
      <c r="AL417" s="944">
        <v>2.0</v>
      </c>
      <c r="AM417" s="944">
        <v>0.0</v>
      </c>
      <c r="AN417" s="944">
        <v>0.0</v>
      </c>
      <c r="AO417" s="944">
        <v>0.0</v>
      </c>
      <c r="AP417" s="944">
        <v>1.0</v>
      </c>
      <c r="AQ417" s="944">
        <v>0.0</v>
      </c>
      <c r="AR417" s="944">
        <v>9.0</v>
      </c>
      <c r="AS417" s="944">
        <v>1.0</v>
      </c>
      <c r="AT417" s="944">
        <v>0.0</v>
      </c>
      <c r="AU417" s="944">
        <v>0.0</v>
      </c>
      <c r="AV417" s="944">
        <v>0.0</v>
      </c>
      <c r="AW417" s="944">
        <v>0.0</v>
      </c>
      <c r="AX417" s="944">
        <v>0.0</v>
      </c>
      <c r="AY417" s="944">
        <v>0.0</v>
      </c>
      <c r="AZ417" s="944">
        <v>0.0</v>
      </c>
      <c r="BA417" s="944">
        <v>0.0</v>
      </c>
      <c r="BB417" s="944">
        <v>6.0</v>
      </c>
      <c r="BC417" s="944">
        <v>0.0</v>
      </c>
      <c r="BD417" s="944">
        <v>7.0</v>
      </c>
      <c r="BE417" s="944">
        <v>6.0</v>
      </c>
      <c r="BF417" s="944">
        <v>0.0</v>
      </c>
      <c r="BG417" s="945">
        <v>0.0</v>
      </c>
    </row>
    <row r="418">
      <c r="A418" s="946" t="s">
        <v>153</v>
      </c>
      <c r="B418" s="16" t="str">
        <f>IF(C418&lt;'PlayerGrades+'!$Y$44,"F-",IF(C418&lt;'PlayerGrades+'!$Y$43,"F",IF(C418&lt;'PlayerGrades+'!$Y$42,"F+",IF(C418&lt;'PlayerGrades+'!$Y$41,"E-",IF(C418&lt;'PlayerGrades+'!$Y$40,"E",IF(C418&lt;'PlayerGrades+'!$Y$39,"E+",IF(C418&lt;'PlayerGrades+'!$Y$38,"D-",IF(C418&lt;'PlayerGrades+'!$Y$37,"D",IF(C418&lt;'PlayerGrades+'!$Y$36,"D+",IF(C418&lt;'PlayerGrades+'!$Y$35,"C-",IF(C418&lt;'PlayerGrades+'!$Y$34,"C",IF(C418&lt;'PlayerGrades+'!$Y$33,"C+",IF(C418&lt;'PlayerGrades+'!$Y$32,"B-",IF(C418&lt;'PlayerGrades+'!$Y$31,"B",IF(C418&lt;'PlayerGrades+'!$Y$30,"B+",IF(C418&lt;'PlayerGrades+'!$Y$29,"A-",IF(C418&lt;'PlayerGrades+'!$Y$28,"A",IF(C418&lt;'PlayerGrades+'!$Y$27,"A+",IF(C418&lt;'PlayerGrades+'!$Y$26,"S-",IF(C418&lt;'PlayerGrades+'!$Y$25,"S","S+"))))))))))))))))))))</f>
        <v>F</v>
      </c>
      <c r="C418" s="936">
        <f>('PlayerGrades+'!$Y$47*(VLOOKUP(E418, 'PlayerGrades+'!$X$3:$Y$23, 2, FALSE)))+('PlayerGrades+'!$Y$48*(VLOOKUP(G418, 'PlayerGrades+'!$X$3:$Y$23, 2, FALSE)))+('PlayerGrades+'!$Y$49*(VLOOKUP(I418, 'PlayerGrades+'!$X$3:$Y$23, 2, FALSE)))+('PlayerGrades+'!$Y$50*(VLOOKUP(K418, 'PlayerGrades+'!$X$3:$Y$23, 2, FALSE)))+('PlayerGrades+'!$Y$51*(VLOOKUP(M418, 'PlayerGrades+'!$X$3:$Y$23, 2, FALSE)))+('PlayerGrades+'!$Y$52*(VLOOKUP(O418, 'PlayerGrades+'!$X$3:$Y$23, 2, FALSE)))+('PlayerGrades+'!$Y$53*(VLOOKUP(Q418, 'PlayerGrades+'!$X$3:$Y$23, 2, FALSE)))+('PlayerGrades+'!$Y$54*(VLOOKUP(S418, 'PlayerGrades+'!$X$3:$Y$23, 2, FALSE)))+('PlayerGrades+'!$Y$55*(VLOOKUP(U418, 'PlayerGrades+'!$X$3:$Y$23, 2, FALSE)))</f>
        <v>8.9</v>
      </c>
      <c r="D418" s="937">
        <f t="shared" si="1"/>
        <v>0.3</v>
      </c>
      <c r="E418" s="937" t="str">
        <f>IF(D418&lt;'PlayerGrades+'!$AA$21,"F-",IF(D418&lt;'PlayerGrades+'!$AA$20,"F",IF(D418&lt;'PlayerGrades+'!$AA$19,"F+",IF(D418&lt;'PlayerGrades+'!$AA$18,"E-",IF(D418&lt;'PlayerGrades+'!$AA$17,"E",IF(D418&lt;'PlayerGrades+'!$AA$16,"E+",IF(D418&lt;'PlayerGrades+'!$AA$15,"D-",IF(D418&lt;'PlayerGrades+'!$AA$14,"D",IF(D418&lt;'PlayerGrades+'!$AA$13,"D+",IF(D418&lt;'PlayerGrades+'!$AA$12,"C-",IF(D418&lt;'PlayerGrades+'!$AA$11,"C",IF(D418&lt;'PlayerGrades+'!$AA$10,"C+",IF(D418&lt;'PlayerGrades+'!$AA$9,"B-",IF(D418&lt;'PlayerGrades+'!$AA$8,"B",IF(D418&lt;'PlayerGrades+'!$AA$7,"B+",IF(D418&lt;'PlayerGrades+'!$AA$6,"A-",IF(D418&lt;'PlayerGrades+'!$AA$5,"A",IF(D418&lt;'PlayerGrades+'!$AA$4,"A+",IF(D418&lt;'PlayerGrades+'!$AA$3,"S-",IF(D418&lt;'PlayerGrades+'!$AA$2,"S","S+"))))))))))))))))))))</f>
        <v>A</v>
      </c>
      <c r="F418" s="937">
        <f t="shared" si="2"/>
        <v>-1.4</v>
      </c>
      <c r="G418" s="937" t="str">
        <f>IF(F418&lt;'PlayerGrades+'!$AB$21,"F-",IF(F418&lt;'PlayerGrades+'!$AB$20,"F",IF(F418&lt;'PlayerGrades+'!$AB$19,"F+",IF(F418&lt;'PlayerGrades+'!$AB$18,"E-",IF(F418&lt;'PlayerGrades+'!$AB$17,"E",IF(F418&lt;'PlayerGrades+'!$AB$16,"E+",IF(F418&lt;'PlayerGrades+'!$AB$15,"D-",IF(F418&lt;'PlayerGrades+'!$AB$14,"D",IF(F418&lt;'PlayerGrades+'!$AB$13,"D+",IF(F418&lt;'PlayerGrades+'!$AB$12,"C-",IF(F418&lt;'PlayerGrades+'!$AB$11,"C",IF(F418&lt;'PlayerGrades+'!$AB$10,"C+",IF(F418&lt;'PlayerGrades+'!$AB$9,"B-",IF(F418&lt;'PlayerGrades+'!$AB$8,"B",IF(F418&lt;'PlayerGrades+'!$AB$7,"B+",IF(F418&lt;'PlayerGrades+'!$AB$6,"A-",IF(F418&lt;'PlayerGrades+'!$AB$5,"A",IF(F418&lt;'PlayerGrades+'!$AB$4,"A+",IF(F418&lt;'PlayerGrades+'!$AB$3,"S-",IF(F418&lt;'PlayerGrades+'!$AB$2,"S","S+"))))))))))))))))))))</f>
        <v>F-</v>
      </c>
      <c r="H418" s="937">
        <f t="shared" si="3"/>
        <v>0.03333333333</v>
      </c>
      <c r="I418" s="937" t="str">
        <f>IF(H418&lt;'PlayerGrades+'!$AC$21,"F-",IF(H418&lt;'PlayerGrades+'!$AC$20,"F",IF(H418&lt;'PlayerGrades+'!$AC$19,"F+",IF(H418&lt;'PlayerGrades+'!$AC$18,"E-",IF(H418&lt;'PlayerGrades+'!$AC$17,"E",IF(H418&lt;'PlayerGrades+'!$AC$16,"E+",IF(H418&lt;'PlayerGrades+'!$AC$15,"D-",IF(H418&lt;'PlayerGrades+'!$AC$14,"D",IF(H418&lt;'PlayerGrades+'!$AC$13,"D+",IF(H418&lt;'PlayerGrades+'!$AC$12,"C-",IF(H418&lt;'PlayerGrades+'!$AC$11,"C",IF(H418&lt;'PlayerGrades+'!$AC$10,"C+",IF(H418&lt;'PlayerGrades+'!$AC$9,"B-",IF(H418&lt;'PlayerGrades+'!$AC$8,"B",IF(H418&lt;'PlayerGrades+'!$AC$7,"B+",IF(H418&lt;'PlayerGrades+'!$AC$6,"A-",IF(H418&lt;'PlayerGrades+'!$AC$5,"A",IF(H418&lt;'PlayerGrades+'!$AC$4,"A+",IF(H418&lt;'PlayerGrades+'!$AC$3,"S-",IF(H418&lt;'PlayerGrades+'!$AC$2,"S","S+"))))))))))))))))))))</f>
        <v>F</v>
      </c>
      <c r="J418" s="937">
        <f t="shared" si="4"/>
        <v>0</v>
      </c>
      <c r="K418" s="937" t="str">
        <f>IF(J418&lt;'PlayerGrades+'!$AD$21,"F-",IF(J418&lt;'PlayerGrades+'!$AD$20,"F",IF(J418&lt;'PlayerGrades+'!$AD$19,"F+",IF(J418&lt;'PlayerGrades+'!$AD$18,"E-",IF(J418&lt;'PlayerGrades+'!$AD$17,"E",IF(J418&lt;'PlayerGrades+'!$AD$16,"E+",IF(J418&lt;'PlayerGrades+'!$AD$15,"D-",IF(J418&lt;'PlayerGrades+'!$AD$14,"D",IF(J418&lt;'PlayerGrades+'!$AD$13,"D+",IF(J418&lt;'PlayerGrades+'!$AD$12,"C-",IF(J418&lt;'PlayerGrades+'!$AD$11,"C",IF(J418&lt;'PlayerGrades+'!$AD$10,"C+",IF(J418&lt;'PlayerGrades+'!$AD$9,"B-",IF(J418&lt;'PlayerGrades+'!$AD$8,"B",IF(J418&lt;'PlayerGrades+'!$AD$7,"B+",IF(J418&lt;'PlayerGrades+'!$AD$6,"A-",IF(J418&lt;'PlayerGrades+'!$AD$5,"A",IF(J418&lt;'PlayerGrades+'!$AD$4,"A+",IF(J418&lt;'PlayerGrades+'!$AD$3,"S-",IF(J418&lt;'PlayerGrades+'!$AD$2,"S","S+"))))))))))))))))))))</f>
        <v>F-</v>
      </c>
      <c r="L418" s="677">
        <f t="shared" si="5"/>
        <v>0.1</v>
      </c>
      <c r="M418" s="938" t="str">
        <f>IF(L418&lt;'PlayerGrades+'!$AE$21,"F-",IF(L418&lt;'PlayerGrades+'!$AE$20,"F",IF(L418&lt;'PlayerGrades+'!$AE$19,"F+",IF(L418&lt;'PlayerGrades+'!$AE$18,"E-",IF(L418&lt;'PlayerGrades+'!$AE$17,"E",IF(L418&lt;'PlayerGrades+'!$AE$16,"E+",IF(L418&lt;'PlayerGrades+'!$AE$15,"D-",IF(L418&lt;'PlayerGrades+'!$AE$14,"D",IF(L418&lt;'PlayerGrades+'!$AE$13,"D+",IF(L418&lt;'PlayerGrades+'!$AE$12,"C-",IF(L418&lt;'PlayerGrades+'!$AE$11,"C",IF(L418&lt;'PlayerGrades+'!$AE$10,"C+",IF(L418&lt;'PlayerGrades+'!$AE$9,"B-",IF(L418&lt;'PlayerGrades+'!$AE$8,"B",IF(L418&lt;'PlayerGrades+'!$AE$7,"B+",IF(L418&lt;'PlayerGrades+'!$AE$6,"A-",IF(L418&lt;'PlayerGrades+'!$AE$5,"A",IF(L418&lt;'PlayerGrades+'!$AE$4,"A+",IF(L418&lt;'PlayerGrades+'!$AE$3,"S-",IF(L418&lt;'PlayerGrades+'!$AE$2,"S","S+"))))))))))))))))))))</f>
        <v>F-</v>
      </c>
      <c r="N418" s="937">
        <f t="shared" si="6"/>
        <v>0</v>
      </c>
      <c r="O418" s="937" t="str">
        <f>IF(N418&lt;'PlayerGrades+'!$AF$21,"F-",IF(N418&lt;'PlayerGrades+'!$AF$20,"F",IF(N418&lt;'PlayerGrades+'!$AF$19,"F+",IF(N418&lt;'PlayerGrades+'!$AF$18,"E-",IF(N418&lt;'PlayerGrades+'!$AF$17,"E",IF(N418&lt;'PlayerGrades+'!$AF$16,"E+",IF(N418&lt;'PlayerGrades+'!$AF$15,"D-",IF(N418&lt;'PlayerGrades+'!$AF$14,"D",IF(N418&lt;'PlayerGrades+'!$AF$13,"D+",IF(N418&lt;'PlayerGrades+'!$AF$12,"C-",IF(N418&lt;'PlayerGrades+'!$AF$11,"C",IF(N418&lt;'PlayerGrades+'!$AF$10,"C+",IF(N418&lt;'PlayerGrades+'!$AF$9,"B-",IF(N418&lt;'PlayerGrades+'!$AF$8,"B",IF(N418&lt;'PlayerGrades+'!$AF$7,"B+",IF(N418&lt;'PlayerGrades+'!$AF$6,"A-",IF(N418&lt;'PlayerGrades+'!$AF$5,"A",IF(N418&lt;'PlayerGrades+'!$AF$4,"A+",IF(N418&lt;'PlayerGrades+'!$AF$3,"S-",IF(N418&lt;'PlayerGrades+'!$AF$2,"S","S+"))))))))))))))))))))</f>
        <v>F-</v>
      </c>
      <c r="P418" s="937">
        <f t="shared" si="7"/>
        <v>0</v>
      </c>
      <c r="Q418" s="937" t="str">
        <f>IF(P418&lt;'PlayerGrades+'!$AG$21,"F-",IF(P418&lt;'PlayerGrades+'!$AG$20,"F",IF(P418&lt;'PlayerGrades+'!$AG$19,"F+",IF(P418&lt;'PlayerGrades+'!$AG$18,"E-",IF(P418&lt;'PlayerGrades+'!$AG$17,"E",IF(P418&lt;'PlayerGrades+'!$AG$16,"E+",IF(P418&lt;'PlayerGrades+'!$AG$15,"D-",IF(P418&lt;'PlayerGrades+'!$AG$14,"D",IF(P418&lt;'PlayerGrades+'!$AG$13,"D+",IF(P418&lt;'PlayerGrades+'!$AG$12,"C-",IF(P418&lt;'PlayerGrades+'!$AG$11,"C",IF(P418&lt;'PlayerGrades+'!$AG$10,"C+",IF(P418&lt;'PlayerGrades+'!$AG$9,"B-",IF(P418&lt;'PlayerGrades+'!$AG$8,"B",IF(P418&lt;'PlayerGrades+'!$AG$7,"B+",IF(P418&lt;'PlayerGrades+'!$AG$6,"A-",IF(P418&lt;'PlayerGrades+'!$AG$5,"A",IF(P418&lt;'PlayerGrades+'!$AG$4,"A+",IF(P418&lt;'PlayerGrades+'!$AG$3,"S-",IF(P418&lt;'PlayerGrades+'!$AG$2,"S","S+"))))))))))))))))))))</f>
        <v>F</v>
      </c>
      <c r="R418" s="937">
        <f t="shared" si="8"/>
        <v>0.2666666667</v>
      </c>
      <c r="S418" s="937" t="str">
        <f>IF(R418&lt;'PlayerGrades+'!$AH$21,"F-",IF(R418&lt;'PlayerGrades+'!$AH$20,"F",IF(R418&lt;'PlayerGrades+'!$AH$19,"F+",IF(R418&lt;'PlayerGrades+'!$AH$18,"E-",IF(R418&lt;'PlayerGrades+'!$AH$17,"E",IF(R418&lt;'PlayerGrades+'!$AH$16,"E+",IF(R418&lt;'PlayerGrades+'!$AH$15,"D-",IF(R418&lt;'PlayerGrades+'!$AH$14,"D",IF(R418&lt;'PlayerGrades+'!$AH$13,"D+",IF(R418&lt;'PlayerGrades+'!$AH$12,"C-",IF(R418&lt;'PlayerGrades+'!$AH$11,"C",IF(R418&lt;'PlayerGrades+'!$AH$10,"C+",IF(R418&lt;'PlayerGrades+'!$AH$9,"B-",IF(R418&lt;'PlayerGrades+'!$AH$8,"B",IF(R418&lt;'PlayerGrades+'!$AH$7,"B+",IF(R418&lt;'PlayerGrades+'!$AH$6,"A-",IF(R418&lt;'PlayerGrades+'!$AH$5,"A",IF(R418&lt;'PlayerGrades+'!$AH$4,"A+",IF(R418&lt;'PlayerGrades+'!$AH$3,"S-",IF(R418&lt;'PlayerGrades+'!$AH$2,"S","S+"))))))))))))))))))))</f>
        <v>F-</v>
      </c>
      <c r="T418" s="937">
        <f t="shared" si="9"/>
        <v>2.3</v>
      </c>
      <c r="U418" s="937" t="str">
        <f>IF(T418&lt;'PlayerGrades+'!$AI$21,"F-",IF(T418&lt;'PlayerGrades+'!$AI$20,"F",IF(T418&lt;'PlayerGrades+'!$AI$19,"F+",IF(T418&lt;'PlayerGrades+'!$AI$18,"E-",IF(T418&lt;'PlayerGrades+'!$AI$17,"E",IF(T418&lt;'PlayerGrades+'!$AI$16,"E+",IF(T418&lt;'PlayerGrades+'!$AI$15,"D-",IF(T418&lt;'PlayerGrades+'!$AI$14,"D",IF(T418&lt;'PlayerGrades+'!$AI$13,"D+",IF(T418&lt;'PlayerGrades+'!$AI$12,"C-",IF(T418&lt;'PlayerGrades+'!$AI$11,"C",IF(T418&lt;'PlayerGrades+'!$AI$10,"C+",IF(T418&lt;'PlayerGrades+'!$AI$9,"B-",IF(T418&lt;'PlayerGrades+'!$AI$8,"B",IF(T418&lt;'PlayerGrades+'!$AI$7,"B+",IF(T418&lt;'PlayerGrades+'!$AI$6,"A-",IF(T418&lt;'PlayerGrades+'!$AI$5,"A",IF(T418&lt;'PlayerGrades+'!$AI$4,"A+",IF(T418&lt;'PlayerGrades+'!$AI$3,"S-",IF(T418&lt;'PlayerGrades+'!$AI$2,"S","S+"))))))))))))))))))))</f>
        <v>S+</v>
      </c>
      <c r="V418" s="939">
        <v>1.0</v>
      </c>
      <c r="W418" s="939">
        <v>1.0</v>
      </c>
      <c r="X418" s="939">
        <v>0.0</v>
      </c>
      <c r="Y418" s="939">
        <v>4.0</v>
      </c>
      <c r="Z418" s="939">
        <v>5.0</v>
      </c>
      <c r="AA418" s="939">
        <v>60.0</v>
      </c>
      <c r="AB418" s="939">
        <v>102.0</v>
      </c>
      <c r="AC418" s="939">
        <v>-42.0</v>
      </c>
      <c r="AD418" s="939">
        <v>1.0</v>
      </c>
      <c r="AE418" s="939">
        <v>3.0</v>
      </c>
      <c r="AF418" s="939">
        <v>0.0</v>
      </c>
      <c r="AG418" s="939">
        <v>1419.0</v>
      </c>
      <c r="AH418" s="939">
        <v>1800.0</v>
      </c>
      <c r="AI418" s="939">
        <v>13.0</v>
      </c>
      <c r="AJ418" s="939">
        <v>436.0</v>
      </c>
      <c r="AK418" s="939">
        <v>0.0</v>
      </c>
      <c r="AL418" s="939">
        <v>0.0</v>
      </c>
      <c r="AM418" s="939">
        <v>0.0</v>
      </c>
      <c r="AN418" s="939">
        <v>0.0</v>
      </c>
      <c r="AO418" s="939">
        <v>0.0</v>
      </c>
      <c r="AP418" s="939">
        <v>0.0</v>
      </c>
      <c r="AQ418" s="939">
        <v>0.0</v>
      </c>
      <c r="AR418" s="939">
        <v>3.0</v>
      </c>
      <c r="AS418" s="939">
        <v>0.0</v>
      </c>
      <c r="AT418" s="939">
        <v>0.0</v>
      </c>
      <c r="AU418" s="939">
        <v>0.0</v>
      </c>
      <c r="AV418" s="939">
        <v>0.0</v>
      </c>
      <c r="AW418" s="939">
        <v>0.0</v>
      </c>
      <c r="AX418" s="939">
        <v>0.0</v>
      </c>
      <c r="AY418" s="939">
        <v>0.0</v>
      </c>
      <c r="AZ418" s="939">
        <v>0.0</v>
      </c>
      <c r="BA418" s="939">
        <v>0.0</v>
      </c>
      <c r="BB418" s="939">
        <v>1.0</v>
      </c>
      <c r="BC418" s="939">
        <v>0.0</v>
      </c>
      <c r="BD418" s="939">
        <v>7.0</v>
      </c>
      <c r="BE418" s="939">
        <v>9.0</v>
      </c>
      <c r="BF418" s="939">
        <v>2.0</v>
      </c>
      <c r="BG418" s="940">
        <v>0.0</v>
      </c>
    </row>
    <row r="419">
      <c r="A419" s="935" t="s">
        <v>418</v>
      </c>
      <c r="B419" s="16" t="str">
        <f>IF(C419&lt;'PlayerGrades+'!$Y$44,"F-",IF(C419&lt;'PlayerGrades+'!$Y$43,"F",IF(C419&lt;'PlayerGrades+'!$Y$42,"F+",IF(C419&lt;'PlayerGrades+'!$Y$41,"E-",IF(C419&lt;'PlayerGrades+'!$Y$40,"E",IF(C419&lt;'PlayerGrades+'!$Y$39,"E+",IF(C419&lt;'PlayerGrades+'!$Y$38,"D-",IF(C419&lt;'PlayerGrades+'!$Y$37,"D",IF(C419&lt;'PlayerGrades+'!$Y$36,"D+",IF(C419&lt;'PlayerGrades+'!$Y$35,"C-",IF(C419&lt;'PlayerGrades+'!$Y$34,"C",IF(C419&lt;'PlayerGrades+'!$Y$33,"C+",IF(C419&lt;'PlayerGrades+'!$Y$32,"B-",IF(C419&lt;'PlayerGrades+'!$Y$31,"B",IF(C419&lt;'PlayerGrades+'!$Y$30,"B+",IF(C419&lt;'PlayerGrades+'!$Y$29,"A-",IF(C419&lt;'PlayerGrades+'!$Y$28,"A",IF(C419&lt;'PlayerGrades+'!$Y$27,"A+",IF(C419&lt;'PlayerGrades+'!$Y$26,"S-",IF(C419&lt;'PlayerGrades+'!$Y$25,"S","S+"))))))))))))))))))))</f>
        <v>A</v>
      </c>
      <c r="C419" s="936">
        <f>('PlayerGrades+'!$Y$47*(VLOOKUP(E419, 'PlayerGrades+'!$X$3:$Y$23, 2, FALSE)))+('PlayerGrades+'!$Y$48*(VLOOKUP(G419, 'PlayerGrades+'!$X$3:$Y$23, 2, FALSE)))+('PlayerGrades+'!$Y$49*(VLOOKUP(I419, 'PlayerGrades+'!$X$3:$Y$23, 2, FALSE)))+('PlayerGrades+'!$Y$50*(VLOOKUP(K419, 'PlayerGrades+'!$X$3:$Y$23, 2, FALSE)))+('PlayerGrades+'!$Y$51*(VLOOKUP(M419, 'PlayerGrades+'!$X$3:$Y$23, 2, FALSE)))+('PlayerGrades+'!$Y$52*(VLOOKUP(O419, 'PlayerGrades+'!$X$3:$Y$23, 2, FALSE)))+('PlayerGrades+'!$Y$53*(VLOOKUP(Q419, 'PlayerGrades+'!$X$3:$Y$23, 2, FALSE)))+('PlayerGrades+'!$Y$54*(VLOOKUP(S419, 'PlayerGrades+'!$X$3:$Y$23, 2, FALSE)))+('PlayerGrades+'!$Y$55*(VLOOKUP(U419, 'PlayerGrades+'!$X$3:$Y$23, 2, FALSE)))</f>
        <v>27.15</v>
      </c>
      <c r="D419" s="937">
        <f t="shared" si="1"/>
        <v>0.03333333333</v>
      </c>
      <c r="E419" s="937" t="str">
        <f>IF(D419&lt;'PlayerGrades+'!$AA$21,"F-",IF(D419&lt;'PlayerGrades+'!$AA$20,"F",IF(D419&lt;'PlayerGrades+'!$AA$19,"F+",IF(D419&lt;'PlayerGrades+'!$AA$18,"E-",IF(D419&lt;'PlayerGrades+'!$AA$17,"E",IF(D419&lt;'PlayerGrades+'!$AA$16,"E+",IF(D419&lt;'PlayerGrades+'!$AA$15,"D-",IF(D419&lt;'PlayerGrades+'!$AA$14,"D",IF(D419&lt;'PlayerGrades+'!$AA$13,"D+",IF(D419&lt;'PlayerGrades+'!$AA$12,"C-",IF(D419&lt;'PlayerGrades+'!$AA$11,"C",IF(D419&lt;'PlayerGrades+'!$AA$10,"C+",IF(D419&lt;'PlayerGrades+'!$AA$9,"B-",IF(D419&lt;'PlayerGrades+'!$AA$8,"B",IF(D419&lt;'PlayerGrades+'!$AA$7,"B+",IF(D419&lt;'PlayerGrades+'!$AA$6,"A-",IF(D419&lt;'PlayerGrades+'!$AA$5,"A",IF(D419&lt;'PlayerGrades+'!$AA$4,"A+",IF(D419&lt;'PlayerGrades+'!$AA$3,"S-",IF(D419&lt;'PlayerGrades+'!$AA$2,"S","S+"))))))))))))))))))))</f>
        <v>C-</v>
      </c>
      <c r="F419" s="937">
        <f t="shared" si="2"/>
        <v>0.5</v>
      </c>
      <c r="G419" s="937" t="str">
        <f>IF(F419&lt;'PlayerGrades+'!$AB$21,"F-",IF(F419&lt;'PlayerGrades+'!$AB$20,"F",IF(F419&lt;'PlayerGrades+'!$AB$19,"F+",IF(F419&lt;'PlayerGrades+'!$AB$18,"E-",IF(F419&lt;'PlayerGrades+'!$AB$17,"E",IF(F419&lt;'PlayerGrades+'!$AB$16,"E+",IF(F419&lt;'PlayerGrades+'!$AB$15,"D-",IF(F419&lt;'PlayerGrades+'!$AB$14,"D",IF(F419&lt;'PlayerGrades+'!$AB$13,"D+",IF(F419&lt;'PlayerGrades+'!$AB$12,"C-",IF(F419&lt;'PlayerGrades+'!$AB$11,"C",IF(F419&lt;'PlayerGrades+'!$AB$10,"C+",IF(F419&lt;'PlayerGrades+'!$AB$9,"B-",IF(F419&lt;'PlayerGrades+'!$AB$8,"B",IF(F419&lt;'PlayerGrades+'!$AB$7,"B+",IF(F419&lt;'PlayerGrades+'!$AB$6,"A-",IF(F419&lt;'PlayerGrades+'!$AB$5,"A",IF(F419&lt;'PlayerGrades+'!$AB$4,"A+",IF(F419&lt;'PlayerGrades+'!$AB$3,"S-",IF(F419&lt;'PlayerGrades+'!$AB$2,"S","S+"))))))))))))))))))))</f>
        <v>A+</v>
      </c>
      <c r="H419" s="937">
        <f t="shared" si="3"/>
        <v>0.03333333333</v>
      </c>
      <c r="I419" s="937" t="str">
        <f>IF(H419&lt;'PlayerGrades+'!$AC$21,"F-",IF(H419&lt;'PlayerGrades+'!$AC$20,"F",IF(H419&lt;'PlayerGrades+'!$AC$19,"F+",IF(H419&lt;'PlayerGrades+'!$AC$18,"E-",IF(H419&lt;'PlayerGrades+'!$AC$17,"E",IF(H419&lt;'PlayerGrades+'!$AC$16,"E+",IF(H419&lt;'PlayerGrades+'!$AC$15,"D-",IF(H419&lt;'PlayerGrades+'!$AC$14,"D",IF(H419&lt;'PlayerGrades+'!$AC$13,"D+",IF(H419&lt;'PlayerGrades+'!$AC$12,"C-",IF(H419&lt;'PlayerGrades+'!$AC$11,"C",IF(H419&lt;'PlayerGrades+'!$AC$10,"C+",IF(H419&lt;'PlayerGrades+'!$AC$9,"B-",IF(H419&lt;'PlayerGrades+'!$AC$8,"B",IF(H419&lt;'PlayerGrades+'!$AC$7,"B+",IF(H419&lt;'PlayerGrades+'!$AC$6,"A-",IF(H419&lt;'PlayerGrades+'!$AC$5,"A",IF(H419&lt;'PlayerGrades+'!$AC$4,"A+",IF(H419&lt;'PlayerGrades+'!$AC$3,"S-",IF(H419&lt;'PlayerGrades+'!$AC$2,"S","S+"))))))))))))))))))))</f>
        <v>F</v>
      </c>
      <c r="J419" s="937">
        <f t="shared" si="4"/>
        <v>0.1</v>
      </c>
      <c r="K419" s="937" t="str">
        <f>IF(J419&lt;'PlayerGrades+'!$AD$21,"F-",IF(J419&lt;'PlayerGrades+'!$AD$20,"F",IF(J419&lt;'PlayerGrades+'!$AD$19,"F+",IF(J419&lt;'PlayerGrades+'!$AD$18,"E-",IF(J419&lt;'PlayerGrades+'!$AD$17,"E",IF(J419&lt;'PlayerGrades+'!$AD$16,"E+",IF(J419&lt;'PlayerGrades+'!$AD$15,"D-",IF(J419&lt;'PlayerGrades+'!$AD$14,"D",IF(J419&lt;'PlayerGrades+'!$AD$13,"D+",IF(J419&lt;'PlayerGrades+'!$AD$12,"C-",IF(J419&lt;'PlayerGrades+'!$AD$11,"C",IF(J419&lt;'PlayerGrades+'!$AD$10,"C+",IF(J419&lt;'PlayerGrades+'!$AD$9,"B-",IF(J419&lt;'PlayerGrades+'!$AD$8,"B",IF(J419&lt;'PlayerGrades+'!$AD$7,"B+",IF(J419&lt;'PlayerGrades+'!$AD$6,"A-",IF(J419&lt;'PlayerGrades+'!$AD$5,"A",IF(J419&lt;'PlayerGrades+'!$AD$4,"A+",IF(J419&lt;'PlayerGrades+'!$AD$3,"S-",IF(J419&lt;'PlayerGrades+'!$AD$2,"S","S+"))))))))))))))))))))</f>
        <v>S</v>
      </c>
      <c r="L419" s="677">
        <f t="shared" si="5"/>
        <v>0.7</v>
      </c>
      <c r="M419" s="938" t="str">
        <f>IF(L419&lt;'PlayerGrades+'!$AE$21,"F-",IF(L419&lt;'PlayerGrades+'!$AE$20,"F",IF(L419&lt;'PlayerGrades+'!$AE$19,"F+",IF(L419&lt;'PlayerGrades+'!$AE$18,"E-",IF(L419&lt;'PlayerGrades+'!$AE$17,"E",IF(L419&lt;'PlayerGrades+'!$AE$16,"E+",IF(L419&lt;'PlayerGrades+'!$AE$15,"D-",IF(L419&lt;'PlayerGrades+'!$AE$14,"D",IF(L419&lt;'PlayerGrades+'!$AE$13,"D+",IF(L419&lt;'PlayerGrades+'!$AE$12,"C-",IF(L419&lt;'PlayerGrades+'!$AE$11,"C",IF(L419&lt;'PlayerGrades+'!$AE$10,"C+",IF(L419&lt;'PlayerGrades+'!$AE$9,"B-",IF(L419&lt;'PlayerGrades+'!$AE$8,"B",IF(L419&lt;'PlayerGrades+'!$AE$7,"B+",IF(L419&lt;'PlayerGrades+'!$AE$6,"A-",IF(L419&lt;'PlayerGrades+'!$AE$5,"A",IF(L419&lt;'PlayerGrades+'!$AE$4,"A+",IF(L419&lt;'PlayerGrades+'!$AE$3,"S-",IF(L419&lt;'PlayerGrades+'!$AE$2,"S","S+"))))))))))))))))))))</f>
        <v>S</v>
      </c>
      <c r="N419" s="937">
        <f t="shared" si="6"/>
        <v>0.1</v>
      </c>
      <c r="O419" s="937" t="str">
        <f>IF(N419&lt;'PlayerGrades+'!$AF$21,"F-",IF(N419&lt;'PlayerGrades+'!$AF$20,"F",IF(N419&lt;'PlayerGrades+'!$AF$19,"F+",IF(N419&lt;'PlayerGrades+'!$AF$18,"E-",IF(N419&lt;'PlayerGrades+'!$AF$17,"E",IF(N419&lt;'PlayerGrades+'!$AF$16,"E+",IF(N419&lt;'PlayerGrades+'!$AF$15,"D-",IF(N419&lt;'PlayerGrades+'!$AF$14,"D",IF(N419&lt;'PlayerGrades+'!$AF$13,"D+",IF(N419&lt;'PlayerGrades+'!$AF$12,"C-",IF(N419&lt;'PlayerGrades+'!$AF$11,"C",IF(N419&lt;'PlayerGrades+'!$AF$10,"C+",IF(N419&lt;'PlayerGrades+'!$AF$9,"B-",IF(N419&lt;'PlayerGrades+'!$AF$8,"B",IF(N419&lt;'PlayerGrades+'!$AF$7,"B+",IF(N419&lt;'PlayerGrades+'!$AF$6,"A-",IF(N419&lt;'PlayerGrades+'!$AF$5,"A",IF(N419&lt;'PlayerGrades+'!$AF$4,"A+",IF(N419&lt;'PlayerGrades+'!$AF$3,"S-",IF(N419&lt;'PlayerGrades+'!$AF$2,"S","S+"))))))))))))))))))))</f>
        <v>A</v>
      </c>
      <c r="P419" s="937">
        <f t="shared" si="7"/>
        <v>0.1</v>
      </c>
      <c r="Q419" s="937" t="str">
        <f>IF(P419&lt;'PlayerGrades+'!$AG$21,"F-",IF(P419&lt;'PlayerGrades+'!$AG$20,"F",IF(P419&lt;'PlayerGrades+'!$AG$19,"F+",IF(P419&lt;'PlayerGrades+'!$AG$18,"E-",IF(P419&lt;'PlayerGrades+'!$AG$17,"E",IF(P419&lt;'PlayerGrades+'!$AG$16,"E+",IF(P419&lt;'PlayerGrades+'!$AG$15,"D-",IF(P419&lt;'PlayerGrades+'!$AG$14,"D",IF(P419&lt;'PlayerGrades+'!$AG$13,"D+",IF(P419&lt;'PlayerGrades+'!$AG$12,"C-",IF(P419&lt;'PlayerGrades+'!$AG$11,"C",IF(P419&lt;'PlayerGrades+'!$AG$10,"C+",IF(P419&lt;'PlayerGrades+'!$AG$9,"B-",IF(P419&lt;'PlayerGrades+'!$AG$8,"B",IF(P419&lt;'PlayerGrades+'!$AG$7,"B+",IF(P419&lt;'PlayerGrades+'!$AG$6,"A-",IF(P419&lt;'PlayerGrades+'!$AG$5,"A",IF(P419&lt;'PlayerGrades+'!$AG$4,"A+",IF(P419&lt;'PlayerGrades+'!$AG$3,"S-",IF(P419&lt;'PlayerGrades+'!$AG$2,"S","S+"))))))))))))))))))))</f>
        <v>S+</v>
      </c>
      <c r="R419" s="937">
        <f t="shared" si="8"/>
        <v>0.8666666667</v>
      </c>
      <c r="S419" s="937" t="str">
        <f>IF(R419&lt;'PlayerGrades+'!$AH$21,"F-",IF(R419&lt;'PlayerGrades+'!$AH$20,"F",IF(R419&lt;'PlayerGrades+'!$AH$19,"F+",IF(R419&lt;'PlayerGrades+'!$AH$18,"E-",IF(R419&lt;'PlayerGrades+'!$AH$17,"E",IF(R419&lt;'PlayerGrades+'!$AH$16,"E+",IF(R419&lt;'PlayerGrades+'!$AH$15,"D-",IF(R419&lt;'PlayerGrades+'!$AH$14,"D",IF(R419&lt;'PlayerGrades+'!$AH$13,"D+",IF(R419&lt;'PlayerGrades+'!$AH$12,"C-",IF(R419&lt;'PlayerGrades+'!$AH$11,"C",IF(R419&lt;'PlayerGrades+'!$AH$10,"C+",IF(R419&lt;'PlayerGrades+'!$AH$9,"B-",IF(R419&lt;'PlayerGrades+'!$AH$8,"B",IF(R419&lt;'PlayerGrades+'!$AH$7,"B+",IF(R419&lt;'PlayerGrades+'!$AH$6,"A-",IF(R419&lt;'PlayerGrades+'!$AH$5,"A",IF(R419&lt;'PlayerGrades+'!$AH$4,"A+",IF(R419&lt;'PlayerGrades+'!$AH$3,"S-",IF(R419&lt;'PlayerGrades+'!$AH$2,"S","S+"))))))))))))))))))))</f>
        <v>S+</v>
      </c>
      <c r="T419" s="937">
        <f t="shared" si="9"/>
        <v>0.4333333333</v>
      </c>
      <c r="U419" s="937" t="str">
        <f>IF(T419&lt;'PlayerGrades+'!$AI$21,"F-",IF(T419&lt;'PlayerGrades+'!$AI$20,"F",IF(T419&lt;'PlayerGrades+'!$AI$19,"F+",IF(T419&lt;'PlayerGrades+'!$AI$18,"E-",IF(T419&lt;'PlayerGrades+'!$AI$17,"E",IF(T419&lt;'PlayerGrades+'!$AI$16,"E+",IF(T419&lt;'PlayerGrades+'!$AI$15,"D-",IF(T419&lt;'PlayerGrades+'!$AI$14,"D",IF(T419&lt;'PlayerGrades+'!$AI$13,"D+",IF(T419&lt;'PlayerGrades+'!$AI$12,"C-",IF(T419&lt;'PlayerGrades+'!$AI$11,"C",IF(T419&lt;'PlayerGrades+'!$AI$10,"C+",IF(T419&lt;'PlayerGrades+'!$AI$9,"B-",IF(T419&lt;'PlayerGrades+'!$AI$8,"B",IF(T419&lt;'PlayerGrades+'!$AI$7,"B+",IF(T419&lt;'PlayerGrades+'!$AI$6,"A-",IF(T419&lt;'PlayerGrades+'!$AI$5,"A",IF(T419&lt;'PlayerGrades+'!$AI$4,"A+",IF(T419&lt;'PlayerGrades+'!$AI$3,"S-",IF(T419&lt;'PlayerGrades+'!$AI$2,"S","S+"))))))))))))))))))))</f>
        <v>F-</v>
      </c>
      <c r="V419" s="941">
        <v>1.0</v>
      </c>
      <c r="W419" s="941">
        <v>1.0</v>
      </c>
      <c r="X419" s="941">
        <v>0.0</v>
      </c>
      <c r="Y419" s="941">
        <v>1.0</v>
      </c>
      <c r="Z419" s="941">
        <v>0.0</v>
      </c>
      <c r="AA419" s="941">
        <v>110.0</v>
      </c>
      <c r="AB419" s="941">
        <v>95.0</v>
      </c>
      <c r="AC419" s="941">
        <v>15.0</v>
      </c>
      <c r="AD419" s="941">
        <v>9.0</v>
      </c>
      <c r="AE419" s="941">
        <v>5.0</v>
      </c>
      <c r="AF419" s="941">
        <v>2.0</v>
      </c>
      <c r="AG419" s="941">
        <v>1430.0</v>
      </c>
      <c r="AH419" s="941">
        <v>1800.0</v>
      </c>
      <c r="AI419" s="941">
        <v>15.0</v>
      </c>
      <c r="AJ419" s="941">
        <v>19.0</v>
      </c>
      <c r="AK419" s="941">
        <v>0.0</v>
      </c>
      <c r="AL419" s="941">
        <v>3.0</v>
      </c>
      <c r="AM419" s="941">
        <v>0.0</v>
      </c>
      <c r="AN419" s="941">
        <v>0.0</v>
      </c>
      <c r="AO419" s="941">
        <v>0.0</v>
      </c>
      <c r="AP419" s="941">
        <v>3.0</v>
      </c>
      <c r="AQ419" s="941">
        <v>0.0</v>
      </c>
      <c r="AR419" s="941">
        <v>21.0</v>
      </c>
      <c r="AS419" s="941">
        <v>3.0</v>
      </c>
      <c r="AT419" s="941">
        <v>1.0</v>
      </c>
      <c r="AU419" s="941">
        <v>1.0</v>
      </c>
      <c r="AV419" s="941">
        <v>0.0</v>
      </c>
      <c r="AW419" s="941">
        <v>0.0</v>
      </c>
      <c r="AX419" s="941">
        <v>0.0</v>
      </c>
      <c r="AY419" s="941">
        <v>0.0</v>
      </c>
      <c r="AZ419" s="941">
        <v>0.0</v>
      </c>
      <c r="BA419" s="941">
        <v>0.0</v>
      </c>
      <c r="BB419" s="941">
        <v>1.0</v>
      </c>
      <c r="BC419" s="941">
        <v>0.0</v>
      </c>
      <c r="BD419" s="941">
        <v>17.0</v>
      </c>
      <c r="BE419" s="941">
        <v>13.0</v>
      </c>
      <c r="BF419" s="941">
        <v>0.0</v>
      </c>
      <c r="BG419" s="942">
        <v>0.0</v>
      </c>
    </row>
    <row r="420">
      <c r="A420" s="935" t="s">
        <v>138</v>
      </c>
      <c r="B420" s="16" t="str">
        <f>IF(C420&lt;'PlayerGrades+'!$Y$44,"F-",IF(C420&lt;'PlayerGrades+'!$Y$43,"F",IF(C420&lt;'PlayerGrades+'!$Y$42,"F+",IF(C420&lt;'PlayerGrades+'!$Y$41,"E-",IF(C420&lt;'PlayerGrades+'!$Y$40,"E",IF(C420&lt;'PlayerGrades+'!$Y$39,"E+",IF(C420&lt;'PlayerGrades+'!$Y$38,"D-",IF(C420&lt;'PlayerGrades+'!$Y$37,"D",IF(C420&lt;'PlayerGrades+'!$Y$36,"D+",IF(C420&lt;'PlayerGrades+'!$Y$35,"C-",IF(C420&lt;'PlayerGrades+'!$Y$34,"C",IF(C420&lt;'PlayerGrades+'!$Y$33,"C+",IF(C420&lt;'PlayerGrades+'!$Y$32,"B-",IF(C420&lt;'PlayerGrades+'!$Y$31,"B",IF(C420&lt;'PlayerGrades+'!$Y$30,"B+",IF(C420&lt;'PlayerGrades+'!$Y$29,"A-",IF(C420&lt;'PlayerGrades+'!$Y$28,"A",IF(C420&lt;'PlayerGrades+'!$Y$27,"A+",IF(C420&lt;'PlayerGrades+'!$Y$26,"S-",IF(C420&lt;'PlayerGrades+'!$Y$25,"S","S+"))))))))))))))))))))</f>
        <v>B-</v>
      </c>
      <c r="C420" s="936">
        <f>('PlayerGrades+'!$Y$47*(VLOOKUP(E420, 'PlayerGrades+'!$X$3:$Y$23, 2, FALSE)))+('PlayerGrades+'!$Y$48*(VLOOKUP(G420, 'PlayerGrades+'!$X$3:$Y$23, 2, FALSE)))+('PlayerGrades+'!$Y$49*(VLOOKUP(I420, 'PlayerGrades+'!$X$3:$Y$23, 2, FALSE)))+('PlayerGrades+'!$Y$50*(VLOOKUP(K420, 'PlayerGrades+'!$X$3:$Y$23, 2, FALSE)))+('PlayerGrades+'!$Y$51*(VLOOKUP(M420, 'PlayerGrades+'!$X$3:$Y$23, 2, FALSE)))+('PlayerGrades+'!$Y$52*(VLOOKUP(O420, 'PlayerGrades+'!$X$3:$Y$23, 2, FALSE)))+('PlayerGrades+'!$Y$53*(VLOOKUP(Q420, 'PlayerGrades+'!$X$3:$Y$23, 2, FALSE)))+('PlayerGrades+'!$Y$54*(VLOOKUP(S420, 'PlayerGrades+'!$X$3:$Y$23, 2, FALSE)))+('PlayerGrades+'!$Y$55*(VLOOKUP(U420, 'PlayerGrades+'!$X$3:$Y$23, 2, FALSE)))</f>
        <v>22.15</v>
      </c>
      <c r="D420" s="937">
        <f t="shared" si="1"/>
        <v>0</v>
      </c>
      <c r="E420" s="937" t="str">
        <f>IF(D420&lt;'PlayerGrades+'!$AA$21,"F-",IF(D420&lt;'PlayerGrades+'!$AA$20,"F",IF(D420&lt;'PlayerGrades+'!$AA$19,"F+",IF(D420&lt;'PlayerGrades+'!$AA$18,"E-",IF(D420&lt;'PlayerGrades+'!$AA$17,"E",IF(D420&lt;'PlayerGrades+'!$AA$16,"E+",IF(D420&lt;'PlayerGrades+'!$AA$15,"D-",IF(D420&lt;'PlayerGrades+'!$AA$14,"D",IF(D420&lt;'PlayerGrades+'!$AA$13,"D+",IF(D420&lt;'PlayerGrades+'!$AA$12,"C-",IF(D420&lt;'PlayerGrades+'!$AA$11,"C",IF(D420&lt;'PlayerGrades+'!$AA$10,"C+",IF(D420&lt;'PlayerGrades+'!$AA$9,"B-",IF(D420&lt;'PlayerGrades+'!$AA$8,"B",IF(D420&lt;'PlayerGrades+'!$AA$7,"B+",IF(D420&lt;'PlayerGrades+'!$AA$6,"A-",IF(D420&lt;'PlayerGrades+'!$AA$5,"A",IF(D420&lt;'PlayerGrades+'!$AA$4,"A+",IF(D420&lt;'PlayerGrades+'!$AA$3,"S-",IF(D420&lt;'PlayerGrades+'!$AA$2,"S","S+"))))))))))))))))))))</f>
        <v>F-</v>
      </c>
      <c r="F420" s="937">
        <f t="shared" si="2"/>
        <v>0.06666666667</v>
      </c>
      <c r="G420" s="937" t="str">
        <f>IF(F420&lt;'PlayerGrades+'!$AB$21,"F-",IF(F420&lt;'PlayerGrades+'!$AB$20,"F",IF(F420&lt;'PlayerGrades+'!$AB$19,"F+",IF(F420&lt;'PlayerGrades+'!$AB$18,"E-",IF(F420&lt;'PlayerGrades+'!$AB$17,"E",IF(F420&lt;'PlayerGrades+'!$AB$16,"E+",IF(F420&lt;'PlayerGrades+'!$AB$15,"D-",IF(F420&lt;'PlayerGrades+'!$AB$14,"D",IF(F420&lt;'PlayerGrades+'!$AB$13,"D+",IF(F420&lt;'PlayerGrades+'!$AB$12,"C-",IF(F420&lt;'PlayerGrades+'!$AB$11,"C",IF(F420&lt;'PlayerGrades+'!$AB$10,"C+",IF(F420&lt;'PlayerGrades+'!$AB$9,"B-",IF(F420&lt;'PlayerGrades+'!$AB$8,"B",IF(F420&lt;'PlayerGrades+'!$AB$7,"B+",IF(F420&lt;'PlayerGrades+'!$AB$6,"A-",IF(F420&lt;'PlayerGrades+'!$AB$5,"A",IF(F420&lt;'PlayerGrades+'!$AB$4,"A+",IF(F420&lt;'PlayerGrades+'!$AB$3,"S-",IF(F420&lt;'PlayerGrades+'!$AB$2,"S","S+"))))))))))))))))))))</f>
        <v>B</v>
      </c>
      <c r="H420" s="937">
        <f t="shared" si="3"/>
        <v>0</v>
      </c>
      <c r="I420" s="937" t="str">
        <f>IF(H420&lt;'PlayerGrades+'!$AC$21,"F-",IF(H420&lt;'PlayerGrades+'!$AC$20,"F",IF(H420&lt;'PlayerGrades+'!$AC$19,"F+",IF(H420&lt;'PlayerGrades+'!$AC$18,"E-",IF(H420&lt;'PlayerGrades+'!$AC$17,"E",IF(H420&lt;'PlayerGrades+'!$AC$16,"E+",IF(H420&lt;'PlayerGrades+'!$AC$15,"D-",IF(H420&lt;'PlayerGrades+'!$AC$14,"D",IF(H420&lt;'PlayerGrades+'!$AC$13,"D+",IF(H420&lt;'PlayerGrades+'!$AC$12,"C-",IF(H420&lt;'PlayerGrades+'!$AC$11,"C",IF(H420&lt;'PlayerGrades+'!$AC$10,"C+",IF(H420&lt;'PlayerGrades+'!$AC$9,"B-",IF(H420&lt;'PlayerGrades+'!$AC$8,"B",IF(H420&lt;'PlayerGrades+'!$AC$7,"B+",IF(H420&lt;'PlayerGrades+'!$AC$6,"A-",IF(H420&lt;'PlayerGrades+'!$AC$5,"A",IF(H420&lt;'PlayerGrades+'!$AC$4,"A+",IF(H420&lt;'PlayerGrades+'!$AC$3,"S-",IF(H420&lt;'PlayerGrades+'!$AC$2,"S","S+"))))))))))))))))))))</f>
        <v>F-</v>
      </c>
      <c r="J420" s="937">
        <f t="shared" si="4"/>
        <v>0.06666666667</v>
      </c>
      <c r="K420" s="937" t="str">
        <f>IF(J420&lt;'PlayerGrades+'!$AD$21,"F-",IF(J420&lt;'PlayerGrades+'!$AD$20,"F",IF(J420&lt;'PlayerGrades+'!$AD$19,"F+",IF(J420&lt;'PlayerGrades+'!$AD$18,"E-",IF(J420&lt;'PlayerGrades+'!$AD$17,"E",IF(J420&lt;'PlayerGrades+'!$AD$16,"E+",IF(J420&lt;'PlayerGrades+'!$AD$15,"D-",IF(J420&lt;'PlayerGrades+'!$AD$14,"D",IF(J420&lt;'PlayerGrades+'!$AD$13,"D+",IF(J420&lt;'PlayerGrades+'!$AD$12,"C-",IF(J420&lt;'PlayerGrades+'!$AD$11,"C",IF(J420&lt;'PlayerGrades+'!$AD$10,"C+",IF(J420&lt;'PlayerGrades+'!$AD$9,"B-",IF(J420&lt;'PlayerGrades+'!$AD$8,"B",IF(J420&lt;'PlayerGrades+'!$AD$7,"B+",IF(J420&lt;'PlayerGrades+'!$AD$6,"A-",IF(J420&lt;'PlayerGrades+'!$AD$5,"A",IF(J420&lt;'PlayerGrades+'!$AD$4,"A+",IF(J420&lt;'PlayerGrades+'!$AD$3,"S-",IF(J420&lt;'PlayerGrades+'!$AD$2,"S","S+"))))))))))))))))))))</f>
        <v>A-</v>
      </c>
      <c r="L420" s="677">
        <f t="shared" si="5"/>
        <v>0.5</v>
      </c>
      <c r="M420" s="938" t="str">
        <f>IF(L420&lt;'PlayerGrades+'!$AE$21,"F-",IF(L420&lt;'PlayerGrades+'!$AE$20,"F",IF(L420&lt;'PlayerGrades+'!$AE$19,"F+",IF(L420&lt;'PlayerGrades+'!$AE$18,"E-",IF(L420&lt;'PlayerGrades+'!$AE$17,"E",IF(L420&lt;'PlayerGrades+'!$AE$16,"E+",IF(L420&lt;'PlayerGrades+'!$AE$15,"D-",IF(L420&lt;'PlayerGrades+'!$AE$14,"D",IF(L420&lt;'PlayerGrades+'!$AE$13,"D+",IF(L420&lt;'PlayerGrades+'!$AE$12,"C-",IF(L420&lt;'PlayerGrades+'!$AE$11,"C",IF(L420&lt;'PlayerGrades+'!$AE$10,"C+",IF(L420&lt;'PlayerGrades+'!$AE$9,"B-",IF(L420&lt;'PlayerGrades+'!$AE$8,"B",IF(L420&lt;'PlayerGrades+'!$AE$7,"B+",IF(L420&lt;'PlayerGrades+'!$AE$6,"A-",IF(L420&lt;'PlayerGrades+'!$AE$5,"A",IF(L420&lt;'PlayerGrades+'!$AE$4,"A+",IF(L420&lt;'PlayerGrades+'!$AE$3,"S-",IF(L420&lt;'PlayerGrades+'!$AE$2,"S","S+"))))))))))))))))))))</f>
        <v>A-</v>
      </c>
      <c r="N420" s="937">
        <f t="shared" si="6"/>
        <v>0.1</v>
      </c>
      <c r="O420" s="937" t="str">
        <f>IF(N420&lt;'PlayerGrades+'!$AF$21,"F-",IF(N420&lt;'PlayerGrades+'!$AF$20,"F",IF(N420&lt;'PlayerGrades+'!$AF$19,"F+",IF(N420&lt;'PlayerGrades+'!$AF$18,"E-",IF(N420&lt;'PlayerGrades+'!$AF$17,"E",IF(N420&lt;'PlayerGrades+'!$AF$16,"E+",IF(N420&lt;'PlayerGrades+'!$AF$15,"D-",IF(N420&lt;'PlayerGrades+'!$AF$14,"D",IF(N420&lt;'PlayerGrades+'!$AF$13,"D+",IF(N420&lt;'PlayerGrades+'!$AF$12,"C-",IF(N420&lt;'PlayerGrades+'!$AF$11,"C",IF(N420&lt;'PlayerGrades+'!$AF$10,"C+",IF(N420&lt;'PlayerGrades+'!$AF$9,"B-",IF(N420&lt;'PlayerGrades+'!$AF$8,"B",IF(N420&lt;'PlayerGrades+'!$AF$7,"B+",IF(N420&lt;'PlayerGrades+'!$AF$6,"A-",IF(N420&lt;'PlayerGrades+'!$AF$5,"A",IF(N420&lt;'PlayerGrades+'!$AF$4,"A+",IF(N420&lt;'PlayerGrades+'!$AF$3,"S-",IF(N420&lt;'PlayerGrades+'!$AF$2,"S","S+"))))))))))))))))))))</f>
        <v>A</v>
      </c>
      <c r="P420" s="937">
        <f t="shared" si="7"/>
        <v>0.03333333333</v>
      </c>
      <c r="Q420" s="937" t="str">
        <f>IF(P420&lt;'PlayerGrades+'!$AG$21,"F-",IF(P420&lt;'PlayerGrades+'!$AG$20,"F",IF(P420&lt;'PlayerGrades+'!$AG$19,"F+",IF(P420&lt;'PlayerGrades+'!$AG$18,"E-",IF(P420&lt;'PlayerGrades+'!$AG$17,"E",IF(P420&lt;'PlayerGrades+'!$AG$16,"E+",IF(P420&lt;'PlayerGrades+'!$AG$15,"D-",IF(P420&lt;'PlayerGrades+'!$AG$14,"D",IF(P420&lt;'PlayerGrades+'!$AG$13,"D+",IF(P420&lt;'PlayerGrades+'!$AG$12,"C-",IF(P420&lt;'PlayerGrades+'!$AG$11,"C",IF(P420&lt;'PlayerGrades+'!$AG$10,"C+",IF(P420&lt;'PlayerGrades+'!$AG$9,"B-",IF(P420&lt;'PlayerGrades+'!$AG$8,"B",IF(P420&lt;'PlayerGrades+'!$AG$7,"B+",IF(P420&lt;'PlayerGrades+'!$AG$6,"A-",IF(P420&lt;'PlayerGrades+'!$AG$5,"A",IF(P420&lt;'PlayerGrades+'!$AG$4,"A+",IF(P420&lt;'PlayerGrades+'!$AG$3,"S-",IF(P420&lt;'PlayerGrades+'!$AG$2,"S","S+"))))))))))))))))))))</f>
        <v>B+</v>
      </c>
      <c r="R420" s="937">
        <f t="shared" si="8"/>
        <v>0.6333333333</v>
      </c>
      <c r="S420" s="937" t="str">
        <f>IF(R420&lt;'PlayerGrades+'!$AH$21,"F-",IF(R420&lt;'PlayerGrades+'!$AH$20,"F",IF(R420&lt;'PlayerGrades+'!$AH$19,"F+",IF(R420&lt;'PlayerGrades+'!$AH$18,"E-",IF(R420&lt;'PlayerGrades+'!$AH$17,"E",IF(R420&lt;'PlayerGrades+'!$AH$16,"E+",IF(R420&lt;'PlayerGrades+'!$AH$15,"D-",IF(R420&lt;'PlayerGrades+'!$AH$14,"D",IF(R420&lt;'PlayerGrades+'!$AH$13,"D+",IF(R420&lt;'PlayerGrades+'!$AH$12,"C-",IF(R420&lt;'PlayerGrades+'!$AH$11,"C",IF(R420&lt;'PlayerGrades+'!$AH$10,"C+",IF(R420&lt;'PlayerGrades+'!$AH$9,"B-",IF(R420&lt;'PlayerGrades+'!$AH$8,"B",IF(R420&lt;'PlayerGrades+'!$AH$7,"B+",IF(R420&lt;'PlayerGrades+'!$AH$6,"A-",IF(R420&lt;'PlayerGrades+'!$AH$5,"A",IF(R420&lt;'PlayerGrades+'!$AH$4,"A+",IF(R420&lt;'PlayerGrades+'!$AH$3,"S-",IF(R420&lt;'PlayerGrades+'!$AH$2,"S","S+"))))))))))))))))))))</f>
        <v>A</v>
      </c>
      <c r="T420" s="937">
        <f t="shared" si="9"/>
        <v>1.166666667</v>
      </c>
      <c r="U420" s="937" t="str">
        <f>IF(T420&lt;'PlayerGrades+'!$AI$21,"F-",IF(T420&lt;'PlayerGrades+'!$AI$20,"F",IF(T420&lt;'PlayerGrades+'!$AI$19,"F+",IF(T420&lt;'PlayerGrades+'!$AI$18,"E-",IF(T420&lt;'PlayerGrades+'!$AI$17,"E",IF(T420&lt;'PlayerGrades+'!$AI$16,"E+",IF(T420&lt;'PlayerGrades+'!$AI$15,"D-",IF(T420&lt;'PlayerGrades+'!$AI$14,"D",IF(T420&lt;'PlayerGrades+'!$AI$13,"D+",IF(T420&lt;'PlayerGrades+'!$AI$12,"C-",IF(T420&lt;'PlayerGrades+'!$AI$11,"C",IF(T420&lt;'PlayerGrades+'!$AI$10,"C+",IF(T420&lt;'PlayerGrades+'!$AI$9,"B-",IF(T420&lt;'PlayerGrades+'!$AI$8,"B",IF(T420&lt;'PlayerGrades+'!$AI$7,"B+",IF(T420&lt;'PlayerGrades+'!$AI$6,"A-",IF(T420&lt;'PlayerGrades+'!$AI$5,"A",IF(T420&lt;'PlayerGrades+'!$AI$4,"A+",IF(T420&lt;'PlayerGrades+'!$AI$3,"S-",IF(T420&lt;'PlayerGrades+'!$AI$2,"S","S+"))))))))))))))))))))</f>
        <v>D+</v>
      </c>
      <c r="V420" s="941">
        <v>1.0</v>
      </c>
      <c r="W420" s="941">
        <v>1.0</v>
      </c>
      <c r="X420" s="941">
        <v>0.0</v>
      </c>
      <c r="Y420" s="941">
        <v>0.0</v>
      </c>
      <c r="Z420" s="941">
        <v>0.0</v>
      </c>
      <c r="AA420" s="941">
        <v>102.0</v>
      </c>
      <c r="AB420" s="941">
        <v>100.0</v>
      </c>
      <c r="AC420" s="941">
        <v>2.0</v>
      </c>
      <c r="AD420" s="941">
        <v>6.0</v>
      </c>
      <c r="AE420" s="941">
        <v>6.0</v>
      </c>
      <c r="AF420" s="941">
        <v>1.0</v>
      </c>
      <c r="AG420" s="941">
        <v>1422.0</v>
      </c>
      <c r="AH420" s="941">
        <v>1800.0</v>
      </c>
      <c r="AI420" s="941">
        <v>14.0</v>
      </c>
      <c r="AJ420" s="941">
        <v>11.0</v>
      </c>
      <c r="AK420" s="941">
        <v>0.0</v>
      </c>
      <c r="AL420" s="941">
        <v>2.0</v>
      </c>
      <c r="AM420" s="941">
        <v>0.0</v>
      </c>
      <c r="AN420" s="941">
        <v>0.0</v>
      </c>
      <c r="AO420" s="941">
        <v>0.0</v>
      </c>
      <c r="AP420" s="941">
        <v>1.0</v>
      </c>
      <c r="AQ420" s="941">
        <v>0.0</v>
      </c>
      <c r="AR420" s="941">
        <v>15.0</v>
      </c>
      <c r="AS420" s="941">
        <v>3.0</v>
      </c>
      <c r="AT420" s="941">
        <v>0.0</v>
      </c>
      <c r="AU420" s="941">
        <v>0.0</v>
      </c>
      <c r="AV420" s="941">
        <v>0.0</v>
      </c>
      <c r="AW420" s="941">
        <v>0.0</v>
      </c>
      <c r="AX420" s="941">
        <v>0.0</v>
      </c>
      <c r="AY420" s="941">
        <v>0.0</v>
      </c>
      <c r="AZ420" s="941">
        <v>0.0</v>
      </c>
      <c r="BA420" s="941">
        <v>0.0</v>
      </c>
      <c r="BB420" s="941">
        <v>0.0</v>
      </c>
      <c r="BC420" s="941">
        <v>0.0</v>
      </c>
      <c r="BD420" s="941">
        <v>13.0</v>
      </c>
      <c r="BE420" s="941">
        <v>5.0</v>
      </c>
      <c r="BF420" s="941">
        <v>1.0</v>
      </c>
      <c r="BG420" s="942">
        <v>0.0</v>
      </c>
    </row>
    <row r="421">
      <c r="A421" s="935" t="s">
        <v>392</v>
      </c>
      <c r="B421" s="16" t="str">
        <f>IF(C421&lt;'PlayerGrades+'!$Y$44,"F-",IF(C421&lt;'PlayerGrades+'!$Y$43,"F",IF(C421&lt;'PlayerGrades+'!$Y$42,"F+",IF(C421&lt;'PlayerGrades+'!$Y$41,"E-",IF(C421&lt;'PlayerGrades+'!$Y$40,"E",IF(C421&lt;'PlayerGrades+'!$Y$39,"E+",IF(C421&lt;'PlayerGrades+'!$Y$38,"D-",IF(C421&lt;'PlayerGrades+'!$Y$37,"D",IF(C421&lt;'PlayerGrades+'!$Y$36,"D+",IF(C421&lt;'PlayerGrades+'!$Y$35,"C-",IF(C421&lt;'PlayerGrades+'!$Y$34,"C",IF(C421&lt;'PlayerGrades+'!$Y$33,"C+",IF(C421&lt;'PlayerGrades+'!$Y$32,"B-",IF(C421&lt;'PlayerGrades+'!$Y$31,"B",IF(C421&lt;'PlayerGrades+'!$Y$30,"B+",IF(C421&lt;'PlayerGrades+'!$Y$29,"A-",IF(C421&lt;'PlayerGrades+'!$Y$28,"A",IF(C421&lt;'PlayerGrades+'!$Y$27,"A+",IF(C421&lt;'PlayerGrades+'!$Y$26,"S-",IF(C421&lt;'PlayerGrades+'!$Y$25,"S","S+"))))))))))))))))))))</f>
        <v>D</v>
      </c>
      <c r="C421" s="936">
        <f>('PlayerGrades+'!$Y$47*(VLOOKUP(E421, 'PlayerGrades+'!$X$3:$Y$23, 2, FALSE)))+('PlayerGrades+'!$Y$48*(VLOOKUP(G421, 'PlayerGrades+'!$X$3:$Y$23, 2, FALSE)))+('PlayerGrades+'!$Y$49*(VLOOKUP(I421, 'PlayerGrades+'!$X$3:$Y$23, 2, FALSE)))+('PlayerGrades+'!$Y$50*(VLOOKUP(K421, 'PlayerGrades+'!$X$3:$Y$23, 2, FALSE)))+('PlayerGrades+'!$Y$51*(VLOOKUP(M421, 'PlayerGrades+'!$X$3:$Y$23, 2, FALSE)))+('PlayerGrades+'!$Y$52*(VLOOKUP(O421, 'PlayerGrades+'!$X$3:$Y$23, 2, FALSE)))+('PlayerGrades+'!$Y$53*(VLOOKUP(Q421, 'PlayerGrades+'!$X$3:$Y$23, 2, FALSE)))+('PlayerGrades+'!$Y$54*(VLOOKUP(S421, 'PlayerGrades+'!$X$3:$Y$23, 2, FALSE)))+('PlayerGrades+'!$Y$55*(VLOOKUP(U421, 'PlayerGrades+'!$X$3:$Y$23, 2, FALSE)))</f>
        <v>16</v>
      </c>
      <c r="D421" s="937">
        <f t="shared" si="1"/>
        <v>0</v>
      </c>
      <c r="E421" s="937" t="str">
        <f>IF(D421&lt;'PlayerGrades+'!$AA$21,"F-",IF(D421&lt;'PlayerGrades+'!$AA$20,"F",IF(D421&lt;'PlayerGrades+'!$AA$19,"F+",IF(D421&lt;'PlayerGrades+'!$AA$18,"E-",IF(D421&lt;'PlayerGrades+'!$AA$17,"E",IF(D421&lt;'PlayerGrades+'!$AA$16,"E+",IF(D421&lt;'PlayerGrades+'!$AA$15,"D-",IF(D421&lt;'PlayerGrades+'!$AA$14,"D",IF(D421&lt;'PlayerGrades+'!$AA$13,"D+",IF(D421&lt;'PlayerGrades+'!$AA$12,"C-",IF(D421&lt;'PlayerGrades+'!$AA$11,"C",IF(D421&lt;'PlayerGrades+'!$AA$10,"C+",IF(D421&lt;'PlayerGrades+'!$AA$9,"B-",IF(D421&lt;'PlayerGrades+'!$AA$8,"B",IF(D421&lt;'PlayerGrades+'!$AA$7,"B+",IF(D421&lt;'PlayerGrades+'!$AA$6,"A-",IF(D421&lt;'PlayerGrades+'!$AA$5,"A",IF(D421&lt;'PlayerGrades+'!$AA$4,"A+",IF(D421&lt;'PlayerGrades+'!$AA$3,"S-",IF(D421&lt;'PlayerGrades+'!$AA$2,"S","S+"))))))))))))))))))))</f>
        <v>F-</v>
      </c>
      <c r="F421" s="937">
        <f t="shared" si="2"/>
        <v>-0.9333333333</v>
      </c>
      <c r="G421" s="937" t="str">
        <f>IF(F421&lt;'PlayerGrades+'!$AB$21,"F-",IF(F421&lt;'PlayerGrades+'!$AB$20,"F",IF(F421&lt;'PlayerGrades+'!$AB$19,"F+",IF(F421&lt;'PlayerGrades+'!$AB$18,"E-",IF(F421&lt;'PlayerGrades+'!$AB$17,"E",IF(F421&lt;'PlayerGrades+'!$AB$16,"E+",IF(F421&lt;'PlayerGrades+'!$AB$15,"D-",IF(F421&lt;'PlayerGrades+'!$AB$14,"D",IF(F421&lt;'PlayerGrades+'!$AB$13,"D+",IF(F421&lt;'PlayerGrades+'!$AB$12,"C-",IF(F421&lt;'PlayerGrades+'!$AB$11,"C",IF(F421&lt;'PlayerGrades+'!$AB$10,"C+",IF(F421&lt;'PlayerGrades+'!$AB$9,"B-",IF(F421&lt;'PlayerGrades+'!$AB$8,"B",IF(F421&lt;'PlayerGrades+'!$AB$7,"B+",IF(F421&lt;'PlayerGrades+'!$AB$6,"A-",IF(F421&lt;'PlayerGrades+'!$AB$5,"A",IF(F421&lt;'PlayerGrades+'!$AB$4,"A+",IF(F421&lt;'PlayerGrades+'!$AB$3,"S-",IF(F421&lt;'PlayerGrades+'!$AB$2,"S","S+"))))))))))))))))))))</f>
        <v>E-</v>
      </c>
      <c r="H421" s="937">
        <f t="shared" si="3"/>
        <v>0</v>
      </c>
      <c r="I421" s="937" t="str">
        <f>IF(H421&lt;'PlayerGrades+'!$AC$21,"F-",IF(H421&lt;'PlayerGrades+'!$AC$20,"F",IF(H421&lt;'PlayerGrades+'!$AC$19,"F+",IF(H421&lt;'PlayerGrades+'!$AC$18,"E-",IF(H421&lt;'PlayerGrades+'!$AC$17,"E",IF(H421&lt;'PlayerGrades+'!$AC$16,"E+",IF(H421&lt;'PlayerGrades+'!$AC$15,"D-",IF(H421&lt;'PlayerGrades+'!$AC$14,"D",IF(H421&lt;'PlayerGrades+'!$AC$13,"D+",IF(H421&lt;'PlayerGrades+'!$AC$12,"C-",IF(H421&lt;'PlayerGrades+'!$AC$11,"C",IF(H421&lt;'PlayerGrades+'!$AC$10,"C+",IF(H421&lt;'PlayerGrades+'!$AC$9,"B-",IF(H421&lt;'PlayerGrades+'!$AC$8,"B",IF(H421&lt;'PlayerGrades+'!$AC$7,"B+",IF(H421&lt;'PlayerGrades+'!$AC$6,"A-",IF(H421&lt;'PlayerGrades+'!$AC$5,"A",IF(H421&lt;'PlayerGrades+'!$AC$4,"A+",IF(H421&lt;'PlayerGrades+'!$AC$3,"S-",IF(H421&lt;'PlayerGrades+'!$AC$2,"S","S+"))))))))))))))))))))</f>
        <v>F-</v>
      </c>
      <c r="J421" s="937">
        <f t="shared" si="4"/>
        <v>0.03333333333</v>
      </c>
      <c r="K421" s="937" t="str">
        <f>IF(J421&lt;'PlayerGrades+'!$AD$21,"F-",IF(J421&lt;'PlayerGrades+'!$AD$20,"F",IF(J421&lt;'PlayerGrades+'!$AD$19,"F+",IF(J421&lt;'PlayerGrades+'!$AD$18,"E-",IF(J421&lt;'PlayerGrades+'!$AD$17,"E",IF(J421&lt;'PlayerGrades+'!$AD$16,"E+",IF(J421&lt;'PlayerGrades+'!$AD$15,"D-",IF(J421&lt;'PlayerGrades+'!$AD$14,"D",IF(J421&lt;'PlayerGrades+'!$AD$13,"D+",IF(J421&lt;'PlayerGrades+'!$AD$12,"C-",IF(J421&lt;'PlayerGrades+'!$AD$11,"C",IF(J421&lt;'PlayerGrades+'!$AD$10,"C+",IF(J421&lt;'PlayerGrades+'!$AD$9,"B-",IF(J421&lt;'PlayerGrades+'!$AD$8,"B",IF(J421&lt;'PlayerGrades+'!$AD$7,"B+",IF(J421&lt;'PlayerGrades+'!$AD$6,"A-",IF(J421&lt;'PlayerGrades+'!$AD$5,"A",IF(J421&lt;'PlayerGrades+'!$AD$4,"A+",IF(J421&lt;'PlayerGrades+'!$AD$3,"S-",IF(J421&lt;'PlayerGrades+'!$AD$2,"S","S+"))))))))))))))))))))</f>
        <v>C</v>
      </c>
      <c r="L421" s="677">
        <f t="shared" si="5"/>
        <v>0.5333333333</v>
      </c>
      <c r="M421" s="938" t="str">
        <f>IF(L421&lt;'PlayerGrades+'!$AE$21,"F-",IF(L421&lt;'PlayerGrades+'!$AE$20,"F",IF(L421&lt;'PlayerGrades+'!$AE$19,"F+",IF(L421&lt;'PlayerGrades+'!$AE$18,"E-",IF(L421&lt;'PlayerGrades+'!$AE$17,"E",IF(L421&lt;'PlayerGrades+'!$AE$16,"E+",IF(L421&lt;'PlayerGrades+'!$AE$15,"D-",IF(L421&lt;'PlayerGrades+'!$AE$14,"D",IF(L421&lt;'PlayerGrades+'!$AE$13,"D+",IF(L421&lt;'PlayerGrades+'!$AE$12,"C-",IF(L421&lt;'PlayerGrades+'!$AE$11,"C",IF(L421&lt;'PlayerGrades+'!$AE$10,"C+",IF(L421&lt;'PlayerGrades+'!$AE$9,"B-",IF(L421&lt;'PlayerGrades+'!$AE$8,"B",IF(L421&lt;'PlayerGrades+'!$AE$7,"B+",IF(L421&lt;'PlayerGrades+'!$AE$6,"A-",IF(L421&lt;'PlayerGrades+'!$AE$5,"A",IF(L421&lt;'PlayerGrades+'!$AE$4,"A+",IF(L421&lt;'PlayerGrades+'!$AE$3,"S-",IF(L421&lt;'PlayerGrades+'!$AE$2,"S","S+"))))))))))))))))))))</f>
        <v>A-</v>
      </c>
      <c r="N421" s="937">
        <f t="shared" si="6"/>
        <v>0.1333333333</v>
      </c>
      <c r="O421" s="937" t="str">
        <f>IF(N421&lt;'PlayerGrades+'!$AF$21,"F-",IF(N421&lt;'PlayerGrades+'!$AF$20,"F",IF(N421&lt;'PlayerGrades+'!$AF$19,"F+",IF(N421&lt;'PlayerGrades+'!$AF$18,"E-",IF(N421&lt;'PlayerGrades+'!$AF$17,"E",IF(N421&lt;'PlayerGrades+'!$AF$16,"E+",IF(N421&lt;'PlayerGrades+'!$AF$15,"D-",IF(N421&lt;'PlayerGrades+'!$AF$14,"D",IF(N421&lt;'PlayerGrades+'!$AF$13,"D+",IF(N421&lt;'PlayerGrades+'!$AF$12,"C-",IF(N421&lt;'PlayerGrades+'!$AF$11,"C",IF(N421&lt;'PlayerGrades+'!$AF$10,"C+",IF(N421&lt;'PlayerGrades+'!$AF$9,"B-",IF(N421&lt;'PlayerGrades+'!$AF$8,"B",IF(N421&lt;'PlayerGrades+'!$AF$7,"B+",IF(N421&lt;'PlayerGrades+'!$AF$6,"A-",IF(N421&lt;'PlayerGrades+'!$AF$5,"A",IF(N421&lt;'PlayerGrades+'!$AF$4,"A+",IF(N421&lt;'PlayerGrades+'!$AF$3,"S-",IF(N421&lt;'PlayerGrades+'!$AF$2,"S","S+"))))))))))))))))))))</f>
        <v>S</v>
      </c>
      <c r="P421" s="937">
        <f t="shared" si="7"/>
        <v>0.03333333333</v>
      </c>
      <c r="Q421" s="937" t="str">
        <f>IF(P421&lt;'PlayerGrades+'!$AG$21,"F-",IF(P421&lt;'PlayerGrades+'!$AG$20,"F",IF(P421&lt;'PlayerGrades+'!$AG$19,"F+",IF(P421&lt;'PlayerGrades+'!$AG$18,"E-",IF(P421&lt;'PlayerGrades+'!$AG$17,"E",IF(P421&lt;'PlayerGrades+'!$AG$16,"E+",IF(P421&lt;'PlayerGrades+'!$AG$15,"D-",IF(P421&lt;'PlayerGrades+'!$AG$14,"D",IF(P421&lt;'PlayerGrades+'!$AG$13,"D+",IF(P421&lt;'PlayerGrades+'!$AG$12,"C-",IF(P421&lt;'PlayerGrades+'!$AG$11,"C",IF(P421&lt;'PlayerGrades+'!$AG$10,"C+",IF(P421&lt;'PlayerGrades+'!$AG$9,"B-",IF(P421&lt;'PlayerGrades+'!$AG$8,"B",IF(P421&lt;'PlayerGrades+'!$AG$7,"B+",IF(P421&lt;'PlayerGrades+'!$AG$6,"A-",IF(P421&lt;'PlayerGrades+'!$AG$5,"A",IF(P421&lt;'PlayerGrades+'!$AG$4,"A+",IF(P421&lt;'PlayerGrades+'!$AG$3,"S-",IF(P421&lt;'PlayerGrades+'!$AG$2,"S","S+"))))))))))))))))))))</f>
        <v>B+</v>
      </c>
      <c r="R421" s="937">
        <f t="shared" si="8"/>
        <v>0.4333333333</v>
      </c>
      <c r="S421" s="937" t="str">
        <f>IF(R421&lt;'PlayerGrades+'!$AH$21,"F-",IF(R421&lt;'PlayerGrades+'!$AH$20,"F",IF(R421&lt;'PlayerGrades+'!$AH$19,"F+",IF(R421&lt;'PlayerGrades+'!$AH$18,"E-",IF(R421&lt;'PlayerGrades+'!$AH$17,"E",IF(R421&lt;'PlayerGrades+'!$AH$16,"E+",IF(R421&lt;'PlayerGrades+'!$AH$15,"D-",IF(R421&lt;'PlayerGrades+'!$AH$14,"D",IF(R421&lt;'PlayerGrades+'!$AH$13,"D+",IF(R421&lt;'PlayerGrades+'!$AH$12,"C-",IF(R421&lt;'PlayerGrades+'!$AH$11,"C",IF(R421&lt;'PlayerGrades+'!$AH$10,"C+",IF(R421&lt;'PlayerGrades+'!$AH$9,"B-",IF(R421&lt;'PlayerGrades+'!$AH$8,"B",IF(R421&lt;'PlayerGrades+'!$AH$7,"B+",IF(R421&lt;'PlayerGrades+'!$AH$6,"A-",IF(R421&lt;'PlayerGrades+'!$AH$5,"A",IF(R421&lt;'PlayerGrades+'!$AH$4,"A+",IF(R421&lt;'PlayerGrades+'!$AH$3,"S-",IF(R421&lt;'PlayerGrades+'!$AH$2,"S","S+"))))))))))))))))))))</f>
        <v>E-</v>
      </c>
      <c r="T421" s="937">
        <f t="shared" si="9"/>
        <v>0.6</v>
      </c>
      <c r="U421" s="937" t="str">
        <f>IF(T421&lt;'PlayerGrades+'!$AI$21,"F-",IF(T421&lt;'PlayerGrades+'!$AI$20,"F",IF(T421&lt;'PlayerGrades+'!$AI$19,"F+",IF(T421&lt;'PlayerGrades+'!$AI$18,"E-",IF(T421&lt;'PlayerGrades+'!$AI$17,"E",IF(T421&lt;'PlayerGrades+'!$AI$16,"E+",IF(T421&lt;'PlayerGrades+'!$AI$15,"D-",IF(T421&lt;'PlayerGrades+'!$AI$14,"D",IF(T421&lt;'PlayerGrades+'!$AI$13,"D+",IF(T421&lt;'PlayerGrades+'!$AI$12,"C-",IF(T421&lt;'PlayerGrades+'!$AI$11,"C",IF(T421&lt;'PlayerGrades+'!$AI$10,"C+",IF(T421&lt;'PlayerGrades+'!$AI$9,"B-",IF(T421&lt;'PlayerGrades+'!$AI$8,"B",IF(T421&lt;'PlayerGrades+'!$AI$7,"B+",IF(T421&lt;'PlayerGrades+'!$AI$6,"A-",IF(T421&lt;'PlayerGrades+'!$AI$5,"A",IF(T421&lt;'PlayerGrades+'!$AI$4,"A+",IF(T421&lt;'PlayerGrades+'!$AI$3,"S-",IF(T421&lt;'PlayerGrades+'!$AI$2,"S","S+"))))))))))))))))))))</f>
        <v>F-</v>
      </c>
      <c r="V421" s="941">
        <v>1.0</v>
      </c>
      <c r="W421" s="941">
        <v>1.0</v>
      </c>
      <c r="X421" s="941">
        <v>0.0</v>
      </c>
      <c r="Y421" s="941">
        <v>0.0</v>
      </c>
      <c r="Z421" s="941">
        <v>0.0</v>
      </c>
      <c r="AA421" s="941">
        <v>93.0</v>
      </c>
      <c r="AB421" s="941">
        <v>121.0</v>
      </c>
      <c r="AC421" s="941">
        <v>-28.0</v>
      </c>
      <c r="AD421" s="941">
        <v>6.0</v>
      </c>
      <c r="AE421" s="941">
        <v>5.0</v>
      </c>
      <c r="AF421" s="941">
        <v>4.0</v>
      </c>
      <c r="AG421" s="941">
        <v>1356.0</v>
      </c>
      <c r="AH421" s="941">
        <v>1800.0</v>
      </c>
      <c r="AI421" s="941">
        <v>11.0</v>
      </c>
      <c r="AJ421" s="941">
        <v>0.0</v>
      </c>
      <c r="AK421" s="941">
        <v>0.0</v>
      </c>
      <c r="AL421" s="941">
        <v>1.0</v>
      </c>
      <c r="AM421" s="941">
        <v>0.0</v>
      </c>
      <c r="AN421" s="941">
        <v>0.0</v>
      </c>
      <c r="AO421" s="941">
        <v>0.0</v>
      </c>
      <c r="AP421" s="941">
        <v>1.0</v>
      </c>
      <c r="AQ421" s="941">
        <v>0.0</v>
      </c>
      <c r="AR421" s="941">
        <v>16.0</v>
      </c>
      <c r="AS421" s="941">
        <v>4.0</v>
      </c>
      <c r="AT421" s="941">
        <v>1.0</v>
      </c>
      <c r="AU421" s="941">
        <v>0.0</v>
      </c>
      <c r="AV421" s="941">
        <v>0.0</v>
      </c>
      <c r="AW421" s="941">
        <v>0.0</v>
      </c>
      <c r="AX421" s="941">
        <v>0.0</v>
      </c>
      <c r="AY421" s="941">
        <v>0.0</v>
      </c>
      <c r="AZ421" s="941">
        <v>0.0</v>
      </c>
      <c r="BA421" s="941">
        <v>0.0</v>
      </c>
      <c r="BB421" s="941">
        <v>0.0</v>
      </c>
      <c r="BC421" s="941">
        <v>0.0</v>
      </c>
      <c r="BD421" s="941">
        <v>7.0</v>
      </c>
      <c r="BE421" s="941">
        <v>18.0</v>
      </c>
      <c r="BF421" s="941">
        <v>0.0</v>
      </c>
      <c r="BG421" s="942">
        <v>0.0</v>
      </c>
    </row>
    <row r="422">
      <c r="A422" s="935" t="s">
        <v>420</v>
      </c>
      <c r="B422" s="16" t="str">
        <f>IF(C422&lt;'PlayerGrades+'!$Y$44,"F-",IF(C422&lt;'PlayerGrades+'!$Y$43,"F",IF(C422&lt;'PlayerGrades+'!$Y$42,"F+",IF(C422&lt;'PlayerGrades+'!$Y$41,"E-",IF(C422&lt;'PlayerGrades+'!$Y$40,"E",IF(C422&lt;'PlayerGrades+'!$Y$39,"E+",IF(C422&lt;'PlayerGrades+'!$Y$38,"D-",IF(C422&lt;'PlayerGrades+'!$Y$37,"D",IF(C422&lt;'PlayerGrades+'!$Y$36,"D+",IF(C422&lt;'PlayerGrades+'!$Y$35,"C-",IF(C422&lt;'PlayerGrades+'!$Y$34,"C",IF(C422&lt;'PlayerGrades+'!$Y$33,"C+",IF(C422&lt;'PlayerGrades+'!$Y$32,"B-",IF(C422&lt;'PlayerGrades+'!$Y$31,"B",IF(C422&lt;'PlayerGrades+'!$Y$30,"B+",IF(C422&lt;'PlayerGrades+'!$Y$29,"A-",IF(C422&lt;'PlayerGrades+'!$Y$28,"A",IF(C422&lt;'PlayerGrades+'!$Y$27,"A+",IF(C422&lt;'PlayerGrades+'!$Y$26,"S-",IF(C422&lt;'PlayerGrades+'!$Y$25,"S","S+"))))))))))))))))))))</f>
        <v>D</v>
      </c>
      <c r="C422" s="936">
        <f>('PlayerGrades+'!$Y$47*(VLOOKUP(E422, 'PlayerGrades+'!$X$3:$Y$23, 2, FALSE)))+('PlayerGrades+'!$Y$48*(VLOOKUP(G422, 'PlayerGrades+'!$X$3:$Y$23, 2, FALSE)))+('PlayerGrades+'!$Y$49*(VLOOKUP(I422, 'PlayerGrades+'!$X$3:$Y$23, 2, FALSE)))+('PlayerGrades+'!$Y$50*(VLOOKUP(K422, 'PlayerGrades+'!$X$3:$Y$23, 2, FALSE)))+('PlayerGrades+'!$Y$51*(VLOOKUP(M422, 'PlayerGrades+'!$X$3:$Y$23, 2, FALSE)))+('PlayerGrades+'!$Y$52*(VLOOKUP(O422, 'PlayerGrades+'!$X$3:$Y$23, 2, FALSE)))+('PlayerGrades+'!$Y$53*(VLOOKUP(Q422, 'PlayerGrades+'!$X$3:$Y$23, 2, FALSE)))+('PlayerGrades+'!$Y$54*(VLOOKUP(S422, 'PlayerGrades+'!$X$3:$Y$23, 2, FALSE)))+('PlayerGrades+'!$Y$55*(VLOOKUP(U422, 'PlayerGrades+'!$X$3:$Y$23, 2, FALSE)))</f>
        <v>16.4</v>
      </c>
      <c r="D422" s="937">
        <f t="shared" si="1"/>
        <v>0.8666666667</v>
      </c>
      <c r="E422" s="937" t="str">
        <f>IF(D422&lt;'PlayerGrades+'!$AA$21,"F-",IF(D422&lt;'PlayerGrades+'!$AA$20,"F",IF(D422&lt;'PlayerGrades+'!$AA$19,"F+",IF(D422&lt;'PlayerGrades+'!$AA$18,"E-",IF(D422&lt;'PlayerGrades+'!$AA$17,"E",IF(D422&lt;'PlayerGrades+'!$AA$16,"E+",IF(D422&lt;'PlayerGrades+'!$AA$15,"D-",IF(D422&lt;'PlayerGrades+'!$AA$14,"D",IF(D422&lt;'PlayerGrades+'!$AA$13,"D+",IF(D422&lt;'PlayerGrades+'!$AA$12,"C-",IF(D422&lt;'PlayerGrades+'!$AA$11,"C",IF(D422&lt;'PlayerGrades+'!$AA$10,"C+",IF(D422&lt;'PlayerGrades+'!$AA$9,"B-",IF(D422&lt;'PlayerGrades+'!$AA$8,"B",IF(D422&lt;'PlayerGrades+'!$AA$7,"B+",IF(D422&lt;'PlayerGrades+'!$AA$6,"A-",IF(D422&lt;'PlayerGrades+'!$AA$5,"A",IF(D422&lt;'PlayerGrades+'!$AA$4,"A+",IF(D422&lt;'PlayerGrades+'!$AA$3,"S-",IF(D422&lt;'PlayerGrades+'!$AA$2,"S","S+"))))))))))))))))))))</f>
        <v>S+</v>
      </c>
      <c r="F422" s="937">
        <f t="shared" si="2"/>
        <v>0.3666666667</v>
      </c>
      <c r="G422" s="937" t="str">
        <f>IF(F422&lt;'PlayerGrades+'!$AB$21,"F-",IF(F422&lt;'PlayerGrades+'!$AB$20,"F",IF(F422&lt;'PlayerGrades+'!$AB$19,"F+",IF(F422&lt;'PlayerGrades+'!$AB$18,"E-",IF(F422&lt;'PlayerGrades+'!$AB$17,"E",IF(F422&lt;'PlayerGrades+'!$AB$16,"E+",IF(F422&lt;'PlayerGrades+'!$AB$15,"D-",IF(F422&lt;'PlayerGrades+'!$AB$14,"D",IF(F422&lt;'PlayerGrades+'!$AB$13,"D+",IF(F422&lt;'PlayerGrades+'!$AB$12,"C-",IF(F422&lt;'PlayerGrades+'!$AB$11,"C",IF(F422&lt;'PlayerGrades+'!$AB$10,"C+",IF(F422&lt;'PlayerGrades+'!$AB$9,"B-",IF(F422&lt;'PlayerGrades+'!$AB$8,"B",IF(F422&lt;'PlayerGrades+'!$AB$7,"B+",IF(F422&lt;'PlayerGrades+'!$AB$6,"A-",IF(F422&lt;'PlayerGrades+'!$AB$5,"A",IF(F422&lt;'PlayerGrades+'!$AB$4,"A+",IF(F422&lt;'PlayerGrades+'!$AB$3,"S-",IF(F422&lt;'PlayerGrades+'!$AB$2,"S","S+"))))))))))))))))))))</f>
        <v>A-</v>
      </c>
      <c r="H422" s="937">
        <f t="shared" si="3"/>
        <v>0.06666666667</v>
      </c>
      <c r="I422" s="937" t="str">
        <f>IF(H422&lt;'PlayerGrades+'!$AC$21,"F-",IF(H422&lt;'PlayerGrades+'!$AC$20,"F",IF(H422&lt;'PlayerGrades+'!$AC$19,"F+",IF(H422&lt;'PlayerGrades+'!$AC$18,"E-",IF(H422&lt;'PlayerGrades+'!$AC$17,"E",IF(H422&lt;'PlayerGrades+'!$AC$16,"E+",IF(H422&lt;'PlayerGrades+'!$AC$15,"D-",IF(H422&lt;'PlayerGrades+'!$AC$14,"D",IF(H422&lt;'PlayerGrades+'!$AC$13,"D+",IF(H422&lt;'PlayerGrades+'!$AC$12,"C-",IF(H422&lt;'PlayerGrades+'!$AC$11,"C",IF(H422&lt;'PlayerGrades+'!$AC$10,"C+",IF(H422&lt;'PlayerGrades+'!$AC$9,"B-",IF(H422&lt;'PlayerGrades+'!$AC$8,"B",IF(H422&lt;'PlayerGrades+'!$AC$7,"B+",IF(H422&lt;'PlayerGrades+'!$AC$6,"A-",IF(H422&lt;'PlayerGrades+'!$AC$5,"A",IF(H422&lt;'PlayerGrades+'!$AC$4,"A+",IF(H422&lt;'PlayerGrades+'!$AC$3,"S-",IF(H422&lt;'PlayerGrades+'!$AC$2,"S","S+"))))))))))))))))))))</f>
        <v>E</v>
      </c>
      <c r="J422" s="937">
        <f t="shared" si="4"/>
        <v>0.1</v>
      </c>
      <c r="K422" s="937" t="str">
        <f>IF(J422&lt;'PlayerGrades+'!$AD$21,"F-",IF(J422&lt;'PlayerGrades+'!$AD$20,"F",IF(J422&lt;'PlayerGrades+'!$AD$19,"F+",IF(J422&lt;'PlayerGrades+'!$AD$18,"E-",IF(J422&lt;'PlayerGrades+'!$AD$17,"E",IF(J422&lt;'PlayerGrades+'!$AD$16,"E+",IF(J422&lt;'PlayerGrades+'!$AD$15,"D-",IF(J422&lt;'PlayerGrades+'!$AD$14,"D",IF(J422&lt;'PlayerGrades+'!$AD$13,"D+",IF(J422&lt;'PlayerGrades+'!$AD$12,"C-",IF(J422&lt;'PlayerGrades+'!$AD$11,"C",IF(J422&lt;'PlayerGrades+'!$AD$10,"C+",IF(J422&lt;'PlayerGrades+'!$AD$9,"B-",IF(J422&lt;'PlayerGrades+'!$AD$8,"B",IF(J422&lt;'PlayerGrades+'!$AD$7,"B+",IF(J422&lt;'PlayerGrades+'!$AD$6,"A-",IF(J422&lt;'PlayerGrades+'!$AD$5,"A",IF(J422&lt;'PlayerGrades+'!$AD$4,"A+",IF(J422&lt;'PlayerGrades+'!$AD$3,"S-",IF(J422&lt;'PlayerGrades+'!$AD$2,"S","S+"))))))))))))))))))))</f>
        <v>S</v>
      </c>
      <c r="L422" s="677">
        <f t="shared" si="5"/>
        <v>0.2</v>
      </c>
      <c r="M422" s="938" t="str">
        <f>IF(L422&lt;'PlayerGrades+'!$AE$21,"F-",IF(L422&lt;'PlayerGrades+'!$AE$20,"F",IF(L422&lt;'PlayerGrades+'!$AE$19,"F+",IF(L422&lt;'PlayerGrades+'!$AE$18,"E-",IF(L422&lt;'PlayerGrades+'!$AE$17,"E",IF(L422&lt;'PlayerGrades+'!$AE$16,"E+",IF(L422&lt;'PlayerGrades+'!$AE$15,"D-",IF(L422&lt;'PlayerGrades+'!$AE$14,"D",IF(L422&lt;'PlayerGrades+'!$AE$13,"D+",IF(L422&lt;'PlayerGrades+'!$AE$12,"C-",IF(L422&lt;'PlayerGrades+'!$AE$11,"C",IF(L422&lt;'PlayerGrades+'!$AE$10,"C+",IF(L422&lt;'PlayerGrades+'!$AE$9,"B-",IF(L422&lt;'PlayerGrades+'!$AE$8,"B",IF(L422&lt;'PlayerGrades+'!$AE$7,"B+",IF(L422&lt;'PlayerGrades+'!$AE$6,"A-",IF(L422&lt;'PlayerGrades+'!$AE$5,"A",IF(L422&lt;'PlayerGrades+'!$AE$4,"A+",IF(L422&lt;'PlayerGrades+'!$AE$3,"S-",IF(L422&lt;'PlayerGrades+'!$AE$2,"S","S+"))))))))))))))))))))</f>
        <v>F</v>
      </c>
      <c r="N422" s="937">
        <f t="shared" si="6"/>
        <v>0.03333333333</v>
      </c>
      <c r="O422" s="937" t="str">
        <f>IF(N422&lt;'PlayerGrades+'!$AF$21,"F-",IF(N422&lt;'PlayerGrades+'!$AF$20,"F",IF(N422&lt;'PlayerGrades+'!$AF$19,"F+",IF(N422&lt;'PlayerGrades+'!$AF$18,"E-",IF(N422&lt;'PlayerGrades+'!$AF$17,"E",IF(N422&lt;'PlayerGrades+'!$AF$16,"E+",IF(N422&lt;'PlayerGrades+'!$AF$15,"D-",IF(N422&lt;'PlayerGrades+'!$AF$14,"D",IF(N422&lt;'PlayerGrades+'!$AF$13,"D+",IF(N422&lt;'PlayerGrades+'!$AF$12,"C-",IF(N422&lt;'PlayerGrades+'!$AF$11,"C",IF(N422&lt;'PlayerGrades+'!$AF$10,"C+",IF(N422&lt;'PlayerGrades+'!$AF$9,"B-",IF(N422&lt;'PlayerGrades+'!$AF$8,"B",IF(N422&lt;'PlayerGrades+'!$AF$7,"B+",IF(N422&lt;'PlayerGrades+'!$AF$6,"A-",IF(N422&lt;'PlayerGrades+'!$AF$5,"A",IF(N422&lt;'PlayerGrades+'!$AF$4,"A+",IF(N422&lt;'PlayerGrades+'!$AF$3,"S-",IF(N422&lt;'PlayerGrades+'!$AF$2,"S","S+"))))))))))))))))))))</f>
        <v>F+</v>
      </c>
      <c r="P422" s="937">
        <f t="shared" si="7"/>
        <v>0</v>
      </c>
      <c r="Q422" s="937" t="str">
        <f>IF(P422&lt;'PlayerGrades+'!$AG$21,"F-",IF(P422&lt;'PlayerGrades+'!$AG$20,"F",IF(P422&lt;'PlayerGrades+'!$AG$19,"F+",IF(P422&lt;'PlayerGrades+'!$AG$18,"E-",IF(P422&lt;'PlayerGrades+'!$AG$17,"E",IF(P422&lt;'PlayerGrades+'!$AG$16,"E+",IF(P422&lt;'PlayerGrades+'!$AG$15,"D-",IF(P422&lt;'PlayerGrades+'!$AG$14,"D",IF(P422&lt;'PlayerGrades+'!$AG$13,"D+",IF(P422&lt;'PlayerGrades+'!$AG$12,"C-",IF(P422&lt;'PlayerGrades+'!$AG$11,"C",IF(P422&lt;'PlayerGrades+'!$AG$10,"C+",IF(P422&lt;'PlayerGrades+'!$AG$9,"B-",IF(P422&lt;'PlayerGrades+'!$AG$8,"B",IF(P422&lt;'PlayerGrades+'!$AG$7,"B+",IF(P422&lt;'PlayerGrades+'!$AG$6,"A-",IF(P422&lt;'PlayerGrades+'!$AG$5,"A",IF(P422&lt;'PlayerGrades+'!$AG$4,"A+",IF(P422&lt;'PlayerGrades+'!$AG$3,"S-",IF(P422&lt;'PlayerGrades+'!$AG$2,"S","S+"))))))))))))))))))))</f>
        <v>F</v>
      </c>
      <c r="R422" s="937">
        <f t="shared" si="8"/>
        <v>0.4333333333</v>
      </c>
      <c r="S422" s="937" t="str">
        <f>IF(R422&lt;'PlayerGrades+'!$AH$21,"F-",IF(R422&lt;'PlayerGrades+'!$AH$20,"F",IF(R422&lt;'PlayerGrades+'!$AH$19,"F+",IF(R422&lt;'PlayerGrades+'!$AH$18,"E-",IF(R422&lt;'PlayerGrades+'!$AH$17,"E",IF(R422&lt;'PlayerGrades+'!$AH$16,"E+",IF(R422&lt;'PlayerGrades+'!$AH$15,"D-",IF(R422&lt;'PlayerGrades+'!$AH$14,"D",IF(R422&lt;'PlayerGrades+'!$AH$13,"D+",IF(R422&lt;'PlayerGrades+'!$AH$12,"C-",IF(R422&lt;'PlayerGrades+'!$AH$11,"C",IF(R422&lt;'PlayerGrades+'!$AH$10,"C+",IF(R422&lt;'PlayerGrades+'!$AH$9,"B-",IF(R422&lt;'PlayerGrades+'!$AH$8,"B",IF(R422&lt;'PlayerGrades+'!$AH$7,"B+",IF(R422&lt;'PlayerGrades+'!$AH$6,"A-",IF(R422&lt;'PlayerGrades+'!$AH$5,"A",IF(R422&lt;'PlayerGrades+'!$AH$4,"A+",IF(R422&lt;'PlayerGrades+'!$AH$3,"S-",IF(R422&lt;'PlayerGrades+'!$AH$2,"S","S+"))))))))))))))))))))</f>
        <v>E-</v>
      </c>
      <c r="T422" s="937">
        <f t="shared" si="9"/>
        <v>1.2</v>
      </c>
      <c r="U422" s="937" t="str">
        <f>IF(T422&lt;'PlayerGrades+'!$AI$21,"F-",IF(T422&lt;'PlayerGrades+'!$AI$20,"F",IF(T422&lt;'PlayerGrades+'!$AI$19,"F+",IF(T422&lt;'PlayerGrades+'!$AI$18,"E-",IF(T422&lt;'PlayerGrades+'!$AI$17,"E",IF(T422&lt;'PlayerGrades+'!$AI$16,"E+",IF(T422&lt;'PlayerGrades+'!$AI$15,"D-",IF(T422&lt;'PlayerGrades+'!$AI$14,"D",IF(T422&lt;'PlayerGrades+'!$AI$13,"D+",IF(T422&lt;'PlayerGrades+'!$AI$12,"C-",IF(T422&lt;'PlayerGrades+'!$AI$11,"C",IF(T422&lt;'PlayerGrades+'!$AI$10,"C+",IF(T422&lt;'PlayerGrades+'!$AI$9,"B-",IF(T422&lt;'PlayerGrades+'!$AI$8,"B",IF(T422&lt;'PlayerGrades+'!$AI$7,"B+",IF(T422&lt;'PlayerGrades+'!$AI$6,"A-",IF(T422&lt;'PlayerGrades+'!$AI$5,"A",IF(T422&lt;'PlayerGrades+'!$AI$4,"A+",IF(T422&lt;'PlayerGrades+'!$AI$3,"S-",IF(T422&lt;'PlayerGrades+'!$AI$2,"S","S+"))))))))))))))))))))</f>
        <v>C-</v>
      </c>
      <c r="V422" s="941">
        <v>1.0</v>
      </c>
      <c r="W422" s="941">
        <v>0.0</v>
      </c>
      <c r="X422" s="941">
        <v>1.0</v>
      </c>
      <c r="Y422" s="941">
        <v>1.0</v>
      </c>
      <c r="Z422" s="941">
        <v>25.0</v>
      </c>
      <c r="AA422" s="941">
        <v>49.0</v>
      </c>
      <c r="AB422" s="941">
        <v>38.0</v>
      </c>
      <c r="AC422" s="941">
        <v>11.0</v>
      </c>
      <c r="AD422" s="941">
        <v>2.0</v>
      </c>
      <c r="AE422" s="941">
        <v>7.0</v>
      </c>
      <c r="AF422" s="941">
        <v>2.0</v>
      </c>
      <c r="AG422" s="941">
        <v>1607.0</v>
      </c>
      <c r="AH422" s="941">
        <v>1800.0</v>
      </c>
      <c r="AI422" s="941">
        <v>42.0</v>
      </c>
      <c r="AJ422" s="941">
        <v>1106.0</v>
      </c>
      <c r="AK422" s="941">
        <v>0.0</v>
      </c>
      <c r="AL422" s="941">
        <v>3.0</v>
      </c>
      <c r="AM422" s="941">
        <v>0.0</v>
      </c>
      <c r="AN422" s="941">
        <v>0.0</v>
      </c>
      <c r="AO422" s="941">
        <v>0.0</v>
      </c>
      <c r="AP422" s="941">
        <v>0.0</v>
      </c>
      <c r="AQ422" s="941">
        <v>0.0</v>
      </c>
      <c r="AR422" s="941">
        <v>6.0</v>
      </c>
      <c r="AS422" s="941">
        <v>1.0</v>
      </c>
      <c r="AT422" s="941">
        <v>0.0</v>
      </c>
      <c r="AU422" s="941">
        <v>0.0</v>
      </c>
      <c r="AV422" s="941">
        <v>0.0</v>
      </c>
      <c r="AW422" s="941">
        <v>0.0</v>
      </c>
      <c r="AX422" s="941">
        <v>0.0</v>
      </c>
      <c r="AY422" s="941">
        <v>0.0</v>
      </c>
      <c r="AZ422" s="941">
        <v>0.0</v>
      </c>
      <c r="BA422" s="941">
        <v>0.0</v>
      </c>
      <c r="BB422" s="941">
        <v>2.0</v>
      </c>
      <c r="BC422" s="941">
        <v>0.0</v>
      </c>
      <c r="BD422" s="941">
        <v>11.0</v>
      </c>
      <c r="BE422" s="941">
        <v>6.0</v>
      </c>
      <c r="BF422" s="941">
        <v>1.0</v>
      </c>
      <c r="BG422" s="942">
        <v>1.0</v>
      </c>
    </row>
    <row r="423">
      <c r="A423" s="935" t="s">
        <v>154</v>
      </c>
      <c r="B423" s="16" t="str">
        <f>IF(C423&lt;'PlayerGrades+'!$Y$44,"F-",IF(C423&lt;'PlayerGrades+'!$Y$43,"F",IF(C423&lt;'PlayerGrades+'!$Y$42,"F+",IF(C423&lt;'PlayerGrades+'!$Y$41,"E-",IF(C423&lt;'PlayerGrades+'!$Y$40,"E",IF(C423&lt;'PlayerGrades+'!$Y$39,"E+",IF(C423&lt;'PlayerGrades+'!$Y$38,"D-",IF(C423&lt;'PlayerGrades+'!$Y$37,"D",IF(C423&lt;'PlayerGrades+'!$Y$36,"D+",IF(C423&lt;'PlayerGrades+'!$Y$35,"C-",IF(C423&lt;'PlayerGrades+'!$Y$34,"C",IF(C423&lt;'PlayerGrades+'!$Y$33,"C+",IF(C423&lt;'PlayerGrades+'!$Y$32,"B-",IF(C423&lt;'PlayerGrades+'!$Y$31,"B",IF(C423&lt;'PlayerGrades+'!$Y$30,"B+",IF(C423&lt;'PlayerGrades+'!$Y$29,"A-",IF(C423&lt;'PlayerGrades+'!$Y$28,"A",IF(C423&lt;'PlayerGrades+'!$Y$27,"A+",IF(C423&lt;'PlayerGrades+'!$Y$26,"S-",IF(C423&lt;'PlayerGrades+'!$Y$25,"S","S+"))))))))))))))))))))</f>
        <v>F</v>
      </c>
      <c r="C423" s="936">
        <f>('PlayerGrades+'!$Y$47*(VLOOKUP(E423, 'PlayerGrades+'!$X$3:$Y$23, 2, FALSE)))+('PlayerGrades+'!$Y$48*(VLOOKUP(G423, 'PlayerGrades+'!$X$3:$Y$23, 2, FALSE)))+('PlayerGrades+'!$Y$49*(VLOOKUP(I423, 'PlayerGrades+'!$X$3:$Y$23, 2, FALSE)))+('PlayerGrades+'!$Y$50*(VLOOKUP(K423, 'PlayerGrades+'!$X$3:$Y$23, 2, FALSE)))+('PlayerGrades+'!$Y$51*(VLOOKUP(M423, 'PlayerGrades+'!$X$3:$Y$23, 2, FALSE)))+('PlayerGrades+'!$Y$52*(VLOOKUP(O423, 'PlayerGrades+'!$X$3:$Y$23, 2, FALSE)))+('PlayerGrades+'!$Y$53*(VLOOKUP(Q423, 'PlayerGrades+'!$X$3:$Y$23, 2, FALSE)))+('PlayerGrades+'!$Y$54*(VLOOKUP(S423, 'PlayerGrades+'!$X$3:$Y$23, 2, FALSE)))+('PlayerGrades+'!$Y$55*(VLOOKUP(U423, 'PlayerGrades+'!$X$3:$Y$23, 2, FALSE)))</f>
        <v>8.55</v>
      </c>
      <c r="D423" s="937">
        <f t="shared" si="1"/>
        <v>0.03333333333</v>
      </c>
      <c r="E423" s="937" t="str">
        <f>IF(D423&lt;'PlayerGrades+'!$AA$21,"F-",IF(D423&lt;'PlayerGrades+'!$AA$20,"F",IF(D423&lt;'PlayerGrades+'!$AA$19,"F+",IF(D423&lt;'PlayerGrades+'!$AA$18,"E-",IF(D423&lt;'PlayerGrades+'!$AA$17,"E",IF(D423&lt;'PlayerGrades+'!$AA$16,"E+",IF(D423&lt;'PlayerGrades+'!$AA$15,"D-",IF(D423&lt;'PlayerGrades+'!$AA$14,"D",IF(D423&lt;'PlayerGrades+'!$AA$13,"D+",IF(D423&lt;'PlayerGrades+'!$AA$12,"C-",IF(D423&lt;'PlayerGrades+'!$AA$11,"C",IF(D423&lt;'PlayerGrades+'!$AA$10,"C+",IF(D423&lt;'PlayerGrades+'!$AA$9,"B-",IF(D423&lt;'PlayerGrades+'!$AA$8,"B",IF(D423&lt;'PlayerGrades+'!$AA$7,"B+",IF(D423&lt;'PlayerGrades+'!$AA$6,"A-",IF(D423&lt;'PlayerGrades+'!$AA$5,"A",IF(D423&lt;'PlayerGrades+'!$AA$4,"A+",IF(D423&lt;'PlayerGrades+'!$AA$3,"S-",IF(D423&lt;'PlayerGrades+'!$AA$2,"S","S+"))))))))))))))))))))</f>
        <v>C-</v>
      </c>
      <c r="F423" s="937">
        <f t="shared" si="2"/>
        <v>-1.6</v>
      </c>
      <c r="G423" s="937" t="str">
        <f>IF(F423&lt;'PlayerGrades+'!$AB$21,"F-",IF(F423&lt;'PlayerGrades+'!$AB$20,"F",IF(F423&lt;'PlayerGrades+'!$AB$19,"F+",IF(F423&lt;'PlayerGrades+'!$AB$18,"E-",IF(F423&lt;'PlayerGrades+'!$AB$17,"E",IF(F423&lt;'PlayerGrades+'!$AB$16,"E+",IF(F423&lt;'PlayerGrades+'!$AB$15,"D-",IF(F423&lt;'PlayerGrades+'!$AB$14,"D",IF(F423&lt;'PlayerGrades+'!$AB$13,"D+",IF(F423&lt;'PlayerGrades+'!$AB$12,"C-",IF(F423&lt;'PlayerGrades+'!$AB$11,"C",IF(F423&lt;'PlayerGrades+'!$AB$10,"C+",IF(F423&lt;'PlayerGrades+'!$AB$9,"B-",IF(F423&lt;'PlayerGrades+'!$AB$8,"B",IF(F423&lt;'PlayerGrades+'!$AB$7,"B+",IF(F423&lt;'PlayerGrades+'!$AB$6,"A-",IF(F423&lt;'PlayerGrades+'!$AB$5,"A",IF(F423&lt;'PlayerGrades+'!$AB$4,"A+",IF(F423&lt;'PlayerGrades+'!$AB$3,"S-",IF(F423&lt;'PlayerGrades+'!$AB$2,"S","S+"))))))))))))))))))))</f>
        <v>F-</v>
      </c>
      <c r="H423" s="937">
        <f t="shared" si="3"/>
        <v>0.06666666667</v>
      </c>
      <c r="I423" s="937" t="str">
        <f>IF(H423&lt;'PlayerGrades+'!$AC$21,"F-",IF(H423&lt;'PlayerGrades+'!$AC$20,"F",IF(H423&lt;'PlayerGrades+'!$AC$19,"F+",IF(H423&lt;'PlayerGrades+'!$AC$18,"E-",IF(H423&lt;'PlayerGrades+'!$AC$17,"E",IF(H423&lt;'PlayerGrades+'!$AC$16,"E+",IF(H423&lt;'PlayerGrades+'!$AC$15,"D-",IF(H423&lt;'PlayerGrades+'!$AC$14,"D",IF(H423&lt;'PlayerGrades+'!$AC$13,"D+",IF(H423&lt;'PlayerGrades+'!$AC$12,"C-",IF(H423&lt;'PlayerGrades+'!$AC$11,"C",IF(H423&lt;'PlayerGrades+'!$AC$10,"C+",IF(H423&lt;'PlayerGrades+'!$AC$9,"B-",IF(H423&lt;'PlayerGrades+'!$AC$8,"B",IF(H423&lt;'PlayerGrades+'!$AC$7,"B+",IF(H423&lt;'PlayerGrades+'!$AC$6,"A-",IF(H423&lt;'PlayerGrades+'!$AC$5,"A",IF(H423&lt;'PlayerGrades+'!$AC$4,"A+",IF(H423&lt;'PlayerGrades+'!$AC$3,"S-",IF(H423&lt;'PlayerGrades+'!$AC$2,"S","S+"))))))))))))))))))))</f>
        <v>E</v>
      </c>
      <c r="J423" s="937">
        <f t="shared" si="4"/>
        <v>0</v>
      </c>
      <c r="K423" s="937" t="str">
        <f>IF(J423&lt;'PlayerGrades+'!$AD$21,"F-",IF(J423&lt;'PlayerGrades+'!$AD$20,"F",IF(J423&lt;'PlayerGrades+'!$AD$19,"F+",IF(J423&lt;'PlayerGrades+'!$AD$18,"E-",IF(J423&lt;'PlayerGrades+'!$AD$17,"E",IF(J423&lt;'PlayerGrades+'!$AD$16,"E+",IF(J423&lt;'PlayerGrades+'!$AD$15,"D-",IF(J423&lt;'PlayerGrades+'!$AD$14,"D",IF(J423&lt;'PlayerGrades+'!$AD$13,"D+",IF(J423&lt;'PlayerGrades+'!$AD$12,"C-",IF(J423&lt;'PlayerGrades+'!$AD$11,"C",IF(J423&lt;'PlayerGrades+'!$AD$10,"C+",IF(J423&lt;'PlayerGrades+'!$AD$9,"B-",IF(J423&lt;'PlayerGrades+'!$AD$8,"B",IF(J423&lt;'PlayerGrades+'!$AD$7,"B+",IF(J423&lt;'PlayerGrades+'!$AD$6,"A-",IF(J423&lt;'PlayerGrades+'!$AD$5,"A",IF(J423&lt;'PlayerGrades+'!$AD$4,"A+",IF(J423&lt;'PlayerGrades+'!$AD$3,"S-",IF(J423&lt;'PlayerGrades+'!$AD$2,"S","S+"))))))))))))))))))))</f>
        <v>F-</v>
      </c>
      <c r="L423" s="677">
        <f t="shared" si="5"/>
        <v>0.2</v>
      </c>
      <c r="M423" s="938" t="str">
        <f>IF(L423&lt;'PlayerGrades+'!$AE$21,"F-",IF(L423&lt;'PlayerGrades+'!$AE$20,"F",IF(L423&lt;'PlayerGrades+'!$AE$19,"F+",IF(L423&lt;'PlayerGrades+'!$AE$18,"E-",IF(L423&lt;'PlayerGrades+'!$AE$17,"E",IF(L423&lt;'PlayerGrades+'!$AE$16,"E+",IF(L423&lt;'PlayerGrades+'!$AE$15,"D-",IF(L423&lt;'PlayerGrades+'!$AE$14,"D",IF(L423&lt;'PlayerGrades+'!$AE$13,"D+",IF(L423&lt;'PlayerGrades+'!$AE$12,"C-",IF(L423&lt;'PlayerGrades+'!$AE$11,"C",IF(L423&lt;'PlayerGrades+'!$AE$10,"C+",IF(L423&lt;'PlayerGrades+'!$AE$9,"B-",IF(L423&lt;'PlayerGrades+'!$AE$8,"B",IF(L423&lt;'PlayerGrades+'!$AE$7,"B+",IF(L423&lt;'PlayerGrades+'!$AE$6,"A-",IF(L423&lt;'PlayerGrades+'!$AE$5,"A",IF(L423&lt;'PlayerGrades+'!$AE$4,"A+",IF(L423&lt;'PlayerGrades+'!$AE$3,"S-",IF(L423&lt;'PlayerGrades+'!$AE$2,"S","S+"))))))))))))))))))))</f>
        <v>F</v>
      </c>
      <c r="N423" s="937">
        <f t="shared" si="6"/>
        <v>0.03333333333</v>
      </c>
      <c r="O423" s="937" t="str">
        <f>IF(N423&lt;'PlayerGrades+'!$AF$21,"F-",IF(N423&lt;'PlayerGrades+'!$AF$20,"F",IF(N423&lt;'PlayerGrades+'!$AF$19,"F+",IF(N423&lt;'PlayerGrades+'!$AF$18,"E-",IF(N423&lt;'PlayerGrades+'!$AF$17,"E",IF(N423&lt;'PlayerGrades+'!$AF$16,"E+",IF(N423&lt;'PlayerGrades+'!$AF$15,"D-",IF(N423&lt;'PlayerGrades+'!$AF$14,"D",IF(N423&lt;'PlayerGrades+'!$AF$13,"D+",IF(N423&lt;'PlayerGrades+'!$AF$12,"C-",IF(N423&lt;'PlayerGrades+'!$AF$11,"C",IF(N423&lt;'PlayerGrades+'!$AF$10,"C+",IF(N423&lt;'PlayerGrades+'!$AF$9,"B-",IF(N423&lt;'PlayerGrades+'!$AF$8,"B",IF(N423&lt;'PlayerGrades+'!$AF$7,"B+",IF(N423&lt;'PlayerGrades+'!$AF$6,"A-",IF(N423&lt;'PlayerGrades+'!$AF$5,"A",IF(N423&lt;'PlayerGrades+'!$AF$4,"A+",IF(N423&lt;'PlayerGrades+'!$AF$3,"S-",IF(N423&lt;'PlayerGrades+'!$AF$2,"S","S+"))))))))))))))))))))</f>
        <v>F+</v>
      </c>
      <c r="P423" s="937">
        <f t="shared" si="7"/>
        <v>0</v>
      </c>
      <c r="Q423" s="937" t="str">
        <f>IF(P423&lt;'PlayerGrades+'!$AG$21,"F-",IF(P423&lt;'PlayerGrades+'!$AG$20,"F",IF(P423&lt;'PlayerGrades+'!$AG$19,"F+",IF(P423&lt;'PlayerGrades+'!$AG$18,"E-",IF(P423&lt;'PlayerGrades+'!$AG$17,"E",IF(P423&lt;'PlayerGrades+'!$AG$16,"E+",IF(P423&lt;'PlayerGrades+'!$AG$15,"D-",IF(P423&lt;'PlayerGrades+'!$AG$14,"D",IF(P423&lt;'PlayerGrades+'!$AG$13,"D+",IF(P423&lt;'PlayerGrades+'!$AG$12,"C-",IF(P423&lt;'PlayerGrades+'!$AG$11,"C",IF(P423&lt;'PlayerGrades+'!$AG$10,"C+",IF(P423&lt;'PlayerGrades+'!$AG$9,"B-",IF(P423&lt;'PlayerGrades+'!$AG$8,"B",IF(P423&lt;'PlayerGrades+'!$AG$7,"B+",IF(P423&lt;'PlayerGrades+'!$AG$6,"A-",IF(P423&lt;'PlayerGrades+'!$AG$5,"A",IF(P423&lt;'PlayerGrades+'!$AG$4,"A+",IF(P423&lt;'PlayerGrades+'!$AG$3,"S-",IF(P423&lt;'PlayerGrades+'!$AG$2,"S","S+"))))))))))))))))))))</f>
        <v>F</v>
      </c>
      <c r="R423" s="937">
        <f t="shared" si="8"/>
        <v>0.3333333333</v>
      </c>
      <c r="S423" s="937" t="str">
        <f>IF(R423&lt;'PlayerGrades+'!$AH$21,"F-",IF(R423&lt;'PlayerGrades+'!$AH$20,"F",IF(R423&lt;'PlayerGrades+'!$AH$19,"F+",IF(R423&lt;'PlayerGrades+'!$AH$18,"E-",IF(R423&lt;'PlayerGrades+'!$AH$17,"E",IF(R423&lt;'PlayerGrades+'!$AH$16,"E+",IF(R423&lt;'PlayerGrades+'!$AH$15,"D-",IF(R423&lt;'PlayerGrades+'!$AH$14,"D",IF(R423&lt;'PlayerGrades+'!$AH$13,"D+",IF(R423&lt;'PlayerGrades+'!$AH$12,"C-",IF(R423&lt;'PlayerGrades+'!$AH$11,"C",IF(R423&lt;'PlayerGrades+'!$AH$10,"C+",IF(R423&lt;'PlayerGrades+'!$AH$9,"B-",IF(R423&lt;'PlayerGrades+'!$AH$8,"B",IF(R423&lt;'PlayerGrades+'!$AH$7,"B+",IF(R423&lt;'PlayerGrades+'!$AH$6,"A-",IF(R423&lt;'PlayerGrades+'!$AH$5,"A",IF(R423&lt;'PlayerGrades+'!$AH$4,"A+",IF(R423&lt;'PlayerGrades+'!$AH$3,"S-",IF(R423&lt;'PlayerGrades+'!$AH$2,"S","S+"))))))))))))))))))))</f>
        <v>F</v>
      </c>
      <c r="T423" s="937">
        <f t="shared" si="9"/>
        <v>1.433333333</v>
      </c>
      <c r="U423" s="937" t="str">
        <f>IF(T423&lt;'PlayerGrades+'!$AI$21,"F-",IF(T423&lt;'PlayerGrades+'!$AI$20,"F",IF(T423&lt;'PlayerGrades+'!$AI$19,"F+",IF(T423&lt;'PlayerGrades+'!$AI$18,"E-",IF(T423&lt;'PlayerGrades+'!$AI$17,"E",IF(T423&lt;'PlayerGrades+'!$AI$16,"E+",IF(T423&lt;'PlayerGrades+'!$AI$15,"D-",IF(T423&lt;'PlayerGrades+'!$AI$14,"D",IF(T423&lt;'PlayerGrades+'!$AI$13,"D+",IF(T423&lt;'PlayerGrades+'!$AI$12,"C-",IF(T423&lt;'PlayerGrades+'!$AI$11,"C",IF(T423&lt;'PlayerGrades+'!$AI$10,"C+",IF(T423&lt;'PlayerGrades+'!$AI$9,"B-",IF(T423&lt;'PlayerGrades+'!$AI$8,"B",IF(T423&lt;'PlayerGrades+'!$AI$7,"B+",IF(T423&lt;'PlayerGrades+'!$AI$6,"A-",IF(T423&lt;'PlayerGrades+'!$AI$5,"A",IF(T423&lt;'PlayerGrades+'!$AI$4,"A+",IF(T423&lt;'PlayerGrades+'!$AI$3,"S-",IF(T423&lt;'PlayerGrades+'!$AI$2,"S","S+"))))))))))))))))))))</f>
        <v>B+</v>
      </c>
      <c r="V423" s="941">
        <v>1.0</v>
      </c>
      <c r="W423" s="941">
        <v>0.0</v>
      </c>
      <c r="X423" s="941">
        <v>1.0</v>
      </c>
      <c r="Y423" s="941">
        <v>0.0</v>
      </c>
      <c r="Z423" s="941">
        <v>1.0</v>
      </c>
      <c r="AA423" s="941">
        <v>84.0</v>
      </c>
      <c r="AB423" s="941">
        <v>132.0</v>
      </c>
      <c r="AC423" s="941">
        <v>-48.0</v>
      </c>
      <c r="AD423" s="941">
        <v>5.0</v>
      </c>
      <c r="AE423" s="941">
        <v>4.0</v>
      </c>
      <c r="AF423" s="941">
        <v>1.0</v>
      </c>
      <c r="AG423" s="941">
        <v>1329.0</v>
      </c>
      <c r="AH423" s="941">
        <v>1800.0</v>
      </c>
      <c r="AI423" s="941">
        <v>10.0</v>
      </c>
      <c r="AJ423" s="941">
        <v>3.0</v>
      </c>
      <c r="AK423" s="941">
        <v>0.0</v>
      </c>
      <c r="AL423" s="941">
        <v>0.0</v>
      </c>
      <c r="AM423" s="941">
        <v>0.0</v>
      </c>
      <c r="AN423" s="941">
        <v>0.0</v>
      </c>
      <c r="AO423" s="941">
        <v>0.0</v>
      </c>
      <c r="AP423" s="941">
        <v>0.0</v>
      </c>
      <c r="AQ423" s="941">
        <v>0.0</v>
      </c>
      <c r="AR423" s="941">
        <v>6.0</v>
      </c>
      <c r="AS423" s="941">
        <v>1.0</v>
      </c>
      <c r="AT423" s="941">
        <v>0.0</v>
      </c>
      <c r="AU423" s="941">
        <v>0.0</v>
      </c>
      <c r="AV423" s="941">
        <v>0.0</v>
      </c>
      <c r="AW423" s="941">
        <v>0.0</v>
      </c>
      <c r="AX423" s="941">
        <v>0.0</v>
      </c>
      <c r="AY423" s="941">
        <v>0.0</v>
      </c>
      <c r="AZ423" s="941">
        <v>0.0</v>
      </c>
      <c r="BA423" s="941">
        <v>0.0</v>
      </c>
      <c r="BB423" s="941">
        <v>2.0</v>
      </c>
      <c r="BC423" s="941">
        <v>0.0</v>
      </c>
      <c r="BD423" s="941">
        <v>5.0</v>
      </c>
      <c r="BE423" s="941">
        <v>13.0</v>
      </c>
      <c r="BF423" s="941">
        <v>1.0</v>
      </c>
      <c r="BG423" s="942">
        <v>1.0</v>
      </c>
    </row>
    <row r="424">
      <c r="A424" s="935" t="s">
        <v>132</v>
      </c>
      <c r="B424" s="16" t="str">
        <f>IF(C424&lt;'PlayerGrades+'!$Y$44,"F-",IF(C424&lt;'PlayerGrades+'!$Y$43,"F",IF(C424&lt;'PlayerGrades+'!$Y$42,"F+",IF(C424&lt;'PlayerGrades+'!$Y$41,"E-",IF(C424&lt;'PlayerGrades+'!$Y$40,"E",IF(C424&lt;'PlayerGrades+'!$Y$39,"E+",IF(C424&lt;'PlayerGrades+'!$Y$38,"D-",IF(C424&lt;'PlayerGrades+'!$Y$37,"D",IF(C424&lt;'PlayerGrades+'!$Y$36,"D+",IF(C424&lt;'PlayerGrades+'!$Y$35,"C-",IF(C424&lt;'PlayerGrades+'!$Y$34,"C",IF(C424&lt;'PlayerGrades+'!$Y$33,"C+",IF(C424&lt;'PlayerGrades+'!$Y$32,"B-",IF(C424&lt;'PlayerGrades+'!$Y$31,"B",IF(C424&lt;'PlayerGrades+'!$Y$30,"B+",IF(C424&lt;'PlayerGrades+'!$Y$29,"A-",IF(C424&lt;'PlayerGrades+'!$Y$28,"A",IF(C424&lt;'PlayerGrades+'!$Y$27,"A+",IF(C424&lt;'PlayerGrades+'!$Y$26,"S-",IF(C424&lt;'PlayerGrades+'!$Y$25,"S","S+"))))))))))))))))))))</f>
        <v>A</v>
      </c>
      <c r="C424" s="936">
        <f>('PlayerGrades+'!$Y$47*(VLOOKUP(E424, 'PlayerGrades+'!$X$3:$Y$23, 2, FALSE)))+('PlayerGrades+'!$Y$48*(VLOOKUP(G424, 'PlayerGrades+'!$X$3:$Y$23, 2, FALSE)))+('PlayerGrades+'!$Y$49*(VLOOKUP(I424, 'PlayerGrades+'!$X$3:$Y$23, 2, FALSE)))+('PlayerGrades+'!$Y$50*(VLOOKUP(K424, 'PlayerGrades+'!$X$3:$Y$23, 2, FALSE)))+('PlayerGrades+'!$Y$51*(VLOOKUP(M424, 'PlayerGrades+'!$X$3:$Y$23, 2, FALSE)))+('PlayerGrades+'!$Y$52*(VLOOKUP(O424, 'PlayerGrades+'!$X$3:$Y$23, 2, FALSE)))+('PlayerGrades+'!$Y$53*(VLOOKUP(Q424, 'PlayerGrades+'!$X$3:$Y$23, 2, FALSE)))+('PlayerGrades+'!$Y$54*(VLOOKUP(S424, 'PlayerGrades+'!$X$3:$Y$23, 2, FALSE)))+('PlayerGrades+'!$Y$55*(VLOOKUP(U424, 'PlayerGrades+'!$X$3:$Y$23, 2, FALSE)))</f>
        <v>26.75</v>
      </c>
      <c r="D424" s="937">
        <f t="shared" si="1"/>
        <v>0</v>
      </c>
      <c r="E424" s="937" t="str">
        <f>IF(D424&lt;'PlayerGrades+'!$AA$21,"F-",IF(D424&lt;'PlayerGrades+'!$AA$20,"F",IF(D424&lt;'PlayerGrades+'!$AA$19,"F+",IF(D424&lt;'PlayerGrades+'!$AA$18,"E-",IF(D424&lt;'PlayerGrades+'!$AA$17,"E",IF(D424&lt;'PlayerGrades+'!$AA$16,"E+",IF(D424&lt;'PlayerGrades+'!$AA$15,"D-",IF(D424&lt;'PlayerGrades+'!$AA$14,"D",IF(D424&lt;'PlayerGrades+'!$AA$13,"D+",IF(D424&lt;'PlayerGrades+'!$AA$12,"C-",IF(D424&lt;'PlayerGrades+'!$AA$11,"C",IF(D424&lt;'PlayerGrades+'!$AA$10,"C+",IF(D424&lt;'PlayerGrades+'!$AA$9,"B-",IF(D424&lt;'PlayerGrades+'!$AA$8,"B",IF(D424&lt;'PlayerGrades+'!$AA$7,"B+",IF(D424&lt;'PlayerGrades+'!$AA$6,"A-",IF(D424&lt;'PlayerGrades+'!$AA$5,"A",IF(D424&lt;'PlayerGrades+'!$AA$4,"A+",IF(D424&lt;'PlayerGrades+'!$AA$3,"S-",IF(D424&lt;'PlayerGrades+'!$AA$2,"S","S+"))))))))))))))))))))</f>
        <v>F-</v>
      </c>
      <c r="F424" s="937">
        <f t="shared" si="2"/>
        <v>0.1666666667</v>
      </c>
      <c r="G424" s="937" t="str">
        <f>IF(F424&lt;'PlayerGrades+'!$AB$21,"F-",IF(F424&lt;'PlayerGrades+'!$AB$20,"F",IF(F424&lt;'PlayerGrades+'!$AB$19,"F+",IF(F424&lt;'PlayerGrades+'!$AB$18,"E-",IF(F424&lt;'PlayerGrades+'!$AB$17,"E",IF(F424&lt;'PlayerGrades+'!$AB$16,"E+",IF(F424&lt;'PlayerGrades+'!$AB$15,"D-",IF(F424&lt;'PlayerGrades+'!$AB$14,"D",IF(F424&lt;'PlayerGrades+'!$AB$13,"D+",IF(F424&lt;'PlayerGrades+'!$AB$12,"C-",IF(F424&lt;'PlayerGrades+'!$AB$11,"C",IF(F424&lt;'PlayerGrades+'!$AB$10,"C+",IF(F424&lt;'PlayerGrades+'!$AB$9,"B-",IF(F424&lt;'PlayerGrades+'!$AB$8,"B",IF(F424&lt;'PlayerGrades+'!$AB$7,"B+",IF(F424&lt;'PlayerGrades+'!$AB$6,"A-",IF(F424&lt;'PlayerGrades+'!$AB$5,"A",IF(F424&lt;'PlayerGrades+'!$AB$4,"A+",IF(F424&lt;'PlayerGrades+'!$AB$3,"S-",IF(F424&lt;'PlayerGrades+'!$AB$2,"S","S+"))))))))))))))))))))</f>
        <v>B+</v>
      </c>
      <c r="H424" s="937">
        <f t="shared" si="3"/>
        <v>0.1333333333</v>
      </c>
      <c r="I424" s="937" t="str">
        <f>IF(H424&lt;'PlayerGrades+'!$AC$21,"F-",IF(H424&lt;'PlayerGrades+'!$AC$20,"F",IF(H424&lt;'PlayerGrades+'!$AC$19,"F+",IF(H424&lt;'PlayerGrades+'!$AC$18,"E-",IF(H424&lt;'PlayerGrades+'!$AC$17,"E",IF(H424&lt;'PlayerGrades+'!$AC$16,"E+",IF(H424&lt;'PlayerGrades+'!$AC$15,"D-",IF(H424&lt;'PlayerGrades+'!$AC$14,"D",IF(H424&lt;'PlayerGrades+'!$AC$13,"D+",IF(H424&lt;'PlayerGrades+'!$AC$12,"C-",IF(H424&lt;'PlayerGrades+'!$AC$11,"C",IF(H424&lt;'PlayerGrades+'!$AC$10,"C+",IF(H424&lt;'PlayerGrades+'!$AC$9,"B-",IF(H424&lt;'PlayerGrades+'!$AC$8,"B",IF(H424&lt;'PlayerGrades+'!$AC$7,"B+",IF(H424&lt;'PlayerGrades+'!$AC$6,"A-",IF(H424&lt;'PlayerGrades+'!$AC$5,"A",IF(H424&lt;'PlayerGrades+'!$AC$4,"A+",IF(H424&lt;'PlayerGrades+'!$AC$3,"S-",IF(H424&lt;'PlayerGrades+'!$AC$2,"S","S+"))))))))))))))))))))</f>
        <v>B</v>
      </c>
      <c r="J424" s="937">
        <f t="shared" si="4"/>
        <v>0.06666666667</v>
      </c>
      <c r="K424" s="937" t="str">
        <f>IF(J424&lt;'PlayerGrades+'!$AD$21,"F-",IF(J424&lt;'PlayerGrades+'!$AD$20,"F",IF(J424&lt;'PlayerGrades+'!$AD$19,"F+",IF(J424&lt;'PlayerGrades+'!$AD$18,"E-",IF(J424&lt;'PlayerGrades+'!$AD$17,"E",IF(J424&lt;'PlayerGrades+'!$AD$16,"E+",IF(J424&lt;'PlayerGrades+'!$AD$15,"D-",IF(J424&lt;'PlayerGrades+'!$AD$14,"D",IF(J424&lt;'PlayerGrades+'!$AD$13,"D+",IF(J424&lt;'PlayerGrades+'!$AD$12,"C-",IF(J424&lt;'PlayerGrades+'!$AD$11,"C",IF(J424&lt;'PlayerGrades+'!$AD$10,"C+",IF(J424&lt;'PlayerGrades+'!$AD$9,"B-",IF(J424&lt;'PlayerGrades+'!$AD$8,"B",IF(J424&lt;'PlayerGrades+'!$AD$7,"B+",IF(J424&lt;'PlayerGrades+'!$AD$6,"A-",IF(J424&lt;'PlayerGrades+'!$AD$5,"A",IF(J424&lt;'PlayerGrades+'!$AD$4,"A+",IF(J424&lt;'PlayerGrades+'!$AD$3,"S-",IF(J424&lt;'PlayerGrades+'!$AD$2,"S","S+"))))))))))))))))))))</f>
        <v>A-</v>
      </c>
      <c r="L424" s="677">
        <f t="shared" si="5"/>
        <v>0.7333333333</v>
      </c>
      <c r="M424" s="938" t="str">
        <f>IF(L424&lt;'PlayerGrades+'!$AE$21,"F-",IF(L424&lt;'PlayerGrades+'!$AE$20,"F",IF(L424&lt;'PlayerGrades+'!$AE$19,"F+",IF(L424&lt;'PlayerGrades+'!$AE$18,"E-",IF(L424&lt;'PlayerGrades+'!$AE$17,"E",IF(L424&lt;'PlayerGrades+'!$AE$16,"E+",IF(L424&lt;'PlayerGrades+'!$AE$15,"D-",IF(L424&lt;'PlayerGrades+'!$AE$14,"D",IF(L424&lt;'PlayerGrades+'!$AE$13,"D+",IF(L424&lt;'PlayerGrades+'!$AE$12,"C-",IF(L424&lt;'PlayerGrades+'!$AE$11,"C",IF(L424&lt;'PlayerGrades+'!$AE$10,"C+",IF(L424&lt;'PlayerGrades+'!$AE$9,"B-",IF(L424&lt;'PlayerGrades+'!$AE$8,"B",IF(L424&lt;'PlayerGrades+'!$AE$7,"B+",IF(L424&lt;'PlayerGrades+'!$AE$6,"A-",IF(L424&lt;'PlayerGrades+'!$AE$5,"A",IF(L424&lt;'PlayerGrades+'!$AE$4,"A+",IF(L424&lt;'PlayerGrades+'!$AE$3,"S-",IF(L424&lt;'PlayerGrades+'!$AE$2,"S","S+"))))))))))))))))))))</f>
        <v>S+</v>
      </c>
      <c r="N424" s="937">
        <f t="shared" si="6"/>
        <v>0.1333333333</v>
      </c>
      <c r="O424" s="937" t="str">
        <f>IF(N424&lt;'PlayerGrades+'!$AF$21,"F-",IF(N424&lt;'PlayerGrades+'!$AF$20,"F",IF(N424&lt;'PlayerGrades+'!$AF$19,"F+",IF(N424&lt;'PlayerGrades+'!$AF$18,"E-",IF(N424&lt;'PlayerGrades+'!$AF$17,"E",IF(N424&lt;'PlayerGrades+'!$AF$16,"E+",IF(N424&lt;'PlayerGrades+'!$AF$15,"D-",IF(N424&lt;'PlayerGrades+'!$AF$14,"D",IF(N424&lt;'PlayerGrades+'!$AF$13,"D+",IF(N424&lt;'PlayerGrades+'!$AF$12,"C-",IF(N424&lt;'PlayerGrades+'!$AF$11,"C",IF(N424&lt;'PlayerGrades+'!$AF$10,"C+",IF(N424&lt;'PlayerGrades+'!$AF$9,"B-",IF(N424&lt;'PlayerGrades+'!$AF$8,"B",IF(N424&lt;'PlayerGrades+'!$AF$7,"B+",IF(N424&lt;'PlayerGrades+'!$AF$6,"A-",IF(N424&lt;'PlayerGrades+'!$AF$5,"A",IF(N424&lt;'PlayerGrades+'!$AF$4,"A+",IF(N424&lt;'PlayerGrades+'!$AF$3,"S-",IF(N424&lt;'PlayerGrades+'!$AF$2,"S","S+"))))))))))))))))))))</f>
        <v>S</v>
      </c>
      <c r="P424" s="937">
        <f t="shared" si="7"/>
        <v>0.06666666667</v>
      </c>
      <c r="Q424" s="937" t="str">
        <f>IF(P424&lt;'PlayerGrades+'!$AG$21,"F-",IF(P424&lt;'PlayerGrades+'!$AG$20,"F",IF(P424&lt;'PlayerGrades+'!$AG$19,"F+",IF(P424&lt;'PlayerGrades+'!$AG$18,"E-",IF(P424&lt;'PlayerGrades+'!$AG$17,"E",IF(P424&lt;'PlayerGrades+'!$AG$16,"E+",IF(P424&lt;'PlayerGrades+'!$AG$15,"D-",IF(P424&lt;'PlayerGrades+'!$AG$14,"D",IF(P424&lt;'PlayerGrades+'!$AG$13,"D+",IF(P424&lt;'PlayerGrades+'!$AG$12,"C-",IF(P424&lt;'PlayerGrades+'!$AG$11,"C",IF(P424&lt;'PlayerGrades+'!$AG$10,"C+",IF(P424&lt;'PlayerGrades+'!$AG$9,"B-",IF(P424&lt;'PlayerGrades+'!$AG$8,"B",IF(P424&lt;'PlayerGrades+'!$AG$7,"B+",IF(P424&lt;'PlayerGrades+'!$AG$6,"A-",IF(P424&lt;'PlayerGrades+'!$AG$5,"A",IF(P424&lt;'PlayerGrades+'!$AG$4,"A+",IF(P424&lt;'PlayerGrades+'!$AG$3,"S-",IF(P424&lt;'PlayerGrades+'!$AG$2,"S","S+"))))))))))))))))))))</f>
        <v>S-</v>
      </c>
      <c r="R424" s="937">
        <f t="shared" si="8"/>
        <v>0.6666666667</v>
      </c>
      <c r="S424" s="937" t="str">
        <f>IF(R424&lt;'PlayerGrades+'!$AH$21,"F-",IF(R424&lt;'PlayerGrades+'!$AH$20,"F",IF(R424&lt;'PlayerGrades+'!$AH$19,"F+",IF(R424&lt;'PlayerGrades+'!$AH$18,"E-",IF(R424&lt;'PlayerGrades+'!$AH$17,"E",IF(R424&lt;'PlayerGrades+'!$AH$16,"E+",IF(R424&lt;'PlayerGrades+'!$AH$15,"D-",IF(R424&lt;'PlayerGrades+'!$AH$14,"D",IF(R424&lt;'PlayerGrades+'!$AH$13,"D+",IF(R424&lt;'PlayerGrades+'!$AH$12,"C-",IF(R424&lt;'PlayerGrades+'!$AH$11,"C",IF(R424&lt;'PlayerGrades+'!$AH$10,"C+",IF(R424&lt;'PlayerGrades+'!$AH$9,"B-",IF(R424&lt;'PlayerGrades+'!$AH$8,"B",IF(R424&lt;'PlayerGrades+'!$AH$7,"B+",IF(R424&lt;'PlayerGrades+'!$AH$6,"A-",IF(R424&lt;'PlayerGrades+'!$AH$5,"A",IF(R424&lt;'PlayerGrades+'!$AH$4,"A+",IF(R424&lt;'PlayerGrades+'!$AH$3,"S-",IF(R424&lt;'PlayerGrades+'!$AH$2,"S","S+"))))))))))))))))))))</f>
        <v>A+</v>
      </c>
      <c r="T424" s="937">
        <f t="shared" si="9"/>
        <v>0.4666666667</v>
      </c>
      <c r="U424" s="937" t="str">
        <f>IF(T424&lt;'PlayerGrades+'!$AI$21,"F-",IF(T424&lt;'PlayerGrades+'!$AI$20,"F",IF(T424&lt;'PlayerGrades+'!$AI$19,"F+",IF(T424&lt;'PlayerGrades+'!$AI$18,"E-",IF(T424&lt;'PlayerGrades+'!$AI$17,"E",IF(T424&lt;'PlayerGrades+'!$AI$16,"E+",IF(T424&lt;'PlayerGrades+'!$AI$15,"D-",IF(T424&lt;'PlayerGrades+'!$AI$14,"D",IF(T424&lt;'PlayerGrades+'!$AI$13,"D+",IF(T424&lt;'PlayerGrades+'!$AI$12,"C-",IF(T424&lt;'PlayerGrades+'!$AI$11,"C",IF(T424&lt;'PlayerGrades+'!$AI$10,"C+",IF(T424&lt;'PlayerGrades+'!$AI$9,"B-",IF(T424&lt;'PlayerGrades+'!$AI$8,"B",IF(T424&lt;'PlayerGrades+'!$AI$7,"B+",IF(T424&lt;'PlayerGrades+'!$AI$6,"A-",IF(T424&lt;'PlayerGrades+'!$AI$5,"A",IF(T424&lt;'PlayerGrades+'!$AI$4,"A+",IF(T424&lt;'PlayerGrades+'!$AI$3,"S-",IF(T424&lt;'PlayerGrades+'!$AI$2,"S","S+"))))))))))))))))))))</f>
        <v>F-</v>
      </c>
      <c r="V424" s="941">
        <v>1.0</v>
      </c>
      <c r="W424" s="941">
        <v>0.0</v>
      </c>
      <c r="X424" s="941">
        <v>1.0</v>
      </c>
      <c r="Y424" s="941">
        <v>0.0</v>
      </c>
      <c r="Z424" s="941">
        <v>0.0</v>
      </c>
      <c r="AA424" s="941">
        <v>125.0</v>
      </c>
      <c r="AB424" s="941">
        <v>120.0</v>
      </c>
      <c r="AC424" s="941">
        <v>5.0</v>
      </c>
      <c r="AD424" s="941">
        <v>8.0</v>
      </c>
      <c r="AE424" s="941">
        <v>5.0</v>
      </c>
      <c r="AF424" s="941">
        <v>0.0</v>
      </c>
      <c r="AG424" s="941">
        <v>1365.0</v>
      </c>
      <c r="AH424" s="941">
        <v>1800.0</v>
      </c>
      <c r="AI424" s="941">
        <v>11.0</v>
      </c>
      <c r="AJ424" s="941">
        <v>20.0</v>
      </c>
      <c r="AK424" s="941">
        <v>0.0</v>
      </c>
      <c r="AL424" s="941">
        <v>2.0</v>
      </c>
      <c r="AM424" s="941">
        <v>0.0</v>
      </c>
      <c r="AN424" s="941">
        <v>0.0</v>
      </c>
      <c r="AO424" s="941">
        <v>0.0</v>
      </c>
      <c r="AP424" s="941">
        <v>2.0</v>
      </c>
      <c r="AQ424" s="941">
        <v>0.0</v>
      </c>
      <c r="AR424" s="941">
        <v>22.0</v>
      </c>
      <c r="AS424" s="941">
        <v>4.0</v>
      </c>
      <c r="AT424" s="941">
        <v>0.0</v>
      </c>
      <c r="AU424" s="941">
        <v>0.0</v>
      </c>
      <c r="AV424" s="941">
        <v>0.0</v>
      </c>
      <c r="AW424" s="941">
        <v>0.0</v>
      </c>
      <c r="AX424" s="941">
        <v>0.0</v>
      </c>
      <c r="AY424" s="941">
        <v>0.0</v>
      </c>
      <c r="AZ424" s="941">
        <v>0.0</v>
      </c>
      <c r="BA424" s="941">
        <v>0.0</v>
      </c>
      <c r="BB424" s="941">
        <v>4.0</v>
      </c>
      <c r="BC424" s="941">
        <v>0.0</v>
      </c>
      <c r="BD424" s="941">
        <v>12.0</v>
      </c>
      <c r="BE424" s="941">
        <v>14.0</v>
      </c>
      <c r="BF424" s="941">
        <v>0.0</v>
      </c>
      <c r="BG424" s="942">
        <v>1.0</v>
      </c>
    </row>
    <row r="425">
      <c r="A425" s="943" t="s">
        <v>121</v>
      </c>
      <c r="B425" s="16" t="str">
        <f>IF(C425&lt;'PlayerGrades+'!$Y$44,"F-",IF(C425&lt;'PlayerGrades+'!$Y$43,"F",IF(C425&lt;'PlayerGrades+'!$Y$42,"F+",IF(C425&lt;'PlayerGrades+'!$Y$41,"E-",IF(C425&lt;'PlayerGrades+'!$Y$40,"E",IF(C425&lt;'PlayerGrades+'!$Y$39,"E+",IF(C425&lt;'PlayerGrades+'!$Y$38,"D-",IF(C425&lt;'PlayerGrades+'!$Y$37,"D",IF(C425&lt;'PlayerGrades+'!$Y$36,"D+",IF(C425&lt;'PlayerGrades+'!$Y$35,"C-",IF(C425&lt;'PlayerGrades+'!$Y$34,"C",IF(C425&lt;'PlayerGrades+'!$Y$33,"C+",IF(C425&lt;'PlayerGrades+'!$Y$32,"B-",IF(C425&lt;'PlayerGrades+'!$Y$31,"B",IF(C425&lt;'PlayerGrades+'!$Y$30,"B+",IF(C425&lt;'PlayerGrades+'!$Y$29,"A-",IF(C425&lt;'PlayerGrades+'!$Y$28,"A",IF(C425&lt;'PlayerGrades+'!$Y$27,"A+",IF(C425&lt;'PlayerGrades+'!$Y$26,"S-",IF(C425&lt;'PlayerGrades+'!$Y$25,"S","S+"))))))))))))))))))))</f>
        <v>S</v>
      </c>
      <c r="C425" s="936">
        <f>('PlayerGrades+'!$Y$47*(VLOOKUP(E425, 'PlayerGrades+'!$X$3:$Y$23, 2, FALSE)))+('PlayerGrades+'!$Y$48*(VLOOKUP(G425, 'PlayerGrades+'!$X$3:$Y$23, 2, FALSE)))+('PlayerGrades+'!$Y$49*(VLOOKUP(I425, 'PlayerGrades+'!$X$3:$Y$23, 2, FALSE)))+('PlayerGrades+'!$Y$50*(VLOOKUP(K425, 'PlayerGrades+'!$X$3:$Y$23, 2, FALSE)))+('PlayerGrades+'!$Y$51*(VLOOKUP(M425, 'PlayerGrades+'!$X$3:$Y$23, 2, FALSE)))+('PlayerGrades+'!$Y$52*(VLOOKUP(O425, 'PlayerGrades+'!$X$3:$Y$23, 2, FALSE)))+('PlayerGrades+'!$Y$53*(VLOOKUP(Q425, 'PlayerGrades+'!$X$3:$Y$23, 2, FALSE)))+('PlayerGrades+'!$Y$54*(VLOOKUP(S425, 'PlayerGrades+'!$X$3:$Y$23, 2, FALSE)))+('PlayerGrades+'!$Y$55*(VLOOKUP(U425, 'PlayerGrades+'!$X$3:$Y$23, 2, FALSE)))</f>
        <v>32.6</v>
      </c>
      <c r="D425" s="937">
        <f t="shared" si="1"/>
        <v>0</v>
      </c>
      <c r="E425" s="937" t="str">
        <f>IF(D425&lt;'PlayerGrades+'!$AA$21,"F-",IF(D425&lt;'PlayerGrades+'!$AA$20,"F",IF(D425&lt;'PlayerGrades+'!$AA$19,"F+",IF(D425&lt;'PlayerGrades+'!$AA$18,"E-",IF(D425&lt;'PlayerGrades+'!$AA$17,"E",IF(D425&lt;'PlayerGrades+'!$AA$16,"E+",IF(D425&lt;'PlayerGrades+'!$AA$15,"D-",IF(D425&lt;'PlayerGrades+'!$AA$14,"D",IF(D425&lt;'PlayerGrades+'!$AA$13,"D+",IF(D425&lt;'PlayerGrades+'!$AA$12,"C-",IF(D425&lt;'PlayerGrades+'!$AA$11,"C",IF(D425&lt;'PlayerGrades+'!$AA$10,"C+",IF(D425&lt;'PlayerGrades+'!$AA$9,"B-",IF(D425&lt;'PlayerGrades+'!$AA$8,"B",IF(D425&lt;'PlayerGrades+'!$AA$7,"B+",IF(D425&lt;'PlayerGrades+'!$AA$6,"A-",IF(D425&lt;'PlayerGrades+'!$AA$5,"A",IF(D425&lt;'PlayerGrades+'!$AA$4,"A+",IF(D425&lt;'PlayerGrades+'!$AA$3,"S-",IF(D425&lt;'PlayerGrades+'!$AA$2,"S","S+"))))))))))))))))))))</f>
        <v>F-</v>
      </c>
      <c r="F425" s="937">
        <f t="shared" si="2"/>
        <v>1.9</v>
      </c>
      <c r="G425" s="937" t="str">
        <f>IF(F425&lt;'PlayerGrades+'!$AB$21,"F-",IF(F425&lt;'PlayerGrades+'!$AB$20,"F",IF(F425&lt;'PlayerGrades+'!$AB$19,"F+",IF(F425&lt;'PlayerGrades+'!$AB$18,"E-",IF(F425&lt;'PlayerGrades+'!$AB$17,"E",IF(F425&lt;'PlayerGrades+'!$AB$16,"E+",IF(F425&lt;'PlayerGrades+'!$AB$15,"D-",IF(F425&lt;'PlayerGrades+'!$AB$14,"D",IF(F425&lt;'PlayerGrades+'!$AB$13,"D+",IF(F425&lt;'PlayerGrades+'!$AB$12,"C-",IF(F425&lt;'PlayerGrades+'!$AB$11,"C",IF(F425&lt;'PlayerGrades+'!$AB$10,"C+",IF(F425&lt;'PlayerGrades+'!$AB$9,"B-",IF(F425&lt;'PlayerGrades+'!$AB$8,"B",IF(F425&lt;'PlayerGrades+'!$AB$7,"B+",IF(F425&lt;'PlayerGrades+'!$AB$6,"A-",IF(F425&lt;'PlayerGrades+'!$AB$5,"A",IF(F425&lt;'PlayerGrades+'!$AB$4,"A+",IF(F425&lt;'PlayerGrades+'!$AB$3,"S-",IF(F425&lt;'PlayerGrades+'!$AB$2,"S","S+"))))))))))))))))))))</f>
        <v>S+</v>
      </c>
      <c r="H425" s="937">
        <f t="shared" si="3"/>
        <v>0.5</v>
      </c>
      <c r="I425" s="937" t="str">
        <f>IF(H425&lt;'PlayerGrades+'!$AC$21,"F-",IF(H425&lt;'PlayerGrades+'!$AC$20,"F",IF(H425&lt;'PlayerGrades+'!$AC$19,"F+",IF(H425&lt;'PlayerGrades+'!$AC$18,"E-",IF(H425&lt;'PlayerGrades+'!$AC$17,"E",IF(H425&lt;'PlayerGrades+'!$AC$16,"E+",IF(H425&lt;'PlayerGrades+'!$AC$15,"D-",IF(H425&lt;'PlayerGrades+'!$AC$14,"D",IF(H425&lt;'PlayerGrades+'!$AC$13,"D+",IF(H425&lt;'PlayerGrades+'!$AC$12,"C-",IF(H425&lt;'PlayerGrades+'!$AC$11,"C",IF(H425&lt;'PlayerGrades+'!$AC$10,"C+",IF(H425&lt;'PlayerGrades+'!$AC$9,"B-",IF(H425&lt;'PlayerGrades+'!$AC$8,"B",IF(H425&lt;'PlayerGrades+'!$AC$7,"B+",IF(H425&lt;'PlayerGrades+'!$AC$6,"A-",IF(H425&lt;'PlayerGrades+'!$AC$5,"A",IF(H425&lt;'PlayerGrades+'!$AC$4,"A+",IF(H425&lt;'PlayerGrades+'!$AC$3,"S-",IF(H425&lt;'PlayerGrades+'!$AC$2,"S","S+"))))))))))))))))))))</f>
        <v>S+</v>
      </c>
      <c r="J425" s="937">
        <f t="shared" si="4"/>
        <v>0.2333333333</v>
      </c>
      <c r="K425" s="937" t="str">
        <f>IF(J425&lt;'PlayerGrades+'!$AD$21,"F-",IF(J425&lt;'PlayerGrades+'!$AD$20,"F",IF(J425&lt;'PlayerGrades+'!$AD$19,"F+",IF(J425&lt;'PlayerGrades+'!$AD$18,"E-",IF(J425&lt;'PlayerGrades+'!$AD$17,"E",IF(J425&lt;'PlayerGrades+'!$AD$16,"E+",IF(J425&lt;'PlayerGrades+'!$AD$15,"D-",IF(J425&lt;'PlayerGrades+'!$AD$14,"D",IF(J425&lt;'PlayerGrades+'!$AD$13,"D+",IF(J425&lt;'PlayerGrades+'!$AD$12,"C-",IF(J425&lt;'PlayerGrades+'!$AD$11,"C",IF(J425&lt;'PlayerGrades+'!$AD$10,"C+",IF(J425&lt;'PlayerGrades+'!$AD$9,"B-",IF(J425&lt;'PlayerGrades+'!$AD$8,"B",IF(J425&lt;'PlayerGrades+'!$AD$7,"B+",IF(J425&lt;'PlayerGrades+'!$AD$6,"A-",IF(J425&lt;'PlayerGrades+'!$AD$5,"A",IF(J425&lt;'PlayerGrades+'!$AD$4,"A+",IF(J425&lt;'PlayerGrades+'!$AD$3,"S-",IF(J425&lt;'PlayerGrades+'!$AD$2,"S","S+"))))))))))))))))))))</f>
        <v>S+</v>
      </c>
      <c r="L425" s="677">
        <f t="shared" si="5"/>
        <v>1</v>
      </c>
      <c r="M425" s="938" t="str">
        <f>IF(L425&lt;'PlayerGrades+'!$AE$21,"F-",IF(L425&lt;'PlayerGrades+'!$AE$20,"F",IF(L425&lt;'PlayerGrades+'!$AE$19,"F+",IF(L425&lt;'PlayerGrades+'!$AE$18,"E-",IF(L425&lt;'PlayerGrades+'!$AE$17,"E",IF(L425&lt;'PlayerGrades+'!$AE$16,"E+",IF(L425&lt;'PlayerGrades+'!$AE$15,"D-",IF(L425&lt;'PlayerGrades+'!$AE$14,"D",IF(L425&lt;'PlayerGrades+'!$AE$13,"D+",IF(L425&lt;'PlayerGrades+'!$AE$12,"C-",IF(L425&lt;'PlayerGrades+'!$AE$11,"C",IF(L425&lt;'PlayerGrades+'!$AE$10,"C+",IF(L425&lt;'PlayerGrades+'!$AE$9,"B-",IF(L425&lt;'PlayerGrades+'!$AE$8,"B",IF(L425&lt;'PlayerGrades+'!$AE$7,"B+",IF(L425&lt;'PlayerGrades+'!$AE$6,"A-",IF(L425&lt;'PlayerGrades+'!$AE$5,"A",IF(L425&lt;'PlayerGrades+'!$AE$4,"A+",IF(L425&lt;'PlayerGrades+'!$AE$3,"S-",IF(L425&lt;'PlayerGrades+'!$AE$2,"S","S+"))))))))))))))))))))</f>
        <v>S+</v>
      </c>
      <c r="N425" s="937">
        <f t="shared" si="6"/>
        <v>0.1333333333</v>
      </c>
      <c r="O425" s="937" t="str">
        <f>IF(N425&lt;'PlayerGrades+'!$AF$21,"F-",IF(N425&lt;'PlayerGrades+'!$AF$20,"F",IF(N425&lt;'PlayerGrades+'!$AF$19,"F+",IF(N425&lt;'PlayerGrades+'!$AF$18,"E-",IF(N425&lt;'PlayerGrades+'!$AF$17,"E",IF(N425&lt;'PlayerGrades+'!$AF$16,"E+",IF(N425&lt;'PlayerGrades+'!$AF$15,"D-",IF(N425&lt;'PlayerGrades+'!$AF$14,"D",IF(N425&lt;'PlayerGrades+'!$AF$13,"D+",IF(N425&lt;'PlayerGrades+'!$AF$12,"C-",IF(N425&lt;'PlayerGrades+'!$AF$11,"C",IF(N425&lt;'PlayerGrades+'!$AF$10,"C+",IF(N425&lt;'PlayerGrades+'!$AF$9,"B-",IF(N425&lt;'PlayerGrades+'!$AF$8,"B",IF(N425&lt;'PlayerGrades+'!$AF$7,"B+",IF(N425&lt;'PlayerGrades+'!$AF$6,"A-",IF(N425&lt;'PlayerGrades+'!$AF$5,"A",IF(N425&lt;'PlayerGrades+'!$AF$4,"A+",IF(N425&lt;'PlayerGrades+'!$AF$3,"S-",IF(N425&lt;'PlayerGrades+'!$AF$2,"S","S+"))))))))))))))))))))</f>
        <v>S</v>
      </c>
      <c r="P425" s="937">
        <f t="shared" si="7"/>
        <v>0.2</v>
      </c>
      <c r="Q425" s="937" t="str">
        <f>IF(P425&lt;'PlayerGrades+'!$AG$21,"F-",IF(P425&lt;'PlayerGrades+'!$AG$20,"F",IF(P425&lt;'PlayerGrades+'!$AG$19,"F+",IF(P425&lt;'PlayerGrades+'!$AG$18,"E-",IF(P425&lt;'PlayerGrades+'!$AG$17,"E",IF(P425&lt;'PlayerGrades+'!$AG$16,"E+",IF(P425&lt;'PlayerGrades+'!$AG$15,"D-",IF(P425&lt;'PlayerGrades+'!$AG$14,"D",IF(P425&lt;'PlayerGrades+'!$AG$13,"D+",IF(P425&lt;'PlayerGrades+'!$AG$12,"C-",IF(P425&lt;'PlayerGrades+'!$AG$11,"C",IF(P425&lt;'PlayerGrades+'!$AG$10,"C+",IF(P425&lt;'PlayerGrades+'!$AG$9,"B-",IF(P425&lt;'PlayerGrades+'!$AG$8,"B",IF(P425&lt;'PlayerGrades+'!$AG$7,"B+",IF(P425&lt;'PlayerGrades+'!$AG$6,"A-",IF(P425&lt;'PlayerGrades+'!$AG$5,"A",IF(P425&lt;'PlayerGrades+'!$AG$4,"A+",IF(P425&lt;'PlayerGrades+'!$AG$3,"S-",IF(P425&lt;'PlayerGrades+'!$AG$2,"S","S+"))))))))))))))))))))</f>
        <v>S+</v>
      </c>
      <c r="R425" s="937">
        <f t="shared" si="8"/>
        <v>0.8666666667</v>
      </c>
      <c r="S425" s="937" t="str">
        <f>IF(R425&lt;'PlayerGrades+'!$AH$21,"F-",IF(R425&lt;'PlayerGrades+'!$AH$20,"F",IF(R425&lt;'PlayerGrades+'!$AH$19,"F+",IF(R425&lt;'PlayerGrades+'!$AH$18,"E-",IF(R425&lt;'PlayerGrades+'!$AH$17,"E",IF(R425&lt;'PlayerGrades+'!$AH$16,"E+",IF(R425&lt;'PlayerGrades+'!$AH$15,"D-",IF(R425&lt;'PlayerGrades+'!$AH$14,"D",IF(R425&lt;'PlayerGrades+'!$AH$13,"D+",IF(R425&lt;'PlayerGrades+'!$AH$12,"C-",IF(R425&lt;'PlayerGrades+'!$AH$11,"C",IF(R425&lt;'PlayerGrades+'!$AH$10,"C+",IF(R425&lt;'PlayerGrades+'!$AH$9,"B-",IF(R425&lt;'PlayerGrades+'!$AH$8,"B",IF(R425&lt;'PlayerGrades+'!$AH$7,"B+",IF(R425&lt;'PlayerGrades+'!$AH$6,"A-",IF(R425&lt;'PlayerGrades+'!$AH$5,"A",IF(R425&lt;'PlayerGrades+'!$AH$4,"A+",IF(R425&lt;'PlayerGrades+'!$AH$3,"S-",IF(R425&lt;'PlayerGrades+'!$AH$2,"S","S+"))))))))))))))))))))</f>
        <v>S+</v>
      </c>
      <c r="T425" s="937">
        <f t="shared" si="9"/>
        <v>1.466666667</v>
      </c>
      <c r="U425" s="937" t="str">
        <f>IF(T425&lt;'PlayerGrades+'!$AI$21,"F-",IF(T425&lt;'PlayerGrades+'!$AI$20,"F",IF(T425&lt;'PlayerGrades+'!$AI$19,"F+",IF(T425&lt;'PlayerGrades+'!$AI$18,"E-",IF(T425&lt;'PlayerGrades+'!$AI$17,"E",IF(T425&lt;'PlayerGrades+'!$AI$16,"E+",IF(T425&lt;'PlayerGrades+'!$AI$15,"D-",IF(T425&lt;'PlayerGrades+'!$AI$14,"D",IF(T425&lt;'PlayerGrades+'!$AI$13,"D+",IF(T425&lt;'PlayerGrades+'!$AI$12,"C-",IF(T425&lt;'PlayerGrades+'!$AI$11,"C",IF(T425&lt;'PlayerGrades+'!$AI$10,"C+",IF(T425&lt;'PlayerGrades+'!$AI$9,"B-",IF(T425&lt;'PlayerGrades+'!$AI$8,"B",IF(T425&lt;'PlayerGrades+'!$AI$7,"B+",IF(T425&lt;'PlayerGrades+'!$AI$6,"A-",IF(T425&lt;'PlayerGrades+'!$AI$5,"A",IF(T425&lt;'PlayerGrades+'!$AI$4,"A+",IF(T425&lt;'PlayerGrades+'!$AI$3,"S-",IF(T425&lt;'PlayerGrades+'!$AI$2,"S","S+"))))))))))))))))))))</f>
        <v>A-</v>
      </c>
      <c r="V425" s="944">
        <v>1.0</v>
      </c>
      <c r="W425" s="944">
        <v>0.0</v>
      </c>
      <c r="X425" s="944">
        <v>1.0</v>
      </c>
      <c r="Y425" s="944">
        <v>0.0</v>
      </c>
      <c r="Z425" s="944">
        <v>0.0</v>
      </c>
      <c r="AA425" s="944">
        <v>147.0</v>
      </c>
      <c r="AB425" s="944">
        <v>90.0</v>
      </c>
      <c r="AC425" s="944">
        <v>57.0</v>
      </c>
      <c r="AD425" s="944">
        <v>4.0</v>
      </c>
      <c r="AE425" s="944">
        <v>6.0</v>
      </c>
      <c r="AF425" s="944">
        <v>1.0</v>
      </c>
      <c r="AG425" s="944">
        <v>1454.0</v>
      </c>
      <c r="AH425" s="944">
        <v>1800.0</v>
      </c>
      <c r="AI425" s="944">
        <v>16.0</v>
      </c>
      <c r="AJ425" s="944">
        <v>17.0</v>
      </c>
      <c r="AK425" s="944">
        <v>0.0</v>
      </c>
      <c r="AL425" s="944">
        <v>7.0</v>
      </c>
      <c r="AM425" s="944">
        <v>0.0</v>
      </c>
      <c r="AN425" s="944">
        <v>0.0</v>
      </c>
      <c r="AO425" s="944">
        <v>0.0</v>
      </c>
      <c r="AP425" s="944">
        <v>6.0</v>
      </c>
      <c r="AQ425" s="944">
        <v>0.0</v>
      </c>
      <c r="AR425" s="944">
        <v>30.0</v>
      </c>
      <c r="AS425" s="944">
        <v>4.0</v>
      </c>
      <c r="AT425" s="944">
        <v>0.0</v>
      </c>
      <c r="AU425" s="944">
        <v>0.0</v>
      </c>
      <c r="AV425" s="944">
        <v>0.0</v>
      </c>
      <c r="AW425" s="944">
        <v>0.0</v>
      </c>
      <c r="AX425" s="944">
        <v>0.0</v>
      </c>
      <c r="AY425" s="944">
        <v>0.0</v>
      </c>
      <c r="AZ425" s="944">
        <v>0.0</v>
      </c>
      <c r="BA425" s="944">
        <v>0.0</v>
      </c>
      <c r="BB425" s="944">
        <v>15.0</v>
      </c>
      <c r="BC425" s="944">
        <v>0.0</v>
      </c>
      <c r="BD425" s="944">
        <v>22.0</v>
      </c>
      <c r="BE425" s="944">
        <v>14.0</v>
      </c>
      <c r="BF425" s="944">
        <v>1.0</v>
      </c>
      <c r="BG425" s="945">
        <v>1.0</v>
      </c>
    </row>
    <row r="426">
      <c r="A426" s="946" t="s">
        <v>153</v>
      </c>
      <c r="B426" s="16" t="str">
        <f>IF(C426&lt;'PlayerGrades+'!$Y$44,"F-",IF(C426&lt;'PlayerGrades+'!$Y$43,"F",IF(C426&lt;'PlayerGrades+'!$Y$42,"F+",IF(C426&lt;'PlayerGrades+'!$Y$41,"E-",IF(C426&lt;'PlayerGrades+'!$Y$40,"E",IF(C426&lt;'PlayerGrades+'!$Y$39,"E+",IF(C426&lt;'PlayerGrades+'!$Y$38,"D-",IF(C426&lt;'PlayerGrades+'!$Y$37,"D",IF(C426&lt;'PlayerGrades+'!$Y$36,"D+",IF(C426&lt;'PlayerGrades+'!$Y$35,"C-",IF(C426&lt;'PlayerGrades+'!$Y$34,"C",IF(C426&lt;'PlayerGrades+'!$Y$33,"C+",IF(C426&lt;'PlayerGrades+'!$Y$32,"B-",IF(C426&lt;'PlayerGrades+'!$Y$31,"B",IF(C426&lt;'PlayerGrades+'!$Y$30,"B+",IF(C426&lt;'PlayerGrades+'!$Y$29,"A-",IF(C426&lt;'PlayerGrades+'!$Y$28,"A",IF(C426&lt;'PlayerGrades+'!$Y$27,"A+",IF(C426&lt;'PlayerGrades+'!$Y$26,"S-",IF(C426&lt;'PlayerGrades+'!$Y$25,"S","S+"))))))))))))))))))))</f>
        <v>F-</v>
      </c>
      <c r="C426" s="936">
        <f>('PlayerGrades+'!$Y$47*(VLOOKUP(E426, 'PlayerGrades+'!$X$3:$Y$23, 2, FALSE)))+('PlayerGrades+'!$Y$48*(VLOOKUP(G426, 'PlayerGrades+'!$X$3:$Y$23, 2, FALSE)))+('PlayerGrades+'!$Y$49*(VLOOKUP(I426, 'PlayerGrades+'!$X$3:$Y$23, 2, FALSE)))+('PlayerGrades+'!$Y$50*(VLOOKUP(K426, 'PlayerGrades+'!$X$3:$Y$23, 2, FALSE)))+('PlayerGrades+'!$Y$51*(VLOOKUP(M426, 'PlayerGrades+'!$X$3:$Y$23, 2, FALSE)))+('PlayerGrades+'!$Y$52*(VLOOKUP(O426, 'PlayerGrades+'!$X$3:$Y$23, 2, FALSE)))+('PlayerGrades+'!$Y$53*(VLOOKUP(Q426, 'PlayerGrades+'!$X$3:$Y$23, 2, FALSE)))+('PlayerGrades+'!$Y$54*(VLOOKUP(S426, 'PlayerGrades+'!$X$3:$Y$23, 2, FALSE)))+('PlayerGrades+'!$Y$55*(VLOOKUP(U426, 'PlayerGrades+'!$X$3:$Y$23, 2, FALSE)))</f>
        <v>7.25</v>
      </c>
      <c r="D426" s="937">
        <f t="shared" si="1"/>
        <v>0.2286902287</v>
      </c>
      <c r="E426" s="937" t="str">
        <f>IF(D426&lt;'PlayerGrades+'!$AA$21,"F-",IF(D426&lt;'PlayerGrades+'!$AA$20,"F",IF(D426&lt;'PlayerGrades+'!$AA$19,"F+",IF(D426&lt;'PlayerGrades+'!$AA$18,"E-",IF(D426&lt;'PlayerGrades+'!$AA$17,"E",IF(D426&lt;'PlayerGrades+'!$AA$16,"E+",IF(D426&lt;'PlayerGrades+'!$AA$15,"D-",IF(D426&lt;'PlayerGrades+'!$AA$14,"D",IF(D426&lt;'PlayerGrades+'!$AA$13,"D+",IF(D426&lt;'PlayerGrades+'!$AA$12,"C-",IF(D426&lt;'PlayerGrades+'!$AA$11,"C",IF(D426&lt;'PlayerGrades+'!$AA$10,"C+",IF(D426&lt;'PlayerGrades+'!$AA$9,"B-",IF(D426&lt;'PlayerGrades+'!$AA$8,"B",IF(D426&lt;'PlayerGrades+'!$AA$7,"B+",IF(D426&lt;'PlayerGrades+'!$AA$6,"A-",IF(D426&lt;'PlayerGrades+'!$AA$5,"A",IF(D426&lt;'PlayerGrades+'!$AA$4,"A+",IF(D426&lt;'PlayerGrades+'!$AA$3,"S-",IF(D426&lt;'PlayerGrades+'!$AA$2,"S","S+"))))))))))))))))))))</f>
        <v>A-</v>
      </c>
      <c r="F426" s="937">
        <f t="shared" si="2"/>
        <v>-1.392931393</v>
      </c>
      <c r="G426" s="937" t="str">
        <f>IF(F426&lt;'PlayerGrades+'!$AB$21,"F-",IF(F426&lt;'PlayerGrades+'!$AB$20,"F",IF(F426&lt;'PlayerGrades+'!$AB$19,"F+",IF(F426&lt;'PlayerGrades+'!$AB$18,"E-",IF(F426&lt;'PlayerGrades+'!$AB$17,"E",IF(F426&lt;'PlayerGrades+'!$AB$16,"E+",IF(F426&lt;'PlayerGrades+'!$AB$15,"D-",IF(F426&lt;'PlayerGrades+'!$AB$14,"D",IF(F426&lt;'PlayerGrades+'!$AB$13,"D+",IF(F426&lt;'PlayerGrades+'!$AB$12,"C-",IF(F426&lt;'PlayerGrades+'!$AB$11,"C",IF(F426&lt;'PlayerGrades+'!$AB$10,"C+",IF(F426&lt;'PlayerGrades+'!$AB$9,"B-",IF(F426&lt;'PlayerGrades+'!$AB$8,"B",IF(F426&lt;'PlayerGrades+'!$AB$7,"B+",IF(F426&lt;'PlayerGrades+'!$AB$6,"A-",IF(F426&lt;'PlayerGrades+'!$AB$5,"A",IF(F426&lt;'PlayerGrades+'!$AB$4,"A+",IF(F426&lt;'PlayerGrades+'!$AB$3,"S-",IF(F426&lt;'PlayerGrades+'!$AB$2,"S","S+"))))))))))))))))))))</f>
        <v>F-</v>
      </c>
      <c r="H426" s="937">
        <f t="shared" si="3"/>
        <v>0</v>
      </c>
      <c r="I426" s="937" t="str">
        <f>IF(H426&lt;'PlayerGrades+'!$AC$21,"F-",IF(H426&lt;'PlayerGrades+'!$AC$20,"F",IF(H426&lt;'PlayerGrades+'!$AC$19,"F+",IF(H426&lt;'PlayerGrades+'!$AC$18,"E-",IF(H426&lt;'PlayerGrades+'!$AC$17,"E",IF(H426&lt;'PlayerGrades+'!$AC$16,"E+",IF(H426&lt;'PlayerGrades+'!$AC$15,"D-",IF(H426&lt;'PlayerGrades+'!$AC$14,"D",IF(H426&lt;'PlayerGrades+'!$AC$13,"D+",IF(H426&lt;'PlayerGrades+'!$AC$12,"C-",IF(H426&lt;'PlayerGrades+'!$AC$11,"C",IF(H426&lt;'PlayerGrades+'!$AC$10,"C+",IF(H426&lt;'PlayerGrades+'!$AC$9,"B-",IF(H426&lt;'PlayerGrades+'!$AC$8,"B",IF(H426&lt;'PlayerGrades+'!$AC$7,"B+",IF(H426&lt;'PlayerGrades+'!$AC$6,"A-",IF(H426&lt;'PlayerGrades+'!$AC$5,"A",IF(H426&lt;'PlayerGrades+'!$AC$4,"A+",IF(H426&lt;'PlayerGrades+'!$AC$3,"S-",IF(H426&lt;'PlayerGrades+'!$AC$2,"S","S+"))))))))))))))))))))</f>
        <v>F-</v>
      </c>
      <c r="J426" s="937">
        <f t="shared" si="4"/>
        <v>0</v>
      </c>
      <c r="K426" s="937" t="str">
        <f>IF(J426&lt;'PlayerGrades+'!$AD$21,"F-",IF(J426&lt;'PlayerGrades+'!$AD$20,"F",IF(J426&lt;'PlayerGrades+'!$AD$19,"F+",IF(J426&lt;'PlayerGrades+'!$AD$18,"E-",IF(J426&lt;'PlayerGrades+'!$AD$17,"E",IF(J426&lt;'PlayerGrades+'!$AD$16,"E+",IF(J426&lt;'PlayerGrades+'!$AD$15,"D-",IF(J426&lt;'PlayerGrades+'!$AD$14,"D",IF(J426&lt;'PlayerGrades+'!$AD$13,"D+",IF(J426&lt;'PlayerGrades+'!$AD$12,"C-",IF(J426&lt;'PlayerGrades+'!$AD$11,"C",IF(J426&lt;'PlayerGrades+'!$AD$10,"C+",IF(J426&lt;'PlayerGrades+'!$AD$9,"B-",IF(J426&lt;'PlayerGrades+'!$AD$8,"B",IF(J426&lt;'PlayerGrades+'!$AD$7,"B+",IF(J426&lt;'PlayerGrades+'!$AD$6,"A-",IF(J426&lt;'PlayerGrades+'!$AD$5,"A",IF(J426&lt;'PlayerGrades+'!$AD$4,"A+",IF(J426&lt;'PlayerGrades+'!$AD$3,"S-",IF(J426&lt;'PlayerGrades+'!$AD$2,"S","S+"))))))))))))))))))))</f>
        <v>F-</v>
      </c>
      <c r="L426" s="677">
        <f t="shared" si="5"/>
        <v>0.1871101871</v>
      </c>
      <c r="M426" s="938" t="str">
        <f>IF(L426&lt;'PlayerGrades+'!$AE$21,"F-",IF(L426&lt;'PlayerGrades+'!$AE$20,"F",IF(L426&lt;'PlayerGrades+'!$AE$19,"F+",IF(L426&lt;'PlayerGrades+'!$AE$18,"E-",IF(L426&lt;'PlayerGrades+'!$AE$17,"E",IF(L426&lt;'PlayerGrades+'!$AE$16,"E+",IF(L426&lt;'PlayerGrades+'!$AE$15,"D-",IF(L426&lt;'PlayerGrades+'!$AE$14,"D",IF(L426&lt;'PlayerGrades+'!$AE$13,"D+",IF(L426&lt;'PlayerGrades+'!$AE$12,"C-",IF(L426&lt;'PlayerGrades+'!$AE$11,"C",IF(L426&lt;'PlayerGrades+'!$AE$10,"C+",IF(L426&lt;'PlayerGrades+'!$AE$9,"B-",IF(L426&lt;'PlayerGrades+'!$AE$8,"B",IF(L426&lt;'PlayerGrades+'!$AE$7,"B+",IF(L426&lt;'PlayerGrades+'!$AE$6,"A-",IF(L426&lt;'PlayerGrades+'!$AE$5,"A",IF(L426&lt;'PlayerGrades+'!$AE$4,"A+",IF(L426&lt;'PlayerGrades+'!$AE$3,"S-",IF(L426&lt;'PlayerGrades+'!$AE$2,"S","S+"))))))))))))))))))))</f>
        <v>F-</v>
      </c>
      <c r="N426" s="937">
        <f t="shared" si="6"/>
        <v>0</v>
      </c>
      <c r="O426" s="937" t="str">
        <f>IF(N426&lt;'PlayerGrades+'!$AF$21,"F-",IF(N426&lt;'PlayerGrades+'!$AF$20,"F",IF(N426&lt;'PlayerGrades+'!$AF$19,"F+",IF(N426&lt;'PlayerGrades+'!$AF$18,"E-",IF(N426&lt;'PlayerGrades+'!$AF$17,"E",IF(N426&lt;'PlayerGrades+'!$AF$16,"E+",IF(N426&lt;'PlayerGrades+'!$AF$15,"D-",IF(N426&lt;'PlayerGrades+'!$AF$14,"D",IF(N426&lt;'PlayerGrades+'!$AF$13,"D+",IF(N426&lt;'PlayerGrades+'!$AF$12,"C-",IF(N426&lt;'PlayerGrades+'!$AF$11,"C",IF(N426&lt;'PlayerGrades+'!$AF$10,"C+",IF(N426&lt;'PlayerGrades+'!$AF$9,"B-",IF(N426&lt;'PlayerGrades+'!$AF$8,"B",IF(N426&lt;'PlayerGrades+'!$AF$7,"B+",IF(N426&lt;'PlayerGrades+'!$AF$6,"A-",IF(N426&lt;'PlayerGrades+'!$AF$5,"A",IF(N426&lt;'PlayerGrades+'!$AF$4,"A+",IF(N426&lt;'PlayerGrades+'!$AF$3,"S-",IF(N426&lt;'PlayerGrades+'!$AF$2,"S","S+"))))))))))))))))))))</f>
        <v>F-</v>
      </c>
      <c r="P426" s="937">
        <f t="shared" si="7"/>
        <v>0</v>
      </c>
      <c r="Q426" s="937" t="str">
        <f>IF(P426&lt;'PlayerGrades+'!$AG$21,"F-",IF(P426&lt;'PlayerGrades+'!$AG$20,"F",IF(P426&lt;'PlayerGrades+'!$AG$19,"F+",IF(P426&lt;'PlayerGrades+'!$AG$18,"E-",IF(P426&lt;'PlayerGrades+'!$AG$17,"E",IF(P426&lt;'PlayerGrades+'!$AG$16,"E+",IF(P426&lt;'PlayerGrades+'!$AG$15,"D-",IF(P426&lt;'PlayerGrades+'!$AG$14,"D",IF(P426&lt;'PlayerGrades+'!$AG$13,"D+",IF(P426&lt;'PlayerGrades+'!$AG$12,"C-",IF(P426&lt;'PlayerGrades+'!$AG$11,"C",IF(P426&lt;'PlayerGrades+'!$AG$10,"C+",IF(P426&lt;'PlayerGrades+'!$AG$9,"B-",IF(P426&lt;'PlayerGrades+'!$AG$8,"B",IF(P426&lt;'PlayerGrades+'!$AG$7,"B+",IF(P426&lt;'PlayerGrades+'!$AG$6,"A-",IF(P426&lt;'PlayerGrades+'!$AG$5,"A",IF(P426&lt;'PlayerGrades+'!$AG$4,"A+",IF(P426&lt;'PlayerGrades+'!$AG$3,"S-",IF(P426&lt;'PlayerGrades+'!$AG$2,"S","S+"))))))))))))))))))))</f>
        <v>F</v>
      </c>
      <c r="R426" s="937">
        <f t="shared" si="8"/>
        <v>0.4573804574</v>
      </c>
      <c r="S426" s="937" t="str">
        <f>IF(R426&lt;'PlayerGrades+'!$AH$21,"F-",IF(R426&lt;'PlayerGrades+'!$AH$20,"F",IF(R426&lt;'PlayerGrades+'!$AH$19,"F+",IF(R426&lt;'PlayerGrades+'!$AH$18,"E-",IF(R426&lt;'PlayerGrades+'!$AH$17,"E",IF(R426&lt;'PlayerGrades+'!$AH$16,"E+",IF(R426&lt;'PlayerGrades+'!$AH$15,"D-",IF(R426&lt;'PlayerGrades+'!$AH$14,"D",IF(R426&lt;'PlayerGrades+'!$AH$13,"D+",IF(R426&lt;'PlayerGrades+'!$AH$12,"C-",IF(R426&lt;'PlayerGrades+'!$AH$11,"C",IF(R426&lt;'PlayerGrades+'!$AH$10,"C+",IF(R426&lt;'PlayerGrades+'!$AH$9,"B-",IF(R426&lt;'PlayerGrades+'!$AH$8,"B",IF(R426&lt;'PlayerGrades+'!$AH$7,"B+",IF(R426&lt;'PlayerGrades+'!$AH$6,"A-",IF(R426&lt;'PlayerGrades+'!$AH$5,"A",IF(R426&lt;'PlayerGrades+'!$AH$4,"A+",IF(R426&lt;'PlayerGrades+'!$AH$3,"S-",IF(R426&lt;'PlayerGrades+'!$AH$2,"S","S+"))))))))))))))))))))</f>
        <v>E-</v>
      </c>
      <c r="T426" s="937">
        <f t="shared" si="9"/>
        <v>0.3742203742</v>
      </c>
      <c r="U426" s="937" t="str">
        <f>IF(T426&lt;'PlayerGrades+'!$AI$21,"F-",IF(T426&lt;'PlayerGrades+'!$AI$20,"F",IF(T426&lt;'PlayerGrades+'!$AI$19,"F+",IF(T426&lt;'PlayerGrades+'!$AI$18,"E-",IF(T426&lt;'PlayerGrades+'!$AI$17,"E",IF(T426&lt;'PlayerGrades+'!$AI$16,"E+",IF(T426&lt;'PlayerGrades+'!$AI$15,"D-",IF(T426&lt;'PlayerGrades+'!$AI$14,"D",IF(T426&lt;'PlayerGrades+'!$AI$13,"D+",IF(T426&lt;'PlayerGrades+'!$AI$12,"C-",IF(T426&lt;'PlayerGrades+'!$AI$11,"C",IF(T426&lt;'PlayerGrades+'!$AI$10,"C+",IF(T426&lt;'PlayerGrades+'!$AI$9,"B-",IF(T426&lt;'PlayerGrades+'!$AI$8,"B",IF(T426&lt;'PlayerGrades+'!$AI$7,"B+",IF(T426&lt;'PlayerGrades+'!$AI$6,"A-",IF(T426&lt;'PlayerGrades+'!$AI$5,"A",IF(T426&lt;'PlayerGrades+'!$AI$4,"A+",IF(T426&lt;'PlayerGrades+'!$AI$3,"S-",IF(T426&lt;'PlayerGrades+'!$AI$2,"S","S+"))))))))))))))))))))</f>
        <v>F-</v>
      </c>
      <c r="V426" s="939">
        <v>1.0</v>
      </c>
      <c r="W426" s="939">
        <v>1.0</v>
      </c>
      <c r="X426" s="939">
        <v>0.0</v>
      </c>
      <c r="Y426" s="939">
        <v>3.0</v>
      </c>
      <c r="Z426" s="939">
        <v>8.0</v>
      </c>
      <c r="AA426" s="939">
        <v>115.0</v>
      </c>
      <c r="AB426" s="939">
        <v>182.0</v>
      </c>
      <c r="AC426" s="939">
        <v>-67.0</v>
      </c>
      <c r="AD426" s="939">
        <v>3.0</v>
      </c>
      <c r="AE426" s="939">
        <v>3.0</v>
      </c>
      <c r="AF426" s="939">
        <v>1.0</v>
      </c>
      <c r="AG426" s="939">
        <v>2246.0</v>
      </c>
      <c r="AH426" s="939">
        <v>2886.0</v>
      </c>
      <c r="AI426" s="939">
        <v>12.0</v>
      </c>
      <c r="AJ426" s="939">
        <v>659.0</v>
      </c>
      <c r="AK426" s="939">
        <v>0.0</v>
      </c>
      <c r="AL426" s="939">
        <v>0.0</v>
      </c>
      <c r="AM426" s="939">
        <v>0.0</v>
      </c>
      <c r="AN426" s="939">
        <v>0.0</v>
      </c>
      <c r="AO426" s="939">
        <v>0.0</v>
      </c>
      <c r="AP426" s="939">
        <v>0.0</v>
      </c>
      <c r="AQ426" s="939">
        <v>0.0</v>
      </c>
      <c r="AR426" s="939">
        <v>9.0</v>
      </c>
      <c r="AS426" s="939">
        <v>0.0</v>
      </c>
      <c r="AT426" s="939">
        <v>0.0</v>
      </c>
      <c r="AU426" s="939">
        <v>0.0</v>
      </c>
      <c r="AV426" s="939">
        <v>0.0</v>
      </c>
      <c r="AW426" s="939">
        <v>0.0</v>
      </c>
      <c r="AX426" s="939">
        <v>0.0</v>
      </c>
      <c r="AY426" s="939">
        <v>0.0</v>
      </c>
      <c r="AZ426" s="939">
        <v>0.0</v>
      </c>
      <c r="BA426" s="939">
        <v>0.0</v>
      </c>
      <c r="BB426" s="939">
        <v>0.0</v>
      </c>
      <c r="BC426" s="939">
        <v>0.0</v>
      </c>
      <c r="BD426" s="939">
        <v>19.0</v>
      </c>
      <c r="BE426" s="939">
        <v>18.0</v>
      </c>
      <c r="BF426" s="939">
        <v>0.0</v>
      </c>
      <c r="BG426" s="940">
        <v>1.0</v>
      </c>
    </row>
    <row r="427">
      <c r="A427" s="935" t="s">
        <v>138</v>
      </c>
      <c r="B427" s="16" t="str">
        <f>IF(C427&lt;'PlayerGrades+'!$Y$44,"F-",IF(C427&lt;'PlayerGrades+'!$Y$43,"F",IF(C427&lt;'PlayerGrades+'!$Y$42,"F+",IF(C427&lt;'PlayerGrades+'!$Y$41,"E-",IF(C427&lt;'PlayerGrades+'!$Y$40,"E",IF(C427&lt;'PlayerGrades+'!$Y$39,"E+",IF(C427&lt;'PlayerGrades+'!$Y$38,"D-",IF(C427&lt;'PlayerGrades+'!$Y$37,"D",IF(C427&lt;'PlayerGrades+'!$Y$36,"D+",IF(C427&lt;'PlayerGrades+'!$Y$35,"C-",IF(C427&lt;'PlayerGrades+'!$Y$34,"C",IF(C427&lt;'PlayerGrades+'!$Y$33,"C+",IF(C427&lt;'PlayerGrades+'!$Y$32,"B-",IF(C427&lt;'PlayerGrades+'!$Y$31,"B",IF(C427&lt;'PlayerGrades+'!$Y$30,"B+",IF(C427&lt;'PlayerGrades+'!$Y$29,"A-",IF(C427&lt;'PlayerGrades+'!$Y$28,"A",IF(C427&lt;'PlayerGrades+'!$Y$27,"A+",IF(C427&lt;'PlayerGrades+'!$Y$26,"S-",IF(C427&lt;'PlayerGrades+'!$Y$25,"S","S+"))))))))))))))))))))</f>
        <v>C-</v>
      </c>
      <c r="C427" s="936">
        <f>('PlayerGrades+'!$Y$47*(VLOOKUP(E427, 'PlayerGrades+'!$X$3:$Y$23, 2, FALSE)))+('PlayerGrades+'!$Y$48*(VLOOKUP(G427, 'PlayerGrades+'!$X$3:$Y$23, 2, FALSE)))+('PlayerGrades+'!$Y$49*(VLOOKUP(I427, 'PlayerGrades+'!$X$3:$Y$23, 2, FALSE)))+('PlayerGrades+'!$Y$50*(VLOOKUP(K427, 'PlayerGrades+'!$X$3:$Y$23, 2, FALSE)))+('PlayerGrades+'!$Y$51*(VLOOKUP(M427, 'PlayerGrades+'!$X$3:$Y$23, 2, FALSE)))+('PlayerGrades+'!$Y$52*(VLOOKUP(O427, 'PlayerGrades+'!$X$3:$Y$23, 2, FALSE)))+('PlayerGrades+'!$Y$53*(VLOOKUP(Q427, 'PlayerGrades+'!$X$3:$Y$23, 2, FALSE)))+('PlayerGrades+'!$Y$54*(VLOOKUP(S427, 'PlayerGrades+'!$X$3:$Y$23, 2, FALSE)))+('PlayerGrades+'!$Y$55*(VLOOKUP(U427, 'PlayerGrades+'!$X$3:$Y$23, 2, FALSE)))</f>
        <v>19.2</v>
      </c>
      <c r="D427" s="937">
        <f t="shared" si="1"/>
        <v>0.08316008316</v>
      </c>
      <c r="E427" s="937" t="str">
        <f>IF(D427&lt;'PlayerGrades+'!$AA$21,"F-",IF(D427&lt;'PlayerGrades+'!$AA$20,"F",IF(D427&lt;'PlayerGrades+'!$AA$19,"F+",IF(D427&lt;'PlayerGrades+'!$AA$18,"E-",IF(D427&lt;'PlayerGrades+'!$AA$17,"E",IF(D427&lt;'PlayerGrades+'!$AA$16,"E+",IF(D427&lt;'PlayerGrades+'!$AA$15,"D-",IF(D427&lt;'PlayerGrades+'!$AA$14,"D",IF(D427&lt;'PlayerGrades+'!$AA$13,"D+",IF(D427&lt;'PlayerGrades+'!$AA$12,"C-",IF(D427&lt;'PlayerGrades+'!$AA$11,"C",IF(D427&lt;'PlayerGrades+'!$AA$10,"C+",IF(D427&lt;'PlayerGrades+'!$AA$9,"B-",IF(D427&lt;'PlayerGrades+'!$AA$8,"B",IF(D427&lt;'PlayerGrades+'!$AA$7,"B+",IF(D427&lt;'PlayerGrades+'!$AA$6,"A-",IF(D427&lt;'PlayerGrades+'!$AA$5,"A",IF(D427&lt;'PlayerGrades+'!$AA$4,"A+",IF(D427&lt;'PlayerGrades+'!$AA$3,"S-",IF(D427&lt;'PlayerGrades+'!$AA$2,"S","S+"))))))))))))))))))))</f>
        <v>B</v>
      </c>
      <c r="F427" s="937">
        <f t="shared" si="2"/>
        <v>-0.1455301455</v>
      </c>
      <c r="G427" s="937" t="str">
        <f>IF(F427&lt;'PlayerGrades+'!$AB$21,"F-",IF(F427&lt;'PlayerGrades+'!$AB$20,"F",IF(F427&lt;'PlayerGrades+'!$AB$19,"F+",IF(F427&lt;'PlayerGrades+'!$AB$18,"E-",IF(F427&lt;'PlayerGrades+'!$AB$17,"E",IF(F427&lt;'PlayerGrades+'!$AB$16,"E+",IF(F427&lt;'PlayerGrades+'!$AB$15,"D-",IF(F427&lt;'PlayerGrades+'!$AB$14,"D",IF(F427&lt;'PlayerGrades+'!$AB$13,"D+",IF(F427&lt;'PlayerGrades+'!$AB$12,"C-",IF(F427&lt;'PlayerGrades+'!$AB$11,"C",IF(F427&lt;'PlayerGrades+'!$AB$10,"C+",IF(F427&lt;'PlayerGrades+'!$AB$9,"B-",IF(F427&lt;'PlayerGrades+'!$AB$8,"B",IF(F427&lt;'PlayerGrades+'!$AB$7,"B+",IF(F427&lt;'PlayerGrades+'!$AB$6,"A-",IF(F427&lt;'PlayerGrades+'!$AB$5,"A",IF(F427&lt;'PlayerGrades+'!$AB$4,"A+",IF(F427&lt;'PlayerGrades+'!$AB$3,"S-",IF(F427&lt;'PlayerGrades+'!$AB$2,"S","S+"))))))))))))))))))))</f>
        <v>C+</v>
      </c>
      <c r="H427" s="937">
        <f t="shared" si="3"/>
        <v>0.06237006237</v>
      </c>
      <c r="I427" s="937" t="str">
        <f>IF(H427&lt;'PlayerGrades+'!$AC$21,"F-",IF(H427&lt;'PlayerGrades+'!$AC$20,"F",IF(H427&lt;'PlayerGrades+'!$AC$19,"F+",IF(H427&lt;'PlayerGrades+'!$AC$18,"E-",IF(H427&lt;'PlayerGrades+'!$AC$17,"E",IF(H427&lt;'PlayerGrades+'!$AC$16,"E+",IF(H427&lt;'PlayerGrades+'!$AC$15,"D-",IF(H427&lt;'PlayerGrades+'!$AC$14,"D",IF(H427&lt;'PlayerGrades+'!$AC$13,"D+",IF(H427&lt;'PlayerGrades+'!$AC$12,"C-",IF(H427&lt;'PlayerGrades+'!$AC$11,"C",IF(H427&lt;'PlayerGrades+'!$AC$10,"C+",IF(H427&lt;'PlayerGrades+'!$AC$9,"B-",IF(H427&lt;'PlayerGrades+'!$AC$8,"B",IF(H427&lt;'PlayerGrades+'!$AC$7,"B+",IF(H427&lt;'PlayerGrades+'!$AC$6,"A-",IF(H427&lt;'PlayerGrades+'!$AC$5,"A",IF(H427&lt;'PlayerGrades+'!$AC$4,"A+",IF(H427&lt;'PlayerGrades+'!$AC$3,"S-",IF(H427&lt;'PlayerGrades+'!$AC$2,"S","S+"))))))))))))))))))))</f>
        <v>E-</v>
      </c>
      <c r="J427" s="937">
        <f t="shared" si="4"/>
        <v>0.02079002079</v>
      </c>
      <c r="K427" s="937" t="str">
        <f>IF(J427&lt;'PlayerGrades+'!$AD$21,"F-",IF(J427&lt;'PlayerGrades+'!$AD$20,"F",IF(J427&lt;'PlayerGrades+'!$AD$19,"F+",IF(J427&lt;'PlayerGrades+'!$AD$18,"E-",IF(J427&lt;'PlayerGrades+'!$AD$17,"E",IF(J427&lt;'PlayerGrades+'!$AD$16,"E+",IF(J427&lt;'PlayerGrades+'!$AD$15,"D-",IF(J427&lt;'PlayerGrades+'!$AD$14,"D",IF(J427&lt;'PlayerGrades+'!$AD$13,"D+",IF(J427&lt;'PlayerGrades+'!$AD$12,"C-",IF(J427&lt;'PlayerGrades+'!$AD$11,"C",IF(J427&lt;'PlayerGrades+'!$AD$10,"C+",IF(J427&lt;'PlayerGrades+'!$AD$9,"B-",IF(J427&lt;'PlayerGrades+'!$AD$8,"B",IF(J427&lt;'PlayerGrades+'!$AD$7,"B+",IF(J427&lt;'PlayerGrades+'!$AD$6,"A-",IF(J427&lt;'PlayerGrades+'!$AD$5,"A",IF(J427&lt;'PlayerGrades+'!$AD$4,"A+",IF(J427&lt;'PlayerGrades+'!$AD$3,"S-",IF(J427&lt;'PlayerGrades+'!$AD$2,"S","S+"))))))))))))))))))))</f>
        <v>E+</v>
      </c>
      <c r="L427" s="677">
        <f t="shared" si="5"/>
        <v>0.4573804574</v>
      </c>
      <c r="M427" s="938" t="str">
        <f>IF(L427&lt;'PlayerGrades+'!$AE$21,"F-",IF(L427&lt;'PlayerGrades+'!$AE$20,"F",IF(L427&lt;'PlayerGrades+'!$AE$19,"F+",IF(L427&lt;'PlayerGrades+'!$AE$18,"E-",IF(L427&lt;'PlayerGrades+'!$AE$17,"E",IF(L427&lt;'PlayerGrades+'!$AE$16,"E+",IF(L427&lt;'PlayerGrades+'!$AE$15,"D-",IF(L427&lt;'PlayerGrades+'!$AE$14,"D",IF(L427&lt;'PlayerGrades+'!$AE$13,"D+",IF(L427&lt;'PlayerGrades+'!$AE$12,"C-",IF(L427&lt;'PlayerGrades+'!$AE$11,"C",IF(L427&lt;'PlayerGrades+'!$AE$10,"C+",IF(L427&lt;'PlayerGrades+'!$AE$9,"B-",IF(L427&lt;'PlayerGrades+'!$AE$8,"B",IF(L427&lt;'PlayerGrades+'!$AE$7,"B+",IF(L427&lt;'PlayerGrades+'!$AE$6,"A-",IF(L427&lt;'PlayerGrades+'!$AE$5,"A",IF(L427&lt;'PlayerGrades+'!$AE$4,"A+",IF(L427&lt;'PlayerGrades+'!$AE$3,"S-",IF(L427&lt;'PlayerGrades+'!$AE$2,"S","S+"))))))))))))))))))))</f>
        <v>B+</v>
      </c>
      <c r="N427" s="937">
        <f t="shared" si="6"/>
        <v>0.04158004158</v>
      </c>
      <c r="O427" s="937" t="str">
        <f>IF(N427&lt;'PlayerGrades+'!$AF$21,"F-",IF(N427&lt;'PlayerGrades+'!$AF$20,"F",IF(N427&lt;'PlayerGrades+'!$AF$19,"F+",IF(N427&lt;'PlayerGrades+'!$AF$18,"E-",IF(N427&lt;'PlayerGrades+'!$AF$17,"E",IF(N427&lt;'PlayerGrades+'!$AF$16,"E+",IF(N427&lt;'PlayerGrades+'!$AF$15,"D-",IF(N427&lt;'PlayerGrades+'!$AF$14,"D",IF(N427&lt;'PlayerGrades+'!$AF$13,"D+",IF(N427&lt;'PlayerGrades+'!$AF$12,"C-",IF(N427&lt;'PlayerGrades+'!$AF$11,"C",IF(N427&lt;'PlayerGrades+'!$AF$10,"C+",IF(N427&lt;'PlayerGrades+'!$AF$9,"B-",IF(N427&lt;'PlayerGrades+'!$AF$8,"B",IF(N427&lt;'PlayerGrades+'!$AF$7,"B+",IF(N427&lt;'PlayerGrades+'!$AF$6,"A-",IF(N427&lt;'PlayerGrades+'!$AF$5,"A",IF(N427&lt;'PlayerGrades+'!$AF$4,"A+",IF(N427&lt;'PlayerGrades+'!$AF$3,"S-",IF(N427&lt;'PlayerGrades+'!$AF$2,"S","S+"))))))))))))))))))))</f>
        <v>E</v>
      </c>
      <c r="P427" s="937">
        <f t="shared" si="7"/>
        <v>0.02079002079</v>
      </c>
      <c r="Q427" s="937" t="str">
        <f>IF(P427&lt;'PlayerGrades+'!$AG$21,"F-",IF(P427&lt;'PlayerGrades+'!$AG$20,"F",IF(P427&lt;'PlayerGrades+'!$AG$19,"F+",IF(P427&lt;'PlayerGrades+'!$AG$18,"E-",IF(P427&lt;'PlayerGrades+'!$AG$17,"E",IF(P427&lt;'PlayerGrades+'!$AG$16,"E+",IF(P427&lt;'PlayerGrades+'!$AG$15,"D-",IF(P427&lt;'PlayerGrades+'!$AG$14,"D",IF(P427&lt;'PlayerGrades+'!$AG$13,"D+",IF(P427&lt;'PlayerGrades+'!$AG$12,"C-",IF(P427&lt;'PlayerGrades+'!$AG$11,"C",IF(P427&lt;'PlayerGrades+'!$AG$10,"C+",IF(P427&lt;'PlayerGrades+'!$AG$9,"B-",IF(P427&lt;'PlayerGrades+'!$AG$8,"B",IF(P427&lt;'PlayerGrades+'!$AG$7,"B+",IF(P427&lt;'PlayerGrades+'!$AG$6,"A-",IF(P427&lt;'PlayerGrades+'!$AG$5,"A",IF(P427&lt;'PlayerGrades+'!$AG$4,"A+",IF(P427&lt;'PlayerGrades+'!$AG$3,"S-",IF(P427&lt;'PlayerGrades+'!$AG$2,"S","S+"))))))))))))))))))))</f>
        <v>C+</v>
      </c>
      <c r="R427" s="937">
        <f t="shared" si="8"/>
        <v>0.6652806653</v>
      </c>
      <c r="S427" s="937" t="str">
        <f>IF(R427&lt;'PlayerGrades+'!$AH$21,"F-",IF(R427&lt;'PlayerGrades+'!$AH$20,"F",IF(R427&lt;'PlayerGrades+'!$AH$19,"F+",IF(R427&lt;'PlayerGrades+'!$AH$18,"E-",IF(R427&lt;'PlayerGrades+'!$AH$17,"E",IF(R427&lt;'PlayerGrades+'!$AH$16,"E+",IF(R427&lt;'PlayerGrades+'!$AH$15,"D-",IF(R427&lt;'PlayerGrades+'!$AH$14,"D",IF(R427&lt;'PlayerGrades+'!$AH$13,"D+",IF(R427&lt;'PlayerGrades+'!$AH$12,"C-",IF(R427&lt;'PlayerGrades+'!$AH$11,"C",IF(R427&lt;'PlayerGrades+'!$AH$10,"C+",IF(R427&lt;'PlayerGrades+'!$AH$9,"B-",IF(R427&lt;'PlayerGrades+'!$AH$8,"B",IF(R427&lt;'PlayerGrades+'!$AH$7,"B+",IF(R427&lt;'PlayerGrades+'!$AH$6,"A-",IF(R427&lt;'PlayerGrades+'!$AH$5,"A",IF(R427&lt;'PlayerGrades+'!$AH$4,"A+",IF(R427&lt;'PlayerGrades+'!$AH$3,"S-",IF(R427&lt;'PlayerGrades+'!$AH$2,"S","S+"))))))))))))))))))))</f>
        <v>A+</v>
      </c>
      <c r="T427" s="937">
        <f t="shared" si="9"/>
        <v>0.2910602911</v>
      </c>
      <c r="U427" s="937" t="str">
        <f>IF(T427&lt;'PlayerGrades+'!$AI$21,"F-",IF(T427&lt;'PlayerGrades+'!$AI$20,"F",IF(T427&lt;'PlayerGrades+'!$AI$19,"F+",IF(T427&lt;'PlayerGrades+'!$AI$18,"E-",IF(T427&lt;'PlayerGrades+'!$AI$17,"E",IF(T427&lt;'PlayerGrades+'!$AI$16,"E+",IF(T427&lt;'PlayerGrades+'!$AI$15,"D-",IF(T427&lt;'PlayerGrades+'!$AI$14,"D",IF(T427&lt;'PlayerGrades+'!$AI$13,"D+",IF(T427&lt;'PlayerGrades+'!$AI$12,"C-",IF(T427&lt;'PlayerGrades+'!$AI$11,"C",IF(T427&lt;'PlayerGrades+'!$AI$10,"C+",IF(T427&lt;'PlayerGrades+'!$AI$9,"B-",IF(T427&lt;'PlayerGrades+'!$AI$8,"B",IF(T427&lt;'PlayerGrades+'!$AI$7,"B+",IF(T427&lt;'PlayerGrades+'!$AI$6,"A-",IF(T427&lt;'PlayerGrades+'!$AI$5,"A",IF(T427&lt;'PlayerGrades+'!$AI$4,"A+",IF(T427&lt;'PlayerGrades+'!$AI$3,"S-",IF(T427&lt;'PlayerGrades+'!$AI$2,"S","S+"))))))))))))))))))))</f>
        <v>F-</v>
      </c>
      <c r="V427" s="941">
        <v>1.0</v>
      </c>
      <c r="W427" s="941">
        <v>1.0</v>
      </c>
      <c r="X427" s="941">
        <v>0.0</v>
      </c>
      <c r="Y427" s="941">
        <v>2.0</v>
      </c>
      <c r="Z427" s="941">
        <v>2.0</v>
      </c>
      <c r="AA427" s="941">
        <v>156.0</v>
      </c>
      <c r="AB427" s="941">
        <v>163.0</v>
      </c>
      <c r="AC427" s="941">
        <v>-7.0</v>
      </c>
      <c r="AD427" s="941">
        <v>13.0</v>
      </c>
      <c r="AE427" s="941">
        <v>5.0</v>
      </c>
      <c r="AF427" s="941">
        <v>2.0</v>
      </c>
      <c r="AG427" s="941">
        <v>2314.0</v>
      </c>
      <c r="AH427" s="941">
        <v>2886.0</v>
      </c>
      <c r="AI427" s="941">
        <v>14.0</v>
      </c>
      <c r="AJ427" s="941">
        <v>14.0</v>
      </c>
      <c r="AK427" s="941">
        <v>0.0</v>
      </c>
      <c r="AL427" s="941">
        <v>1.0</v>
      </c>
      <c r="AM427" s="941">
        <v>0.0</v>
      </c>
      <c r="AN427" s="941">
        <v>0.0</v>
      </c>
      <c r="AO427" s="941">
        <v>0.0</v>
      </c>
      <c r="AP427" s="941">
        <v>1.0</v>
      </c>
      <c r="AQ427" s="941">
        <v>0.0</v>
      </c>
      <c r="AR427" s="941">
        <v>22.0</v>
      </c>
      <c r="AS427" s="941">
        <v>2.0</v>
      </c>
      <c r="AT427" s="941">
        <v>1.0</v>
      </c>
      <c r="AU427" s="941">
        <v>0.0</v>
      </c>
      <c r="AV427" s="941">
        <v>0.0</v>
      </c>
      <c r="AW427" s="941">
        <v>0.0</v>
      </c>
      <c r="AX427" s="941">
        <v>0.0</v>
      </c>
      <c r="AY427" s="941">
        <v>0.0</v>
      </c>
      <c r="AZ427" s="941">
        <v>0.0</v>
      </c>
      <c r="BA427" s="941">
        <v>0.0</v>
      </c>
      <c r="BB427" s="941">
        <v>3.0</v>
      </c>
      <c r="BC427" s="941">
        <v>0.0</v>
      </c>
      <c r="BD427" s="941">
        <v>19.0</v>
      </c>
      <c r="BE427" s="941">
        <v>14.0</v>
      </c>
      <c r="BF427" s="941">
        <v>0.0</v>
      </c>
      <c r="BG427" s="942">
        <v>1.0</v>
      </c>
    </row>
    <row r="428">
      <c r="A428" s="935" t="s">
        <v>392</v>
      </c>
      <c r="B428" s="16" t="str">
        <f>IF(C428&lt;'PlayerGrades+'!$Y$44,"F-",IF(C428&lt;'PlayerGrades+'!$Y$43,"F",IF(C428&lt;'PlayerGrades+'!$Y$42,"F+",IF(C428&lt;'PlayerGrades+'!$Y$41,"E-",IF(C428&lt;'PlayerGrades+'!$Y$40,"E",IF(C428&lt;'PlayerGrades+'!$Y$39,"E+",IF(C428&lt;'PlayerGrades+'!$Y$38,"D-",IF(C428&lt;'PlayerGrades+'!$Y$37,"D",IF(C428&lt;'PlayerGrades+'!$Y$36,"D+",IF(C428&lt;'PlayerGrades+'!$Y$35,"C-",IF(C428&lt;'PlayerGrades+'!$Y$34,"C",IF(C428&lt;'PlayerGrades+'!$Y$33,"C+",IF(C428&lt;'PlayerGrades+'!$Y$32,"B-",IF(C428&lt;'PlayerGrades+'!$Y$31,"B",IF(C428&lt;'PlayerGrades+'!$Y$30,"B+",IF(C428&lt;'PlayerGrades+'!$Y$29,"A-",IF(C428&lt;'PlayerGrades+'!$Y$28,"A",IF(C428&lt;'PlayerGrades+'!$Y$27,"A+",IF(C428&lt;'PlayerGrades+'!$Y$26,"S-",IF(C428&lt;'PlayerGrades+'!$Y$25,"S","S+"))))))))))))))))))))</f>
        <v>D</v>
      </c>
      <c r="C428" s="936">
        <f>('PlayerGrades+'!$Y$47*(VLOOKUP(E428, 'PlayerGrades+'!$X$3:$Y$23, 2, FALSE)))+('PlayerGrades+'!$Y$48*(VLOOKUP(G428, 'PlayerGrades+'!$X$3:$Y$23, 2, FALSE)))+('PlayerGrades+'!$Y$49*(VLOOKUP(I428, 'PlayerGrades+'!$X$3:$Y$23, 2, FALSE)))+('PlayerGrades+'!$Y$50*(VLOOKUP(K428, 'PlayerGrades+'!$X$3:$Y$23, 2, FALSE)))+('PlayerGrades+'!$Y$51*(VLOOKUP(M428, 'PlayerGrades+'!$X$3:$Y$23, 2, FALSE)))+('PlayerGrades+'!$Y$52*(VLOOKUP(O428, 'PlayerGrades+'!$X$3:$Y$23, 2, FALSE)))+('PlayerGrades+'!$Y$53*(VLOOKUP(Q428, 'PlayerGrades+'!$X$3:$Y$23, 2, FALSE)))+('PlayerGrades+'!$Y$54*(VLOOKUP(S428, 'PlayerGrades+'!$X$3:$Y$23, 2, FALSE)))+('PlayerGrades+'!$Y$55*(VLOOKUP(U428, 'PlayerGrades+'!$X$3:$Y$23, 2, FALSE)))</f>
        <v>16.8</v>
      </c>
      <c r="D428" s="937">
        <f t="shared" si="1"/>
        <v>0</v>
      </c>
      <c r="E428" s="937" t="str">
        <f>IF(D428&lt;'PlayerGrades+'!$AA$21,"F-",IF(D428&lt;'PlayerGrades+'!$AA$20,"F",IF(D428&lt;'PlayerGrades+'!$AA$19,"F+",IF(D428&lt;'PlayerGrades+'!$AA$18,"E-",IF(D428&lt;'PlayerGrades+'!$AA$17,"E",IF(D428&lt;'PlayerGrades+'!$AA$16,"E+",IF(D428&lt;'PlayerGrades+'!$AA$15,"D-",IF(D428&lt;'PlayerGrades+'!$AA$14,"D",IF(D428&lt;'PlayerGrades+'!$AA$13,"D+",IF(D428&lt;'PlayerGrades+'!$AA$12,"C-",IF(D428&lt;'PlayerGrades+'!$AA$11,"C",IF(D428&lt;'PlayerGrades+'!$AA$10,"C+",IF(D428&lt;'PlayerGrades+'!$AA$9,"B-",IF(D428&lt;'PlayerGrades+'!$AA$8,"B",IF(D428&lt;'PlayerGrades+'!$AA$7,"B+",IF(D428&lt;'PlayerGrades+'!$AA$6,"A-",IF(D428&lt;'PlayerGrades+'!$AA$5,"A",IF(D428&lt;'PlayerGrades+'!$AA$4,"A+",IF(D428&lt;'PlayerGrades+'!$AA$3,"S-",IF(D428&lt;'PlayerGrades+'!$AA$2,"S","S+"))))))))))))))))))))</f>
        <v>F-</v>
      </c>
      <c r="F428" s="937">
        <f t="shared" si="2"/>
        <v>-0.8316008316</v>
      </c>
      <c r="G428" s="937" t="str">
        <f>IF(F428&lt;'PlayerGrades+'!$AB$21,"F-",IF(F428&lt;'PlayerGrades+'!$AB$20,"F",IF(F428&lt;'PlayerGrades+'!$AB$19,"F+",IF(F428&lt;'PlayerGrades+'!$AB$18,"E-",IF(F428&lt;'PlayerGrades+'!$AB$17,"E",IF(F428&lt;'PlayerGrades+'!$AB$16,"E+",IF(F428&lt;'PlayerGrades+'!$AB$15,"D-",IF(F428&lt;'PlayerGrades+'!$AB$14,"D",IF(F428&lt;'PlayerGrades+'!$AB$13,"D+",IF(F428&lt;'PlayerGrades+'!$AB$12,"C-",IF(F428&lt;'PlayerGrades+'!$AB$11,"C",IF(F428&lt;'PlayerGrades+'!$AB$10,"C+",IF(F428&lt;'PlayerGrades+'!$AB$9,"B-",IF(F428&lt;'PlayerGrades+'!$AB$8,"B",IF(F428&lt;'PlayerGrades+'!$AB$7,"B+",IF(F428&lt;'PlayerGrades+'!$AB$6,"A-",IF(F428&lt;'PlayerGrades+'!$AB$5,"A",IF(F428&lt;'PlayerGrades+'!$AB$4,"A+",IF(F428&lt;'PlayerGrades+'!$AB$3,"S-",IF(F428&lt;'PlayerGrades+'!$AB$2,"S","S+"))))))))))))))))))))</f>
        <v>E</v>
      </c>
      <c r="H428" s="937">
        <f t="shared" si="3"/>
        <v>0.02079002079</v>
      </c>
      <c r="I428" s="937" t="str">
        <f>IF(H428&lt;'PlayerGrades+'!$AC$21,"F-",IF(H428&lt;'PlayerGrades+'!$AC$20,"F",IF(H428&lt;'PlayerGrades+'!$AC$19,"F+",IF(H428&lt;'PlayerGrades+'!$AC$18,"E-",IF(H428&lt;'PlayerGrades+'!$AC$17,"E",IF(H428&lt;'PlayerGrades+'!$AC$16,"E+",IF(H428&lt;'PlayerGrades+'!$AC$15,"D-",IF(H428&lt;'PlayerGrades+'!$AC$14,"D",IF(H428&lt;'PlayerGrades+'!$AC$13,"D+",IF(H428&lt;'PlayerGrades+'!$AC$12,"C-",IF(H428&lt;'PlayerGrades+'!$AC$11,"C",IF(H428&lt;'PlayerGrades+'!$AC$10,"C+",IF(H428&lt;'PlayerGrades+'!$AC$9,"B-",IF(H428&lt;'PlayerGrades+'!$AC$8,"B",IF(H428&lt;'PlayerGrades+'!$AC$7,"B+",IF(H428&lt;'PlayerGrades+'!$AC$6,"A-",IF(H428&lt;'PlayerGrades+'!$AC$5,"A",IF(H428&lt;'PlayerGrades+'!$AC$4,"A+",IF(H428&lt;'PlayerGrades+'!$AC$3,"S-",IF(H428&lt;'PlayerGrades+'!$AC$2,"S","S+"))))))))))))))))))))</f>
        <v>F-</v>
      </c>
      <c r="J428" s="937">
        <f t="shared" si="4"/>
        <v>0.02079002079</v>
      </c>
      <c r="K428" s="937" t="str">
        <f>IF(J428&lt;'PlayerGrades+'!$AD$21,"F-",IF(J428&lt;'PlayerGrades+'!$AD$20,"F",IF(J428&lt;'PlayerGrades+'!$AD$19,"F+",IF(J428&lt;'PlayerGrades+'!$AD$18,"E-",IF(J428&lt;'PlayerGrades+'!$AD$17,"E",IF(J428&lt;'PlayerGrades+'!$AD$16,"E+",IF(J428&lt;'PlayerGrades+'!$AD$15,"D-",IF(J428&lt;'PlayerGrades+'!$AD$14,"D",IF(J428&lt;'PlayerGrades+'!$AD$13,"D+",IF(J428&lt;'PlayerGrades+'!$AD$12,"C-",IF(J428&lt;'PlayerGrades+'!$AD$11,"C",IF(J428&lt;'PlayerGrades+'!$AD$10,"C+",IF(J428&lt;'PlayerGrades+'!$AD$9,"B-",IF(J428&lt;'PlayerGrades+'!$AD$8,"B",IF(J428&lt;'PlayerGrades+'!$AD$7,"B+",IF(J428&lt;'PlayerGrades+'!$AD$6,"A-",IF(J428&lt;'PlayerGrades+'!$AD$5,"A",IF(J428&lt;'PlayerGrades+'!$AD$4,"A+",IF(J428&lt;'PlayerGrades+'!$AD$3,"S-",IF(J428&lt;'PlayerGrades+'!$AD$2,"S","S+"))))))))))))))))))))</f>
        <v>E+</v>
      </c>
      <c r="L428" s="677">
        <f t="shared" si="5"/>
        <v>0.4158004158</v>
      </c>
      <c r="M428" s="938" t="str">
        <f>IF(L428&lt;'PlayerGrades+'!$AE$21,"F-",IF(L428&lt;'PlayerGrades+'!$AE$20,"F",IF(L428&lt;'PlayerGrades+'!$AE$19,"F+",IF(L428&lt;'PlayerGrades+'!$AE$18,"E-",IF(L428&lt;'PlayerGrades+'!$AE$17,"E",IF(L428&lt;'PlayerGrades+'!$AE$16,"E+",IF(L428&lt;'PlayerGrades+'!$AE$15,"D-",IF(L428&lt;'PlayerGrades+'!$AE$14,"D",IF(L428&lt;'PlayerGrades+'!$AE$13,"D+",IF(L428&lt;'PlayerGrades+'!$AE$12,"C-",IF(L428&lt;'PlayerGrades+'!$AE$11,"C",IF(L428&lt;'PlayerGrades+'!$AE$10,"C+",IF(L428&lt;'PlayerGrades+'!$AE$9,"B-",IF(L428&lt;'PlayerGrades+'!$AE$8,"B",IF(L428&lt;'PlayerGrades+'!$AE$7,"B+",IF(L428&lt;'PlayerGrades+'!$AE$6,"A-",IF(L428&lt;'PlayerGrades+'!$AE$5,"A",IF(L428&lt;'PlayerGrades+'!$AE$4,"A+",IF(L428&lt;'PlayerGrades+'!$AE$3,"S-",IF(L428&lt;'PlayerGrades+'!$AE$2,"S","S+"))))))))))))))))))))</f>
        <v>C+</v>
      </c>
      <c r="N428" s="937">
        <f t="shared" si="6"/>
        <v>0.103950104</v>
      </c>
      <c r="O428" s="937" t="str">
        <f>IF(N428&lt;'PlayerGrades+'!$AF$21,"F-",IF(N428&lt;'PlayerGrades+'!$AF$20,"F",IF(N428&lt;'PlayerGrades+'!$AF$19,"F+",IF(N428&lt;'PlayerGrades+'!$AF$18,"E-",IF(N428&lt;'PlayerGrades+'!$AF$17,"E",IF(N428&lt;'PlayerGrades+'!$AF$16,"E+",IF(N428&lt;'PlayerGrades+'!$AF$15,"D-",IF(N428&lt;'PlayerGrades+'!$AF$14,"D",IF(N428&lt;'PlayerGrades+'!$AF$13,"D+",IF(N428&lt;'PlayerGrades+'!$AF$12,"C-",IF(N428&lt;'PlayerGrades+'!$AF$11,"C",IF(N428&lt;'PlayerGrades+'!$AF$10,"C+",IF(N428&lt;'PlayerGrades+'!$AF$9,"B-",IF(N428&lt;'PlayerGrades+'!$AF$8,"B",IF(N428&lt;'PlayerGrades+'!$AF$7,"B+",IF(N428&lt;'PlayerGrades+'!$AF$6,"A-",IF(N428&lt;'PlayerGrades+'!$AF$5,"A",IF(N428&lt;'PlayerGrades+'!$AF$4,"A+",IF(N428&lt;'PlayerGrades+'!$AF$3,"S-",IF(N428&lt;'PlayerGrades+'!$AF$2,"S","S+"))))))))))))))))))))</f>
        <v>A+</v>
      </c>
      <c r="P428" s="937">
        <f t="shared" si="7"/>
        <v>0</v>
      </c>
      <c r="Q428" s="937" t="str">
        <f>IF(P428&lt;'PlayerGrades+'!$AG$21,"F-",IF(P428&lt;'PlayerGrades+'!$AG$20,"F",IF(P428&lt;'PlayerGrades+'!$AG$19,"F+",IF(P428&lt;'PlayerGrades+'!$AG$18,"E-",IF(P428&lt;'PlayerGrades+'!$AG$17,"E",IF(P428&lt;'PlayerGrades+'!$AG$16,"E+",IF(P428&lt;'PlayerGrades+'!$AG$15,"D-",IF(P428&lt;'PlayerGrades+'!$AG$14,"D",IF(P428&lt;'PlayerGrades+'!$AG$13,"D+",IF(P428&lt;'PlayerGrades+'!$AG$12,"C-",IF(P428&lt;'PlayerGrades+'!$AG$11,"C",IF(P428&lt;'PlayerGrades+'!$AG$10,"C+",IF(P428&lt;'PlayerGrades+'!$AG$9,"B-",IF(P428&lt;'PlayerGrades+'!$AG$8,"B",IF(P428&lt;'PlayerGrades+'!$AG$7,"B+",IF(P428&lt;'PlayerGrades+'!$AG$6,"A-",IF(P428&lt;'PlayerGrades+'!$AG$5,"A",IF(P428&lt;'PlayerGrades+'!$AG$4,"A+",IF(P428&lt;'PlayerGrades+'!$AG$3,"S-",IF(P428&lt;'PlayerGrades+'!$AG$2,"S","S+"))))))))))))))))))))</f>
        <v>F</v>
      </c>
      <c r="R428" s="937">
        <f t="shared" si="8"/>
        <v>0.5613305613</v>
      </c>
      <c r="S428" s="937" t="str">
        <f>IF(R428&lt;'PlayerGrades+'!$AH$21,"F-",IF(R428&lt;'PlayerGrades+'!$AH$20,"F",IF(R428&lt;'PlayerGrades+'!$AH$19,"F+",IF(R428&lt;'PlayerGrades+'!$AH$18,"E-",IF(R428&lt;'PlayerGrades+'!$AH$17,"E",IF(R428&lt;'PlayerGrades+'!$AH$16,"E+",IF(R428&lt;'PlayerGrades+'!$AH$15,"D-",IF(R428&lt;'PlayerGrades+'!$AH$14,"D",IF(R428&lt;'PlayerGrades+'!$AH$13,"D+",IF(R428&lt;'PlayerGrades+'!$AH$12,"C-",IF(R428&lt;'PlayerGrades+'!$AH$11,"C",IF(R428&lt;'PlayerGrades+'!$AH$10,"C+",IF(R428&lt;'PlayerGrades+'!$AH$9,"B-",IF(R428&lt;'PlayerGrades+'!$AH$8,"B",IF(R428&lt;'PlayerGrades+'!$AH$7,"B+",IF(R428&lt;'PlayerGrades+'!$AH$6,"A-",IF(R428&lt;'PlayerGrades+'!$AH$5,"A",IF(R428&lt;'PlayerGrades+'!$AH$4,"A+",IF(R428&lt;'PlayerGrades+'!$AH$3,"S-",IF(R428&lt;'PlayerGrades+'!$AH$2,"S","S+"))))))))))))))))))))</f>
        <v>B-</v>
      </c>
      <c r="T428" s="937">
        <f t="shared" si="9"/>
        <v>1.478170478</v>
      </c>
      <c r="U428" s="937" t="str">
        <f>IF(T428&lt;'PlayerGrades+'!$AI$21,"F-",IF(T428&lt;'PlayerGrades+'!$AI$20,"F",IF(T428&lt;'PlayerGrades+'!$AI$19,"F+",IF(T428&lt;'PlayerGrades+'!$AI$18,"E-",IF(T428&lt;'PlayerGrades+'!$AI$17,"E",IF(T428&lt;'PlayerGrades+'!$AI$16,"E+",IF(T428&lt;'PlayerGrades+'!$AI$15,"D-",IF(T428&lt;'PlayerGrades+'!$AI$14,"D",IF(T428&lt;'PlayerGrades+'!$AI$13,"D+",IF(T428&lt;'PlayerGrades+'!$AI$12,"C-",IF(T428&lt;'PlayerGrades+'!$AI$11,"C",IF(T428&lt;'PlayerGrades+'!$AI$10,"C+",IF(T428&lt;'PlayerGrades+'!$AI$9,"B-",IF(T428&lt;'PlayerGrades+'!$AI$8,"B",IF(T428&lt;'PlayerGrades+'!$AI$7,"B+",IF(T428&lt;'PlayerGrades+'!$AI$6,"A-",IF(T428&lt;'PlayerGrades+'!$AI$5,"A",IF(T428&lt;'PlayerGrades+'!$AI$4,"A+",IF(T428&lt;'PlayerGrades+'!$AI$3,"S-",IF(T428&lt;'PlayerGrades+'!$AI$2,"S","S+"))))))))))))))))))))</f>
        <v>A-</v>
      </c>
      <c r="V428" s="941">
        <v>1.0</v>
      </c>
      <c r="W428" s="941">
        <v>1.0</v>
      </c>
      <c r="X428" s="941">
        <v>0.0</v>
      </c>
      <c r="Y428" s="941">
        <v>0.0</v>
      </c>
      <c r="Z428" s="941">
        <v>0.0</v>
      </c>
      <c r="AA428" s="941">
        <v>157.0</v>
      </c>
      <c r="AB428" s="941">
        <v>197.0</v>
      </c>
      <c r="AC428" s="941">
        <v>-40.0</v>
      </c>
      <c r="AD428" s="941">
        <v>8.0</v>
      </c>
      <c r="AE428" s="941">
        <v>6.0</v>
      </c>
      <c r="AF428" s="941">
        <v>2.0</v>
      </c>
      <c r="AG428" s="941">
        <v>2194.0</v>
      </c>
      <c r="AH428" s="941">
        <v>2886.0</v>
      </c>
      <c r="AI428" s="941">
        <v>11.0</v>
      </c>
      <c r="AJ428" s="941">
        <v>13.0</v>
      </c>
      <c r="AK428" s="941">
        <v>0.0</v>
      </c>
      <c r="AL428" s="941">
        <v>1.0</v>
      </c>
      <c r="AM428" s="941">
        <v>0.0</v>
      </c>
      <c r="AN428" s="941">
        <v>0.0</v>
      </c>
      <c r="AO428" s="941">
        <v>0.0</v>
      </c>
      <c r="AP428" s="941">
        <v>0.0</v>
      </c>
      <c r="AQ428" s="941">
        <v>0.0</v>
      </c>
      <c r="AR428" s="941">
        <v>20.0</v>
      </c>
      <c r="AS428" s="941">
        <v>5.0</v>
      </c>
      <c r="AT428" s="941">
        <v>0.0</v>
      </c>
      <c r="AU428" s="941">
        <v>0.0</v>
      </c>
      <c r="AV428" s="941">
        <v>0.0</v>
      </c>
      <c r="AW428" s="941">
        <v>0.0</v>
      </c>
      <c r="AX428" s="941">
        <v>0.0</v>
      </c>
      <c r="AY428" s="941">
        <v>0.0</v>
      </c>
      <c r="AZ428" s="941">
        <v>0.0</v>
      </c>
      <c r="BA428" s="941">
        <v>0.0</v>
      </c>
      <c r="BB428" s="941">
        <v>1.0</v>
      </c>
      <c r="BC428" s="941">
        <v>0.0</v>
      </c>
      <c r="BD428" s="941">
        <v>19.0</v>
      </c>
      <c r="BE428" s="941">
        <v>23.0</v>
      </c>
      <c r="BF428" s="941">
        <v>1.0</v>
      </c>
      <c r="BG428" s="942">
        <v>1.0</v>
      </c>
    </row>
    <row r="429">
      <c r="A429" s="935" t="s">
        <v>418</v>
      </c>
      <c r="B429" s="16" t="str">
        <f>IF(C429&lt;'PlayerGrades+'!$Y$44,"F-",IF(C429&lt;'PlayerGrades+'!$Y$43,"F",IF(C429&lt;'PlayerGrades+'!$Y$42,"F+",IF(C429&lt;'PlayerGrades+'!$Y$41,"E-",IF(C429&lt;'PlayerGrades+'!$Y$40,"E",IF(C429&lt;'PlayerGrades+'!$Y$39,"E+",IF(C429&lt;'PlayerGrades+'!$Y$38,"D-",IF(C429&lt;'PlayerGrades+'!$Y$37,"D",IF(C429&lt;'PlayerGrades+'!$Y$36,"D+",IF(C429&lt;'PlayerGrades+'!$Y$35,"C-",IF(C429&lt;'PlayerGrades+'!$Y$34,"C",IF(C429&lt;'PlayerGrades+'!$Y$33,"C+",IF(C429&lt;'PlayerGrades+'!$Y$32,"B-",IF(C429&lt;'PlayerGrades+'!$Y$31,"B",IF(C429&lt;'PlayerGrades+'!$Y$30,"B+",IF(C429&lt;'PlayerGrades+'!$Y$29,"A-",IF(C429&lt;'PlayerGrades+'!$Y$28,"A",IF(C429&lt;'PlayerGrades+'!$Y$27,"A+",IF(C429&lt;'PlayerGrades+'!$Y$26,"S-",IF(C429&lt;'PlayerGrades+'!$Y$25,"S","S+"))))))))))))))))))))</f>
        <v>D</v>
      </c>
      <c r="C429" s="936">
        <f>('PlayerGrades+'!$Y$47*(VLOOKUP(E429, 'PlayerGrades+'!$X$3:$Y$23, 2, FALSE)))+('PlayerGrades+'!$Y$48*(VLOOKUP(G429, 'PlayerGrades+'!$X$3:$Y$23, 2, FALSE)))+('PlayerGrades+'!$Y$49*(VLOOKUP(I429, 'PlayerGrades+'!$X$3:$Y$23, 2, FALSE)))+('PlayerGrades+'!$Y$50*(VLOOKUP(K429, 'PlayerGrades+'!$X$3:$Y$23, 2, FALSE)))+('PlayerGrades+'!$Y$51*(VLOOKUP(M429, 'PlayerGrades+'!$X$3:$Y$23, 2, FALSE)))+('PlayerGrades+'!$Y$52*(VLOOKUP(O429, 'PlayerGrades+'!$X$3:$Y$23, 2, FALSE)))+('PlayerGrades+'!$Y$53*(VLOOKUP(Q429, 'PlayerGrades+'!$X$3:$Y$23, 2, FALSE)))+('PlayerGrades+'!$Y$54*(VLOOKUP(S429, 'PlayerGrades+'!$X$3:$Y$23, 2, FALSE)))+('PlayerGrades+'!$Y$55*(VLOOKUP(U429, 'PlayerGrades+'!$X$3:$Y$23, 2, FALSE)))</f>
        <v>16.85</v>
      </c>
      <c r="D429" s="937">
        <f t="shared" si="1"/>
        <v>0</v>
      </c>
      <c r="E429" s="937" t="str">
        <f>IF(D429&lt;'PlayerGrades+'!$AA$21,"F-",IF(D429&lt;'PlayerGrades+'!$AA$20,"F",IF(D429&lt;'PlayerGrades+'!$AA$19,"F+",IF(D429&lt;'PlayerGrades+'!$AA$18,"E-",IF(D429&lt;'PlayerGrades+'!$AA$17,"E",IF(D429&lt;'PlayerGrades+'!$AA$16,"E+",IF(D429&lt;'PlayerGrades+'!$AA$15,"D-",IF(D429&lt;'PlayerGrades+'!$AA$14,"D",IF(D429&lt;'PlayerGrades+'!$AA$13,"D+",IF(D429&lt;'PlayerGrades+'!$AA$12,"C-",IF(D429&lt;'PlayerGrades+'!$AA$11,"C",IF(D429&lt;'PlayerGrades+'!$AA$10,"C+",IF(D429&lt;'PlayerGrades+'!$AA$9,"B-",IF(D429&lt;'PlayerGrades+'!$AA$8,"B",IF(D429&lt;'PlayerGrades+'!$AA$7,"B+",IF(D429&lt;'PlayerGrades+'!$AA$6,"A-",IF(D429&lt;'PlayerGrades+'!$AA$5,"A",IF(D429&lt;'PlayerGrades+'!$AA$4,"A+",IF(D429&lt;'PlayerGrades+'!$AA$3,"S-",IF(D429&lt;'PlayerGrades+'!$AA$2,"S","S+"))))))))))))))))))))</f>
        <v>F-</v>
      </c>
      <c r="F429" s="937">
        <f t="shared" si="2"/>
        <v>-0.08316008316</v>
      </c>
      <c r="G429" s="937" t="str">
        <f>IF(F429&lt;'PlayerGrades+'!$AB$21,"F-",IF(F429&lt;'PlayerGrades+'!$AB$20,"F",IF(F429&lt;'PlayerGrades+'!$AB$19,"F+",IF(F429&lt;'PlayerGrades+'!$AB$18,"E-",IF(F429&lt;'PlayerGrades+'!$AB$17,"E",IF(F429&lt;'PlayerGrades+'!$AB$16,"E+",IF(F429&lt;'PlayerGrades+'!$AB$15,"D-",IF(F429&lt;'PlayerGrades+'!$AB$14,"D",IF(F429&lt;'PlayerGrades+'!$AB$13,"D+",IF(F429&lt;'PlayerGrades+'!$AB$12,"C-",IF(F429&lt;'PlayerGrades+'!$AB$11,"C",IF(F429&lt;'PlayerGrades+'!$AB$10,"C+",IF(F429&lt;'PlayerGrades+'!$AB$9,"B-",IF(F429&lt;'PlayerGrades+'!$AB$8,"B",IF(F429&lt;'PlayerGrades+'!$AB$7,"B+",IF(F429&lt;'PlayerGrades+'!$AB$6,"A-",IF(F429&lt;'PlayerGrades+'!$AB$5,"A",IF(F429&lt;'PlayerGrades+'!$AB$4,"A+",IF(F429&lt;'PlayerGrades+'!$AB$3,"S-",IF(F429&lt;'PlayerGrades+'!$AB$2,"S","S+"))))))))))))))))))))</f>
        <v>B-</v>
      </c>
      <c r="H429" s="937">
        <f t="shared" si="3"/>
        <v>0</v>
      </c>
      <c r="I429" s="937" t="str">
        <f>IF(H429&lt;'PlayerGrades+'!$AC$21,"F-",IF(H429&lt;'PlayerGrades+'!$AC$20,"F",IF(H429&lt;'PlayerGrades+'!$AC$19,"F+",IF(H429&lt;'PlayerGrades+'!$AC$18,"E-",IF(H429&lt;'PlayerGrades+'!$AC$17,"E",IF(H429&lt;'PlayerGrades+'!$AC$16,"E+",IF(H429&lt;'PlayerGrades+'!$AC$15,"D-",IF(H429&lt;'PlayerGrades+'!$AC$14,"D",IF(H429&lt;'PlayerGrades+'!$AC$13,"D+",IF(H429&lt;'PlayerGrades+'!$AC$12,"C-",IF(H429&lt;'PlayerGrades+'!$AC$11,"C",IF(H429&lt;'PlayerGrades+'!$AC$10,"C+",IF(H429&lt;'PlayerGrades+'!$AC$9,"B-",IF(H429&lt;'PlayerGrades+'!$AC$8,"B",IF(H429&lt;'PlayerGrades+'!$AC$7,"B+",IF(H429&lt;'PlayerGrades+'!$AC$6,"A-",IF(H429&lt;'PlayerGrades+'!$AC$5,"A",IF(H429&lt;'PlayerGrades+'!$AC$4,"A+",IF(H429&lt;'PlayerGrades+'!$AC$3,"S-",IF(H429&lt;'PlayerGrades+'!$AC$2,"S","S+"))))))))))))))))))))</f>
        <v>F-</v>
      </c>
      <c r="J429" s="937">
        <f t="shared" si="4"/>
        <v>0.02079002079</v>
      </c>
      <c r="K429" s="937" t="str">
        <f>IF(J429&lt;'PlayerGrades+'!$AD$21,"F-",IF(J429&lt;'PlayerGrades+'!$AD$20,"F",IF(J429&lt;'PlayerGrades+'!$AD$19,"F+",IF(J429&lt;'PlayerGrades+'!$AD$18,"E-",IF(J429&lt;'PlayerGrades+'!$AD$17,"E",IF(J429&lt;'PlayerGrades+'!$AD$16,"E+",IF(J429&lt;'PlayerGrades+'!$AD$15,"D-",IF(J429&lt;'PlayerGrades+'!$AD$14,"D",IF(J429&lt;'PlayerGrades+'!$AD$13,"D+",IF(J429&lt;'PlayerGrades+'!$AD$12,"C-",IF(J429&lt;'PlayerGrades+'!$AD$11,"C",IF(J429&lt;'PlayerGrades+'!$AD$10,"C+",IF(J429&lt;'PlayerGrades+'!$AD$9,"B-",IF(J429&lt;'PlayerGrades+'!$AD$8,"B",IF(J429&lt;'PlayerGrades+'!$AD$7,"B+",IF(J429&lt;'PlayerGrades+'!$AD$6,"A-",IF(J429&lt;'PlayerGrades+'!$AD$5,"A",IF(J429&lt;'PlayerGrades+'!$AD$4,"A+",IF(J429&lt;'PlayerGrades+'!$AD$3,"S-",IF(J429&lt;'PlayerGrades+'!$AD$2,"S","S+"))))))))))))))))))))</f>
        <v>E+</v>
      </c>
      <c r="L429" s="677">
        <f t="shared" si="5"/>
        <v>0.3534303534</v>
      </c>
      <c r="M429" s="938" t="str">
        <f>IF(L429&lt;'PlayerGrades+'!$AE$21,"F-",IF(L429&lt;'PlayerGrades+'!$AE$20,"F",IF(L429&lt;'PlayerGrades+'!$AE$19,"F+",IF(L429&lt;'PlayerGrades+'!$AE$18,"E-",IF(L429&lt;'PlayerGrades+'!$AE$17,"E",IF(L429&lt;'PlayerGrades+'!$AE$16,"E+",IF(L429&lt;'PlayerGrades+'!$AE$15,"D-",IF(L429&lt;'PlayerGrades+'!$AE$14,"D",IF(L429&lt;'PlayerGrades+'!$AE$13,"D+",IF(L429&lt;'PlayerGrades+'!$AE$12,"C-",IF(L429&lt;'PlayerGrades+'!$AE$11,"C",IF(L429&lt;'PlayerGrades+'!$AE$10,"C+",IF(L429&lt;'PlayerGrades+'!$AE$9,"B-",IF(L429&lt;'PlayerGrades+'!$AE$8,"B",IF(L429&lt;'PlayerGrades+'!$AE$7,"B+",IF(L429&lt;'PlayerGrades+'!$AE$6,"A-",IF(L429&lt;'PlayerGrades+'!$AE$5,"A",IF(L429&lt;'PlayerGrades+'!$AE$4,"A+",IF(L429&lt;'PlayerGrades+'!$AE$3,"S-",IF(L429&lt;'PlayerGrades+'!$AE$2,"S","S+"))))))))))))))))))))</f>
        <v>D</v>
      </c>
      <c r="N429" s="937">
        <f t="shared" si="6"/>
        <v>0.04158004158</v>
      </c>
      <c r="O429" s="937" t="str">
        <f>IF(N429&lt;'PlayerGrades+'!$AF$21,"F-",IF(N429&lt;'PlayerGrades+'!$AF$20,"F",IF(N429&lt;'PlayerGrades+'!$AF$19,"F+",IF(N429&lt;'PlayerGrades+'!$AF$18,"E-",IF(N429&lt;'PlayerGrades+'!$AF$17,"E",IF(N429&lt;'PlayerGrades+'!$AF$16,"E+",IF(N429&lt;'PlayerGrades+'!$AF$15,"D-",IF(N429&lt;'PlayerGrades+'!$AF$14,"D",IF(N429&lt;'PlayerGrades+'!$AF$13,"D+",IF(N429&lt;'PlayerGrades+'!$AF$12,"C-",IF(N429&lt;'PlayerGrades+'!$AF$11,"C",IF(N429&lt;'PlayerGrades+'!$AF$10,"C+",IF(N429&lt;'PlayerGrades+'!$AF$9,"B-",IF(N429&lt;'PlayerGrades+'!$AF$8,"B",IF(N429&lt;'PlayerGrades+'!$AF$7,"B+",IF(N429&lt;'PlayerGrades+'!$AF$6,"A-",IF(N429&lt;'PlayerGrades+'!$AF$5,"A",IF(N429&lt;'PlayerGrades+'!$AF$4,"A+",IF(N429&lt;'PlayerGrades+'!$AF$3,"S-",IF(N429&lt;'PlayerGrades+'!$AF$2,"S","S+"))))))))))))))))))))</f>
        <v>E</v>
      </c>
      <c r="P429" s="937">
        <f t="shared" si="7"/>
        <v>0.02079002079</v>
      </c>
      <c r="Q429" s="937" t="str">
        <f>IF(P429&lt;'PlayerGrades+'!$AG$21,"F-",IF(P429&lt;'PlayerGrades+'!$AG$20,"F",IF(P429&lt;'PlayerGrades+'!$AG$19,"F+",IF(P429&lt;'PlayerGrades+'!$AG$18,"E-",IF(P429&lt;'PlayerGrades+'!$AG$17,"E",IF(P429&lt;'PlayerGrades+'!$AG$16,"E+",IF(P429&lt;'PlayerGrades+'!$AG$15,"D-",IF(P429&lt;'PlayerGrades+'!$AG$14,"D",IF(P429&lt;'PlayerGrades+'!$AG$13,"D+",IF(P429&lt;'PlayerGrades+'!$AG$12,"C-",IF(P429&lt;'PlayerGrades+'!$AG$11,"C",IF(P429&lt;'PlayerGrades+'!$AG$10,"C+",IF(P429&lt;'PlayerGrades+'!$AG$9,"B-",IF(P429&lt;'PlayerGrades+'!$AG$8,"B",IF(P429&lt;'PlayerGrades+'!$AG$7,"B+",IF(P429&lt;'PlayerGrades+'!$AG$6,"A-",IF(P429&lt;'PlayerGrades+'!$AG$5,"A",IF(P429&lt;'PlayerGrades+'!$AG$4,"A+",IF(P429&lt;'PlayerGrades+'!$AG$3,"S-",IF(P429&lt;'PlayerGrades+'!$AG$2,"S","S+"))))))))))))))))))))</f>
        <v>C+</v>
      </c>
      <c r="R429" s="937">
        <f t="shared" si="8"/>
        <v>0.6444906445</v>
      </c>
      <c r="S429" s="937" t="str">
        <f>IF(R429&lt;'PlayerGrades+'!$AH$21,"F-",IF(R429&lt;'PlayerGrades+'!$AH$20,"F",IF(R429&lt;'PlayerGrades+'!$AH$19,"F+",IF(R429&lt;'PlayerGrades+'!$AH$18,"E-",IF(R429&lt;'PlayerGrades+'!$AH$17,"E",IF(R429&lt;'PlayerGrades+'!$AH$16,"E+",IF(R429&lt;'PlayerGrades+'!$AH$15,"D-",IF(R429&lt;'PlayerGrades+'!$AH$14,"D",IF(R429&lt;'PlayerGrades+'!$AH$13,"D+",IF(R429&lt;'PlayerGrades+'!$AH$12,"C-",IF(R429&lt;'PlayerGrades+'!$AH$11,"C",IF(R429&lt;'PlayerGrades+'!$AH$10,"C+",IF(R429&lt;'PlayerGrades+'!$AH$9,"B-",IF(R429&lt;'PlayerGrades+'!$AH$8,"B",IF(R429&lt;'PlayerGrades+'!$AH$7,"B+",IF(R429&lt;'PlayerGrades+'!$AH$6,"A-",IF(R429&lt;'PlayerGrades+'!$AH$5,"A",IF(R429&lt;'PlayerGrades+'!$AH$4,"A+",IF(R429&lt;'PlayerGrades+'!$AH$3,"S-",IF(R429&lt;'PlayerGrades+'!$AH$2,"S","S+"))))))))))))))))))))</f>
        <v>A+</v>
      </c>
      <c r="T429" s="937">
        <f t="shared" si="9"/>
        <v>3.332640333</v>
      </c>
      <c r="U429" s="937" t="str">
        <f>IF(T429&lt;'PlayerGrades+'!$AI$21,"F-",IF(T429&lt;'PlayerGrades+'!$AI$20,"F",IF(T429&lt;'PlayerGrades+'!$AI$19,"F+",IF(T429&lt;'PlayerGrades+'!$AI$18,"E-",IF(T429&lt;'PlayerGrades+'!$AI$17,"E",IF(T429&lt;'PlayerGrades+'!$AI$16,"E+",IF(T429&lt;'PlayerGrades+'!$AI$15,"D-",IF(T429&lt;'PlayerGrades+'!$AI$14,"D",IF(T429&lt;'PlayerGrades+'!$AI$13,"D+",IF(T429&lt;'PlayerGrades+'!$AI$12,"C-",IF(T429&lt;'PlayerGrades+'!$AI$11,"C",IF(T429&lt;'PlayerGrades+'!$AI$10,"C+",IF(T429&lt;'PlayerGrades+'!$AI$9,"B-",IF(T429&lt;'PlayerGrades+'!$AI$8,"B",IF(T429&lt;'PlayerGrades+'!$AI$7,"B+",IF(T429&lt;'PlayerGrades+'!$AI$6,"A-",IF(T429&lt;'PlayerGrades+'!$AI$5,"A",IF(T429&lt;'PlayerGrades+'!$AI$4,"A+",IF(T429&lt;'PlayerGrades+'!$AI$3,"S-",IF(T429&lt;'PlayerGrades+'!$AI$2,"S","S+"))))))))))))))))))))</f>
        <v>S+</v>
      </c>
      <c r="V429" s="941">
        <v>1.0</v>
      </c>
      <c r="W429" s="941">
        <v>1.0</v>
      </c>
      <c r="X429" s="941">
        <v>0.0</v>
      </c>
      <c r="Y429" s="941">
        <v>0.0</v>
      </c>
      <c r="Z429" s="941">
        <v>0.0</v>
      </c>
      <c r="AA429" s="941">
        <v>144.0</v>
      </c>
      <c r="AB429" s="941">
        <v>148.0</v>
      </c>
      <c r="AC429" s="941">
        <v>-4.0</v>
      </c>
      <c r="AD429" s="941">
        <v>4.0</v>
      </c>
      <c r="AE429" s="941">
        <v>5.0</v>
      </c>
      <c r="AF429" s="941">
        <v>1.0</v>
      </c>
      <c r="AG429" s="941">
        <v>2344.0</v>
      </c>
      <c r="AH429" s="941">
        <v>2886.0</v>
      </c>
      <c r="AI429" s="941">
        <v>15.0</v>
      </c>
      <c r="AJ429" s="941">
        <v>14.0</v>
      </c>
      <c r="AK429" s="941">
        <v>0.0</v>
      </c>
      <c r="AL429" s="941">
        <v>1.0</v>
      </c>
      <c r="AM429" s="941">
        <v>0.0</v>
      </c>
      <c r="AN429" s="941">
        <v>0.0</v>
      </c>
      <c r="AO429" s="941">
        <v>0.0</v>
      </c>
      <c r="AP429" s="941">
        <v>1.0</v>
      </c>
      <c r="AQ429" s="941">
        <v>0.0</v>
      </c>
      <c r="AR429" s="941">
        <v>17.0</v>
      </c>
      <c r="AS429" s="941">
        <v>2.0</v>
      </c>
      <c r="AT429" s="941">
        <v>0.0</v>
      </c>
      <c r="AU429" s="941">
        <v>0.0</v>
      </c>
      <c r="AV429" s="941">
        <v>0.0</v>
      </c>
      <c r="AW429" s="941">
        <v>0.0</v>
      </c>
      <c r="AX429" s="941">
        <v>0.0</v>
      </c>
      <c r="AY429" s="941">
        <v>0.0</v>
      </c>
      <c r="AZ429" s="941">
        <v>0.0</v>
      </c>
      <c r="BA429" s="941">
        <v>0.0</v>
      </c>
      <c r="BB429" s="941">
        <v>0.0</v>
      </c>
      <c r="BC429" s="941">
        <v>0.0</v>
      </c>
      <c r="BD429" s="941">
        <v>27.0</v>
      </c>
      <c r="BE429" s="941">
        <v>16.0</v>
      </c>
      <c r="BF429" s="941">
        <v>3.0</v>
      </c>
      <c r="BG429" s="942">
        <v>1.0</v>
      </c>
    </row>
    <row r="430">
      <c r="A430" s="935" t="s">
        <v>154</v>
      </c>
      <c r="B430" s="16" t="str">
        <f>IF(C430&lt;'PlayerGrades+'!$Y$44,"F-",IF(C430&lt;'PlayerGrades+'!$Y$43,"F",IF(C430&lt;'PlayerGrades+'!$Y$42,"F+",IF(C430&lt;'PlayerGrades+'!$Y$41,"E-",IF(C430&lt;'PlayerGrades+'!$Y$40,"E",IF(C430&lt;'PlayerGrades+'!$Y$39,"E+",IF(C430&lt;'PlayerGrades+'!$Y$38,"D-",IF(C430&lt;'PlayerGrades+'!$Y$37,"D",IF(C430&lt;'PlayerGrades+'!$Y$36,"D+",IF(C430&lt;'PlayerGrades+'!$Y$35,"C-",IF(C430&lt;'PlayerGrades+'!$Y$34,"C",IF(C430&lt;'PlayerGrades+'!$Y$33,"C+",IF(C430&lt;'PlayerGrades+'!$Y$32,"B-",IF(C430&lt;'PlayerGrades+'!$Y$31,"B",IF(C430&lt;'PlayerGrades+'!$Y$30,"B+",IF(C430&lt;'PlayerGrades+'!$Y$29,"A-",IF(C430&lt;'PlayerGrades+'!$Y$28,"A",IF(C430&lt;'PlayerGrades+'!$Y$27,"A+",IF(C430&lt;'PlayerGrades+'!$Y$26,"S-",IF(C430&lt;'PlayerGrades+'!$Y$25,"S","S+"))))))))))))))))))))</f>
        <v>E-</v>
      </c>
      <c r="C430" s="936">
        <f>('PlayerGrades+'!$Y$47*(VLOOKUP(E430, 'PlayerGrades+'!$X$3:$Y$23, 2, FALSE)))+('PlayerGrades+'!$Y$48*(VLOOKUP(G430, 'PlayerGrades+'!$X$3:$Y$23, 2, FALSE)))+('PlayerGrades+'!$Y$49*(VLOOKUP(I430, 'PlayerGrades+'!$X$3:$Y$23, 2, FALSE)))+('PlayerGrades+'!$Y$50*(VLOOKUP(K430, 'PlayerGrades+'!$X$3:$Y$23, 2, FALSE)))+('PlayerGrades+'!$Y$51*(VLOOKUP(M430, 'PlayerGrades+'!$X$3:$Y$23, 2, FALSE)))+('PlayerGrades+'!$Y$52*(VLOOKUP(O430, 'PlayerGrades+'!$X$3:$Y$23, 2, FALSE)))+('PlayerGrades+'!$Y$53*(VLOOKUP(Q430, 'PlayerGrades+'!$X$3:$Y$23, 2, FALSE)))+('PlayerGrades+'!$Y$54*(VLOOKUP(S430, 'PlayerGrades+'!$X$3:$Y$23, 2, FALSE)))+('PlayerGrades+'!$Y$55*(VLOOKUP(U430, 'PlayerGrades+'!$X$3:$Y$23, 2, FALSE)))</f>
        <v>11.7</v>
      </c>
      <c r="D430" s="937">
        <f t="shared" si="1"/>
        <v>0.3534303534</v>
      </c>
      <c r="E430" s="937" t="str">
        <f>IF(D430&lt;'PlayerGrades+'!$AA$21,"F-",IF(D430&lt;'PlayerGrades+'!$AA$20,"F",IF(D430&lt;'PlayerGrades+'!$AA$19,"F+",IF(D430&lt;'PlayerGrades+'!$AA$18,"E-",IF(D430&lt;'PlayerGrades+'!$AA$17,"E",IF(D430&lt;'PlayerGrades+'!$AA$16,"E+",IF(D430&lt;'PlayerGrades+'!$AA$15,"D-",IF(D430&lt;'PlayerGrades+'!$AA$14,"D",IF(D430&lt;'PlayerGrades+'!$AA$13,"D+",IF(D430&lt;'PlayerGrades+'!$AA$12,"C-",IF(D430&lt;'PlayerGrades+'!$AA$11,"C",IF(D430&lt;'PlayerGrades+'!$AA$10,"C+",IF(D430&lt;'PlayerGrades+'!$AA$9,"B-",IF(D430&lt;'PlayerGrades+'!$AA$8,"B",IF(D430&lt;'PlayerGrades+'!$AA$7,"B+",IF(D430&lt;'PlayerGrades+'!$AA$6,"A-",IF(D430&lt;'PlayerGrades+'!$AA$5,"A",IF(D430&lt;'PlayerGrades+'!$AA$4,"A+",IF(D430&lt;'PlayerGrades+'!$AA$3,"S-",IF(D430&lt;'PlayerGrades+'!$AA$2,"S","S+"))))))))))))))))))))</f>
        <v>A</v>
      </c>
      <c r="F430" s="937">
        <f t="shared" si="2"/>
        <v>-0.2910602911</v>
      </c>
      <c r="G430" s="937" t="str">
        <f>IF(F430&lt;'PlayerGrades+'!$AB$21,"F-",IF(F430&lt;'PlayerGrades+'!$AB$20,"F",IF(F430&lt;'PlayerGrades+'!$AB$19,"F+",IF(F430&lt;'PlayerGrades+'!$AB$18,"E-",IF(F430&lt;'PlayerGrades+'!$AB$17,"E",IF(F430&lt;'PlayerGrades+'!$AB$16,"E+",IF(F430&lt;'PlayerGrades+'!$AB$15,"D-",IF(F430&lt;'PlayerGrades+'!$AB$14,"D",IF(F430&lt;'PlayerGrades+'!$AB$13,"D+",IF(F430&lt;'PlayerGrades+'!$AB$12,"C-",IF(F430&lt;'PlayerGrades+'!$AB$11,"C",IF(F430&lt;'PlayerGrades+'!$AB$10,"C+",IF(F430&lt;'PlayerGrades+'!$AB$9,"B-",IF(F430&lt;'PlayerGrades+'!$AB$8,"B",IF(F430&lt;'PlayerGrades+'!$AB$7,"B+",IF(F430&lt;'PlayerGrades+'!$AB$6,"A-",IF(F430&lt;'PlayerGrades+'!$AB$5,"A",IF(F430&lt;'PlayerGrades+'!$AB$4,"A+",IF(F430&lt;'PlayerGrades+'!$AB$3,"S-",IF(F430&lt;'PlayerGrades+'!$AB$2,"S","S+"))))))))))))))))))))</f>
        <v>C</v>
      </c>
      <c r="H430" s="937">
        <f t="shared" si="3"/>
        <v>0.04158004158</v>
      </c>
      <c r="I430" s="937" t="str">
        <f>IF(H430&lt;'PlayerGrades+'!$AC$21,"F-",IF(H430&lt;'PlayerGrades+'!$AC$20,"F",IF(H430&lt;'PlayerGrades+'!$AC$19,"F+",IF(H430&lt;'PlayerGrades+'!$AC$18,"E-",IF(H430&lt;'PlayerGrades+'!$AC$17,"E",IF(H430&lt;'PlayerGrades+'!$AC$16,"E+",IF(H430&lt;'PlayerGrades+'!$AC$15,"D-",IF(H430&lt;'PlayerGrades+'!$AC$14,"D",IF(H430&lt;'PlayerGrades+'!$AC$13,"D+",IF(H430&lt;'PlayerGrades+'!$AC$12,"C-",IF(H430&lt;'PlayerGrades+'!$AC$11,"C",IF(H430&lt;'PlayerGrades+'!$AC$10,"C+",IF(H430&lt;'PlayerGrades+'!$AC$9,"B-",IF(H430&lt;'PlayerGrades+'!$AC$8,"B",IF(H430&lt;'PlayerGrades+'!$AC$7,"B+",IF(H430&lt;'PlayerGrades+'!$AC$6,"A-",IF(H430&lt;'PlayerGrades+'!$AC$5,"A",IF(H430&lt;'PlayerGrades+'!$AC$4,"A+",IF(H430&lt;'PlayerGrades+'!$AC$3,"S-",IF(H430&lt;'PlayerGrades+'!$AC$2,"S","S+"))))))))))))))))))))</f>
        <v>F</v>
      </c>
      <c r="J430" s="937">
        <f t="shared" si="4"/>
        <v>0.04158004158</v>
      </c>
      <c r="K430" s="937" t="str">
        <f>IF(J430&lt;'PlayerGrades+'!$AD$21,"F-",IF(J430&lt;'PlayerGrades+'!$AD$20,"F",IF(J430&lt;'PlayerGrades+'!$AD$19,"F+",IF(J430&lt;'PlayerGrades+'!$AD$18,"E-",IF(J430&lt;'PlayerGrades+'!$AD$17,"E",IF(J430&lt;'PlayerGrades+'!$AD$16,"E+",IF(J430&lt;'PlayerGrades+'!$AD$15,"D-",IF(J430&lt;'PlayerGrades+'!$AD$14,"D",IF(J430&lt;'PlayerGrades+'!$AD$13,"D+",IF(J430&lt;'PlayerGrades+'!$AD$12,"C-",IF(J430&lt;'PlayerGrades+'!$AD$11,"C",IF(J430&lt;'PlayerGrades+'!$AD$10,"C+",IF(J430&lt;'PlayerGrades+'!$AD$9,"B-",IF(J430&lt;'PlayerGrades+'!$AD$8,"B",IF(J430&lt;'PlayerGrades+'!$AD$7,"B+",IF(J430&lt;'PlayerGrades+'!$AD$6,"A-",IF(J430&lt;'PlayerGrades+'!$AD$5,"A",IF(J430&lt;'PlayerGrades+'!$AD$4,"A+",IF(J430&lt;'PlayerGrades+'!$AD$3,"S-",IF(J430&lt;'PlayerGrades+'!$AD$2,"S","S+"))))))))))))))))))))</f>
        <v>C+</v>
      </c>
      <c r="L430" s="677">
        <f t="shared" si="5"/>
        <v>0.1247401247</v>
      </c>
      <c r="M430" s="938" t="str">
        <f>IF(L430&lt;'PlayerGrades+'!$AE$21,"F-",IF(L430&lt;'PlayerGrades+'!$AE$20,"F",IF(L430&lt;'PlayerGrades+'!$AE$19,"F+",IF(L430&lt;'PlayerGrades+'!$AE$18,"E-",IF(L430&lt;'PlayerGrades+'!$AE$17,"E",IF(L430&lt;'PlayerGrades+'!$AE$16,"E+",IF(L430&lt;'PlayerGrades+'!$AE$15,"D-",IF(L430&lt;'PlayerGrades+'!$AE$14,"D",IF(L430&lt;'PlayerGrades+'!$AE$13,"D+",IF(L430&lt;'PlayerGrades+'!$AE$12,"C-",IF(L430&lt;'PlayerGrades+'!$AE$11,"C",IF(L430&lt;'PlayerGrades+'!$AE$10,"C+",IF(L430&lt;'PlayerGrades+'!$AE$9,"B-",IF(L430&lt;'PlayerGrades+'!$AE$8,"B",IF(L430&lt;'PlayerGrades+'!$AE$7,"B+",IF(L430&lt;'PlayerGrades+'!$AE$6,"A-",IF(L430&lt;'PlayerGrades+'!$AE$5,"A",IF(L430&lt;'PlayerGrades+'!$AE$4,"A+",IF(L430&lt;'PlayerGrades+'!$AE$3,"S-",IF(L430&lt;'PlayerGrades+'!$AE$2,"S","S+"))))))))))))))))))))</f>
        <v>F-</v>
      </c>
      <c r="N430" s="937">
        <f t="shared" si="6"/>
        <v>0.04158004158</v>
      </c>
      <c r="O430" s="937" t="str">
        <f>IF(N430&lt;'PlayerGrades+'!$AF$21,"F-",IF(N430&lt;'PlayerGrades+'!$AF$20,"F",IF(N430&lt;'PlayerGrades+'!$AF$19,"F+",IF(N430&lt;'PlayerGrades+'!$AF$18,"E-",IF(N430&lt;'PlayerGrades+'!$AF$17,"E",IF(N430&lt;'PlayerGrades+'!$AF$16,"E+",IF(N430&lt;'PlayerGrades+'!$AF$15,"D-",IF(N430&lt;'PlayerGrades+'!$AF$14,"D",IF(N430&lt;'PlayerGrades+'!$AF$13,"D+",IF(N430&lt;'PlayerGrades+'!$AF$12,"C-",IF(N430&lt;'PlayerGrades+'!$AF$11,"C",IF(N430&lt;'PlayerGrades+'!$AF$10,"C+",IF(N430&lt;'PlayerGrades+'!$AF$9,"B-",IF(N430&lt;'PlayerGrades+'!$AF$8,"B",IF(N430&lt;'PlayerGrades+'!$AF$7,"B+",IF(N430&lt;'PlayerGrades+'!$AF$6,"A-",IF(N430&lt;'PlayerGrades+'!$AF$5,"A",IF(N430&lt;'PlayerGrades+'!$AF$4,"A+",IF(N430&lt;'PlayerGrades+'!$AF$3,"S-",IF(N430&lt;'PlayerGrades+'!$AF$2,"S","S+"))))))))))))))))))))</f>
        <v>E</v>
      </c>
      <c r="P430" s="937">
        <f t="shared" si="7"/>
        <v>0</v>
      </c>
      <c r="Q430" s="937" t="str">
        <f>IF(P430&lt;'PlayerGrades+'!$AG$21,"F-",IF(P430&lt;'PlayerGrades+'!$AG$20,"F",IF(P430&lt;'PlayerGrades+'!$AG$19,"F+",IF(P430&lt;'PlayerGrades+'!$AG$18,"E-",IF(P430&lt;'PlayerGrades+'!$AG$17,"E",IF(P430&lt;'PlayerGrades+'!$AG$16,"E+",IF(P430&lt;'PlayerGrades+'!$AG$15,"D-",IF(P430&lt;'PlayerGrades+'!$AG$14,"D",IF(P430&lt;'PlayerGrades+'!$AG$13,"D+",IF(P430&lt;'PlayerGrades+'!$AG$12,"C-",IF(P430&lt;'PlayerGrades+'!$AG$11,"C",IF(P430&lt;'PlayerGrades+'!$AG$10,"C+",IF(P430&lt;'PlayerGrades+'!$AG$9,"B-",IF(P430&lt;'PlayerGrades+'!$AG$8,"B",IF(P430&lt;'PlayerGrades+'!$AG$7,"B+",IF(P430&lt;'PlayerGrades+'!$AG$6,"A-",IF(P430&lt;'PlayerGrades+'!$AG$5,"A",IF(P430&lt;'PlayerGrades+'!$AG$4,"A+",IF(P430&lt;'PlayerGrades+'!$AG$3,"S-",IF(P430&lt;'PlayerGrades+'!$AG$2,"S","S+"))))))))))))))))))))</f>
        <v>F</v>
      </c>
      <c r="R430" s="937">
        <f t="shared" si="8"/>
        <v>0.2494802495</v>
      </c>
      <c r="S430" s="937" t="str">
        <f>IF(R430&lt;'PlayerGrades+'!$AH$21,"F-",IF(R430&lt;'PlayerGrades+'!$AH$20,"F",IF(R430&lt;'PlayerGrades+'!$AH$19,"F+",IF(R430&lt;'PlayerGrades+'!$AH$18,"E-",IF(R430&lt;'PlayerGrades+'!$AH$17,"E",IF(R430&lt;'PlayerGrades+'!$AH$16,"E+",IF(R430&lt;'PlayerGrades+'!$AH$15,"D-",IF(R430&lt;'PlayerGrades+'!$AH$14,"D",IF(R430&lt;'PlayerGrades+'!$AH$13,"D+",IF(R430&lt;'PlayerGrades+'!$AH$12,"C-",IF(R430&lt;'PlayerGrades+'!$AH$11,"C",IF(R430&lt;'PlayerGrades+'!$AH$10,"C+",IF(R430&lt;'PlayerGrades+'!$AH$9,"B-",IF(R430&lt;'PlayerGrades+'!$AH$8,"B",IF(R430&lt;'PlayerGrades+'!$AH$7,"B+",IF(R430&lt;'PlayerGrades+'!$AH$6,"A-",IF(R430&lt;'PlayerGrades+'!$AH$5,"A",IF(R430&lt;'PlayerGrades+'!$AH$4,"A+",IF(R430&lt;'PlayerGrades+'!$AH$3,"S-",IF(R430&lt;'PlayerGrades+'!$AH$2,"S","S+"))))))))))))))))))))</f>
        <v>F-</v>
      </c>
      <c r="T430" s="937">
        <f t="shared" si="9"/>
        <v>0.3742203742</v>
      </c>
      <c r="U430" s="937" t="str">
        <f>IF(T430&lt;'PlayerGrades+'!$AI$21,"F-",IF(T430&lt;'PlayerGrades+'!$AI$20,"F",IF(T430&lt;'PlayerGrades+'!$AI$19,"F+",IF(T430&lt;'PlayerGrades+'!$AI$18,"E-",IF(T430&lt;'PlayerGrades+'!$AI$17,"E",IF(T430&lt;'PlayerGrades+'!$AI$16,"E+",IF(T430&lt;'PlayerGrades+'!$AI$15,"D-",IF(T430&lt;'PlayerGrades+'!$AI$14,"D",IF(T430&lt;'PlayerGrades+'!$AI$13,"D+",IF(T430&lt;'PlayerGrades+'!$AI$12,"C-",IF(T430&lt;'PlayerGrades+'!$AI$11,"C",IF(T430&lt;'PlayerGrades+'!$AI$10,"C+",IF(T430&lt;'PlayerGrades+'!$AI$9,"B-",IF(T430&lt;'PlayerGrades+'!$AI$8,"B",IF(T430&lt;'PlayerGrades+'!$AI$7,"B+",IF(T430&lt;'PlayerGrades+'!$AI$6,"A-",IF(T430&lt;'PlayerGrades+'!$AI$5,"A",IF(T430&lt;'PlayerGrades+'!$AI$4,"A+",IF(T430&lt;'PlayerGrades+'!$AI$3,"S-",IF(T430&lt;'PlayerGrades+'!$AI$2,"S","S+"))))))))))))))))))))</f>
        <v>F-</v>
      </c>
      <c r="V430" s="941">
        <v>1.0</v>
      </c>
      <c r="W430" s="941">
        <v>0.0</v>
      </c>
      <c r="X430" s="941">
        <v>1.0</v>
      </c>
      <c r="Y430" s="941">
        <v>1.0</v>
      </c>
      <c r="Z430" s="941">
        <v>16.0</v>
      </c>
      <c r="AA430" s="941">
        <v>81.0</v>
      </c>
      <c r="AB430" s="941">
        <v>95.0</v>
      </c>
      <c r="AC430" s="941">
        <v>-14.0</v>
      </c>
      <c r="AD430" s="941">
        <v>2.0</v>
      </c>
      <c r="AE430" s="941">
        <v>8.0</v>
      </c>
      <c r="AF430" s="941">
        <v>0.0</v>
      </c>
      <c r="AG430" s="941">
        <v>2512.0</v>
      </c>
      <c r="AH430" s="941">
        <v>2886.0</v>
      </c>
      <c r="AI430" s="941">
        <v>26.0</v>
      </c>
      <c r="AJ430" s="941">
        <v>1432.0</v>
      </c>
      <c r="AK430" s="941">
        <v>0.0</v>
      </c>
      <c r="AL430" s="941">
        <v>2.0</v>
      </c>
      <c r="AM430" s="941">
        <v>0.0</v>
      </c>
      <c r="AN430" s="941">
        <v>0.0</v>
      </c>
      <c r="AO430" s="941">
        <v>0.0</v>
      </c>
      <c r="AP430" s="941">
        <v>0.0</v>
      </c>
      <c r="AQ430" s="941">
        <v>0.0</v>
      </c>
      <c r="AR430" s="941">
        <v>6.0</v>
      </c>
      <c r="AS430" s="941">
        <v>2.0</v>
      </c>
      <c r="AT430" s="941">
        <v>0.0</v>
      </c>
      <c r="AU430" s="941">
        <v>0.0</v>
      </c>
      <c r="AV430" s="941">
        <v>0.0</v>
      </c>
      <c r="AW430" s="941">
        <v>0.0</v>
      </c>
      <c r="AX430" s="941">
        <v>0.0</v>
      </c>
      <c r="AY430" s="941">
        <v>0.0</v>
      </c>
      <c r="AZ430" s="941">
        <v>0.0</v>
      </c>
      <c r="BA430" s="941">
        <v>0.0</v>
      </c>
      <c r="BB430" s="941">
        <v>2.0</v>
      </c>
      <c r="BC430" s="941">
        <v>0.0</v>
      </c>
      <c r="BD430" s="941">
        <v>10.0</v>
      </c>
      <c r="BE430" s="941">
        <v>18.0</v>
      </c>
      <c r="BF430" s="941">
        <v>0.0</v>
      </c>
      <c r="BG430" s="942">
        <v>0.0</v>
      </c>
    </row>
    <row r="431">
      <c r="A431" s="935" t="s">
        <v>132</v>
      </c>
      <c r="B431" s="16" t="str">
        <f>IF(C431&lt;'PlayerGrades+'!$Y$44,"F-",IF(C431&lt;'PlayerGrades+'!$Y$43,"F",IF(C431&lt;'PlayerGrades+'!$Y$42,"F+",IF(C431&lt;'PlayerGrades+'!$Y$41,"E-",IF(C431&lt;'PlayerGrades+'!$Y$40,"E",IF(C431&lt;'PlayerGrades+'!$Y$39,"E+",IF(C431&lt;'PlayerGrades+'!$Y$38,"D-",IF(C431&lt;'PlayerGrades+'!$Y$37,"D",IF(C431&lt;'PlayerGrades+'!$Y$36,"D+",IF(C431&lt;'PlayerGrades+'!$Y$35,"C-",IF(C431&lt;'PlayerGrades+'!$Y$34,"C",IF(C431&lt;'PlayerGrades+'!$Y$33,"C+",IF(C431&lt;'PlayerGrades+'!$Y$32,"B-",IF(C431&lt;'PlayerGrades+'!$Y$31,"B",IF(C431&lt;'PlayerGrades+'!$Y$30,"B+",IF(C431&lt;'PlayerGrades+'!$Y$29,"A-",IF(C431&lt;'PlayerGrades+'!$Y$28,"A",IF(C431&lt;'PlayerGrades+'!$Y$27,"A+",IF(C431&lt;'PlayerGrades+'!$Y$26,"S-",IF(C431&lt;'PlayerGrades+'!$Y$25,"S","S+"))))))))))))))))))))</f>
        <v>S+</v>
      </c>
      <c r="C431" s="936">
        <f>('PlayerGrades+'!$Y$47*(VLOOKUP(E431, 'PlayerGrades+'!$X$3:$Y$23, 2, FALSE)))+('PlayerGrades+'!$Y$48*(VLOOKUP(G431, 'PlayerGrades+'!$X$3:$Y$23, 2, FALSE)))+('PlayerGrades+'!$Y$49*(VLOOKUP(I431, 'PlayerGrades+'!$X$3:$Y$23, 2, FALSE)))+('PlayerGrades+'!$Y$50*(VLOOKUP(K431, 'PlayerGrades+'!$X$3:$Y$23, 2, FALSE)))+('PlayerGrades+'!$Y$51*(VLOOKUP(M431, 'PlayerGrades+'!$X$3:$Y$23, 2, FALSE)))+('PlayerGrades+'!$Y$52*(VLOOKUP(O431, 'PlayerGrades+'!$X$3:$Y$23, 2, FALSE)))+('PlayerGrades+'!$Y$53*(VLOOKUP(Q431, 'PlayerGrades+'!$X$3:$Y$23, 2, FALSE)))+('PlayerGrades+'!$Y$54*(VLOOKUP(S431, 'PlayerGrades+'!$X$3:$Y$23, 2, FALSE)))+('PlayerGrades+'!$Y$55*(VLOOKUP(U431, 'PlayerGrades+'!$X$3:$Y$23, 2, FALSE)))</f>
        <v>33.65</v>
      </c>
      <c r="D431" s="937">
        <f t="shared" si="1"/>
        <v>0.4158004158</v>
      </c>
      <c r="E431" s="937" t="str">
        <f>IF(D431&lt;'PlayerGrades+'!$AA$21,"F-",IF(D431&lt;'PlayerGrades+'!$AA$20,"F",IF(D431&lt;'PlayerGrades+'!$AA$19,"F+",IF(D431&lt;'PlayerGrades+'!$AA$18,"E-",IF(D431&lt;'PlayerGrades+'!$AA$17,"E",IF(D431&lt;'PlayerGrades+'!$AA$16,"E+",IF(D431&lt;'PlayerGrades+'!$AA$15,"D-",IF(D431&lt;'PlayerGrades+'!$AA$14,"D",IF(D431&lt;'PlayerGrades+'!$AA$13,"D+",IF(D431&lt;'PlayerGrades+'!$AA$12,"C-",IF(D431&lt;'PlayerGrades+'!$AA$11,"C",IF(D431&lt;'PlayerGrades+'!$AA$10,"C+",IF(D431&lt;'PlayerGrades+'!$AA$9,"B-",IF(D431&lt;'PlayerGrades+'!$AA$8,"B",IF(D431&lt;'PlayerGrades+'!$AA$7,"B+",IF(D431&lt;'PlayerGrades+'!$AA$6,"A-",IF(D431&lt;'PlayerGrades+'!$AA$5,"A",IF(D431&lt;'PlayerGrades+'!$AA$4,"A+",IF(D431&lt;'PlayerGrades+'!$AA$3,"S-",IF(D431&lt;'PlayerGrades+'!$AA$2,"S","S+"))))))))))))))))))))</f>
        <v>A+</v>
      </c>
      <c r="F431" s="937">
        <f t="shared" si="2"/>
        <v>0.4781704782</v>
      </c>
      <c r="G431" s="937" t="str">
        <f>IF(F431&lt;'PlayerGrades+'!$AB$21,"F-",IF(F431&lt;'PlayerGrades+'!$AB$20,"F",IF(F431&lt;'PlayerGrades+'!$AB$19,"F+",IF(F431&lt;'PlayerGrades+'!$AB$18,"E-",IF(F431&lt;'PlayerGrades+'!$AB$17,"E",IF(F431&lt;'PlayerGrades+'!$AB$16,"E+",IF(F431&lt;'PlayerGrades+'!$AB$15,"D-",IF(F431&lt;'PlayerGrades+'!$AB$14,"D",IF(F431&lt;'PlayerGrades+'!$AB$13,"D+",IF(F431&lt;'PlayerGrades+'!$AB$12,"C-",IF(F431&lt;'PlayerGrades+'!$AB$11,"C",IF(F431&lt;'PlayerGrades+'!$AB$10,"C+",IF(F431&lt;'PlayerGrades+'!$AB$9,"B-",IF(F431&lt;'PlayerGrades+'!$AB$8,"B",IF(F431&lt;'PlayerGrades+'!$AB$7,"B+",IF(F431&lt;'PlayerGrades+'!$AB$6,"A-",IF(F431&lt;'PlayerGrades+'!$AB$5,"A",IF(F431&lt;'PlayerGrades+'!$AB$4,"A+",IF(F431&lt;'PlayerGrades+'!$AB$3,"S-",IF(F431&lt;'PlayerGrades+'!$AB$2,"S","S+"))))))))))))))))))))</f>
        <v>A+</v>
      </c>
      <c r="H431" s="937">
        <f t="shared" si="3"/>
        <v>0.3534303534</v>
      </c>
      <c r="I431" s="937" t="str">
        <f>IF(H431&lt;'PlayerGrades+'!$AC$21,"F-",IF(H431&lt;'PlayerGrades+'!$AC$20,"F",IF(H431&lt;'PlayerGrades+'!$AC$19,"F+",IF(H431&lt;'PlayerGrades+'!$AC$18,"E-",IF(H431&lt;'PlayerGrades+'!$AC$17,"E",IF(H431&lt;'PlayerGrades+'!$AC$16,"E+",IF(H431&lt;'PlayerGrades+'!$AC$15,"D-",IF(H431&lt;'PlayerGrades+'!$AC$14,"D",IF(H431&lt;'PlayerGrades+'!$AC$13,"D+",IF(H431&lt;'PlayerGrades+'!$AC$12,"C-",IF(H431&lt;'PlayerGrades+'!$AC$11,"C",IF(H431&lt;'PlayerGrades+'!$AC$10,"C+",IF(H431&lt;'PlayerGrades+'!$AC$9,"B-",IF(H431&lt;'PlayerGrades+'!$AC$8,"B",IF(H431&lt;'PlayerGrades+'!$AC$7,"B+",IF(H431&lt;'PlayerGrades+'!$AC$6,"A-",IF(H431&lt;'PlayerGrades+'!$AC$5,"A",IF(H431&lt;'PlayerGrades+'!$AC$4,"A+",IF(H431&lt;'PlayerGrades+'!$AC$3,"S-",IF(H431&lt;'PlayerGrades+'!$AC$2,"S","S+"))))))))))))))))))))</f>
        <v>S+</v>
      </c>
      <c r="J431" s="937">
        <f t="shared" si="4"/>
        <v>0.08316008316</v>
      </c>
      <c r="K431" s="937" t="str">
        <f>IF(J431&lt;'PlayerGrades+'!$AD$21,"F-",IF(J431&lt;'PlayerGrades+'!$AD$20,"F",IF(J431&lt;'PlayerGrades+'!$AD$19,"F+",IF(J431&lt;'PlayerGrades+'!$AD$18,"E-",IF(J431&lt;'PlayerGrades+'!$AD$17,"E",IF(J431&lt;'PlayerGrades+'!$AD$16,"E+",IF(J431&lt;'PlayerGrades+'!$AD$15,"D-",IF(J431&lt;'PlayerGrades+'!$AD$14,"D",IF(J431&lt;'PlayerGrades+'!$AD$13,"D+",IF(J431&lt;'PlayerGrades+'!$AD$12,"C-",IF(J431&lt;'PlayerGrades+'!$AD$11,"C",IF(J431&lt;'PlayerGrades+'!$AD$10,"C+",IF(J431&lt;'PlayerGrades+'!$AD$9,"B-",IF(J431&lt;'PlayerGrades+'!$AD$8,"B",IF(J431&lt;'PlayerGrades+'!$AD$7,"B+",IF(J431&lt;'PlayerGrades+'!$AD$6,"A-",IF(J431&lt;'PlayerGrades+'!$AD$5,"A",IF(J431&lt;'PlayerGrades+'!$AD$4,"A+",IF(J431&lt;'PlayerGrades+'!$AD$3,"S-",IF(J431&lt;'PlayerGrades+'!$AD$2,"S","S+"))))))))))))))))))))</f>
        <v>A+</v>
      </c>
      <c r="L431" s="677">
        <f t="shared" si="5"/>
        <v>0.6029106029</v>
      </c>
      <c r="M431" s="938" t="str">
        <f>IF(L431&lt;'PlayerGrades+'!$AE$21,"F-",IF(L431&lt;'PlayerGrades+'!$AE$20,"F",IF(L431&lt;'PlayerGrades+'!$AE$19,"F+",IF(L431&lt;'PlayerGrades+'!$AE$18,"E-",IF(L431&lt;'PlayerGrades+'!$AE$17,"E",IF(L431&lt;'PlayerGrades+'!$AE$16,"E+",IF(L431&lt;'PlayerGrades+'!$AE$15,"D-",IF(L431&lt;'PlayerGrades+'!$AE$14,"D",IF(L431&lt;'PlayerGrades+'!$AE$13,"D+",IF(L431&lt;'PlayerGrades+'!$AE$12,"C-",IF(L431&lt;'PlayerGrades+'!$AE$11,"C",IF(L431&lt;'PlayerGrades+'!$AE$10,"C+",IF(L431&lt;'PlayerGrades+'!$AE$9,"B-",IF(L431&lt;'PlayerGrades+'!$AE$8,"B",IF(L431&lt;'PlayerGrades+'!$AE$7,"B+",IF(L431&lt;'PlayerGrades+'!$AE$6,"A-",IF(L431&lt;'PlayerGrades+'!$AE$5,"A",IF(L431&lt;'PlayerGrades+'!$AE$4,"A+",IF(L431&lt;'PlayerGrades+'!$AE$3,"S-",IF(L431&lt;'PlayerGrades+'!$AE$2,"S","S+"))))))))))))))))))))</f>
        <v>A+</v>
      </c>
      <c r="N431" s="937">
        <f t="shared" si="6"/>
        <v>0.103950104</v>
      </c>
      <c r="O431" s="937" t="str">
        <f>IF(N431&lt;'PlayerGrades+'!$AF$21,"F-",IF(N431&lt;'PlayerGrades+'!$AF$20,"F",IF(N431&lt;'PlayerGrades+'!$AF$19,"F+",IF(N431&lt;'PlayerGrades+'!$AF$18,"E-",IF(N431&lt;'PlayerGrades+'!$AF$17,"E",IF(N431&lt;'PlayerGrades+'!$AF$16,"E+",IF(N431&lt;'PlayerGrades+'!$AF$15,"D-",IF(N431&lt;'PlayerGrades+'!$AF$14,"D",IF(N431&lt;'PlayerGrades+'!$AF$13,"D+",IF(N431&lt;'PlayerGrades+'!$AF$12,"C-",IF(N431&lt;'PlayerGrades+'!$AF$11,"C",IF(N431&lt;'PlayerGrades+'!$AF$10,"C+",IF(N431&lt;'PlayerGrades+'!$AF$9,"B-",IF(N431&lt;'PlayerGrades+'!$AF$8,"B",IF(N431&lt;'PlayerGrades+'!$AF$7,"B+",IF(N431&lt;'PlayerGrades+'!$AF$6,"A-",IF(N431&lt;'PlayerGrades+'!$AF$5,"A",IF(N431&lt;'PlayerGrades+'!$AF$4,"A+",IF(N431&lt;'PlayerGrades+'!$AF$3,"S-",IF(N431&lt;'PlayerGrades+'!$AF$2,"S","S+"))))))))))))))))))))</f>
        <v>A+</v>
      </c>
      <c r="P431" s="937">
        <f t="shared" si="7"/>
        <v>0.04158004158</v>
      </c>
      <c r="Q431" s="937" t="str">
        <f>IF(P431&lt;'PlayerGrades+'!$AG$21,"F-",IF(P431&lt;'PlayerGrades+'!$AG$20,"F",IF(P431&lt;'PlayerGrades+'!$AG$19,"F+",IF(P431&lt;'PlayerGrades+'!$AG$18,"E-",IF(P431&lt;'PlayerGrades+'!$AG$17,"E",IF(P431&lt;'PlayerGrades+'!$AG$16,"E+",IF(P431&lt;'PlayerGrades+'!$AG$15,"D-",IF(P431&lt;'PlayerGrades+'!$AG$14,"D",IF(P431&lt;'PlayerGrades+'!$AG$13,"D+",IF(P431&lt;'PlayerGrades+'!$AG$12,"C-",IF(P431&lt;'PlayerGrades+'!$AG$11,"C",IF(P431&lt;'PlayerGrades+'!$AG$10,"C+",IF(P431&lt;'PlayerGrades+'!$AG$9,"B-",IF(P431&lt;'PlayerGrades+'!$AG$8,"B",IF(P431&lt;'PlayerGrades+'!$AG$7,"B+",IF(P431&lt;'PlayerGrades+'!$AG$6,"A-",IF(P431&lt;'PlayerGrades+'!$AG$5,"A",IF(P431&lt;'PlayerGrades+'!$AG$4,"A+",IF(P431&lt;'PlayerGrades+'!$AG$3,"S-",IF(P431&lt;'PlayerGrades+'!$AG$2,"S","S+"))))))))))))))))))))</f>
        <v>A</v>
      </c>
      <c r="R431" s="937">
        <f t="shared" si="8"/>
        <v>0.893970894</v>
      </c>
      <c r="S431" s="937" t="str">
        <f>IF(R431&lt;'PlayerGrades+'!$AH$21,"F-",IF(R431&lt;'PlayerGrades+'!$AH$20,"F",IF(R431&lt;'PlayerGrades+'!$AH$19,"F+",IF(R431&lt;'PlayerGrades+'!$AH$18,"E-",IF(R431&lt;'PlayerGrades+'!$AH$17,"E",IF(R431&lt;'PlayerGrades+'!$AH$16,"E+",IF(R431&lt;'PlayerGrades+'!$AH$15,"D-",IF(R431&lt;'PlayerGrades+'!$AH$14,"D",IF(R431&lt;'PlayerGrades+'!$AH$13,"D+",IF(R431&lt;'PlayerGrades+'!$AH$12,"C-",IF(R431&lt;'PlayerGrades+'!$AH$11,"C",IF(R431&lt;'PlayerGrades+'!$AH$10,"C+",IF(R431&lt;'PlayerGrades+'!$AH$9,"B-",IF(R431&lt;'PlayerGrades+'!$AH$8,"B",IF(R431&lt;'PlayerGrades+'!$AH$7,"B+",IF(R431&lt;'PlayerGrades+'!$AH$6,"A-",IF(R431&lt;'PlayerGrades+'!$AH$5,"A",IF(R431&lt;'PlayerGrades+'!$AH$4,"A+",IF(R431&lt;'PlayerGrades+'!$AH$3,"S-",IF(R431&lt;'PlayerGrades+'!$AH$2,"S","S+"))))))))))))))))))))</f>
        <v>S+</v>
      </c>
      <c r="T431" s="937">
        <f t="shared" si="9"/>
        <v>1.602910603</v>
      </c>
      <c r="U431" s="937" t="str">
        <f>IF(T431&lt;'PlayerGrades+'!$AI$21,"F-",IF(T431&lt;'PlayerGrades+'!$AI$20,"F",IF(T431&lt;'PlayerGrades+'!$AI$19,"F+",IF(T431&lt;'PlayerGrades+'!$AI$18,"E-",IF(T431&lt;'PlayerGrades+'!$AI$17,"E",IF(T431&lt;'PlayerGrades+'!$AI$16,"E+",IF(T431&lt;'PlayerGrades+'!$AI$15,"D-",IF(T431&lt;'PlayerGrades+'!$AI$14,"D",IF(T431&lt;'PlayerGrades+'!$AI$13,"D+",IF(T431&lt;'PlayerGrades+'!$AI$12,"C-",IF(T431&lt;'PlayerGrades+'!$AI$11,"C",IF(T431&lt;'PlayerGrades+'!$AI$10,"C+",IF(T431&lt;'PlayerGrades+'!$AI$9,"B-",IF(T431&lt;'PlayerGrades+'!$AI$8,"B",IF(T431&lt;'PlayerGrades+'!$AI$7,"B+",IF(T431&lt;'PlayerGrades+'!$AI$6,"A-",IF(T431&lt;'PlayerGrades+'!$AI$5,"A",IF(T431&lt;'PlayerGrades+'!$AI$4,"A+",IF(T431&lt;'PlayerGrades+'!$AI$3,"S-",IF(T431&lt;'PlayerGrades+'!$AI$2,"S","S+"))))))))))))))))))))</f>
        <v>S-</v>
      </c>
      <c r="V431" s="941">
        <v>1.0</v>
      </c>
      <c r="W431" s="941">
        <v>0.0</v>
      </c>
      <c r="X431" s="941">
        <v>1.0</v>
      </c>
      <c r="Y431" s="941">
        <v>1.0</v>
      </c>
      <c r="Z431" s="941">
        <v>19.0</v>
      </c>
      <c r="AA431" s="941">
        <v>197.0</v>
      </c>
      <c r="AB431" s="941">
        <v>174.0</v>
      </c>
      <c r="AC431" s="941">
        <v>23.0</v>
      </c>
      <c r="AD431" s="941">
        <v>13.0</v>
      </c>
      <c r="AE431" s="941">
        <v>12.0</v>
      </c>
      <c r="AF431" s="941">
        <v>4.0</v>
      </c>
      <c r="AG431" s="941">
        <v>2271.0</v>
      </c>
      <c r="AH431" s="941">
        <v>2886.0</v>
      </c>
      <c r="AI431" s="941">
        <v>13.0</v>
      </c>
      <c r="AJ431" s="941">
        <v>442.0</v>
      </c>
      <c r="AK431" s="941">
        <v>0.0</v>
      </c>
      <c r="AL431" s="941">
        <v>4.0</v>
      </c>
      <c r="AM431" s="941">
        <v>1.0</v>
      </c>
      <c r="AN431" s="941">
        <v>0.0</v>
      </c>
      <c r="AO431" s="941">
        <v>0.0</v>
      </c>
      <c r="AP431" s="941">
        <v>2.0</v>
      </c>
      <c r="AQ431" s="941">
        <v>0.0</v>
      </c>
      <c r="AR431" s="941">
        <v>29.0</v>
      </c>
      <c r="AS431" s="941">
        <v>5.0</v>
      </c>
      <c r="AT431" s="941">
        <v>2.0</v>
      </c>
      <c r="AU431" s="941">
        <v>0.0</v>
      </c>
      <c r="AV431" s="941">
        <v>0.0</v>
      </c>
      <c r="AW431" s="941">
        <v>0.0</v>
      </c>
      <c r="AX431" s="941">
        <v>0.0</v>
      </c>
      <c r="AY431" s="941">
        <v>0.0</v>
      </c>
      <c r="AZ431" s="941">
        <v>0.0</v>
      </c>
      <c r="BA431" s="941">
        <v>0.0</v>
      </c>
      <c r="BB431" s="941">
        <v>17.0</v>
      </c>
      <c r="BC431" s="941">
        <v>0.0</v>
      </c>
      <c r="BD431" s="941">
        <v>30.0</v>
      </c>
      <c r="BE431" s="941">
        <v>29.0</v>
      </c>
      <c r="BF431" s="941">
        <v>1.0</v>
      </c>
      <c r="BG431" s="942">
        <v>0.0</v>
      </c>
    </row>
    <row r="432">
      <c r="A432" s="935" t="s">
        <v>121</v>
      </c>
      <c r="B432" s="16" t="str">
        <f>IF(C432&lt;'PlayerGrades+'!$Y$44,"F-",IF(C432&lt;'PlayerGrades+'!$Y$43,"F",IF(C432&lt;'PlayerGrades+'!$Y$42,"F+",IF(C432&lt;'PlayerGrades+'!$Y$41,"E-",IF(C432&lt;'PlayerGrades+'!$Y$40,"E",IF(C432&lt;'PlayerGrades+'!$Y$39,"E+",IF(C432&lt;'PlayerGrades+'!$Y$38,"D-",IF(C432&lt;'PlayerGrades+'!$Y$37,"D",IF(C432&lt;'PlayerGrades+'!$Y$36,"D+",IF(C432&lt;'PlayerGrades+'!$Y$35,"C-",IF(C432&lt;'PlayerGrades+'!$Y$34,"C",IF(C432&lt;'PlayerGrades+'!$Y$33,"C+",IF(C432&lt;'PlayerGrades+'!$Y$32,"B-",IF(C432&lt;'PlayerGrades+'!$Y$31,"B",IF(C432&lt;'PlayerGrades+'!$Y$30,"B+",IF(C432&lt;'PlayerGrades+'!$Y$29,"A-",IF(C432&lt;'PlayerGrades+'!$Y$28,"A",IF(C432&lt;'PlayerGrades+'!$Y$27,"A+",IF(C432&lt;'PlayerGrades+'!$Y$26,"S-",IF(C432&lt;'PlayerGrades+'!$Y$25,"S","S+"))))))))))))))))))))</f>
        <v>S</v>
      </c>
      <c r="C432" s="936">
        <f>('PlayerGrades+'!$Y$47*(VLOOKUP(E432, 'PlayerGrades+'!$X$3:$Y$23, 2, FALSE)))+('PlayerGrades+'!$Y$48*(VLOOKUP(G432, 'PlayerGrades+'!$X$3:$Y$23, 2, FALSE)))+('PlayerGrades+'!$Y$49*(VLOOKUP(I432, 'PlayerGrades+'!$X$3:$Y$23, 2, FALSE)))+('PlayerGrades+'!$Y$50*(VLOOKUP(K432, 'PlayerGrades+'!$X$3:$Y$23, 2, FALSE)))+('PlayerGrades+'!$Y$51*(VLOOKUP(M432, 'PlayerGrades+'!$X$3:$Y$23, 2, FALSE)))+('PlayerGrades+'!$Y$52*(VLOOKUP(O432, 'PlayerGrades+'!$X$3:$Y$23, 2, FALSE)))+('PlayerGrades+'!$Y$53*(VLOOKUP(Q432, 'PlayerGrades+'!$X$3:$Y$23, 2, FALSE)))+('PlayerGrades+'!$Y$54*(VLOOKUP(S432, 'PlayerGrades+'!$X$3:$Y$23, 2, FALSE)))+('PlayerGrades+'!$Y$55*(VLOOKUP(U432, 'PlayerGrades+'!$X$3:$Y$23, 2, FALSE)))</f>
        <v>32.75</v>
      </c>
      <c r="D432" s="937">
        <f t="shared" si="1"/>
        <v>0.02079002079</v>
      </c>
      <c r="E432" s="937" t="str">
        <f>IF(D432&lt;'PlayerGrades+'!$AA$21,"F-",IF(D432&lt;'PlayerGrades+'!$AA$20,"F",IF(D432&lt;'PlayerGrades+'!$AA$19,"F+",IF(D432&lt;'PlayerGrades+'!$AA$18,"E-",IF(D432&lt;'PlayerGrades+'!$AA$17,"E",IF(D432&lt;'PlayerGrades+'!$AA$16,"E+",IF(D432&lt;'PlayerGrades+'!$AA$15,"D-",IF(D432&lt;'PlayerGrades+'!$AA$14,"D",IF(D432&lt;'PlayerGrades+'!$AA$13,"D+",IF(D432&lt;'PlayerGrades+'!$AA$12,"C-",IF(D432&lt;'PlayerGrades+'!$AA$11,"C",IF(D432&lt;'PlayerGrades+'!$AA$10,"C+",IF(D432&lt;'PlayerGrades+'!$AA$9,"B-",IF(D432&lt;'PlayerGrades+'!$AA$8,"B",IF(D432&lt;'PlayerGrades+'!$AA$7,"B+",IF(D432&lt;'PlayerGrades+'!$AA$6,"A-",IF(D432&lt;'PlayerGrades+'!$AA$5,"A",IF(D432&lt;'PlayerGrades+'!$AA$4,"A+",IF(D432&lt;'PlayerGrades+'!$AA$3,"S-",IF(D432&lt;'PlayerGrades+'!$AA$2,"S","S+"))))))))))))))))))))</f>
        <v>E</v>
      </c>
      <c r="F432" s="937">
        <f t="shared" si="2"/>
        <v>1.101871102</v>
      </c>
      <c r="G432" s="937" t="str">
        <f>IF(F432&lt;'PlayerGrades+'!$AB$21,"F-",IF(F432&lt;'PlayerGrades+'!$AB$20,"F",IF(F432&lt;'PlayerGrades+'!$AB$19,"F+",IF(F432&lt;'PlayerGrades+'!$AB$18,"E-",IF(F432&lt;'PlayerGrades+'!$AB$17,"E",IF(F432&lt;'PlayerGrades+'!$AB$16,"E+",IF(F432&lt;'PlayerGrades+'!$AB$15,"D-",IF(F432&lt;'PlayerGrades+'!$AB$14,"D",IF(F432&lt;'PlayerGrades+'!$AB$13,"D+",IF(F432&lt;'PlayerGrades+'!$AB$12,"C-",IF(F432&lt;'PlayerGrades+'!$AB$11,"C",IF(F432&lt;'PlayerGrades+'!$AB$10,"C+",IF(F432&lt;'PlayerGrades+'!$AB$9,"B-",IF(F432&lt;'PlayerGrades+'!$AB$8,"B",IF(F432&lt;'PlayerGrades+'!$AB$7,"B+",IF(F432&lt;'PlayerGrades+'!$AB$6,"A-",IF(F432&lt;'PlayerGrades+'!$AB$5,"A",IF(F432&lt;'PlayerGrades+'!$AB$4,"A+",IF(F432&lt;'PlayerGrades+'!$AB$3,"S-",IF(F432&lt;'PlayerGrades+'!$AB$2,"S","S+"))))))))))))))))))))</f>
        <v>S+</v>
      </c>
      <c r="H432" s="937">
        <f t="shared" si="3"/>
        <v>0.5821205821</v>
      </c>
      <c r="I432" s="937" t="str">
        <f>IF(H432&lt;'PlayerGrades+'!$AC$21,"F-",IF(H432&lt;'PlayerGrades+'!$AC$20,"F",IF(H432&lt;'PlayerGrades+'!$AC$19,"F+",IF(H432&lt;'PlayerGrades+'!$AC$18,"E-",IF(H432&lt;'PlayerGrades+'!$AC$17,"E",IF(H432&lt;'PlayerGrades+'!$AC$16,"E+",IF(H432&lt;'PlayerGrades+'!$AC$15,"D-",IF(H432&lt;'PlayerGrades+'!$AC$14,"D",IF(H432&lt;'PlayerGrades+'!$AC$13,"D+",IF(H432&lt;'PlayerGrades+'!$AC$12,"C-",IF(H432&lt;'PlayerGrades+'!$AC$11,"C",IF(H432&lt;'PlayerGrades+'!$AC$10,"C+",IF(H432&lt;'PlayerGrades+'!$AC$9,"B-",IF(H432&lt;'PlayerGrades+'!$AC$8,"B",IF(H432&lt;'PlayerGrades+'!$AC$7,"B+",IF(H432&lt;'PlayerGrades+'!$AC$6,"A-",IF(H432&lt;'PlayerGrades+'!$AC$5,"A",IF(H432&lt;'PlayerGrades+'!$AC$4,"A+",IF(H432&lt;'PlayerGrades+'!$AC$3,"S-",IF(H432&lt;'PlayerGrades+'!$AC$2,"S","S+"))))))))))))))))))))</f>
        <v>S+</v>
      </c>
      <c r="J432" s="937">
        <f t="shared" si="4"/>
        <v>0.1455301455</v>
      </c>
      <c r="K432" s="937" t="str">
        <f>IF(J432&lt;'PlayerGrades+'!$AD$21,"F-",IF(J432&lt;'PlayerGrades+'!$AD$20,"F",IF(J432&lt;'PlayerGrades+'!$AD$19,"F+",IF(J432&lt;'PlayerGrades+'!$AD$18,"E-",IF(J432&lt;'PlayerGrades+'!$AD$17,"E",IF(J432&lt;'PlayerGrades+'!$AD$16,"E+",IF(J432&lt;'PlayerGrades+'!$AD$15,"D-",IF(J432&lt;'PlayerGrades+'!$AD$14,"D",IF(J432&lt;'PlayerGrades+'!$AD$13,"D+",IF(J432&lt;'PlayerGrades+'!$AD$12,"C-",IF(J432&lt;'PlayerGrades+'!$AD$11,"C",IF(J432&lt;'PlayerGrades+'!$AD$10,"C+",IF(J432&lt;'PlayerGrades+'!$AD$9,"B-",IF(J432&lt;'PlayerGrades+'!$AD$8,"B",IF(J432&lt;'PlayerGrades+'!$AD$7,"B+",IF(J432&lt;'PlayerGrades+'!$AD$6,"A-",IF(J432&lt;'PlayerGrades+'!$AD$5,"A",IF(J432&lt;'PlayerGrades+'!$AD$4,"A+",IF(J432&lt;'PlayerGrades+'!$AD$3,"S-",IF(J432&lt;'PlayerGrades+'!$AD$2,"S","S+"))))))))))))))))))))</f>
        <v>S+</v>
      </c>
      <c r="L432" s="677">
        <f t="shared" si="5"/>
        <v>0.7484407484</v>
      </c>
      <c r="M432" s="938" t="str">
        <f>IF(L432&lt;'PlayerGrades+'!$AE$21,"F-",IF(L432&lt;'PlayerGrades+'!$AE$20,"F",IF(L432&lt;'PlayerGrades+'!$AE$19,"F+",IF(L432&lt;'PlayerGrades+'!$AE$18,"E-",IF(L432&lt;'PlayerGrades+'!$AE$17,"E",IF(L432&lt;'PlayerGrades+'!$AE$16,"E+",IF(L432&lt;'PlayerGrades+'!$AE$15,"D-",IF(L432&lt;'PlayerGrades+'!$AE$14,"D",IF(L432&lt;'PlayerGrades+'!$AE$13,"D+",IF(L432&lt;'PlayerGrades+'!$AE$12,"C-",IF(L432&lt;'PlayerGrades+'!$AE$11,"C",IF(L432&lt;'PlayerGrades+'!$AE$10,"C+",IF(L432&lt;'PlayerGrades+'!$AE$9,"B-",IF(L432&lt;'PlayerGrades+'!$AE$8,"B",IF(L432&lt;'PlayerGrades+'!$AE$7,"B+",IF(L432&lt;'PlayerGrades+'!$AE$6,"A-",IF(L432&lt;'PlayerGrades+'!$AE$5,"A",IF(L432&lt;'PlayerGrades+'!$AE$4,"A+",IF(L432&lt;'PlayerGrades+'!$AE$3,"S-",IF(L432&lt;'PlayerGrades+'!$AE$2,"S","S+"))))))))))))))))))))</f>
        <v>S+</v>
      </c>
      <c r="N432" s="937">
        <f t="shared" si="6"/>
        <v>0.1663201663</v>
      </c>
      <c r="O432" s="937" t="str">
        <f>IF(N432&lt;'PlayerGrades+'!$AF$21,"F-",IF(N432&lt;'PlayerGrades+'!$AF$20,"F",IF(N432&lt;'PlayerGrades+'!$AF$19,"F+",IF(N432&lt;'PlayerGrades+'!$AF$18,"E-",IF(N432&lt;'PlayerGrades+'!$AF$17,"E",IF(N432&lt;'PlayerGrades+'!$AF$16,"E+",IF(N432&lt;'PlayerGrades+'!$AF$15,"D-",IF(N432&lt;'PlayerGrades+'!$AF$14,"D",IF(N432&lt;'PlayerGrades+'!$AF$13,"D+",IF(N432&lt;'PlayerGrades+'!$AF$12,"C-",IF(N432&lt;'PlayerGrades+'!$AF$11,"C",IF(N432&lt;'PlayerGrades+'!$AF$10,"C+",IF(N432&lt;'PlayerGrades+'!$AF$9,"B-",IF(N432&lt;'PlayerGrades+'!$AF$8,"B",IF(N432&lt;'PlayerGrades+'!$AF$7,"B+",IF(N432&lt;'PlayerGrades+'!$AF$6,"A-",IF(N432&lt;'PlayerGrades+'!$AF$5,"A",IF(N432&lt;'PlayerGrades+'!$AF$4,"A+",IF(N432&lt;'PlayerGrades+'!$AF$3,"S-",IF(N432&lt;'PlayerGrades+'!$AF$2,"S","S+"))))))))))))))))))))</f>
        <v>S+</v>
      </c>
      <c r="P432" s="937">
        <f t="shared" si="7"/>
        <v>0.1247401247</v>
      </c>
      <c r="Q432" s="937" t="str">
        <f>IF(P432&lt;'PlayerGrades+'!$AG$21,"F-",IF(P432&lt;'PlayerGrades+'!$AG$20,"F",IF(P432&lt;'PlayerGrades+'!$AG$19,"F+",IF(P432&lt;'PlayerGrades+'!$AG$18,"E-",IF(P432&lt;'PlayerGrades+'!$AG$17,"E",IF(P432&lt;'PlayerGrades+'!$AG$16,"E+",IF(P432&lt;'PlayerGrades+'!$AG$15,"D-",IF(P432&lt;'PlayerGrades+'!$AG$14,"D",IF(P432&lt;'PlayerGrades+'!$AG$13,"D+",IF(P432&lt;'PlayerGrades+'!$AG$12,"C-",IF(P432&lt;'PlayerGrades+'!$AG$11,"C",IF(P432&lt;'PlayerGrades+'!$AG$10,"C+",IF(P432&lt;'PlayerGrades+'!$AG$9,"B-",IF(P432&lt;'PlayerGrades+'!$AG$8,"B",IF(P432&lt;'PlayerGrades+'!$AG$7,"B+",IF(P432&lt;'PlayerGrades+'!$AG$6,"A-",IF(P432&lt;'PlayerGrades+'!$AG$5,"A",IF(P432&lt;'PlayerGrades+'!$AG$4,"A+",IF(P432&lt;'PlayerGrades+'!$AG$3,"S-",IF(P432&lt;'PlayerGrades+'!$AG$2,"S","S+"))))))))))))))))))))</f>
        <v>S+</v>
      </c>
      <c r="R432" s="937">
        <f t="shared" si="8"/>
        <v>0.6237006237</v>
      </c>
      <c r="S432" s="937" t="str">
        <f>IF(R432&lt;'PlayerGrades+'!$AH$21,"F-",IF(R432&lt;'PlayerGrades+'!$AH$20,"F",IF(R432&lt;'PlayerGrades+'!$AH$19,"F+",IF(R432&lt;'PlayerGrades+'!$AH$18,"E-",IF(R432&lt;'PlayerGrades+'!$AH$17,"E",IF(R432&lt;'PlayerGrades+'!$AH$16,"E+",IF(R432&lt;'PlayerGrades+'!$AH$15,"D-",IF(R432&lt;'PlayerGrades+'!$AH$14,"D",IF(R432&lt;'PlayerGrades+'!$AH$13,"D+",IF(R432&lt;'PlayerGrades+'!$AH$12,"C-",IF(R432&lt;'PlayerGrades+'!$AH$11,"C",IF(R432&lt;'PlayerGrades+'!$AH$10,"C+",IF(R432&lt;'PlayerGrades+'!$AH$9,"B-",IF(R432&lt;'PlayerGrades+'!$AH$8,"B",IF(R432&lt;'PlayerGrades+'!$AH$7,"B+",IF(R432&lt;'PlayerGrades+'!$AH$6,"A-",IF(R432&lt;'PlayerGrades+'!$AH$5,"A",IF(R432&lt;'PlayerGrades+'!$AH$4,"A+",IF(R432&lt;'PlayerGrades+'!$AH$3,"S-",IF(R432&lt;'PlayerGrades+'!$AH$2,"S","S+"))))))))))))))))))))</f>
        <v>A-</v>
      </c>
      <c r="T432" s="937">
        <f t="shared" si="9"/>
        <v>1.665280665</v>
      </c>
      <c r="U432" s="937" t="str">
        <f>IF(T432&lt;'PlayerGrades+'!$AI$21,"F-",IF(T432&lt;'PlayerGrades+'!$AI$20,"F",IF(T432&lt;'PlayerGrades+'!$AI$19,"F+",IF(T432&lt;'PlayerGrades+'!$AI$18,"E-",IF(T432&lt;'PlayerGrades+'!$AI$17,"E",IF(T432&lt;'PlayerGrades+'!$AI$16,"E+",IF(T432&lt;'PlayerGrades+'!$AI$15,"D-",IF(T432&lt;'PlayerGrades+'!$AI$14,"D",IF(T432&lt;'PlayerGrades+'!$AI$13,"D+",IF(T432&lt;'PlayerGrades+'!$AI$12,"C-",IF(T432&lt;'PlayerGrades+'!$AI$11,"C",IF(T432&lt;'PlayerGrades+'!$AI$10,"C+",IF(T432&lt;'PlayerGrades+'!$AI$9,"B-",IF(T432&lt;'PlayerGrades+'!$AI$8,"B",IF(T432&lt;'PlayerGrades+'!$AI$7,"B+",IF(T432&lt;'PlayerGrades+'!$AI$6,"A-",IF(T432&lt;'PlayerGrades+'!$AI$5,"A",IF(T432&lt;'PlayerGrades+'!$AI$4,"A+",IF(T432&lt;'PlayerGrades+'!$AI$3,"S-",IF(T432&lt;'PlayerGrades+'!$AI$2,"S","S+"))))))))))))))))))))</f>
        <v>S-</v>
      </c>
      <c r="V432" s="941">
        <v>1.0</v>
      </c>
      <c r="W432" s="941">
        <v>0.0</v>
      </c>
      <c r="X432" s="941">
        <v>1.0</v>
      </c>
      <c r="Y432" s="941">
        <v>0.0</v>
      </c>
      <c r="Z432" s="941">
        <v>1.0</v>
      </c>
      <c r="AA432" s="941">
        <v>212.0</v>
      </c>
      <c r="AB432" s="941">
        <v>159.0</v>
      </c>
      <c r="AC432" s="941">
        <v>53.0</v>
      </c>
      <c r="AD432" s="941">
        <v>15.0</v>
      </c>
      <c r="AE432" s="941">
        <v>6.0</v>
      </c>
      <c r="AF432" s="941">
        <v>3.0</v>
      </c>
      <c r="AG432" s="941">
        <v>2310.0</v>
      </c>
      <c r="AH432" s="941">
        <v>2886.0</v>
      </c>
      <c r="AI432" s="941">
        <v>14.0</v>
      </c>
      <c r="AJ432" s="941">
        <v>24.0</v>
      </c>
      <c r="AK432" s="941">
        <v>0.0</v>
      </c>
      <c r="AL432" s="941">
        <v>7.0</v>
      </c>
      <c r="AM432" s="941">
        <v>0.0</v>
      </c>
      <c r="AN432" s="941">
        <v>0.0</v>
      </c>
      <c r="AO432" s="941">
        <v>0.0</v>
      </c>
      <c r="AP432" s="941">
        <v>6.0</v>
      </c>
      <c r="AQ432" s="941">
        <v>0.0</v>
      </c>
      <c r="AR432" s="941">
        <v>36.0</v>
      </c>
      <c r="AS432" s="941">
        <v>8.0</v>
      </c>
      <c r="AT432" s="941">
        <v>1.0</v>
      </c>
      <c r="AU432" s="941">
        <v>0.0</v>
      </c>
      <c r="AV432" s="941">
        <v>0.0</v>
      </c>
      <c r="AW432" s="941">
        <v>0.0</v>
      </c>
      <c r="AX432" s="941">
        <v>0.0</v>
      </c>
      <c r="AY432" s="941">
        <v>0.0</v>
      </c>
      <c r="AZ432" s="941">
        <v>0.0</v>
      </c>
      <c r="BA432" s="941">
        <v>0.0</v>
      </c>
      <c r="BB432" s="941">
        <v>28.0</v>
      </c>
      <c r="BC432" s="941">
        <v>0.0</v>
      </c>
      <c r="BD432" s="941">
        <v>15.0</v>
      </c>
      <c r="BE432" s="941">
        <v>32.0</v>
      </c>
      <c r="BF432" s="941">
        <v>1.0</v>
      </c>
      <c r="BG432" s="942">
        <v>0.0</v>
      </c>
    </row>
    <row r="433">
      <c r="A433" s="943" t="s">
        <v>420</v>
      </c>
      <c r="B433" s="16" t="str">
        <f>IF(C433&lt;'PlayerGrades+'!$Y$44,"F-",IF(C433&lt;'PlayerGrades+'!$Y$43,"F",IF(C433&lt;'PlayerGrades+'!$Y$42,"F+",IF(C433&lt;'PlayerGrades+'!$Y$41,"E-",IF(C433&lt;'PlayerGrades+'!$Y$40,"E",IF(C433&lt;'PlayerGrades+'!$Y$39,"E+",IF(C433&lt;'PlayerGrades+'!$Y$38,"D-",IF(C433&lt;'PlayerGrades+'!$Y$37,"D",IF(C433&lt;'PlayerGrades+'!$Y$36,"D+",IF(C433&lt;'PlayerGrades+'!$Y$35,"C-",IF(C433&lt;'PlayerGrades+'!$Y$34,"C",IF(C433&lt;'PlayerGrades+'!$Y$33,"C+",IF(C433&lt;'PlayerGrades+'!$Y$32,"B-",IF(C433&lt;'PlayerGrades+'!$Y$31,"B",IF(C433&lt;'PlayerGrades+'!$Y$30,"B+",IF(C433&lt;'PlayerGrades+'!$Y$29,"A-",IF(C433&lt;'PlayerGrades+'!$Y$28,"A",IF(C433&lt;'PlayerGrades+'!$Y$27,"A+",IF(C433&lt;'PlayerGrades+'!$Y$26,"S-",IF(C433&lt;'PlayerGrades+'!$Y$25,"S","S+"))))))))))))))))))))</f>
        <v>A+</v>
      </c>
      <c r="C433" s="936">
        <f>('PlayerGrades+'!$Y$47*(VLOOKUP(E433, 'PlayerGrades+'!$X$3:$Y$23, 2, FALSE)))+('PlayerGrades+'!$Y$48*(VLOOKUP(G433, 'PlayerGrades+'!$X$3:$Y$23, 2, FALSE)))+('PlayerGrades+'!$Y$49*(VLOOKUP(I433, 'PlayerGrades+'!$X$3:$Y$23, 2, FALSE)))+('PlayerGrades+'!$Y$50*(VLOOKUP(K433, 'PlayerGrades+'!$X$3:$Y$23, 2, FALSE)))+('PlayerGrades+'!$Y$51*(VLOOKUP(M433, 'PlayerGrades+'!$X$3:$Y$23, 2, FALSE)))+('PlayerGrades+'!$Y$52*(VLOOKUP(O433, 'PlayerGrades+'!$X$3:$Y$23, 2, FALSE)))+('PlayerGrades+'!$Y$53*(VLOOKUP(Q433, 'PlayerGrades+'!$X$3:$Y$23, 2, FALSE)))+('PlayerGrades+'!$Y$54*(VLOOKUP(S433, 'PlayerGrades+'!$X$3:$Y$23, 2, FALSE)))+('PlayerGrades+'!$Y$55*(VLOOKUP(U433, 'PlayerGrades+'!$X$3:$Y$23, 2, FALSE)))</f>
        <v>28.35</v>
      </c>
      <c r="D433" s="937">
        <f t="shared" si="1"/>
        <v>0</v>
      </c>
      <c r="E433" s="937" t="str">
        <f>IF(D433&lt;'PlayerGrades+'!$AA$21,"F-",IF(D433&lt;'PlayerGrades+'!$AA$20,"F",IF(D433&lt;'PlayerGrades+'!$AA$19,"F+",IF(D433&lt;'PlayerGrades+'!$AA$18,"E-",IF(D433&lt;'PlayerGrades+'!$AA$17,"E",IF(D433&lt;'PlayerGrades+'!$AA$16,"E+",IF(D433&lt;'PlayerGrades+'!$AA$15,"D-",IF(D433&lt;'PlayerGrades+'!$AA$14,"D",IF(D433&lt;'PlayerGrades+'!$AA$13,"D+",IF(D433&lt;'PlayerGrades+'!$AA$12,"C-",IF(D433&lt;'PlayerGrades+'!$AA$11,"C",IF(D433&lt;'PlayerGrades+'!$AA$10,"C+",IF(D433&lt;'PlayerGrades+'!$AA$9,"B-",IF(D433&lt;'PlayerGrades+'!$AA$8,"B",IF(D433&lt;'PlayerGrades+'!$AA$7,"B+",IF(D433&lt;'PlayerGrades+'!$AA$6,"A-",IF(D433&lt;'PlayerGrades+'!$AA$5,"A",IF(D433&lt;'PlayerGrades+'!$AA$4,"A+",IF(D433&lt;'PlayerGrades+'!$AA$3,"S-",IF(D433&lt;'PlayerGrades+'!$AA$2,"S","S+"))))))))))))))))))))</f>
        <v>F-</v>
      </c>
      <c r="F433" s="937">
        <f t="shared" si="2"/>
        <v>0.5197505198</v>
      </c>
      <c r="G433" s="937" t="str">
        <f>IF(F433&lt;'PlayerGrades+'!$AB$21,"F-",IF(F433&lt;'PlayerGrades+'!$AB$20,"F",IF(F433&lt;'PlayerGrades+'!$AB$19,"F+",IF(F433&lt;'PlayerGrades+'!$AB$18,"E-",IF(F433&lt;'PlayerGrades+'!$AB$17,"E",IF(F433&lt;'PlayerGrades+'!$AB$16,"E+",IF(F433&lt;'PlayerGrades+'!$AB$15,"D-",IF(F433&lt;'PlayerGrades+'!$AB$14,"D",IF(F433&lt;'PlayerGrades+'!$AB$13,"D+",IF(F433&lt;'PlayerGrades+'!$AB$12,"C-",IF(F433&lt;'PlayerGrades+'!$AB$11,"C",IF(F433&lt;'PlayerGrades+'!$AB$10,"C+",IF(F433&lt;'PlayerGrades+'!$AB$9,"B-",IF(F433&lt;'PlayerGrades+'!$AB$8,"B",IF(F433&lt;'PlayerGrades+'!$AB$7,"B+",IF(F433&lt;'PlayerGrades+'!$AB$6,"A-",IF(F433&lt;'PlayerGrades+'!$AB$5,"A",IF(F433&lt;'PlayerGrades+'!$AB$4,"A+",IF(F433&lt;'PlayerGrades+'!$AB$3,"S-",IF(F433&lt;'PlayerGrades+'!$AB$2,"S","S+"))))))))))))))))))))</f>
        <v>A+</v>
      </c>
      <c r="H433" s="937">
        <f t="shared" si="3"/>
        <v>0.4781704782</v>
      </c>
      <c r="I433" s="937" t="str">
        <f>IF(H433&lt;'PlayerGrades+'!$AC$21,"F-",IF(H433&lt;'PlayerGrades+'!$AC$20,"F",IF(H433&lt;'PlayerGrades+'!$AC$19,"F+",IF(H433&lt;'PlayerGrades+'!$AC$18,"E-",IF(H433&lt;'PlayerGrades+'!$AC$17,"E",IF(H433&lt;'PlayerGrades+'!$AC$16,"E+",IF(H433&lt;'PlayerGrades+'!$AC$15,"D-",IF(H433&lt;'PlayerGrades+'!$AC$14,"D",IF(H433&lt;'PlayerGrades+'!$AC$13,"D+",IF(H433&lt;'PlayerGrades+'!$AC$12,"C-",IF(H433&lt;'PlayerGrades+'!$AC$11,"C",IF(H433&lt;'PlayerGrades+'!$AC$10,"C+",IF(H433&lt;'PlayerGrades+'!$AC$9,"B-",IF(H433&lt;'PlayerGrades+'!$AC$8,"B",IF(H433&lt;'PlayerGrades+'!$AC$7,"B+",IF(H433&lt;'PlayerGrades+'!$AC$6,"A-",IF(H433&lt;'PlayerGrades+'!$AC$5,"A",IF(H433&lt;'PlayerGrades+'!$AC$4,"A+",IF(H433&lt;'PlayerGrades+'!$AC$3,"S-",IF(H433&lt;'PlayerGrades+'!$AC$2,"S","S+"))))))))))))))))))))</f>
        <v>S+</v>
      </c>
      <c r="J433" s="937">
        <f t="shared" si="4"/>
        <v>0.04158004158</v>
      </c>
      <c r="K433" s="937" t="str">
        <f>IF(J433&lt;'PlayerGrades+'!$AD$21,"F-",IF(J433&lt;'PlayerGrades+'!$AD$20,"F",IF(J433&lt;'PlayerGrades+'!$AD$19,"F+",IF(J433&lt;'PlayerGrades+'!$AD$18,"E-",IF(J433&lt;'PlayerGrades+'!$AD$17,"E",IF(J433&lt;'PlayerGrades+'!$AD$16,"E+",IF(J433&lt;'PlayerGrades+'!$AD$15,"D-",IF(J433&lt;'PlayerGrades+'!$AD$14,"D",IF(J433&lt;'PlayerGrades+'!$AD$13,"D+",IF(J433&lt;'PlayerGrades+'!$AD$12,"C-",IF(J433&lt;'PlayerGrades+'!$AD$11,"C",IF(J433&lt;'PlayerGrades+'!$AD$10,"C+",IF(J433&lt;'PlayerGrades+'!$AD$9,"B-",IF(J433&lt;'PlayerGrades+'!$AD$8,"B",IF(J433&lt;'PlayerGrades+'!$AD$7,"B+",IF(J433&lt;'PlayerGrades+'!$AD$6,"A-",IF(J433&lt;'PlayerGrades+'!$AD$5,"A",IF(J433&lt;'PlayerGrades+'!$AD$4,"A+",IF(J433&lt;'PlayerGrades+'!$AD$3,"S-",IF(J433&lt;'PlayerGrades+'!$AD$2,"S","S+"))))))))))))))))))))</f>
        <v>C+</v>
      </c>
      <c r="L433" s="677">
        <f t="shared" si="5"/>
        <v>0.6237006237</v>
      </c>
      <c r="M433" s="938" t="str">
        <f>IF(L433&lt;'PlayerGrades+'!$AE$21,"F-",IF(L433&lt;'PlayerGrades+'!$AE$20,"F",IF(L433&lt;'PlayerGrades+'!$AE$19,"F+",IF(L433&lt;'PlayerGrades+'!$AE$18,"E-",IF(L433&lt;'PlayerGrades+'!$AE$17,"E",IF(L433&lt;'PlayerGrades+'!$AE$16,"E+",IF(L433&lt;'PlayerGrades+'!$AE$15,"D-",IF(L433&lt;'PlayerGrades+'!$AE$14,"D",IF(L433&lt;'PlayerGrades+'!$AE$13,"D+",IF(L433&lt;'PlayerGrades+'!$AE$12,"C-",IF(L433&lt;'PlayerGrades+'!$AE$11,"C",IF(L433&lt;'PlayerGrades+'!$AE$10,"C+",IF(L433&lt;'PlayerGrades+'!$AE$9,"B-",IF(L433&lt;'PlayerGrades+'!$AE$8,"B",IF(L433&lt;'PlayerGrades+'!$AE$7,"B+",IF(L433&lt;'PlayerGrades+'!$AE$6,"A-",IF(L433&lt;'PlayerGrades+'!$AE$5,"A",IF(L433&lt;'PlayerGrades+'!$AE$4,"A+",IF(L433&lt;'PlayerGrades+'!$AE$3,"S-",IF(L433&lt;'PlayerGrades+'!$AE$2,"S","S+"))))))))))))))))))))</f>
        <v>S-</v>
      </c>
      <c r="N433" s="937">
        <f t="shared" si="6"/>
        <v>0.08316008316</v>
      </c>
      <c r="O433" s="937" t="str">
        <f>IF(N433&lt;'PlayerGrades+'!$AF$21,"F-",IF(N433&lt;'PlayerGrades+'!$AF$20,"F",IF(N433&lt;'PlayerGrades+'!$AF$19,"F+",IF(N433&lt;'PlayerGrades+'!$AF$18,"E-",IF(N433&lt;'PlayerGrades+'!$AF$17,"E",IF(N433&lt;'PlayerGrades+'!$AF$16,"E+",IF(N433&lt;'PlayerGrades+'!$AF$15,"D-",IF(N433&lt;'PlayerGrades+'!$AF$14,"D",IF(N433&lt;'PlayerGrades+'!$AF$13,"D+",IF(N433&lt;'PlayerGrades+'!$AF$12,"C-",IF(N433&lt;'PlayerGrades+'!$AF$11,"C",IF(N433&lt;'PlayerGrades+'!$AF$10,"C+",IF(N433&lt;'PlayerGrades+'!$AF$9,"B-",IF(N433&lt;'PlayerGrades+'!$AF$8,"B",IF(N433&lt;'PlayerGrades+'!$AF$7,"B+",IF(N433&lt;'PlayerGrades+'!$AF$6,"A-",IF(N433&lt;'PlayerGrades+'!$AF$5,"A",IF(N433&lt;'PlayerGrades+'!$AF$4,"A+",IF(N433&lt;'PlayerGrades+'!$AF$3,"S-",IF(N433&lt;'PlayerGrades+'!$AF$2,"S","S+"))))))))))))))))))))</f>
        <v>B</v>
      </c>
      <c r="P433" s="937">
        <f t="shared" si="7"/>
        <v>0.04158004158</v>
      </c>
      <c r="Q433" s="937" t="str">
        <f>IF(P433&lt;'PlayerGrades+'!$AG$21,"F-",IF(P433&lt;'PlayerGrades+'!$AG$20,"F",IF(P433&lt;'PlayerGrades+'!$AG$19,"F+",IF(P433&lt;'PlayerGrades+'!$AG$18,"E-",IF(P433&lt;'PlayerGrades+'!$AG$17,"E",IF(P433&lt;'PlayerGrades+'!$AG$16,"E+",IF(P433&lt;'PlayerGrades+'!$AG$15,"D-",IF(P433&lt;'PlayerGrades+'!$AG$14,"D",IF(P433&lt;'PlayerGrades+'!$AG$13,"D+",IF(P433&lt;'PlayerGrades+'!$AG$12,"C-",IF(P433&lt;'PlayerGrades+'!$AG$11,"C",IF(P433&lt;'PlayerGrades+'!$AG$10,"C+",IF(P433&lt;'PlayerGrades+'!$AG$9,"B-",IF(P433&lt;'PlayerGrades+'!$AG$8,"B",IF(P433&lt;'PlayerGrades+'!$AG$7,"B+",IF(P433&lt;'PlayerGrades+'!$AG$6,"A-",IF(P433&lt;'PlayerGrades+'!$AG$5,"A",IF(P433&lt;'PlayerGrades+'!$AG$4,"A+",IF(P433&lt;'PlayerGrades+'!$AG$3,"S-",IF(P433&lt;'PlayerGrades+'!$AG$2,"S","S+"))))))))))))))))))))</f>
        <v>A</v>
      </c>
      <c r="R433" s="937">
        <f t="shared" si="8"/>
        <v>0.79002079</v>
      </c>
      <c r="S433" s="937" t="str">
        <f>IF(R433&lt;'PlayerGrades+'!$AH$21,"F-",IF(R433&lt;'PlayerGrades+'!$AH$20,"F",IF(R433&lt;'PlayerGrades+'!$AH$19,"F+",IF(R433&lt;'PlayerGrades+'!$AH$18,"E-",IF(R433&lt;'PlayerGrades+'!$AH$17,"E",IF(R433&lt;'PlayerGrades+'!$AH$16,"E+",IF(R433&lt;'PlayerGrades+'!$AH$15,"D-",IF(R433&lt;'PlayerGrades+'!$AH$14,"D",IF(R433&lt;'PlayerGrades+'!$AH$13,"D+",IF(R433&lt;'PlayerGrades+'!$AH$12,"C-",IF(R433&lt;'PlayerGrades+'!$AH$11,"C",IF(R433&lt;'PlayerGrades+'!$AH$10,"C+",IF(R433&lt;'PlayerGrades+'!$AH$9,"B-",IF(R433&lt;'PlayerGrades+'!$AH$8,"B",IF(R433&lt;'PlayerGrades+'!$AH$7,"B+",IF(R433&lt;'PlayerGrades+'!$AH$6,"A-",IF(R433&lt;'PlayerGrades+'!$AH$5,"A",IF(R433&lt;'PlayerGrades+'!$AH$4,"A+",IF(R433&lt;'PlayerGrades+'!$AH$3,"S-",IF(R433&lt;'PlayerGrades+'!$AH$2,"S","S+"))))))))))))))))))))</f>
        <v>S+</v>
      </c>
      <c r="T433" s="937">
        <f t="shared" si="9"/>
        <v>1.457380457</v>
      </c>
      <c r="U433" s="937" t="str">
        <f>IF(T433&lt;'PlayerGrades+'!$AI$21,"F-",IF(T433&lt;'PlayerGrades+'!$AI$20,"F",IF(T433&lt;'PlayerGrades+'!$AI$19,"F+",IF(T433&lt;'PlayerGrades+'!$AI$18,"E-",IF(T433&lt;'PlayerGrades+'!$AI$17,"E",IF(T433&lt;'PlayerGrades+'!$AI$16,"E+",IF(T433&lt;'PlayerGrades+'!$AI$15,"D-",IF(T433&lt;'PlayerGrades+'!$AI$14,"D",IF(T433&lt;'PlayerGrades+'!$AI$13,"D+",IF(T433&lt;'PlayerGrades+'!$AI$12,"C-",IF(T433&lt;'PlayerGrades+'!$AI$11,"C",IF(T433&lt;'PlayerGrades+'!$AI$10,"C+",IF(T433&lt;'PlayerGrades+'!$AI$9,"B-",IF(T433&lt;'PlayerGrades+'!$AI$8,"B",IF(T433&lt;'PlayerGrades+'!$AI$7,"B+",IF(T433&lt;'PlayerGrades+'!$AI$6,"A-",IF(T433&lt;'PlayerGrades+'!$AI$5,"A",IF(T433&lt;'PlayerGrades+'!$AI$4,"A+",IF(T433&lt;'PlayerGrades+'!$AI$3,"S-",IF(T433&lt;'PlayerGrades+'!$AI$2,"S","S+"))))))))))))))))))))</f>
        <v>A-</v>
      </c>
      <c r="V433" s="944">
        <v>1.0</v>
      </c>
      <c r="W433" s="944">
        <v>0.0</v>
      </c>
      <c r="X433" s="944">
        <v>1.0</v>
      </c>
      <c r="Y433" s="944">
        <v>0.0</v>
      </c>
      <c r="Z433" s="944">
        <v>0.0</v>
      </c>
      <c r="AA433" s="944">
        <v>188.0</v>
      </c>
      <c r="AB433" s="944">
        <v>163.0</v>
      </c>
      <c r="AC433" s="944">
        <v>25.0</v>
      </c>
      <c r="AD433" s="944">
        <v>18.0</v>
      </c>
      <c r="AE433" s="944">
        <v>6.0</v>
      </c>
      <c r="AF433" s="944">
        <v>4.0</v>
      </c>
      <c r="AG433" s="944">
        <v>2306.0</v>
      </c>
      <c r="AH433" s="944">
        <v>2886.0</v>
      </c>
      <c r="AI433" s="944">
        <v>14.0</v>
      </c>
      <c r="AJ433" s="944">
        <v>48.0</v>
      </c>
      <c r="AK433" s="944">
        <v>0.0</v>
      </c>
      <c r="AL433" s="944">
        <v>2.0</v>
      </c>
      <c r="AM433" s="944">
        <v>0.0</v>
      </c>
      <c r="AN433" s="944">
        <v>0.0</v>
      </c>
      <c r="AO433" s="944">
        <v>0.0</v>
      </c>
      <c r="AP433" s="944">
        <v>2.0</v>
      </c>
      <c r="AQ433" s="944">
        <v>0.0</v>
      </c>
      <c r="AR433" s="944">
        <v>30.0</v>
      </c>
      <c r="AS433" s="944">
        <v>4.0</v>
      </c>
      <c r="AT433" s="944">
        <v>0.0</v>
      </c>
      <c r="AU433" s="944">
        <v>0.0</v>
      </c>
      <c r="AV433" s="944">
        <v>0.0</v>
      </c>
      <c r="AW433" s="944">
        <v>0.0</v>
      </c>
      <c r="AX433" s="944">
        <v>0.0</v>
      </c>
      <c r="AY433" s="944">
        <v>0.0</v>
      </c>
      <c r="AZ433" s="944">
        <v>0.0</v>
      </c>
      <c r="BA433" s="944">
        <v>0.0</v>
      </c>
      <c r="BB433" s="944">
        <v>23.0</v>
      </c>
      <c r="BC433" s="944">
        <v>0.0</v>
      </c>
      <c r="BD433" s="944">
        <v>20.0</v>
      </c>
      <c r="BE433" s="944">
        <v>22.0</v>
      </c>
      <c r="BF433" s="944">
        <v>1.0</v>
      </c>
      <c r="BG433" s="945">
        <v>0.0</v>
      </c>
    </row>
    <row r="434">
      <c r="A434" s="946" t="s">
        <v>149</v>
      </c>
      <c r="B434" s="16" t="str">
        <f>IF(C434&lt;'PlayerGrades+'!$Y$44,"F-",IF(C434&lt;'PlayerGrades+'!$Y$43,"F",IF(C434&lt;'PlayerGrades+'!$Y$42,"F+",IF(C434&lt;'PlayerGrades+'!$Y$41,"E-",IF(C434&lt;'PlayerGrades+'!$Y$40,"E",IF(C434&lt;'PlayerGrades+'!$Y$39,"E+",IF(C434&lt;'PlayerGrades+'!$Y$38,"D-",IF(C434&lt;'PlayerGrades+'!$Y$37,"D",IF(C434&lt;'PlayerGrades+'!$Y$36,"D+",IF(C434&lt;'PlayerGrades+'!$Y$35,"C-",IF(C434&lt;'PlayerGrades+'!$Y$34,"C",IF(C434&lt;'PlayerGrades+'!$Y$33,"C+",IF(C434&lt;'PlayerGrades+'!$Y$32,"B-",IF(C434&lt;'PlayerGrades+'!$Y$31,"B",IF(C434&lt;'PlayerGrades+'!$Y$30,"B+",IF(C434&lt;'PlayerGrades+'!$Y$29,"A-",IF(C434&lt;'PlayerGrades+'!$Y$28,"A",IF(C434&lt;'PlayerGrades+'!$Y$27,"A+",IF(C434&lt;'PlayerGrades+'!$Y$26,"S-",IF(C434&lt;'PlayerGrades+'!$Y$25,"S","S+"))))))))))))))))))))</f>
        <v>D-</v>
      </c>
      <c r="C434" s="936">
        <f>('PlayerGrades+'!$Y$47*(VLOOKUP(E434, 'PlayerGrades+'!$X$3:$Y$23, 2, FALSE)))+('PlayerGrades+'!$Y$48*(VLOOKUP(G434, 'PlayerGrades+'!$X$3:$Y$23, 2, FALSE)))+('PlayerGrades+'!$Y$49*(VLOOKUP(I434, 'PlayerGrades+'!$X$3:$Y$23, 2, FALSE)))+('PlayerGrades+'!$Y$50*(VLOOKUP(K434, 'PlayerGrades+'!$X$3:$Y$23, 2, FALSE)))+('PlayerGrades+'!$Y$51*(VLOOKUP(M434, 'PlayerGrades+'!$X$3:$Y$23, 2, FALSE)))+('PlayerGrades+'!$Y$52*(VLOOKUP(O434, 'PlayerGrades+'!$X$3:$Y$23, 2, FALSE)))+('PlayerGrades+'!$Y$53*(VLOOKUP(Q434, 'PlayerGrades+'!$X$3:$Y$23, 2, FALSE)))+('PlayerGrades+'!$Y$54*(VLOOKUP(S434, 'PlayerGrades+'!$X$3:$Y$23, 2, FALSE)))+('PlayerGrades+'!$Y$55*(VLOOKUP(U434, 'PlayerGrades+'!$X$3:$Y$23, 2, FALSE)))</f>
        <v>13.95</v>
      </c>
      <c r="D434" s="937">
        <f t="shared" si="1"/>
        <v>0.5790784558</v>
      </c>
      <c r="E434" s="937" t="str">
        <f>IF(D434&lt;'PlayerGrades+'!$AA$21,"F-",IF(D434&lt;'PlayerGrades+'!$AA$20,"F",IF(D434&lt;'PlayerGrades+'!$AA$19,"F+",IF(D434&lt;'PlayerGrades+'!$AA$18,"E-",IF(D434&lt;'PlayerGrades+'!$AA$17,"E",IF(D434&lt;'PlayerGrades+'!$AA$16,"E+",IF(D434&lt;'PlayerGrades+'!$AA$15,"D-",IF(D434&lt;'PlayerGrades+'!$AA$14,"D",IF(D434&lt;'PlayerGrades+'!$AA$13,"D+",IF(D434&lt;'PlayerGrades+'!$AA$12,"C-",IF(D434&lt;'PlayerGrades+'!$AA$11,"C",IF(D434&lt;'PlayerGrades+'!$AA$10,"C+",IF(D434&lt;'PlayerGrades+'!$AA$9,"B-",IF(D434&lt;'PlayerGrades+'!$AA$8,"B",IF(D434&lt;'PlayerGrades+'!$AA$7,"B+",IF(D434&lt;'PlayerGrades+'!$AA$6,"A-",IF(D434&lt;'PlayerGrades+'!$AA$5,"A",IF(D434&lt;'PlayerGrades+'!$AA$4,"A+",IF(D434&lt;'PlayerGrades+'!$AA$3,"S-",IF(D434&lt;'PlayerGrades+'!$AA$2,"S","S+"))))))))))))))))))))</f>
        <v>S-</v>
      </c>
      <c r="F434" s="937">
        <f t="shared" si="2"/>
        <v>0.504358655</v>
      </c>
      <c r="G434" s="937" t="str">
        <f>IF(F434&lt;'PlayerGrades+'!$AB$21,"F-",IF(F434&lt;'PlayerGrades+'!$AB$20,"F",IF(F434&lt;'PlayerGrades+'!$AB$19,"F+",IF(F434&lt;'PlayerGrades+'!$AB$18,"E-",IF(F434&lt;'PlayerGrades+'!$AB$17,"E",IF(F434&lt;'PlayerGrades+'!$AB$16,"E+",IF(F434&lt;'PlayerGrades+'!$AB$15,"D-",IF(F434&lt;'PlayerGrades+'!$AB$14,"D",IF(F434&lt;'PlayerGrades+'!$AB$13,"D+",IF(F434&lt;'PlayerGrades+'!$AB$12,"C-",IF(F434&lt;'PlayerGrades+'!$AB$11,"C",IF(F434&lt;'PlayerGrades+'!$AB$10,"C+",IF(F434&lt;'PlayerGrades+'!$AB$9,"B-",IF(F434&lt;'PlayerGrades+'!$AB$8,"B",IF(F434&lt;'PlayerGrades+'!$AB$7,"B+",IF(F434&lt;'PlayerGrades+'!$AB$6,"A-",IF(F434&lt;'PlayerGrades+'!$AB$5,"A",IF(F434&lt;'PlayerGrades+'!$AB$4,"A+",IF(F434&lt;'PlayerGrades+'!$AB$3,"S-",IF(F434&lt;'PlayerGrades+'!$AB$2,"S","S+"))))))))))))))))))))</f>
        <v>A+</v>
      </c>
      <c r="H434" s="937">
        <f t="shared" si="3"/>
        <v>0.01867995019</v>
      </c>
      <c r="I434" s="937" t="str">
        <f>IF(H434&lt;'PlayerGrades+'!$AC$21,"F-",IF(H434&lt;'PlayerGrades+'!$AC$20,"F",IF(H434&lt;'PlayerGrades+'!$AC$19,"F+",IF(H434&lt;'PlayerGrades+'!$AC$18,"E-",IF(H434&lt;'PlayerGrades+'!$AC$17,"E",IF(H434&lt;'PlayerGrades+'!$AC$16,"E+",IF(H434&lt;'PlayerGrades+'!$AC$15,"D-",IF(H434&lt;'PlayerGrades+'!$AC$14,"D",IF(H434&lt;'PlayerGrades+'!$AC$13,"D+",IF(H434&lt;'PlayerGrades+'!$AC$12,"C-",IF(H434&lt;'PlayerGrades+'!$AC$11,"C",IF(H434&lt;'PlayerGrades+'!$AC$10,"C+",IF(H434&lt;'PlayerGrades+'!$AC$9,"B-",IF(H434&lt;'PlayerGrades+'!$AC$8,"B",IF(H434&lt;'PlayerGrades+'!$AC$7,"B+",IF(H434&lt;'PlayerGrades+'!$AC$6,"A-",IF(H434&lt;'PlayerGrades+'!$AC$5,"A",IF(H434&lt;'PlayerGrades+'!$AC$4,"A+",IF(H434&lt;'PlayerGrades+'!$AC$3,"S-",IF(H434&lt;'PlayerGrades+'!$AC$2,"S","S+"))))))))))))))))))))</f>
        <v>F-</v>
      </c>
      <c r="J434" s="937">
        <f t="shared" si="4"/>
        <v>0.05603985056</v>
      </c>
      <c r="K434" s="937" t="str">
        <f>IF(J434&lt;'PlayerGrades+'!$AD$21,"F-",IF(J434&lt;'PlayerGrades+'!$AD$20,"F",IF(J434&lt;'PlayerGrades+'!$AD$19,"F+",IF(J434&lt;'PlayerGrades+'!$AD$18,"E-",IF(J434&lt;'PlayerGrades+'!$AD$17,"E",IF(J434&lt;'PlayerGrades+'!$AD$16,"E+",IF(J434&lt;'PlayerGrades+'!$AD$15,"D-",IF(J434&lt;'PlayerGrades+'!$AD$14,"D",IF(J434&lt;'PlayerGrades+'!$AD$13,"D+",IF(J434&lt;'PlayerGrades+'!$AD$12,"C-",IF(J434&lt;'PlayerGrades+'!$AD$11,"C",IF(J434&lt;'PlayerGrades+'!$AD$10,"C+",IF(J434&lt;'PlayerGrades+'!$AD$9,"B-",IF(J434&lt;'PlayerGrades+'!$AD$8,"B",IF(J434&lt;'PlayerGrades+'!$AD$7,"B+",IF(J434&lt;'PlayerGrades+'!$AD$6,"A-",IF(J434&lt;'PlayerGrades+'!$AD$5,"A",IF(J434&lt;'PlayerGrades+'!$AD$4,"A+",IF(J434&lt;'PlayerGrades+'!$AD$3,"S-",IF(J434&lt;'PlayerGrades+'!$AD$2,"S","S+"))))))))))))))))))))</f>
        <v>B+</v>
      </c>
      <c r="L434" s="677">
        <f t="shared" si="5"/>
        <v>0.1307596513</v>
      </c>
      <c r="M434" s="938" t="str">
        <f>IF(L434&lt;'PlayerGrades+'!$AE$21,"F-",IF(L434&lt;'PlayerGrades+'!$AE$20,"F",IF(L434&lt;'PlayerGrades+'!$AE$19,"F+",IF(L434&lt;'PlayerGrades+'!$AE$18,"E-",IF(L434&lt;'PlayerGrades+'!$AE$17,"E",IF(L434&lt;'PlayerGrades+'!$AE$16,"E+",IF(L434&lt;'PlayerGrades+'!$AE$15,"D-",IF(L434&lt;'PlayerGrades+'!$AE$14,"D",IF(L434&lt;'PlayerGrades+'!$AE$13,"D+",IF(L434&lt;'PlayerGrades+'!$AE$12,"C-",IF(L434&lt;'PlayerGrades+'!$AE$11,"C",IF(L434&lt;'PlayerGrades+'!$AE$10,"C+",IF(L434&lt;'PlayerGrades+'!$AE$9,"B-",IF(L434&lt;'PlayerGrades+'!$AE$8,"B",IF(L434&lt;'PlayerGrades+'!$AE$7,"B+",IF(L434&lt;'PlayerGrades+'!$AE$6,"A-",IF(L434&lt;'PlayerGrades+'!$AE$5,"A",IF(L434&lt;'PlayerGrades+'!$AE$4,"A+",IF(L434&lt;'PlayerGrades+'!$AE$3,"S-",IF(L434&lt;'PlayerGrades+'!$AE$2,"S","S+"))))))))))))))))))))</f>
        <v>F-</v>
      </c>
      <c r="N434" s="937">
        <f t="shared" si="6"/>
        <v>0.01867995019</v>
      </c>
      <c r="O434" s="937" t="str">
        <f>IF(N434&lt;'PlayerGrades+'!$AF$21,"F-",IF(N434&lt;'PlayerGrades+'!$AF$20,"F",IF(N434&lt;'PlayerGrades+'!$AF$19,"F+",IF(N434&lt;'PlayerGrades+'!$AF$18,"E-",IF(N434&lt;'PlayerGrades+'!$AF$17,"E",IF(N434&lt;'PlayerGrades+'!$AF$16,"E+",IF(N434&lt;'PlayerGrades+'!$AF$15,"D-",IF(N434&lt;'PlayerGrades+'!$AF$14,"D",IF(N434&lt;'PlayerGrades+'!$AF$13,"D+",IF(N434&lt;'PlayerGrades+'!$AF$12,"C-",IF(N434&lt;'PlayerGrades+'!$AF$11,"C",IF(N434&lt;'PlayerGrades+'!$AF$10,"C+",IF(N434&lt;'PlayerGrades+'!$AF$9,"B-",IF(N434&lt;'PlayerGrades+'!$AF$8,"B",IF(N434&lt;'PlayerGrades+'!$AF$7,"B+",IF(N434&lt;'PlayerGrades+'!$AF$6,"A-",IF(N434&lt;'PlayerGrades+'!$AF$5,"A",IF(N434&lt;'PlayerGrades+'!$AF$4,"A+",IF(N434&lt;'PlayerGrades+'!$AF$3,"S-",IF(N434&lt;'PlayerGrades+'!$AF$2,"S","S+"))))))))))))))))))))</f>
        <v>F-</v>
      </c>
      <c r="P434" s="937">
        <f t="shared" si="7"/>
        <v>0</v>
      </c>
      <c r="Q434" s="937" t="str">
        <f>IF(P434&lt;'PlayerGrades+'!$AG$21,"F-",IF(P434&lt;'PlayerGrades+'!$AG$20,"F",IF(P434&lt;'PlayerGrades+'!$AG$19,"F+",IF(P434&lt;'PlayerGrades+'!$AG$18,"E-",IF(P434&lt;'PlayerGrades+'!$AG$17,"E",IF(P434&lt;'PlayerGrades+'!$AG$16,"E+",IF(P434&lt;'PlayerGrades+'!$AG$15,"D-",IF(P434&lt;'PlayerGrades+'!$AG$14,"D",IF(P434&lt;'PlayerGrades+'!$AG$13,"D+",IF(P434&lt;'PlayerGrades+'!$AG$12,"C-",IF(P434&lt;'PlayerGrades+'!$AG$11,"C",IF(P434&lt;'PlayerGrades+'!$AG$10,"C+",IF(P434&lt;'PlayerGrades+'!$AG$9,"B-",IF(P434&lt;'PlayerGrades+'!$AG$8,"B",IF(P434&lt;'PlayerGrades+'!$AG$7,"B+",IF(P434&lt;'PlayerGrades+'!$AG$6,"A-",IF(P434&lt;'PlayerGrades+'!$AG$5,"A",IF(P434&lt;'PlayerGrades+'!$AG$4,"A+",IF(P434&lt;'PlayerGrades+'!$AG$3,"S-",IF(P434&lt;'PlayerGrades+'!$AG$2,"S","S+"))))))))))))))))))))</f>
        <v>F</v>
      </c>
      <c r="R434" s="937">
        <f t="shared" si="8"/>
        <v>0.3922789539</v>
      </c>
      <c r="S434" s="937" t="str">
        <f>IF(R434&lt;'PlayerGrades+'!$AH$21,"F-",IF(R434&lt;'PlayerGrades+'!$AH$20,"F",IF(R434&lt;'PlayerGrades+'!$AH$19,"F+",IF(R434&lt;'PlayerGrades+'!$AH$18,"E-",IF(R434&lt;'PlayerGrades+'!$AH$17,"E",IF(R434&lt;'PlayerGrades+'!$AH$16,"E+",IF(R434&lt;'PlayerGrades+'!$AH$15,"D-",IF(R434&lt;'PlayerGrades+'!$AH$14,"D",IF(R434&lt;'PlayerGrades+'!$AH$13,"D+",IF(R434&lt;'PlayerGrades+'!$AH$12,"C-",IF(R434&lt;'PlayerGrades+'!$AH$11,"C",IF(R434&lt;'PlayerGrades+'!$AH$10,"C+",IF(R434&lt;'PlayerGrades+'!$AH$9,"B-",IF(R434&lt;'PlayerGrades+'!$AH$8,"B",IF(R434&lt;'PlayerGrades+'!$AH$7,"B+",IF(R434&lt;'PlayerGrades+'!$AH$6,"A-",IF(R434&lt;'PlayerGrades+'!$AH$5,"A",IF(R434&lt;'PlayerGrades+'!$AH$4,"A+",IF(R434&lt;'PlayerGrades+'!$AH$3,"S-",IF(R434&lt;'PlayerGrades+'!$AH$2,"S","S+"))))))))))))))))))))</f>
        <v>F+</v>
      </c>
      <c r="T434" s="937">
        <f t="shared" si="9"/>
        <v>1.112079701</v>
      </c>
      <c r="U434" s="937" t="str">
        <f>IF(T434&lt;'PlayerGrades+'!$AI$21,"F-",IF(T434&lt;'PlayerGrades+'!$AI$20,"F",IF(T434&lt;'PlayerGrades+'!$AI$19,"F+",IF(T434&lt;'PlayerGrades+'!$AI$18,"E-",IF(T434&lt;'PlayerGrades+'!$AI$17,"E",IF(T434&lt;'PlayerGrades+'!$AI$16,"E+",IF(T434&lt;'PlayerGrades+'!$AI$15,"D-",IF(T434&lt;'PlayerGrades+'!$AI$14,"D",IF(T434&lt;'PlayerGrades+'!$AI$13,"D+",IF(T434&lt;'PlayerGrades+'!$AI$12,"C-",IF(T434&lt;'PlayerGrades+'!$AI$11,"C",IF(T434&lt;'PlayerGrades+'!$AI$10,"C+",IF(T434&lt;'PlayerGrades+'!$AI$9,"B-",IF(T434&lt;'PlayerGrades+'!$AI$8,"B",IF(T434&lt;'PlayerGrades+'!$AI$7,"B+",IF(T434&lt;'PlayerGrades+'!$AI$6,"A-",IF(T434&lt;'PlayerGrades+'!$AI$5,"A",IF(T434&lt;'PlayerGrades+'!$AI$4,"A+",IF(T434&lt;'PlayerGrades+'!$AI$3,"S-",IF(T434&lt;'PlayerGrades+'!$AI$2,"S","S+"))))))))))))))))))))</f>
        <v>D</v>
      </c>
      <c r="V434" s="939">
        <v>1.0</v>
      </c>
      <c r="W434" s="939">
        <v>1.0</v>
      </c>
      <c r="X434" s="939">
        <v>0.0</v>
      </c>
      <c r="Y434" s="939">
        <v>4.0</v>
      </c>
      <c r="Z434" s="939">
        <v>27.0</v>
      </c>
      <c r="AA434" s="939">
        <v>67.0</v>
      </c>
      <c r="AB434" s="939">
        <v>40.0</v>
      </c>
      <c r="AC434" s="939">
        <v>27.0</v>
      </c>
      <c r="AD434" s="939">
        <v>2.0</v>
      </c>
      <c r="AE434" s="939">
        <v>10.0</v>
      </c>
      <c r="AF434" s="939">
        <v>1.0</v>
      </c>
      <c r="AG434" s="939">
        <v>2967.0</v>
      </c>
      <c r="AH434" s="939">
        <v>3212.0</v>
      </c>
      <c r="AI434" s="939">
        <v>74.0</v>
      </c>
      <c r="AJ434" s="939">
        <v>2382.0</v>
      </c>
      <c r="AK434" s="939">
        <v>0.0</v>
      </c>
      <c r="AL434" s="939">
        <v>3.0</v>
      </c>
      <c r="AM434" s="939">
        <v>1.0</v>
      </c>
      <c r="AN434" s="939">
        <v>0.0</v>
      </c>
      <c r="AO434" s="939">
        <v>0.0</v>
      </c>
      <c r="AP434" s="939">
        <v>0.0</v>
      </c>
      <c r="AQ434" s="939">
        <v>0.0</v>
      </c>
      <c r="AR434" s="939">
        <v>7.0</v>
      </c>
      <c r="AS434" s="939">
        <v>1.0</v>
      </c>
      <c r="AT434" s="939">
        <v>0.0</v>
      </c>
      <c r="AU434" s="939">
        <v>0.0</v>
      </c>
      <c r="AV434" s="939">
        <v>0.0</v>
      </c>
      <c r="AW434" s="939">
        <v>0.0</v>
      </c>
      <c r="AX434" s="939">
        <v>0.0</v>
      </c>
      <c r="AY434" s="939">
        <v>0.0</v>
      </c>
      <c r="AZ434" s="939">
        <v>0.0</v>
      </c>
      <c r="BA434" s="939">
        <v>0.0</v>
      </c>
      <c r="BB434" s="939">
        <v>1.0</v>
      </c>
      <c r="BC434" s="939">
        <v>0.0</v>
      </c>
      <c r="BD434" s="939">
        <v>19.0</v>
      </c>
      <c r="BE434" s="939">
        <v>6.0</v>
      </c>
      <c r="BF434" s="939">
        <v>1.0</v>
      </c>
      <c r="BG434" s="940">
        <v>1.0</v>
      </c>
    </row>
    <row r="435">
      <c r="A435" s="935" t="s">
        <v>418</v>
      </c>
      <c r="B435" s="16" t="str">
        <f>IF(C435&lt;'PlayerGrades+'!$Y$44,"F-",IF(C435&lt;'PlayerGrades+'!$Y$43,"F",IF(C435&lt;'PlayerGrades+'!$Y$42,"F+",IF(C435&lt;'PlayerGrades+'!$Y$41,"E-",IF(C435&lt;'PlayerGrades+'!$Y$40,"E",IF(C435&lt;'PlayerGrades+'!$Y$39,"E+",IF(C435&lt;'PlayerGrades+'!$Y$38,"D-",IF(C435&lt;'PlayerGrades+'!$Y$37,"D",IF(C435&lt;'PlayerGrades+'!$Y$36,"D+",IF(C435&lt;'PlayerGrades+'!$Y$35,"C-",IF(C435&lt;'PlayerGrades+'!$Y$34,"C",IF(C435&lt;'PlayerGrades+'!$Y$33,"C+",IF(C435&lt;'PlayerGrades+'!$Y$32,"B-",IF(C435&lt;'PlayerGrades+'!$Y$31,"B",IF(C435&lt;'PlayerGrades+'!$Y$30,"B+",IF(C435&lt;'PlayerGrades+'!$Y$29,"A-",IF(C435&lt;'PlayerGrades+'!$Y$28,"A",IF(C435&lt;'PlayerGrades+'!$Y$27,"A+",IF(C435&lt;'PlayerGrades+'!$Y$26,"S-",IF(C435&lt;'PlayerGrades+'!$Y$25,"S","S+"))))))))))))))))))))</f>
        <v>S+</v>
      </c>
      <c r="C435" s="936">
        <f>('PlayerGrades+'!$Y$47*(VLOOKUP(E435, 'PlayerGrades+'!$X$3:$Y$23, 2, FALSE)))+('PlayerGrades+'!$Y$48*(VLOOKUP(G435, 'PlayerGrades+'!$X$3:$Y$23, 2, FALSE)))+('PlayerGrades+'!$Y$49*(VLOOKUP(I435, 'PlayerGrades+'!$X$3:$Y$23, 2, FALSE)))+('PlayerGrades+'!$Y$50*(VLOOKUP(K435, 'PlayerGrades+'!$X$3:$Y$23, 2, FALSE)))+('PlayerGrades+'!$Y$51*(VLOOKUP(M435, 'PlayerGrades+'!$X$3:$Y$23, 2, FALSE)))+('PlayerGrades+'!$Y$52*(VLOOKUP(O435, 'PlayerGrades+'!$X$3:$Y$23, 2, FALSE)))+('PlayerGrades+'!$Y$53*(VLOOKUP(Q435, 'PlayerGrades+'!$X$3:$Y$23, 2, FALSE)))+('PlayerGrades+'!$Y$54*(VLOOKUP(S435, 'PlayerGrades+'!$X$3:$Y$23, 2, FALSE)))+('PlayerGrades+'!$Y$55*(VLOOKUP(U435, 'PlayerGrades+'!$X$3:$Y$23, 2, FALSE)))</f>
        <v>35.1</v>
      </c>
      <c r="D435" s="937">
        <f t="shared" si="1"/>
        <v>0.05603985056</v>
      </c>
      <c r="E435" s="937" t="str">
        <f>IF(D435&lt;'PlayerGrades+'!$AA$21,"F-",IF(D435&lt;'PlayerGrades+'!$AA$20,"F",IF(D435&lt;'PlayerGrades+'!$AA$19,"F+",IF(D435&lt;'PlayerGrades+'!$AA$18,"E-",IF(D435&lt;'PlayerGrades+'!$AA$17,"E",IF(D435&lt;'PlayerGrades+'!$AA$16,"E+",IF(D435&lt;'PlayerGrades+'!$AA$15,"D-",IF(D435&lt;'PlayerGrades+'!$AA$14,"D",IF(D435&lt;'PlayerGrades+'!$AA$13,"D+",IF(D435&lt;'PlayerGrades+'!$AA$12,"C-",IF(D435&lt;'PlayerGrades+'!$AA$11,"C",IF(D435&lt;'PlayerGrades+'!$AA$10,"C+",IF(D435&lt;'PlayerGrades+'!$AA$9,"B-",IF(D435&lt;'PlayerGrades+'!$AA$8,"B",IF(D435&lt;'PlayerGrades+'!$AA$7,"B+",IF(D435&lt;'PlayerGrades+'!$AA$6,"A-",IF(D435&lt;'PlayerGrades+'!$AA$5,"A",IF(D435&lt;'PlayerGrades+'!$AA$4,"A+",IF(D435&lt;'PlayerGrades+'!$AA$3,"S-",IF(D435&lt;'PlayerGrades+'!$AA$2,"S","S+"))))))))))))))))))))</f>
        <v>B-</v>
      </c>
      <c r="F435" s="937">
        <f t="shared" si="2"/>
        <v>1.681195517</v>
      </c>
      <c r="G435" s="937" t="str">
        <f>IF(F435&lt;'PlayerGrades+'!$AB$21,"F-",IF(F435&lt;'PlayerGrades+'!$AB$20,"F",IF(F435&lt;'PlayerGrades+'!$AB$19,"F+",IF(F435&lt;'PlayerGrades+'!$AB$18,"E-",IF(F435&lt;'PlayerGrades+'!$AB$17,"E",IF(F435&lt;'PlayerGrades+'!$AB$16,"E+",IF(F435&lt;'PlayerGrades+'!$AB$15,"D-",IF(F435&lt;'PlayerGrades+'!$AB$14,"D",IF(F435&lt;'PlayerGrades+'!$AB$13,"D+",IF(F435&lt;'PlayerGrades+'!$AB$12,"C-",IF(F435&lt;'PlayerGrades+'!$AB$11,"C",IF(F435&lt;'PlayerGrades+'!$AB$10,"C+",IF(F435&lt;'PlayerGrades+'!$AB$9,"B-",IF(F435&lt;'PlayerGrades+'!$AB$8,"B",IF(F435&lt;'PlayerGrades+'!$AB$7,"B+",IF(F435&lt;'PlayerGrades+'!$AB$6,"A-",IF(F435&lt;'PlayerGrades+'!$AB$5,"A",IF(F435&lt;'PlayerGrades+'!$AB$4,"A+",IF(F435&lt;'PlayerGrades+'!$AB$3,"S-",IF(F435&lt;'PlayerGrades+'!$AB$2,"S","S+"))))))))))))))))))))</f>
        <v>S+</v>
      </c>
      <c r="H435" s="937">
        <f t="shared" si="3"/>
        <v>0.4296388543</v>
      </c>
      <c r="I435" s="937" t="str">
        <f>IF(H435&lt;'PlayerGrades+'!$AC$21,"F-",IF(H435&lt;'PlayerGrades+'!$AC$20,"F",IF(H435&lt;'PlayerGrades+'!$AC$19,"F+",IF(H435&lt;'PlayerGrades+'!$AC$18,"E-",IF(H435&lt;'PlayerGrades+'!$AC$17,"E",IF(H435&lt;'PlayerGrades+'!$AC$16,"E+",IF(H435&lt;'PlayerGrades+'!$AC$15,"D-",IF(H435&lt;'PlayerGrades+'!$AC$14,"D",IF(H435&lt;'PlayerGrades+'!$AC$13,"D+",IF(H435&lt;'PlayerGrades+'!$AC$12,"C-",IF(H435&lt;'PlayerGrades+'!$AC$11,"C",IF(H435&lt;'PlayerGrades+'!$AC$10,"C+",IF(H435&lt;'PlayerGrades+'!$AC$9,"B-",IF(H435&lt;'PlayerGrades+'!$AC$8,"B",IF(H435&lt;'PlayerGrades+'!$AC$7,"B+",IF(H435&lt;'PlayerGrades+'!$AC$6,"A-",IF(H435&lt;'PlayerGrades+'!$AC$5,"A",IF(H435&lt;'PlayerGrades+'!$AC$4,"A+",IF(H435&lt;'PlayerGrades+'!$AC$3,"S-",IF(H435&lt;'PlayerGrades+'!$AC$2,"S","S+"))))))))))))))))))))</f>
        <v>S+</v>
      </c>
      <c r="J435" s="937">
        <f t="shared" si="4"/>
        <v>0.1681195517</v>
      </c>
      <c r="K435" s="937" t="str">
        <f>IF(J435&lt;'PlayerGrades+'!$AD$21,"F-",IF(J435&lt;'PlayerGrades+'!$AD$20,"F",IF(J435&lt;'PlayerGrades+'!$AD$19,"F+",IF(J435&lt;'PlayerGrades+'!$AD$18,"E-",IF(J435&lt;'PlayerGrades+'!$AD$17,"E",IF(J435&lt;'PlayerGrades+'!$AD$16,"E+",IF(J435&lt;'PlayerGrades+'!$AD$15,"D-",IF(J435&lt;'PlayerGrades+'!$AD$14,"D",IF(J435&lt;'PlayerGrades+'!$AD$13,"D+",IF(J435&lt;'PlayerGrades+'!$AD$12,"C-",IF(J435&lt;'PlayerGrades+'!$AD$11,"C",IF(J435&lt;'PlayerGrades+'!$AD$10,"C+",IF(J435&lt;'PlayerGrades+'!$AD$9,"B-",IF(J435&lt;'PlayerGrades+'!$AD$8,"B",IF(J435&lt;'PlayerGrades+'!$AD$7,"B+",IF(J435&lt;'PlayerGrades+'!$AD$6,"A-",IF(J435&lt;'PlayerGrades+'!$AD$5,"A",IF(J435&lt;'PlayerGrades+'!$AD$4,"A+",IF(J435&lt;'PlayerGrades+'!$AD$3,"S-",IF(J435&lt;'PlayerGrades+'!$AD$2,"S","S+"))))))))))))))))))))</f>
        <v>S+</v>
      </c>
      <c r="L435" s="677">
        <f t="shared" si="5"/>
        <v>0.803237858</v>
      </c>
      <c r="M435" s="938" t="str">
        <f>IF(L435&lt;'PlayerGrades+'!$AE$21,"F-",IF(L435&lt;'PlayerGrades+'!$AE$20,"F",IF(L435&lt;'PlayerGrades+'!$AE$19,"F+",IF(L435&lt;'PlayerGrades+'!$AE$18,"E-",IF(L435&lt;'PlayerGrades+'!$AE$17,"E",IF(L435&lt;'PlayerGrades+'!$AE$16,"E+",IF(L435&lt;'PlayerGrades+'!$AE$15,"D-",IF(L435&lt;'PlayerGrades+'!$AE$14,"D",IF(L435&lt;'PlayerGrades+'!$AE$13,"D+",IF(L435&lt;'PlayerGrades+'!$AE$12,"C-",IF(L435&lt;'PlayerGrades+'!$AE$11,"C",IF(L435&lt;'PlayerGrades+'!$AE$10,"C+",IF(L435&lt;'PlayerGrades+'!$AE$9,"B-",IF(L435&lt;'PlayerGrades+'!$AE$8,"B",IF(L435&lt;'PlayerGrades+'!$AE$7,"B+",IF(L435&lt;'PlayerGrades+'!$AE$6,"A-",IF(L435&lt;'PlayerGrades+'!$AE$5,"A",IF(L435&lt;'PlayerGrades+'!$AE$4,"A+",IF(L435&lt;'PlayerGrades+'!$AE$3,"S-",IF(L435&lt;'PlayerGrades+'!$AE$2,"S","S+"))))))))))))))))))))</f>
        <v>S+</v>
      </c>
      <c r="N435" s="937">
        <f t="shared" si="6"/>
        <v>0.1867995019</v>
      </c>
      <c r="O435" s="937" t="str">
        <f>IF(N435&lt;'PlayerGrades+'!$AF$21,"F-",IF(N435&lt;'PlayerGrades+'!$AF$20,"F",IF(N435&lt;'PlayerGrades+'!$AF$19,"F+",IF(N435&lt;'PlayerGrades+'!$AF$18,"E-",IF(N435&lt;'PlayerGrades+'!$AF$17,"E",IF(N435&lt;'PlayerGrades+'!$AF$16,"E+",IF(N435&lt;'PlayerGrades+'!$AF$15,"D-",IF(N435&lt;'PlayerGrades+'!$AF$14,"D",IF(N435&lt;'PlayerGrades+'!$AF$13,"D+",IF(N435&lt;'PlayerGrades+'!$AF$12,"C-",IF(N435&lt;'PlayerGrades+'!$AF$11,"C",IF(N435&lt;'PlayerGrades+'!$AF$10,"C+",IF(N435&lt;'PlayerGrades+'!$AF$9,"B-",IF(N435&lt;'PlayerGrades+'!$AF$8,"B",IF(N435&lt;'PlayerGrades+'!$AF$7,"B+",IF(N435&lt;'PlayerGrades+'!$AF$6,"A-",IF(N435&lt;'PlayerGrades+'!$AF$5,"A",IF(N435&lt;'PlayerGrades+'!$AF$4,"A+",IF(N435&lt;'PlayerGrades+'!$AF$3,"S-",IF(N435&lt;'PlayerGrades+'!$AF$2,"S","S+"))))))))))))))))))))</f>
        <v>S+</v>
      </c>
      <c r="P435" s="937">
        <f t="shared" si="7"/>
        <v>0.1681195517</v>
      </c>
      <c r="Q435" s="937" t="str">
        <f>IF(P435&lt;'PlayerGrades+'!$AG$21,"F-",IF(P435&lt;'PlayerGrades+'!$AG$20,"F",IF(P435&lt;'PlayerGrades+'!$AG$19,"F+",IF(P435&lt;'PlayerGrades+'!$AG$18,"E-",IF(P435&lt;'PlayerGrades+'!$AG$17,"E",IF(P435&lt;'PlayerGrades+'!$AG$16,"E+",IF(P435&lt;'PlayerGrades+'!$AG$15,"D-",IF(P435&lt;'PlayerGrades+'!$AG$14,"D",IF(P435&lt;'PlayerGrades+'!$AG$13,"D+",IF(P435&lt;'PlayerGrades+'!$AG$12,"C-",IF(P435&lt;'PlayerGrades+'!$AG$11,"C",IF(P435&lt;'PlayerGrades+'!$AG$10,"C+",IF(P435&lt;'PlayerGrades+'!$AG$9,"B-",IF(P435&lt;'PlayerGrades+'!$AG$8,"B",IF(P435&lt;'PlayerGrades+'!$AG$7,"B+",IF(P435&lt;'PlayerGrades+'!$AG$6,"A-",IF(P435&lt;'PlayerGrades+'!$AG$5,"A",IF(P435&lt;'PlayerGrades+'!$AG$4,"A+",IF(P435&lt;'PlayerGrades+'!$AG$3,"S-",IF(P435&lt;'PlayerGrades+'!$AG$2,"S","S+"))))))))))))))))))))</f>
        <v>S+</v>
      </c>
      <c r="R435" s="937">
        <f t="shared" si="8"/>
        <v>0.803237858</v>
      </c>
      <c r="S435" s="937" t="str">
        <f>IF(R435&lt;'PlayerGrades+'!$AH$21,"F-",IF(R435&lt;'PlayerGrades+'!$AH$20,"F",IF(R435&lt;'PlayerGrades+'!$AH$19,"F+",IF(R435&lt;'PlayerGrades+'!$AH$18,"E-",IF(R435&lt;'PlayerGrades+'!$AH$17,"E",IF(R435&lt;'PlayerGrades+'!$AH$16,"E+",IF(R435&lt;'PlayerGrades+'!$AH$15,"D-",IF(R435&lt;'PlayerGrades+'!$AH$14,"D",IF(R435&lt;'PlayerGrades+'!$AH$13,"D+",IF(R435&lt;'PlayerGrades+'!$AH$12,"C-",IF(R435&lt;'PlayerGrades+'!$AH$11,"C",IF(R435&lt;'PlayerGrades+'!$AH$10,"C+",IF(R435&lt;'PlayerGrades+'!$AH$9,"B-",IF(R435&lt;'PlayerGrades+'!$AH$8,"B",IF(R435&lt;'PlayerGrades+'!$AH$7,"B+",IF(R435&lt;'PlayerGrades+'!$AH$6,"A-",IF(R435&lt;'PlayerGrades+'!$AH$5,"A",IF(R435&lt;'PlayerGrades+'!$AH$4,"A+",IF(R435&lt;'PlayerGrades+'!$AH$3,"S-",IF(R435&lt;'PlayerGrades+'!$AH$2,"S","S+"))))))))))))))))))))</f>
        <v>S+</v>
      </c>
      <c r="T435" s="937">
        <f t="shared" si="9"/>
        <v>1.373599004</v>
      </c>
      <c r="U435" s="937" t="str">
        <f>IF(T435&lt;'PlayerGrades+'!$AI$21,"F-",IF(T435&lt;'PlayerGrades+'!$AI$20,"F",IF(T435&lt;'PlayerGrades+'!$AI$19,"F+",IF(T435&lt;'PlayerGrades+'!$AI$18,"E-",IF(T435&lt;'PlayerGrades+'!$AI$17,"E",IF(T435&lt;'PlayerGrades+'!$AI$16,"E+",IF(T435&lt;'PlayerGrades+'!$AI$15,"D-",IF(T435&lt;'PlayerGrades+'!$AI$14,"D",IF(T435&lt;'PlayerGrades+'!$AI$13,"D+",IF(T435&lt;'PlayerGrades+'!$AI$12,"C-",IF(T435&lt;'PlayerGrades+'!$AI$11,"C",IF(T435&lt;'PlayerGrades+'!$AI$10,"C+",IF(T435&lt;'PlayerGrades+'!$AI$9,"B-",IF(T435&lt;'PlayerGrades+'!$AI$8,"B",IF(T435&lt;'PlayerGrades+'!$AI$7,"B+",IF(T435&lt;'PlayerGrades+'!$AI$6,"A-",IF(T435&lt;'PlayerGrades+'!$AI$5,"A",IF(T435&lt;'PlayerGrades+'!$AI$4,"A+",IF(T435&lt;'PlayerGrades+'!$AI$3,"S-",IF(T435&lt;'PlayerGrades+'!$AI$2,"S","S+"))))))))))))))))))))</f>
        <v>B</v>
      </c>
      <c r="V435" s="941">
        <v>1.0</v>
      </c>
      <c r="W435" s="941">
        <v>1.0</v>
      </c>
      <c r="X435" s="941">
        <v>0.0</v>
      </c>
      <c r="Y435" s="941">
        <v>1.0</v>
      </c>
      <c r="Z435" s="941">
        <v>2.0</v>
      </c>
      <c r="AA435" s="941">
        <v>248.0</v>
      </c>
      <c r="AB435" s="941">
        <v>158.0</v>
      </c>
      <c r="AC435" s="941">
        <v>90.0</v>
      </c>
      <c r="AD435" s="941">
        <v>12.0</v>
      </c>
      <c r="AE435" s="941">
        <v>8.0</v>
      </c>
      <c r="AF435" s="941">
        <v>1.0</v>
      </c>
      <c r="AG435" s="941">
        <v>2621.0</v>
      </c>
      <c r="AH435" s="941">
        <v>3212.0</v>
      </c>
      <c r="AI435" s="941">
        <v>16.0</v>
      </c>
      <c r="AJ435" s="941">
        <v>63.0</v>
      </c>
      <c r="AK435" s="941">
        <v>0.0</v>
      </c>
      <c r="AL435" s="941">
        <v>9.0</v>
      </c>
      <c r="AM435" s="941">
        <v>0.0</v>
      </c>
      <c r="AN435" s="941">
        <v>0.0</v>
      </c>
      <c r="AO435" s="941">
        <v>0.0</v>
      </c>
      <c r="AP435" s="941">
        <v>9.0</v>
      </c>
      <c r="AQ435" s="941">
        <v>0.0</v>
      </c>
      <c r="AR435" s="941">
        <v>43.0</v>
      </c>
      <c r="AS435" s="941">
        <v>10.0</v>
      </c>
      <c r="AT435" s="941">
        <v>7.0</v>
      </c>
      <c r="AU435" s="941">
        <v>4.0</v>
      </c>
      <c r="AV435" s="941">
        <v>2.0</v>
      </c>
      <c r="AW435" s="941">
        <v>0.0</v>
      </c>
      <c r="AX435" s="941">
        <v>0.0</v>
      </c>
      <c r="AY435" s="941">
        <v>0.0</v>
      </c>
      <c r="AZ435" s="941">
        <v>0.0</v>
      </c>
      <c r="BA435" s="941">
        <v>0.0</v>
      </c>
      <c r="BB435" s="941">
        <v>23.0</v>
      </c>
      <c r="BC435" s="941">
        <v>0.0</v>
      </c>
      <c r="BD435" s="941">
        <v>31.0</v>
      </c>
      <c r="BE435" s="941">
        <v>20.0</v>
      </c>
      <c r="BF435" s="941">
        <v>1.0</v>
      </c>
      <c r="BG435" s="942">
        <v>1.0</v>
      </c>
    </row>
    <row r="436">
      <c r="A436" s="935" t="s">
        <v>138</v>
      </c>
      <c r="B436" s="16" t="str">
        <f>IF(C436&lt;'PlayerGrades+'!$Y$44,"F-",IF(C436&lt;'PlayerGrades+'!$Y$43,"F",IF(C436&lt;'PlayerGrades+'!$Y$42,"F+",IF(C436&lt;'PlayerGrades+'!$Y$41,"E-",IF(C436&lt;'PlayerGrades+'!$Y$40,"E",IF(C436&lt;'PlayerGrades+'!$Y$39,"E+",IF(C436&lt;'PlayerGrades+'!$Y$38,"D-",IF(C436&lt;'PlayerGrades+'!$Y$37,"D",IF(C436&lt;'PlayerGrades+'!$Y$36,"D+",IF(C436&lt;'PlayerGrades+'!$Y$35,"C-",IF(C436&lt;'PlayerGrades+'!$Y$34,"C",IF(C436&lt;'PlayerGrades+'!$Y$33,"C+",IF(C436&lt;'PlayerGrades+'!$Y$32,"B-",IF(C436&lt;'PlayerGrades+'!$Y$31,"B",IF(C436&lt;'PlayerGrades+'!$Y$30,"B+",IF(C436&lt;'PlayerGrades+'!$Y$29,"A-",IF(C436&lt;'PlayerGrades+'!$Y$28,"A",IF(C436&lt;'PlayerGrades+'!$Y$27,"A+",IF(C436&lt;'PlayerGrades+'!$Y$26,"S-",IF(C436&lt;'PlayerGrades+'!$Y$25,"S","S+"))))))))))))))))))))</f>
        <v>B+</v>
      </c>
      <c r="C436" s="936">
        <f>('PlayerGrades+'!$Y$47*(VLOOKUP(E436, 'PlayerGrades+'!$X$3:$Y$23, 2, FALSE)))+('PlayerGrades+'!$Y$48*(VLOOKUP(G436, 'PlayerGrades+'!$X$3:$Y$23, 2, FALSE)))+('PlayerGrades+'!$Y$49*(VLOOKUP(I436, 'PlayerGrades+'!$X$3:$Y$23, 2, FALSE)))+('PlayerGrades+'!$Y$50*(VLOOKUP(K436, 'PlayerGrades+'!$X$3:$Y$23, 2, FALSE)))+('PlayerGrades+'!$Y$51*(VLOOKUP(M436, 'PlayerGrades+'!$X$3:$Y$23, 2, FALSE)))+('PlayerGrades+'!$Y$52*(VLOOKUP(O436, 'PlayerGrades+'!$X$3:$Y$23, 2, FALSE)))+('PlayerGrades+'!$Y$53*(VLOOKUP(Q436, 'PlayerGrades+'!$X$3:$Y$23, 2, FALSE)))+('PlayerGrades+'!$Y$54*(VLOOKUP(S436, 'PlayerGrades+'!$X$3:$Y$23, 2, FALSE)))+('PlayerGrades+'!$Y$55*(VLOOKUP(U436, 'PlayerGrades+'!$X$3:$Y$23, 2, FALSE)))</f>
        <v>24.25</v>
      </c>
      <c r="D436" s="937">
        <f t="shared" si="1"/>
        <v>0.01867995019</v>
      </c>
      <c r="E436" s="937" t="str">
        <f>IF(D436&lt;'PlayerGrades+'!$AA$21,"F-",IF(D436&lt;'PlayerGrades+'!$AA$20,"F",IF(D436&lt;'PlayerGrades+'!$AA$19,"F+",IF(D436&lt;'PlayerGrades+'!$AA$18,"E-",IF(D436&lt;'PlayerGrades+'!$AA$17,"E",IF(D436&lt;'PlayerGrades+'!$AA$16,"E+",IF(D436&lt;'PlayerGrades+'!$AA$15,"D-",IF(D436&lt;'PlayerGrades+'!$AA$14,"D",IF(D436&lt;'PlayerGrades+'!$AA$13,"D+",IF(D436&lt;'PlayerGrades+'!$AA$12,"C-",IF(D436&lt;'PlayerGrades+'!$AA$11,"C",IF(D436&lt;'PlayerGrades+'!$AA$10,"C+",IF(D436&lt;'PlayerGrades+'!$AA$9,"B-",IF(D436&lt;'PlayerGrades+'!$AA$8,"B",IF(D436&lt;'PlayerGrades+'!$AA$7,"B+",IF(D436&lt;'PlayerGrades+'!$AA$6,"A-",IF(D436&lt;'PlayerGrades+'!$AA$5,"A",IF(D436&lt;'PlayerGrades+'!$AA$4,"A+",IF(D436&lt;'PlayerGrades+'!$AA$3,"S-",IF(D436&lt;'PlayerGrades+'!$AA$2,"S","S+"))))))))))))))))))))</f>
        <v>E-</v>
      </c>
      <c r="F436" s="937">
        <f t="shared" si="2"/>
        <v>0.8219178082</v>
      </c>
      <c r="G436" s="937" t="str">
        <f>IF(F436&lt;'PlayerGrades+'!$AB$21,"F-",IF(F436&lt;'PlayerGrades+'!$AB$20,"F",IF(F436&lt;'PlayerGrades+'!$AB$19,"F+",IF(F436&lt;'PlayerGrades+'!$AB$18,"E-",IF(F436&lt;'PlayerGrades+'!$AB$17,"E",IF(F436&lt;'PlayerGrades+'!$AB$16,"E+",IF(F436&lt;'PlayerGrades+'!$AB$15,"D-",IF(F436&lt;'PlayerGrades+'!$AB$14,"D",IF(F436&lt;'PlayerGrades+'!$AB$13,"D+",IF(F436&lt;'PlayerGrades+'!$AB$12,"C-",IF(F436&lt;'PlayerGrades+'!$AB$11,"C",IF(F436&lt;'PlayerGrades+'!$AB$10,"C+",IF(F436&lt;'PlayerGrades+'!$AB$9,"B-",IF(F436&lt;'PlayerGrades+'!$AB$8,"B",IF(F436&lt;'PlayerGrades+'!$AB$7,"B+",IF(F436&lt;'PlayerGrades+'!$AB$6,"A-",IF(F436&lt;'PlayerGrades+'!$AB$5,"A",IF(F436&lt;'PlayerGrades+'!$AB$4,"A+",IF(F436&lt;'PlayerGrades+'!$AB$3,"S-",IF(F436&lt;'PlayerGrades+'!$AB$2,"S","S+"))))))))))))))))))))</f>
        <v>S</v>
      </c>
      <c r="H436" s="937">
        <f t="shared" si="3"/>
        <v>0.4669987547</v>
      </c>
      <c r="I436" s="937" t="str">
        <f>IF(H436&lt;'PlayerGrades+'!$AC$21,"F-",IF(H436&lt;'PlayerGrades+'!$AC$20,"F",IF(H436&lt;'PlayerGrades+'!$AC$19,"F+",IF(H436&lt;'PlayerGrades+'!$AC$18,"E-",IF(H436&lt;'PlayerGrades+'!$AC$17,"E",IF(H436&lt;'PlayerGrades+'!$AC$16,"E+",IF(H436&lt;'PlayerGrades+'!$AC$15,"D-",IF(H436&lt;'PlayerGrades+'!$AC$14,"D",IF(H436&lt;'PlayerGrades+'!$AC$13,"D+",IF(H436&lt;'PlayerGrades+'!$AC$12,"C-",IF(H436&lt;'PlayerGrades+'!$AC$11,"C",IF(H436&lt;'PlayerGrades+'!$AC$10,"C+",IF(H436&lt;'PlayerGrades+'!$AC$9,"B-",IF(H436&lt;'PlayerGrades+'!$AC$8,"B",IF(H436&lt;'PlayerGrades+'!$AC$7,"B+",IF(H436&lt;'PlayerGrades+'!$AC$6,"A-",IF(H436&lt;'PlayerGrades+'!$AC$5,"A",IF(H436&lt;'PlayerGrades+'!$AC$4,"A+",IF(H436&lt;'PlayerGrades+'!$AC$3,"S-",IF(H436&lt;'PlayerGrades+'!$AC$2,"S","S+"))))))))))))))))))))</f>
        <v>S+</v>
      </c>
      <c r="J436" s="937">
        <f t="shared" si="4"/>
        <v>0.05603985056</v>
      </c>
      <c r="K436" s="937" t="str">
        <f>IF(J436&lt;'PlayerGrades+'!$AD$21,"F-",IF(J436&lt;'PlayerGrades+'!$AD$20,"F",IF(J436&lt;'PlayerGrades+'!$AD$19,"F+",IF(J436&lt;'PlayerGrades+'!$AD$18,"E-",IF(J436&lt;'PlayerGrades+'!$AD$17,"E",IF(J436&lt;'PlayerGrades+'!$AD$16,"E+",IF(J436&lt;'PlayerGrades+'!$AD$15,"D-",IF(J436&lt;'PlayerGrades+'!$AD$14,"D",IF(J436&lt;'PlayerGrades+'!$AD$13,"D+",IF(J436&lt;'PlayerGrades+'!$AD$12,"C-",IF(J436&lt;'PlayerGrades+'!$AD$11,"C",IF(J436&lt;'PlayerGrades+'!$AD$10,"C+",IF(J436&lt;'PlayerGrades+'!$AD$9,"B-",IF(J436&lt;'PlayerGrades+'!$AD$8,"B",IF(J436&lt;'PlayerGrades+'!$AD$7,"B+",IF(J436&lt;'PlayerGrades+'!$AD$6,"A-",IF(J436&lt;'PlayerGrades+'!$AD$5,"A",IF(J436&lt;'PlayerGrades+'!$AD$4,"A+",IF(J436&lt;'PlayerGrades+'!$AD$3,"S-",IF(J436&lt;'PlayerGrades+'!$AD$2,"S","S+"))))))))))))))))))))</f>
        <v>B+</v>
      </c>
      <c r="L436" s="677">
        <f t="shared" si="5"/>
        <v>0.7658779577</v>
      </c>
      <c r="M436" s="938" t="str">
        <f>IF(L436&lt;'PlayerGrades+'!$AE$21,"F-",IF(L436&lt;'PlayerGrades+'!$AE$20,"F",IF(L436&lt;'PlayerGrades+'!$AE$19,"F+",IF(L436&lt;'PlayerGrades+'!$AE$18,"E-",IF(L436&lt;'PlayerGrades+'!$AE$17,"E",IF(L436&lt;'PlayerGrades+'!$AE$16,"E+",IF(L436&lt;'PlayerGrades+'!$AE$15,"D-",IF(L436&lt;'PlayerGrades+'!$AE$14,"D",IF(L436&lt;'PlayerGrades+'!$AE$13,"D+",IF(L436&lt;'PlayerGrades+'!$AE$12,"C-",IF(L436&lt;'PlayerGrades+'!$AE$11,"C",IF(L436&lt;'PlayerGrades+'!$AE$10,"C+",IF(L436&lt;'PlayerGrades+'!$AE$9,"B-",IF(L436&lt;'PlayerGrades+'!$AE$8,"B",IF(L436&lt;'PlayerGrades+'!$AE$7,"B+",IF(L436&lt;'PlayerGrades+'!$AE$6,"A-",IF(L436&lt;'PlayerGrades+'!$AE$5,"A",IF(L436&lt;'PlayerGrades+'!$AE$4,"A+",IF(L436&lt;'PlayerGrades+'!$AE$3,"S-",IF(L436&lt;'PlayerGrades+'!$AE$2,"S","S+"))))))))))))))))))))</f>
        <v>S+</v>
      </c>
      <c r="N436" s="937">
        <f t="shared" si="6"/>
        <v>0.01867995019</v>
      </c>
      <c r="O436" s="937" t="str">
        <f>IF(N436&lt;'PlayerGrades+'!$AF$21,"F-",IF(N436&lt;'PlayerGrades+'!$AF$20,"F",IF(N436&lt;'PlayerGrades+'!$AF$19,"F+",IF(N436&lt;'PlayerGrades+'!$AF$18,"E-",IF(N436&lt;'PlayerGrades+'!$AF$17,"E",IF(N436&lt;'PlayerGrades+'!$AF$16,"E+",IF(N436&lt;'PlayerGrades+'!$AF$15,"D-",IF(N436&lt;'PlayerGrades+'!$AF$14,"D",IF(N436&lt;'PlayerGrades+'!$AF$13,"D+",IF(N436&lt;'PlayerGrades+'!$AF$12,"C-",IF(N436&lt;'PlayerGrades+'!$AF$11,"C",IF(N436&lt;'PlayerGrades+'!$AF$10,"C+",IF(N436&lt;'PlayerGrades+'!$AF$9,"B-",IF(N436&lt;'PlayerGrades+'!$AF$8,"B",IF(N436&lt;'PlayerGrades+'!$AF$7,"B+",IF(N436&lt;'PlayerGrades+'!$AF$6,"A-",IF(N436&lt;'PlayerGrades+'!$AF$5,"A",IF(N436&lt;'PlayerGrades+'!$AF$4,"A+",IF(N436&lt;'PlayerGrades+'!$AF$3,"S-",IF(N436&lt;'PlayerGrades+'!$AF$2,"S","S+"))))))))))))))))))))</f>
        <v>F-</v>
      </c>
      <c r="P436" s="937">
        <f t="shared" si="7"/>
        <v>0.05603985056</v>
      </c>
      <c r="Q436" s="937" t="str">
        <f>IF(P436&lt;'PlayerGrades+'!$AG$21,"F-",IF(P436&lt;'PlayerGrades+'!$AG$20,"F",IF(P436&lt;'PlayerGrades+'!$AG$19,"F+",IF(P436&lt;'PlayerGrades+'!$AG$18,"E-",IF(P436&lt;'PlayerGrades+'!$AG$17,"E",IF(P436&lt;'PlayerGrades+'!$AG$16,"E+",IF(P436&lt;'PlayerGrades+'!$AG$15,"D-",IF(P436&lt;'PlayerGrades+'!$AG$14,"D",IF(P436&lt;'PlayerGrades+'!$AG$13,"D+",IF(P436&lt;'PlayerGrades+'!$AG$12,"C-",IF(P436&lt;'PlayerGrades+'!$AG$11,"C",IF(P436&lt;'PlayerGrades+'!$AG$10,"C+",IF(P436&lt;'PlayerGrades+'!$AG$9,"B-",IF(P436&lt;'PlayerGrades+'!$AG$8,"B",IF(P436&lt;'PlayerGrades+'!$AG$7,"B+",IF(P436&lt;'PlayerGrades+'!$AG$6,"A-",IF(P436&lt;'PlayerGrades+'!$AG$5,"A",IF(P436&lt;'PlayerGrades+'!$AG$4,"A+",IF(P436&lt;'PlayerGrades+'!$AG$3,"S-",IF(P436&lt;'PlayerGrades+'!$AG$2,"S","S+"))))))))))))))))))))</f>
        <v>A</v>
      </c>
      <c r="R436" s="937">
        <f t="shared" si="8"/>
        <v>0.5230386052</v>
      </c>
      <c r="S436" s="937" t="str">
        <f>IF(R436&lt;'PlayerGrades+'!$AH$21,"F-",IF(R436&lt;'PlayerGrades+'!$AH$20,"F",IF(R436&lt;'PlayerGrades+'!$AH$19,"F+",IF(R436&lt;'PlayerGrades+'!$AH$18,"E-",IF(R436&lt;'PlayerGrades+'!$AH$17,"E",IF(R436&lt;'PlayerGrades+'!$AH$16,"E+",IF(R436&lt;'PlayerGrades+'!$AH$15,"D-",IF(R436&lt;'PlayerGrades+'!$AH$14,"D",IF(R436&lt;'PlayerGrades+'!$AH$13,"D+",IF(R436&lt;'PlayerGrades+'!$AH$12,"C-",IF(R436&lt;'PlayerGrades+'!$AH$11,"C",IF(R436&lt;'PlayerGrades+'!$AH$10,"C+",IF(R436&lt;'PlayerGrades+'!$AH$9,"B-",IF(R436&lt;'PlayerGrades+'!$AH$8,"B",IF(R436&lt;'PlayerGrades+'!$AH$7,"B+",IF(R436&lt;'PlayerGrades+'!$AH$6,"A-",IF(R436&lt;'PlayerGrades+'!$AH$5,"A",IF(R436&lt;'PlayerGrades+'!$AH$4,"A+",IF(R436&lt;'PlayerGrades+'!$AH$3,"S-",IF(R436&lt;'PlayerGrades+'!$AH$2,"S","S+"))))))))))))))))))))</f>
        <v>C</v>
      </c>
      <c r="T436" s="937">
        <f t="shared" si="9"/>
        <v>2.504358655</v>
      </c>
      <c r="U436" s="937" t="str">
        <f>IF(T436&lt;'PlayerGrades+'!$AI$21,"F-",IF(T436&lt;'PlayerGrades+'!$AI$20,"F",IF(T436&lt;'PlayerGrades+'!$AI$19,"F+",IF(T436&lt;'PlayerGrades+'!$AI$18,"E-",IF(T436&lt;'PlayerGrades+'!$AI$17,"E",IF(T436&lt;'PlayerGrades+'!$AI$16,"E+",IF(T436&lt;'PlayerGrades+'!$AI$15,"D-",IF(T436&lt;'PlayerGrades+'!$AI$14,"D",IF(T436&lt;'PlayerGrades+'!$AI$13,"D+",IF(T436&lt;'PlayerGrades+'!$AI$12,"C-",IF(T436&lt;'PlayerGrades+'!$AI$11,"C",IF(T436&lt;'PlayerGrades+'!$AI$10,"C+",IF(T436&lt;'PlayerGrades+'!$AI$9,"B-",IF(T436&lt;'PlayerGrades+'!$AI$8,"B",IF(T436&lt;'PlayerGrades+'!$AI$7,"B+",IF(T436&lt;'PlayerGrades+'!$AI$6,"A-",IF(T436&lt;'PlayerGrades+'!$AI$5,"A",IF(T436&lt;'PlayerGrades+'!$AI$4,"A+",IF(T436&lt;'PlayerGrades+'!$AI$3,"S-",IF(T436&lt;'PlayerGrades+'!$AI$2,"S","S+"))))))))))))))))))))</f>
        <v>S+</v>
      </c>
      <c r="V436" s="941">
        <v>1.0</v>
      </c>
      <c r="W436" s="941">
        <v>1.0</v>
      </c>
      <c r="X436" s="941">
        <v>0.0</v>
      </c>
      <c r="Y436" s="941">
        <v>0.0</v>
      </c>
      <c r="Z436" s="941">
        <v>1.0</v>
      </c>
      <c r="AA436" s="941">
        <v>232.0</v>
      </c>
      <c r="AB436" s="941">
        <v>188.0</v>
      </c>
      <c r="AC436" s="941">
        <v>44.0</v>
      </c>
      <c r="AD436" s="941">
        <v>13.0</v>
      </c>
      <c r="AE436" s="941">
        <v>6.0</v>
      </c>
      <c r="AF436" s="941">
        <v>2.0</v>
      </c>
      <c r="AG436" s="941">
        <v>2525.0</v>
      </c>
      <c r="AH436" s="941">
        <v>3212.0</v>
      </c>
      <c r="AI436" s="941">
        <v>13.0</v>
      </c>
      <c r="AJ436" s="941">
        <v>18.0</v>
      </c>
      <c r="AK436" s="941">
        <v>0.0</v>
      </c>
      <c r="AL436" s="941">
        <v>3.0</v>
      </c>
      <c r="AM436" s="941">
        <v>0.0</v>
      </c>
      <c r="AN436" s="941">
        <v>0.0</v>
      </c>
      <c r="AO436" s="941">
        <v>0.0</v>
      </c>
      <c r="AP436" s="941">
        <v>3.0</v>
      </c>
      <c r="AQ436" s="941">
        <v>0.0</v>
      </c>
      <c r="AR436" s="941">
        <v>41.0</v>
      </c>
      <c r="AS436" s="941">
        <v>1.0</v>
      </c>
      <c r="AT436" s="941">
        <v>0.0</v>
      </c>
      <c r="AU436" s="941">
        <v>0.0</v>
      </c>
      <c r="AV436" s="941">
        <v>0.0</v>
      </c>
      <c r="AW436" s="941">
        <v>0.0</v>
      </c>
      <c r="AX436" s="941">
        <v>0.0</v>
      </c>
      <c r="AY436" s="941">
        <v>0.0</v>
      </c>
      <c r="AZ436" s="941">
        <v>0.0</v>
      </c>
      <c r="BA436" s="941">
        <v>0.0</v>
      </c>
      <c r="BB436" s="941">
        <v>25.0</v>
      </c>
      <c r="BC436" s="941">
        <v>0.0</v>
      </c>
      <c r="BD436" s="941">
        <v>15.0</v>
      </c>
      <c r="BE436" s="941">
        <v>27.0</v>
      </c>
      <c r="BF436" s="941">
        <v>2.0</v>
      </c>
      <c r="BG436" s="942">
        <v>1.0</v>
      </c>
    </row>
    <row r="437">
      <c r="A437" s="935" t="s">
        <v>392</v>
      </c>
      <c r="B437" s="16" t="str">
        <f>IF(C437&lt;'PlayerGrades+'!$Y$44,"F-",IF(C437&lt;'PlayerGrades+'!$Y$43,"F",IF(C437&lt;'PlayerGrades+'!$Y$42,"F+",IF(C437&lt;'PlayerGrades+'!$Y$41,"E-",IF(C437&lt;'PlayerGrades+'!$Y$40,"E",IF(C437&lt;'PlayerGrades+'!$Y$39,"E+",IF(C437&lt;'PlayerGrades+'!$Y$38,"D-",IF(C437&lt;'PlayerGrades+'!$Y$37,"D",IF(C437&lt;'PlayerGrades+'!$Y$36,"D+",IF(C437&lt;'PlayerGrades+'!$Y$35,"C-",IF(C437&lt;'PlayerGrades+'!$Y$34,"C",IF(C437&lt;'PlayerGrades+'!$Y$33,"C+",IF(C437&lt;'PlayerGrades+'!$Y$32,"B-",IF(C437&lt;'PlayerGrades+'!$Y$31,"B",IF(C437&lt;'PlayerGrades+'!$Y$30,"B+",IF(C437&lt;'PlayerGrades+'!$Y$29,"A-",IF(C437&lt;'PlayerGrades+'!$Y$28,"A",IF(C437&lt;'PlayerGrades+'!$Y$27,"A+",IF(C437&lt;'PlayerGrades+'!$Y$26,"S-",IF(C437&lt;'PlayerGrades+'!$Y$25,"S","S+"))))))))))))))))))))</f>
        <v>B+</v>
      </c>
      <c r="C437" s="936">
        <f>('PlayerGrades+'!$Y$47*(VLOOKUP(E437, 'PlayerGrades+'!$X$3:$Y$23, 2, FALSE)))+('PlayerGrades+'!$Y$48*(VLOOKUP(G437, 'PlayerGrades+'!$X$3:$Y$23, 2, FALSE)))+('PlayerGrades+'!$Y$49*(VLOOKUP(I437, 'PlayerGrades+'!$X$3:$Y$23, 2, FALSE)))+('PlayerGrades+'!$Y$50*(VLOOKUP(K437, 'PlayerGrades+'!$X$3:$Y$23, 2, FALSE)))+('PlayerGrades+'!$Y$51*(VLOOKUP(M437, 'PlayerGrades+'!$X$3:$Y$23, 2, FALSE)))+('PlayerGrades+'!$Y$52*(VLOOKUP(O437, 'PlayerGrades+'!$X$3:$Y$23, 2, FALSE)))+('PlayerGrades+'!$Y$53*(VLOOKUP(Q437, 'PlayerGrades+'!$X$3:$Y$23, 2, FALSE)))+('PlayerGrades+'!$Y$54*(VLOOKUP(S437, 'PlayerGrades+'!$X$3:$Y$23, 2, FALSE)))+('PlayerGrades+'!$Y$55*(VLOOKUP(U437, 'PlayerGrades+'!$X$3:$Y$23, 2, FALSE)))</f>
        <v>23.95</v>
      </c>
      <c r="D437" s="937">
        <f t="shared" si="1"/>
        <v>0</v>
      </c>
      <c r="E437" s="937" t="str">
        <f>IF(D437&lt;'PlayerGrades+'!$AA$21,"F-",IF(D437&lt;'PlayerGrades+'!$AA$20,"F",IF(D437&lt;'PlayerGrades+'!$AA$19,"F+",IF(D437&lt;'PlayerGrades+'!$AA$18,"E-",IF(D437&lt;'PlayerGrades+'!$AA$17,"E",IF(D437&lt;'PlayerGrades+'!$AA$16,"E+",IF(D437&lt;'PlayerGrades+'!$AA$15,"D-",IF(D437&lt;'PlayerGrades+'!$AA$14,"D",IF(D437&lt;'PlayerGrades+'!$AA$13,"D+",IF(D437&lt;'PlayerGrades+'!$AA$12,"C-",IF(D437&lt;'PlayerGrades+'!$AA$11,"C",IF(D437&lt;'PlayerGrades+'!$AA$10,"C+",IF(D437&lt;'PlayerGrades+'!$AA$9,"B-",IF(D437&lt;'PlayerGrades+'!$AA$8,"B",IF(D437&lt;'PlayerGrades+'!$AA$7,"B+",IF(D437&lt;'PlayerGrades+'!$AA$6,"A-",IF(D437&lt;'PlayerGrades+'!$AA$5,"A",IF(D437&lt;'PlayerGrades+'!$AA$4,"A+",IF(D437&lt;'PlayerGrades+'!$AA$3,"S-",IF(D437&lt;'PlayerGrades+'!$AA$2,"S","S+"))))))))))))))))))))</f>
        <v>F-</v>
      </c>
      <c r="F437" s="937">
        <f t="shared" si="2"/>
        <v>-0.5417185554</v>
      </c>
      <c r="G437" s="937" t="str">
        <f>IF(F437&lt;'PlayerGrades+'!$AB$21,"F-",IF(F437&lt;'PlayerGrades+'!$AB$20,"F",IF(F437&lt;'PlayerGrades+'!$AB$19,"F+",IF(F437&lt;'PlayerGrades+'!$AB$18,"E-",IF(F437&lt;'PlayerGrades+'!$AB$17,"E",IF(F437&lt;'PlayerGrades+'!$AB$16,"E+",IF(F437&lt;'PlayerGrades+'!$AB$15,"D-",IF(F437&lt;'PlayerGrades+'!$AB$14,"D",IF(F437&lt;'PlayerGrades+'!$AB$13,"D+",IF(F437&lt;'PlayerGrades+'!$AB$12,"C-",IF(F437&lt;'PlayerGrades+'!$AB$11,"C",IF(F437&lt;'PlayerGrades+'!$AB$10,"C+",IF(F437&lt;'PlayerGrades+'!$AB$9,"B-",IF(F437&lt;'PlayerGrades+'!$AB$8,"B",IF(F437&lt;'PlayerGrades+'!$AB$7,"B+",IF(F437&lt;'PlayerGrades+'!$AB$6,"A-",IF(F437&lt;'PlayerGrades+'!$AB$5,"A",IF(F437&lt;'PlayerGrades+'!$AB$4,"A+",IF(F437&lt;'PlayerGrades+'!$AB$3,"S-",IF(F437&lt;'PlayerGrades+'!$AB$2,"S","S+"))))))))))))))))))))</f>
        <v>D</v>
      </c>
      <c r="H437" s="937">
        <f t="shared" si="3"/>
        <v>0.3175591532</v>
      </c>
      <c r="I437" s="937" t="str">
        <f>IF(H437&lt;'PlayerGrades+'!$AC$21,"F-",IF(H437&lt;'PlayerGrades+'!$AC$20,"F",IF(H437&lt;'PlayerGrades+'!$AC$19,"F+",IF(H437&lt;'PlayerGrades+'!$AC$18,"E-",IF(H437&lt;'PlayerGrades+'!$AC$17,"E",IF(H437&lt;'PlayerGrades+'!$AC$16,"E+",IF(H437&lt;'PlayerGrades+'!$AC$15,"D-",IF(H437&lt;'PlayerGrades+'!$AC$14,"D",IF(H437&lt;'PlayerGrades+'!$AC$13,"D+",IF(H437&lt;'PlayerGrades+'!$AC$12,"C-",IF(H437&lt;'PlayerGrades+'!$AC$11,"C",IF(H437&lt;'PlayerGrades+'!$AC$10,"C+",IF(H437&lt;'PlayerGrades+'!$AC$9,"B-",IF(H437&lt;'PlayerGrades+'!$AC$8,"B",IF(H437&lt;'PlayerGrades+'!$AC$7,"B+",IF(H437&lt;'PlayerGrades+'!$AC$6,"A-",IF(H437&lt;'PlayerGrades+'!$AC$5,"A",IF(H437&lt;'PlayerGrades+'!$AC$4,"A+",IF(H437&lt;'PlayerGrades+'!$AC$3,"S-",IF(H437&lt;'PlayerGrades+'!$AC$2,"S","S+"))))))))))))))))))))</f>
        <v>S+</v>
      </c>
      <c r="J437" s="937">
        <f t="shared" si="4"/>
        <v>0.03735990037</v>
      </c>
      <c r="K437" s="937" t="str">
        <f>IF(J437&lt;'PlayerGrades+'!$AD$21,"F-",IF(J437&lt;'PlayerGrades+'!$AD$20,"F",IF(J437&lt;'PlayerGrades+'!$AD$19,"F+",IF(J437&lt;'PlayerGrades+'!$AD$18,"E-",IF(J437&lt;'PlayerGrades+'!$AD$17,"E",IF(J437&lt;'PlayerGrades+'!$AD$16,"E+",IF(J437&lt;'PlayerGrades+'!$AD$15,"D-",IF(J437&lt;'PlayerGrades+'!$AD$14,"D",IF(J437&lt;'PlayerGrades+'!$AD$13,"D+",IF(J437&lt;'PlayerGrades+'!$AD$12,"C-",IF(J437&lt;'PlayerGrades+'!$AD$11,"C",IF(J437&lt;'PlayerGrades+'!$AD$10,"C+",IF(J437&lt;'PlayerGrades+'!$AD$9,"B-",IF(J437&lt;'PlayerGrades+'!$AD$8,"B",IF(J437&lt;'PlayerGrades+'!$AD$7,"B+",IF(J437&lt;'PlayerGrades+'!$AD$6,"A-",IF(J437&lt;'PlayerGrades+'!$AD$5,"A",IF(J437&lt;'PlayerGrades+'!$AD$4,"A+",IF(J437&lt;'PlayerGrades+'!$AD$3,"S-",IF(J437&lt;'PlayerGrades+'!$AD$2,"S","S+"))))))))))))))))))))</f>
        <v>C</v>
      </c>
      <c r="L437" s="677">
        <f t="shared" si="5"/>
        <v>0.5230386052</v>
      </c>
      <c r="M437" s="938" t="str">
        <f>IF(L437&lt;'PlayerGrades+'!$AE$21,"F-",IF(L437&lt;'PlayerGrades+'!$AE$20,"F",IF(L437&lt;'PlayerGrades+'!$AE$19,"F+",IF(L437&lt;'PlayerGrades+'!$AE$18,"E-",IF(L437&lt;'PlayerGrades+'!$AE$17,"E",IF(L437&lt;'PlayerGrades+'!$AE$16,"E+",IF(L437&lt;'PlayerGrades+'!$AE$15,"D-",IF(L437&lt;'PlayerGrades+'!$AE$14,"D",IF(L437&lt;'PlayerGrades+'!$AE$13,"D+",IF(L437&lt;'PlayerGrades+'!$AE$12,"C-",IF(L437&lt;'PlayerGrades+'!$AE$11,"C",IF(L437&lt;'PlayerGrades+'!$AE$10,"C+",IF(L437&lt;'PlayerGrades+'!$AE$9,"B-",IF(L437&lt;'PlayerGrades+'!$AE$8,"B",IF(L437&lt;'PlayerGrades+'!$AE$7,"B+",IF(L437&lt;'PlayerGrades+'!$AE$6,"A-",IF(L437&lt;'PlayerGrades+'!$AE$5,"A",IF(L437&lt;'PlayerGrades+'!$AE$4,"A+",IF(L437&lt;'PlayerGrades+'!$AE$3,"S-",IF(L437&lt;'PlayerGrades+'!$AE$2,"S","S+"))))))))))))))))))))</f>
        <v>A-</v>
      </c>
      <c r="N437" s="937">
        <f t="shared" si="6"/>
        <v>0.1120797011</v>
      </c>
      <c r="O437" s="937" t="str">
        <f>IF(N437&lt;'PlayerGrades+'!$AF$21,"F-",IF(N437&lt;'PlayerGrades+'!$AF$20,"F",IF(N437&lt;'PlayerGrades+'!$AF$19,"F+",IF(N437&lt;'PlayerGrades+'!$AF$18,"E-",IF(N437&lt;'PlayerGrades+'!$AF$17,"E",IF(N437&lt;'PlayerGrades+'!$AF$16,"E+",IF(N437&lt;'PlayerGrades+'!$AF$15,"D-",IF(N437&lt;'PlayerGrades+'!$AF$14,"D",IF(N437&lt;'PlayerGrades+'!$AF$13,"D+",IF(N437&lt;'PlayerGrades+'!$AF$12,"C-",IF(N437&lt;'PlayerGrades+'!$AF$11,"C",IF(N437&lt;'PlayerGrades+'!$AF$10,"C+",IF(N437&lt;'PlayerGrades+'!$AF$9,"B-",IF(N437&lt;'PlayerGrades+'!$AF$8,"B",IF(N437&lt;'PlayerGrades+'!$AF$7,"B+",IF(N437&lt;'PlayerGrades+'!$AF$6,"A-",IF(N437&lt;'PlayerGrades+'!$AF$5,"A",IF(N437&lt;'PlayerGrades+'!$AF$4,"A+",IF(N437&lt;'PlayerGrades+'!$AF$3,"S-",IF(N437&lt;'PlayerGrades+'!$AF$2,"S","S+"))))))))))))))))))))</f>
        <v>S-</v>
      </c>
      <c r="P437" s="937">
        <f t="shared" si="7"/>
        <v>0.03735990037</v>
      </c>
      <c r="Q437" s="937" t="str">
        <f>IF(P437&lt;'PlayerGrades+'!$AG$21,"F-",IF(P437&lt;'PlayerGrades+'!$AG$20,"F",IF(P437&lt;'PlayerGrades+'!$AG$19,"F+",IF(P437&lt;'PlayerGrades+'!$AG$18,"E-",IF(P437&lt;'PlayerGrades+'!$AG$17,"E",IF(P437&lt;'PlayerGrades+'!$AG$16,"E+",IF(P437&lt;'PlayerGrades+'!$AG$15,"D-",IF(P437&lt;'PlayerGrades+'!$AG$14,"D",IF(P437&lt;'PlayerGrades+'!$AG$13,"D+",IF(P437&lt;'PlayerGrades+'!$AG$12,"C-",IF(P437&lt;'PlayerGrades+'!$AG$11,"C",IF(P437&lt;'PlayerGrades+'!$AG$10,"C+",IF(P437&lt;'PlayerGrades+'!$AG$9,"B-",IF(P437&lt;'PlayerGrades+'!$AG$8,"B",IF(P437&lt;'PlayerGrades+'!$AG$7,"B+",IF(P437&lt;'PlayerGrades+'!$AG$6,"A-",IF(P437&lt;'PlayerGrades+'!$AG$5,"A",IF(P437&lt;'PlayerGrades+'!$AG$4,"A+",IF(P437&lt;'PlayerGrades+'!$AG$3,"S-",IF(P437&lt;'PlayerGrades+'!$AG$2,"S","S+"))))))))))))))))))))</f>
        <v>B+</v>
      </c>
      <c r="R437" s="937">
        <f t="shared" si="8"/>
        <v>0.6351183064</v>
      </c>
      <c r="S437" s="937" t="str">
        <f>IF(R437&lt;'PlayerGrades+'!$AH$21,"F-",IF(R437&lt;'PlayerGrades+'!$AH$20,"F",IF(R437&lt;'PlayerGrades+'!$AH$19,"F+",IF(R437&lt;'PlayerGrades+'!$AH$18,"E-",IF(R437&lt;'PlayerGrades+'!$AH$17,"E",IF(R437&lt;'PlayerGrades+'!$AH$16,"E+",IF(R437&lt;'PlayerGrades+'!$AH$15,"D-",IF(R437&lt;'PlayerGrades+'!$AH$14,"D",IF(R437&lt;'PlayerGrades+'!$AH$13,"D+",IF(R437&lt;'PlayerGrades+'!$AH$12,"C-",IF(R437&lt;'PlayerGrades+'!$AH$11,"C",IF(R437&lt;'PlayerGrades+'!$AH$10,"C+",IF(R437&lt;'PlayerGrades+'!$AH$9,"B-",IF(R437&lt;'PlayerGrades+'!$AH$8,"B",IF(R437&lt;'PlayerGrades+'!$AH$7,"B+",IF(R437&lt;'PlayerGrades+'!$AH$6,"A-",IF(R437&lt;'PlayerGrades+'!$AH$5,"A",IF(R437&lt;'PlayerGrades+'!$AH$4,"A+",IF(R437&lt;'PlayerGrades+'!$AH$3,"S-",IF(R437&lt;'PlayerGrades+'!$AH$2,"S","S+"))))))))))))))))))))</f>
        <v>A</v>
      </c>
      <c r="T437" s="937">
        <f t="shared" si="9"/>
        <v>0.597758406</v>
      </c>
      <c r="U437" s="937" t="str">
        <f>IF(T437&lt;'PlayerGrades+'!$AI$21,"F-",IF(T437&lt;'PlayerGrades+'!$AI$20,"F",IF(T437&lt;'PlayerGrades+'!$AI$19,"F+",IF(T437&lt;'PlayerGrades+'!$AI$18,"E-",IF(T437&lt;'PlayerGrades+'!$AI$17,"E",IF(T437&lt;'PlayerGrades+'!$AI$16,"E+",IF(T437&lt;'PlayerGrades+'!$AI$15,"D-",IF(T437&lt;'PlayerGrades+'!$AI$14,"D",IF(T437&lt;'PlayerGrades+'!$AI$13,"D+",IF(T437&lt;'PlayerGrades+'!$AI$12,"C-",IF(T437&lt;'PlayerGrades+'!$AI$11,"C",IF(T437&lt;'PlayerGrades+'!$AI$10,"C+",IF(T437&lt;'PlayerGrades+'!$AI$9,"B-",IF(T437&lt;'PlayerGrades+'!$AI$8,"B",IF(T437&lt;'PlayerGrades+'!$AI$7,"B+",IF(T437&lt;'PlayerGrades+'!$AI$6,"A-",IF(T437&lt;'PlayerGrades+'!$AI$5,"A",IF(T437&lt;'PlayerGrades+'!$AI$4,"A+",IF(T437&lt;'PlayerGrades+'!$AI$3,"S-",IF(T437&lt;'PlayerGrades+'!$AI$2,"S","S+"))))))))))))))))))))</f>
        <v>F-</v>
      </c>
      <c r="V437" s="941">
        <v>1.0</v>
      </c>
      <c r="W437" s="941">
        <v>1.0</v>
      </c>
      <c r="X437" s="941">
        <v>0.0</v>
      </c>
      <c r="Y437" s="941">
        <v>0.0</v>
      </c>
      <c r="Z437" s="941">
        <v>0.0</v>
      </c>
      <c r="AA437" s="941">
        <v>187.0</v>
      </c>
      <c r="AB437" s="941">
        <v>216.0</v>
      </c>
      <c r="AC437" s="941">
        <v>-29.0</v>
      </c>
      <c r="AD437" s="941">
        <v>21.0</v>
      </c>
      <c r="AE437" s="941">
        <v>6.0</v>
      </c>
      <c r="AF437" s="941">
        <v>0.0</v>
      </c>
      <c r="AG437" s="941">
        <v>2439.0</v>
      </c>
      <c r="AH437" s="941">
        <v>3212.0</v>
      </c>
      <c r="AI437" s="941">
        <v>11.0</v>
      </c>
      <c r="AJ437" s="941">
        <v>0.0</v>
      </c>
      <c r="AK437" s="941">
        <v>0.0</v>
      </c>
      <c r="AL437" s="941">
        <v>2.0</v>
      </c>
      <c r="AM437" s="941">
        <v>0.0</v>
      </c>
      <c r="AN437" s="941">
        <v>0.0</v>
      </c>
      <c r="AO437" s="941">
        <v>0.0</v>
      </c>
      <c r="AP437" s="941">
        <v>2.0</v>
      </c>
      <c r="AQ437" s="941">
        <v>0.0</v>
      </c>
      <c r="AR437" s="941">
        <v>28.0</v>
      </c>
      <c r="AS437" s="941">
        <v>6.0</v>
      </c>
      <c r="AT437" s="941">
        <v>1.0</v>
      </c>
      <c r="AU437" s="941">
        <v>0.0</v>
      </c>
      <c r="AV437" s="941">
        <v>0.0</v>
      </c>
      <c r="AW437" s="941">
        <v>0.0</v>
      </c>
      <c r="AX437" s="941">
        <v>0.0</v>
      </c>
      <c r="AY437" s="941">
        <v>0.0</v>
      </c>
      <c r="AZ437" s="941">
        <v>0.0</v>
      </c>
      <c r="BA437" s="941">
        <v>0.0</v>
      </c>
      <c r="BB437" s="941">
        <v>17.0</v>
      </c>
      <c r="BC437" s="941">
        <v>0.0</v>
      </c>
      <c r="BD437" s="941">
        <v>13.0</v>
      </c>
      <c r="BE437" s="941">
        <v>32.0</v>
      </c>
      <c r="BF437" s="941">
        <v>0.0</v>
      </c>
      <c r="BG437" s="942">
        <v>1.0</v>
      </c>
    </row>
    <row r="438">
      <c r="A438" s="935" t="s">
        <v>131</v>
      </c>
      <c r="B438" s="16" t="str">
        <f>IF(C438&lt;'PlayerGrades+'!$Y$44,"F-",IF(C438&lt;'PlayerGrades+'!$Y$43,"F",IF(C438&lt;'PlayerGrades+'!$Y$42,"F+",IF(C438&lt;'PlayerGrades+'!$Y$41,"E-",IF(C438&lt;'PlayerGrades+'!$Y$40,"E",IF(C438&lt;'PlayerGrades+'!$Y$39,"E+",IF(C438&lt;'PlayerGrades+'!$Y$38,"D-",IF(C438&lt;'PlayerGrades+'!$Y$37,"D",IF(C438&lt;'PlayerGrades+'!$Y$36,"D+",IF(C438&lt;'PlayerGrades+'!$Y$35,"C-",IF(C438&lt;'PlayerGrades+'!$Y$34,"C",IF(C438&lt;'PlayerGrades+'!$Y$33,"C+",IF(C438&lt;'PlayerGrades+'!$Y$32,"B-",IF(C438&lt;'PlayerGrades+'!$Y$31,"B",IF(C438&lt;'PlayerGrades+'!$Y$30,"B+",IF(C438&lt;'PlayerGrades+'!$Y$29,"A-",IF(C438&lt;'PlayerGrades+'!$Y$28,"A",IF(C438&lt;'PlayerGrades+'!$Y$27,"A+",IF(C438&lt;'PlayerGrades+'!$Y$26,"S-",IF(C438&lt;'PlayerGrades+'!$Y$25,"S","S+"))))))))))))))))))))</f>
        <v>F</v>
      </c>
      <c r="C438" s="936">
        <f>('PlayerGrades+'!$Y$47*(VLOOKUP(E438, 'PlayerGrades+'!$X$3:$Y$23, 2, FALSE)))+('PlayerGrades+'!$Y$48*(VLOOKUP(G438, 'PlayerGrades+'!$X$3:$Y$23, 2, FALSE)))+('PlayerGrades+'!$Y$49*(VLOOKUP(I438, 'PlayerGrades+'!$X$3:$Y$23, 2, FALSE)))+('PlayerGrades+'!$Y$50*(VLOOKUP(K438, 'PlayerGrades+'!$X$3:$Y$23, 2, FALSE)))+('PlayerGrades+'!$Y$51*(VLOOKUP(M438, 'PlayerGrades+'!$X$3:$Y$23, 2, FALSE)))+('PlayerGrades+'!$Y$52*(VLOOKUP(O438, 'PlayerGrades+'!$X$3:$Y$23, 2, FALSE)))+('PlayerGrades+'!$Y$53*(VLOOKUP(Q438, 'PlayerGrades+'!$X$3:$Y$23, 2, FALSE)))+('PlayerGrades+'!$Y$54*(VLOOKUP(S438, 'PlayerGrades+'!$X$3:$Y$23, 2, FALSE)))+('PlayerGrades+'!$Y$55*(VLOOKUP(U438, 'PlayerGrades+'!$X$3:$Y$23, 2, FALSE)))</f>
        <v>9.6</v>
      </c>
      <c r="D438" s="937">
        <f t="shared" si="1"/>
        <v>0.05603985056</v>
      </c>
      <c r="E438" s="937" t="str">
        <f>IF(D438&lt;'PlayerGrades+'!$AA$21,"F-",IF(D438&lt;'PlayerGrades+'!$AA$20,"F",IF(D438&lt;'PlayerGrades+'!$AA$19,"F+",IF(D438&lt;'PlayerGrades+'!$AA$18,"E-",IF(D438&lt;'PlayerGrades+'!$AA$17,"E",IF(D438&lt;'PlayerGrades+'!$AA$16,"E+",IF(D438&lt;'PlayerGrades+'!$AA$15,"D-",IF(D438&lt;'PlayerGrades+'!$AA$14,"D",IF(D438&lt;'PlayerGrades+'!$AA$13,"D+",IF(D438&lt;'PlayerGrades+'!$AA$12,"C-",IF(D438&lt;'PlayerGrades+'!$AA$11,"C",IF(D438&lt;'PlayerGrades+'!$AA$10,"C+",IF(D438&lt;'PlayerGrades+'!$AA$9,"B-",IF(D438&lt;'PlayerGrades+'!$AA$8,"B",IF(D438&lt;'PlayerGrades+'!$AA$7,"B+",IF(D438&lt;'PlayerGrades+'!$AA$6,"A-",IF(D438&lt;'PlayerGrades+'!$AA$5,"A",IF(D438&lt;'PlayerGrades+'!$AA$4,"A+",IF(D438&lt;'PlayerGrades+'!$AA$3,"S-",IF(D438&lt;'PlayerGrades+'!$AA$2,"S","S+"))))))))))))))))))))</f>
        <v>B-</v>
      </c>
      <c r="F438" s="937">
        <f t="shared" si="2"/>
        <v>-0.8779576588</v>
      </c>
      <c r="G438" s="937" t="str">
        <f>IF(F438&lt;'PlayerGrades+'!$AB$21,"F-",IF(F438&lt;'PlayerGrades+'!$AB$20,"F",IF(F438&lt;'PlayerGrades+'!$AB$19,"F+",IF(F438&lt;'PlayerGrades+'!$AB$18,"E-",IF(F438&lt;'PlayerGrades+'!$AB$17,"E",IF(F438&lt;'PlayerGrades+'!$AB$16,"E+",IF(F438&lt;'PlayerGrades+'!$AB$15,"D-",IF(F438&lt;'PlayerGrades+'!$AB$14,"D",IF(F438&lt;'PlayerGrades+'!$AB$13,"D+",IF(F438&lt;'PlayerGrades+'!$AB$12,"C-",IF(F438&lt;'PlayerGrades+'!$AB$11,"C",IF(F438&lt;'PlayerGrades+'!$AB$10,"C+",IF(F438&lt;'PlayerGrades+'!$AB$9,"B-",IF(F438&lt;'PlayerGrades+'!$AB$8,"B",IF(F438&lt;'PlayerGrades+'!$AB$7,"B+",IF(F438&lt;'PlayerGrades+'!$AB$6,"A-",IF(F438&lt;'PlayerGrades+'!$AB$5,"A",IF(F438&lt;'PlayerGrades+'!$AB$4,"A+",IF(F438&lt;'PlayerGrades+'!$AB$3,"S-",IF(F438&lt;'PlayerGrades+'!$AB$2,"S","S+"))))))))))))))))))))</f>
        <v>E-</v>
      </c>
      <c r="H438" s="937">
        <f t="shared" si="3"/>
        <v>0.01867995019</v>
      </c>
      <c r="I438" s="937" t="str">
        <f>IF(H438&lt;'PlayerGrades+'!$AC$21,"F-",IF(H438&lt;'PlayerGrades+'!$AC$20,"F",IF(H438&lt;'PlayerGrades+'!$AC$19,"F+",IF(H438&lt;'PlayerGrades+'!$AC$18,"E-",IF(H438&lt;'PlayerGrades+'!$AC$17,"E",IF(H438&lt;'PlayerGrades+'!$AC$16,"E+",IF(H438&lt;'PlayerGrades+'!$AC$15,"D-",IF(H438&lt;'PlayerGrades+'!$AC$14,"D",IF(H438&lt;'PlayerGrades+'!$AC$13,"D+",IF(H438&lt;'PlayerGrades+'!$AC$12,"C-",IF(H438&lt;'PlayerGrades+'!$AC$11,"C",IF(H438&lt;'PlayerGrades+'!$AC$10,"C+",IF(H438&lt;'PlayerGrades+'!$AC$9,"B-",IF(H438&lt;'PlayerGrades+'!$AC$8,"B",IF(H438&lt;'PlayerGrades+'!$AC$7,"B+",IF(H438&lt;'PlayerGrades+'!$AC$6,"A-",IF(H438&lt;'PlayerGrades+'!$AC$5,"A",IF(H438&lt;'PlayerGrades+'!$AC$4,"A+",IF(H438&lt;'PlayerGrades+'!$AC$3,"S-",IF(H438&lt;'PlayerGrades+'!$AC$2,"S","S+"))))))))))))))))))))</f>
        <v>F-</v>
      </c>
      <c r="J438" s="937">
        <f t="shared" si="4"/>
        <v>0</v>
      </c>
      <c r="K438" s="937" t="str">
        <f>IF(J438&lt;'PlayerGrades+'!$AD$21,"F-",IF(J438&lt;'PlayerGrades+'!$AD$20,"F",IF(J438&lt;'PlayerGrades+'!$AD$19,"F+",IF(J438&lt;'PlayerGrades+'!$AD$18,"E-",IF(J438&lt;'PlayerGrades+'!$AD$17,"E",IF(J438&lt;'PlayerGrades+'!$AD$16,"E+",IF(J438&lt;'PlayerGrades+'!$AD$15,"D-",IF(J438&lt;'PlayerGrades+'!$AD$14,"D",IF(J438&lt;'PlayerGrades+'!$AD$13,"D+",IF(J438&lt;'PlayerGrades+'!$AD$12,"C-",IF(J438&lt;'PlayerGrades+'!$AD$11,"C",IF(J438&lt;'PlayerGrades+'!$AD$10,"C+",IF(J438&lt;'PlayerGrades+'!$AD$9,"B-",IF(J438&lt;'PlayerGrades+'!$AD$8,"B",IF(J438&lt;'PlayerGrades+'!$AD$7,"B+",IF(J438&lt;'PlayerGrades+'!$AD$6,"A-",IF(J438&lt;'PlayerGrades+'!$AD$5,"A",IF(J438&lt;'PlayerGrades+'!$AD$4,"A+",IF(J438&lt;'PlayerGrades+'!$AD$3,"S-",IF(J438&lt;'PlayerGrades+'!$AD$2,"S","S+"))))))))))))))))))))</f>
        <v>F-</v>
      </c>
      <c r="L438" s="677">
        <f t="shared" si="5"/>
        <v>0.1494396015</v>
      </c>
      <c r="M438" s="938" t="str">
        <f>IF(L438&lt;'PlayerGrades+'!$AE$21,"F-",IF(L438&lt;'PlayerGrades+'!$AE$20,"F",IF(L438&lt;'PlayerGrades+'!$AE$19,"F+",IF(L438&lt;'PlayerGrades+'!$AE$18,"E-",IF(L438&lt;'PlayerGrades+'!$AE$17,"E",IF(L438&lt;'PlayerGrades+'!$AE$16,"E+",IF(L438&lt;'PlayerGrades+'!$AE$15,"D-",IF(L438&lt;'PlayerGrades+'!$AE$14,"D",IF(L438&lt;'PlayerGrades+'!$AE$13,"D+",IF(L438&lt;'PlayerGrades+'!$AE$12,"C-",IF(L438&lt;'PlayerGrades+'!$AE$11,"C",IF(L438&lt;'PlayerGrades+'!$AE$10,"C+",IF(L438&lt;'PlayerGrades+'!$AE$9,"B-",IF(L438&lt;'PlayerGrades+'!$AE$8,"B",IF(L438&lt;'PlayerGrades+'!$AE$7,"B+",IF(L438&lt;'PlayerGrades+'!$AE$6,"A-",IF(L438&lt;'PlayerGrades+'!$AE$5,"A",IF(L438&lt;'PlayerGrades+'!$AE$4,"A+",IF(L438&lt;'PlayerGrades+'!$AE$3,"S-",IF(L438&lt;'PlayerGrades+'!$AE$2,"S","S+"))))))))))))))))))))</f>
        <v>F-</v>
      </c>
      <c r="N438" s="937">
        <f t="shared" si="6"/>
        <v>0.03735990037</v>
      </c>
      <c r="O438" s="937" t="str">
        <f>IF(N438&lt;'PlayerGrades+'!$AF$21,"F-",IF(N438&lt;'PlayerGrades+'!$AF$20,"F",IF(N438&lt;'PlayerGrades+'!$AF$19,"F+",IF(N438&lt;'PlayerGrades+'!$AF$18,"E-",IF(N438&lt;'PlayerGrades+'!$AF$17,"E",IF(N438&lt;'PlayerGrades+'!$AF$16,"E+",IF(N438&lt;'PlayerGrades+'!$AF$15,"D-",IF(N438&lt;'PlayerGrades+'!$AF$14,"D",IF(N438&lt;'PlayerGrades+'!$AF$13,"D+",IF(N438&lt;'PlayerGrades+'!$AF$12,"C-",IF(N438&lt;'PlayerGrades+'!$AF$11,"C",IF(N438&lt;'PlayerGrades+'!$AF$10,"C+",IF(N438&lt;'PlayerGrades+'!$AF$9,"B-",IF(N438&lt;'PlayerGrades+'!$AF$8,"B",IF(N438&lt;'PlayerGrades+'!$AF$7,"B+",IF(N438&lt;'PlayerGrades+'!$AF$6,"A-",IF(N438&lt;'PlayerGrades+'!$AF$5,"A",IF(N438&lt;'PlayerGrades+'!$AF$4,"A+",IF(N438&lt;'PlayerGrades+'!$AF$3,"S-",IF(N438&lt;'PlayerGrades+'!$AF$2,"S","S+"))))))))))))))))))))</f>
        <v>E-</v>
      </c>
      <c r="P438" s="937">
        <f t="shared" si="7"/>
        <v>0</v>
      </c>
      <c r="Q438" s="937" t="str">
        <f>IF(P438&lt;'PlayerGrades+'!$AG$21,"F-",IF(P438&lt;'PlayerGrades+'!$AG$20,"F",IF(P438&lt;'PlayerGrades+'!$AG$19,"F+",IF(P438&lt;'PlayerGrades+'!$AG$18,"E-",IF(P438&lt;'PlayerGrades+'!$AG$17,"E",IF(P438&lt;'PlayerGrades+'!$AG$16,"E+",IF(P438&lt;'PlayerGrades+'!$AG$15,"D-",IF(P438&lt;'PlayerGrades+'!$AG$14,"D",IF(P438&lt;'PlayerGrades+'!$AG$13,"D+",IF(P438&lt;'PlayerGrades+'!$AG$12,"C-",IF(P438&lt;'PlayerGrades+'!$AG$11,"C",IF(P438&lt;'PlayerGrades+'!$AG$10,"C+",IF(P438&lt;'PlayerGrades+'!$AG$9,"B-",IF(P438&lt;'PlayerGrades+'!$AG$8,"B",IF(P438&lt;'PlayerGrades+'!$AG$7,"B+",IF(P438&lt;'PlayerGrades+'!$AG$6,"A-",IF(P438&lt;'PlayerGrades+'!$AG$5,"A",IF(P438&lt;'PlayerGrades+'!$AG$4,"A+",IF(P438&lt;'PlayerGrades+'!$AG$3,"S-",IF(P438&lt;'PlayerGrades+'!$AG$2,"S","S+"))))))))))))))))))))</f>
        <v>F</v>
      </c>
      <c r="R438" s="937">
        <f t="shared" si="8"/>
        <v>0.4483188045</v>
      </c>
      <c r="S438" s="937" t="str">
        <f>IF(R438&lt;'PlayerGrades+'!$AH$21,"F-",IF(R438&lt;'PlayerGrades+'!$AH$20,"F",IF(R438&lt;'PlayerGrades+'!$AH$19,"F+",IF(R438&lt;'PlayerGrades+'!$AH$18,"E-",IF(R438&lt;'PlayerGrades+'!$AH$17,"E",IF(R438&lt;'PlayerGrades+'!$AH$16,"E+",IF(R438&lt;'PlayerGrades+'!$AH$15,"D-",IF(R438&lt;'PlayerGrades+'!$AH$14,"D",IF(R438&lt;'PlayerGrades+'!$AH$13,"D+",IF(R438&lt;'PlayerGrades+'!$AH$12,"C-",IF(R438&lt;'PlayerGrades+'!$AH$11,"C",IF(R438&lt;'PlayerGrades+'!$AH$10,"C+",IF(R438&lt;'PlayerGrades+'!$AH$9,"B-",IF(R438&lt;'PlayerGrades+'!$AH$8,"B",IF(R438&lt;'PlayerGrades+'!$AH$7,"B+",IF(R438&lt;'PlayerGrades+'!$AH$6,"A-",IF(R438&lt;'PlayerGrades+'!$AH$5,"A",IF(R438&lt;'PlayerGrades+'!$AH$4,"A+",IF(R438&lt;'PlayerGrades+'!$AH$3,"S-",IF(R438&lt;'PlayerGrades+'!$AH$2,"S","S+"))))))))))))))))))))</f>
        <v>E-</v>
      </c>
      <c r="T438" s="937">
        <f t="shared" si="9"/>
        <v>1.373599004</v>
      </c>
      <c r="U438" s="937" t="str">
        <f>IF(T438&lt;'PlayerGrades+'!$AI$21,"F-",IF(T438&lt;'PlayerGrades+'!$AI$20,"F",IF(T438&lt;'PlayerGrades+'!$AI$19,"F+",IF(T438&lt;'PlayerGrades+'!$AI$18,"E-",IF(T438&lt;'PlayerGrades+'!$AI$17,"E",IF(T438&lt;'PlayerGrades+'!$AI$16,"E+",IF(T438&lt;'PlayerGrades+'!$AI$15,"D-",IF(T438&lt;'PlayerGrades+'!$AI$14,"D",IF(T438&lt;'PlayerGrades+'!$AI$13,"D+",IF(T438&lt;'PlayerGrades+'!$AI$12,"C-",IF(T438&lt;'PlayerGrades+'!$AI$11,"C",IF(T438&lt;'PlayerGrades+'!$AI$10,"C+",IF(T438&lt;'PlayerGrades+'!$AI$9,"B-",IF(T438&lt;'PlayerGrades+'!$AI$8,"B",IF(T438&lt;'PlayerGrades+'!$AI$7,"B+",IF(T438&lt;'PlayerGrades+'!$AI$6,"A-",IF(T438&lt;'PlayerGrades+'!$AI$5,"A",IF(T438&lt;'PlayerGrades+'!$AI$4,"A+",IF(T438&lt;'PlayerGrades+'!$AI$3,"S-",IF(T438&lt;'PlayerGrades+'!$AI$2,"S","S+"))))))))))))))))))))</f>
        <v>B</v>
      </c>
      <c r="V438" s="941">
        <v>1.0</v>
      </c>
      <c r="W438" s="941">
        <v>0.0</v>
      </c>
      <c r="X438" s="941">
        <v>1.0</v>
      </c>
      <c r="Y438" s="941">
        <v>3.0</v>
      </c>
      <c r="Z438" s="941">
        <v>0.0</v>
      </c>
      <c r="AA438" s="941">
        <v>117.0</v>
      </c>
      <c r="AB438" s="941">
        <v>164.0</v>
      </c>
      <c r="AC438" s="941">
        <v>-47.0</v>
      </c>
      <c r="AD438" s="941">
        <v>9.0</v>
      </c>
      <c r="AE438" s="941">
        <v>3.0</v>
      </c>
      <c r="AF438" s="941">
        <v>0.0</v>
      </c>
      <c r="AG438" s="941">
        <v>2592.0</v>
      </c>
      <c r="AH438" s="941">
        <v>3212.0</v>
      </c>
      <c r="AI438" s="941">
        <v>15.0</v>
      </c>
      <c r="AJ438" s="941">
        <v>10.0</v>
      </c>
      <c r="AK438" s="941">
        <v>0.0</v>
      </c>
      <c r="AL438" s="941">
        <v>0.0</v>
      </c>
      <c r="AM438" s="941">
        <v>0.0</v>
      </c>
      <c r="AN438" s="941">
        <v>0.0</v>
      </c>
      <c r="AO438" s="941">
        <v>0.0</v>
      </c>
      <c r="AP438" s="941">
        <v>0.0</v>
      </c>
      <c r="AQ438" s="941">
        <v>0.0</v>
      </c>
      <c r="AR438" s="941">
        <v>8.0</v>
      </c>
      <c r="AS438" s="941">
        <v>2.0</v>
      </c>
      <c r="AT438" s="941">
        <v>0.0</v>
      </c>
      <c r="AU438" s="941">
        <v>0.0</v>
      </c>
      <c r="AV438" s="941">
        <v>0.0</v>
      </c>
      <c r="AW438" s="941">
        <v>0.0</v>
      </c>
      <c r="AX438" s="941">
        <v>0.0</v>
      </c>
      <c r="AY438" s="941">
        <v>0.0</v>
      </c>
      <c r="AZ438" s="941">
        <v>0.0</v>
      </c>
      <c r="BA438" s="941">
        <v>0.0</v>
      </c>
      <c r="BB438" s="941">
        <v>1.0</v>
      </c>
      <c r="BC438" s="941">
        <v>0.0</v>
      </c>
      <c r="BD438" s="941">
        <v>15.0</v>
      </c>
      <c r="BE438" s="941">
        <v>20.0</v>
      </c>
      <c r="BF438" s="941">
        <v>1.0</v>
      </c>
      <c r="BG438" s="942">
        <v>0.0</v>
      </c>
    </row>
    <row r="439">
      <c r="A439" s="935" t="s">
        <v>153</v>
      </c>
      <c r="B439" s="16" t="str">
        <f>IF(C439&lt;'PlayerGrades+'!$Y$44,"F-",IF(C439&lt;'PlayerGrades+'!$Y$43,"F",IF(C439&lt;'PlayerGrades+'!$Y$42,"F+",IF(C439&lt;'PlayerGrades+'!$Y$41,"E-",IF(C439&lt;'PlayerGrades+'!$Y$40,"E",IF(C439&lt;'PlayerGrades+'!$Y$39,"E+",IF(C439&lt;'PlayerGrades+'!$Y$38,"D-",IF(C439&lt;'PlayerGrades+'!$Y$37,"D",IF(C439&lt;'PlayerGrades+'!$Y$36,"D+",IF(C439&lt;'PlayerGrades+'!$Y$35,"C-",IF(C439&lt;'PlayerGrades+'!$Y$34,"C",IF(C439&lt;'PlayerGrades+'!$Y$33,"C+",IF(C439&lt;'PlayerGrades+'!$Y$32,"B-",IF(C439&lt;'PlayerGrades+'!$Y$31,"B",IF(C439&lt;'PlayerGrades+'!$Y$30,"B+",IF(C439&lt;'PlayerGrades+'!$Y$29,"A-",IF(C439&lt;'PlayerGrades+'!$Y$28,"A",IF(C439&lt;'PlayerGrades+'!$Y$27,"A+",IF(C439&lt;'PlayerGrades+'!$Y$26,"S-",IF(C439&lt;'PlayerGrades+'!$Y$25,"S","S+"))))))))))))))))))))</f>
        <v>F-</v>
      </c>
      <c r="C439" s="936">
        <f>('PlayerGrades+'!$Y$47*(VLOOKUP(E439, 'PlayerGrades+'!$X$3:$Y$23, 2, FALSE)))+('PlayerGrades+'!$Y$48*(VLOOKUP(G439, 'PlayerGrades+'!$X$3:$Y$23, 2, FALSE)))+('PlayerGrades+'!$Y$49*(VLOOKUP(I439, 'PlayerGrades+'!$X$3:$Y$23, 2, FALSE)))+('PlayerGrades+'!$Y$50*(VLOOKUP(K439, 'PlayerGrades+'!$X$3:$Y$23, 2, FALSE)))+('PlayerGrades+'!$Y$51*(VLOOKUP(M439, 'PlayerGrades+'!$X$3:$Y$23, 2, FALSE)))+('PlayerGrades+'!$Y$52*(VLOOKUP(O439, 'PlayerGrades+'!$X$3:$Y$23, 2, FALSE)))+('PlayerGrades+'!$Y$53*(VLOOKUP(Q439, 'PlayerGrades+'!$X$3:$Y$23, 2, FALSE)))+('PlayerGrades+'!$Y$54*(VLOOKUP(S439, 'PlayerGrades+'!$X$3:$Y$23, 2, FALSE)))+('PlayerGrades+'!$Y$55*(VLOOKUP(U439, 'PlayerGrades+'!$X$3:$Y$23, 2, FALSE)))</f>
        <v>6.9</v>
      </c>
      <c r="D439" s="937">
        <f t="shared" si="1"/>
        <v>0.1120797011</v>
      </c>
      <c r="E439" s="937" t="str">
        <f>IF(D439&lt;'PlayerGrades+'!$AA$21,"F-",IF(D439&lt;'PlayerGrades+'!$AA$20,"F",IF(D439&lt;'PlayerGrades+'!$AA$19,"F+",IF(D439&lt;'PlayerGrades+'!$AA$18,"E-",IF(D439&lt;'PlayerGrades+'!$AA$17,"E",IF(D439&lt;'PlayerGrades+'!$AA$16,"E+",IF(D439&lt;'PlayerGrades+'!$AA$15,"D-",IF(D439&lt;'PlayerGrades+'!$AA$14,"D",IF(D439&lt;'PlayerGrades+'!$AA$13,"D+",IF(D439&lt;'PlayerGrades+'!$AA$12,"C-",IF(D439&lt;'PlayerGrades+'!$AA$11,"C",IF(D439&lt;'PlayerGrades+'!$AA$10,"C+",IF(D439&lt;'PlayerGrades+'!$AA$9,"B-",IF(D439&lt;'PlayerGrades+'!$AA$8,"B",IF(D439&lt;'PlayerGrades+'!$AA$7,"B+",IF(D439&lt;'PlayerGrades+'!$AA$6,"A-",IF(D439&lt;'PlayerGrades+'!$AA$5,"A",IF(D439&lt;'PlayerGrades+'!$AA$4,"A+",IF(D439&lt;'PlayerGrades+'!$AA$3,"S-",IF(D439&lt;'PlayerGrades+'!$AA$2,"S","S+"))))))))))))))))))))</f>
        <v>B</v>
      </c>
      <c r="F439" s="937">
        <f t="shared" si="2"/>
        <v>-1.681195517</v>
      </c>
      <c r="G439" s="937" t="str">
        <f>IF(F439&lt;'PlayerGrades+'!$AB$21,"F-",IF(F439&lt;'PlayerGrades+'!$AB$20,"F",IF(F439&lt;'PlayerGrades+'!$AB$19,"F+",IF(F439&lt;'PlayerGrades+'!$AB$18,"E-",IF(F439&lt;'PlayerGrades+'!$AB$17,"E",IF(F439&lt;'PlayerGrades+'!$AB$16,"E+",IF(F439&lt;'PlayerGrades+'!$AB$15,"D-",IF(F439&lt;'PlayerGrades+'!$AB$14,"D",IF(F439&lt;'PlayerGrades+'!$AB$13,"D+",IF(F439&lt;'PlayerGrades+'!$AB$12,"C-",IF(F439&lt;'PlayerGrades+'!$AB$11,"C",IF(F439&lt;'PlayerGrades+'!$AB$10,"C+",IF(F439&lt;'PlayerGrades+'!$AB$9,"B-",IF(F439&lt;'PlayerGrades+'!$AB$8,"B",IF(F439&lt;'PlayerGrades+'!$AB$7,"B+",IF(F439&lt;'PlayerGrades+'!$AB$6,"A-",IF(F439&lt;'PlayerGrades+'!$AB$5,"A",IF(F439&lt;'PlayerGrades+'!$AB$4,"A+",IF(F439&lt;'PlayerGrades+'!$AB$3,"S-",IF(F439&lt;'PlayerGrades+'!$AB$2,"S","S+"))))))))))))))))))))</f>
        <v>F-</v>
      </c>
      <c r="H439" s="937">
        <f t="shared" si="3"/>
        <v>0</v>
      </c>
      <c r="I439" s="937" t="str">
        <f>IF(H439&lt;'PlayerGrades+'!$AC$21,"F-",IF(H439&lt;'PlayerGrades+'!$AC$20,"F",IF(H439&lt;'PlayerGrades+'!$AC$19,"F+",IF(H439&lt;'PlayerGrades+'!$AC$18,"E-",IF(H439&lt;'PlayerGrades+'!$AC$17,"E",IF(H439&lt;'PlayerGrades+'!$AC$16,"E+",IF(H439&lt;'PlayerGrades+'!$AC$15,"D-",IF(H439&lt;'PlayerGrades+'!$AC$14,"D",IF(H439&lt;'PlayerGrades+'!$AC$13,"D+",IF(H439&lt;'PlayerGrades+'!$AC$12,"C-",IF(H439&lt;'PlayerGrades+'!$AC$11,"C",IF(H439&lt;'PlayerGrades+'!$AC$10,"C+",IF(H439&lt;'PlayerGrades+'!$AC$9,"B-",IF(H439&lt;'PlayerGrades+'!$AC$8,"B",IF(H439&lt;'PlayerGrades+'!$AC$7,"B+",IF(H439&lt;'PlayerGrades+'!$AC$6,"A-",IF(H439&lt;'PlayerGrades+'!$AC$5,"A",IF(H439&lt;'PlayerGrades+'!$AC$4,"A+",IF(H439&lt;'PlayerGrades+'!$AC$3,"S-",IF(H439&lt;'PlayerGrades+'!$AC$2,"S","S+"))))))))))))))))))))</f>
        <v>F-</v>
      </c>
      <c r="J439" s="937">
        <f t="shared" si="4"/>
        <v>0</v>
      </c>
      <c r="K439" s="937" t="str">
        <f>IF(J439&lt;'PlayerGrades+'!$AD$21,"F-",IF(J439&lt;'PlayerGrades+'!$AD$20,"F",IF(J439&lt;'PlayerGrades+'!$AD$19,"F+",IF(J439&lt;'PlayerGrades+'!$AD$18,"E-",IF(J439&lt;'PlayerGrades+'!$AD$17,"E",IF(J439&lt;'PlayerGrades+'!$AD$16,"E+",IF(J439&lt;'PlayerGrades+'!$AD$15,"D-",IF(J439&lt;'PlayerGrades+'!$AD$14,"D",IF(J439&lt;'PlayerGrades+'!$AD$13,"D+",IF(J439&lt;'PlayerGrades+'!$AD$12,"C-",IF(J439&lt;'PlayerGrades+'!$AD$11,"C",IF(J439&lt;'PlayerGrades+'!$AD$10,"C+",IF(J439&lt;'PlayerGrades+'!$AD$9,"B-",IF(J439&lt;'PlayerGrades+'!$AD$8,"B",IF(J439&lt;'PlayerGrades+'!$AD$7,"B+",IF(J439&lt;'PlayerGrades+'!$AD$6,"A-",IF(J439&lt;'PlayerGrades+'!$AD$5,"A",IF(J439&lt;'PlayerGrades+'!$AD$4,"A+",IF(J439&lt;'PlayerGrades+'!$AD$3,"S-",IF(J439&lt;'PlayerGrades+'!$AD$2,"S","S+"))))))))))))))))))))</f>
        <v>F-</v>
      </c>
      <c r="L439" s="677">
        <f t="shared" si="5"/>
        <v>0.1681195517</v>
      </c>
      <c r="M439" s="938" t="str">
        <f>IF(L439&lt;'PlayerGrades+'!$AE$21,"F-",IF(L439&lt;'PlayerGrades+'!$AE$20,"F",IF(L439&lt;'PlayerGrades+'!$AE$19,"F+",IF(L439&lt;'PlayerGrades+'!$AE$18,"E-",IF(L439&lt;'PlayerGrades+'!$AE$17,"E",IF(L439&lt;'PlayerGrades+'!$AE$16,"E+",IF(L439&lt;'PlayerGrades+'!$AE$15,"D-",IF(L439&lt;'PlayerGrades+'!$AE$14,"D",IF(L439&lt;'PlayerGrades+'!$AE$13,"D+",IF(L439&lt;'PlayerGrades+'!$AE$12,"C-",IF(L439&lt;'PlayerGrades+'!$AE$11,"C",IF(L439&lt;'PlayerGrades+'!$AE$10,"C+",IF(L439&lt;'PlayerGrades+'!$AE$9,"B-",IF(L439&lt;'PlayerGrades+'!$AE$8,"B",IF(L439&lt;'PlayerGrades+'!$AE$7,"B+",IF(L439&lt;'PlayerGrades+'!$AE$6,"A-",IF(L439&lt;'PlayerGrades+'!$AE$5,"A",IF(L439&lt;'PlayerGrades+'!$AE$4,"A+",IF(L439&lt;'PlayerGrades+'!$AE$3,"S-",IF(L439&lt;'PlayerGrades+'!$AE$2,"S","S+"))))))))))))))))))))</f>
        <v>F-</v>
      </c>
      <c r="N439" s="937">
        <f t="shared" si="6"/>
        <v>0</v>
      </c>
      <c r="O439" s="937" t="str">
        <f>IF(N439&lt;'PlayerGrades+'!$AF$21,"F-",IF(N439&lt;'PlayerGrades+'!$AF$20,"F",IF(N439&lt;'PlayerGrades+'!$AF$19,"F+",IF(N439&lt;'PlayerGrades+'!$AF$18,"E-",IF(N439&lt;'PlayerGrades+'!$AF$17,"E",IF(N439&lt;'PlayerGrades+'!$AF$16,"E+",IF(N439&lt;'PlayerGrades+'!$AF$15,"D-",IF(N439&lt;'PlayerGrades+'!$AF$14,"D",IF(N439&lt;'PlayerGrades+'!$AF$13,"D+",IF(N439&lt;'PlayerGrades+'!$AF$12,"C-",IF(N439&lt;'PlayerGrades+'!$AF$11,"C",IF(N439&lt;'PlayerGrades+'!$AF$10,"C+",IF(N439&lt;'PlayerGrades+'!$AF$9,"B-",IF(N439&lt;'PlayerGrades+'!$AF$8,"B",IF(N439&lt;'PlayerGrades+'!$AF$7,"B+",IF(N439&lt;'PlayerGrades+'!$AF$6,"A-",IF(N439&lt;'PlayerGrades+'!$AF$5,"A",IF(N439&lt;'PlayerGrades+'!$AF$4,"A+",IF(N439&lt;'PlayerGrades+'!$AF$3,"S-",IF(N439&lt;'PlayerGrades+'!$AF$2,"S","S+"))))))))))))))))))))</f>
        <v>F-</v>
      </c>
      <c r="P439" s="937">
        <f t="shared" si="7"/>
        <v>0</v>
      </c>
      <c r="Q439" s="937" t="str">
        <f>IF(P439&lt;'PlayerGrades+'!$AG$21,"F-",IF(P439&lt;'PlayerGrades+'!$AG$20,"F",IF(P439&lt;'PlayerGrades+'!$AG$19,"F+",IF(P439&lt;'PlayerGrades+'!$AG$18,"E-",IF(P439&lt;'PlayerGrades+'!$AG$17,"E",IF(P439&lt;'PlayerGrades+'!$AG$16,"E+",IF(P439&lt;'PlayerGrades+'!$AG$15,"D-",IF(P439&lt;'PlayerGrades+'!$AG$14,"D",IF(P439&lt;'PlayerGrades+'!$AG$13,"D+",IF(P439&lt;'PlayerGrades+'!$AG$12,"C-",IF(P439&lt;'PlayerGrades+'!$AG$11,"C",IF(P439&lt;'PlayerGrades+'!$AG$10,"C+",IF(P439&lt;'PlayerGrades+'!$AG$9,"B-",IF(P439&lt;'PlayerGrades+'!$AG$8,"B",IF(P439&lt;'PlayerGrades+'!$AG$7,"B+",IF(P439&lt;'PlayerGrades+'!$AG$6,"A-",IF(P439&lt;'PlayerGrades+'!$AG$5,"A",IF(P439&lt;'PlayerGrades+'!$AG$4,"A+",IF(P439&lt;'PlayerGrades+'!$AG$3,"S-",IF(P439&lt;'PlayerGrades+'!$AG$2,"S","S+"))))))))))))))))))))</f>
        <v>F</v>
      </c>
      <c r="R439" s="937">
        <f t="shared" si="8"/>
        <v>0.1681195517</v>
      </c>
      <c r="S439" s="937" t="str">
        <f>IF(R439&lt;'PlayerGrades+'!$AH$21,"F-",IF(R439&lt;'PlayerGrades+'!$AH$20,"F",IF(R439&lt;'PlayerGrades+'!$AH$19,"F+",IF(R439&lt;'PlayerGrades+'!$AH$18,"E-",IF(R439&lt;'PlayerGrades+'!$AH$17,"E",IF(R439&lt;'PlayerGrades+'!$AH$16,"E+",IF(R439&lt;'PlayerGrades+'!$AH$15,"D-",IF(R439&lt;'PlayerGrades+'!$AH$14,"D",IF(R439&lt;'PlayerGrades+'!$AH$13,"D+",IF(R439&lt;'PlayerGrades+'!$AH$12,"C-",IF(R439&lt;'PlayerGrades+'!$AH$11,"C",IF(R439&lt;'PlayerGrades+'!$AH$10,"C+",IF(R439&lt;'PlayerGrades+'!$AH$9,"B-",IF(R439&lt;'PlayerGrades+'!$AH$8,"B",IF(R439&lt;'PlayerGrades+'!$AH$7,"B+",IF(R439&lt;'PlayerGrades+'!$AH$6,"A-",IF(R439&lt;'PlayerGrades+'!$AH$5,"A",IF(R439&lt;'PlayerGrades+'!$AH$4,"A+",IF(R439&lt;'PlayerGrades+'!$AH$3,"S-",IF(R439&lt;'PlayerGrades+'!$AH$2,"S","S+"))))))))))))))))))))</f>
        <v>F-</v>
      </c>
      <c r="T439" s="937">
        <f t="shared" si="9"/>
        <v>1.168119552</v>
      </c>
      <c r="U439" s="937" t="str">
        <f>IF(T439&lt;'PlayerGrades+'!$AI$21,"F-",IF(T439&lt;'PlayerGrades+'!$AI$20,"F",IF(T439&lt;'PlayerGrades+'!$AI$19,"F+",IF(T439&lt;'PlayerGrades+'!$AI$18,"E-",IF(T439&lt;'PlayerGrades+'!$AI$17,"E",IF(T439&lt;'PlayerGrades+'!$AI$16,"E+",IF(T439&lt;'PlayerGrades+'!$AI$15,"D-",IF(T439&lt;'PlayerGrades+'!$AI$14,"D",IF(T439&lt;'PlayerGrades+'!$AI$13,"D+",IF(T439&lt;'PlayerGrades+'!$AI$12,"C-",IF(T439&lt;'PlayerGrades+'!$AI$11,"C",IF(T439&lt;'PlayerGrades+'!$AI$10,"C+",IF(T439&lt;'PlayerGrades+'!$AI$9,"B-",IF(T439&lt;'PlayerGrades+'!$AI$8,"B",IF(T439&lt;'PlayerGrades+'!$AI$7,"B+",IF(T439&lt;'PlayerGrades+'!$AI$6,"A-",IF(T439&lt;'PlayerGrades+'!$AI$5,"A",IF(T439&lt;'PlayerGrades+'!$AI$4,"A+",IF(T439&lt;'PlayerGrades+'!$AI$3,"S-",IF(T439&lt;'PlayerGrades+'!$AI$2,"S","S+"))))))))))))))))))))</f>
        <v>D+</v>
      </c>
      <c r="V439" s="941">
        <v>1.0</v>
      </c>
      <c r="W439" s="941">
        <v>0.0</v>
      </c>
      <c r="X439" s="941">
        <v>1.0</v>
      </c>
      <c r="Y439" s="941">
        <v>1.0</v>
      </c>
      <c r="Z439" s="941">
        <v>5.0</v>
      </c>
      <c r="AA439" s="941">
        <v>119.0</v>
      </c>
      <c r="AB439" s="941">
        <v>209.0</v>
      </c>
      <c r="AC439" s="941">
        <v>-90.0</v>
      </c>
      <c r="AD439" s="941">
        <v>0.0</v>
      </c>
      <c r="AE439" s="941">
        <v>3.0</v>
      </c>
      <c r="AF439" s="941">
        <v>0.0</v>
      </c>
      <c r="AG439" s="941">
        <v>2470.0</v>
      </c>
      <c r="AH439" s="941">
        <v>3212.0</v>
      </c>
      <c r="AI439" s="941">
        <v>11.0</v>
      </c>
      <c r="AJ439" s="941">
        <v>422.0</v>
      </c>
      <c r="AK439" s="941">
        <v>0.0</v>
      </c>
      <c r="AL439" s="941">
        <v>0.0</v>
      </c>
      <c r="AM439" s="941">
        <v>0.0</v>
      </c>
      <c r="AN439" s="941">
        <v>0.0</v>
      </c>
      <c r="AO439" s="941">
        <v>0.0</v>
      </c>
      <c r="AP439" s="941">
        <v>0.0</v>
      </c>
      <c r="AQ439" s="941">
        <v>0.0</v>
      </c>
      <c r="AR439" s="941">
        <v>9.0</v>
      </c>
      <c r="AS439" s="941">
        <v>0.0</v>
      </c>
      <c r="AT439" s="941">
        <v>0.0</v>
      </c>
      <c r="AU439" s="941">
        <v>0.0</v>
      </c>
      <c r="AV439" s="941">
        <v>0.0</v>
      </c>
      <c r="AW439" s="941">
        <v>0.0</v>
      </c>
      <c r="AX439" s="941">
        <v>0.0</v>
      </c>
      <c r="AY439" s="941">
        <v>0.0</v>
      </c>
      <c r="AZ439" s="941">
        <v>0.0</v>
      </c>
      <c r="BA439" s="941">
        <v>0.0</v>
      </c>
      <c r="BB439" s="941">
        <v>0.0</v>
      </c>
      <c r="BC439" s="941">
        <v>0.0</v>
      </c>
      <c r="BD439" s="941">
        <v>9.0</v>
      </c>
      <c r="BE439" s="941">
        <v>9.0</v>
      </c>
      <c r="BF439" s="941">
        <v>1.0</v>
      </c>
      <c r="BG439" s="942">
        <v>0.0</v>
      </c>
    </row>
    <row r="440">
      <c r="A440" s="935" t="s">
        <v>145</v>
      </c>
      <c r="B440" s="16" t="str">
        <f>IF(C440&lt;'PlayerGrades+'!$Y$44,"F-",IF(C440&lt;'PlayerGrades+'!$Y$43,"F",IF(C440&lt;'PlayerGrades+'!$Y$42,"F+",IF(C440&lt;'PlayerGrades+'!$Y$41,"E-",IF(C440&lt;'PlayerGrades+'!$Y$40,"E",IF(C440&lt;'PlayerGrades+'!$Y$39,"E+",IF(C440&lt;'PlayerGrades+'!$Y$38,"D-",IF(C440&lt;'PlayerGrades+'!$Y$37,"D",IF(C440&lt;'PlayerGrades+'!$Y$36,"D+",IF(C440&lt;'PlayerGrades+'!$Y$35,"C-",IF(C440&lt;'PlayerGrades+'!$Y$34,"C",IF(C440&lt;'PlayerGrades+'!$Y$33,"C+",IF(C440&lt;'PlayerGrades+'!$Y$32,"B-",IF(C440&lt;'PlayerGrades+'!$Y$31,"B",IF(C440&lt;'PlayerGrades+'!$Y$30,"B+",IF(C440&lt;'PlayerGrades+'!$Y$29,"A-",IF(C440&lt;'PlayerGrades+'!$Y$28,"A",IF(C440&lt;'PlayerGrades+'!$Y$27,"A+",IF(C440&lt;'PlayerGrades+'!$Y$26,"S-",IF(C440&lt;'PlayerGrades+'!$Y$25,"S","S+"))))))))))))))))))))</f>
        <v>D-</v>
      </c>
      <c r="C440" s="936">
        <f>('PlayerGrades+'!$Y$47*(VLOOKUP(E440, 'PlayerGrades+'!$X$3:$Y$23, 2, FALSE)))+('PlayerGrades+'!$Y$48*(VLOOKUP(G440, 'PlayerGrades+'!$X$3:$Y$23, 2, FALSE)))+('PlayerGrades+'!$Y$49*(VLOOKUP(I440, 'PlayerGrades+'!$X$3:$Y$23, 2, FALSE)))+('PlayerGrades+'!$Y$50*(VLOOKUP(K440, 'PlayerGrades+'!$X$3:$Y$23, 2, FALSE)))+('PlayerGrades+'!$Y$51*(VLOOKUP(M440, 'PlayerGrades+'!$X$3:$Y$23, 2, FALSE)))+('PlayerGrades+'!$Y$52*(VLOOKUP(O440, 'PlayerGrades+'!$X$3:$Y$23, 2, FALSE)))+('PlayerGrades+'!$Y$53*(VLOOKUP(Q440, 'PlayerGrades+'!$X$3:$Y$23, 2, FALSE)))+('PlayerGrades+'!$Y$54*(VLOOKUP(S440, 'PlayerGrades+'!$X$3:$Y$23, 2, FALSE)))+('PlayerGrades+'!$Y$55*(VLOOKUP(U440, 'PlayerGrades+'!$X$3:$Y$23, 2, FALSE)))</f>
        <v>14.75</v>
      </c>
      <c r="D440" s="937">
        <f t="shared" si="1"/>
        <v>0</v>
      </c>
      <c r="E440" s="937" t="str">
        <f>IF(D440&lt;'PlayerGrades+'!$AA$21,"F-",IF(D440&lt;'PlayerGrades+'!$AA$20,"F",IF(D440&lt;'PlayerGrades+'!$AA$19,"F+",IF(D440&lt;'PlayerGrades+'!$AA$18,"E-",IF(D440&lt;'PlayerGrades+'!$AA$17,"E",IF(D440&lt;'PlayerGrades+'!$AA$16,"E+",IF(D440&lt;'PlayerGrades+'!$AA$15,"D-",IF(D440&lt;'PlayerGrades+'!$AA$14,"D",IF(D440&lt;'PlayerGrades+'!$AA$13,"D+",IF(D440&lt;'PlayerGrades+'!$AA$12,"C-",IF(D440&lt;'PlayerGrades+'!$AA$11,"C",IF(D440&lt;'PlayerGrades+'!$AA$10,"C+",IF(D440&lt;'PlayerGrades+'!$AA$9,"B-",IF(D440&lt;'PlayerGrades+'!$AA$8,"B",IF(D440&lt;'PlayerGrades+'!$AA$7,"B+",IF(D440&lt;'PlayerGrades+'!$AA$6,"A-",IF(D440&lt;'PlayerGrades+'!$AA$5,"A",IF(D440&lt;'PlayerGrades+'!$AA$4,"A+",IF(D440&lt;'PlayerGrades+'!$AA$3,"S-",IF(D440&lt;'PlayerGrades+'!$AA$2,"S","S+"))))))))))))))))))))</f>
        <v>F-</v>
      </c>
      <c r="F440" s="937">
        <f t="shared" si="2"/>
        <v>-0.803237858</v>
      </c>
      <c r="G440" s="937" t="str">
        <f>IF(F440&lt;'PlayerGrades+'!$AB$21,"F-",IF(F440&lt;'PlayerGrades+'!$AB$20,"F",IF(F440&lt;'PlayerGrades+'!$AB$19,"F+",IF(F440&lt;'PlayerGrades+'!$AB$18,"E-",IF(F440&lt;'PlayerGrades+'!$AB$17,"E",IF(F440&lt;'PlayerGrades+'!$AB$16,"E+",IF(F440&lt;'PlayerGrades+'!$AB$15,"D-",IF(F440&lt;'PlayerGrades+'!$AB$14,"D",IF(F440&lt;'PlayerGrades+'!$AB$13,"D+",IF(F440&lt;'PlayerGrades+'!$AB$12,"C-",IF(F440&lt;'PlayerGrades+'!$AB$11,"C",IF(F440&lt;'PlayerGrades+'!$AB$10,"C+",IF(F440&lt;'PlayerGrades+'!$AB$9,"B-",IF(F440&lt;'PlayerGrades+'!$AB$8,"B",IF(F440&lt;'PlayerGrades+'!$AB$7,"B+",IF(F440&lt;'PlayerGrades+'!$AB$6,"A-",IF(F440&lt;'PlayerGrades+'!$AB$5,"A",IF(F440&lt;'PlayerGrades+'!$AB$4,"A+",IF(F440&lt;'PlayerGrades+'!$AB$3,"S-",IF(F440&lt;'PlayerGrades+'!$AB$2,"S","S+"))))))))))))))))))))</f>
        <v>E</v>
      </c>
      <c r="H440" s="937">
        <f t="shared" si="3"/>
        <v>0</v>
      </c>
      <c r="I440" s="937" t="str">
        <f>IF(H440&lt;'PlayerGrades+'!$AC$21,"F-",IF(H440&lt;'PlayerGrades+'!$AC$20,"F",IF(H440&lt;'PlayerGrades+'!$AC$19,"F+",IF(H440&lt;'PlayerGrades+'!$AC$18,"E-",IF(H440&lt;'PlayerGrades+'!$AC$17,"E",IF(H440&lt;'PlayerGrades+'!$AC$16,"E+",IF(H440&lt;'PlayerGrades+'!$AC$15,"D-",IF(H440&lt;'PlayerGrades+'!$AC$14,"D",IF(H440&lt;'PlayerGrades+'!$AC$13,"D+",IF(H440&lt;'PlayerGrades+'!$AC$12,"C-",IF(H440&lt;'PlayerGrades+'!$AC$11,"C",IF(H440&lt;'PlayerGrades+'!$AC$10,"C+",IF(H440&lt;'PlayerGrades+'!$AC$9,"B-",IF(H440&lt;'PlayerGrades+'!$AC$8,"B",IF(H440&lt;'PlayerGrades+'!$AC$7,"B+",IF(H440&lt;'PlayerGrades+'!$AC$6,"A-",IF(H440&lt;'PlayerGrades+'!$AC$5,"A",IF(H440&lt;'PlayerGrades+'!$AC$4,"A+",IF(H440&lt;'PlayerGrades+'!$AC$3,"S-",IF(H440&lt;'PlayerGrades+'!$AC$2,"S","S+"))))))))))))))))))))</f>
        <v>F-</v>
      </c>
      <c r="J440" s="937">
        <f t="shared" si="4"/>
        <v>0.03735990037</v>
      </c>
      <c r="K440" s="937" t="str">
        <f>IF(J440&lt;'PlayerGrades+'!$AD$21,"F-",IF(J440&lt;'PlayerGrades+'!$AD$20,"F",IF(J440&lt;'PlayerGrades+'!$AD$19,"F+",IF(J440&lt;'PlayerGrades+'!$AD$18,"E-",IF(J440&lt;'PlayerGrades+'!$AD$17,"E",IF(J440&lt;'PlayerGrades+'!$AD$16,"E+",IF(J440&lt;'PlayerGrades+'!$AD$15,"D-",IF(J440&lt;'PlayerGrades+'!$AD$14,"D",IF(J440&lt;'PlayerGrades+'!$AD$13,"D+",IF(J440&lt;'PlayerGrades+'!$AD$12,"C-",IF(J440&lt;'PlayerGrades+'!$AD$11,"C",IF(J440&lt;'PlayerGrades+'!$AD$10,"C+",IF(J440&lt;'PlayerGrades+'!$AD$9,"B-",IF(J440&lt;'PlayerGrades+'!$AD$8,"B",IF(J440&lt;'PlayerGrades+'!$AD$7,"B+",IF(J440&lt;'PlayerGrades+'!$AD$6,"A-",IF(J440&lt;'PlayerGrades+'!$AD$5,"A",IF(J440&lt;'PlayerGrades+'!$AD$4,"A+",IF(J440&lt;'PlayerGrades+'!$AD$3,"S-",IF(J440&lt;'PlayerGrades+'!$AD$2,"S","S+"))))))))))))))))))))</f>
        <v>C</v>
      </c>
      <c r="L440" s="677">
        <f t="shared" si="5"/>
        <v>0.4109589041</v>
      </c>
      <c r="M440" s="938" t="str">
        <f>IF(L440&lt;'PlayerGrades+'!$AE$21,"F-",IF(L440&lt;'PlayerGrades+'!$AE$20,"F",IF(L440&lt;'PlayerGrades+'!$AE$19,"F+",IF(L440&lt;'PlayerGrades+'!$AE$18,"E-",IF(L440&lt;'PlayerGrades+'!$AE$17,"E",IF(L440&lt;'PlayerGrades+'!$AE$16,"E+",IF(L440&lt;'PlayerGrades+'!$AE$15,"D-",IF(L440&lt;'PlayerGrades+'!$AE$14,"D",IF(L440&lt;'PlayerGrades+'!$AE$13,"D+",IF(L440&lt;'PlayerGrades+'!$AE$12,"C-",IF(L440&lt;'PlayerGrades+'!$AE$11,"C",IF(L440&lt;'PlayerGrades+'!$AE$10,"C+",IF(L440&lt;'PlayerGrades+'!$AE$9,"B-",IF(L440&lt;'PlayerGrades+'!$AE$8,"B",IF(L440&lt;'PlayerGrades+'!$AE$7,"B+",IF(L440&lt;'PlayerGrades+'!$AE$6,"A-",IF(L440&lt;'PlayerGrades+'!$AE$5,"A",IF(L440&lt;'PlayerGrades+'!$AE$4,"A+",IF(L440&lt;'PlayerGrades+'!$AE$3,"S-",IF(L440&lt;'PlayerGrades+'!$AE$2,"S","S+"))))))))))))))))))))</f>
        <v>C+</v>
      </c>
      <c r="N440" s="937">
        <f t="shared" si="6"/>
        <v>0</v>
      </c>
      <c r="O440" s="937" t="str">
        <f>IF(N440&lt;'PlayerGrades+'!$AF$21,"F-",IF(N440&lt;'PlayerGrades+'!$AF$20,"F",IF(N440&lt;'PlayerGrades+'!$AF$19,"F+",IF(N440&lt;'PlayerGrades+'!$AF$18,"E-",IF(N440&lt;'PlayerGrades+'!$AF$17,"E",IF(N440&lt;'PlayerGrades+'!$AF$16,"E+",IF(N440&lt;'PlayerGrades+'!$AF$15,"D-",IF(N440&lt;'PlayerGrades+'!$AF$14,"D",IF(N440&lt;'PlayerGrades+'!$AF$13,"D+",IF(N440&lt;'PlayerGrades+'!$AF$12,"C-",IF(N440&lt;'PlayerGrades+'!$AF$11,"C",IF(N440&lt;'PlayerGrades+'!$AF$10,"C+",IF(N440&lt;'PlayerGrades+'!$AF$9,"B-",IF(N440&lt;'PlayerGrades+'!$AF$8,"B",IF(N440&lt;'PlayerGrades+'!$AF$7,"B+",IF(N440&lt;'PlayerGrades+'!$AF$6,"A-",IF(N440&lt;'PlayerGrades+'!$AF$5,"A",IF(N440&lt;'PlayerGrades+'!$AF$4,"A+",IF(N440&lt;'PlayerGrades+'!$AF$3,"S-",IF(N440&lt;'PlayerGrades+'!$AF$2,"S","S+"))))))))))))))))))))</f>
        <v>F-</v>
      </c>
      <c r="P440" s="937">
        <f t="shared" si="7"/>
        <v>0.03735990037</v>
      </c>
      <c r="Q440" s="937" t="str">
        <f>IF(P440&lt;'PlayerGrades+'!$AG$21,"F-",IF(P440&lt;'PlayerGrades+'!$AG$20,"F",IF(P440&lt;'PlayerGrades+'!$AG$19,"F+",IF(P440&lt;'PlayerGrades+'!$AG$18,"E-",IF(P440&lt;'PlayerGrades+'!$AG$17,"E",IF(P440&lt;'PlayerGrades+'!$AG$16,"E+",IF(P440&lt;'PlayerGrades+'!$AG$15,"D-",IF(P440&lt;'PlayerGrades+'!$AG$14,"D",IF(P440&lt;'PlayerGrades+'!$AG$13,"D+",IF(P440&lt;'PlayerGrades+'!$AG$12,"C-",IF(P440&lt;'PlayerGrades+'!$AG$11,"C",IF(P440&lt;'PlayerGrades+'!$AG$10,"C+",IF(P440&lt;'PlayerGrades+'!$AG$9,"B-",IF(P440&lt;'PlayerGrades+'!$AG$8,"B",IF(P440&lt;'PlayerGrades+'!$AG$7,"B+",IF(P440&lt;'PlayerGrades+'!$AG$6,"A-",IF(P440&lt;'PlayerGrades+'!$AG$5,"A",IF(P440&lt;'PlayerGrades+'!$AG$4,"A+",IF(P440&lt;'PlayerGrades+'!$AG$3,"S-",IF(P440&lt;'PlayerGrades+'!$AG$2,"S","S+"))))))))))))))))))))</f>
        <v>B+</v>
      </c>
      <c r="R440" s="937">
        <f t="shared" si="8"/>
        <v>0.597758406</v>
      </c>
      <c r="S440" s="937" t="str">
        <f>IF(R440&lt;'PlayerGrades+'!$AH$21,"F-",IF(R440&lt;'PlayerGrades+'!$AH$20,"F",IF(R440&lt;'PlayerGrades+'!$AH$19,"F+",IF(R440&lt;'PlayerGrades+'!$AH$18,"E-",IF(R440&lt;'PlayerGrades+'!$AH$17,"E",IF(R440&lt;'PlayerGrades+'!$AH$16,"E+",IF(R440&lt;'PlayerGrades+'!$AH$15,"D-",IF(R440&lt;'PlayerGrades+'!$AH$14,"D",IF(R440&lt;'PlayerGrades+'!$AH$13,"D+",IF(R440&lt;'PlayerGrades+'!$AH$12,"C-",IF(R440&lt;'PlayerGrades+'!$AH$11,"C",IF(R440&lt;'PlayerGrades+'!$AH$10,"C+",IF(R440&lt;'PlayerGrades+'!$AH$9,"B-",IF(R440&lt;'PlayerGrades+'!$AH$8,"B",IF(R440&lt;'PlayerGrades+'!$AH$7,"B+",IF(R440&lt;'PlayerGrades+'!$AH$6,"A-",IF(R440&lt;'PlayerGrades+'!$AH$5,"A",IF(R440&lt;'PlayerGrades+'!$AH$4,"A+",IF(R440&lt;'PlayerGrades+'!$AH$3,"S-",IF(R440&lt;'PlayerGrades+'!$AH$2,"S","S+"))))))))))))))))))))</f>
        <v>A-</v>
      </c>
      <c r="T440" s="937">
        <f t="shared" si="9"/>
        <v>2.523038605</v>
      </c>
      <c r="U440" s="937" t="str">
        <f>IF(T440&lt;'PlayerGrades+'!$AI$21,"F-",IF(T440&lt;'PlayerGrades+'!$AI$20,"F",IF(T440&lt;'PlayerGrades+'!$AI$19,"F+",IF(T440&lt;'PlayerGrades+'!$AI$18,"E-",IF(T440&lt;'PlayerGrades+'!$AI$17,"E",IF(T440&lt;'PlayerGrades+'!$AI$16,"E+",IF(T440&lt;'PlayerGrades+'!$AI$15,"D-",IF(T440&lt;'PlayerGrades+'!$AI$14,"D",IF(T440&lt;'PlayerGrades+'!$AI$13,"D+",IF(T440&lt;'PlayerGrades+'!$AI$12,"C-",IF(T440&lt;'PlayerGrades+'!$AI$11,"C",IF(T440&lt;'PlayerGrades+'!$AI$10,"C+",IF(T440&lt;'PlayerGrades+'!$AI$9,"B-",IF(T440&lt;'PlayerGrades+'!$AI$8,"B",IF(T440&lt;'PlayerGrades+'!$AI$7,"B+",IF(T440&lt;'PlayerGrades+'!$AI$6,"A-",IF(T440&lt;'PlayerGrades+'!$AI$5,"A",IF(T440&lt;'PlayerGrades+'!$AI$4,"A+",IF(T440&lt;'PlayerGrades+'!$AI$3,"S-",IF(T440&lt;'PlayerGrades+'!$AI$2,"S","S+"))))))))))))))))))))</f>
        <v>S+</v>
      </c>
      <c r="V440" s="941">
        <v>1.0</v>
      </c>
      <c r="W440" s="941">
        <v>0.0</v>
      </c>
      <c r="X440" s="941">
        <v>1.0</v>
      </c>
      <c r="Y440" s="941">
        <v>0.0</v>
      </c>
      <c r="Z440" s="941">
        <v>0.0</v>
      </c>
      <c r="AA440" s="941">
        <v>162.0</v>
      </c>
      <c r="AB440" s="941">
        <v>205.0</v>
      </c>
      <c r="AC440" s="941">
        <v>-43.0</v>
      </c>
      <c r="AD440" s="941">
        <v>11.0</v>
      </c>
      <c r="AE440" s="941">
        <v>5.0</v>
      </c>
      <c r="AF440" s="941">
        <v>2.0</v>
      </c>
      <c r="AG440" s="941">
        <v>2478.0</v>
      </c>
      <c r="AH440" s="941">
        <v>3212.0</v>
      </c>
      <c r="AI440" s="941">
        <v>12.0</v>
      </c>
      <c r="AJ440" s="941">
        <v>20.0</v>
      </c>
      <c r="AK440" s="941">
        <v>0.0</v>
      </c>
      <c r="AL440" s="941">
        <v>2.0</v>
      </c>
      <c r="AM440" s="941">
        <v>0.0</v>
      </c>
      <c r="AN440" s="941">
        <v>0.0</v>
      </c>
      <c r="AO440" s="941">
        <v>0.0</v>
      </c>
      <c r="AP440" s="941">
        <v>2.0</v>
      </c>
      <c r="AQ440" s="941">
        <v>0.0</v>
      </c>
      <c r="AR440" s="941">
        <v>22.0</v>
      </c>
      <c r="AS440" s="941">
        <v>0.0</v>
      </c>
      <c r="AT440" s="941">
        <v>0.0</v>
      </c>
      <c r="AU440" s="941">
        <v>0.0</v>
      </c>
      <c r="AV440" s="941">
        <v>0.0</v>
      </c>
      <c r="AW440" s="941">
        <v>0.0</v>
      </c>
      <c r="AX440" s="941">
        <v>0.0</v>
      </c>
      <c r="AY440" s="941">
        <v>0.0</v>
      </c>
      <c r="AZ440" s="941">
        <v>0.0</v>
      </c>
      <c r="BA440" s="941">
        <v>0.0</v>
      </c>
      <c r="BB440" s="941">
        <v>0.0</v>
      </c>
      <c r="BC440" s="941">
        <v>0.0</v>
      </c>
      <c r="BD440" s="941">
        <v>21.0</v>
      </c>
      <c r="BE440" s="941">
        <v>28.0</v>
      </c>
      <c r="BF440" s="941">
        <v>2.0</v>
      </c>
      <c r="BG440" s="942">
        <v>0.0</v>
      </c>
    </row>
    <row r="441">
      <c r="A441" s="943" t="s">
        <v>120</v>
      </c>
      <c r="B441" s="16" t="str">
        <f>IF(C441&lt;'PlayerGrades+'!$Y$44,"F-",IF(C441&lt;'PlayerGrades+'!$Y$43,"F",IF(C441&lt;'PlayerGrades+'!$Y$42,"F+",IF(C441&lt;'PlayerGrades+'!$Y$41,"E-",IF(C441&lt;'PlayerGrades+'!$Y$40,"E",IF(C441&lt;'PlayerGrades+'!$Y$39,"E+",IF(C441&lt;'PlayerGrades+'!$Y$38,"D-",IF(C441&lt;'PlayerGrades+'!$Y$37,"D",IF(C441&lt;'PlayerGrades+'!$Y$36,"D+",IF(C441&lt;'PlayerGrades+'!$Y$35,"C-",IF(C441&lt;'PlayerGrades+'!$Y$34,"C",IF(C441&lt;'PlayerGrades+'!$Y$33,"C+",IF(C441&lt;'PlayerGrades+'!$Y$32,"B-",IF(C441&lt;'PlayerGrades+'!$Y$31,"B",IF(C441&lt;'PlayerGrades+'!$Y$30,"B+",IF(C441&lt;'PlayerGrades+'!$Y$29,"A-",IF(C441&lt;'PlayerGrades+'!$Y$28,"A",IF(C441&lt;'PlayerGrades+'!$Y$27,"A+",IF(C441&lt;'PlayerGrades+'!$Y$26,"S-",IF(C441&lt;'PlayerGrades+'!$Y$25,"S","S+"))))))))))))))))))))</f>
        <v>B</v>
      </c>
      <c r="C441" s="936">
        <f>('PlayerGrades+'!$Y$47*(VLOOKUP(E441, 'PlayerGrades+'!$X$3:$Y$23, 2, FALSE)))+('PlayerGrades+'!$Y$48*(VLOOKUP(G441, 'PlayerGrades+'!$X$3:$Y$23, 2, FALSE)))+('PlayerGrades+'!$Y$49*(VLOOKUP(I441, 'PlayerGrades+'!$X$3:$Y$23, 2, FALSE)))+('PlayerGrades+'!$Y$50*(VLOOKUP(K441, 'PlayerGrades+'!$X$3:$Y$23, 2, FALSE)))+('PlayerGrades+'!$Y$51*(VLOOKUP(M441, 'PlayerGrades+'!$X$3:$Y$23, 2, FALSE)))+('PlayerGrades+'!$Y$52*(VLOOKUP(O441, 'PlayerGrades+'!$X$3:$Y$23, 2, FALSE)))+('PlayerGrades+'!$Y$53*(VLOOKUP(Q441, 'PlayerGrades+'!$X$3:$Y$23, 2, FALSE)))+('PlayerGrades+'!$Y$54*(VLOOKUP(S441, 'PlayerGrades+'!$X$3:$Y$23, 2, FALSE)))+('PlayerGrades+'!$Y$55*(VLOOKUP(U441, 'PlayerGrades+'!$X$3:$Y$23, 2, FALSE)))</f>
        <v>22.7</v>
      </c>
      <c r="D441" s="937">
        <f t="shared" si="1"/>
        <v>0</v>
      </c>
      <c r="E441" s="937" t="str">
        <f>IF(D441&lt;'PlayerGrades+'!$AA$21,"F-",IF(D441&lt;'PlayerGrades+'!$AA$20,"F",IF(D441&lt;'PlayerGrades+'!$AA$19,"F+",IF(D441&lt;'PlayerGrades+'!$AA$18,"E-",IF(D441&lt;'PlayerGrades+'!$AA$17,"E",IF(D441&lt;'PlayerGrades+'!$AA$16,"E+",IF(D441&lt;'PlayerGrades+'!$AA$15,"D-",IF(D441&lt;'PlayerGrades+'!$AA$14,"D",IF(D441&lt;'PlayerGrades+'!$AA$13,"D+",IF(D441&lt;'PlayerGrades+'!$AA$12,"C-",IF(D441&lt;'PlayerGrades+'!$AA$11,"C",IF(D441&lt;'PlayerGrades+'!$AA$10,"C+",IF(D441&lt;'PlayerGrades+'!$AA$9,"B-",IF(D441&lt;'PlayerGrades+'!$AA$8,"B",IF(D441&lt;'PlayerGrades+'!$AA$7,"B+",IF(D441&lt;'PlayerGrades+'!$AA$6,"A-",IF(D441&lt;'PlayerGrades+'!$AA$5,"A",IF(D441&lt;'PlayerGrades+'!$AA$4,"A+",IF(D441&lt;'PlayerGrades+'!$AA$3,"S-",IF(D441&lt;'PlayerGrades+'!$AA$2,"S","S+"))))))))))))))))))))</f>
        <v>F-</v>
      </c>
      <c r="F441" s="937">
        <f t="shared" si="2"/>
        <v>0.3922789539</v>
      </c>
      <c r="G441" s="937" t="str">
        <f>IF(F441&lt;'PlayerGrades+'!$AB$21,"F-",IF(F441&lt;'PlayerGrades+'!$AB$20,"F",IF(F441&lt;'PlayerGrades+'!$AB$19,"F+",IF(F441&lt;'PlayerGrades+'!$AB$18,"E-",IF(F441&lt;'PlayerGrades+'!$AB$17,"E",IF(F441&lt;'PlayerGrades+'!$AB$16,"E+",IF(F441&lt;'PlayerGrades+'!$AB$15,"D-",IF(F441&lt;'PlayerGrades+'!$AB$14,"D",IF(F441&lt;'PlayerGrades+'!$AB$13,"D+",IF(F441&lt;'PlayerGrades+'!$AB$12,"C-",IF(F441&lt;'PlayerGrades+'!$AB$11,"C",IF(F441&lt;'PlayerGrades+'!$AB$10,"C+",IF(F441&lt;'PlayerGrades+'!$AB$9,"B-",IF(F441&lt;'PlayerGrades+'!$AB$8,"B",IF(F441&lt;'PlayerGrades+'!$AB$7,"B+",IF(F441&lt;'PlayerGrades+'!$AB$6,"A-",IF(F441&lt;'PlayerGrades+'!$AB$5,"A",IF(F441&lt;'PlayerGrades+'!$AB$4,"A+",IF(F441&lt;'PlayerGrades+'!$AB$3,"S-",IF(F441&lt;'PlayerGrades+'!$AB$2,"S","S+"))))))))))))))))))))</f>
        <v>A</v>
      </c>
      <c r="H441" s="937">
        <f t="shared" si="3"/>
        <v>0</v>
      </c>
      <c r="I441" s="937" t="str">
        <f>IF(H441&lt;'PlayerGrades+'!$AC$21,"F-",IF(H441&lt;'PlayerGrades+'!$AC$20,"F",IF(H441&lt;'PlayerGrades+'!$AC$19,"F+",IF(H441&lt;'PlayerGrades+'!$AC$18,"E-",IF(H441&lt;'PlayerGrades+'!$AC$17,"E",IF(H441&lt;'PlayerGrades+'!$AC$16,"E+",IF(H441&lt;'PlayerGrades+'!$AC$15,"D-",IF(H441&lt;'PlayerGrades+'!$AC$14,"D",IF(H441&lt;'PlayerGrades+'!$AC$13,"D+",IF(H441&lt;'PlayerGrades+'!$AC$12,"C-",IF(H441&lt;'PlayerGrades+'!$AC$11,"C",IF(H441&lt;'PlayerGrades+'!$AC$10,"C+",IF(H441&lt;'PlayerGrades+'!$AC$9,"B-",IF(H441&lt;'PlayerGrades+'!$AC$8,"B",IF(H441&lt;'PlayerGrades+'!$AC$7,"B+",IF(H441&lt;'PlayerGrades+'!$AC$6,"A-",IF(H441&lt;'PlayerGrades+'!$AC$5,"A",IF(H441&lt;'PlayerGrades+'!$AC$4,"A+",IF(H441&lt;'PlayerGrades+'!$AC$3,"S-",IF(H441&lt;'PlayerGrades+'!$AC$2,"S","S+"))))))))))))))))))))</f>
        <v>F-</v>
      </c>
      <c r="J441" s="937">
        <f t="shared" si="4"/>
        <v>0.07471980075</v>
      </c>
      <c r="K441" s="937" t="str">
        <f>IF(J441&lt;'PlayerGrades+'!$AD$21,"F-",IF(J441&lt;'PlayerGrades+'!$AD$20,"F",IF(J441&lt;'PlayerGrades+'!$AD$19,"F+",IF(J441&lt;'PlayerGrades+'!$AD$18,"E-",IF(J441&lt;'PlayerGrades+'!$AD$17,"E",IF(J441&lt;'PlayerGrades+'!$AD$16,"E+",IF(J441&lt;'PlayerGrades+'!$AD$15,"D-",IF(J441&lt;'PlayerGrades+'!$AD$14,"D",IF(J441&lt;'PlayerGrades+'!$AD$13,"D+",IF(J441&lt;'PlayerGrades+'!$AD$12,"C-",IF(J441&lt;'PlayerGrades+'!$AD$11,"C",IF(J441&lt;'PlayerGrades+'!$AD$10,"C+",IF(J441&lt;'PlayerGrades+'!$AD$9,"B-",IF(J441&lt;'PlayerGrades+'!$AD$8,"B",IF(J441&lt;'PlayerGrades+'!$AD$7,"B+",IF(J441&lt;'PlayerGrades+'!$AD$6,"A-",IF(J441&lt;'PlayerGrades+'!$AD$5,"A",IF(J441&lt;'PlayerGrades+'!$AD$4,"A+",IF(J441&lt;'PlayerGrades+'!$AD$3,"S-",IF(J441&lt;'PlayerGrades+'!$AD$2,"S","S+"))))))))))))))))))))</f>
        <v>A</v>
      </c>
      <c r="L441" s="677">
        <f t="shared" si="5"/>
        <v>0.4109589041</v>
      </c>
      <c r="M441" s="938" t="str">
        <f>IF(L441&lt;'PlayerGrades+'!$AE$21,"F-",IF(L441&lt;'PlayerGrades+'!$AE$20,"F",IF(L441&lt;'PlayerGrades+'!$AE$19,"F+",IF(L441&lt;'PlayerGrades+'!$AE$18,"E-",IF(L441&lt;'PlayerGrades+'!$AE$17,"E",IF(L441&lt;'PlayerGrades+'!$AE$16,"E+",IF(L441&lt;'PlayerGrades+'!$AE$15,"D-",IF(L441&lt;'PlayerGrades+'!$AE$14,"D",IF(L441&lt;'PlayerGrades+'!$AE$13,"D+",IF(L441&lt;'PlayerGrades+'!$AE$12,"C-",IF(L441&lt;'PlayerGrades+'!$AE$11,"C",IF(L441&lt;'PlayerGrades+'!$AE$10,"C+",IF(L441&lt;'PlayerGrades+'!$AE$9,"B-",IF(L441&lt;'PlayerGrades+'!$AE$8,"B",IF(L441&lt;'PlayerGrades+'!$AE$7,"B+",IF(L441&lt;'PlayerGrades+'!$AE$6,"A-",IF(L441&lt;'PlayerGrades+'!$AE$5,"A",IF(L441&lt;'PlayerGrades+'!$AE$4,"A+",IF(L441&lt;'PlayerGrades+'!$AE$3,"S-",IF(L441&lt;'PlayerGrades+'!$AE$2,"S","S+"))))))))))))))))))))</f>
        <v>C+</v>
      </c>
      <c r="N441" s="937">
        <f t="shared" si="6"/>
        <v>0.1120797011</v>
      </c>
      <c r="O441" s="937" t="str">
        <f>IF(N441&lt;'PlayerGrades+'!$AF$21,"F-",IF(N441&lt;'PlayerGrades+'!$AF$20,"F",IF(N441&lt;'PlayerGrades+'!$AF$19,"F+",IF(N441&lt;'PlayerGrades+'!$AF$18,"E-",IF(N441&lt;'PlayerGrades+'!$AF$17,"E",IF(N441&lt;'PlayerGrades+'!$AF$16,"E+",IF(N441&lt;'PlayerGrades+'!$AF$15,"D-",IF(N441&lt;'PlayerGrades+'!$AF$14,"D",IF(N441&lt;'PlayerGrades+'!$AF$13,"D+",IF(N441&lt;'PlayerGrades+'!$AF$12,"C-",IF(N441&lt;'PlayerGrades+'!$AF$11,"C",IF(N441&lt;'PlayerGrades+'!$AF$10,"C+",IF(N441&lt;'PlayerGrades+'!$AF$9,"B-",IF(N441&lt;'PlayerGrades+'!$AF$8,"B",IF(N441&lt;'PlayerGrades+'!$AF$7,"B+",IF(N441&lt;'PlayerGrades+'!$AF$6,"A-",IF(N441&lt;'PlayerGrades+'!$AF$5,"A",IF(N441&lt;'PlayerGrades+'!$AF$4,"A+",IF(N441&lt;'PlayerGrades+'!$AF$3,"S-",IF(N441&lt;'PlayerGrades+'!$AF$2,"S","S+"))))))))))))))))))))</f>
        <v>S-</v>
      </c>
      <c r="P441" s="937">
        <f t="shared" si="7"/>
        <v>0.07471980075</v>
      </c>
      <c r="Q441" s="937" t="str">
        <f>IF(P441&lt;'PlayerGrades+'!$AG$21,"F-",IF(P441&lt;'PlayerGrades+'!$AG$20,"F",IF(P441&lt;'PlayerGrades+'!$AG$19,"F+",IF(P441&lt;'PlayerGrades+'!$AG$18,"E-",IF(P441&lt;'PlayerGrades+'!$AG$17,"E",IF(P441&lt;'PlayerGrades+'!$AG$16,"E+",IF(P441&lt;'PlayerGrades+'!$AG$15,"D-",IF(P441&lt;'PlayerGrades+'!$AG$14,"D",IF(P441&lt;'PlayerGrades+'!$AG$13,"D+",IF(P441&lt;'PlayerGrades+'!$AG$12,"C-",IF(P441&lt;'PlayerGrades+'!$AG$11,"C",IF(P441&lt;'PlayerGrades+'!$AG$10,"C+",IF(P441&lt;'PlayerGrades+'!$AG$9,"B-",IF(P441&lt;'PlayerGrades+'!$AG$8,"B",IF(P441&lt;'PlayerGrades+'!$AG$7,"B+",IF(P441&lt;'PlayerGrades+'!$AG$6,"A-",IF(P441&lt;'PlayerGrades+'!$AG$5,"A",IF(P441&lt;'PlayerGrades+'!$AG$4,"A+",IF(P441&lt;'PlayerGrades+'!$AG$3,"S-",IF(P441&lt;'PlayerGrades+'!$AG$2,"S","S+"))))))))))))))))))))</f>
        <v>S-</v>
      </c>
      <c r="R441" s="937">
        <f t="shared" si="8"/>
        <v>0.5230386052</v>
      </c>
      <c r="S441" s="937" t="str">
        <f>IF(R441&lt;'PlayerGrades+'!$AH$21,"F-",IF(R441&lt;'PlayerGrades+'!$AH$20,"F",IF(R441&lt;'PlayerGrades+'!$AH$19,"F+",IF(R441&lt;'PlayerGrades+'!$AH$18,"E-",IF(R441&lt;'PlayerGrades+'!$AH$17,"E",IF(R441&lt;'PlayerGrades+'!$AH$16,"E+",IF(R441&lt;'PlayerGrades+'!$AH$15,"D-",IF(R441&lt;'PlayerGrades+'!$AH$14,"D",IF(R441&lt;'PlayerGrades+'!$AH$13,"D+",IF(R441&lt;'PlayerGrades+'!$AH$12,"C-",IF(R441&lt;'PlayerGrades+'!$AH$11,"C",IF(R441&lt;'PlayerGrades+'!$AH$10,"C+",IF(R441&lt;'PlayerGrades+'!$AH$9,"B-",IF(R441&lt;'PlayerGrades+'!$AH$8,"B",IF(R441&lt;'PlayerGrades+'!$AH$7,"B+",IF(R441&lt;'PlayerGrades+'!$AH$6,"A-",IF(R441&lt;'PlayerGrades+'!$AH$5,"A",IF(R441&lt;'PlayerGrades+'!$AH$4,"A+",IF(R441&lt;'PlayerGrades+'!$AH$3,"S-",IF(R441&lt;'PlayerGrades+'!$AH$2,"S","S+"))))))))))))))))))))</f>
        <v>C</v>
      </c>
      <c r="T441" s="937">
        <f t="shared" si="9"/>
        <v>1.653798257</v>
      </c>
      <c r="U441" s="937" t="str">
        <f>IF(T441&lt;'PlayerGrades+'!$AI$21,"F-",IF(T441&lt;'PlayerGrades+'!$AI$20,"F",IF(T441&lt;'PlayerGrades+'!$AI$19,"F+",IF(T441&lt;'PlayerGrades+'!$AI$18,"E-",IF(T441&lt;'PlayerGrades+'!$AI$17,"E",IF(T441&lt;'PlayerGrades+'!$AI$16,"E+",IF(T441&lt;'PlayerGrades+'!$AI$15,"D-",IF(T441&lt;'PlayerGrades+'!$AI$14,"D",IF(T441&lt;'PlayerGrades+'!$AI$13,"D+",IF(T441&lt;'PlayerGrades+'!$AI$12,"C-",IF(T441&lt;'PlayerGrades+'!$AI$11,"C",IF(T441&lt;'PlayerGrades+'!$AI$10,"C+",IF(T441&lt;'PlayerGrades+'!$AI$9,"B-",IF(T441&lt;'PlayerGrades+'!$AI$8,"B",IF(T441&lt;'PlayerGrades+'!$AI$7,"B+",IF(T441&lt;'PlayerGrades+'!$AI$6,"A-",IF(T441&lt;'PlayerGrades+'!$AI$5,"A",IF(T441&lt;'PlayerGrades+'!$AI$4,"A+",IF(T441&lt;'PlayerGrades+'!$AI$3,"S-",IF(T441&lt;'PlayerGrades+'!$AI$2,"S","S+"))))))))))))))))))))</f>
        <v>S-</v>
      </c>
      <c r="V441" s="944">
        <v>1.0</v>
      </c>
      <c r="W441" s="944">
        <v>0.0</v>
      </c>
      <c r="X441" s="944">
        <v>1.0</v>
      </c>
      <c r="Y441" s="944">
        <v>0.0</v>
      </c>
      <c r="Z441" s="944">
        <v>0.0</v>
      </c>
      <c r="AA441" s="944">
        <v>193.0</v>
      </c>
      <c r="AB441" s="944">
        <v>172.0</v>
      </c>
      <c r="AC441" s="944">
        <v>21.0</v>
      </c>
      <c r="AD441" s="944">
        <v>8.0</v>
      </c>
      <c r="AE441" s="944">
        <v>6.0</v>
      </c>
      <c r="AF441" s="944">
        <v>2.0</v>
      </c>
      <c r="AG441" s="944">
        <v>2571.0</v>
      </c>
      <c r="AH441" s="944">
        <v>3212.0</v>
      </c>
      <c r="AI441" s="944">
        <v>14.0</v>
      </c>
      <c r="AJ441" s="944">
        <v>10.0</v>
      </c>
      <c r="AK441" s="944">
        <v>0.0</v>
      </c>
      <c r="AL441" s="944">
        <v>4.0</v>
      </c>
      <c r="AM441" s="944">
        <v>0.0</v>
      </c>
      <c r="AN441" s="944">
        <v>0.0</v>
      </c>
      <c r="AO441" s="944">
        <v>0.0</v>
      </c>
      <c r="AP441" s="944">
        <v>4.0</v>
      </c>
      <c r="AQ441" s="944">
        <v>0.0</v>
      </c>
      <c r="AR441" s="944">
        <v>22.0</v>
      </c>
      <c r="AS441" s="944">
        <v>6.0</v>
      </c>
      <c r="AT441" s="944">
        <v>2.0</v>
      </c>
      <c r="AU441" s="944">
        <v>0.0</v>
      </c>
      <c r="AV441" s="944">
        <v>0.0</v>
      </c>
      <c r="AW441" s="944">
        <v>0.0</v>
      </c>
      <c r="AX441" s="944">
        <v>0.0</v>
      </c>
      <c r="AY441" s="944">
        <v>0.0</v>
      </c>
      <c r="AZ441" s="944">
        <v>0.0</v>
      </c>
      <c r="BA441" s="944">
        <v>0.0</v>
      </c>
      <c r="BB441" s="944">
        <v>0.0</v>
      </c>
      <c r="BC441" s="944">
        <v>0.0</v>
      </c>
      <c r="BD441" s="944">
        <v>20.0</v>
      </c>
      <c r="BE441" s="944">
        <v>35.0</v>
      </c>
      <c r="BF441" s="944">
        <v>1.0</v>
      </c>
      <c r="BG441" s="945">
        <v>0.0</v>
      </c>
    </row>
    <row r="442">
      <c r="A442" s="946" t="s">
        <v>149</v>
      </c>
      <c r="B442" s="16" t="str">
        <f>IF(C442&lt;'PlayerGrades+'!$Y$44,"F-",IF(C442&lt;'PlayerGrades+'!$Y$43,"F",IF(C442&lt;'PlayerGrades+'!$Y$42,"F+",IF(C442&lt;'PlayerGrades+'!$Y$41,"E-",IF(C442&lt;'PlayerGrades+'!$Y$40,"E",IF(C442&lt;'PlayerGrades+'!$Y$39,"E+",IF(C442&lt;'PlayerGrades+'!$Y$38,"D-",IF(C442&lt;'PlayerGrades+'!$Y$37,"D",IF(C442&lt;'PlayerGrades+'!$Y$36,"D+",IF(C442&lt;'PlayerGrades+'!$Y$35,"C-",IF(C442&lt;'PlayerGrades+'!$Y$34,"C",IF(C442&lt;'PlayerGrades+'!$Y$33,"C+",IF(C442&lt;'PlayerGrades+'!$Y$32,"B-",IF(C442&lt;'PlayerGrades+'!$Y$31,"B",IF(C442&lt;'PlayerGrades+'!$Y$30,"B+",IF(C442&lt;'PlayerGrades+'!$Y$29,"A-",IF(C442&lt;'PlayerGrades+'!$Y$28,"A",IF(C442&lt;'PlayerGrades+'!$Y$27,"A+",IF(C442&lt;'PlayerGrades+'!$Y$26,"S-",IF(C442&lt;'PlayerGrades+'!$Y$25,"S","S+"))))))))))))))))))))</f>
        <v>D+</v>
      </c>
      <c r="C442" s="936">
        <f>('PlayerGrades+'!$Y$47*(VLOOKUP(E442, 'PlayerGrades+'!$X$3:$Y$23, 2, FALSE)))+('PlayerGrades+'!$Y$48*(VLOOKUP(G442, 'PlayerGrades+'!$X$3:$Y$23, 2, FALSE)))+('PlayerGrades+'!$Y$49*(VLOOKUP(I442, 'PlayerGrades+'!$X$3:$Y$23, 2, FALSE)))+('PlayerGrades+'!$Y$50*(VLOOKUP(K442, 'PlayerGrades+'!$X$3:$Y$23, 2, FALSE)))+('PlayerGrades+'!$Y$51*(VLOOKUP(M442, 'PlayerGrades+'!$X$3:$Y$23, 2, FALSE)))+('PlayerGrades+'!$Y$52*(VLOOKUP(O442, 'PlayerGrades+'!$X$3:$Y$23, 2, FALSE)))+('PlayerGrades+'!$Y$53*(VLOOKUP(Q442, 'PlayerGrades+'!$X$3:$Y$23, 2, FALSE)))+('PlayerGrades+'!$Y$54*(VLOOKUP(S442, 'PlayerGrades+'!$X$3:$Y$23, 2, FALSE)))+('PlayerGrades+'!$Y$55*(VLOOKUP(U442, 'PlayerGrades+'!$X$3:$Y$23, 2, FALSE)))</f>
        <v>17.95</v>
      </c>
      <c r="D442" s="937">
        <f t="shared" si="1"/>
        <v>0.7149240393</v>
      </c>
      <c r="E442" s="937" t="str">
        <f>IF(D442&lt;'PlayerGrades+'!$AA$21,"F-",IF(D442&lt;'PlayerGrades+'!$AA$20,"F",IF(D442&lt;'PlayerGrades+'!$AA$19,"F+",IF(D442&lt;'PlayerGrades+'!$AA$18,"E-",IF(D442&lt;'PlayerGrades+'!$AA$17,"E",IF(D442&lt;'PlayerGrades+'!$AA$16,"E+",IF(D442&lt;'PlayerGrades+'!$AA$15,"D-",IF(D442&lt;'PlayerGrades+'!$AA$14,"D",IF(D442&lt;'PlayerGrades+'!$AA$13,"D+",IF(D442&lt;'PlayerGrades+'!$AA$12,"C-",IF(D442&lt;'PlayerGrades+'!$AA$11,"C",IF(D442&lt;'PlayerGrades+'!$AA$10,"C+",IF(D442&lt;'PlayerGrades+'!$AA$9,"B-",IF(D442&lt;'PlayerGrades+'!$AA$8,"B",IF(D442&lt;'PlayerGrades+'!$AA$7,"B+",IF(D442&lt;'PlayerGrades+'!$AA$6,"A-",IF(D442&lt;'PlayerGrades+'!$AA$5,"A",IF(D442&lt;'PlayerGrades+'!$AA$4,"A+",IF(D442&lt;'PlayerGrades+'!$AA$3,"S-",IF(D442&lt;'PlayerGrades+'!$AA$2,"S","S+"))))))))))))))))))))</f>
        <v>S</v>
      </c>
      <c r="F442" s="937">
        <f t="shared" si="2"/>
        <v>0.8221626452</v>
      </c>
      <c r="G442" s="937" t="str">
        <f>IF(F442&lt;'PlayerGrades+'!$AB$21,"F-",IF(F442&lt;'PlayerGrades+'!$AB$20,"F",IF(F442&lt;'PlayerGrades+'!$AB$19,"F+",IF(F442&lt;'PlayerGrades+'!$AB$18,"E-",IF(F442&lt;'PlayerGrades+'!$AB$17,"E",IF(F442&lt;'PlayerGrades+'!$AB$16,"E+",IF(F442&lt;'PlayerGrades+'!$AB$15,"D-",IF(F442&lt;'PlayerGrades+'!$AB$14,"D",IF(F442&lt;'PlayerGrades+'!$AB$13,"D+",IF(F442&lt;'PlayerGrades+'!$AB$12,"C-",IF(F442&lt;'PlayerGrades+'!$AB$11,"C",IF(F442&lt;'PlayerGrades+'!$AB$10,"C+",IF(F442&lt;'PlayerGrades+'!$AB$9,"B-",IF(F442&lt;'PlayerGrades+'!$AB$8,"B",IF(F442&lt;'PlayerGrades+'!$AB$7,"B+",IF(F442&lt;'PlayerGrades+'!$AB$6,"A-",IF(F442&lt;'PlayerGrades+'!$AB$5,"A",IF(F442&lt;'PlayerGrades+'!$AB$4,"A+",IF(F442&lt;'PlayerGrades+'!$AB$3,"S-",IF(F442&lt;'PlayerGrades+'!$AB$2,"S","S+"))))))))))))))))))))</f>
        <v>S</v>
      </c>
      <c r="H442" s="937">
        <f t="shared" si="3"/>
        <v>0.03574620197</v>
      </c>
      <c r="I442" s="937" t="str">
        <f>IF(H442&lt;'PlayerGrades+'!$AC$21,"F-",IF(H442&lt;'PlayerGrades+'!$AC$20,"F",IF(H442&lt;'PlayerGrades+'!$AC$19,"F+",IF(H442&lt;'PlayerGrades+'!$AC$18,"E-",IF(H442&lt;'PlayerGrades+'!$AC$17,"E",IF(H442&lt;'PlayerGrades+'!$AC$16,"E+",IF(H442&lt;'PlayerGrades+'!$AC$15,"D-",IF(H442&lt;'PlayerGrades+'!$AC$14,"D",IF(H442&lt;'PlayerGrades+'!$AC$13,"D+",IF(H442&lt;'PlayerGrades+'!$AC$12,"C-",IF(H442&lt;'PlayerGrades+'!$AC$11,"C",IF(H442&lt;'PlayerGrades+'!$AC$10,"C+",IF(H442&lt;'PlayerGrades+'!$AC$9,"B-",IF(H442&lt;'PlayerGrades+'!$AC$8,"B",IF(H442&lt;'PlayerGrades+'!$AC$7,"B+",IF(H442&lt;'PlayerGrades+'!$AC$6,"A-",IF(H442&lt;'PlayerGrades+'!$AC$5,"A",IF(H442&lt;'PlayerGrades+'!$AC$4,"A+",IF(H442&lt;'PlayerGrades+'!$AC$3,"S-",IF(H442&lt;'PlayerGrades+'!$AC$2,"S","S+"))))))))))))))))))))</f>
        <v>F</v>
      </c>
      <c r="J442" s="937">
        <f t="shared" si="4"/>
        <v>0.05361930295</v>
      </c>
      <c r="K442" s="937" t="str">
        <f>IF(J442&lt;'PlayerGrades+'!$AD$21,"F-",IF(J442&lt;'PlayerGrades+'!$AD$20,"F",IF(J442&lt;'PlayerGrades+'!$AD$19,"F+",IF(J442&lt;'PlayerGrades+'!$AD$18,"E-",IF(J442&lt;'PlayerGrades+'!$AD$17,"E",IF(J442&lt;'PlayerGrades+'!$AD$16,"E+",IF(J442&lt;'PlayerGrades+'!$AD$15,"D-",IF(J442&lt;'PlayerGrades+'!$AD$14,"D",IF(J442&lt;'PlayerGrades+'!$AD$13,"D+",IF(J442&lt;'PlayerGrades+'!$AD$12,"C-",IF(J442&lt;'PlayerGrades+'!$AD$11,"C",IF(J442&lt;'PlayerGrades+'!$AD$10,"C+",IF(J442&lt;'PlayerGrades+'!$AD$9,"B-",IF(J442&lt;'PlayerGrades+'!$AD$8,"B",IF(J442&lt;'PlayerGrades+'!$AD$7,"B+",IF(J442&lt;'PlayerGrades+'!$AD$6,"A-",IF(J442&lt;'PlayerGrades+'!$AD$5,"A",IF(J442&lt;'PlayerGrades+'!$AD$4,"A+",IF(J442&lt;'PlayerGrades+'!$AD$3,"S-",IF(J442&lt;'PlayerGrades+'!$AD$2,"S","S+"))))))))))))))))))))</f>
        <v>B+</v>
      </c>
      <c r="L442" s="677">
        <f t="shared" si="5"/>
        <v>0.2323503128</v>
      </c>
      <c r="M442" s="938" t="str">
        <f>IF(L442&lt;'PlayerGrades+'!$AE$21,"F-",IF(L442&lt;'PlayerGrades+'!$AE$20,"F",IF(L442&lt;'PlayerGrades+'!$AE$19,"F+",IF(L442&lt;'PlayerGrades+'!$AE$18,"E-",IF(L442&lt;'PlayerGrades+'!$AE$17,"E",IF(L442&lt;'PlayerGrades+'!$AE$16,"E+",IF(L442&lt;'PlayerGrades+'!$AE$15,"D-",IF(L442&lt;'PlayerGrades+'!$AE$14,"D",IF(L442&lt;'PlayerGrades+'!$AE$13,"D+",IF(L442&lt;'PlayerGrades+'!$AE$12,"C-",IF(L442&lt;'PlayerGrades+'!$AE$11,"C",IF(L442&lt;'PlayerGrades+'!$AE$10,"C+",IF(L442&lt;'PlayerGrades+'!$AE$9,"B-",IF(L442&lt;'PlayerGrades+'!$AE$8,"B",IF(L442&lt;'PlayerGrades+'!$AE$7,"B+",IF(L442&lt;'PlayerGrades+'!$AE$6,"A-",IF(L442&lt;'PlayerGrades+'!$AE$5,"A",IF(L442&lt;'PlayerGrades+'!$AE$4,"A+",IF(L442&lt;'PlayerGrades+'!$AE$3,"S-",IF(L442&lt;'PlayerGrades+'!$AE$2,"S","S+"))))))))))))))))))))</f>
        <v>F</v>
      </c>
      <c r="N442" s="937">
        <f t="shared" si="6"/>
        <v>0.03574620197</v>
      </c>
      <c r="O442" s="937" t="str">
        <f>IF(N442&lt;'PlayerGrades+'!$AF$21,"F-",IF(N442&lt;'PlayerGrades+'!$AF$20,"F",IF(N442&lt;'PlayerGrades+'!$AF$19,"F+",IF(N442&lt;'PlayerGrades+'!$AF$18,"E-",IF(N442&lt;'PlayerGrades+'!$AF$17,"E",IF(N442&lt;'PlayerGrades+'!$AF$16,"E+",IF(N442&lt;'PlayerGrades+'!$AF$15,"D-",IF(N442&lt;'PlayerGrades+'!$AF$14,"D",IF(N442&lt;'PlayerGrades+'!$AF$13,"D+",IF(N442&lt;'PlayerGrades+'!$AF$12,"C-",IF(N442&lt;'PlayerGrades+'!$AF$11,"C",IF(N442&lt;'PlayerGrades+'!$AF$10,"C+",IF(N442&lt;'PlayerGrades+'!$AF$9,"B-",IF(N442&lt;'PlayerGrades+'!$AF$8,"B",IF(N442&lt;'PlayerGrades+'!$AF$7,"B+",IF(N442&lt;'PlayerGrades+'!$AF$6,"A-",IF(N442&lt;'PlayerGrades+'!$AF$5,"A",IF(N442&lt;'PlayerGrades+'!$AF$4,"A+",IF(N442&lt;'PlayerGrades+'!$AF$3,"S-",IF(N442&lt;'PlayerGrades+'!$AF$2,"S","S+"))))))))))))))))))))</f>
        <v>F+</v>
      </c>
      <c r="P442" s="937">
        <f t="shared" si="7"/>
        <v>0</v>
      </c>
      <c r="Q442" s="937" t="str">
        <f>IF(P442&lt;'PlayerGrades+'!$AG$21,"F-",IF(P442&lt;'PlayerGrades+'!$AG$20,"F",IF(P442&lt;'PlayerGrades+'!$AG$19,"F+",IF(P442&lt;'PlayerGrades+'!$AG$18,"E-",IF(P442&lt;'PlayerGrades+'!$AG$17,"E",IF(P442&lt;'PlayerGrades+'!$AG$16,"E+",IF(P442&lt;'PlayerGrades+'!$AG$15,"D-",IF(P442&lt;'PlayerGrades+'!$AG$14,"D",IF(P442&lt;'PlayerGrades+'!$AG$13,"D+",IF(P442&lt;'PlayerGrades+'!$AG$12,"C-",IF(P442&lt;'PlayerGrades+'!$AG$11,"C",IF(P442&lt;'PlayerGrades+'!$AG$10,"C+",IF(P442&lt;'PlayerGrades+'!$AG$9,"B-",IF(P442&lt;'PlayerGrades+'!$AG$8,"B",IF(P442&lt;'PlayerGrades+'!$AG$7,"B+",IF(P442&lt;'PlayerGrades+'!$AG$6,"A-",IF(P442&lt;'PlayerGrades+'!$AG$5,"A",IF(P442&lt;'PlayerGrades+'!$AG$4,"A+",IF(P442&lt;'PlayerGrades+'!$AG$3,"S-",IF(P442&lt;'PlayerGrades+'!$AG$2,"S","S+"))))))))))))))))))))</f>
        <v>F</v>
      </c>
      <c r="R442" s="937">
        <f t="shared" si="8"/>
        <v>0.5898123324</v>
      </c>
      <c r="S442" s="937" t="str">
        <f>IF(R442&lt;'PlayerGrades+'!$AH$21,"F-",IF(R442&lt;'PlayerGrades+'!$AH$20,"F",IF(R442&lt;'PlayerGrades+'!$AH$19,"F+",IF(R442&lt;'PlayerGrades+'!$AH$18,"E-",IF(R442&lt;'PlayerGrades+'!$AH$17,"E",IF(R442&lt;'PlayerGrades+'!$AH$16,"E+",IF(R442&lt;'PlayerGrades+'!$AH$15,"D-",IF(R442&lt;'PlayerGrades+'!$AH$14,"D",IF(R442&lt;'PlayerGrades+'!$AH$13,"D+",IF(R442&lt;'PlayerGrades+'!$AH$12,"C-",IF(R442&lt;'PlayerGrades+'!$AH$11,"C",IF(R442&lt;'PlayerGrades+'!$AH$10,"C+",IF(R442&lt;'PlayerGrades+'!$AH$9,"B-",IF(R442&lt;'PlayerGrades+'!$AH$8,"B",IF(R442&lt;'PlayerGrades+'!$AH$7,"B+",IF(R442&lt;'PlayerGrades+'!$AH$6,"A-",IF(R442&lt;'PlayerGrades+'!$AH$5,"A",IF(R442&lt;'PlayerGrades+'!$AH$4,"A+",IF(R442&lt;'PlayerGrades+'!$AH$3,"S-",IF(R442&lt;'PlayerGrades+'!$AH$2,"S","S+"))))))))))))))))))))</f>
        <v>B+</v>
      </c>
      <c r="T442" s="937">
        <f t="shared" si="9"/>
        <v>0.2859696157</v>
      </c>
      <c r="U442" s="937" t="str">
        <f>IF(T442&lt;'PlayerGrades+'!$AI$21,"F-",IF(T442&lt;'PlayerGrades+'!$AI$20,"F",IF(T442&lt;'PlayerGrades+'!$AI$19,"F+",IF(T442&lt;'PlayerGrades+'!$AI$18,"E-",IF(T442&lt;'PlayerGrades+'!$AI$17,"E",IF(T442&lt;'PlayerGrades+'!$AI$16,"E+",IF(T442&lt;'PlayerGrades+'!$AI$15,"D-",IF(T442&lt;'PlayerGrades+'!$AI$14,"D",IF(T442&lt;'PlayerGrades+'!$AI$13,"D+",IF(T442&lt;'PlayerGrades+'!$AI$12,"C-",IF(T442&lt;'PlayerGrades+'!$AI$11,"C",IF(T442&lt;'PlayerGrades+'!$AI$10,"C+",IF(T442&lt;'PlayerGrades+'!$AI$9,"B-",IF(T442&lt;'PlayerGrades+'!$AI$8,"B",IF(T442&lt;'PlayerGrades+'!$AI$7,"B+",IF(T442&lt;'PlayerGrades+'!$AI$6,"A-",IF(T442&lt;'PlayerGrades+'!$AI$5,"A",IF(T442&lt;'PlayerGrades+'!$AI$4,"A+",IF(T442&lt;'PlayerGrades+'!$AI$3,"S-",IF(T442&lt;'PlayerGrades+'!$AI$2,"S","S+"))))))))))))))))))))</f>
        <v>F-</v>
      </c>
      <c r="V442" s="939">
        <v>1.0</v>
      </c>
      <c r="W442" s="939">
        <v>1.0</v>
      </c>
      <c r="X442" s="939">
        <v>0.0</v>
      </c>
      <c r="Y442" s="939">
        <v>5.0</v>
      </c>
      <c r="Z442" s="939">
        <v>35.0</v>
      </c>
      <c r="AA442" s="939">
        <v>131.0</v>
      </c>
      <c r="AB442" s="939">
        <v>85.0</v>
      </c>
      <c r="AC442" s="939">
        <v>46.0</v>
      </c>
      <c r="AD442" s="939">
        <v>9.0</v>
      </c>
      <c r="AE442" s="939">
        <v>9.0</v>
      </c>
      <c r="AF442" s="939">
        <v>3.0</v>
      </c>
      <c r="AG442" s="939">
        <v>3018.0</v>
      </c>
      <c r="AH442" s="939">
        <v>3357.0</v>
      </c>
      <c r="AI442" s="939">
        <v>35.0</v>
      </c>
      <c r="AJ442" s="939">
        <v>1198.0</v>
      </c>
      <c r="AK442" s="939">
        <v>0.0</v>
      </c>
      <c r="AL442" s="939">
        <v>3.0</v>
      </c>
      <c r="AM442" s="939">
        <v>0.0</v>
      </c>
      <c r="AN442" s="939">
        <v>0.0</v>
      </c>
      <c r="AO442" s="939">
        <v>0.0</v>
      </c>
      <c r="AP442" s="939">
        <v>0.0</v>
      </c>
      <c r="AQ442" s="939">
        <v>0.0</v>
      </c>
      <c r="AR442" s="939">
        <v>13.0</v>
      </c>
      <c r="AS442" s="939">
        <v>2.0</v>
      </c>
      <c r="AT442" s="939">
        <v>1.0</v>
      </c>
      <c r="AU442" s="939">
        <v>0.0</v>
      </c>
      <c r="AV442" s="939">
        <v>0.0</v>
      </c>
      <c r="AW442" s="939">
        <v>0.0</v>
      </c>
      <c r="AX442" s="939">
        <v>0.0</v>
      </c>
      <c r="AY442" s="939">
        <v>0.0</v>
      </c>
      <c r="AZ442" s="939">
        <v>0.0</v>
      </c>
      <c r="BA442" s="939">
        <v>0.0</v>
      </c>
      <c r="BB442" s="939">
        <v>2.0</v>
      </c>
      <c r="BC442" s="939">
        <v>0.0</v>
      </c>
      <c r="BD442" s="939">
        <v>24.0</v>
      </c>
      <c r="BE442" s="939">
        <v>16.0</v>
      </c>
      <c r="BF442" s="939">
        <v>0.0</v>
      </c>
      <c r="BG442" s="940">
        <v>0.0</v>
      </c>
    </row>
    <row r="443">
      <c r="A443" s="935" t="s">
        <v>418</v>
      </c>
      <c r="B443" s="16" t="str">
        <f>IF(C443&lt;'PlayerGrades+'!$Y$44,"F-",IF(C443&lt;'PlayerGrades+'!$Y$43,"F",IF(C443&lt;'PlayerGrades+'!$Y$42,"F+",IF(C443&lt;'PlayerGrades+'!$Y$41,"E-",IF(C443&lt;'PlayerGrades+'!$Y$40,"E",IF(C443&lt;'PlayerGrades+'!$Y$39,"E+",IF(C443&lt;'PlayerGrades+'!$Y$38,"D-",IF(C443&lt;'PlayerGrades+'!$Y$37,"D",IF(C443&lt;'PlayerGrades+'!$Y$36,"D+",IF(C443&lt;'PlayerGrades+'!$Y$35,"C-",IF(C443&lt;'PlayerGrades+'!$Y$34,"C",IF(C443&lt;'PlayerGrades+'!$Y$33,"C+",IF(C443&lt;'PlayerGrades+'!$Y$32,"B-",IF(C443&lt;'PlayerGrades+'!$Y$31,"B",IF(C443&lt;'PlayerGrades+'!$Y$30,"B+",IF(C443&lt;'PlayerGrades+'!$Y$29,"A-",IF(C443&lt;'PlayerGrades+'!$Y$28,"A",IF(C443&lt;'PlayerGrades+'!$Y$27,"A+",IF(C443&lt;'PlayerGrades+'!$Y$26,"S-",IF(C443&lt;'PlayerGrades+'!$Y$25,"S","S+"))))))))))))))))))))</f>
        <v>A-</v>
      </c>
      <c r="C443" s="936">
        <f>('PlayerGrades+'!$Y$47*(VLOOKUP(E443, 'PlayerGrades+'!$X$3:$Y$23, 2, FALSE)))+('PlayerGrades+'!$Y$48*(VLOOKUP(G443, 'PlayerGrades+'!$X$3:$Y$23, 2, FALSE)))+('PlayerGrades+'!$Y$49*(VLOOKUP(I443, 'PlayerGrades+'!$X$3:$Y$23, 2, FALSE)))+('PlayerGrades+'!$Y$50*(VLOOKUP(K443, 'PlayerGrades+'!$X$3:$Y$23, 2, FALSE)))+('PlayerGrades+'!$Y$51*(VLOOKUP(M443, 'PlayerGrades+'!$X$3:$Y$23, 2, FALSE)))+('PlayerGrades+'!$Y$52*(VLOOKUP(O443, 'PlayerGrades+'!$X$3:$Y$23, 2, FALSE)))+('PlayerGrades+'!$Y$53*(VLOOKUP(Q443, 'PlayerGrades+'!$X$3:$Y$23, 2, FALSE)))+('PlayerGrades+'!$Y$54*(VLOOKUP(S443, 'PlayerGrades+'!$X$3:$Y$23, 2, FALSE)))+('PlayerGrades+'!$Y$55*(VLOOKUP(U443, 'PlayerGrades+'!$X$3:$Y$23, 2, FALSE)))</f>
        <v>24.4</v>
      </c>
      <c r="D443" s="937">
        <f t="shared" si="1"/>
        <v>0.01787310098</v>
      </c>
      <c r="E443" s="937" t="str">
        <f>IF(D443&lt;'PlayerGrades+'!$AA$21,"F-",IF(D443&lt;'PlayerGrades+'!$AA$20,"F",IF(D443&lt;'PlayerGrades+'!$AA$19,"F+",IF(D443&lt;'PlayerGrades+'!$AA$18,"E-",IF(D443&lt;'PlayerGrades+'!$AA$17,"E",IF(D443&lt;'PlayerGrades+'!$AA$16,"E+",IF(D443&lt;'PlayerGrades+'!$AA$15,"D-",IF(D443&lt;'PlayerGrades+'!$AA$14,"D",IF(D443&lt;'PlayerGrades+'!$AA$13,"D+",IF(D443&lt;'PlayerGrades+'!$AA$12,"C-",IF(D443&lt;'PlayerGrades+'!$AA$11,"C",IF(D443&lt;'PlayerGrades+'!$AA$10,"C+",IF(D443&lt;'PlayerGrades+'!$AA$9,"B-",IF(D443&lt;'PlayerGrades+'!$AA$8,"B",IF(D443&lt;'PlayerGrades+'!$AA$7,"B+",IF(D443&lt;'PlayerGrades+'!$AA$6,"A-",IF(D443&lt;'PlayerGrades+'!$AA$5,"A",IF(D443&lt;'PlayerGrades+'!$AA$4,"A+",IF(D443&lt;'PlayerGrades+'!$AA$3,"S-",IF(D443&lt;'PlayerGrades+'!$AA$2,"S","S+"))))))))))))))))))))</f>
        <v>F+</v>
      </c>
      <c r="F443" s="937">
        <f t="shared" si="2"/>
        <v>0.4825737265</v>
      </c>
      <c r="G443" s="937" t="str">
        <f>IF(F443&lt;'PlayerGrades+'!$AB$21,"F-",IF(F443&lt;'PlayerGrades+'!$AB$20,"F",IF(F443&lt;'PlayerGrades+'!$AB$19,"F+",IF(F443&lt;'PlayerGrades+'!$AB$18,"E-",IF(F443&lt;'PlayerGrades+'!$AB$17,"E",IF(F443&lt;'PlayerGrades+'!$AB$16,"E+",IF(F443&lt;'PlayerGrades+'!$AB$15,"D-",IF(F443&lt;'PlayerGrades+'!$AB$14,"D",IF(F443&lt;'PlayerGrades+'!$AB$13,"D+",IF(F443&lt;'PlayerGrades+'!$AB$12,"C-",IF(F443&lt;'PlayerGrades+'!$AB$11,"C",IF(F443&lt;'PlayerGrades+'!$AB$10,"C+",IF(F443&lt;'PlayerGrades+'!$AB$9,"B-",IF(F443&lt;'PlayerGrades+'!$AB$8,"B",IF(F443&lt;'PlayerGrades+'!$AB$7,"B+",IF(F443&lt;'PlayerGrades+'!$AB$6,"A-",IF(F443&lt;'PlayerGrades+'!$AB$5,"A",IF(F443&lt;'PlayerGrades+'!$AB$4,"A+",IF(F443&lt;'PlayerGrades+'!$AB$3,"S-",IF(F443&lt;'PlayerGrades+'!$AB$2,"S","S+"))))))))))))))))))))</f>
        <v>A+</v>
      </c>
      <c r="H443" s="937">
        <f t="shared" si="3"/>
        <v>0.01787310098</v>
      </c>
      <c r="I443" s="937" t="str">
        <f>IF(H443&lt;'PlayerGrades+'!$AC$21,"F-",IF(H443&lt;'PlayerGrades+'!$AC$20,"F",IF(H443&lt;'PlayerGrades+'!$AC$19,"F+",IF(H443&lt;'PlayerGrades+'!$AC$18,"E-",IF(H443&lt;'PlayerGrades+'!$AC$17,"E",IF(H443&lt;'PlayerGrades+'!$AC$16,"E+",IF(H443&lt;'PlayerGrades+'!$AC$15,"D-",IF(H443&lt;'PlayerGrades+'!$AC$14,"D",IF(H443&lt;'PlayerGrades+'!$AC$13,"D+",IF(H443&lt;'PlayerGrades+'!$AC$12,"C-",IF(H443&lt;'PlayerGrades+'!$AC$11,"C",IF(H443&lt;'PlayerGrades+'!$AC$10,"C+",IF(H443&lt;'PlayerGrades+'!$AC$9,"B-",IF(H443&lt;'PlayerGrades+'!$AC$8,"B",IF(H443&lt;'PlayerGrades+'!$AC$7,"B+",IF(H443&lt;'PlayerGrades+'!$AC$6,"A-",IF(H443&lt;'PlayerGrades+'!$AC$5,"A",IF(H443&lt;'PlayerGrades+'!$AC$4,"A+",IF(H443&lt;'PlayerGrades+'!$AC$3,"S-",IF(H443&lt;'PlayerGrades+'!$AC$2,"S","S+"))))))))))))))))))))</f>
        <v>F-</v>
      </c>
      <c r="J443" s="937">
        <f t="shared" si="4"/>
        <v>0.03574620197</v>
      </c>
      <c r="K443" s="937" t="str">
        <f>IF(J443&lt;'PlayerGrades+'!$AD$21,"F-",IF(J443&lt;'PlayerGrades+'!$AD$20,"F",IF(J443&lt;'PlayerGrades+'!$AD$19,"F+",IF(J443&lt;'PlayerGrades+'!$AD$18,"E-",IF(J443&lt;'PlayerGrades+'!$AD$17,"E",IF(J443&lt;'PlayerGrades+'!$AD$16,"E+",IF(J443&lt;'PlayerGrades+'!$AD$15,"D-",IF(J443&lt;'PlayerGrades+'!$AD$14,"D",IF(J443&lt;'PlayerGrades+'!$AD$13,"D+",IF(J443&lt;'PlayerGrades+'!$AD$12,"C-",IF(J443&lt;'PlayerGrades+'!$AD$11,"C",IF(J443&lt;'PlayerGrades+'!$AD$10,"C+",IF(J443&lt;'PlayerGrades+'!$AD$9,"B-",IF(J443&lt;'PlayerGrades+'!$AD$8,"B",IF(J443&lt;'PlayerGrades+'!$AD$7,"B+",IF(J443&lt;'PlayerGrades+'!$AD$6,"A-",IF(J443&lt;'PlayerGrades+'!$AD$5,"A",IF(J443&lt;'PlayerGrades+'!$AD$4,"A+",IF(J443&lt;'PlayerGrades+'!$AD$3,"S-",IF(J443&lt;'PlayerGrades+'!$AD$2,"S","S+"))))))))))))))))))))</f>
        <v>C</v>
      </c>
      <c r="L443" s="677">
        <f t="shared" si="5"/>
        <v>0.6076854334</v>
      </c>
      <c r="M443" s="938" t="str">
        <f>IF(L443&lt;'PlayerGrades+'!$AE$21,"F-",IF(L443&lt;'PlayerGrades+'!$AE$20,"F",IF(L443&lt;'PlayerGrades+'!$AE$19,"F+",IF(L443&lt;'PlayerGrades+'!$AE$18,"E-",IF(L443&lt;'PlayerGrades+'!$AE$17,"E",IF(L443&lt;'PlayerGrades+'!$AE$16,"E+",IF(L443&lt;'PlayerGrades+'!$AE$15,"D-",IF(L443&lt;'PlayerGrades+'!$AE$14,"D",IF(L443&lt;'PlayerGrades+'!$AE$13,"D+",IF(L443&lt;'PlayerGrades+'!$AE$12,"C-",IF(L443&lt;'PlayerGrades+'!$AE$11,"C",IF(L443&lt;'PlayerGrades+'!$AE$10,"C+",IF(L443&lt;'PlayerGrades+'!$AE$9,"B-",IF(L443&lt;'PlayerGrades+'!$AE$8,"B",IF(L443&lt;'PlayerGrades+'!$AE$7,"B+",IF(L443&lt;'PlayerGrades+'!$AE$6,"A-",IF(L443&lt;'PlayerGrades+'!$AE$5,"A",IF(L443&lt;'PlayerGrades+'!$AE$4,"A+",IF(L443&lt;'PlayerGrades+'!$AE$3,"S-",IF(L443&lt;'PlayerGrades+'!$AE$2,"S","S+"))))))))))))))))))))</f>
        <v>A+</v>
      </c>
      <c r="N443" s="937">
        <f t="shared" si="6"/>
        <v>0.1429848079</v>
      </c>
      <c r="O443" s="937" t="str">
        <f>IF(N443&lt;'PlayerGrades+'!$AF$21,"F-",IF(N443&lt;'PlayerGrades+'!$AF$20,"F",IF(N443&lt;'PlayerGrades+'!$AF$19,"F+",IF(N443&lt;'PlayerGrades+'!$AF$18,"E-",IF(N443&lt;'PlayerGrades+'!$AF$17,"E",IF(N443&lt;'PlayerGrades+'!$AF$16,"E+",IF(N443&lt;'PlayerGrades+'!$AF$15,"D-",IF(N443&lt;'PlayerGrades+'!$AF$14,"D",IF(N443&lt;'PlayerGrades+'!$AF$13,"D+",IF(N443&lt;'PlayerGrades+'!$AF$12,"C-",IF(N443&lt;'PlayerGrades+'!$AF$11,"C",IF(N443&lt;'PlayerGrades+'!$AF$10,"C+",IF(N443&lt;'PlayerGrades+'!$AF$9,"B-",IF(N443&lt;'PlayerGrades+'!$AF$8,"B",IF(N443&lt;'PlayerGrades+'!$AF$7,"B+",IF(N443&lt;'PlayerGrades+'!$AF$6,"A-",IF(N443&lt;'PlayerGrades+'!$AF$5,"A",IF(N443&lt;'PlayerGrades+'!$AF$4,"A+",IF(N443&lt;'PlayerGrades+'!$AF$3,"S-",IF(N443&lt;'PlayerGrades+'!$AF$2,"S","S+"))))))))))))))))))))</f>
        <v>S</v>
      </c>
      <c r="P443" s="937">
        <f t="shared" si="7"/>
        <v>0</v>
      </c>
      <c r="Q443" s="937" t="str">
        <f>IF(P443&lt;'PlayerGrades+'!$AG$21,"F-",IF(P443&lt;'PlayerGrades+'!$AG$20,"F",IF(P443&lt;'PlayerGrades+'!$AG$19,"F+",IF(P443&lt;'PlayerGrades+'!$AG$18,"E-",IF(P443&lt;'PlayerGrades+'!$AG$17,"E",IF(P443&lt;'PlayerGrades+'!$AG$16,"E+",IF(P443&lt;'PlayerGrades+'!$AG$15,"D-",IF(P443&lt;'PlayerGrades+'!$AG$14,"D",IF(P443&lt;'PlayerGrades+'!$AG$13,"D+",IF(P443&lt;'PlayerGrades+'!$AG$12,"C-",IF(P443&lt;'PlayerGrades+'!$AG$11,"C",IF(P443&lt;'PlayerGrades+'!$AG$10,"C+",IF(P443&lt;'PlayerGrades+'!$AG$9,"B-",IF(P443&lt;'PlayerGrades+'!$AG$8,"B",IF(P443&lt;'PlayerGrades+'!$AG$7,"B+",IF(P443&lt;'PlayerGrades+'!$AG$6,"A-",IF(P443&lt;'PlayerGrades+'!$AG$5,"A",IF(P443&lt;'PlayerGrades+'!$AG$4,"A+",IF(P443&lt;'PlayerGrades+'!$AG$3,"S-",IF(P443&lt;'PlayerGrades+'!$AG$2,"S","S+"))))))))))))))))))))</f>
        <v>F</v>
      </c>
      <c r="R443" s="937">
        <f t="shared" si="8"/>
        <v>0.7506702413</v>
      </c>
      <c r="S443" s="937" t="str">
        <f>IF(R443&lt;'PlayerGrades+'!$AH$21,"F-",IF(R443&lt;'PlayerGrades+'!$AH$20,"F",IF(R443&lt;'PlayerGrades+'!$AH$19,"F+",IF(R443&lt;'PlayerGrades+'!$AH$18,"E-",IF(R443&lt;'PlayerGrades+'!$AH$17,"E",IF(R443&lt;'PlayerGrades+'!$AH$16,"E+",IF(R443&lt;'PlayerGrades+'!$AH$15,"D-",IF(R443&lt;'PlayerGrades+'!$AH$14,"D",IF(R443&lt;'PlayerGrades+'!$AH$13,"D+",IF(R443&lt;'PlayerGrades+'!$AH$12,"C-",IF(R443&lt;'PlayerGrades+'!$AH$11,"C",IF(R443&lt;'PlayerGrades+'!$AH$10,"C+",IF(R443&lt;'PlayerGrades+'!$AH$9,"B-",IF(R443&lt;'PlayerGrades+'!$AH$8,"B",IF(R443&lt;'PlayerGrades+'!$AH$7,"B+",IF(R443&lt;'PlayerGrades+'!$AH$6,"A-",IF(R443&lt;'PlayerGrades+'!$AH$5,"A",IF(R443&lt;'PlayerGrades+'!$AH$4,"A+",IF(R443&lt;'PlayerGrades+'!$AH$3,"S-",IF(R443&lt;'PlayerGrades+'!$AH$2,"S","S+"))))))))))))))))))))</f>
        <v>S</v>
      </c>
      <c r="T443" s="937">
        <f t="shared" si="9"/>
        <v>1.446827525</v>
      </c>
      <c r="U443" s="937" t="str">
        <f>IF(T443&lt;'PlayerGrades+'!$AI$21,"F-",IF(T443&lt;'PlayerGrades+'!$AI$20,"F",IF(T443&lt;'PlayerGrades+'!$AI$19,"F+",IF(T443&lt;'PlayerGrades+'!$AI$18,"E-",IF(T443&lt;'PlayerGrades+'!$AI$17,"E",IF(T443&lt;'PlayerGrades+'!$AI$16,"E+",IF(T443&lt;'PlayerGrades+'!$AI$15,"D-",IF(T443&lt;'PlayerGrades+'!$AI$14,"D",IF(T443&lt;'PlayerGrades+'!$AI$13,"D+",IF(T443&lt;'PlayerGrades+'!$AI$12,"C-",IF(T443&lt;'PlayerGrades+'!$AI$11,"C",IF(T443&lt;'PlayerGrades+'!$AI$10,"C+",IF(T443&lt;'PlayerGrades+'!$AI$9,"B-",IF(T443&lt;'PlayerGrades+'!$AI$8,"B",IF(T443&lt;'PlayerGrades+'!$AI$7,"B+",IF(T443&lt;'PlayerGrades+'!$AI$6,"A-",IF(T443&lt;'PlayerGrades+'!$AI$5,"A",IF(T443&lt;'PlayerGrades+'!$AI$4,"A+",IF(T443&lt;'PlayerGrades+'!$AI$3,"S-",IF(T443&lt;'PlayerGrades+'!$AI$2,"S","S+"))))))))))))))))))))</f>
        <v>B+</v>
      </c>
      <c r="V443" s="941">
        <v>1.0</v>
      </c>
      <c r="W443" s="941">
        <v>1.0</v>
      </c>
      <c r="X443" s="941">
        <v>0.0</v>
      </c>
      <c r="Y443" s="941">
        <v>0.0</v>
      </c>
      <c r="Z443" s="941">
        <v>1.0</v>
      </c>
      <c r="AA443" s="941">
        <v>201.0</v>
      </c>
      <c r="AB443" s="941">
        <v>174.0</v>
      </c>
      <c r="AC443" s="941">
        <v>27.0</v>
      </c>
      <c r="AD443" s="941">
        <v>13.0</v>
      </c>
      <c r="AE443" s="941">
        <v>6.0</v>
      </c>
      <c r="AF443" s="941">
        <v>2.0</v>
      </c>
      <c r="AG443" s="941">
        <v>2758.0</v>
      </c>
      <c r="AH443" s="941">
        <v>3357.0</v>
      </c>
      <c r="AI443" s="941">
        <v>15.0</v>
      </c>
      <c r="AJ443" s="941">
        <v>25.0</v>
      </c>
      <c r="AK443" s="941">
        <v>0.0</v>
      </c>
      <c r="AL443" s="941">
        <v>2.0</v>
      </c>
      <c r="AM443" s="941">
        <v>0.0</v>
      </c>
      <c r="AN443" s="941">
        <v>0.0</v>
      </c>
      <c r="AO443" s="941">
        <v>0.0</v>
      </c>
      <c r="AP443" s="941">
        <v>0.0</v>
      </c>
      <c r="AQ443" s="941">
        <v>0.0</v>
      </c>
      <c r="AR443" s="941">
        <v>34.0</v>
      </c>
      <c r="AS443" s="941">
        <v>8.0</v>
      </c>
      <c r="AT443" s="941">
        <v>1.0</v>
      </c>
      <c r="AU443" s="941">
        <v>0.0</v>
      </c>
      <c r="AV443" s="941">
        <v>0.0</v>
      </c>
      <c r="AW443" s="941">
        <v>0.0</v>
      </c>
      <c r="AX443" s="941">
        <v>0.0</v>
      </c>
      <c r="AY443" s="941">
        <v>0.0</v>
      </c>
      <c r="AZ443" s="941">
        <v>0.0</v>
      </c>
      <c r="BA443" s="941">
        <v>0.0</v>
      </c>
      <c r="BB443" s="941">
        <v>1.0</v>
      </c>
      <c r="BC443" s="941">
        <v>0.0</v>
      </c>
      <c r="BD443" s="941">
        <v>29.0</v>
      </c>
      <c r="BE443" s="941">
        <v>25.0</v>
      </c>
      <c r="BF443" s="941">
        <v>1.0</v>
      </c>
      <c r="BG443" s="942">
        <v>0.0</v>
      </c>
    </row>
    <row r="444">
      <c r="A444" s="935" t="s">
        <v>392</v>
      </c>
      <c r="B444" s="16" t="str">
        <f>IF(C444&lt;'PlayerGrades+'!$Y$44,"F-",IF(C444&lt;'PlayerGrades+'!$Y$43,"F",IF(C444&lt;'PlayerGrades+'!$Y$42,"F+",IF(C444&lt;'PlayerGrades+'!$Y$41,"E-",IF(C444&lt;'PlayerGrades+'!$Y$40,"E",IF(C444&lt;'PlayerGrades+'!$Y$39,"E+",IF(C444&lt;'PlayerGrades+'!$Y$38,"D-",IF(C444&lt;'PlayerGrades+'!$Y$37,"D",IF(C444&lt;'PlayerGrades+'!$Y$36,"D+",IF(C444&lt;'PlayerGrades+'!$Y$35,"C-",IF(C444&lt;'PlayerGrades+'!$Y$34,"C",IF(C444&lt;'PlayerGrades+'!$Y$33,"C+",IF(C444&lt;'PlayerGrades+'!$Y$32,"B-",IF(C444&lt;'PlayerGrades+'!$Y$31,"B",IF(C444&lt;'PlayerGrades+'!$Y$30,"B+",IF(C444&lt;'PlayerGrades+'!$Y$29,"A-",IF(C444&lt;'PlayerGrades+'!$Y$28,"A",IF(C444&lt;'PlayerGrades+'!$Y$27,"A+",IF(C444&lt;'PlayerGrades+'!$Y$26,"S-",IF(C444&lt;'PlayerGrades+'!$Y$25,"S","S+"))))))))))))))))))))</f>
        <v>F</v>
      </c>
      <c r="C444" s="936">
        <f>('PlayerGrades+'!$Y$47*(VLOOKUP(E444, 'PlayerGrades+'!$X$3:$Y$23, 2, FALSE)))+('PlayerGrades+'!$Y$48*(VLOOKUP(G444, 'PlayerGrades+'!$X$3:$Y$23, 2, FALSE)))+('PlayerGrades+'!$Y$49*(VLOOKUP(I444, 'PlayerGrades+'!$X$3:$Y$23, 2, FALSE)))+('PlayerGrades+'!$Y$50*(VLOOKUP(K444, 'PlayerGrades+'!$X$3:$Y$23, 2, FALSE)))+('PlayerGrades+'!$Y$51*(VLOOKUP(M444, 'PlayerGrades+'!$X$3:$Y$23, 2, FALSE)))+('PlayerGrades+'!$Y$52*(VLOOKUP(O444, 'PlayerGrades+'!$X$3:$Y$23, 2, FALSE)))+('PlayerGrades+'!$Y$53*(VLOOKUP(Q444, 'PlayerGrades+'!$X$3:$Y$23, 2, FALSE)))+('PlayerGrades+'!$Y$54*(VLOOKUP(S444, 'PlayerGrades+'!$X$3:$Y$23, 2, FALSE)))+('PlayerGrades+'!$Y$55*(VLOOKUP(U444, 'PlayerGrades+'!$X$3:$Y$23, 2, FALSE)))</f>
        <v>9.9</v>
      </c>
      <c r="D444" s="937">
        <f t="shared" si="1"/>
        <v>0</v>
      </c>
      <c r="E444" s="937" t="str">
        <f>IF(D444&lt;'PlayerGrades+'!$AA$21,"F-",IF(D444&lt;'PlayerGrades+'!$AA$20,"F",IF(D444&lt;'PlayerGrades+'!$AA$19,"F+",IF(D444&lt;'PlayerGrades+'!$AA$18,"E-",IF(D444&lt;'PlayerGrades+'!$AA$17,"E",IF(D444&lt;'PlayerGrades+'!$AA$16,"E+",IF(D444&lt;'PlayerGrades+'!$AA$15,"D-",IF(D444&lt;'PlayerGrades+'!$AA$14,"D",IF(D444&lt;'PlayerGrades+'!$AA$13,"D+",IF(D444&lt;'PlayerGrades+'!$AA$12,"C-",IF(D444&lt;'PlayerGrades+'!$AA$11,"C",IF(D444&lt;'PlayerGrades+'!$AA$10,"C+",IF(D444&lt;'PlayerGrades+'!$AA$9,"B-",IF(D444&lt;'PlayerGrades+'!$AA$8,"B",IF(D444&lt;'PlayerGrades+'!$AA$7,"B+",IF(D444&lt;'PlayerGrades+'!$AA$6,"A-",IF(D444&lt;'PlayerGrades+'!$AA$5,"A",IF(D444&lt;'PlayerGrades+'!$AA$4,"A+",IF(D444&lt;'PlayerGrades+'!$AA$3,"S-",IF(D444&lt;'PlayerGrades+'!$AA$2,"S","S+"))))))))))))))))))))</f>
        <v>F-</v>
      </c>
      <c r="F444" s="937">
        <f t="shared" si="2"/>
        <v>-0.9830205541</v>
      </c>
      <c r="G444" s="937" t="str">
        <f>IF(F444&lt;'PlayerGrades+'!$AB$21,"F-",IF(F444&lt;'PlayerGrades+'!$AB$20,"F",IF(F444&lt;'PlayerGrades+'!$AB$19,"F+",IF(F444&lt;'PlayerGrades+'!$AB$18,"E-",IF(F444&lt;'PlayerGrades+'!$AB$17,"E",IF(F444&lt;'PlayerGrades+'!$AB$16,"E+",IF(F444&lt;'PlayerGrades+'!$AB$15,"D-",IF(F444&lt;'PlayerGrades+'!$AB$14,"D",IF(F444&lt;'PlayerGrades+'!$AB$13,"D+",IF(F444&lt;'PlayerGrades+'!$AB$12,"C-",IF(F444&lt;'PlayerGrades+'!$AB$11,"C",IF(F444&lt;'PlayerGrades+'!$AB$10,"C+",IF(F444&lt;'PlayerGrades+'!$AB$9,"B-",IF(F444&lt;'PlayerGrades+'!$AB$8,"B",IF(F444&lt;'PlayerGrades+'!$AB$7,"B+",IF(F444&lt;'PlayerGrades+'!$AB$6,"A-",IF(F444&lt;'PlayerGrades+'!$AB$5,"A",IF(F444&lt;'PlayerGrades+'!$AB$4,"A+",IF(F444&lt;'PlayerGrades+'!$AB$3,"S-",IF(F444&lt;'PlayerGrades+'!$AB$2,"S","S+"))))))))))))))))))))</f>
        <v>F</v>
      </c>
      <c r="H444" s="937">
        <f t="shared" si="3"/>
        <v>0.1251117069</v>
      </c>
      <c r="I444" s="937" t="str">
        <f>IF(H444&lt;'PlayerGrades+'!$AC$21,"F-",IF(H444&lt;'PlayerGrades+'!$AC$20,"F",IF(H444&lt;'PlayerGrades+'!$AC$19,"F+",IF(H444&lt;'PlayerGrades+'!$AC$18,"E-",IF(H444&lt;'PlayerGrades+'!$AC$17,"E",IF(H444&lt;'PlayerGrades+'!$AC$16,"E+",IF(H444&lt;'PlayerGrades+'!$AC$15,"D-",IF(H444&lt;'PlayerGrades+'!$AC$14,"D",IF(H444&lt;'PlayerGrades+'!$AC$13,"D+",IF(H444&lt;'PlayerGrades+'!$AC$12,"C-",IF(H444&lt;'PlayerGrades+'!$AC$11,"C",IF(H444&lt;'PlayerGrades+'!$AC$10,"C+",IF(H444&lt;'PlayerGrades+'!$AC$9,"B-",IF(H444&lt;'PlayerGrades+'!$AC$8,"B",IF(H444&lt;'PlayerGrades+'!$AC$7,"B+",IF(H444&lt;'PlayerGrades+'!$AC$6,"A-",IF(H444&lt;'PlayerGrades+'!$AC$5,"A",IF(H444&lt;'PlayerGrades+'!$AC$4,"A+",IF(H444&lt;'PlayerGrades+'!$AC$3,"S-",IF(H444&lt;'PlayerGrades+'!$AC$2,"S","S+"))))))))))))))))))))</f>
        <v>B-</v>
      </c>
      <c r="J444" s="937">
        <f t="shared" si="4"/>
        <v>0</v>
      </c>
      <c r="K444" s="937" t="str">
        <f>IF(J444&lt;'PlayerGrades+'!$AD$21,"F-",IF(J444&lt;'PlayerGrades+'!$AD$20,"F",IF(J444&lt;'PlayerGrades+'!$AD$19,"F+",IF(J444&lt;'PlayerGrades+'!$AD$18,"E-",IF(J444&lt;'PlayerGrades+'!$AD$17,"E",IF(J444&lt;'PlayerGrades+'!$AD$16,"E+",IF(J444&lt;'PlayerGrades+'!$AD$15,"D-",IF(J444&lt;'PlayerGrades+'!$AD$14,"D",IF(J444&lt;'PlayerGrades+'!$AD$13,"D+",IF(J444&lt;'PlayerGrades+'!$AD$12,"C-",IF(J444&lt;'PlayerGrades+'!$AD$11,"C",IF(J444&lt;'PlayerGrades+'!$AD$10,"C+",IF(J444&lt;'PlayerGrades+'!$AD$9,"B-",IF(J444&lt;'PlayerGrades+'!$AD$8,"B",IF(J444&lt;'PlayerGrades+'!$AD$7,"B+",IF(J444&lt;'PlayerGrades+'!$AD$6,"A-",IF(J444&lt;'PlayerGrades+'!$AD$5,"A",IF(J444&lt;'PlayerGrades+'!$AD$4,"A+",IF(J444&lt;'PlayerGrades+'!$AD$3,"S-",IF(J444&lt;'PlayerGrades+'!$AD$2,"S","S+"))))))))))))))))))))</f>
        <v>F-</v>
      </c>
      <c r="L444" s="677">
        <f t="shared" si="5"/>
        <v>0.2859696157</v>
      </c>
      <c r="M444" s="938" t="str">
        <f>IF(L444&lt;'PlayerGrades+'!$AE$21,"F-",IF(L444&lt;'PlayerGrades+'!$AE$20,"F",IF(L444&lt;'PlayerGrades+'!$AE$19,"F+",IF(L444&lt;'PlayerGrades+'!$AE$18,"E-",IF(L444&lt;'PlayerGrades+'!$AE$17,"E",IF(L444&lt;'PlayerGrades+'!$AE$16,"E+",IF(L444&lt;'PlayerGrades+'!$AE$15,"D-",IF(L444&lt;'PlayerGrades+'!$AE$14,"D",IF(L444&lt;'PlayerGrades+'!$AE$13,"D+",IF(L444&lt;'PlayerGrades+'!$AE$12,"C-",IF(L444&lt;'PlayerGrades+'!$AE$11,"C",IF(L444&lt;'PlayerGrades+'!$AE$10,"C+",IF(L444&lt;'PlayerGrades+'!$AE$9,"B-",IF(L444&lt;'PlayerGrades+'!$AE$8,"B",IF(L444&lt;'PlayerGrades+'!$AE$7,"B+",IF(L444&lt;'PlayerGrades+'!$AE$6,"A-",IF(L444&lt;'PlayerGrades+'!$AE$5,"A",IF(L444&lt;'PlayerGrades+'!$AE$4,"A+",IF(L444&lt;'PlayerGrades+'!$AE$3,"S-",IF(L444&lt;'PlayerGrades+'!$AE$2,"S","S+"))))))))))))))))))))</f>
        <v>F+</v>
      </c>
      <c r="N444" s="937">
        <f t="shared" si="6"/>
        <v>0.03574620197</v>
      </c>
      <c r="O444" s="937" t="str">
        <f>IF(N444&lt;'PlayerGrades+'!$AF$21,"F-",IF(N444&lt;'PlayerGrades+'!$AF$20,"F",IF(N444&lt;'PlayerGrades+'!$AF$19,"F+",IF(N444&lt;'PlayerGrades+'!$AF$18,"E-",IF(N444&lt;'PlayerGrades+'!$AF$17,"E",IF(N444&lt;'PlayerGrades+'!$AF$16,"E+",IF(N444&lt;'PlayerGrades+'!$AF$15,"D-",IF(N444&lt;'PlayerGrades+'!$AF$14,"D",IF(N444&lt;'PlayerGrades+'!$AF$13,"D+",IF(N444&lt;'PlayerGrades+'!$AF$12,"C-",IF(N444&lt;'PlayerGrades+'!$AF$11,"C",IF(N444&lt;'PlayerGrades+'!$AF$10,"C+",IF(N444&lt;'PlayerGrades+'!$AF$9,"B-",IF(N444&lt;'PlayerGrades+'!$AF$8,"B",IF(N444&lt;'PlayerGrades+'!$AF$7,"B+",IF(N444&lt;'PlayerGrades+'!$AF$6,"A-",IF(N444&lt;'PlayerGrades+'!$AF$5,"A",IF(N444&lt;'PlayerGrades+'!$AF$4,"A+",IF(N444&lt;'PlayerGrades+'!$AF$3,"S-",IF(N444&lt;'PlayerGrades+'!$AF$2,"S","S+"))))))))))))))))))))</f>
        <v>F+</v>
      </c>
      <c r="P444" s="937">
        <f t="shared" si="7"/>
        <v>0</v>
      </c>
      <c r="Q444" s="937" t="str">
        <f>IF(P444&lt;'PlayerGrades+'!$AG$21,"F-",IF(P444&lt;'PlayerGrades+'!$AG$20,"F",IF(P444&lt;'PlayerGrades+'!$AG$19,"F+",IF(P444&lt;'PlayerGrades+'!$AG$18,"E-",IF(P444&lt;'PlayerGrades+'!$AG$17,"E",IF(P444&lt;'PlayerGrades+'!$AG$16,"E+",IF(P444&lt;'PlayerGrades+'!$AG$15,"D-",IF(P444&lt;'PlayerGrades+'!$AG$14,"D",IF(P444&lt;'PlayerGrades+'!$AG$13,"D+",IF(P444&lt;'PlayerGrades+'!$AG$12,"C-",IF(P444&lt;'PlayerGrades+'!$AG$11,"C",IF(P444&lt;'PlayerGrades+'!$AG$10,"C+",IF(P444&lt;'PlayerGrades+'!$AG$9,"B-",IF(P444&lt;'PlayerGrades+'!$AG$8,"B",IF(P444&lt;'PlayerGrades+'!$AG$7,"B+",IF(P444&lt;'PlayerGrades+'!$AG$6,"A-",IF(P444&lt;'PlayerGrades+'!$AG$5,"A",IF(P444&lt;'PlayerGrades+'!$AG$4,"A+",IF(P444&lt;'PlayerGrades+'!$AG$3,"S-",IF(P444&lt;'PlayerGrades+'!$AG$2,"S","S+"))))))))))))))))))))</f>
        <v>F</v>
      </c>
      <c r="R444" s="937">
        <f t="shared" si="8"/>
        <v>0.4647006256</v>
      </c>
      <c r="S444" s="937" t="str">
        <f>IF(R444&lt;'PlayerGrades+'!$AH$21,"F-",IF(R444&lt;'PlayerGrades+'!$AH$20,"F",IF(R444&lt;'PlayerGrades+'!$AH$19,"F+",IF(R444&lt;'PlayerGrades+'!$AH$18,"E-",IF(R444&lt;'PlayerGrades+'!$AH$17,"E",IF(R444&lt;'PlayerGrades+'!$AH$16,"E+",IF(R444&lt;'PlayerGrades+'!$AH$15,"D-",IF(R444&lt;'PlayerGrades+'!$AH$14,"D",IF(R444&lt;'PlayerGrades+'!$AH$13,"D+",IF(R444&lt;'PlayerGrades+'!$AH$12,"C-",IF(R444&lt;'PlayerGrades+'!$AH$11,"C",IF(R444&lt;'PlayerGrades+'!$AH$10,"C+",IF(R444&lt;'PlayerGrades+'!$AH$9,"B-",IF(R444&lt;'PlayerGrades+'!$AH$8,"B",IF(R444&lt;'PlayerGrades+'!$AH$7,"B+",IF(R444&lt;'PlayerGrades+'!$AH$6,"A-",IF(R444&lt;'PlayerGrades+'!$AH$5,"A",IF(R444&lt;'PlayerGrades+'!$AH$4,"A+",IF(R444&lt;'PlayerGrades+'!$AH$3,"S-",IF(R444&lt;'PlayerGrades+'!$AH$2,"S","S+"))))))))))))))))))))</f>
        <v>E-</v>
      </c>
      <c r="T444" s="937">
        <f t="shared" si="9"/>
        <v>3.589812332</v>
      </c>
      <c r="U444" s="937" t="str">
        <f>IF(T444&lt;'PlayerGrades+'!$AI$21,"F-",IF(T444&lt;'PlayerGrades+'!$AI$20,"F",IF(T444&lt;'PlayerGrades+'!$AI$19,"F+",IF(T444&lt;'PlayerGrades+'!$AI$18,"E-",IF(T444&lt;'PlayerGrades+'!$AI$17,"E",IF(T444&lt;'PlayerGrades+'!$AI$16,"E+",IF(T444&lt;'PlayerGrades+'!$AI$15,"D-",IF(T444&lt;'PlayerGrades+'!$AI$14,"D",IF(T444&lt;'PlayerGrades+'!$AI$13,"D+",IF(T444&lt;'PlayerGrades+'!$AI$12,"C-",IF(T444&lt;'PlayerGrades+'!$AI$11,"C",IF(T444&lt;'PlayerGrades+'!$AI$10,"C+",IF(T444&lt;'PlayerGrades+'!$AI$9,"B-",IF(T444&lt;'PlayerGrades+'!$AI$8,"B",IF(T444&lt;'PlayerGrades+'!$AI$7,"B+",IF(T444&lt;'PlayerGrades+'!$AI$6,"A-",IF(T444&lt;'PlayerGrades+'!$AI$5,"A",IF(T444&lt;'PlayerGrades+'!$AI$4,"A+",IF(T444&lt;'PlayerGrades+'!$AI$3,"S-",IF(T444&lt;'PlayerGrades+'!$AI$2,"S","S+"))))))))))))))))))))</f>
        <v>S+</v>
      </c>
      <c r="V444" s="941">
        <v>1.0</v>
      </c>
      <c r="W444" s="941">
        <v>1.0</v>
      </c>
      <c r="X444" s="941">
        <v>0.0</v>
      </c>
      <c r="Y444" s="941">
        <v>0.0</v>
      </c>
      <c r="Z444" s="941">
        <v>0.0</v>
      </c>
      <c r="AA444" s="941">
        <v>158.0</v>
      </c>
      <c r="AB444" s="941">
        <v>213.0</v>
      </c>
      <c r="AC444" s="941">
        <v>-55.0</v>
      </c>
      <c r="AD444" s="941">
        <v>10.0</v>
      </c>
      <c r="AE444" s="941">
        <v>4.0</v>
      </c>
      <c r="AF444" s="941">
        <v>2.0</v>
      </c>
      <c r="AG444" s="941">
        <v>2637.0</v>
      </c>
      <c r="AH444" s="941">
        <v>3357.0</v>
      </c>
      <c r="AI444" s="941">
        <v>12.0</v>
      </c>
      <c r="AJ444" s="941">
        <v>5.0</v>
      </c>
      <c r="AK444" s="941">
        <v>0.0</v>
      </c>
      <c r="AL444" s="941">
        <v>0.0</v>
      </c>
      <c r="AM444" s="941">
        <v>0.0</v>
      </c>
      <c r="AN444" s="941">
        <v>0.0</v>
      </c>
      <c r="AO444" s="941">
        <v>0.0</v>
      </c>
      <c r="AP444" s="941">
        <v>0.0</v>
      </c>
      <c r="AQ444" s="941">
        <v>0.0</v>
      </c>
      <c r="AR444" s="941">
        <v>16.0</v>
      </c>
      <c r="AS444" s="941">
        <v>2.0</v>
      </c>
      <c r="AT444" s="941">
        <v>0.0</v>
      </c>
      <c r="AU444" s="941">
        <v>0.0</v>
      </c>
      <c r="AV444" s="941">
        <v>0.0</v>
      </c>
      <c r="AW444" s="941">
        <v>0.0</v>
      </c>
      <c r="AX444" s="941">
        <v>0.0</v>
      </c>
      <c r="AY444" s="941">
        <v>0.0</v>
      </c>
      <c r="AZ444" s="941">
        <v>0.0</v>
      </c>
      <c r="BA444" s="941">
        <v>0.0</v>
      </c>
      <c r="BB444" s="941">
        <v>7.0</v>
      </c>
      <c r="BC444" s="941">
        <v>0.0</v>
      </c>
      <c r="BD444" s="941">
        <v>16.0</v>
      </c>
      <c r="BE444" s="941">
        <v>33.0</v>
      </c>
      <c r="BF444" s="941">
        <v>3.0</v>
      </c>
      <c r="BG444" s="942">
        <v>0.0</v>
      </c>
    </row>
    <row r="445">
      <c r="A445" s="935" t="s">
        <v>138</v>
      </c>
      <c r="B445" s="16" t="str">
        <f>IF(C445&lt;'PlayerGrades+'!$Y$44,"F-",IF(C445&lt;'PlayerGrades+'!$Y$43,"F",IF(C445&lt;'PlayerGrades+'!$Y$42,"F+",IF(C445&lt;'PlayerGrades+'!$Y$41,"E-",IF(C445&lt;'PlayerGrades+'!$Y$40,"E",IF(C445&lt;'PlayerGrades+'!$Y$39,"E+",IF(C445&lt;'PlayerGrades+'!$Y$38,"D-",IF(C445&lt;'PlayerGrades+'!$Y$37,"D",IF(C445&lt;'PlayerGrades+'!$Y$36,"D+",IF(C445&lt;'PlayerGrades+'!$Y$35,"C-",IF(C445&lt;'PlayerGrades+'!$Y$34,"C",IF(C445&lt;'PlayerGrades+'!$Y$33,"C+",IF(C445&lt;'PlayerGrades+'!$Y$32,"B-",IF(C445&lt;'PlayerGrades+'!$Y$31,"B",IF(C445&lt;'PlayerGrades+'!$Y$30,"B+",IF(C445&lt;'PlayerGrades+'!$Y$29,"A-",IF(C445&lt;'PlayerGrades+'!$Y$28,"A",IF(C445&lt;'PlayerGrades+'!$Y$27,"A+",IF(C445&lt;'PlayerGrades+'!$Y$26,"S-",IF(C445&lt;'PlayerGrades+'!$Y$25,"S","S+"))))))))))))))))))))</f>
        <v>C-</v>
      </c>
      <c r="C445" s="936">
        <f>('PlayerGrades+'!$Y$47*(VLOOKUP(E445, 'PlayerGrades+'!$X$3:$Y$23, 2, FALSE)))+('PlayerGrades+'!$Y$48*(VLOOKUP(G445, 'PlayerGrades+'!$X$3:$Y$23, 2, FALSE)))+('PlayerGrades+'!$Y$49*(VLOOKUP(I445, 'PlayerGrades+'!$X$3:$Y$23, 2, FALSE)))+('PlayerGrades+'!$Y$50*(VLOOKUP(K445, 'PlayerGrades+'!$X$3:$Y$23, 2, FALSE)))+('PlayerGrades+'!$Y$51*(VLOOKUP(M445, 'PlayerGrades+'!$X$3:$Y$23, 2, FALSE)))+('PlayerGrades+'!$Y$52*(VLOOKUP(O445, 'PlayerGrades+'!$X$3:$Y$23, 2, FALSE)))+('PlayerGrades+'!$Y$53*(VLOOKUP(Q445, 'PlayerGrades+'!$X$3:$Y$23, 2, FALSE)))+('PlayerGrades+'!$Y$54*(VLOOKUP(S445, 'PlayerGrades+'!$X$3:$Y$23, 2, FALSE)))+('PlayerGrades+'!$Y$55*(VLOOKUP(U445, 'PlayerGrades+'!$X$3:$Y$23, 2, FALSE)))</f>
        <v>19.35</v>
      </c>
      <c r="D445" s="937">
        <f t="shared" si="1"/>
        <v>0</v>
      </c>
      <c r="E445" s="937" t="str">
        <f>IF(D445&lt;'PlayerGrades+'!$AA$21,"F-",IF(D445&lt;'PlayerGrades+'!$AA$20,"F",IF(D445&lt;'PlayerGrades+'!$AA$19,"F+",IF(D445&lt;'PlayerGrades+'!$AA$18,"E-",IF(D445&lt;'PlayerGrades+'!$AA$17,"E",IF(D445&lt;'PlayerGrades+'!$AA$16,"E+",IF(D445&lt;'PlayerGrades+'!$AA$15,"D-",IF(D445&lt;'PlayerGrades+'!$AA$14,"D",IF(D445&lt;'PlayerGrades+'!$AA$13,"D+",IF(D445&lt;'PlayerGrades+'!$AA$12,"C-",IF(D445&lt;'PlayerGrades+'!$AA$11,"C",IF(D445&lt;'PlayerGrades+'!$AA$10,"C+",IF(D445&lt;'PlayerGrades+'!$AA$9,"B-",IF(D445&lt;'PlayerGrades+'!$AA$8,"B",IF(D445&lt;'PlayerGrades+'!$AA$7,"B+",IF(D445&lt;'PlayerGrades+'!$AA$6,"A-",IF(D445&lt;'PlayerGrades+'!$AA$5,"A",IF(D445&lt;'PlayerGrades+'!$AA$4,"A+",IF(D445&lt;'PlayerGrades+'!$AA$3,"S-",IF(D445&lt;'PlayerGrades+'!$AA$2,"S","S+"))))))))))))))))))))</f>
        <v>F-</v>
      </c>
      <c r="F445" s="937">
        <f t="shared" si="2"/>
        <v>0.3038427167</v>
      </c>
      <c r="G445" s="937" t="str">
        <f>IF(F445&lt;'PlayerGrades+'!$AB$21,"F-",IF(F445&lt;'PlayerGrades+'!$AB$20,"F",IF(F445&lt;'PlayerGrades+'!$AB$19,"F+",IF(F445&lt;'PlayerGrades+'!$AB$18,"E-",IF(F445&lt;'PlayerGrades+'!$AB$17,"E",IF(F445&lt;'PlayerGrades+'!$AB$16,"E+",IF(F445&lt;'PlayerGrades+'!$AB$15,"D-",IF(F445&lt;'PlayerGrades+'!$AB$14,"D",IF(F445&lt;'PlayerGrades+'!$AB$13,"D+",IF(F445&lt;'PlayerGrades+'!$AB$12,"C-",IF(F445&lt;'PlayerGrades+'!$AB$11,"C",IF(F445&lt;'PlayerGrades+'!$AB$10,"C+",IF(F445&lt;'PlayerGrades+'!$AB$9,"B-",IF(F445&lt;'PlayerGrades+'!$AB$8,"B",IF(F445&lt;'PlayerGrades+'!$AB$7,"B+",IF(F445&lt;'PlayerGrades+'!$AB$6,"A-",IF(F445&lt;'PlayerGrades+'!$AB$5,"A",IF(F445&lt;'PlayerGrades+'!$AB$4,"A+",IF(F445&lt;'PlayerGrades+'!$AB$3,"S-",IF(F445&lt;'PlayerGrades+'!$AB$2,"S","S+"))))))))))))))))))))</f>
        <v>A-</v>
      </c>
      <c r="H445" s="937">
        <f t="shared" si="3"/>
        <v>0.07149240393</v>
      </c>
      <c r="I445" s="937" t="str">
        <f>IF(H445&lt;'PlayerGrades+'!$AC$21,"F-",IF(H445&lt;'PlayerGrades+'!$AC$20,"F",IF(H445&lt;'PlayerGrades+'!$AC$19,"F+",IF(H445&lt;'PlayerGrades+'!$AC$18,"E-",IF(H445&lt;'PlayerGrades+'!$AC$17,"E",IF(H445&lt;'PlayerGrades+'!$AC$16,"E+",IF(H445&lt;'PlayerGrades+'!$AC$15,"D-",IF(H445&lt;'PlayerGrades+'!$AC$14,"D",IF(H445&lt;'PlayerGrades+'!$AC$13,"D+",IF(H445&lt;'PlayerGrades+'!$AC$12,"C-",IF(H445&lt;'PlayerGrades+'!$AC$11,"C",IF(H445&lt;'PlayerGrades+'!$AC$10,"C+",IF(H445&lt;'PlayerGrades+'!$AC$9,"B-",IF(H445&lt;'PlayerGrades+'!$AC$8,"B",IF(H445&lt;'PlayerGrades+'!$AC$7,"B+",IF(H445&lt;'PlayerGrades+'!$AC$6,"A-",IF(H445&lt;'PlayerGrades+'!$AC$5,"A",IF(H445&lt;'PlayerGrades+'!$AC$4,"A+",IF(H445&lt;'PlayerGrades+'!$AC$3,"S-",IF(H445&lt;'PlayerGrades+'!$AC$2,"S","S+"))))))))))))))))))))</f>
        <v>E</v>
      </c>
      <c r="J445" s="937">
        <f t="shared" si="4"/>
        <v>0.05361930295</v>
      </c>
      <c r="K445" s="937" t="str">
        <f>IF(J445&lt;'PlayerGrades+'!$AD$21,"F-",IF(J445&lt;'PlayerGrades+'!$AD$20,"F",IF(J445&lt;'PlayerGrades+'!$AD$19,"F+",IF(J445&lt;'PlayerGrades+'!$AD$18,"E-",IF(J445&lt;'PlayerGrades+'!$AD$17,"E",IF(J445&lt;'PlayerGrades+'!$AD$16,"E+",IF(J445&lt;'PlayerGrades+'!$AD$15,"D-",IF(J445&lt;'PlayerGrades+'!$AD$14,"D",IF(J445&lt;'PlayerGrades+'!$AD$13,"D+",IF(J445&lt;'PlayerGrades+'!$AD$12,"C-",IF(J445&lt;'PlayerGrades+'!$AD$11,"C",IF(J445&lt;'PlayerGrades+'!$AD$10,"C+",IF(J445&lt;'PlayerGrades+'!$AD$9,"B-",IF(J445&lt;'PlayerGrades+'!$AD$8,"B",IF(J445&lt;'PlayerGrades+'!$AD$7,"B+",IF(J445&lt;'PlayerGrades+'!$AD$6,"A-",IF(J445&lt;'PlayerGrades+'!$AD$5,"A",IF(J445&lt;'PlayerGrades+'!$AD$4,"A+",IF(J445&lt;'PlayerGrades+'!$AD$3,"S-",IF(J445&lt;'PlayerGrades+'!$AD$2,"S","S+"))))))))))))))))))))</f>
        <v>B+</v>
      </c>
      <c r="L445" s="677">
        <f t="shared" si="5"/>
        <v>0.4825737265</v>
      </c>
      <c r="M445" s="938" t="str">
        <f>IF(L445&lt;'PlayerGrades+'!$AE$21,"F-",IF(L445&lt;'PlayerGrades+'!$AE$20,"F",IF(L445&lt;'PlayerGrades+'!$AE$19,"F+",IF(L445&lt;'PlayerGrades+'!$AE$18,"E-",IF(L445&lt;'PlayerGrades+'!$AE$17,"E",IF(L445&lt;'PlayerGrades+'!$AE$16,"E+",IF(L445&lt;'PlayerGrades+'!$AE$15,"D-",IF(L445&lt;'PlayerGrades+'!$AE$14,"D",IF(L445&lt;'PlayerGrades+'!$AE$13,"D+",IF(L445&lt;'PlayerGrades+'!$AE$12,"C-",IF(L445&lt;'PlayerGrades+'!$AE$11,"C",IF(L445&lt;'PlayerGrades+'!$AE$10,"C+",IF(L445&lt;'PlayerGrades+'!$AE$9,"B-",IF(L445&lt;'PlayerGrades+'!$AE$8,"B",IF(L445&lt;'PlayerGrades+'!$AE$7,"B+",IF(L445&lt;'PlayerGrades+'!$AE$6,"A-",IF(L445&lt;'PlayerGrades+'!$AE$5,"A",IF(L445&lt;'PlayerGrades+'!$AE$4,"A+",IF(L445&lt;'PlayerGrades+'!$AE$3,"S-",IF(L445&lt;'PlayerGrades+'!$AE$2,"S","S+"))))))))))))))))))))</f>
        <v>B+</v>
      </c>
      <c r="N445" s="937">
        <f t="shared" si="6"/>
        <v>0.05361930295</v>
      </c>
      <c r="O445" s="937" t="str">
        <f>IF(N445&lt;'PlayerGrades+'!$AF$21,"F-",IF(N445&lt;'PlayerGrades+'!$AF$20,"F",IF(N445&lt;'PlayerGrades+'!$AF$19,"F+",IF(N445&lt;'PlayerGrades+'!$AF$18,"E-",IF(N445&lt;'PlayerGrades+'!$AF$17,"E",IF(N445&lt;'PlayerGrades+'!$AF$16,"E+",IF(N445&lt;'PlayerGrades+'!$AF$15,"D-",IF(N445&lt;'PlayerGrades+'!$AF$14,"D",IF(N445&lt;'PlayerGrades+'!$AF$13,"D+",IF(N445&lt;'PlayerGrades+'!$AF$12,"C-",IF(N445&lt;'PlayerGrades+'!$AF$11,"C",IF(N445&lt;'PlayerGrades+'!$AF$10,"C+",IF(N445&lt;'PlayerGrades+'!$AF$9,"B-",IF(N445&lt;'PlayerGrades+'!$AF$8,"B",IF(N445&lt;'PlayerGrades+'!$AF$7,"B+",IF(N445&lt;'PlayerGrades+'!$AF$6,"A-",IF(N445&lt;'PlayerGrades+'!$AF$5,"A",IF(N445&lt;'PlayerGrades+'!$AF$4,"A+",IF(N445&lt;'PlayerGrades+'!$AF$3,"S-",IF(N445&lt;'PlayerGrades+'!$AF$2,"S","S+"))))))))))))))))))))</f>
        <v>D</v>
      </c>
      <c r="P445" s="937">
        <f t="shared" si="7"/>
        <v>0.05361930295</v>
      </c>
      <c r="Q445" s="937" t="str">
        <f>IF(P445&lt;'PlayerGrades+'!$AG$21,"F-",IF(P445&lt;'PlayerGrades+'!$AG$20,"F",IF(P445&lt;'PlayerGrades+'!$AG$19,"F+",IF(P445&lt;'PlayerGrades+'!$AG$18,"E-",IF(P445&lt;'PlayerGrades+'!$AG$17,"E",IF(P445&lt;'PlayerGrades+'!$AG$16,"E+",IF(P445&lt;'PlayerGrades+'!$AG$15,"D-",IF(P445&lt;'PlayerGrades+'!$AG$14,"D",IF(P445&lt;'PlayerGrades+'!$AG$13,"D+",IF(P445&lt;'PlayerGrades+'!$AG$12,"C-",IF(P445&lt;'PlayerGrades+'!$AG$11,"C",IF(P445&lt;'PlayerGrades+'!$AG$10,"C+",IF(P445&lt;'PlayerGrades+'!$AG$9,"B-",IF(P445&lt;'PlayerGrades+'!$AG$8,"B",IF(P445&lt;'PlayerGrades+'!$AG$7,"B+",IF(P445&lt;'PlayerGrades+'!$AG$6,"A-",IF(P445&lt;'PlayerGrades+'!$AG$5,"A",IF(P445&lt;'PlayerGrades+'!$AG$4,"A+",IF(P445&lt;'PlayerGrades+'!$AG$3,"S-",IF(P445&lt;'PlayerGrades+'!$AG$2,"S","S+"))))))))))))))))))))</f>
        <v>A</v>
      </c>
      <c r="R445" s="937">
        <f t="shared" si="8"/>
        <v>0.5898123324</v>
      </c>
      <c r="S445" s="937" t="str">
        <f>IF(R445&lt;'PlayerGrades+'!$AH$21,"F-",IF(R445&lt;'PlayerGrades+'!$AH$20,"F",IF(R445&lt;'PlayerGrades+'!$AH$19,"F+",IF(R445&lt;'PlayerGrades+'!$AH$18,"E-",IF(R445&lt;'PlayerGrades+'!$AH$17,"E",IF(R445&lt;'PlayerGrades+'!$AH$16,"E+",IF(R445&lt;'PlayerGrades+'!$AH$15,"D-",IF(R445&lt;'PlayerGrades+'!$AH$14,"D",IF(R445&lt;'PlayerGrades+'!$AH$13,"D+",IF(R445&lt;'PlayerGrades+'!$AH$12,"C-",IF(R445&lt;'PlayerGrades+'!$AH$11,"C",IF(R445&lt;'PlayerGrades+'!$AH$10,"C+",IF(R445&lt;'PlayerGrades+'!$AH$9,"B-",IF(R445&lt;'PlayerGrades+'!$AH$8,"B",IF(R445&lt;'PlayerGrades+'!$AH$7,"B+",IF(R445&lt;'PlayerGrades+'!$AH$6,"A-",IF(R445&lt;'PlayerGrades+'!$AH$5,"A",IF(R445&lt;'PlayerGrades+'!$AH$4,"A+",IF(R445&lt;'PlayerGrades+'!$AH$3,"S-",IF(R445&lt;'PlayerGrades+'!$AH$2,"S","S+"))))))))))))))))))))</f>
        <v>B+</v>
      </c>
      <c r="T445" s="937">
        <f t="shared" si="9"/>
        <v>0.5719392315</v>
      </c>
      <c r="U445" s="937" t="str">
        <f>IF(T445&lt;'PlayerGrades+'!$AI$21,"F-",IF(T445&lt;'PlayerGrades+'!$AI$20,"F",IF(T445&lt;'PlayerGrades+'!$AI$19,"F+",IF(T445&lt;'PlayerGrades+'!$AI$18,"E-",IF(T445&lt;'PlayerGrades+'!$AI$17,"E",IF(T445&lt;'PlayerGrades+'!$AI$16,"E+",IF(T445&lt;'PlayerGrades+'!$AI$15,"D-",IF(T445&lt;'PlayerGrades+'!$AI$14,"D",IF(T445&lt;'PlayerGrades+'!$AI$13,"D+",IF(T445&lt;'PlayerGrades+'!$AI$12,"C-",IF(T445&lt;'PlayerGrades+'!$AI$11,"C",IF(T445&lt;'PlayerGrades+'!$AI$10,"C+",IF(T445&lt;'PlayerGrades+'!$AI$9,"B-",IF(T445&lt;'PlayerGrades+'!$AI$8,"B",IF(T445&lt;'PlayerGrades+'!$AI$7,"B+",IF(T445&lt;'PlayerGrades+'!$AI$6,"A-",IF(T445&lt;'PlayerGrades+'!$AI$5,"A",IF(T445&lt;'PlayerGrades+'!$AI$4,"A+",IF(T445&lt;'PlayerGrades+'!$AI$3,"S-",IF(T445&lt;'PlayerGrades+'!$AI$2,"S","S+"))))))))))))))))))))</f>
        <v>F-</v>
      </c>
      <c r="V445" s="941">
        <v>1.0</v>
      </c>
      <c r="W445" s="941">
        <v>1.0</v>
      </c>
      <c r="X445" s="941">
        <v>0.0</v>
      </c>
      <c r="Y445" s="941">
        <v>0.0</v>
      </c>
      <c r="Z445" s="941">
        <v>0.0</v>
      </c>
      <c r="AA445" s="941">
        <v>208.0</v>
      </c>
      <c r="AB445" s="941">
        <v>191.0</v>
      </c>
      <c r="AC445" s="941">
        <v>17.0</v>
      </c>
      <c r="AD445" s="941">
        <v>15.0</v>
      </c>
      <c r="AE445" s="941">
        <v>5.0</v>
      </c>
      <c r="AF445" s="941">
        <v>4.0</v>
      </c>
      <c r="AG445" s="941">
        <v>2707.0</v>
      </c>
      <c r="AH445" s="941">
        <v>3357.0</v>
      </c>
      <c r="AI445" s="941">
        <v>14.0</v>
      </c>
      <c r="AJ445" s="941">
        <v>18.0</v>
      </c>
      <c r="AK445" s="941">
        <v>0.0</v>
      </c>
      <c r="AL445" s="941">
        <v>3.0</v>
      </c>
      <c r="AM445" s="941">
        <v>0.0</v>
      </c>
      <c r="AN445" s="941">
        <v>0.0</v>
      </c>
      <c r="AO445" s="941">
        <v>0.0</v>
      </c>
      <c r="AP445" s="941">
        <v>3.0</v>
      </c>
      <c r="AQ445" s="941">
        <v>0.0</v>
      </c>
      <c r="AR445" s="941">
        <v>27.0</v>
      </c>
      <c r="AS445" s="941">
        <v>3.0</v>
      </c>
      <c r="AT445" s="941">
        <v>2.0</v>
      </c>
      <c r="AU445" s="941">
        <v>0.0</v>
      </c>
      <c r="AV445" s="941">
        <v>0.0</v>
      </c>
      <c r="AW445" s="941">
        <v>0.0</v>
      </c>
      <c r="AX445" s="941">
        <v>0.0</v>
      </c>
      <c r="AY445" s="941">
        <v>0.0</v>
      </c>
      <c r="AZ445" s="941">
        <v>0.0</v>
      </c>
      <c r="BA445" s="941">
        <v>0.0</v>
      </c>
      <c r="BB445" s="941">
        <v>4.0</v>
      </c>
      <c r="BC445" s="941">
        <v>0.0</v>
      </c>
      <c r="BD445" s="941">
        <v>18.0</v>
      </c>
      <c r="BE445" s="941">
        <v>32.0</v>
      </c>
      <c r="BF445" s="941">
        <v>0.0</v>
      </c>
      <c r="BG445" s="942">
        <v>0.0</v>
      </c>
    </row>
    <row r="446">
      <c r="A446" s="935" t="s">
        <v>114</v>
      </c>
      <c r="B446" s="16" t="str">
        <f>IF(C446&lt;'PlayerGrades+'!$Y$44,"F-",IF(C446&lt;'PlayerGrades+'!$Y$43,"F",IF(C446&lt;'PlayerGrades+'!$Y$42,"F+",IF(C446&lt;'PlayerGrades+'!$Y$41,"E-",IF(C446&lt;'PlayerGrades+'!$Y$40,"E",IF(C446&lt;'PlayerGrades+'!$Y$39,"E+",IF(C446&lt;'PlayerGrades+'!$Y$38,"D-",IF(C446&lt;'PlayerGrades+'!$Y$37,"D",IF(C446&lt;'PlayerGrades+'!$Y$36,"D+",IF(C446&lt;'PlayerGrades+'!$Y$35,"C-",IF(C446&lt;'PlayerGrades+'!$Y$34,"C",IF(C446&lt;'PlayerGrades+'!$Y$33,"C+",IF(C446&lt;'PlayerGrades+'!$Y$32,"B-",IF(C446&lt;'PlayerGrades+'!$Y$31,"B",IF(C446&lt;'PlayerGrades+'!$Y$30,"B+",IF(C446&lt;'PlayerGrades+'!$Y$29,"A-",IF(C446&lt;'PlayerGrades+'!$Y$28,"A",IF(C446&lt;'PlayerGrades+'!$Y$27,"A+",IF(C446&lt;'PlayerGrades+'!$Y$26,"S-",IF(C446&lt;'PlayerGrades+'!$Y$25,"S","S+"))))))))))))))))))))</f>
        <v>E</v>
      </c>
      <c r="C446" s="936">
        <f>('PlayerGrades+'!$Y$47*(VLOOKUP(E446, 'PlayerGrades+'!$X$3:$Y$23, 2, FALSE)))+('PlayerGrades+'!$Y$48*(VLOOKUP(G446, 'PlayerGrades+'!$X$3:$Y$23, 2, FALSE)))+('PlayerGrades+'!$Y$49*(VLOOKUP(I446, 'PlayerGrades+'!$X$3:$Y$23, 2, FALSE)))+('PlayerGrades+'!$Y$50*(VLOOKUP(K446, 'PlayerGrades+'!$X$3:$Y$23, 2, FALSE)))+('PlayerGrades+'!$Y$51*(VLOOKUP(M446, 'PlayerGrades+'!$X$3:$Y$23, 2, FALSE)))+('PlayerGrades+'!$Y$52*(VLOOKUP(O446, 'PlayerGrades+'!$X$3:$Y$23, 2, FALSE)))+('PlayerGrades+'!$Y$53*(VLOOKUP(Q446, 'PlayerGrades+'!$X$3:$Y$23, 2, FALSE)))+('PlayerGrades+'!$Y$54*(VLOOKUP(S446, 'PlayerGrades+'!$X$3:$Y$23, 2, FALSE)))+('PlayerGrades+'!$Y$55*(VLOOKUP(U446, 'PlayerGrades+'!$X$3:$Y$23, 2, FALSE)))</f>
        <v>13</v>
      </c>
      <c r="D446" s="937">
        <f t="shared" si="1"/>
        <v>0.3574620197</v>
      </c>
      <c r="E446" s="937" t="str">
        <f>IF(D446&lt;'PlayerGrades+'!$AA$21,"F-",IF(D446&lt;'PlayerGrades+'!$AA$20,"F",IF(D446&lt;'PlayerGrades+'!$AA$19,"F+",IF(D446&lt;'PlayerGrades+'!$AA$18,"E-",IF(D446&lt;'PlayerGrades+'!$AA$17,"E",IF(D446&lt;'PlayerGrades+'!$AA$16,"E+",IF(D446&lt;'PlayerGrades+'!$AA$15,"D-",IF(D446&lt;'PlayerGrades+'!$AA$14,"D",IF(D446&lt;'PlayerGrades+'!$AA$13,"D+",IF(D446&lt;'PlayerGrades+'!$AA$12,"C-",IF(D446&lt;'PlayerGrades+'!$AA$11,"C",IF(D446&lt;'PlayerGrades+'!$AA$10,"C+",IF(D446&lt;'PlayerGrades+'!$AA$9,"B-",IF(D446&lt;'PlayerGrades+'!$AA$8,"B",IF(D446&lt;'PlayerGrades+'!$AA$7,"B+",IF(D446&lt;'PlayerGrades+'!$AA$6,"A-",IF(D446&lt;'PlayerGrades+'!$AA$5,"A",IF(D446&lt;'PlayerGrades+'!$AA$4,"A+",IF(D446&lt;'PlayerGrades+'!$AA$3,"S-",IF(D446&lt;'PlayerGrades+'!$AA$2,"S","S+"))))))))))))))))))))</f>
        <v>A</v>
      </c>
      <c r="F446" s="937">
        <f t="shared" si="2"/>
        <v>-0.08936550492</v>
      </c>
      <c r="G446" s="937" t="str">
        <f>IF(F446&lt;'PlayerGrades+'!$AB$21,"F-",IF(F446&lt;'PlayerGrades+'!$AB$20,"F",IF(F446&lt;'PlayerGrades+'!$AB$19,"F+",IF(F446&lt;'PlayerGrades+'!$AB$18,"E-",IF(F446&lt;'PlayerGrades+'!$AB$17,"E",IF(F446&lt;'PlayerGrades+'!$AB$16,"E+",IF(F446&lt;'PlayerGrades+'!$AB$15,"D-",IF(F446&lt;'PlayerGrades+'!$AB$14,"D",IF(F446&lt;'PlayerGrades+'!$AB$13,"D+",IF(F446&lt;'PlayerGrades+'!$AB$12,"C-",IF(F446&lt;'PlayerGrades+'!$AB$11,"C",IF(F446&lt;'PlayerGrades+'!$AB$10,"C+",IF(F446&lt;'PlayerGrades+'!$AB$9,"B-",IF(F446&lt;'PlayerGrades+'!$AB$8,"B",IF(F446&lt;'PlayerGrades+'!$AB$7,"B+",IF(F446&lt;'PlayerGrades+'!$AB$6,"A-",IF(F446&lt;'PlayerGrades+'!$AB$5,"A",IF(F446&lt;'PlayerGrades+'!$AB$4,"A+",IF(F446&lt;'PlayerGrades+'!$AB$3,"S-",IF(F446&lt;'PlayerGrades+'!$AB$2,"S","S+"))))))))))))))))))))</f>
        <v>B-</v>
      </c>
      <c r="H446" s="937">
        <f t="shared" si="3"/>
        <v>0.07149240393</v>
      </c>
      <c r="I446" s="937" t="str">
        <f>IF(H446&lt;'PlayerGrades+'!$AC$21,"F-",IF(H446&lt;'PlayerGrades+'!$AC$20,"F",IF(H446&lt;'PlayerGrades+'!$AC$19,"F+",IF(H446&lt;'PlayerGrades+'!$AC$18,"E-",IF(H446&lt;'PlayerGrades+'!$AC$17,"E",IF(H446&lt;'PlayerGrades+'!$AC$16,"E+",IF(H446&lt;'PlayerGrades+'!$AC$15,"D-",IF(H446&lt;'PlayerGrades+'!$AC$14,"D",IF(H446&lt;'PlayerGrades+'!$AC$13,"D+",IF(H446&lt;'PlayerGrades+'!$AC$12,"C-",IF(H446&lt;'PlayerGrades+'!$AC$11,"C",IF(H446&lt;'PlayerGrades+'!$AC$10,"C+",IF(H446&lt;'PlayerGrades+'!$AC$9,"B-",IF(H446&lt;'PlayerGrades+'!$AC$8,"B",IF(H446&lt;'PlayerGrades+'!$AC$7,"B+",IF(H446&lt;'PlayerGrades+'!$AC$6,"A-",IF(H446&lt;'PlayerGrades+'!$AC$5,"A",IF(H446&lt;'PlayerGrades+'!$AC$4,"A+",IF(H446&lt;'PlayerGrades+'!$AC$3,"S-",IF(H446&lt;'PlayerGrades+'!$AC$2,"S","S+"))))))))))))))))))))</f>
        <v>E</v>
      </c>
      <c r="J446" s="937">
        <f t="shared" si="4"/>
        <v>0.01787310098</v>
      </c>
      <c r="K446" s="937" t="str">
        <f>IF(J446&lt;'PlayerGrades+'!$AD$21,"F-",IF(J446&lt;'PlayerGrades+'!$AD$20,"F",IF(J446&lt;'PlayerGrades+'!$AD$19,"F+",IF(J446&lt;'PlayerGrades+'!$AD$18,"E-",IF(J446&lt;'PlayerGrades+'!$AD$17,"E",IF(J446&lt;'PlayerGrades+'!$AD$16,"E+",IF(J446&lt;'PlayerGrades+'!$AD$15,"D-",IF(J446&lt;'PlayerGrades+'!$AD$14,"D",IF(J446&lt;'PlayerGrades+'!$AD$13,"D+",IF(J446&lt;'PlayerGrades+'!$AD$12,"C-",IF(J446&lt;'PlayerGrades+'!$AD$11,"C",IF(J446&lt;'PlayerGrades+'!$AD$10,"C+",IF(J446&lt;'PlayerGrades+'!$AD$9,"B-",IF(J446&lt;'PlayerGrades+'!$AD$8,"B",IF(J446&lt;'PlayerGrades+'!$AD$7,"B+",IF(J446&lt;'PlayerGrades+'!$AD$6,"A-",IF(J446&lt;'PlayerGrades+'!$AD$5,"A",IF(J446&lt;'PlayerGrades+'!$AD$4,"A+",IF(J446&lt;'PlayerGrades+'!$AD$3,"S-",IF(J446&lt;'PlayerGrades+'!$AD$2,"S","S+"))))))))))))))))))))</f>
        <v>E</v>
      </c>
      <c r="L446" s="677">
        <f t="shared" si="5"/>
        <v>0.2323503128</v>
      </c>
      <c r="M446" s="938" t="str">
        <f>IF(L446&lt;'PlayerGrades+'!$AE$21,"F-",IF(L446&lt;'PlayerGrades+'!$AE$20,"F",IF(L446&lt;'PlayerGrades+'!$AE$19,"F+",IF(L446&lt;'PlayerGrades+'!$AE$18,"E-",IF(L446&lt;'PlayerGrades+'!$AE$17,"E",IF(L446&lt;'PlayerGrades+'!$AE$16,"E+",IF(L446&lt;'PlayerGrades+'!$AE$15,"D-",IF(L446&lt;'PlayerGrades+'!$AE$14,"D",IF(L446&lt;'PlayerGrades+'!$AE$13,"D+",IF(L446&lt;'PlayerGrades+'!$AE$12,"C-",IF(L446&lt;'PlayerGrades+'!$AE$11,"C",IF(L446&lt;'PlayerGrades+'!$AE$10,"C+",IF(L446&lt;'PlayerGrades+'!$AE$9,"B-",IF(L446&lt;'PlayerGrades+'!$AE$8,"B",IF(L446&lt;'PlayerGrades+'!$AE$7,"B+",IF(L446&lt;'PlayerGrades+'!$AE$6,"A-",IF(L446&lt;'PlayerGrades+'!$AE$5,"A",IF(L446&lt;'PlayerGrades+'!$AE$4,"A+",IF(L446&lt;'PlayerGrades+'!$AE$3,"S-",IF(L446&lt;'PlayerGrades+'!$AE$2,"S","S+"))))))))))))))))))))</f>
        <v>F</v>
      </c>
      <c r="N446" s="937">
        <f t="shared" si="6"/>
        <v>0.03574620197</v>
      </c>
      <c r="O446" s="937" t="str">
        <f>IF(N446&lt;'PlayerGrades+'!$AF$21,"F-",IF(N446&lt;'PlayerGrades+'!$AF$20,"F",IF(N446&lt;'PlayerGrades+'!$AF$19,"F+",IF(N446&lt;'PlayerGrades+'!$AF$18,"E-",IF(N446&lt;'PlayerGrades+'!$AF$17,"E",IF(N446&lt;'PlayerGrades+'!$AF$16,"E+",IF(N446&lt;'PlayerGrades+'!$AF$15,"D-",IF(N446&lt;'PlayerGrades+'!$AF$14,"D",IF(N446&lt;'PlayerGrades+'!$AF$13,"D+",IF(N446&lt;'PlayerGrades+'!$AF$12,"C-",IF(N446&lt;'PlayerGrades+'!$AF$11,"C",IF(N446&lt;'PlayerGrades+'!$AF$10,"C+",IF(N446&lt;'PlayerGrades+'!$AF$9,"B-",IF(N446&lt;'PlayerGrades+'!$AF$8,"B",IF(N446&lt;'PlayerGrades+'!$AF$7,"B+",IF(N446&lt;'PlayerGrades+'!$AF$6,"A-",IF(N446&lt;'PlayerGrades+'!$AF$5,"A",IF(N446&lt;'PlayerGrades+'!$AF$4,"A+",IF(N446&lt;'PlayerGrades+'!$AF$3,"S-",IF(N446&lt;'PlayerGrades+'!$AF$2,"S","S+"))))))))))))))))))))</f>
        <v>F+</v>
      </c>
      <c r="P446" s="937">
        <f t="shared" si="7"/>
        <v>0</v>
      </c>
      <c r="Q446" s="937" t="str">
        <f>IF(P446&lt;'PlayerGrades+'!$AG$21,"F-",IF(P446&lt;'PlayerGrades+'!$AG$20,"F",IF(P446&lt;'PlayerGrades+'!$AG$19,"F+",IF(P446&lt;'PlayerGrades+'!$AG$18,"E-",IF(P446&lt;'PlayerGrades+'!$AG$17,"E",IF(P446&lt;'PlayerGrades+'!$AG$16,"E+",IF(P446&lt;'PlayerGrades+'!$AG$15,"D-",IF(P446&lt;'PlayerGrades+'!$AG$14,"D",IF(P446&lt;'PlayerGrades+'!$AG$13,"D+",IF(P446&lt;'PlayerGrades+'!$AG$12,"C-",IF(P446&lt;'PlayerGrades+'!$AG$11,"C",IF(P446&lt;'PlayerGrades+'!$AG$10,"C+",IF(P446&lt;'PlayerGrades+'!$AG$9,"B-",IF(P446&lt;'PlayerGrades+'!$AG$8,"B",IF(P446&lt;'PlayerGrades+'!$AG$7,"B+",IF(P446&lt;'PlayerGrades+'!$AG$6,"A-",IF(P446&lt;'PlayerGrades+'!$AG$5,"A",IF(P446&lt;'PlayerGrades+'!$AG$4,"A+",IF(P446&lt;'PlayerGrades+'!$AG$3,"S-",IF(P446&lt;'PlayerGrades+'!$AG$2,"S","S+"))))))))))))))))))))</f>
        <v>F</v>
      </c>
      <c r="R446" s="937">
        <f t="shared" si="8"/>
        <v>0.4110813226</v>
      </c>
      <c r="S446" s="937" t="str">
        <f>IF(R446&lt;'PlayerGrades+'!$AH$21,"F-",IF(R446&lt;'PlayerGrades+'!$AH$20,"F",IF(R446&lt;'PlayerGrades+'!$AH$19,"F+",IF(R446&lt;'PlayerGrades+'!$AH$18,"E-",IF(R446&lt;'PlayerGrades+'!$AH$17,"E",IF(R446&lt;'PlayerGrades+'!$AH$16,"E+",IF(R446&lt;'PlayerGrades+'!$AH$15,"D-",IF(R446&lt;'PlayerGrades+'!$AH$14,"D",IF(R446&lt;'PlayerGrades+'!$AH$13,"D+",IF(R446&lt;'PlayerGrades+'!$AH$12,"C-",IF(R446&lt;'PlayerGrades+'!$AH$11,"C",IF(R446&lt;'PlayerGrades+'!$AH$10,"C+",IF(R446&lt;'PlayerGrades+'!$AH$9,"B-",IF(R446&lt;'PlayerGrades+'!$AH$8,"B",IF(R446&lt;'PlayerGrades+'!$AH$7,"B+",IF(R446&lt;'PlayerGrades+'!$AH$6,"A-",IF(R446&lt;'PlayerGrades+'!$AH$5,"A",IF(R446&lt;'PlayerGrades+'!$AH$4,"A+",IF(R446&lt;'PlayerGrades+'!$AH$3,"S-",IF(R446&lt;'PlayerGrades+'!$AH$2,"S","S+"))))))))))))))))))))</f>
        <v>F+</v>
      </c>
      <c r="T446" s="937">
        <f t="shared" si="9"/>
        <v>1.160857909</v>
      </c>
      <c r="U446" s="937" t="str">
        <f>IF(T446&lt;'PlayerGrades+'!$AI$21,"F-",IF(T446&lt;'PlayerGrades+'!$AI$20,"F",IF(T446&lt;'PlayerGrades+'!$AI$19,"F+",IF(T446&lt;'PlayerGrades+'!$AI$18,"E-",IF(T446&lt;'PlayerGrades+'!$AI$17,"E",IF(T446&lt;'PlayerGrades+'!$AI$16,"E+",IF(T446&lt;'PlayerGrades+'!$AI$15,"D-",IF(T446&lt;'PlayerGrades+'!$AI$14,"D",IF(T446&lt;'PlayerGrades+'!$AI$13,"D+",IF(T446&lt;'PlayerGrades+'!$AI$12,"C-",IF(T446&lt;'PlayerGrades+'!$AI$11,"C",IF(T446&lt;'PlayerGrades+'!$AI$10,"C+",IF(T446&lt;'PlayerGrades+'!$AI$9,"B-",IF(T446&lt;'PlayerGrades+'!$AI$8,"B",IF(T446&lt;'PlayerGrades+'!$AI$7,"B+",IF(T446&lt;'PlayerGrades+'!$AI$6,"A-",IF(T446&lt;'PlayerGrades+'!$AI$5,"A",IF(T446&lt;'PlayerGrades+'!$AI$4,"A+",IF(T446&lt;'PlayerGrades+'!$AI$3,"S-",IF(T446&lt;'PlayerGrades+'!$AI$2,"S","S+"))))))))))))))))))))</f>
        <v>D+</v>
      </c>
      <c r="V446" s="941">
        <v>1.0</v>
      </c>
      <c r="W446" s="941">
        <v>0.0</v>
      </c>
      <c r="X446" s="941">
        <v>1.0</v>
      </c>
      <c r="Y446" s="941">
        <v>1.0</v>
      </c>
      <c r="Z446" s="941">
        <v>19.0</v>
      </c>
      <c r="AA446" s="941">
        <v>82.0</v>
      </c>
      <c r="AB446" s="941">
        <v>87.0</v>
      </c>
      <c r="AC446" s="941">
        <v>-5.0</v>
      </c>
      <c r="AD446" s="941">
        <v>8.0</v>
      </c>
      <c r="AE446" s="941">
        <v>5.0</v>
      </c>
      <c r="AF446" s="941">
        <v>1.0</v>
      </c>
      <c r="AG446" s="941">
        <v>3013.0</v>
      </c>
      <c r="AH446" s="941">
        <v>3357.0</v>
      </c>
      <c r="AI446" s="941">
        <v>34.0</v>
      </c>
      <c r="AJ446" s="941">
        <v>1804.0</v>
      </c>
      <c r="AK446" s="941">
        <v>0.0</v>
      </c>
      <c r="AL446" s="941">
        <v>1.0</v>
      </c>
      <c r="AM446" s="941">
        <v>0.0</v>
      </c>
      <c r="AN446" s="941">
        <v>0.0</v>
      </c>
      <c r="AO446" s="941">
        <v>0.0</v>
      </c>
      <c r="AP446" s="941">
        <v>0.0</v>
      </c>
      <c r="AQ446" s="941">
        <v>0.0</v>
      </c>
      <c r="AR446" s="941">
        <v>13.0</v>
      </c>
      <c r="AS446" s="941">
        <v>2.0</v>
      </c>
      <c r="AT446" s="941">
        <v>0.0</v>
      </c>
      <c r="AU446" s="941">
        <v>0.0</v>
      </c>
      <c r="AV446" s="941">
        <v>0.0</v>
      </c>
      <c r="AW446" s="941">
        <v>0.0</v>
      </c>
      <c r="AX446" s="941">
        <v>0.0</v>
      </c>
      <c r="AY446" s="941">
        <v>0.0</v>
      </c>
      <c r="AZ446" s="941">
        <v>0.0</v>
      </c>
      <c r="BA446" s="941">
        <v>0.0</v>
      </c>
      <c r="BB446" s="941">
        <v>4.0</v>
      </c>
      <c r="BC446" s="941">
        <v>0.0</v>
      </c>
      <c r="BD446" s="941">
        <v>15.0</v>
      </c>
      <c r="BE446" s="941">
        <v>9.0</v>
      </c>
      <c r="BF446" s="941">
        <v>1.0</v>
      </c>
      <c r="BG446" s="942">
        <v>1.0</v>
      </c>
    </row>
    <row r="447">
      <c r="A447" s="935" t="s">
        <v>129</v>
      </c>
      <c r="B447" s="16" t="str">
        <f>IF(C447&lt;'PlayerGrades+'!$Y$44,"F-",IF(C447&lt;'PlayerGrades+'!$Y$43,"F",IF(C447&lt;'PlayerGrades+'!$Y$42,"F+",IF(C447&lt;'PlayerGrades+'!$Y$41,"E-",IF(C447&lt;'PlayerGrades+'!$Y$40,"E",IF(C447&lt;'PlayerGrades+'!$Y$39,"E+",IF(C447&lt;'PlayerGrades+'!$Y$38,"D-",IF(C447&lt;'PlayerGrades+'!$Y$37,"D",IF(C447&lt;'PlayerGrades+'!$Y$36,"D+",IF(C447&lt;'PlayerGrades+'!$Y$35,"C-",IF(C447&lt;'PlayerGrades+'!$Y$34,"C",IF(C447&lt;'PlayerGrades+'!$Y$33,"C+",IF(C447&lt;'PlayerGrades+'!$Y$32,"B-",IF(C447&lt;'PlayerGrades+'!$Y$31,"B",IF(C447&lt;'PlayerGrades+'!$Y$30,"B+",IF(C447&lt;'PlayerGrades+'!$Y$29,"A-",IF(C447&lt;'PlayerGrades+'!$Y$28,"A",IF(C447&lt;'PlayerGrades+'!$Y$27,"A+",IF(C447&lt;'PlayerGrades+'!$Y$26,"S-",IF(C447&lt;'PlayerGrades+'!$Y$25,"S","S+"))))))))))))))))))))</f>
        <v>A-</v>
      </c>
      <c r="C447" s="936">
        <f>('PlayerGrades+'!$Y$47*(VLOOKUP(E447, 'PlayerGrades+'!$X$3:$Y$23, 2, FALSE)))+('PlayerGrades+'!$Y$48*(VLOOKUP(G447, 'PlayerGrades+'!$X$3:$Y$23, 2, FALSE)))+('PlayerGrades+'!$Y$49*(VLOOKUP(I447, 'PlayerGrades+'!$X$3:$Y$23, 2, FALSE)))+('PlayerGrades+'!$Y$50*(VLOOKUP(K447, 'PlayerGrades+'!$X$3:$Y$23, 2, FALSE)))+('PlayerGrades+'!$Y$51*(VLOOKUP(M447, 'PlayerGrades+'!$X$3:$Y$23, 2, FALSE)))+('PlayerGrades+'!$Y$52*(VLOOKUP(O447, 'PlayerGrades+'!$X$3:$Y$23, 2, FALSE)))+('PlayerGrades+'!$Y$53*(VLOOKUP(Q447, 'PlayerGrades+'!$X$3:$Y$23, 2, FALSE)))+('PlayerGrades+'!$Y$54*(VLOOKUP(S447, 'PlayerGrades+'!$X$3:$Y$23, 2, FALSE)))+('PlayerGrades+'!$Y$55*(VLOOKUP(U447, 'PlayerGrades+'!$X$3:$Y$23, 2, FALSE)))</f>
        <v>24.5</v>
      </c>
      <c r="D447" s="937">
        <f t="shared" si="1"/>
        <v>0</v>
      </c>
      <c r="E447" s="937" t="str">
        <f>IF(D447&lt;'PlayerGrades+'!$AA$21,"F-",IF(D447&lt;'PlayerGrades+'!$AA$20,"F",IF(D447&lt;'PlayerGrades+'!$AA$19,"F+",IF(D447&lt;'PlayerGrades+'!$AA$18,"E-",IF(D447&lt;'PlayerGrades+'!$AA$17,"E",IF(D447&lt;'PlayerGrades+'!$AA$16,"E+",IF(D447&lt;'PlayerGrades+'!$AA$15,"D-",IF(D447&lt;'PlayerGrades+'!$AA$14,"D",IF(D447&lt;'PlayerGrades+'!$AA$13,"D+",IF(D447&lt;'PlayerGrades+'!$AA$12,"C-",IF(D447&lt;'PlayerGrades+'!$AA$11,"C",IF(D447&lt;'PlayerGrades+'!$AA$10,"C+",IF(D447&lt;'PlayerGrades+'!$AA$9,"B-",IF(D447&lt;'PlayerGrades+'!$AA$8,"B",IF(D447&lt;'PlayerGrades+'!$AA$7,"B+",IF(D447&lt;'PlayerGrades+'!$AA$6,"A-",IF(D447&lt;'PlayerGrades+'!$AA$5,"A",IF(D447&lt;'PlayerGrades+'!$AA$4,"A+",IF(D447&lt;'PlayerGrades+'!$AA$3,"S-",IF(D447&lt;'PlayerGrades+'!$AA$2,"S","S+"))))))))))))))))))))</f>
        <v>F-</v>
      </c>
      <c r="F447" s="937">
        <f t="shared" si="2"/>
        <v>0.7506702413</v>
      </c>
      <c r="G447" s="937" t="str">
        <f>IF(F447&lt;'PlayerGrades+'!$AB$21,"F-",IF(F447&lt;'PlayerGrades+'!$AB$20,"F",IF(F447&lt;'PlayerGrades+'!$AB$19,"F+",IF(F447&lt;'PlayerGrades+'!$AB$18,"E-",IF(F447&lt;'PlayerGrades+'!$AB$17,"E",IF(F447&lt;'PlayerGrades+'!$AB$16,"E+",IF(F447&lt;'PlayerGrades+'!$AB$15,"D-",IF(F447&lt;'PlayerGrades+'!$AB$14,"D",IF(F447&lt;'PlayerGrades+'!$AB$13,"D+",IF(F447&lt;'PlayerGrades+'!$AB$12,"C-",IF(F447&lt;'PlayerGrades+'!$AB$11,"C",IF(F447&lt;'PlayerGrades+'!$AB$10,"C+",IF(F447&lt;'PlayerGrades+'!$AB$9,"B-",IF(F447&lt;'PlayerGrades+'!$AB$8,"B",IF(F447&lt;'PlayerGrades+'!$AB$7,"B+",IF(F447&lt;'PlayerGrades+'!$AB$6,"A-",IF(F447&lt;'PlayerGrades+'!$AB$5,"A",IF(F447&lt;'PlayerGrades+'!$AB$4,"A+",IF(F447&lt;'PlayerGrades+'!$AB$3,"S-",IF(F447&lt;'PlayerGrades+'!$AB$2,"S","S+"))))))))))))))))))))</f>
        <v>S</v>
      </c>
      <c r="H447" s="937">
        <f t="shared" si="3"/>
        <v>0.1072386059</v>
      </c>
      <c r="I447" s="937" t="str">
        <f>IF(H447&lt;'PlayerGrades+'!$AC$21,"F-",IF(H447&lt;'PlayerGrades+'!$AC$20,"F",IF(H447&lt;'PlayerGrades+'!$AC$19,"F+",IF(H447&lt;'PlayerGrades+'!$AC$18,"E-",IF(H447&lt;'PlayerGrades+'!$AC$17,"E",IF(H447&lt;'PlayerGrades+'!$AC$16,"E+",IF(H447&lt;'PlayerGrades+'!$AC$15,"D-",IF(H447&lt;'PlayerGrades+'!$AC$14,"D",IF(H447&lt;'PlayerGrades+'!$AC$13,"D+",IF(H447&lt;'PlayerGrades+'!$AC$12,"C-",IF(H447&lt;'PlayerGrades+'!$AC$11,"C",IF(H447&lt;'PlayerGrades+'!$AC$10,"C+",IF(H447&lt;'PlayerGrades+'!$AC$9,"B-",IF(H447&lt;'PlayerGrades+'!$AC$8,"B",IF(H447&lt;'PlayerGrades+'!$AC$7,"B+",IF(H447&lt;'PlayerGrades+'!$AC$6,"A-",IF(H447&lt;'PlayerGrades+'!$AC$5,"A",IF(H447&lt;'PlayerGrades+'!$AC$4,"A+",IF(H447&lt;'PlayerGrades+'!$AC$3,"S-",IF(H447&lt;'PlayerGrades+'!$AC$2,"S","S+"))))))))))))))))))))</f>
        <v>C-</v>
      </c>
      <c r="J447" s="937">
        <f t="shared" si="4"/>
        <v>0.05361930295</v>
      </c>
      <c r="K447" s="937" t="str">
        <f>IF(J447&lt;'PlayerGrades+'!$AD$21,"F-",IF(J447&lt;'PlayerGrades+'!$AD$20,"F",IF(J447&lt;'PlayerGrades+'!$AD$19,"F+",IF(J447&lt;'PlayerGrades+'!$AD$18,"E-",IF(J447&lt;'PlayerGrades+'!$AD$17,"E",IF(J447&lt;'PlayerGrades+'!$AD$16,"E+",IF(J447&lt;'PlayerGrades+'!$AD$15,"D-",IF(J447&lt;'PlayerGrades+'!$AD$14,"D",IF(J447&lt;'PlayerGrades+'!$AD$13,"D+",IF(J447&lt;'PlayerGrades+'!$AD$12,"C-",IF(J447&lt;'PlayerGrades+'!$AD$11,"C",IF(J447&lt;'PlayerGrades+'!$AD$10,"C+",IF(J447&lt;'PlayerGrades+'!$AD$9,"B-",IF(J447&lt;'PlayerGrades+'!$AD$8,"B",IF(J447&lt;'PlayerGrades+'!$AD$7,"B+",IF(J447&lt;'PlayerGrades+'!$AD$6,"A-",IF(J447&lt;'PlayerGrades+'!$AD$5,"A",IF(J447&lt;'PlayerGrades+'!$AD$4,"A+",IF(J447&lt;'PlayerGrades+'!$AD$3,"S-",IF(J447&lt;'PlayerGrades+'!$AD$2,"S","S+"))))))))))))))))))))</f>
        <v>B+</v>
      </c>
      <c r="L447" s="677">
        <f t="shared" si="5"/>
        <v>0.4468275246</v>
      </c>
      <c r="M447" s="938" t="str">
        <f>IF(L447&lt;'PlayerGrades+'!$AE$21,"F-",IF(L447&lt;'PlayerGrades+'!$AE$20,"F",IF(L447&lt;'PlayerGrades+'!$AE$19,"F+",IF(L447&lt;'PlayerGrades+'!$AE$18,"E-",IF(L447&lt;'PlayerGrades+'!$AE$17,"E",IF(L447&lt;'PlayerGrades+'!$AE$16,"E+",IF(L447&lt;'PlayerGrades+'!$AE$15,"D-",IF(L447&lt;'PlayerGrades+'!$AE$14,"D",IF(L447&lt;'PlayerGrades+'!$AE$13,"D+",IF(L447&lt;'PlayerGrades+'!$AE$12,"C-",IF(L447&lt;'PlayerGrades+'!$AE$11,"C",IF(L447&lt;'PlayerGrades+'!$AE$10,"C+",IF(L447&lt;'PlayerGrades+'!$AE$9,"B-",IF(L447&lt;'PlayerGrades+'!$AE$8,"B",IF(L447&lt;'PlayerGrades+'!$AE$7,"B+",IF(L447&lt;'PlayerGrades+'!$AE$6,"A-",IF(L447&lt;'PlayerGrades+'!$AE$5,"A",IF(L447&lt;'PlayerGrades+'!$AE$4,"A+",IF(L447&lt;'PlayerGrades+'!$AE$3,"S-",IF(L447&lt;'PlayerGrades+'!$AE$2,"S","S+"))))))))))))))))))))</f>
        <v>B</v>
      </c>
      <c r="N447" s="937">
        <f t="shared" si="6"/>
        <v>0.1429848079</v>
      </c>
      <c r="O447" s="937" t="str">
        <f>IF(N447&lt;'PlayerGrades+'!$AF$21,"F-",IF(N447&lt;'PlayerGrades+'!$AF$20,"F",IF(N447&lt;'PlayerGrades+'!$AF$19,"F+",IF(N447&lt;'PlayerGrades+'!$AF$18,"E-",IF(N447&lt;'PlayerGrades+'!$AF$17,"E",IF(N447&lt;'PlayerGrades+'!$AF$16,"E+",IF(N447&lt;'PlayerGrades+'!$AF$15,"D-",IF(N447&lt;'PlayerGrades+'!$AF$14,"D",IF(N447&lt;'PlayerGrades+'!$AF$13,"D+",IF(N447&lt;'PlayerGrades+'!$AF$12,"C-",IF(N447&lt;'PlayerGrades+'!$AF$11,"C",IF(N447&lt;'PlayerGrades+'!$AF$10,"C+",IF(N447&lt;'PlayerGrades+'!$AF$9,"B-",IF(N447&lt;'PlayerGrades+'!$AF$8,"B",IF(N447&lt;'PlayerGrades+'!$AF$7,"B+",IF(N447&lt;'PlayerGrades+'!$AF$6,"A-",IF(N447&lt;'PlayerGrades+'!$AF$5,"A",IF(N447&lt;'PlayerGrades+'!$AF$4,"A+",IF(N447&lt;'PlayerGrades+'!$AF$3,"S-",IF(N447&lt;'PlayerGrades+'!$AF$2,"S","S+"))))))))))))))))))))</f>
        <v>S</v>
      </c>
      <c r="P447" s="937">
        <f t="shared" si="7"/>
        <v>0.05361930295</v>
      </c>
      <c r="Q447" s="937" t="str">
        <f>IF(P447&lt;'PlayerGrades+'!$AG$21,"F-",IF(P447&lt;'PlayerGrades+'!$AG$20,"F",IF(P447&lt;'PlayerGrades+'!$AG$19,"F+",IF(P447&lt;'PlayerGrades+'!$AG$18,"E-",IF(P447&lt;'PlayerGrades+'!$AG$17,"E",IF(P447&lt;'PlayerGrades+'!$AG$16,"E+",IF(P447&lt;'PlayerGrades+'!$AG$15,"D-",IF(P447&lt;'PlayerGrades+'!$AG$14,"D",IF(P447&lt;'PlayerGrades+'!$AG$13,"D+",IF(P447&lt;'PlayerGrades+'!$AG$12,"C-",IF(P447&lt;'PlayerGrades+'!$AG$11,"C",IF(P447&lt;'PlayerGrades+'!$AG$10,"C+",IF(P447&lt;'PlayerGrades+'!$AG$9,"B-",IF(P447&lt;'PlayerGrades+'!$AG$8,"B",IF(P447&lt;'PlayerGrades+'!$AG$7,"B+",IF(P447&lt;'PlayerGrades+'!$AG$6,"A-",IF(P447&lt;'PlayerGrades+'!$AG$5,"A",IF(P447&lt;'PlayerGrades+'!$AG$4,"A+",IF(P447&lt;'PlayerGrades+'!$AG$3,"S-",IF(P447&lt;'PlayerGrades+'!$AG$2,"S","S+"))))))))))))))))))))</f>
        <v>A</v>
      </c>
      <c r="R447" s="937">
        <f t="shared" si="8"/>
        <v>0.5719392315</v>
      </c>
      <c r="S447" s="937" t="str">
        <f>IF(R447&lt;'PlayerGrades+'!$AH$21,"F-",IF(R447&lt;'PlayerGrades+'!$AH$20,"F",IF(R447&lt;'PlayerGrades+'!$AH$19,"F+",IF(R447&lt;'PlayerGrades+'!$AH$18,"E-",IF(R447&lt;'PlayerGrades+'!$AH$17,"E",IF(R447&lt;'PlayerGrades+'!$AH$16,"E+",IF(R447&lt;'PlayerGrades+'!$AH$15,"D-",IF(R447&lt;'PlayerGrades+'!$AH$14,"D",IF(R447&lt;'PlayerGrades+'!$AH$13,"D+",IF(R447&lt;'PlayerGrades+'!$AH$12,"C-",IF(R447&lt;'PlayerGrades+'!$AH$11,"C",IF(R447&lt;'PlayerGrades+'!$AH$10,"C+",IF(R447&lt;'PlayerGrades+'!$AH$9,"B-",IF(R447&lt;'PlayerGrades+'!$AH$8,"B",IF(R447&lt;'PlayerGrades+'!$AH$7,"B+",IF(R447&lt;'PlayerGrades+'!$AH$6,"A-",IF(R447&lt;'PlayerGrades+'!$AH$5,"A",IF(R447&lt;'PlayerGrades+'!$AH$4,"A+",IF(R447&lt;'PlayerGrades+'!$AH$3,"S-",IF(R447&lt;'PlayerGrades+'!$AH$2,"S","S+"))))))))))))))))))))</f>
        <v>B</v>
      </c>
      <c r="T447" s="937">
        <f t="shared" si="9"/>
        <v>0.4468275246</v>
      </c>
      <c r="U447" s="937" t="str">
        <f>IF(T447&lt;'PlayerGrades+'!$AI$21,"F-",IF(T447&lt;'PlayerGrades+'!$AI$20,"F",IF(T447&lt;'PlayerGrades+'!$AI$19,"F+",IF(T447&lt;'PlayerGrades+'!$AI$18,"E-",IF(T447&lt;'PlayerGrades+'!$AI$17,"E",IF(T447&lt;'PlayerGrades+'!$AI$16,"E+",IF(T447&lt;'PlayerGrades+'!$AI$15,"D-",IF(T447&lt;'PlayerGrades+'!$AI$14,"D",IF(T447&lt;'PlayerGrades+'!$AI$13,"D+",IF(T447&lt;'PlayerGrades+'!$AI$12,"C-",IF(T447&lt;'PlayerGrades+'!$AI$11,"C",IF(T447&lt;'PlayerGrades+'!$AI$10,"C+",IF(T447&lt;'PlayerGrades+'!$AI$9,"B-",IF(T447&lt;'PlayerGrades+'!$AI$8,"B",IF(T447&lt;'PlayerGrades+'!$AI$7,"B+",IF(T447&lt;'PlayerGrades+'!$AI$6,"A-",IF(T447&lt;'PlayerGrades+'!$AI$5,"A",IF(T447&lt;'PlayerGrades+'!$AI$4,"A+",IF(T447&lt;'PlayerGrades+'!$AI$3,"S-",IF(T447&lt;'PlayerGrades+'!$AI$2,"S","S+"))))))))))))))))))))</f>
        <v>F-</v>
      </c>
      <c r="V447" s="941">
        <v>1.0</v>
      </c>
      <c r="W447" s="941">
        <v>0.0</v>
      </c>
      <c r="X447" s="941">
        <v>1.0</v>
      </c>
      <c r="Y447" s="941">
        <v>0.0</v>
      </c>
      <c r="Z447" s="941">
        <v>0.0</v>
      </c>
      <c r="AA447" s="941">
        <v>192.0</v>
      </c>
      <c r="AB447" s="941">
        <v>150.0</v>
      </c>
      <c r="AC447" s="941">
        <v>42.0</v>
      </c>
      <c r="AD447" s="941">
        <v>10.0</v>
      </c>
      <c r="AE447" s="941">
        <v>6.0</v>
      </c>
      <c r="AF447" s="941">
        <v>2.0</v>
      </c>
      <c r="AG447" s="941">
        <v>2831.0</v>
      </c>
      <c r="AH447" s="941">
        <v>3357.0</v>
      </c>
      <c r="AI447" s="941">
        <v>18.0</v>
      </c>
      <c r="AJ447" s="941">
        <v>26.0</v>
      </c>
      <c r="AK447" s="941">
        <v>0.0</v>
      </c>
      <c r="AL447" s="941">
        <v>3.0</v>
      </c>
      <c r="AM447" s="941">
        <v>0.0</v>
      </c>
      <c r="AN447" s="941">
        <v>0.0</v>
      </c>
      <c r="AO447" s="941">
        <v>0.0</v>
      </c>
      <c r="AP447" s="941">
        <v>3.0</v>
      </c>
      <c r="AQ447" s="941">
        <v>0.0</v>
      </c>
      <c r="AR447" s="941">
        <v>25.0</v>
      </c>
      <c r="AS447" s="941">
        <v>8.0</v>
      </c>
      <c r="AT447" s="941">
        <v>2.0</v>
      </c>
      <c r="AU447" s="941">
        <v>1.0</v>
      </c>
      <c r="AV447" s="941">
        <v>0.0</v>
      </c>
      <c r="AW447" s="941">
        <v>0.0</v>
      </c>
      <c r="AX447" s="941">
        <v>0.0</v>
      </c>
      <c r="AY447" s="941">
        <v>0.0</v>
      </c>
      <c r="AZ447" s="941">
        <v>0.0</v>
      </c>
      <c r="BA447" s="941">
        <v>0.0</v>
      </c>
      <c r="BB447" s="941">
        <v>6.0</v>
      </c>
      <c r="BC447" s="941">
        <v>0.0</v>
      </c>
      <c r="BD447" s="941">
        <v>22.0</v>
      </c>
      <c r="BE447" s="941">
        <v>25.0</v>
      </c>
      <c r="BF447" s="941">
        <v>0.0</v>
      </c>
      <c r="BG447" s="942">
        <v>1.0</v>
      </c>
    </row>
    <row r="448">
      <c r="A448" s="935" t="s">
        <v>136</v>
      </c>
      <c r="B448" s="16" t="str">
        <f>IF(C448&lt;'PlayerGrades+'!$Y$44,"F-",IF(C448&lt;'PlayerGrades+'!$Y$43,"F",IF(C448&lt;'PlayerGrades+'!$Y$42,"F+",IF(C448&lt;'PlayerGrades+'!$Y$41,"E-",IF(C448&lt;'PlayerGrades+'!$Y$40,"E",IF(C448&lt;'PlayerGrades+'!$Y$39,"E+",IF(C448&lt;'PlayerGrades+'!$Y$38,"D-",IF(C448&lt;'PlayerGrades+'!$Y$37,"D",IF(C448&lt;'PlayerGrades+'!$Y$36,"D+",IF(C448&lt;'PlayerGrades+'!$Y$35,"C-",IF(C448&lt;'PlayerGrades+'!$Y$34,"C",IF(C448&lt;'PlayerGrades+'!$Y$33,"C+",IF(C448&lt;'PlayerGrades+'!$Y$32,"B-",IF(C448&lt;'PlayerGrades+'!$Y$31,"B",IF(C448&lt;'PlayerGrades+'!$Y$30,"B+",IF(C448&lt;'PlayerGrades+'!$Y$29,"A-",IF(C448&lt;'PlayerGrades+'!$Y$28,"A",IF(C448&lt;'PlayerGrades+'!$Y$27,"A+",IF(C448&lt;'PlayerGrades+'!$Y$26,"S-",IF(C448&lt;'PlayerGrades+'!$Y$25,"S","S+"))))))))))))))))))))</f>
        <v>D</v>
      </c>
      <c r="C448" s="936">
        <f>('PlayerGrades+'!$Y$47*(VLOOKUP(E448, 'PlayerGrades+'!$X$3:$Y$23, 2, FALSE)))+('PlayerGrades+'!$Y$48*(VLOOKUP(G448, 'PlayerGrades+'!$X$3:$Y$23, 2, FALSE)))+('PlayerGrades+'!$Y$49*(VLOOKUP(I448, 'PlayerGrades+'!$X$3:$Y$23, 2, FALSE)))+('PlayerGrades+'!$Y$50*(VLOOKUP(K448, 'PlayerGrades+'!$X$3:$Y$23, 2, FALSE)))+('PlayerGrades+'!$Y$51*(VLOOKUP(M448, 'PlayerGrades+'!$X$3:$Y$23, 2, FALSE)))+('PlayerGrades+'!$Y$52*(VLOOKUP(O448, 'PlayerGrades+'!$X$3:$Y$23, 2, FALSE)))+('PlayerGrades+'!$Y$53*(VLOOKUP(Q448, 'PlayerGrades+'!$X$3:$Y$23, 2, FALSE)))+('PlayerGrades+'!$Y$54*(VLOOKUP(S448, 'PlayerGrades+'!$X$3:$Y$23, 2, FALSE)))+('PlayerGrades+'!$Y$55*(VLOOKUP(U448, 'PlayerGrades+'!$X$3:$Y$23, 2, FALSE)))</f>
        <v>15.5</v>
      </c>
      <c r="D448" s="937">
        <f t="shared" si="1"/>
        <v>0</v>
      </c>
      <c r="E448" s="937" t="str">
        <f>IF(D448&lt;'PlayerGrades+'!$AA$21,"F-",IF(D448&lt;'PlayerGrades+'!$AA$20,"F",IF(D448&lt;'PlayerGrades+'!$AA$19,"F+",IF(D448&lt;'PlayerGrades+'!$AA$18,"E-",IF(D448&lt;'PlayerGrades+'!$AA$17,"E",IF(D448&lt;'PlayerGrades+'!$AA$16,"E+",IF(D448&lt;'PlayerGrades+'!$AA$15,"D-",IF(D448&lt;'PlayerGrades+'!$AA$14,"D",IF(D448&lt;'PlayerGrades+'!$AA$13,"D+",IF(D448&lt;'PlayerGrades+'!$AA$12,"C-",IF(D448&lt;'PlayerGrades+'!$AA$11,"C",IF(D448&lt;'PlayerGrades+'!$AA$10,"C+",IF(D448&lt;'PlayerGrades+'!$AA$9,"B-",IF(D448&lt;'PlayerGrades+'!$AA$8,"B",IF(D448&lt;'PlayerGrades+'!$AA$7,"B+",IF(D448&lt;'PlayerGrades+'!$AA$6,"A-",IF(D448&lt;'PlayerGrades+'!$AA$5,"A",IF(D448&lt;'PlayerGrades+'!$AA$4,"A+",IF(D448&lt;'PlayerGrades+'!$AA$3,"S-",IF(D448&lt;'PlayerGrades+'!$AA$2,"S","S+"))))))))))))))))))))</f>
        <v>F-</v>
      </c>
      <c r="F448" s="937">
        <f t="shared" si="2"/>
        <v>-0.7685433423</v>
      </c>
      <c r="G448" s="937" t="str">
        <f>IF(F448&lt;'PlayerGrades+'!$AB$21,"F-",IF(F448&lt;'PlayerGrades+'!$AB$20,"F",IF(F448&lt;'PlayerGrades+'!$AB$19,"F+",IF(F448&lt;'PlayerGrades+'!$AB$18,"E-",IF(F448&lt;'PlayerGrades+'!$AB$17,"E",IF(F448&lt;'PlayerGrades+'!$AB$16,"E+",IF(F448&lt;'PlayerGrades+'!$AB$15,"D-",IF(F448&lt;'PlayerGrades+'!$AB$14,"D",IF(F448&lt;'PlayerGrades+'!$AB$13,"D+",IF(F448&lt;'PlayerGrades+'!$AB$12,"C-",IF(F448&lt;'PlayerGrades+'!$AB$11,"C",IF(F448&lt;'PlayerGrades+'!$AB$10,"C+",IF(F448&lt;'PlayerGrades+'!$AB$9,"B-",IF(F448&lt;'PlayerGrades+'!$AB$8,"B",IF(F448&lt;'PlayerGrades+'!$AB$7,"B+",IF(F448&lt;'PlayerGrades+'!$AB$6,"A-",IF(F448&lt;'PlayerGrades+'!$AB$5,"A",IF(F448&lt;'PlayerGrades+'!$AB$4,"A+",IF(F448&lt;'PlayerGrades+'!$AB$3,"S-",IF(F448&lt;'PlayerGrades+'!$AB$2,"S","S+"))))))))))))))))))))</f>
        <v>E</v>
      </c>
      <c r="H448" s="937">
        <f t="shared" si="3"/>
        <v>0.05361930295</v>
      </c>
      <c r="I448" s="937" t="str">
        <f>IF(H448&lt;'PlayerGrades+'!$AC$21,"F-",IF(H448&lt;'PlayerGrades+'!$AC$20,"F",IF(H448&lt;'PlayerGrades+'!$AC$19,"F+",IF(H448&lt;'PlayerGrades+'!$AC$18,"E-",IF(H448&lt;'PlayerGrades+'!$AC$17,"E",IF(H448&lt;'PlayerGrades+'!$AC$16,"E+",IF(H448&lt;'PlayerGrades+'!$AC$15,"D-",IF(H448&lt;'PlayerGrades+'!$AC$14,"D",IF(H448&lt;'PlayerGrades+'!$AC$13,"D+",IF(H448&lt;'PlayerGrades+'!$AC$12,"C-",IF(H448&lt;'PlayerGrades+'!$AC$11,"C",IF(H448&lt;'PlayerGrades+'!$AC$10,"C+",IF(H448&lt;'PlayerGrades+'!$AC$9,"B-",IF(H448&lt;'PlayerGrades+'!$AC$8,"B",IF(H448&lt;'PlayerGrades+'!$AC$7,"B+",IF(H448&lt;'PlayerGrades+'!$AC$6,"A-",IF(H448&lt;'PlayerGrades+'!$AC$5,"A",IF(H448&lt;'PlayerGrades+'!$AC$4,"A+",IF(H448&lt;'PlayerGrades+'!$AC$3,"S-",IF(H448&lt;'PlayerGrades+'!$AC$2,"S","S+"))))))))))))))))))))</f>
        <v>F+</v>
      </c>
      <c r="J448" s="937">
        <f t="shared" si="4"/>
        <v>0.01787310098</v>
      </c>
      <c r="K448" s="937" t="str">
        <f>IF(J448&lt;'PlayerGrades+'!$AD$21,"F-",IF(J448&lt;'PlayerGrades+'!$AD$20,"F",IF(J448&lt;'PlayerGrades+'!$AD$19,"F+",IF(J448&lt;'PlayerGrades+'!$AD$18,"E-",IF(J448&lt;'PlayerGrades+'!$AD$17,"E",IF(J448&lt;'PlayerGrades+'!$AD$16,"E+",IF(J448&lt;'PlayerGrades+'!$AD$15,"D-",IF(J448&lt;'PlayerGrades+'!$AD$14,"D",IF(J448&lt;'PlayerGrades+'!$AD$13,"D+",IF(J448&lt;'PlayerGrades+'!$AD$12,"C-",IF(J448&lt;'PlayerGrades+'!$AD$11,"C",IF(J448&lt;'PlayerGrades+'!$AD$10,"C+",IF(J448&lt;'PlayerGrades+'!$AD$9,"B-",IF(J448&lt;'PlayerGrades+'!$AD$8,"B",IF(J448&lt;'PlayerGrades+'!$AD$7,"B+",IF(J448&lt;'PlayerGrades+'!$AD$6,"A-",IF(J448&lt;'PlayerGrades+'!$AD$5,"A",IF(J448&lt;'PlayerGrades+'!$AD$4,"A+",IF(J448&lt;'PlayerGrades+'!$AD$3,"S-",IF(J448&lt;'PlayerGrades+'!$AD$2,"S","S+"))))))))))))))))))))</f>
        <v>E</v>
      </c>
      <c r="L448" s="677">
        <f t="shared" si="5"/>
        <v>0.6434316354</v>
      </c>
      <c r="M448" s="938" t="str">
        <f>IF(L448&lt;'PlayerGrades+'!$AE$21,"F-",IF(L448&lt;'PlayerGrades+'!$AE$20,"F",IF(L448&lt;'PlayerGrades+'!$AE$19,"F+",IF(L448&lt;'PlayerGrades+'!$AE$18,"E-",IF(L448&lt;'PlayerGrades+'!$AE$17,"E",IF(L448&lt;'PlayerGrades+'!$AE$16,"E+",IF(L448&lt;'PlayerGrades+'!$AE$15,"D-",IF(L448&lt;'PlayerGrades+'!$AE$14,"D",IF(L448&lt;'PlayerGrades+'!$AE$13,"D+",IF(L448&lt;'PlayerGrades+'!$AE$12,"C-",IF(L448&lt;'PlayerGrades+'!$AE$11,"C",IF(L448&lt;'PlayerGrades+'!$AE$10,"C+",IF(L448&lt;'PlayerGrades+'!$AE$9,"B-",IF(L448&lt;'PlayerGrades+'!$AE$8,"B",IF(L448&lt;'PlayerGrades+'!$AE$7,"B+",IF(L448&lt;'PlayerGrades+'!$AE$6,"A-",IF(L448&lt;'PlayerGrades+'!$AE$5,"A",IF(L448&lt;'PlayerGrades+'!$AE$4,"A+",IF(L448&lt;'PlayerGrades+'!$AE$3,"S-",IF(L448&lt;'PlayerGrades+'!$AE$2,"S","S+"))))))))))))))))))))</f>
        <v>S</v>
      </c>
      <c r="N448" s="937">
        <f t="shared" si="6"/>
        <v>0.07149240393</v>
      </c>
      <c r="O448" s="937" t="str">
        <f>IF(N448&lt;'PlayerGrades+'!$AF$21,"F-",IF(N448&lt;'PlayerGrades+'!$AF$20,"F",IF(N448&lt;'PlayerGrades+'!$AF$19,"F+",IF(N448&lt;'PlayerGrades+'!$AF$18,"E-",IF(N448&lt;'PlayerGrades+'!$AF$17,"E",IF(N448&lt;'PlayerGrades+'!$AF$16,"E+",IF(N448&lt;'PlayerGrades+'!$AF$15,"D-",IF(N448&lt;'PlayerGrades+'!$AF$14,"D",IF(N448&lt;'PlayerGrades+'!$AF$13,"D+",IF(N448&lt;'PlayerGrades+'!$AF$12,"C-",IF(N448&lt;'PlayerGrades+'!$AF$11,"C",IF(N448&lt;'PlayerGrades+'!$AF$10,"C+",IF(N448&lt;'PlayerGrades+'!$AF$9,"B-",IF(N448&lt;'PlayerGrades+'!$AF$8,"B",IF(N448&lt;'PlayerGrades+'!$AF$7,"B+",IF(N448&lt;'PlayerGrades+'!$AF$6,"A-",IF(N448&lt;'PlayerGrades+'!$AF$5,"A",IF(N448&lt;'PlayerGrades+'!$AF$4,"A+",IF(N448&lt;'PlayerGrades+'!$AF$3,"S-",IF(N448&lt;'PlayerGrades+'!$AF$2,"S","S+"))))))))))))))))))))</f>
        <v>C+</v>
      </c>
      <c r="P448" s="937">
        <f t="shared" si="7"/>
        <v>0.01787310098</v>
      </c>
      <c r="Q448" s="937" t="str">
        <f>IF(P448&lt;'PlayerGrades+'!$AG$21,"F-",IF(P448&lt;'PlayerGrades+'!$AG$20,"F",IF(P448&lt;'PlayerGrades+'!$AG$19,"F+",IF(P448&lt;'PlayerGrades+'!$AG$18,"E-",IF(P448&lt;'PlayerGrades+'!$AG$17,"E",IF(P448&lt;'PlayerGrades+'!$AG$16,"E+",IF(P448&lt;'PlayerGrades+'!$AG$15,"D-",IF(P448&lt;'PlayerGrades+'!$AG$14,"D",IF(P448&lt;'PlayerGrades+'!$AG$13,"D+",IF(P448&lt;'PlayerGrades+'!$AG$12,"C-",IF(P448&lt;'PlayerGrades+'!$AG$11,"C",IF(P448&lt;'PlayerGrades+'!$AG$10,"C+",IF(P448&lt;'PlayerGrades+'!$AG$9,"B-",IF(P448&lt;'PlayerGrades+'!$AG$8,"B",IF(P448&lt;'PlayerGrades+'!$AG$7,"B+",IF(P448&lt;'PlayerGrades+'!$AG$6,"A-",IF(P448&lt;'PlayerGrades+'!$AG$5,"A",IF(P448&lt;'PlayerGrades+'!$AG$4,"A+",IF(P448&lt;'PlayerGrades+'!$AG$3,"S-",IF(P448&lt;'PlayerGrades+'!$AG$2,"S","S+"))))))))))))))))))))</f>
        <v>D+</v>
      </c>
      <c r="R448" s="937">
        <f t="shared" si="8"/>
        <v>0.4289544236</v>
      </c>
      <c r="S448" s="937" t="str">
        <f>IF(R448&lt;'PlayerGrades+'!$AH$21,"F-",IF(R448&lt;'PlayerGrades+'!$AH$20,"F",IF(R448&lt;'PlayerGrades+'!$AH$19,"F+",IF(R448&lt;'PlayerGrades+'!$AH$18,"E-",IF(R448&lt;'PlayerGrades+'!$AH$17,"E",IF(R448&lt;'PlayerGrades+'!$AH$16,"E+",IF(R448&lt;'PlayerGrades+'!$AH$15,"D-",IF(R448&lt;'PlayerGrades+'!$AH$14,"D",IF(R448&lt;'PlayerGrades+'!$AH$13,"D+",IF(R448&lt;'PlayerGrades+'!$AH$12,"C-",IF(R448&lt;'PlayerGrades+'!$AH$11,"C",IF(R448&lt;'PlayerGrades+'!$AH$10,"C+",IF(R448&lt;'PlayerGrades+'!$AH$9,"B-",IF(R448&lt;'PlayerGrades+'!$AH$8,"B",IF(R448&lt;'PlayerGrades+'!$AH$7,"B+",IF(R448&lt;'PlayerGrades+'!$AH$6,"A-",IF(R448&lt;'PlayerGrades+'!$AH$5,"A",IF(R448&lt;'PlayerGrades+'!$AH$4,"A+",IF(R448&lt;'PlayerGrades+'!$AH$3,"S-",IF(R448&lt;'PlayerGrades+'!$AH$2,"S","S+"))))))))))))))))))))</f>
        <v>F+</v>
      </c>
      <c r="T448" s="937">
        <f t="shared" si="9"/>
        <v>1.73279714</v>
      </c>
      <c r="U448" s="937" t="str">
        <f>IF(T448&lt;'PlayerGrades+'!$AI$21,"F-",IF(T448&lt;'PlayerGrades+'!$AI$20,"F",IF(T448&lt;'PlayerGrades+'!$AI$19,"F+",IF(T448&lt;'PlayerGrades+'!$AI$18,"E-",IF(T448&lt;'PlayerGrades+'!$AI$17,"E",IF(T448&lt;'PlayerGrades+'!$AI$16,"E+",IF(T448&lt;'PlayerGrades+'!$AI$15,"D-",IF(T448&lt;'PlayerGrades+'!$AI$14,"D",IF(T448&lt;'PlayerGrades+'!$AI$13,"D+",IF(T448&lt;'PlayerGrades+'!$AI$12,"C-",IF(T448&lt;'PlayerGrades+'!$AI$11,"C",IF(T448&lt;'PlayerGrades+'!$AI$10,"C+",IF(T448&lt;'PlayerGrades+'!$AI$9,"B-",IF(T448&lt;'PlayerGrades+'!$AI$8,"B",IF(T448&lt;'PlayerGrades+'!$AI$7,"B+",IF(T448&lt;'PlayerGrades+'!$AI$6,"A-",IF(T448&lt;'PlayerGrades+'!$AI$5,"A",IF(T448&lt;'PlayerGrades+'!$AI$4,"A+",IF(T448&lt;'PlayerGrades+'!$AI$3,"S-",IF(T448&lt;'PlayerGrades+'!$AI$2,"S","S+"))))))))))))))))))))</f>
        <v>S</v>
      </c>
      <c r="V448" s="941">
        <v>1.0</v>
      </c>
      <c r="W448" s="941">
        <v>0.0</v>
      </c>
      <c r="X448" s="941">
        <v>1.0</v>
      </c>
      <c r="Y448" s="941">
        <v>0.0</v>
      </c>
      <c r="Z448" s="941">
        <v>0.0</v>
      </c>
      <c r="AA448" s="941">
        <v>221.0</v>
      </c>
      <c r="AB448" s="941">
        <v>264.0</v>
      </c>
      <c r="AC448" s="941">
        <v>-43.0</v>
      </c>
      <c r="AD448" s="941">
        <v>8.0</v>
      </c>
      <c r="AE448" s="941">
        <v>6.0</v>
      </c>
      <c r="AF448" s="941">
        <v>4.0</v>
      </c>
      <c r="AG448" s="941">
        <v>2487.0</v>
      </c>
      <c r="AH448" s="941">
        <v>3357.0</v>
      </c>
      <c r="AI448" s="941">
        <v>9.0</v>
      </c>
      <c r="AJ448" s="941">
        <v>21.0</v>
      </c>
      <c r="AK448" s="941">
        <v>0.0</v>
      </c>
      <c r="AL448" s="941">
        <v>1.0</v>
      </c>
      <c r="AM448" s="941">
        <v>0.0</v>
      </c>
      <c r="AN448" s="941">
        <v>0.0</v>
      </c>
      <c r="AO448" s="941">
        <v>0.0</v>
      </c>
      <c r="AP448" s="941">
        <v>1.0</v>
      </c>
      <c r="AQ448" s="941">
        <v>0.0</v>
      </c>
      <c r="AR448" s="941">
        <v>36.0</v>
      </c>
      <c r="AS448" s="941">
        <v>4.0</v>
      </c>
      <c r="AT448" s="941">
        <v>1.0</v>
      </c>
      <c r="AU448" s="941">
        <v>0.0</v>
      </c>
      <c r="AV448" s="941">
        <v>0.0</v>
      </c>
      <c r="AW448" s="941">
        <v>0.0</v>
      </c>
      <c r="AX448" s="941">
        <v>0.0</v>
      </c>
      <c r="AY448" s="941">
        <v>0.0</v>
      </c>
      <c r="AZ448" s="941">
        <v>0.0</v>
      </c>
      <c r="BA448" s="941">
        <v>0.0</v>
      </c>
      <c r="BB448" s="941">
        <v>3.0</v>
      </c>
      <c r="BC448" s="941">
        <v>0.0</v>
      </c>
      <c r="BD448" s="941">
        <v>16.0</v>
      </c>
      <c r="BE448" s="941">
        <v>41.0</v>
      </c>
      <c r="BF448" s="941">
        <v>1.0</v>
      </c>
      <c r="BG448" s="942">
        <v>1.0</v>
      </c>
    </row>
    <row r="449">
      <c r="A449" s="935" t="s">
        <v>147</v>
      </c>
      <c r="B449" s="16" t="str">
        <f>IF(C449&lt;'PlayerGrades+'!$Y$44,"F-",IF(C449&lt;'PlayerGrades+'!$Y$43,"F",IF(C449&lt;'PlayerGrades+'!$Y$42,"F+",IF(C449&lt;'PlayerGrades+'!$Y$41,"E-",IF(C449&lt;'PlayerGrades+'!$Y$40,"E",IF(C449&lt;'PlayerGrades+'!$Y$39,"E+",IF(C449&lt;'PlayerGrades+'!$Y$38,"D-",IF(C449&lt;'PlayerGrades+'!$Y$37,"D",IF(C449&lt;'PlayerGrades+'!$Y$36,"D+",IF(C449&lt;'PlayerGrades+'!$Y$35,"C-",IF(C449&lt;'PlayerGrades+'!$Y$34,"C",IF(C449&lt;'PlayerGrades+'!$Y$33,"C+",IF(C449&lt;'PlayerGrades+'!$Y$32,"B-",IF(C449&lt;'PlayerGrades+'!$Y$31,"B",IF(C449&lt;'PlayerGrades+'!$Y$30,"B+",IF(C449&lt;'PlayerGrades+'!$Y$29,"A-",IF(C449&lt;'PlayerGrades+'!$Y$28,"A",IF(C449&lt;'PlayerGrades+'!$Y$27,"A+",IF(C449&lt;'PlayerGrades+'!$Y$26,"S-",IF(C449&lt;'PlayerGrades+'!$Y$25,"S","S+"))))))))))))))))))))</f>
        <v>F-</v>
      </c>
      <c r="C449" s="936">
        <f>('PlayerGrades+'!$Y$47*(VLOOKUP(E449, 'PlayerGrades+'!$X$3:$Y$23, 2, FALSE)))+('PlayerGrades+'!$Y$48*(VLOOKUP(G449, 'PlayerGrades+'!$X$3:$Y$23, 2, FALSE)))+('PlayerGrades+'!$Y$49*(VLOOKUP(I449, 'PlayerGrades+'!$X$3:$Y$23, 2, FALSE)))+('PlayerGrades+'!$Y$50*(VLOOKUP(K449, 'PlayerGrades+'!$X$3:$Y$23, 2, FALSE)))+('PlayerGrades+'!$Y$51*(VLOOKUP(M449, 'PlayerGrades+'!$X$3:$Y$23, 2, FALSE)))+('PlayerGrades+'!$Y$52*(VLOOKUP(O449, 'PlayerGrades+'!$X$3:$Y$23, 2, FALSE)))+('PlayerGrades+'!$Y$53*(VLOOKUP(Q449, 'PlayerGrades+'!$X$3:$Y$23, 2, FALSE)))+('PlayerGrades+'!$Y$54*(VLOOKUP(S449, 'PlayerGrades+'!$X$3:$Y$23, 2, FALSE)))+('PlayerGrades+'!$Y$55*(VLOOKUP(U449, 'PlayerGrades+'!$X$3:$Y$23, 2, FALSE)))</f>
        <v>7.85</v>
      </c>
      <c r="D449" s="937">
        <f t="shared" si="1"/>
        <v>0.01787310098</v>
      </c>
      <c r="E449" s="937" t="str">
        <f>IF(D449&lt;'PlayerGrades+'!$AA$21,"F-",IF(D449&lt;'PlayerGrades+'!$AA$20,"F",IF(D449&lt;'PlayerGrades+'!$AA$19,"F+",IF(D449&lt;'PlayerGrades+'!$AA$18,"E-",IF(D449&lt;'PlayerGrades+'!$AA$17,"E",IF(D449&lt;'PlayerGrades+'!$AA$16,"E+",IF(D449&lt;'PlayerGrades+'!$AA$15,"D-",IF(D449&lt;'PlayerGrades+'!$AA$14,"D",IF(D449&lt;'PlayerGrades+'!$AA$13,"D+",IF(D449&lt;'PlayerGrades+'!$AA$12,"C-",IF(D449&lt;'PlayerGrades+'!$AA$11,"C",IF(D449&lt;'PlayerGrades+'!$AA$10,"C+",IF(D449&lt;'PlayerGrades+'!$AA$9,"B-",IF(D449&lt;'PlayerGrades+'!$AA$8,"B",IF(D449&lt;'PlayerGrades+'!$AA$7,"B+",IF(D449&lt;'PlayerGrades+'!$AA$6,"A-",IF(D449&lt;'PlayerGrades+'!$AA$5,"A",IF(D449&lt;'PlayerGrades+'!$AA$4,"A+",IF(D449&lt;'PlayerGrades+'!$AA$3,"S-",IF(D449&lt;'PlayerGrades+'!$AA$2,"S","S+"))))))))))))))))))))</f>
        <v>F+</v>
      </c>
      <c r="F449" s="937">
        <f t="shared" si="2"/>
        <v>-1.126005362</v>
      </c>
      <c r="G449" s="937" t="str">
        <f>IF(F449&lt;'PlayerGrades+'!$AB$21,"F-",IF(F449&lt;'PlayerGrades+'!$AB$20,"F",IF(F449&lt;'PlayerGrades+'!$AB$19,"F+",IF(F449&lt;'PlayerGrades+'!$AB$18,"E-",IF(F449&lt;'PlayerGrades+'!$AB$17,"E",IF(F449&lt;'PlayerGrades+'!$AB$16,"E+",IF(F449&lt;'PlayerGrades+'!$AB$15,"D-",IF(F449&lt;'PlayerGrades+'!$AB$14,"D",IF(F449&lt;'PlayerGrades+'!$AB$13,"D+",IF(F449&lt;'PlayerGrades+'!$AB$12,"C-",IF(F449&lt;'PlayerGrades+'!$AB$11,"C",IF(F449&lt;'PlayerGrades+'!$AB$10,"C+",IF(F449&lt;'PlayerGrades+'!$AB$9,"B-",IF(F449&lt;'PlayerGrades+'!$AB$8,"B",IF(F449&lt;'PlayerGrades+'!$AB$7,"B+",IF(F449&lt;'PlayerGrades+'!$AB$6,"A-",IF(F449&lt;'PlayerGrades+'!$AB$5,"A",IF(F449&lt;'PlayerGrades+'!$AB$4,"A+",IF(F449&lt;'PlayerGrades+'!$AB$3,"S-",IF(F449&lt;'PlayerGrades+'!$AB$2,"S","S+"))))))))))))))))))))</f>
        <v>F-</v>
      </c>
      <c r="H449" s="937">
        <f t="shared" si="3"/>
        <v>0.1251117069</v>
      </c>
      <c r="I449" s="937" t="str">
        <f>IF(H449&lt;'PlayerGrades+'!$AC$21,"F-",IF(H449&lt;'PlayerGrades+'!$AC$20,"F",IF(H449&lt;'PlayerGrades+'!$AC$19,"F+",IF(H449&lt;'PlayerGrades+'!$AC$18,"E-",IF(H449&lt;'PlayerGrades+'!$AC$17,"E",IF(H449&lt;'PlayerGrades+'!$AC$16,"E+",IF(H449&lt;'PlayerGrades+'!$AC$15,"D-",IF(H449&lt;'PlayerGrades+'!$AC$14,"D",IF(H449&lt;'PlayerGrades+'!$AC$13,"D+",IF(H449&lt;'PlayerGrades+'!$AC$12,"C-",IF(H449&lt;'PlayerGrades+'!$AC$11,"C",IF(H449&lt;'PlayerGrades+'!$AC$10,"C+",IF(H449&lt;'PlayerGrades+'!$AC$9,"B-",IF(H449&lt;'PlayerGrades+'!$AC$8,"B",IF(H449&lt;'PlayerGrades+'!$AC$7,"B+",IF(H449&lt;'PlayerGrades+'!$AC$6,"A-",IF(H449&lt;'PlayerGrades+'!$AC$5,"A",IF(H449&lt;'PlayerGrades+'!$AC$4,"A+",IF(H449&lt;'PlayerGrades+'!$AC$3,"S-",IF(H449&lt;'PlayerGrades+'!$AC$2,"S","S+"))))))))))))))))))))</f>
        <v>B-</v>
      </c>
      <c r="J449" s="937">
        <f t="shared" si="4"/>
        <v>0</v>
      </c>
      <c r="K449" s="937" t="str">
        <f>IF(J449&lt;'PlayerGrades+'!$AD$21,"F-",IF(J449&lt;'PlayerGrades+'!$AD$20,"F",IF(J449&lt;'PlayerGrades+'!$AD$19,"F+",IF(J449&lt;'PlayerGrades+'!$AD$18,"E-",IF(J449&lt;'PlayerGrades+'!$AD$17,"E",IF(J449&lt;'PlayerGrades+'!$AD$16,"E+",IF(J449&lt;'PlayerGrades+'!$AD$15,"D-",IF(J449&lt;'PlayerGrades+'!$AD$14,"D",IF(J449&lt;'PlayerGrades+'!$AD$13,"D+",IF(J449&lt;'PlayerGrades+'!$AD$12,"C-",IF(J449&lt;'PlayerGrades+'!$AD$11,"C",IF(J449&lt;'PlayerGrades+'!$AD$10,"C+",IF(J449&lt;'PlayerGrades+'!$AD$9,"B-",IF(J449&lt;'PlayerGrades+'!$AD$8,"B",IF(J449&lt;'PlayerGrades+'!$AD$7,"B+",IF(J449&lt;'PlayerGrades+'!$AD$6,"A-",IF(J449&lt;'PlayerGrades+'!$AD$5,"A",IF(J449&lt;'PlayerGrades+'!$AD$4,"A+",IF(J449&lt;'PlayerGrades+'!$AD$3,"S-",IF(J449&lt;'PlayerGrades+'!$AD$2,"S","S+"))))))))))))))))))))</f>
        <v>F-</v>
      </c>
      <c r="L449" s="677">
        <f t="shared" si="5"/>
        <v>0.2502234138</v>
      </c>
      <c r="M449" s="938" t="str">
        <f>IF(L449&lt;'PlayerGrades+'!$AE$21,"F-",IF(L449&lt;'PlayerGrades+'!$AE$20,"F",IF(L449&lt;'PlayerGrades+'!$AE$19,"F+",IF(L449&lt;'PlayerGrades+'!$AE$18,"E-",IF(L449&lt;'PlayerGrades+'!$AE$17,"E",IF(L449&lt;'PlayerGrades+'!$AE$16,"E+",IF(L449&lt;'PlayerGrades+'!$AE$15,"D-",IF(L449&lt;'PlayerGrades+'!$AE$14,"D",IF(L449&lt;'PlayerGrades+'!$AE$13,"D+",IF(L449&lt;'PlayerGrades+'!$AE$12,"C-",IF(L449&lt;'PlayerGrades+'!$AE$11,"C",IF(L449&lt;'PlayerGrades+'!$AE$10,"C+",IF(L449&lt;'PlayerGrades+'!$AE$9,"B-",IF(L449&lt;'PlayerGrades+'!$AE$8,"B",IF(L449&lt;'PlayerGrades+'!$AE$7,"B+",IF(L449&lt;'PlayerGrades+'!$AE$6,"A-",IF(L449&lt;'PlayerGrades+'!$AE$5,"A",IF(L449&lt;'PlayerGrades+'!$AE$4,"A+",IF(L449&lt;'PlayerGrades+'!$AE$3,"S-",IF(L449&lt;'PlayerGrades+'!$AE$2,"S","S+"))))))))))))))))))))</f>
        <v>F</v>
      </c>
      <c r="N449" s="937">
        <f t="shared" si="6"/>
        <v>0.03574620197</v>
      </c>
      <c r="O449" s="937" t="str">
        <f>IF(N449&lt;'PlayerGrades+'!$AF$21,"F-",IF(N449&lt;'PlayerGrades+'!$AF$20,"F",IF(N449&lt;'PlayerGrades+'!$AF$19,"F+",IF(N449&lt;'PlayerGrades+'!$AF$18,"E-",IF(N449&lt;'PlayerGrades+'!$AF$17,"E",IF(N449&lt;'PlayerGrades+'!$AF$16,"E+",IF(N449&lt;'PlayerGrades+'!$AF$15,"D-",IF(N449&lt;'PlayerGrades+'!$AF$14,"D",IF(N449&lt;'PlayerGrades+'!$AF$13,"D+",IF(N449&lt;'PlayerGrades+'!$AF$12,"C-",IF(N449&lt;'PlayerGrades+'!$AF$11,"C",IF(N449&lt;'PlayerGrades+'!$AF$10,"C+",IF(N449&lt;'PlayerGrades+'!$AF$9,"B-",IF(N449&lt;'PlayerGrades+'!$AF$8,"B",IF(N449&lt;'PlayerGrades+'!$AF$7,"B+",IF(N449&lt;'PlayerGrades+'!$AF$6,"A-",IF(N449&lt;'PlayerGrades+'!$AF$5,"A",IF(N449&lt;'PlayerGrades+'!$AF$4,"A+",IF(N449&lt;'PlayerGrades+'!$AF$3,"S-",IF(N449&lt;'PlayerGrades+'!$AF$2,"S","S+"))))))))))))))))))))</f>
        <v>F+</v>
      </c>
      <c r="P449" s="937">
        <f t="shared" si="7"/>
        <v>0</v>
      </c>
      <c r="Q449" s="937" t="str">
        <f>IF(P449&lt;'PlayerGrades+'!$AG$21,"F-",IF(P449&lt;'PlayerGrades+'!$AG$20,"F",IF(P449&lt;'PlayerGrades+'!$AG$19,"F+",IF(P449&lt;'PlayerGrades+'!$AG$18,"E-",IF(P449&lt;'PlayerGrades+'!$AG$17,"E",IF(P449&lt;'PlayerGrades+'!$AG$16,"E+",IF(P449&lt;'PlayerGrades+'!$AG$15,"D-",IF(P449&lt;'PlayerGrades+'!$AG$14,"D",IF(P449&lt;'PlayerGrades+'!$AG$13,"D+",IF(P449&lt;'PlayerGrades+'!$AG$12,"C-",IF(P449&lt;'PlayerGrades+'!$AG$11,"C",IF(P449&lt;'PlayerGrades+'!$AG$10,"C+",IF(P449&lt;'PlayerGrades+'!$AG$9,"B-",IF(P449&lt;'PlayerGrades+'!$AG$8,"B",IF(P449&lt;'PlayerGrades+'!$AG$7,"B+",IF(P449&lt;'PlayerGrades+'!$AG$6,"A-",IF(P449&lt;'PlayerGrades+'!$AG$5,"A",IF(P449&lt;'PlayerGrades+'!$AG$4,"A+",IF(P449&lt;'PlayerGrades+'!$AG$3,"S-",IF(P449&lt;'PlayerGrades+'!$AG$2,"S","S+"))))))))))))))))))))</f>
        <v>F</v>
      </c>
      <c r="R449" s="937">
        <f t="shared" si="8"/>
        <v>0.4647006256</v>
      </c>
      <c r="S449" s="937" t="str">
        <f>IF(R449&lt;'PlayerGrades+'!$AH$21,"F-",IF(R449&lt;'PlayerGrades+'!$AH$20,"F",IF(R449&lt;'PlayerGrades+'!$AH$19,"F+",IF(R449&lt;'PlayerGrades+'!$AH$18,"E-",IF(R449&lt;'PlayerGrades+'!$AH$17,"E",IF(R449&lt;'PlayerGrades+'!$AH$16,"E+",IF(R449&lt;'PlayerGrades+'!$AH$15,"D-",IF(R449&lt;'PlayerGrades+'!$AH$14,"D",IF(R449&lt;'PlayerGrades+'!$AH$13,"D+",IF(R449&lt;'PlayerGrades+'!$AH$12,"C-",IF(R449&lt;'PlayerGrades+'!$AH$11,"C",IF(R449&lt;'PlayerGrades+'!$AH$10,"C+",IF(R449&lt;'PlayerGrades+'!$AH$9,"B-",IF(R449&lt;'PlayerGrades+'!$AH$8,"B",IF(R449&lt;'PlayerGrades+'!$AH$7,"B+",IF(R449&lt;'PlayerGrades+'!$AH$6,"A-",IF(R449&lt;'PlayerGrades+'!$AH$5,"A",IF(R449&lt;'PlayerGrades+'!$AH$4,"A+",IF(R449&lt;'PlayerGrades+'!$AH$3,"S-",IF(R449&lt;'PlayerGrades+'!$AH$2,"S","S+"))))))))))))))))))))</f>
        <v>E-</v>
      </c>
      <c r="T449" s="937">
        <f t="shared" si="9"/>
        <v>0.3395889187</v>
      </c>
      <c r="U449" s="937" t="str">
        <f>IF(T449&lt;'PlayerGrades+'!$AI$21,"F-",IF(T449&lt;'PlayerGrades+'!$AI$20,"F",IF(T449&lt;'PlayerGrades+'!$AI$19,"F+",IF(T449&lt;'PlayerGrades+'!$AI$18,"E-",IF(T449&lt;'PlayerGrades+'!$AI$17,"E",IF(T449&lt;'PlayerGrades+'!$AI$16,"E+",IF(T449&lt;'PlayerGrades+'!$AI$15,"D-",IF(T449&lt;'PlayerGrades+'!$AI$14,"D",IF(T449&lt;'PlayerGrades+'!$AI$13,"D+",IF(T449&lt;'PlayerGrades+'!$AI$12,"C-",IF(T449&lt;'PlayerGrades+'!$AI$11,"C",IF(T449&lt;'PlayerGrades+'!$AI$10,"C+",IF(T449&lt;'PlayerGrades+'!$AI$9,"B-",IF(T449&lt;'PlayerGrades+'!$AI$8,"B",IF(T449&lt;'PlayerGrades+'!$AI$7,"B+",IF(T449&lt;'PlayerGrades+'!$AI$6,"A-",IF(T449&lt;'PlayerGrades+'!$AI$5,"A",IF(T449&lt;'PlayerGrades+'!$AI$4,"A+",IF(T449&lt;'PlayerGrades+'!$AI$3,"S-",IF(T449&lt;'PlayerGrades+'!$AI$2,"S","S+"))))))))))))))))))))</f>
        <v>F-</v>
      </c>
      <c r="V449" s="941">
        <v>1.0</v>
      </c>
      <c r="W449" s="941">
        <v>0.0</v>
      </c>
      <c r="X449" s="941">
        <v>1.0</v>
      </c>
      <c r="Y449" s="941">
        <v>0.0</v>
      </c>
      <c r="Z449" s="941">
        <v>1.0</v>
      </c>
      <c r="AA449" s="941">
        <v>151.0</v>
      </c>
      <c r="AB449" s="941">
        <v>214.0</v>
      </c>
      <c r="AC449" s="941">
        <v>-63.0</v>
      </c>
      <c r="AD449" s="941">
        <v>12.0</v>
      </c>
      <c r="AE449" s="941">
        <v>4.0</v>
      </c>
      <c r="AF449" s="941">
        <v>4.0</v>
      </c>
      <c r="AG449" s="941">
        <v>2637.0</v>
      </c>
      <c r="AH449" s="941">
        <v>3357.0</v>
      </c>
      <c r="AI449" s="941">
        <v>12.0</v>
      </c>
      <c r="AJ449" s="941">
        <v>30.0</v>
      </c>
      <c r="AK449" s="941">
        <v>0.0</v>
      </c>
      <c r="AL449" s="941">
        <v>0.0</v>
      </c>
      <c r="AM449" s="941">
        <v>0.0</v>
      </c>
      <c r="AN449" s="941">
        <v>0.0</v>
      </c>
      <c r="AO449" s="941">
        <v>0.0</v>
      </c>
      <c r="AP449" s="941">
        <v>0.0</v>
      </c>
      <c r="AQ449" s="941">
        <v>0.0</v>
      </c>
      <c r="AR449" s="941">
        <v>14.0</v>
      </c>
      <c r="AS449" s="941">
        <v>2.0</v>
      </c>
      <c r="AT449" s="941">
        <v>0.0</v>
      </c>
      <c r="AU449" s="941">
        <v>0.0</v>
      </c>
      <c r="AV449" s="941">
        <v>0.0</v>
      </c>
      <c r="AW449" s="941">
        <v>0.0</v>
      </c>
      <c r="AX449" s="941">
        <v>0.0</v>
      </c>
      <c r="AY449" s="941">
        <v>0.0</v>
      </c>
      <c r="AZ449" s="941">
        <v>0.0</v>
      </c>
      <c r="BA449" s="941">
        <v>0.0</v>
      </c>
      <c r="BB449" s="941">
        <v>7.0</v>
      </c>
      <c r="BC449" s="941">
        <v>0.0</v>
      </c>
      <c r="BD449" s="941">
        <v>14.0</v>
      </c>
      <c r="BE449" s="941">
        <v>19.0</v>
      </c>
      <c r="BF449" s="941">
        <v>0.0</v>
      </c>
      <c r="BG449" s="942">
        <v>1.0</v>
      </c>
    </row>
    <row r="450">
      <c r="A450" s="946" t="s">
        <v>119</v>
      </c>
      <c r="B450" s="16" t="str">
        <f>IF(C450&lt;'PlayerGrades+'!$Y$44,"F-",IF(C450&lt;'PlayerGrades+'!$Y$43,"F",IF(C450&lt;'PlayerGrades+'!$Y$42,"F+",IF(C450&lt;'PlayerGrades+'!$Y$41,"E-",IF(C450&lt;'PlayerGrades+'!$Y$40,"E",IF(C450&lt;'PlayerGrades+'!$Y$39,"E+",IF(C450&lt;'PlayerGrades+'!$Y$38,"D-",IF(C450&lt;'PlayerGrades+'!$Y$37,"D",IF(C450&lt;'PlayerGrades+'!$Y$36,"D+",IF(C450&lt;'PlayerGrades+'!$Y$35,"C-",IF(C450&lt;'PlayerGrades+'!$Y$34,"C",IF(C450&lt;'PlayerGrades+'!$Y$33,"C+",IF(C450&lt;'PlayerGrades+'!$Y$32,"B-",IF(C450&lt;'PlayerGrades+'!$Y$31,"B",IF(C450&lt;'PlayerGrades+'!$Y$30,"B+",IF(C450&lt;'PlayerGrades+'!$Y$29,"A-",IF(C450&lt;'PlayerGrades+'!$Y$28,"A",IF(C450&lt;'PlayerGrades+'!$Y$27,"A+",IF(C450&lt;'PlayerGrades+'!$Y$26,"S-",IF(C450&lt;'PlayerGrades+'!$Y$25,"S","S+"))))))))))))))))))))</f>
        <v>B+</v>
      </c>
      <c r="C450" s="936">
        <f>('PlayerGrades+'!$Y$47*(VLOOKUP(E450, 'PlayerGrades+'!$X$3:$Y$23, 2, FALSE)))+('PlayerGrades+'!$Y$48*(VLOOKUP(G450, 'PlayerGrades+'!$X$3:$Y$23, 2, FALSE)))+('PlayerGrades+'!$Y$49*(VLOOKUP(I450, 'PlayerGrades+'!$X$3:$Y$23, 2, FALSE)))+('PlayerGrades+'!$Y$50*(VLOOKUP(K450, 'PlayerGrades+'!$X$3:$Y$23, 2, FALSE)))+('PlayerGrades+'!$Y$51*(VLOOKUP(M450, 'PlayerGrades+'!$X$3:$Y$23, 2, FALSE)))+('PlayerGrades+'!$Y$52*(VLOOKUP(O450, 'PlayerGrades+'!$X$3:$Y$23, 2, FALSE)))+('PlayerGrades+'!$Y$53*(VLOOKUP(Q450, 'PlayerGrades+'!$X$3:$Y$23, 2, FALSE)))+('PlayerGrades+'!$Y$54*(VLOOKUP(S450, 'PlayerGrades+'!$X$3:$Y$23, 2, FALSE)))+('PlayerGrades+'!$Y$55*(VLOOKUP(U450, 'PlayerGrades+'!$X$3:$Y$23, 2, FALSE)))</f>
        <v>24.05</v>
      </c>
      <c r="D450" s="937">
        <f t="shared" si="1"/>
        <v>1.503006012</v>
      </c>
      <c r="E450" s="937" t="str">
        <f>IF(D450&lt;'PlayerGrades+'!$AA$21,"F-",IF(D450&lt;'PlayerGrades+'!$AA$20,"F",IF(D450&lt;'PlayerGrades+'!$AA$19,"F+",IF(D450&lt;'PlayerGrades+'!$AA$18,"E-",IF(D450&lt;'PlayerGrades+'!$AA$17,"E",IF(D450&lt;'PlayerGrades+'!$AA$16,"E+",IF(D450&lt;'PlayerGrades+'!$AA$15,"D-",IF(D450&lt;'PlayerGrades+'!$AA$14,"D",IF(D450&lt;'PlayerGrades+'!$AA$13,"D+",IF(D450&lt;'PlayerGrades+'!$AA$12,"C-",IF(D450&lt;'PlayerGrades+'!$AA$11,"C",IF(D450&lt;'PlayerGrades+'!$AA$10,"C+",IF(D450&lt;'PlayerGrades+'!$AA$9,"B-",IF(D450&lt;'PlayerGrades+'!$AA$8,"B",IF(D450&lt;'PlayerGrades+'!$AA$7,"B+",IF(D450&lt;'PlayerGrades+'!$AA$6,"A-",IF(D450&lt;'PlayerGrades+'!$AA$5,"A",IF(D450&lt;'PlayerGrades+'!$AA$4,"A+",IF(D450&lt;'PlayerGrades+'!$AA$3,"S-",IF(D450&lt;'PlayerGrades+'!$AA$2,"S","S+"))))))))))))))))))))</f>
        <v>S+</v>
      </c>
      <c r="F450" s="937">
        <f t="shared" si="2"/>
        <v>1.022044088</v>
      </c>
      <c r="G450" s="937" t="str">
        <f>IF(F450&lt;'PlayerGrades+'!$AB$21,"F-",IF(F450&lt;'PlayerGrades+'!$AB$20,"F",IF(F450&lt;'PlayerGrades+'!$AB$19,"F+",IF(F450&lt;'PlayerGrades+'!$AB$18,"E-",IF(F450&lt;'PlayerGrades+'!$AB$17,"E",IF(F450&lt;'PlayerGrades+'!$AB$16,"E+",IF(F450&lt;'PlayerGrades+'!$AB$15,"D-",IF(F450&lt;'PlayerGrades+'!$AB$14,"D",IF(F450&lt;'PlayerGrades+'!$AB$13,"D+",IF(F450&lt;'PlayerGrades+'!$AB$12,"C-",IF(F450&lt;'PlayerGrades+'!$AB$11,"C",IF(F450&lt;'PlayerGrades+'!$AB$10,"C+",IF(F450&lt;'PlayerGrades+'!$AB$9,"B-",IF(F450&lt;'PlayerGrades+'!$AB$8,"B",IF(F450&lt;'PlayerGrades+'!$AB$7,"B+",IF(F450&lt;'PlayerGrades+'!$AB$6,"A-",IF(F450&lt;'PlayerGrades+'!$AB$5,"A",IF(F450&lt;'PlayerGrades+'!$AB$4,"A+",IF(F450&lt;'PlayerGrades+'!$AB$3,"S-",IF(F450&lt;'PlayerGrades+'!$AB$2,"S","S+"))))))))))))))))))))</f>
        <v>S+</v>
      </c>
      <c r="H450" s="937">
        <f t="shared" si="3"/>
        <v>0.120240481</v>
      </c>
      <c r="I450" s="937" t="str">
        <f>IF(H450&lt;'PlayerGrades+'!$AC$21,"F-",IF(H450&lt;'PlayerGrades+'!$AC$20,"F",IF(H450&lt;'PlayerGrades+'!$AC$19,"F+",IF(H450&lt;'PlayerGrades+'!$AC$18,"E-",IF(H450&lt;'PlayerGrades+'!$AC$17,"E",IF(H450&lt;'PlayerGrades+'!$AC$16,"E+",IF(H450&lt;'PlayerGrades+'!$AC$15,"D-",IF(H450&lt;'PlayerGrades+'!$AC$14,"D",IF(H450&lt;'PlayerGrades+'!$AC$13,"D+",IF(H450&lt;'PlayerGrades+'!$AC$12,"C-",IF(H450&lt;'PlayerGrades+'!$AC$11,"C",IF(H450&lt;'PlayerGrades+'!$AC$10,"C+",IF(H450&lt;'PlayerGrades+'!$AC$9,"B-",IF(H450&lt;'PlayerGrades+'!$AC$8,"B",IF(H450&lt;'PlayerGrades+'!$AC$7,"B+",IF(H450&lt;'PlayerGrades+'!$AC$6,"A-",IF(H450&lt;'PlayerGrades+'!$AC$5,"A",IF(H450&lt;'PlayerGrades+'!$AC$4,"A+",IF(H450&lt;'PlayerGrades+'!$AC$3,"S-",IF(H450&lt;'PlayerGrades+'!$AC$2,"S","S+"))))))))))))))))))))</f>
        <v>C+</v>
      </c>
      <c r="J450" s="937">
        <f t="shared" si="4"/>
        <v>0.120240481</v>
      </c>
      <c r="K450" s="937" t="str">
        <f>IF(J450&lt;'PlayerGrades+'!$AD$21,"F-",IF(J450&lt;'PlayerGrades+'!$AD$20,"F",IF(J450&lt;'PlayerGrades+'!$AD$19,"F+",IF(J450&lt;'PlayerGrades+'!$AD$18,"E-",IF(J450&lt;'PlayerGrades+'!$AD$17,"E",IF(J450&lt;'PlayerGrades+'!$AD$16,"E+",IF(J450&lt;'PlayerGrades+'!$AD$15,"D-",IF(J450&lt;'PlayerGrades+'!$AD$14,"D",IF(J450&lt;'PlayerGrades+'!$AD$13,"D+",IF(J450&lt;'PlayerGrades+'!$AD$12,"C-",IF(J450&lt;'PlayerGrades+'!$AD$11,"C",IF(J450&lt;'PlayerGrades+'!$AD$10,"C+",IF(J450&lt;'PlayerGrades+'!$AD$9,"B-",IF(J450&lt;'PlayerGrades+'!$AD$8,"B",IF(J450&lt;'PlayerGrades+'!$AD$7,"B+",IF(J450&lt;'PlayerGrades+'!$AD$6,"A-",IF(J450&lt;'PlayerGrades+'!$AD$5,"A",IF(J450&lt;'PlayerGrades+'!$AD$4,"A+",IF(J450&lt;'PlayerGrades+'!$AD$3,"S-",IF(J450&lt;'PlayerGrades+'!$AD$2,"S","S+"))))))))))))))))))))</f>
        <v>S+</v>
      </c>
      <c r="L450" s="677">
        <f t="shared" si="5"/>
        <v>0.2404809619</v>
      </c>
      <c r="M450" s="938" t="str">
        <f>IF(L450&lt;'PlayerGrades+'!$AE$21,"F-",IF(L450&lt;'PlayerGrades+'!$AE$20,"F",IF(L450&lt;'PlayerGrades+'!$AE$19,"F+",IF(L450&lt;'PlayerGrades+'!$AE$18,"E-",IF(L450&lt;'PlayerGrades+'!$AE$17,"E",IF(L450&lt;'PlayerGrades+'!$AE$16,"E+",IF(L450&lt;'PlayerGrades+'!$AE$15,"D-",IF(L450&lt;'PlayerGrades+'!$AE$14,"D",IF(L450&lt;'PlayerGrades+'!$AE$13,"D+",IF(L450&lt;'PlayerGrades+'!$AE$12,"C-",IF(L450&lt;'PlayerGrades+'!$AE$11,"C",IF(L450&lt;'PlayerGrades+'!$AE$10,"C+",IF(L450&lt;'PlayerGrades+'!$AE$9,"B-",IF(L450&lt;'PlayerGrades+'!$AE$8,"B",IF(L450&lt;'PlayerGrades+'!$AE$7,"B+",IF(L450&lt;'PlayerGrades+'!$AE$6,"A-",IF(L450&lt;'PlayerGrades+'!$AE$5,"A",IF(L450&lt;'PlayerGrades+'!$AE$4,"A+",IF(L450&lt;'PlayerGrades+'!$AE$3,"S-",IF(L450&lt;'PlayerGrades+'!$AE$2,"S","S+"))))))))))))))))))))</f>
        <v>F</v>
      </c>
      <c r="N450" s="937">
        <f t="shared" si="6"/>
        <v>0.06012024048</v>
      </c>
      <c r="O450" s="937" t="str">
        <f>IF(N450&lt;'PlayerGrades+'!$AF$21,"F-",IF(N450&lt;'PlayerGrades+'!$AF$20,"F",IF(N450&lt;'PlayerGrades+'!$AF$19,"F+",IF(N450&lt;'PlayerGrades+'!$AF$18,"E-",IF(N450&lt;'PlayerGrades+'!$AF$17,"E",IF(N450&lt;'PlayerGrades+'!$AF$16,"E+",IF(N450&lt;'PlayerGrades+'!$AF$15,"D-",IF(N450&lt;'PlayerGrades+'!$AF$14,"D",IF(N450&lt;'PlayerGrades+'!$AF$13,"D+",IF(N450&lt;'PlayerGrades+'!$AF$12,"C-",IF(N450&lt;'PlayerGrades+'!$AF$11,"C",IF(N450&lt;'PlayerGrades+'!$AF$10,"C+",IF(N450&lt;'PlayerGrades+'!$AF$9,"B-",IF(N450&lt;'PlayerGrades+'!$AF$8,"B",IF(N450&lt;'PlayerGrades+'!$AF$7,"B+",IF(N450&lt;'PlayerGrades+'!$AF$6,"A-",IF(N450&lt;'PlayerGrades+'!$AF$5,"A",IF(N450&lt;'PlayerGrades+'!$AF$4,"A+",IF(N450&lt;'PlayerGrades+'!$AF$3,"S-",IF(N450&lt;'PlayerGrades+'!$AF$2,"S","S+"))))))))))))))))))))</f>
        <v>D+</v>
      </c>
      <c r="P450" s="937">
        <f t="shared" si="7"/>
        <v>0</v>
      </c>
      <c r="Q450" s="937" t="str">
        <f>IF(P450&lt;'PlayerGrades+'!$AG$21,"F-",IF(P450&lt;'PlayerGrades+'!$AG$20,"F",IF(P450&lt;'PlayerGrades+'!$AG$19,"F+",IF(P450&lt;'PlayerGrades+'!$AG$18,"E-",IF(P450&lt;'PlayerGrades+'!$AG$17,"E",IF(P450&lt;'PlayerGrades+'!$AG$16,"E+",IF(P450&lt;'PlayerGrades+'!$AG$15,"D-",IF(P450&lt;'PlayerGrades+'!$AG$14,"D",IF(P450&lt;'PlayerGrades+'!$AG$13,"D+",IF(P450&lt;'PlayerGrades+'!$AG$12,"C-",IF(P450&lt;'PlayerGrades+'!$AG$11,"C",IF(P450&lt;'PlayerGrades+'!$AG$10,"C+",IF(P450&lt;'PlayerGrades+'!$AG$9,"B-",IF(P450&lt;'PlayerGrades+'!$AG$8,"B",IF(P450&lt;'PlayerGrades+'!$AG$7,"B+",IF(P450&lt;'PlayerGrades+'!$AG$6,"A-",IF(P450&lt;'PlayerGrades+'!$AG$5,"A",IF(P450&lt;'PlayerGrades+'!$AG$4,"A+",IF(P450&lt;'PlayerGrades+'!$AG$3,"S-",IF(P450&lt;'PlayerGrades+'!$AG$2,"S","S+"))))))))))))))))))))</f>
        <v>F</v>
      </c>
      <c r="R450" s="937">
        <f t="shared" si="8"/>
        <v>0.5410821643</v>
      </c>
      <c r="S450" s="937" t="str">
        <f>IF(R450&lt;'PlayerGrades+'!$AH$21,"F-",IF(R450&lt;'PlayerGrades+'!$AH$20,"F",IF(R450&lt;'PlayerGrades+'!$AH$19,"F+",IF(R450&lt;'PlayerGrades+'!$AH$18,"E-",IF(R450&lt;'PlayerGrades+'!$AH$17,"E",IF(R450&lt;'PlayerGrades+'!$AH$16,"E+",IF(R450&lt;'PlayerGrades+'!$AH$15,"D-",IF(R450&lt;'PlayerGrades+'!$AH$14,"D",IF(R450&lt;'PlayerGrades+'!$AH$13,"D+",IF(R450&lt;'PlayerGrades+'!$AH$12,"C-",IF(R450&lt;'PlayerGrades+'!$AH$11,"C",IF(R450&lt;'PlayerGrades+'!$AH$10,"C+",IF(R450&lt;'PlayerGrades+'!$AH$9,"B-",IF(R450&lt;'PlayerGrades+'!$AH$8,"B",IF(R450&lt;'PlayerGrades+'!$AH$7,"B+",IF(R450&lt;'PlayerGrades+'!$AH$6,"A-",IF(R450&lt;'PlayerGrades+'!$AH$5,"A",IF(R450&lt;'PlayerGrades+'!$AH$4,"A+",IF(R450&lt;'PlayerGrades+'!$AH$3,"S-",IF(R450&lt;'PlayerGrades+'!$AH$2,"S","S+"))))))))))))))))))))</f>
        <v>C+</v>
      </c>
      <c r="T450" s="937">
        <f t="shared" si="9"/>
        <v>2.06012024</v>
      </c>
      <c r="U450" s="937" t="str">
        <f>IF(T450&lt;'PlayerGrades+'!$AI$21,"F-",IF(T450&lt;'PlayerGrades+'!$AI$20,"F",IF(T450&lt;'PlayerGrades+'!$AI$19,"F+",IF(T450&lt;'PlayerGrades+'!$AI$18,"E-",IF(T450&lt;'PlayerGrades+'!$AI$17,"E",IF(T450&lt;'PlayerGrades+'!$AI$16,"E+",IF(T450&lt;'PlayerGrades+'!$AI$15,"D-",IF(T450&lt;'PlayerGrades+'!$AI$14,"D",IF(T450&lt;'PlayerGrades+'!$AI$13,"D+",IF(T450&lt;'PlayerGrades+'!$AI$12,"C-",IF(T450&lt;'PlayerGrades+'!$AI$11,"C",IF(T450&lt;'PlayerGrades+'!$AI$10,"C+",IF(T450&lt;'PlayerGrades+'!$AI$9,"B-",IF(T450&lt;'PlayerGrades+'!$AI$8,"B",IF(T450&lt;'PlayerGrades+'!$AI$7,"B+",IF(T450&lt;'PlayerGrades+'!$AI$6,"A-",IF(T450&lt;'PlayerGrades+'!$AI$5,"A",IF(T450&lt;'PlayerGrades+'!$AI$4,"A+",IF(T450&lt;'PlayerGrades+'!$AI$3,"S-",IF(T450&lt;'PlayerGrades+'!$AI$2,"S","S+"))))))))))))))))))))</f>
        <v>S+</v>
      </c>
      <c r="V450" s="939">
        <v>1.0</v>
      </c>
      <c r="W450" s="939">
        <v>1.0</v>
      </c>
      <c r="X450" s="939">
        <v>0.0</v>
      </c>
      <c r="Y450" s="939">
        <v>5.0</v>
      </c>
      <c r="Z450" s="939">
        <v>20.0</v>
      </c>
      <c r="AA450" s="939">
        <v>40.0</v>
      </c>
      <c r="AB450" s="939">
        <v>23.0</v>
      </c>
      <c r="AC450" s="939">
        <v>17.0</v>
      </c>
      <c r="AD450" s="939">
        <v>4.0</v>
      </c>
      <c r="AE450" s="939">
        <v>12.0</v>
      </c>
      <c r="AF450" s="939">
        <v>2.0</v>
      </c>
      <c r="AG450" s="939">
        <v>847.0</v>
      </c>
      <c r="AH450" s="939">
        <v>998.0</v>
      </c>
      <c r="AI450" s="939">
        <v>36.0</v>
      </c>
      <c r="AJ450" s="939">
        <v>608.0</v>
      </c>
      <c r="AK450" s="939">
        <v>0.0</v>
      </c>
      <c r="AL450" s="939">
        <v>2.0</v>
      </c>
      <c r="AM450" s="939">
        <v>1.0</v>
      </c>
      <c r="AN450" s="939">
        <v>0.0</v>
      </c>
      <c r="AO450" s="939">
        <v>0.0</v>
      </c>
      <c r="AP450" s="939">
        <v>0.0</v>
      </c>
      <c r="AQ450" s="939">
        <v>0.0</v>
      </c>
      <c r="AR450" s="939">
        <v>4.0</v>
      </c>
      <c r="AS450" s="939">
        <v>1.0</v>
      </c>
      <c r="AT450" s="939">
        <v>0.0</v>
      </c>
      <c r="AU450" s="939">
        <v>0.0</v>
      </c>
      <c r="AV450" s="939">
        <v>0.0</v>
      </c>
      <c r="AW450" s="939">
        <v>0.0</v>
      </c>
      <c r="AX450" s="939">
        <v>0.0</v>
      </c>
      <c r="AY450" s="939">
        <v>0.0</v>
      </c>
      <c r="AZ450" s="939">
        <v>0.0</v>
      </c>
      <c r="BA450" s="939">
        <v>0.0</v>
      </c>
      <c r="BB450" s="939">
        <v>2.0</v>
      </c>
      <c r="BC450" s="939">
        <v>0.0</v>
      </c>
      <c r="BD450" s="939">
        <v>5.0</v>
      </c>
      <c r="BE450" s="939">
        <v>1.0</v>
      </c>
      <c r="BF450" s="939">
        <v>2.0</v>
      </c>
      <c r="BG450" s="940">
        <v>1.0</v>
      </c>
    </row>
    <row r="451">
      <c r="A451" s="935" t="s">
        <v>130</v>
      </c>
      <c r="B451" s="16" t="str">
        <f>IF(C451&lt;'PlayerGrades+'!$Y$44,"F-",IF(C451&lt;'PlayerGrades+'!$Y$43,"F",IF(C451&lt;'PlayerGrades+'!$Y$42,"F+",IF(C451&lt;'PlayerGrades+'!$Y$41,"E-",IF(C451&lt;'PlayerGrades+'!$Y$40,"E",IF(C451&lt;'PlayerGrades+'!$Y$39,"E+",IF(C451&lt;'PlayerGrades+'!$Y$38,"D-",IF(C451&lt;'PlayerGrades+'!$Y$37,"D",IF(C451&lt;'PlayerGrades+'!$Y$36,"D+",IF(C451&lt;'PlayerGrades+'!$Y$35,"C-",IF(C451&lt;'PlayerGrades+'!$Y$34,"C",IF(C451&lt;'PlayerGrades+'!$Y$33,"C+",IF(C451&lt;'PlayerGrades+'!$Y$32,"B-",IF(C451&lt;'PlayerGrades+'!$Y$31,"B",IF(C451&lt;'PlayerGrades+'!$Y$30,"B+",IF(C451&lt;'PlayerGrades+'!$Y$29,"A-",IF(C451&lt;'PlayerGrades+'!$Y$28,"A",IF(C451&lt;'PlayerGrades+'!$Y$27,"A+",IF(C451&lt;'PlayerGrades+'!$Y$26,"S-",IF(C451&lt;'PlayerGrades+'!$Y$25,"S","S+"))))))))))))))))))))</f>
        <v>D</v>
      </c>
      <c r="C451" s="936">
        <f>('PlayerGrades+'!$Y$47*(VLOOKUP(E451, 'PlayerGrades+'!$X$3:$Y$23, 2, FALSE)))+('PlayerGrades+'!$Y$48*(VLOOKUP(G451, 'PlayerGrades+'!$X$3:$Y$23, 2, FALSE)))+('PlayerGrades+'!$Y$49*(VLOOKUP(I451, 'PlayerGrades+'!$X$3:$Y$23, 2, FALSE)))+('PlayerGrades+'!$Y$50*(VLOOKUP(K451, 'PlayerGrades+'!$X$3:$Y$23, 2, FALSE)))+('PlayerGrades+'!$Y$51*(VLOOKUP(M451, 'PlayerGrades+'!$X$3:$Y$23, 2, FALSE)))+('PlayerGrades+'!$Y$52*(VLOOKUP(O451, 'PlayerGrades+'!$X$3:$Y$23, 2, FALSE)))+('PlayerGrades+'!$Y$53*(VLOOKUP(Q451, 'PlayerGrades+'!$X$3:$Y$23, 2, FALSE)))+('PlayerGrades+'!$Y$54*(VLOOKUP(S451, 'PlayerGrades+'!$X$3:$Y$23, 2, FALSE)))+('PlayerGrades+'!$Y$55*(VLOOKUP(U451, 'PlayerGrades+'!$X$3:$Y$23, 2, FALSE)))</f>
        <v>16.2</v>
      </c>
      <c r="D451" s="937">
        <f t="shared" si="1"/>
        <v>0</v>
      </c>
      <c r="E451" s="937" t="str">
        <f>IF(D451&lt;'PlayerGrades+'!$AA$21,"F-",IF(D451&lt;'PlayerGrades+'!$AA$20,"F",IF(D451&lt;'PlayerGrades+'!$AA$19,"F+",IF(D451&lt;'PlayerGrades+'!$AA$18,"E-",IF(D451&lt;'PlayerGrades+'!$AA$17,"E",IF(D451&lt;'PlayerGrades+'!$AA$16,"E+",IF(D451&lt;'PlayerGrades+'!$AA$15,"D-",IF(D451&lt;'PlayerGrades+'!$AA$14,"D",IF(D451&lt;'PlayerGrades+'!$AA$13,"D+",IF(D451&lt;'PlayerGrades+'!$AA$12,"C-",IF(D451&lt;'PlayerGrades+'!$AA$11,"C",IF(D451&lt;'PlayerGrades+'!$AA$10,"C+",IF(D451&lt;'PlayerGrades+'!$AA$9,"B-",IF(D451&lt;'PlayerGrades+'!$AA$8,"B",IF(D451&lt;'PlayerGrades+'!$AA$7,"B+",IF(D451&lt;'PlayerGrades+'!$AA$6,"A-",IF(D451&lt;'PlayerGrades+'!$AA$5,"A",IF(D451&lt;'PlayerGrades+'!$AA$4,"A+",IF(D451&lt;'PlayerGrades+'!$AA$3,"S-",IF(D451&lt;'PlayerGrades+'!$AA$2,"S","S+"))))))))))))))))))))</f>
        <v>F-</v>
      </c>
      <c r="F451" s="937">
        <f t="shared" si="2"/>
        <v>0.3006012024</v>
      </c>
      <c r="G451" s="937" t="str">
        <f>IF(F451&lt;'PlayerGrades+'!$AB$21,"F-",IF(F451&lt;'PlayerGrades+'!$AB$20,"F",IF(F451&lt;'PlayerGrades+'!$AB$19,"F+",IF(F451&lt;'PlayerGrades+'!$AB$18,"E-",IF(F451&lt;'PlayerGrades+'!$AB$17,"E",IF(F451&lt;'PlayerGrades+'!$AB$16,"E+",IF(F451&lt;'PlayerGrades+'!$AB$15,"D-",IF(F451&lt;'PlayerGrades+'!$AB$14,"D",IF(F451&lt;'PlayerGrades+'!$AB$13,"D+",IF(F451&lt;'PlayerGrades+'!$AB$12,"C-",IF(F451&lt;'PlayerGrades+'!$AB$11,"C",IF(F451&lt;'PlayerGrades+'!$AB$10,"C+",IF(F451&lt;'PlayerGrades+'!$AB$9,"B-",IF(F451&lt;'PlayerGrades+'!$AB$8,"B",IF(F451&lt;'PlayerGrades+'!$AB$7,"B+",IF(F451&lt;'PlayerGrades+'!$AB$6,"A-",IF(F451&lt;'PlayerGrades+'!$AB$5,"A",IF(F451&lt;'PlayerGrades+'!$AB$4,"A+",IF(F451&lt;'PlayerGrades+'!$AB$3,"S-",IF(F451&lt;'PlayerGrades+'!$AB$2,"S","S+"))))))))))))))))))))</f>
        <v>A-</v>
      </c>
      <c r="H451" s="937">
        <f t="shared" si="3"/>
        <v>0.2404809619</v>
      </c>
      <c r="I451" s="937" t="str">
        <f>IF(H451&lt;'PlayerGrades+'!$AC$21,"F-",IF(H451&lt;'PlayerGrades+'!$AC$20,"F",IF(H451&lt;'PlayerGrades+'!$AC$19,"F+",IF(H451&lt;'PlayerGrades+'!$AC$18,"E-",IF(H451&lt;'PlayerGrades+'!$AC$17,"E",IF(H451&lt;'PlayerGrades+'!$AC$16,"E+",IF(H451&lt;'PlayerGrades+'!$AC$15,"D-",IF(H451&lt;'PlayerGrades+'!$AC$14,"D",IF(H451&lt;'PlayerGrades+'!$AC$13,"D+",IF(H451&lt;'PlayerGrades+'!$AC$12,"C-",IF(H451&lt;'PlayerGrades+'!$AC$11,"C",IF(H451&lt;'PlayerGrades+'!$AC$10,"C+",IF(H451&lt;'PlayerGrades+'!$AC$9,"B-",IF(H451&lt;'PlayerGrades+'!$AC$8,"B",IF(H451&lt;'PlayerGrades+'!$AC$7,"B+",IF(H451&lt;'PlayerGrades+'!$AC$6,"A-",IF(H451&lt;'PlayerGrades+'!$AC$5,"A",IF(H451&lt;'PlayerGrades+'!$AC$4,"A+",IF(H451&lt;'PlayerGrades+'!$AC$3,"S-",IF(H451&lt;'PlayerGrades+'!$AC$2,"S","S+"))))))))))))))))))))</f>
        <v>S</v>
      </c>
      <c r="J451" s="937">
        <f t="shared" si="4"/>
        <v>0</v>
      </c>
      <c r="K451" s="937" t="str">
        <f>IF(J451&lt;'PlayerGrades+'!$AD$21,"F-",IF(J451&lt;'PlayerGrades+'!$AD$20,"F",IF(J451&lt;'PlayerGrades+'!$AD$19,"F+",IF(J451&lt;'PlayerGrades+'!$AD$18,"E-",IF(J451&lt;'PlayerGrades+'!$AD$17,"E",IF(J451&lt;'PlayerGrades+'!$AD$16,"E+",IF(J451&lt;'PlayerGrades+'!$AD$15,"D-",IF(J451&lt;'PlayerGrades+'!$AD$14,"D",IF(J451&lt;'PlayerGrades+'!$AD$13,"D+",IF(J451&lt;'PlayerGrades+'!$AD$12,"C-",IF(J451&lt;'PlayerGrades+'!$AD$11,"C",IF(J451&lt;'PlayerGrades+'!$AD$10,"C+",IF(J451&lt;'PlayerGrades+'!$AD$9,"B-",IF(J451&lt;'PlayerGrades+'!$AD$8,"B",IF(J451&lt;'PlayerGrades+'!$AD$7,"B+",IF(J451&lt;'PlayerGrades+'!$AD$6,"A-",IF(J451&lt;'PlayerGrades+'!$AD$5,"A",IF(J451&lt;'PlayerGrades+'!$AD$4,"A+",IF(J451&lt;'PlayerGrades+'!$AD$3,"S-",IF(J451&lt;'PlayerGrades+'!$AD$2,"S","S+"))))))))))))))))))))</f>
        <v>F-</v>
      </c>
      <c r="L451" s="677">
        <f t="shared" si="5"/>
        <v>0.1803607214</v>
      </c>
      <c r="M451" s="938" t="str">
        <f>IF(L451&lt;'PlayerGrades+'!$AE$21,"F-",IF(L451&lt;'PlayerGrades+'!$AE$20,"F",IF(L451&lt;'PlayerGrades+'!$AE$19,"F+",IF(L451&lt;'PlayerGrades+'!$AE$18,"E-",IF(L451&lt;'PlayerGrades+'!$AE$17,"E",IF(L451&lt;'PlayerGrades+'!$AE$16,"E+",IF(L451&lt;'PlayerGrades+'!$AE$15,"D-",IF(L451&lt;'PlayerGrades+'!$AE$14,"D",IF(L451&lt;'PlayerGrades+'!$AE$13,"D+",IF(L451&lt;'PlayerGrades+'!$AE$12,"C-",IF(L451&lt;'PlayerGrades+'!$AE$11,"C",IF(L451&lt;'PlayerGrades+'!$AE$10,"C+",IF(L451&lt;'PlayerGrades+'!$AE$9,"B-",IF(L451&lt;'PlayerGrades+'!$AE$8,"B",IF(L451&lt;'PlayerGrades+'!$AE$7,"B+",IF(L451&lt;'PlayerGrades+'!$AE$6,"A-",IF(L451&lt;'PlayerGrades+'!$AE$5,"A",IF(L451&lt;'PlayerGrades+'!$AE$4,"A+",IF(L451&lt;'PlayerGrades+'!$AE$3,"S-",IF(L451&lt;'PlayerGrades+'!$AE$2,"S","S+"))))))))))))))))))))</f>
        <v>F-</v>
      </c>
      <c r="N451" s="937">
        <f t="shared" si="6"/>
        <v>0.06012024048</v>
      </c>
      <c r="O451" s="937" t="str">
        <f>IF(N451&lt;'PlayerGrades+'!$AF$21,"F-",IF(N451&lt;'PlayerGrades+'!$AF$20,"F",IF(N451&lt;'PlayerGrades+'!$AF$19,"F+",IF(N451&lt;'PlayerGrades+'!$AF$18,"E-",IF(N451&lt;'PlayerGrades+'!$AF$17,"E",IF(N451&lt;'PlayerGrades+'!$AF$16,"E+",IF(N451&lt;'PlayerGrades+'!$AF$15,"D-",IF(N451&lt;'PlayerGrades+'!$AF$14,"D",IF(N451&lt;'PlayerGrades+'!$AF$13,"D+",IF(N451&lt;'PlayerGrades+'!$AF$12,"C-",IF(N451&lt;'PlayerGrades+'!$AF$11,"C",IF(N451&lt;'PlayerGrades+'!$AF$10,"C+",IF(N451&lt;'PlayerGrades+'!$AF$9,"B-",IF(N451&lt;'PlayerGrades+'!$AF$8,"B",IF(N451&lt;'PlayerGrades+'!$AF$7,"B+",IF(N451&lt;'PlayerGrades+'!$AF$6,"A-",IF(N451&lt;'PlayerGrades+'!$AF$5,"A",IF(N451&lt;'PlayerGrades+'!$AF$4,"A+",IF(N451&lt;'PlayerGrades+'!$AF$3,"S-",IF(N451&lt;'PlayerGrades+'!$AF$2,"S","S+"))))))))))))))))))))</f>
        <v>D+</v>
      </c>
      <c r="P451" s="937">
        <f t="shared" si="7"/>
        <v>0</v>
      </c>
      <c r="Q451" s="937" t="str">
        <f>IF(P451&lt;'PlayerGrades+'!$AG$21,"F-",IF(P451&lt;'PlayerGrades+'!$AG$20,"F",IF(P451&lt;'PlayerGrades+'!$AG$19,"F+",IF(P451&lt;'PlayerGrades+'!$AG$18,"E-",IF(P451&lt;'PlayerGrades+'!$AG$17,"E",IF(P451&lt;'PlayerGrades+'!$AG$16,"E+",IF(P451&lt;'PlayerGrades+'!$AG$15,"D-",IF(P451&lt;'PlayerGrades+'!$AG$14,"D",IF(P451&lt;'PlayerGrades+'!$AG$13,"D+",IF(P451&lt;'PlayerGrades+'!$AG$12,"C-",IF(P451&lt;'PlayerGrades+'!$AG$11,"C",IF(P451&lt;'PlayerGrades+'!$AG$10,"C+",IF(P451&lt;'PlayerGrades+'!$AG$9,"B-",IF(P451&lt;'PlayerGrades+'!$AG$8,"B",IF(P451&lt;'PlayerGrades+'!$AG$7,"B+",IF(P451&lt;'PlayerGrades+'!$AG$6,"A-",IF(P451&lt;'PlayerGrades+'!$AG$5,"A",IF(P451&lt;'PlayerGrades+'!$AG$4,"A+",IF(P451&lt;'PlayerGrades+'!$AG$3,"S-",IF(P451&lt;'PlayerGrades+'!$AG$2,"S","S+"))))))))))))))))))))</f>
        <v>F</v>
      </c>
      <c r="R451" s="937">
        <f t="shared" si="8"/>
        <v>0.5410821643</v>
      </c>
      <c r="S451" s="937" t="str">
        <f>IF(R451&lt;'PlayerGrades+'!$AH$21,"F-",IF(R451&lt;'PlayerGrades+'!$AH$20,"F",IF(R451&lt;'PlayerGrades+'!$AH$19,"F+",IF(R451&lt;'PlayerGrades+'!$AH$18,"E-",IF(R451&lt;'PlayerGrades+'!$AH$17,"E",IF(R451&lt;'PlayerGrades+'!$AH$16,"E+",IF(R451&lt;'PlayerGrades+'!$AH$15,"D-",IF(R451&lt;'PlayerGrades+'!$AH$14,"D",IF(R451&lt;'PlayerGrades+'!$AH$13,"D+",IF(R451&lt;'PlayerGrades+'!$AH$12,"C-",IF(R451&lt;'PlayerGrades+'!$AH$11,"C",IF(R451&lt;'PlayerGrades+'!$AH$10,"C+",IF(R451&lt;'PlayerGrades+'!$AH$9,"B-",IF(R451&lt;'PlayerGrades+'!$AH$8,"B",IF(R451&lt;'PlayerGrades+'!$AH$7,"B+",IF(R451&lt;'PlayerGrades+'!$AH$6,"A-",IF(R451&lt;'PlayerGrades+'!$AH$5,"A",IF(R451&lt;'PlayerGrades+'!$AH$4,"A+",IF(R451&lt;'PlayerGrades+'!$AH$3,"S-",IF(R451&lt;'PlayerGrades+'!$AH$2,"S","S+"))))))))))))))))))))</f>
        <v>C+</v>
      </c>
      <c r="T451" s="937">
        <f t="shared" si="9"/>
        <v>0.2404809619</v>
      </c>
      <c r="U451" s="937" t="str">
        <f>IF(T451&lt;'PlayerGrades+'!$AI$21,"F-",IF(T451&lt;'PlayerGrades+'!$AI$20,"F",IF(T451&lt;'PlayerGrades+'!$AI$19,"F+",IF(T451&lt;'PlayerGrades+'!$AI$18,"E-",IF(T451&lt;'PlayerGrades+'!$AI$17,"E",IF(T451&lt;'PlayerGrades+'!$AI$16,"E+",IF(T451&lt;'PlayerGrades+'!$AI$15,"D-",IF(T451&lt;'PlayerGrades+'!$AI$14,"D",IF(T451&lt;'PlayerGrades+'!$AI$13,"D+",IF(T451&lt;'PlayerGrades+'!$AI$12,"C-",IF(T451&lt;'PlayerGrades+'!$AI$11,"C",IF(T451&lt;'PlayerGrades+'!$AI$10,"C+",IF(T451&lt;'PlayerGrades+'!$AI$9,"B-",IF(T451&lt;'PlayerGrades+'!$AI$8,"B",IF(T451&lt;'PlayerGrades+'!$AI$7,"B+",IF(T451&lt;'PlayerGrades+'!$AI$6,"A-",IF(T451&lt;'PlayerGrades+'!$AI$5,"A",IF(T451&lt;'PlayerGrades+'!$AI$4,"A+",IF(T451&lt;'PlayerGrades+'!$AI$3,"S-",IF(T451&lt;'PlayerGrades+'!$AI$2,"S","S+"))))))))))))))))))))</f>
        <v>F-</v>
      </c>
      <c r="V451" s="941">
        <v>1.0</v>
      </c>
      <c r="W451" s="941">
        <v>1.0</v>
      </c>
      <c r="X451" s="941">
        <v>0.0</v>
      </c>
      <c r="Y451" s="941">
        <v>0.0</v>
      </c>
      <c r="Z451" s="941">
        <v>0.0</v>
      </c>
      <c r="AA451" s="941">
        <v>43.0</v>
      </c>
      <c r="AB451" s="941">
        <v>38.0</v>
      </c>
      <c r="AC451" s="941">
        <v>5.0</v>
      </c>
      <c r="AD451" s="941">
        <v>5.0</v>
      </c>
      <c r="AE451" s="941">
        <v>3.0</v>
      </c>
      <c r="AF451" s="941">
        <v>2.0</v>
      </c>
      <c r="AG451" s="941">
        <v>804.0</v>
      </c>
      <c r="AH451" s="941">
        <v>998.0</v>
      </c>
      <c r="AI451" s="941">
        <v>21.0</v>
      </c>
      <c r="AJ451" s="941">
        <v>0.0</v>
      </c>
      <c r="AK451" s="941">
        <v>0.0</v>
      </c>
      <c r="AL451" s="941">
        <v>0.0</v>
      </c>
      <c r="AM451" s="941">
        <v>0.0</v>
      </c>
      <c r="AN451" s="941">
        <v>0.0</v>
      </c>
      <c r="AO451" s="941">
        <v>0.0</v>
      </c>
      <c r="AP451" s="941">
        <v>0.0</v>
      </c>
      <c r="AQ451" s="941">
        <v>0.0</v>
      </c>
      <c r="AR451" s="941">
        <v>3.0</v>
      </c>
      <c r="AS451" s="941">
        <v>1.0</v>
      </c>
      <c r="AT451" s="941">
        <v>0.0</v>
      </c>
      <c r="AU451" s="941">
        <v>0.0</v>
      </c>
      <c r="AV451" s="941">
        <v>0.0</v>
      </c>
      <c r="AW451" s="941">
        <v>0.0</v>
      </c>
      <c r="AX451" s="941">
        <v>0.0</v>
      </c>
      <c r="AY451" s="941">
        <v>0.0</v>
      </c>
      <c r="AZ451" s="941">
        <v>0.0</v>
      </c>
      <c r="BA451" s="941">
        <v>0.0</v>
      </c>
      <c r="BB451" s="941">
        <v>4.0</v>
      </c>
      <c r="BC451" s="941">
        <v>0.0</v>
      </c>
      <c r="BD451" s="941">
        <v>4.0</v>
      </c>
      <c r="BE451" s="941">
        <v>4.0</v>
      </c>
      <c r="BF451" s="941">
        <v>0.0</v>
      </c>
      <c r="BG451" s="942">
        <v>1.0</v>
      </c>
    </row>
    <row r="452">
      <c r="A452" s="935" t="s">
        <v>145</v>
      </c>
      <c r="B452" s="16" t="str">
        <f>IF(C452&lt;'PlayerGrades+'!$Y$44,"F-",IF(C452&lt;'PlayerGrades+'!$Y$43,"F",IF(C452&lt;'PlayerGrades+'!$Y$42,"F+",IF(C452&lt;'PlayerGrades+'!$Y$41,"E-",IF(C452&lt;'PlayerGrades+'!$Y$40,"E",IF(C452&lt;'PlayerGrades+'!$Y$39,"E+",IF(C452&lt;'PlayerGrades+'!$Y$38,"D-",IF(C452&lt;'PlayerGrades+'!$Y$37,"D",IF(C452&lt;'PlayerGrades+'!$Y$36,"D+",IF(C452&lt;'PlayerGrades+'!$Y$35,"C-",IF(C452&lt;'PlayerGrades+'!$Y$34,"C",IF(C452&lt;'PlayerGrades+'!$Y$33,"C+",IF(C452&lt;'PlayerGrades+'!$Y$32,"B-",IF(C452&lt;'PlayerGrades+'!$Y$31,"B",IF(C452&lt;'PlayerGrades+'!$Y$30,"B+",IF(C452&lt;'PlayerGrades+'!$Y$29,"A-",IF(C452&lt;'PlayerGrades+'!$Y$28,"A",IF(C452&lt;'PlayerGrades+'!$Y$27,"A+",IF(C452&lt;'PlayerGrades+'!$Y$26,"S-",IF(C452&lt;'PlayerGrades+'!$Y$25,"S","S+"))))))))))))))))))))</f>
        <v>B+</v>
      </c>
      <c r="C452" s="936">
        <f>('PlayerGrades+'!$Y$47*(VLOOKUP(E452, 'PlayerGrades+'!$X$3:$Y$23, 2, FALSE)))+('PlayerGrades+'!$Y$48*(VLOOKUP(G452, 'PlayerGrades+'!$X$3:$Y$23, 2, FALSE)))+('PlayerGrades+'!$Y$49*(VLOOKUP(I452, 'PlayerGrades+'!$X$3:$Y$23, 2, FALSE)))+('PlayerGrades+'!$Y$50*(VLOOKUP(K452, 'PlayerGrades+'!$X$3:$Y$23, 2, FALSE)))+('PlayerGrades+'!$Y$51*(VLOOKUP(M452, 'PlayerGrades+'!$X$3:$Y$23, 2, FALSE)))+('PlayerGrades+'!$Y$52*(VLOOKUP(O452, 'PlayerGrades+'!$X$3:$Y$23, 2, FALSE)))+('PlayerGrades+'!$Y$53*(VLOOKUP(Q452, 'PlayerGrades+'!$X$3:$Y$23, 2, FALSE)))+('PlayerGrades+'!$Y$54*(VLOOKUP(S452, 'PlayerGrades+'!$X$3:$Y$23, 2, FALSE)))+('PlayerGrades+'!$Y$55*(VLOOKUP(U452, 'PlayerGrades+'!$X$3:$Y$23, 2, FALSE)))</f>
        <v>24.3</v>
      </c>
      <c r="D452" s="937">
        <f t="shared" si="1"/>
        <v>0</v>
      </c>
      <c r="E452" s="937" t="str">
        <f>IF(D452&lt;'PlayerGrades+'!$AA$21,"F-",IF(D452&lt;'PlayerGrades+'!$AA$20,"F",IF(D452&lt;'PlayerGrades+'!$AA$19,"F+",IF(D452&lt;'PlayerGrades+'!$AA$18,"E-",IF(D452&lt;'PlayerGrades+'!$AA$17,"E",IF(D452&lt;'PlayerGrades+'!$AA$16,"E+",IF(D452&lt;'PlayerGrades+'!$AA$15,"D-",IF(D452&lt;'PlayerGrades+'!$AA$14,"D",IF(D452&lt;'PlayerGrades+'!$AA$13,"D+",IF(D452&lt;'PlayerGrades+'!$AA$12,"C-",IF(D452&lt;'PlayerGrades+'!$AA$11,"C",IF(D452&lt;'PlayerGrades+'!$AA$10,"C+",IF(D452&lt;'PlayerGrades+'!$AA$9,"B-",IF(D452&lt;'PlayerGrades+'!$AA$8,"B",IF(D452&lt;'PlayerGrades+'!$AA$7,"B+",IF(D452&lt;'PlayerGrades+'!$AA$6,"A-",IF(D452&lt;'PlayerGrades+'!$AA$5,"A",IF(D452&lt;'PlayerGrades+'!$AA$4,"A+",IF(D452&lt;'PlayerGrades+'!$AA$3,"S-",IF(D452&lt;'PlayerGrades+'!$AA$2,"S","S+"))))))))))))))))))))</f>
        <v>F-</v>
      </c>
      <c r="F452" s="937">
        <f t="shared" si="2"/>
        <v>0</v>
      </c>
      <c r="G452" s="937" t="str">
        <f>IF(F452&lt;'PlayerGrades+'!$AB$21,"F-",IF(F452&lt;'PlayerGrades+'!$AB$20,"F",IF(F452&lt;'PlayerGrades+'!$AB$19,"F+",IF(F452&lt;'PlayerGrades+'!$AB$18,"E-",IF(F452&lt;'PlayerGrades+'!$AB$17,"E",IF(F452&lt;'PlayerGrades+'!$AB$16,"E+",IF(F452&lt;'PlayerGrades+'!$AB$15,"D-",IF(F452&lt;'PlayerGrades+'!$AB$14,"D",IF(F452&lt;'PlayerGrades+'!$AB$13,"D+",IF(F452&lt;'PlayerGrades+'!$AB$12,"C-",IF(F452&lt;'PlayerGrades+'!$AB$11,"C",IF(F452&lt;'PlayerGrades+'!$AB$10,"C+",IF(F452&lt;'PlayerGrades+'!$AB$9,"B-",IF(F452&lt;'PlayerGrades+'!$AB$8,"B",IF(F452&lt;'PlayerGrades+'!$AB$7,"B+",IF(F452&lt;'PlayerGrades+'!$AB$6,"A-",IF(F452&lt;'PlayerGrades+'!$AB$5,"A",IF(F452&lt;'PlayerGrades+'!$AB$4,"A+",IF(F452&lt;'PlayerGrades+'!$AB$3,"S-",IF(F452&lt;'PlayerGrades+'!$AB$2,"S","S+"))))))))))))))))))))</f>
        <v>B</v>
      </c>
      <c r="H452" s="937">
        <f t="shared" si="3"/>
        <v>0.4208416834</v>
      </c>
      <c r="I452" s="937" t="str">
        <f>IF(H452&lt;'PlayerGrades+'!$AC$21,"F-",IF(H452&lt;'PlayerGrades+'!$AC$20,"F",IF(H452&lt;'PlayerGrades+'!$AC$19,"F+",IF(H452&lt;'PlayerGrades+'!$AC$18,"E-",IF(H452&lt;'PlayerGrades+'!$AC$17,"E",IF(H452&lt;'PlayerGrades+'!$AC$16,"E+",IF(H452&lt;'PlayerGrades+'!$AC$15,"D-",IF(H452&lt;'PlayerGrades+'!$AC$14,"D",IF(H452&lt;'PlayerGrades+'!$AC$13,"D+",IF(H452&lt;'PlayerGrades+'!$AC$12,"C-",IF(H452&lt;'PlayerGrades+'!$AC$11,"C",IF(H452&lt;'PlayerGrades+'!$AC$10,"C+",IF(H452&lt;'PlayerGrades+'!$AC$9,"B-",IF(H452&lt;'PlayerGrades+'!$AC$8,"B",IF(H452&lt;'PlayerGrades+'!$AC$7,"B+",IF(H452&lt;'PlayerGrades+'!$AC$6,"A-",IF(H452&lt;'PlayerGrades+'!$AC$5,"A",IF(H452&lt;'PlayerGrades+'!$AC$4,"A+",IF(H452&lt;'PlayerGrades+'!$AC$3,"S-",IF(H452&lt;'PlayerGrades+'!$AC$2,"S","S+"))))))))))))))))))))</f>
        <v>S+</v>
      </c>
      <c r="J452" s="937">
        <f t="shared" si="4"/>
        <v>0.06012024048</v>
      </c>
      <c r="K452" s="937" t="str">
        <f>IF(J452&lt;'PlayerGrades+'!$AD$21,"F-",IF(J452&lt;'PlayerGrades+'!$AD$20,"F",IF(J452&lt;'PlayerGrades+'!$AD$19,"F+",IF(J452&lt;'PlayerGrades+'!$AD$18,"E-",IF(J452&lt;'PlayerGrades+'!$AD$17,"E",IF(J452&lt;'PlayerGrades+'!$AD$16,"E+",IF(J452&lt;'PlayerGrades+'!$AD$15,"D-",IF(J452&lt;'PlayerGrades+'!$AD$14,"D",IF(J452&lt;'PlayerGrades+'!$AD$13,"D+",IF(J452&lt;'PlayerGrades+'!$AD$12,"C-",IF(J452&lt;'PlayerGrades+'!$AD$11,"C",IF(J452&lt;'PlayerGrades+'!$AD$10,"C+",IF(J452&lt;'PlayerGrades+'!$AD$9,"B-",IF(J452&lt;'PlayerGrades+'!$AD$8,"B",IF(J452&lt;'PlayerGrades+'!$AD$7,"B+",IF(J452&lt;'PlayerGrades+'!$AD$6,"A-",IF(J452&lt;'PlayerGrades+'!$AD$5,"A",IF(J452&lt;'PlayerGrades+'!$AD$4,"A+",IF(J452&lt;'PlayerGrades+'!$AD$3,"S-",IF(J452&lt;'PlayerGrades+'!$AD$2,"S","S+"))))))))))))))))))))</f>
        <v>B+</v>
      </c>
      <c r="L452" s="677">
        <f t="shared" si="5"/>
        <v>0.7214428858</v>
      </c>
      <c r="M452" s="938" t="str">
        <f>IF(L452&lt;'PlayerGrades+'!$AE$21,"F-",IF(L452&lt;'PlayerGrades+'!$AE$20,"F",IF(L452&lt;'PlayerGrades+'!$AE$19,"F+",IF(L452&lt;'PlayerGrades+'!$AE$18,"E-",IF(L452&lt;'PlayerGrades+'!$AE$17,"E",IF(L452&lt;'PlayerGrades+'!$AE$16,"E+",IF(L452&lt;'PlayerGrades+'!$AE$15,"D-",IF(L452&lt;'PlayerGrades+'!$AE$14,"D",IF(L452&lt;'PlayerGrades+'!$AE$13,"D+",IF(L452&lt;'PlayerGrades+'!$AE$12,"C-",IF(L452&lt;'PlayerGrades+'!$AE$11,"C",IF(L452&lt;'PlayerGrades+'!$AE$10,"C+",IF(L452&lt;'PlayerGrades+'!$AE$9,"B-",IF(L452&lt;'PlayerGrades+'!$AE$8,"B",IF(L452&lt;'PlayerGrades+'!$AE$7,"B+",IF(L452&lt;'PlayerGrades+'!$AE$6,"A-",IF(L452&lt;'PlayerGrades+'!$AE$5,"A",IF(L452&lt;'PlayerGrades+'!$AE$4,"A+",IF(L452&lt;'PlayerGrades+'!$AE$3,"S-",IF(L452&lt;'PlayerGrades+'!$AE$2,"S","S+"))))))))))))))))))))</f>
        <v>S+</v>
      </c>
      <c r="N452" s="937">
        <f t="shared" si="6"/>
        <v>0.120240481</v>
      </c>
      <c r="O452" s="937" t="str">
        <f>IF(N452&lt;'PlayerGrades+'!$AF$21,"F-",IF(N452&lt;'PlayerGrades+'!$AF$20,"F",IF(N452&lt;'PlayerGrades+'!$AF$19,"F+",IF(N452&lt;'PlayerGrades+'!$AF$18,"E-",IF(N452&lt;'PlayerGrades+'!$AF$17,"E",IF(N452&lt;'PlayerGrades+'!$AF$16,"E+",IF(N452&lt;'PlayerGrades+'!$AF$15,"D-",IF(N452&lt;'PlayerGrades+'!$AF$14,"D",IF(N452&lt;'PlayerGrades+'!$AF$13,"D+",IF(N452&lt;'PlayerGrades+'!$AF$12,"C-",IF(N452&lt;'PlayerGrades+'!$AF$11,"C",IF(N452&lt;'PlayerGrades+'!$AF$10,"C+",IF(N452&lt;'PlayerGrades+'!$AF$9,"B-",IF(N452&lt;'PlayerGrades+'!$AF$8,"B",IF(N452&lt;'PlayerGrades+'!$AF$7,"B+",IF(N452&lt;'PlayerGrades+'!$AF$6,"A-",IF(N452&lt;'PlayerGrades+'!$AF$5,"A",IF(N452&lt;'PlayerGrades+'!$AF$4,"A+",IF(N452&lt;'PlayerGrades+'!$AF$3,"S-",IF(N452&lt;'PlayerGrades+'!$AF$2,"S","S+"))))))))))))))))))))</f>
        <v>S-</v>
      </c>
      <c r="P452" s="937">
        <f t="shared" si="7"/>
        <v>0</v>
      </c>
      <c r="Q452" s="937" t="str">
        <f>IF(P452&lt;'PlayerGrades+'!$AG$21,"F-",IF(P452&lt;'PlayerGrades+'!$AG$20,"F",IF(P452&lt;'PlayerGrades+'!$AG$19,"F+",IF(P452&lt;'PlayerGrades+'!$AG$18,"E-",IF(P452&lt;'PlayerGrades+'!$AG$17,"E",IF(P452&lt;'PlayerGrades+'!$AG$16,"E+",IF(P452&lt;'PlayerGrades+'!$AG$15,"D-",IF(P452&lt;'PlayerGrades+'!$AG$14,"D",IF(P452&lt;'PlayerGrades+'!$AG$13,"D+",IF(P452&lt;'PlayerGrades+'!$AG$12,"C-",IF(P452&lt;'PlayerGrades+'!$AG$11,"C",IF(P452&lt;'PlayerGrades+'!$AG$10,"C+",IF(P452&lt;'PlayerGrades+'!$AG$9,"B-",IF(P452&lt;'PlayerGrades+'!$AG$8,"B",IF(P452&lt;'PlayerGrades+'!$AG$7,"B+",IF(P452&lt;'PlayerGrades+'!$AG$6,"A-",IF(P452&lt;'PlayerGrades+'!$AG$5,"A",IF(P452&lt;'PlayerGrades+'!$AG$4,"A+",IF(P452&lt;'PlayerGrades+'!$AG$3,"S-",IF(P452&lt;'PlayerGrades+'!$AG$2,"S","S+"))))))))))))))))))))</f>
        <v>F</v>
      </c>
      <c r="R452" s="937">
        <f t="shared" si="8"/>
        <v>0.5410821643</v>
      </c>
      <c r="S452" s="937" t="str">
        <f>IF(R452&lt;'PlayerGrades+'!$AH$21,"F-",IF(R452&lt;'PlayerGrades+'!$AH$20,"F",IF(R452&lt;'PlayerGrades+'!$AH$19,"F+",IF(R452&lt;'PlayerGrades+'!$AH$18,"E-",IF(R452&lt;'PlayerGrades+'!$AH$17,"E",IF(R452&lt;'PlayerGrades+'!$AH$16,"E+",IF(R452&lt;'PlayerGrades+'!$AH$15,"D-",IF(R452&lt;'PlayerGrades+'!$AH$14,"D",IF(R452&lt;'PlayerGrades+'!$AH$13,"D+",IF(R452&lt;'PlayerGrades+'!$AH$12,"C-",IF(R452&lt;'PlayerGrades+'!$AH$11,"C",IF(R452&lt;'PlayerGrades+'!$AH$10,"C+",IF(R452&lt;'PlayerGrades+'!$AH$9,"B-",IF(R452&lt;'PlayerGrades+'!$AH$8,"B",IF(R452&lt;'PlayerGrades+'!$AH$7,"B+",IF(R452&lt;'PlayerGrades+'!$AH$6,"A-",IF(R452&lt;'PlayerGrades+'!$AH$5,"A",IF(R452&lt;'PlayerGrades+'!$AH$4,"A+",IF(R452&lt;'PlayerGrades+'!$AH$3,"S-",IF(R452&lt;'PlayerGrades+'!$AH$2,"S","S+"))))))))))))))))))))</f>
        <v>C+</v>
      </c>
      <c r="T452" s="937">
        <f t="shared" si="9"/>
        <v>0.4809619238</v>
      </c>
      <c r="U452" s="937" t="str">
        <f>IF(T452&lt;'PlayerGrades+'!$AI$21,"F-",IF(T452&lt;'PlayerGrades+'!$AI$20,"F",IF(T452&lt;'PlayerGrades+'!$AI$19,"F+",IF(T452&lt;'PlayerGrades+'!$AI$18,"E-",IF(T452&lt;'PlayerGrades+'!$AI$17,"E",IF(T452&lt;'PlayerGrades+'!$AI$16,"E+",IF(T452&lt;'PlayerGrades+'!$AI$15,"D-",IF(T452&lt;'PlayerGrades+'!$AI$14,"D",IF(T452&lt;'PlayerGrades+'!$AI$13,"D+",IF(T452&lt;'PlayerGrades+'!$AI$12,"C-",IF(T452&lt;'PlayerGrades+'!$AI$11,"C",IF(T452&lt;'PlayerGrades+'!$AI$10,"C+",IF(T452&lt;'PlayerGrades+'!$AI$9,"B-",IF(T452&lt;'PlayerGrades+'!$AI$8,"B",IF(T452&lt;'PlayerGrades+'!$AI$7,"B+",IF(T452&lt;'PlayerGrades+'!$AI$6,"A-",IF(T452&lt;'PlayerGrades+'!$AI$5,"A",IF(T452&lt;'PlayerGrades+'!$AI$4,"A+",IF(T452&lt;'PlayerGrades+'!$AI$3,"S-",IF(T452&lt;'PlayerGrades+'!$AI$2,"S","S+"))))))))))))))))))))</f>
        <v>F-</v>
      </c>
      <c r="V452" s="941">
        <v>1.0</v>
      </c>
      <c r="W452" s="941">
        <v>1.0</v>
      </c>
      <c r="X452" s="941">
        <v>0.0</v>
      </c>
      <c r="Y452" s="941">
        <v>0.0</v>
      </c>
      <c r="Z452" s="941">
        <v>0.0</v>
      </c>
      <c r="AA452" s="941">
        <v>60.0</v>
      </c>
      <c r="AB452" s="941">
        <v>60.0</v>
      </c>
      <c r="AC452" s="941">
        <v>0.0</v>
      </c>
      <c r="AD452" s="941">
        <v>2.0</v>
      </c>
      <c r="AE452" s="941">
        <v>5.0</v>
      </c>
      <c r="AF452" s="941">
        <v>0.0</v>
      </c>
      <c r="AG452" s="941">
        <v>736.0</v>
      </c>
      <c r="AH452" s="941">
        <v>998.0</v>
      </c>
      <c r="AI452" s="941">
        <v>12.0</v>
      </c>
      <c r="AJ452" s="941">
        <v>2.0</v>
      </c>
      <c r="AK452" s="941">
        <v>0.0</v>
      </c>
      <c r="AL452" s="941">
        <v>1.0</v>
      </c>
      <c r="AM452" s="941">
        <v>0.0</v>
      </c>
      <c r="AN452" s="941">
        <v>0.0</v>
      </c>
      <c r="AO452" s="941">
        <v>0.0</v>
      </c>
      <c r="AP452" s="941">
        <v>0.0</v>
      </c>
      <c r="AQ452" s="941">
        <v>0.0</v>
      </c>
      <c r="AR452" s="941">
        <v>12.0</v>
      </c>
      <c r="AS452" s="941">
        <v>2.0</v>
      </c>
      <c r="AT452" s="941">
        <v>0.0</v>
      </c>
      <c r="AU452" s="941">
        <v>0.0</v>
      </c>
      <c r="AV452" s="941">
        <v>0.0</v>
      </c>
      <c r="AW452" s="941">
        <v>0.0</v>
      </c>
      <c r="AX452" s="941">
        <v>0.0</v>
      </c>
      <c r="AY452" s="941">
        <v>0.0</v>
      </c>
      <c r="AZ452" s="941">
        <v>0.0</v>
      </c>
      <c r="BA452" s="941">
        <v>0.0</v>
      </c>
      <c r="BB452" s="941">
        <v>7.0</v>
      </c>
      <c r="BC452" s="941">
        <v>0.0</v>
      </c>
      <c r="BD452" s="941">
        <v>7.0</v>
      </c>
      <c r="BE452" s="941">
        <v>8.0</v>
      </c>
      <c r="BF452" s="941">
        <v>0.0</v>
      </c>
      <c r="BG452" s="942">
        <v>1.0</v>
      </c>
    </row>
    <row r="453">
      <c r="A453" s="935" t="s">
        <v>141</v>
      </c>
      <c r="B453" s="16" t="str">
        <f>IF(C453&lt;'PlayerGrades+'!$Y$44,"F-",IF(C453&lt;'PlayerGrades+'!$Y$43,"F",IF(C453&lt;'PlayerGrades+'!$Y$42,"F+",IF(C453&lt;'PlayerGrades+'!$Y$41,"E-",IF(C453&lt;'PlayerGrades+'!$Y$40,"E",IF(C453&lt;'PlayerGrades+'!$Y$39,"E+",IF(C453&lt;'PlayerGrades+'!$Y$38,"D-",IF(C453&lt;'PlayerGrades+'!$Y$37,"D",IF(C453&lt;'PlayerGrades+'!$Y$36,"D+",IF(C453&lt;'PlayerGrades+'!$Y$35,"C-",IF(C453&lt;'PlayerGrades+'!$Y$34,"C",IF(C453&lt;'PlayerGrades+'!$Y$33,"C+",IF(C453&lt;'PlayerGrades+'!$Y$32,"B-",IF(C453&lt;'PlayerGrades+'!$Y$31,"B",IF(C453&lt;'PlayerGrades+'!$Y$30,"B+",IF(C453&lt;'PlayerGrades+'!$Y$29,"A-",IF(C453&lt;'PlayerGrades+'!$Y$28,"A",IF(C453&lt;'PlayerGrades+'!$Y$27,"A+",IF(C453&lt;'PlayerGrades+'!$Y$26,"S-",IF(C453&lt;'PlayerGrades+'!$Y$25,"S","S+"))))))))))))))))))))</f>
        <v>A+</v>
      </c>
      <c r="C453" s="936">
        <f>('PlayerGrades+'!$Y$47*(VLOOKUP(E453, 'PlayerGrades+'!$X$3:$Y$23, 2, FALSE)))+('PlayerGrades+'!$Y$48*(VLOOKUP(G453, 'PlayerGrades+'!$X$3:$Y$23, 2, FALSE)))+('PlayerGrades+'!$Y$49*(VLOOKUP(I453, 'PlayerGrades+'!$X$3:$Y$23, 2, FALSE)))+('PlayerGrades+'!$Y$50*(VLOOKUP(K453, 'PlayerGrades+'!$X$3:$Y$23, 2, FALSE)))+('PlayerGrades+'!$Y$51*(VLOOKUP(M453, 'PlayerGrades+'!$X$3:$Y$23, 2, FALSE)))+('PlayerGrades+'!$Y$52*(VLOOKUP(O453, 'PlayerGrades+'!$X$3:$Y$23, 2, FALSE)))+('PlayerGrades+'!$Y$53*(VLOOKUP(Q453, 'PlayerGrades+'!$X$3:$Y$23, 2, FALSE)))+('PlayerGrades+'!$Y$54*(VLOOKUP(S453, 'PlayerGrades+'!$X$3:$Y$23, 2, FALSE)))+('PlayerGrades+'!$Y$55*(VLOOKUP(U453, 'PlayerGrades+'!$X$3:$Y$23, 2, FALSE)))</f>
        <v>29.2</v>
      </c>
      <c r="D453" s="937">
        <f t="shared" si="1"/>
        <v>0</v>
      </c>
      <c r="E453" s="937" t="str">
        <f>IF(D453&lt;'PlayerGrades+'!$AA$21,"F-",IF(D453&lt;'PlayerGrades+'!$AA$20,"F",IF(D453&lt;'PlayerGrades+'!$AA$19,"F+",IF(D453&lt;'PlayerGrades+'!$AA$18,"E-",IF(D453&lt;'PlayerGrades+'!$AA$17,"E",IF(D453&lt;'PlayerGrades+'!$AA$16,"E+",IF(D453&lt;'PlayerGrades+'!$AA$15,"D-",IF(D453&lt;'PlayerGrades+'!$AA$14,"D",IF(D453&lt;'PlayerGrades+'!$AA$13,"D+",IF(D453&lt;'PlayerGrades+'!$AA$12,"C-",IF(D453&lt;'PlayerGrades+'!$AA$11,"C",IF(D453&lt;'PlayerGrades+'!$AA$10,"C+",IF(D453&lt;'PlayerGrades+'!$AA$9,"B-",IF(D453&lt;'PlayerGrades+'!$AA$8,"B",IF(D453&lt;'PlayerGrades+'!$AA$7,"B+",IF(D453&lt;'PlayerGrades+'!$AA$6,"A-",IF(D453&lt;'PlayerGrades+'!$AA$5,"A",IF(D453&lt;'PlayerGrades+'!$AA$4,"A+",IF(D453&lt;'PlayerGrades+'!$AA$3,"S-",IF(D453&lt;'PlayerGrades+'!$AA$2,"S","S+"))))))))))))))))))))</f>
        <v>F-</v>
      </c>
      <c r="F453" s="937">
        <f t="shared" si="2"/>
        <v>0.4208416834</v>
      </c>
      <c r="G453" s="937" t="str">
        <f>IF(F453&lt;'PlayerGrades+'!$AB$21,"F-",IF(F453&lt;'PlayerGrades+'!$AB$20,"F",IF(F453&lt;'PlayerGrades+'!$AB$19,"F+",IF(F453&lt;'PlayerGrades+'!$AB$18,"E-",IF(F453&lt;'PlayerGrades+'!$AB$17,"E",IF(F453&lt;'PlayerGrades+'!$AB$16,"E+",IF(F453&lt;'PlayerGrades+'!$AB$15,"D-",IF(F453&lt;'PlayerGrades+'!$AB$14,"D",IF(F453&lt;'PlayerGrades+'!$AB$13,"D+",IF(F453&lt;'PlayerGrades+'!$AB$12,"C-",IF(F453&lt;'PlayerGrades+'!$AB$11,"C",IF(F453&lt;'PlayerGrades+'!$AB$10,"C+",IF(F453&lt;'PlayerGrades+'!$AB$9,"B-",IF(F453&lt;'PlayerGrades+'!$AB$8,"B",IF(F453&lt;'PlayerGrades+'!$AB$7,"B+",IF(F453&lt;'PlayerGrades+'!$AB$6,"A-",IF(F453&lt;'PlayerGrades+'!$AB$5,"A",IF(F453&lt;'PlayerGrades+'!$AB$4,"A+",IF(F453&lt;'PlayerGrades+'!$AB$3,"S-",IF(F453&lt;'PlayerGrades+'!$AB$2,"S","S+"))))))))))))))))))))</f>
        <v>A</v>
      </c>
      <c r="H453" s="937">
        <f t="shared" si="3"/>
        <v>0.1803607214</v>
      </c>
      <c r="I453" s="937" t="str">
        <f>IF(H453&lt;'PlayerGrades+'!$AC$21,"F-",IF(H453&lt;'PlayerGrades+'!$AC$20,"F",IF(H453&lt;'PlayerGrades+'!$AC$19,"F+",IF(H453&lt;'PlayerGrades+'!$AC$18,"E-",IF(H453&lt;'PlayerGrades+'!$AC$17,"E",IF(H453&lt;'PlayerGrades+'!$AC$16,"E+",IF(H453&lt;'PlayerGrades+'!$AC$15,"D-",IF(H453&lt;'PlayerGrades+'!$AC$14,"D",IF(H453&lt;'PlayerGrades+'!$AC$13,"D+",IF(H453&lt;'PlayerGrades+'!$AC$12,"C-",IF(H453&lt;'PlayerGrades+'!$AC$11,"C",IF(H453&lt;'PlayerGrades+'!$AC$10,"C+",IF(H453&lt;'PlayerGrades+'!$AC$9,"B-",IF(H453&lt;'PlayerGrades+'!$AC$8,"B",IF(H453&lt;'PlayerGrades+'!$AC$7,"B+",IF(H453&lt;'PlayerGrades+'!$AC$6,"A-",IF(H453&lt;'PlayerGrades+'!$AC$5,"A",IF(H453&lt;'PlayerGrades+'!$AC$4,"A+",IF(H453&lt;'PlayerGrades+'!$AC$3,"S-",IF(H453&lt;'PlayerGrades+'!$AC$2,"S","S+"))))))))))))))))))))</f>
        <v>S-</v>
      </c>
      <c r="J453" s="937">
        <f t="shared" si="4"/>
        <v>0.120240481</v>
      </c>
      <c r="K453" s="937" t="str">
        <f>IF(J453&lt;'PlayerGrades+'!$AD$21,"F-",IF(J453&lt;'PlayerGrades+'!$AD$20,"F",IF(J453&lt;'PlayerGrades+'!$AD$19,"F+",IF(J453&lt;'PlayerGrades+'!$AD$18,"E-",IF(J453&lt;'PlayerGrades+'!$AD$17,"E",IF(J453&lt;'PlayerGrades+'!$AD$16,"E+",IF(J453&lt;'PlayerGrades+'!$AD$15,"D-",IF(J453&lt;'PlayerGrades+'!$AD$14,"D",IF(J453&lt;'PlayerGrades+'!$AD$13,"D+",IF(J453&lt;'PlayerGrades+'!$AD$12,"C-",IF(J453&lt;'PlayerGrades+'!$AD$11,"C",IF(J453&lt;'PlayerGrades+'!$AD$10,"C+",IF(J453&lt;'PlayerGrades+'!$AD$9,"B-",IF(J453&lt;'PlayerGrades+'!$AD$8,"B",IF(J453&lt;'PlayerGrades+'!$AD$7,"B+",IF(J453&lt;'PlayerGrades+'!$AD$6,"A-",IF(J453&lt;'PlayerGrades+'!$AD$5,"A",IF(J453&lt;'PlayerGrades+'!$AD$4,"A+",IF(J453&lt;'PlayerGrades+'!$AD$3,"S-",IF(J453&lt;'PlayerGrades+'!$AD$2,"S","S+"))))))))))))))))))))</f>
        <v>S+</v>
      </c>
      <c r="L453" s="677">
        <f t="shared" si="5"/>
        <v>0.5410821643</v>
      </c>
      <c r="M453" s="938" t="str">
        <f>IF(L453&lt;'PlayerGrades+'!$AE$21,"F-",IF(L453&lt;'PlayerGrades+'!$AE$20,"F",IF(L453&lt;'PlayerGrades+'!$AE$19,"F+",IF(L453&lt;'PlayerGrades+'!$AE$18,"E-",IF(L453&lt;'PlayerGrades+'!$AE$17,"E",IF(L453&lt;'PlayerGrades+'!$AE$16,"E+",IF(L453&lt;'PlayerGrades+'!$AE$15,"D-",IF(L453&lt;'PlayerGrades+'!$AE$14,"D",IF(L453&lt;'PlayerGrades+'!$AE$13,"D+",IF(L453&lt;'PlayerGrades+'!$AE$12,"C-",IF(L453&lt;'PlayerGrades+'!$AE$11,"C",IF(L453&lt;'PlayerGrades+'!$AE$10,"C+",IF(L453&lt;'PlayerGrades+'!$AE$9,"B-",IF(L453&lt;'PlayerGrades+'!$AE$8,"B",IF(L453&lt;'PlayerGrades+'!$AE$7,"B+",IF(L453&lt;'PlayerGrades+'!$AE$6,"A-",IF(L453&lt;'PlayerGrades+'!$AE$5,"A",IF(L453&lt;'PlayerGrades+'!$AE$4,"A+",IF(L453&lt;'PlayerGrades+'!$AE$3,"S-",IF(L453&lt;'PlayerGrades+'!$AE$2,"S","S+"))))))))))))))))))))</f>
        <v>A</v>
      </c>
      <c r="N453" s="937">
        <f t="shared" si="6"/>
        <v>0.1803607214</v>
      </c>
      <c r="O453" s="937" t="str">
        <f>IF(N453&lt;'PlayerGrades+'!$AF$21,"F-",IF(N453&lt;'PlayerGrades+'!$AF$20,"F",IF(N453&lt;'PlayerGrades+'!$AF$19,"F+",IF(N453&lt;'PlayerGrades+'!$AF$18,"E-",IF(N453&lt;'PlayerGrades+'!$AF$17,"E",IF(N453&lt;'PlayerGrades+'!$AF$16,"E+",IF(N453&lt;'PlayerGrades+'!$AF$15,"D-",IF(N453&lt;'PlayerGrades+'!$AF$14,"D",IF(N453&lt;'PlayerGrades+'!$AF$13,"D+",IF(N453&lt;'PlayerGrades+'!$AF$12,"C-",IF(N453&lt;'PlayerGrades+'!$AF$11,"C",IF(N453&lt;'PlayerGrades+'!$AF$10,"C+",IF(N453&lt;'PlayerGrades+'!$AF$9,"B-",IF(N453&lt;'PlayerGrades+'!$AF$8,"B",IF(N453&lt;'PlayerGrades+'!$AF$7,"B+",IF(N453&lt;'PlayerGrades+'!$AF$6,"A-",IF(N453&lt;'PlayerGrades+'!$AF$5,"A",IF(N453&lt;'PlayerGrades+'!$AF$4,"A+",IF(N453&lt;'PlayerGrades+'!$AF$3,"S-",IF(N453&lt;'PlayerGrades+'!$AF$2,"S","S+"))))))))))))))))))))</f>
        <v>S+</v>
      </c>
      <c r="P453" s="937">
        <f t="shared" si="7"/>
        <v>0.120240481</v>
      </c>
      <c r="Q453" s="937" t="str">
        <f>IF(P453&lt;'PlayerGrades+'!$AG$21,"F-",IF(P453&lt;'PlayerGrades+'!$AG$20,"F",IF(P453&lt;'PlayerGrades+'!$AG$19,"F+",IF(P453&lt;'PlayerGrades+'!$AG$18,"E-",IF(P453&lt;'PlayerGrades+'!$AG$17,"E",IF(P453&lt;'PlayerGrades+'!$AG$16,"E+",IF(P453&lt;'PlayerGrades+'!$AG$15,"D-",IF(P453&lt;'PlayerGrades+'!$AG$14,"D",IF(P453&lt;'PlayerGrades+'!$AG$13,"D+",IF(P453&lt;'PlayerGrades+'!$AG$12,"C-",IF(P453&lt;'PlayerGrades+'!$AG$11,"C",IF(P453&lt;'PlayerGrades+'!$AG$10,"C+",IF(P453&lt;'PlayerGrades+'!$AG$9,"B-",IF(P453&lt;'PlayerGrades+'!$AG$8,"B",IF(P453&lt;'PlayerGrades+'!$AG$7,"B+",IF(P453&lt;'PlayerGrades+'!$AG$6,"A-",IF(P453&lt;'PlayerGrades+'!$AG$5,"A",IF(P453&lt;'PlayerGrades+'!$AG$4,"A+",IF(P453&lt;'PlayerGrades+'!$AG$3,"S-",IF(P453&lt;'PlayerGrades+'!$AG$2,"S","S+"))))))))))))))))))))</f>
        <v>S+</v>
      </c>
      <c r="R453" s="937">
        <f t="shared" si="8"/>
        <v>0.9619238477</v>
      </c>
      <c r="S453" s="937" t="str">
        <f>IF(R453&lt;'PlayerGrades+'!$AH$21,"F-",IF(R453&lt;'PlayerGrades+'!$AH$20,"F",IF(R453&lt;'PlayerGrades+'!$AH$19,"F+",IF(R453&lt;'PlayerGrades+'!$AH$18,"E-",IF(R453&lt;'PlayerGrades+'!$AH$17,"E",IF(R453&lt;'PlayerGrades+'!$AH$16,"E+",IF(R453&lt;'PlayerGrades+'!$AH$15,"D-",IF(R453&lt;'PlayerGrades+'!$AH$14,"D",IF(R453&lt;'PlayerGrades+'!$AH$13,"D+",IF(R453&lt;'PlayerGrades+'!$AH$12,"C-",IF(R453&lt;'PlayerGrades+'!$AH$11,"C",IF(R453&lt;'PlayerGrades+'!$AH$10,"C+",IF(R453&lt;'PlayerGrades+'!$AH$9,"B-",IF(R453&lt;'PlayerGrades+'!$AH$8,"B",IF(R453&lt;'PlayerGrades+'!$AH$7,"B+",IF(R453&lt;'PlayerGrades+'!$AH$6,"A-",IF(R453&lt;'PlayerGrades+'!$AH$5,"A",IF(R453&lt;'PlayerGrades+'!$AH$4,"A+",IF(R453&lt;'PlayerGrades+'!$AH$3,"S-",IF(R453&lt;'PlayerGrades+'!$AH$2,"S","S+"))))))))))))))))))))</f>
        <v>S+</v>
      </c>
      <c r="T453" s="937">
        <f t="shared" si="9"/>
        <v>0.2404809619</v>
      </c>
      <c r="U453" s="937" t="str">
        <f>IF(T453&lt;'PlayerGrades+'!$AI$21,"F-",IF(T453&lt;'PlayerGrades+'!$AI$20,"F",IF(T453&lt;'PlayerGrades+'!$AI$19,"F+",IF(T453&lt;'PlayerGrades+'!$AI$18,"E-",IF(T453&lt;'PlayerGrades+'!$AI$17,"E",IF(T453&lt;'PlayerGrades+'!$AI$16,"E+",IF(T453&lt;'PlayerGrades+'!$AI$15,"D-",IF(T453&lt;'PlayerGrades+'!$AI$14,"D",IF(T453&lt;'PlayerGrades+'!$AI$13,"D+",IF(T453&lt;'PlayerGrades+'!$AI$12,"C-",IF(T453&lt;'PlayerGrades+'!$AI$11,"C",IF(T453&lt;'PlayerGrades+'!$AI$10,"C+",IF(T453&lt;'PlayerGrades+'!$AI$9,"B-",IF(T453&lt;'PlayerGrades+'!$AI$8,"B",IF(T453&lt;'PlayerGrades+'!$AI$7,"B+",IF(T453&lt;'PlayerGrades+'!$AI$6,"A-",IF(T453&lt;'PlayerGrades+'!$AI$5,"A",IF(T453&lt;'PlayerGrades+'!$AI$4,"A+",IF(T453&lt;'PlayerGrades+'!$AI$3,"S-",IF(T453&lt;'PlayerGrades+'!$AI$2,"S","S+"))))))))))))))))))))</f>
        <v>F-</v>
      </c>
      <c r="V453" s="941">
        <v>1.0</v>
      </c>
      <c r="W453" s="941">
        <v>1.0</v>
      </c>
      <c r="X453" s="941">
        <v>0.0</v>
      </c>
      <c r="Y453" s="941">
        <v>0.0</v>
      </c>
      <c r="Z453" s="941">
        <v>0.0</v>
      </c>
      <c r="AA453" s="941">
        <v>62.0</v>
      </c>
      <c r="AB453" s="941">
        <v>55.0</v>
      </c>
      <c r="AC453" s="941">
        <v>7.0</v>
      </c>
      <c r="AD453" s="941">
        <v>8.0</v>
      </c>
      <c r="AE453" s="941">
        <v>7.0</v>
      </c>
      <c r="AF453" s="941">
        <v>2.0</v>
      </c>
      <c r="AG453" s="941">
        <v>756.0</v>
      </c>
      <c r="AH453" s="941">
        <v>998.0</v>
      </c>
      <c r="AI453" s="941">
        <v>13.0</v>
      </c>
      <c r="AJ453" s="941">
        <v>2.0</v>
      </c>
      <c r="AK453" s="941">
        <v>0.0</v>
      </c>
      <c r="AL453" s="941">
        <v>2.0</v>
      </c>
      <c r="AM453" s="941">
        <v>0.0</v>
      </c>
      <c r="AN453" s="941">
        <v>0.0</v>
      </c>
      <c r="AO453" s="941">
        <v>0.0</v>
      </c>
      <c r="AP453" s="941">
        <v>2.0</v>
      </c>
      <c r="AQ453" s="941">
        <v>0.0</v>
      </c>
      <c r="AR453" s="941">
        <v>9.0</v>
      </c>
      <c r="AS453" s="941">
        <v>3.0</v>
      </c>
      <c r="AT453" s="941">
        <v>1.0</v>
      </c>
      <c r="AU453" s="941">
        <v>1.0</v>
      </c>
      <c r="AV453" s="941">
        <v>1.0</v>
      </c>
      <c r="AW453" s="941">
        <v>0.0</v>
      </c>
      <c r="AX453" s="941">
        <v>0.0</v>
      </c>
      <c r="AY453" s="941">
        <v>0.0</v>
      </c>
      <c r="AZ453" s="941">
        <v>0.0</v>
      </c>
      <c r="BA453" s="941">
        <v>0.0</v>
      </c>
      <c r="BB453" s="941">
        <v>3.0</v>
      </c>
      <c r="BC453" s="941">
        <v>0.0</v>
      </c>
      <c r="BD453" s="941">
        <v>8.0</v>
      </c>
      <c r="BE453" s="941">
        <v>4.0</v>
      </c>
      <c r="BF453" s="941">
        <v>0.0</v>
      </c>
      <c r="BG453" s="942">
        <v>1.0</v>
      </c>
    </row>
    <row r="454">
      <c r="A454" s="935" t="s">
        <v>117</v>
      </c>
      <c r="B454" s="16" t="str">
        <f>IF(C454&lt;'PlayerGrades+'!$Y$44,"F-",IF(C454&lt;'PlayerGrades+'!$Y$43,"F",IF(C454&lt;'PlayerGrades+'!$Y$42,"F+",IF(C454&lt;'PlayerGrades+'!$Y$41,"E-",IF(C454&lt;'PlayerGrades+'!$Y$40,"E",IF(C454&lt;'PlayerGrades+'!$Y$39,"E+",IF(C454&lt;'PlayerGrades+'!$Y$38,"D-",IF(C454&lt;'PlayerGrades+'!$Y$37,"D",IF(C454&lt;'PlayerGrades+'!$Y$36,"D+",IF(C454&lt;'PlayerGrades+'!$Y$35,"C-",IF(C454&lt;'PlayerGrades+'!$Y$34,"C",IF(C454&lt;'PlayerGrades+'!$Y$33,"C+",IF(C454&lt;'PlayerGrades+'!$Y$32,"B-",IF(C454&lt;'PlayerGrades+'!$Y$31,"B",IF(C454&lt;'PlayerGrades+'!$Y$30,"B+",IF(C454&lt;'PlayerGrades+'!$Y$29,"A-",IF(C454&lt;'PlayerGrades+'!$Y$28,"A",IF(C454&lt;'PlayerGrades+'!$Y$27,"A+",IF(C454&lt;'PlayerGrades+'!$Y$26,"S-",IF(C454&lt;'PlayerGrades+'!$Y$25,"S","S+"))))))))))))))))))))</f>
        <v>F-</v>
      </c>
      <c r="C454" s="936">
        <f>('PlayerGrades+'!$Y$47*(VLOOKUP(E454, 'PlayerGrades+'!$X$3:$Y$23, 2, FALSE)))+('PlayerGrades+'!$Y$48*(VLOOKUP(G454, 'PlayerGrades+'!$X$3:$Y$23, 2, FALSE)))+('PlayerGrades+'!$Y$49*(VLOOKUP(I454, 'PlayerGrades+'!$X$3:$Y$23, 2, FALSE)))+('PlayerGrades+'!$Y$50*(VLOOKUP(K454, 'PlayerGrades+'!$X$3:$Y$23, 2, FALSE)))+('PlayerGrades+'!$Y$51*(VLOOKUP(M454, 'PlayerGrades+'!$X$3:$Y$23, 2, FALSE)))+('PlayerGrades+'!$Y$52*(VLOOKUP(O454, 'PlayerGrades+'!$X$3:$Y$23, 2, FALSE)))+('PlayerGrades+'!$Y$53*(VLOOKUP(Q454, 'PlayerGrades+'!$X$3:$Y$23, 2, FALSE)))+('PlayerGrades+'!$Y$54*(VLOOKUP(S454, 'PlayerGrades+'!$X$3:$Y$23, 2, FALSE)))+('PlayerGrades+'!$Y$55*(VLOOKUP(U454, 'PlayerGrades+'!$X$3:$Y$23, 2, FALSE)))</f>
        <v>8.2</v>
      </c>
      <c r="D454" s="937">
        <f t="shared" si="1"/>
        <v>0.3006012024</v>
      </c>
      <c r="E454" s="937" t="str">
        <f>IF(D454&lt;'PlayerGrades+'!$AA$21,"F-",IF(D454&lt;'PlayerGrades+'!$AA$20,"F",IF(D454&lt;'PlayerGrades+'!$AA$19,"F+",IF(D454&lt;'PlayerGrades+'!$AA$18,"E-",IF(D454&lt;'PlayerGrades+'!$AA$17,"E",IF(D454&lt;'PlayerGrades+'!$AA$16,"E+",IF(D454&lt;'PlayerGrades+'!$AA$15,"D-",IF(D454&lt;'PlayerGrades+'!$AA$14,"D",IF(D454&lt;'PlayerGrades+'!$AA$13,"D+",IF(D454&lt;'PlayerGrades+'!$AA$12,"C-",IF(D454&lt;'PlayerGrades+'!$AA$11,"C",IF(D454&lt;'PlayerGrades+'!$AA$10,"C+",IF(D454&lt;'PlayerGrades+'!$AA$9,"B-",IF(D454&lt;'PlayerGrades+'!$AA$8,"B",IF(D454&lt;'PlayerGrades+'!$AA$7,"B+",IF(D454&lt;'PlayerGrades+'!$AA$6,"A-",IF(D454&lt;'PlayerGrades+'!$AA$5,"A",IF(D454&lt;'PlayerGrades+'!$AA$4,"A+",IF(D454&lt;'PlayerGrades+'!$AA$3,"S-",IF(D454&lt;'PlayerGrades+'!$AA$2,"S","S+"))))))))))))))))))))</f>
        <v>A</v>
      </c>
      <c r="F454" s="937">
        <f t="shared" si="2"/>
        <v>-1.26252505</v>
      </c>
      <c r="G454" s="937" t="str">
        <f>IF(F454&lt;'PlayerGrades+'!$AB$21,"F-",IF(F454&lt;'PlayerGrades+'!$AB$20,"F",IF(F454&lt;'PlayerGrades+'!$AB$19,"F+",IF(F454&lt;'PlayerGrades+'!$AB$18,"E-",IF(F454&lt;'PlayerGrades+'!$AB$17,"E",IF(F454&lt;'PlayerGrades+'!$AB$16,"E+",IF(F454&lt;'PlayerGrades+'!$AB$15,"D-",IF(F454&lt;'PlayerGrades+'!$AB$14,"D",IF(F454&lt;'PlayerGrades+'!$AB$13,"D+",IF(F454&lt;'PlayerGrades+'!$AB$12,"C-",IF(F454&lt;'PlayerGrades+'!$AB$11,"C",IF(F454&lt;'PlayerGrades+'!$AB$10,"C+",IF(F454&lt;'PlayerGrades+'!$AB$9,"B-",IF(F454&lt;'PlayerGrades+'!$AB$8,"B",IF(F454&lt;'PlayerGrades+'!$AB$7,"B+",IF(F454&lt;'PlayerGrades+'!$AB$6,"A-",IF(F454&lt;'PlayerGrades+'!$AB$5,"A",IF(F454&lt;'PlayerGrades+'!$AB$4,"A+",IF(F454&lt;'PlayerGrades+'!$AB$3,"S-",IF(F454&lt;'PlayerGrades+'!$AB$2,"S","S+"))))))))))))))))))))</f>
        <v>F-</v>
      </c>
      <c r="H454" s="937">
        <f t="shared" si="3"/>
        <v>0</v>
      </c>
      <c r="I454" s="937" t="str">
        <f>IF(H454&lt;'PlayerGrades+'!$AC$21,"F-",IF(H454&lt;'PlayerGrades+'!$AC$20,"F",IF(H454&lt;'PlayerGrades+'!$AC$19,"F+",IF(H454&lt;'PlayerGrades+'!$AC$18,"E-",IF(H454&lt;'PlayerGrades+'!$AC$17,"E",IF(H454&lt;'PlayerGrades+'!$AC$16,"E+",IF(H454&lt;'PlayerGrades+'!$AC$15,"D-",IF(H454&lt;'PlayerGrades+'!$AC$14,"D",IF(H454&lt;'PlayerGrades+'!$AC$13,"D+",IF(H454&lt;'PlayerGrades+'!$AC$12,"C-",IF(H454&lt;'PlayerGrades+'!$AC$11,"C",IF(H454&lt;'PlayerGrades+'!$AC$10,"C+",IF(H454&lt;'PlayerGrades+'!$AC$9,"B-",IF(H454&lt;'PlayerGrades+'!$AC$8,"B",IF(H454&lt;'PlayerGrades+'!$AC$7,"B+",IF(H454&lt;'PlayerGrades+'!$AC$6,"A-",IF(H454&lt;'PlayerGrades+'!$AC$5,"A",IF(H454&lt;'PlayerGrades+'!$AC$4,"A+",IF(H454&lt;'PlayerGrades+'!$AC$3,"S-",IF(H454&lt;'PlayerGrades+'!$AC$2,"S","S+"))))))))))))))))))))</f>
        <v>F-</v>
      </c>
      <c r="J454" s="937">
        <f t="shared" si="4"/>
        <v>0</v>
      </c>
      <c r="K454" s="937" t="str">
        <f>IF(J454&lt;'PlayerGrades+'!$AD$21,"F-",IF(J454&lt;'PlayerGrades+'!$AD$20,"F",IF(J454&lt;'PlayerGrades+'!$AD$19,"F+",IF(J454&lt;'PlayerGrades+'!$AD$18,"E-",IF(J454&lt;'PlayerGrades+'!$AD$17,"E",IF(J454&lt;'PlayerGrades+'!$AD$16,"E+",IF(J454&lt;'PlayerGrades+'!$AD$15,"D-",IF(J454&lt;'PlayerGrades+'!$AD$14,"D",IF(J454&lt;'PlayerGrades+'!$AD$13,"D+",IF(J454&lt;'PlayerGrades+'!$AD$12,"C-",IF(J454&lt;'PlayerGrades+'!$AD$11,"C",IF(J454&lt;'PlayerGrades+'!$AD$10,"C+",IF(J454&lt;'PlayerGrades+'!$AD$9,"B-",IF(J454&lt;'PlayerGrades+'!$AD$8,"B",IF(J454&lt;'PlayerGrades+'!$AD$7,"B+",IF(J454&lt;'PlayerGrades+'!$AD$6,"A-",IF(J454&lt;'PlayerGrades+'!$AD$5,"A",IF(J454&lt;'PlayerGrades+'!$AD$4,"A+",IF(J454&lt;'PlayerGrades+'!$AD$3,"S-",IF(J454&lt;'PlayerGrades+'!$AD$2,"S","S+"))))))))))))))))))))</f>
        <v>F-</v>
      </c>
      <c r="L454" s="677">
        <f t="shared" si="5"/>
        <v>0.06012024048</v>
      </c>
      <c r="M454" s="938" t="str">
        <f>IF(L454&lt;'PlayerGrades+'!$AE$21,"F-",IF(L454&lt;'PlayerGrades+'!$AE$20,"F",IF(L454&lt;'PlayerGrades+'!$AE$19,"F+",IF(L454&lt;'PlayerGrades+'!$AE$18,"E-",IF(L454&lt;'PlayerGrades+'!$AE$17,"E",IF(L454&lt;'PlayerGrades+'!$AE$16,"E+",IF(L454&lt;'PlayerGrades+'!$AE$15,"D-",IF(L454&lt;'PlayerGrades+'!$AE$14,"D",IF(L454&lt;'PlayerGrades+'!$AE$13,"D+",IF(L454&lt;'PlayerGrades+'!$AE$12,"C-",IF(L454&lt;'PlayerGrades+'!$AE$11,"C",IF(L454&lt;'PlayerGrades+'!$AE$10,"C+",IF(L454&lt;'PlayerGrades+'!$AE$9,"B-",IF(L454&lt;'PlayerGrades+'!$AE$8,"B",IF(L454&lt;'PlayerGrades+'!$AE$7,"B+",IF(L454&lt;'PlayerGrades+'!$AE$6,"A-",IF(L454&lt;'PlayerGrades+'!$AE$5,"A",IF(L454&lt;'PlayerGrades+'!$AE$4,"A+",IF(L454&lt;'PlayerGrades+'!$AE$3,"S-",IF(L454&lt;'PlayerGrades+'!$AE$2,"S","S+"))))))))))))))))))))</f>
        <v>F-</v>
      </c>
      <c r="N454" s="937">
        <f t="shared" si="6"/>
        <v>0</v>
      </c>
      <c r="O454" s="937" t="str">
        <f>IF(N454&lt;'PlayerGrades+'!$AF$21,"F-",IF(N454&lt;'PlayerGrades+'!$AF$20,"F",IF(N454&lt;'PlayerGrades+'!$AF$19,"F+",IF(N454&lt;'PlayerGrades+'!$AF$18,"E-",IF(N454&lt;'PlayerGrades+'!$AF$17,"E",IF(N454&lt;'PlayerGrades+'!$AF$16,"E+",IF(N454&lt;'PlayerGrades+'!$AF$15,"D-",IF(N454&lt;'PlayerGrades+'!$AF$14,"D",IF(N454&lt;'PlayerGrades+'!$AF$13,"D+",IF(N454&lt;'PlayerGrades+'!$AF$12,"C-",IF(N454&lt;'PlayerGrades+'!$AF$11,"C",IF(N454&lt;'PlayerGrades+'!$AF$10,"C+",IF(N454&lt;'PlayerGrades+'!$AF$9,"B-",IF(N454&lt;'PlayerGrades+'!$AF$8,"B",IF(N454&lt;'PlayerGrades+'!$AF$7,"B+",IF(N454&lt;'PlayerGrades+'!$AF$6,"A-",IF(N454&lt;'PlayerGrades+'!$AF$5,"A",IF(N454&lt;'PlayerGrades+'!$AF$4,"A+",IF(N454&lt;'PlayerGrades+'!$AF$3,"S-",IF(N454&lt;'PlayerGrades+'!$AF$2,"S","S+"))))))))))))))))))))</f>
        <v>F-</v>
      </c>
      <c r="P454" s="937">
        <f t="shared" si="7"/>
        <v>0</v>
      </c>
      <c r="Q454" s="937" t="str">
        <f>IF(P454&lt;'PlayerGrades+'!$AG$21,"F-",IF(P454&lt;'PlayerGrades+'!$AG$20,"F",IF(P454&lt;'PlayerGrades+'!$AG$19,"F+",IF(P454&lt;'PlayerGrades+'!$AG$18,"E-",IF(P454&lt;'PlayerGrades+'!$AG$17,"E",IF(P454&lt;'PlayerGrades+'!$AG$16,"E+",IF(P454&lt;'PlayerGrades+'!$AG$15,"D-",IF(P454&lt;'PlayerGrades+'!$AG$14,"D",IF(P454&lt;'PlayerGrades+'!$AG$13,"D+",IF(P454&lt;'PlayerGrades+'!$AG$12,"C-",IF(P454&lt;'PlayerGrades+'!$AG$11,"C",IF(P454&lt;'PlayerGrades+'!$AG$10,"C+",IF(P454&lt;'PlayerGrades+'!$AG$9,"B-",IF(P454&lt;'PlayerGrades+'!$AG$8,"B",IF(P454&lt;'PlayerGrades+'!$AG$7,"B+",IF(P454&lt;'PlayerGrades+'!$AG$6,"A-",IF(P454&lt;'PlayerGrades+'!$AG$5,"A",IF(P454&lt;'PlayerGrades+'!$AG$4,"A+",IF(P454&lt;'PlayerGrades+'!$AG$3,"S-",IF(P454&lt;'PlayerGrades+'!$AG$2,"S","S+"))))))))))))))))))))</f>
        <v>F</v>
      </c>
      <c r="R454" s="937">
        <f t="shared" si="8"/>
        <v>0.4208416834</v>
      </c>
      <c r="S454" s="937" t="str">
        <f>IF(R454&lt;'PlayerGrades+'!$AH$21,"F-",IF(R454&lt;'PlayerGrades+'!$AH$20,"F",IF(R454&lt;'PlayerGrades+'!$AH$19,"F+",IF(R454&lt;'PlayerGrades+'!$AH$18,"E-",IF(R454&lt;'PlayerGrades+'!$AH$17,"E",IF(R454&lt;'PlayerGrades+'!$AH$16,"E+",IF(R454&lt;'PlayerGrades+'!$AH$15,"D-",IF(R454&lt;'PlayerGrades+'!$AH$14,"D",IF(R454&lt;'PlayerGrades+'!$AH$13,"D+",IF(R454&lt;'PlayerGrades+'!$AH$12,"C-",IF(R454&lt;'PlayerGrades+'!$AH$11,"C",IF(R454&lt;'PlayerGrades+'!$AH$10,"C+",IF(R454&lt;'PlayerGrades+'!$AH$9,"B-",IF(R454&lt;'PlayerGrades+'!$AH$8,"B",IF(R454&lt;'PlayerGrades+'!$AH$7,"B+",IF(R454&lt;'PlayerGrades+'!$AH$6,"A-",IF(R454&lt;'PlayerGrades+'!$AH$5,"A",IF(R454&lt;'PlayerGrades+'!$AH$4,"A+",IF(R454&lt;'PlayerGrades+'!$AH$3,"S-",IF(R454&lt;'PlayerGrades+'!$AH$2,"S","S+"))))))))))))))))))))</f>
        <v>F+</v>
      </c>
      <c r="T454" s="937">
        <f t="shared" si="9"/>
        <v>1.240480962</v>
      </c>
      <c r="U454" s="937" t="str">
        <f>IF(T454&lt;'PlayerGrades+'!$AI$21,"F-",IF(T454&lt;'PlayerGrades+'!$AI$20,"F",IF(T454&lt;'PlayerGrades+'!$AI$19,"F+",IF(T454&lt;'PlayerGrades+'!$AI$18,"E-",IF(T454&lt;'PlayerGrades+'!$AI$17,"E",IF(T454&lt;'PlayerGrades+'!$AI$16,"E+",IF(T454&lt;'PlayerGrades+'!$AI$15,"D-",IF(T454&lt;'PlayerGrades+'!$AI$14,"D",IF(T454&lt;'PlayerGrades+'!$AI$13,"D+",IF(T454&lt;'PlayerGrades+'!$AI$12,"C-",IF(T454&lt;'PlayerGrades+'!$AI$11,"C",IF(T454&lt;'PlayerGrades+'!$AI$10,"C+",IF(T454&lt;'PlayerGrades+'!$AI$9,"B-",IF(T454&lt;'PlayerGrades+'!$AI$8,"B",IF(T454&lt;'PlayerGrades+'!$AI$7,"B+",IF(T454&lt;'PlayerGrades+'!$AI$6,"A-",IF(T454&lt;'PlayerGrades+'!$AI$5,"A",IF(T454&lt;'PlayerGrades+'!$AI$4,"A+",IF(T454&lt;'PlayerGrades+'!$AI$3,"S-",IF(T454&lt;'PlayerGrades+'!$AI$2,"S","S+"))))))))))))))))))))</f>
        <v>C</v>
      </c>
      <c r="V454" s="941">
        <v>1.0</v>
      </c>
      <c r="W454" s="941">
        <v>0.0</v>
      </c>
      <c r="X454" s="941">
        <v>1.0</v>
      </c>
      <c r="Y454" s="941">
        <v>1.0</v>
      </c>
      <c r="Z454" s="941">
        <v>4.0</v>
      </c>
      <c r="AA454" s="941">
        <v>27.0</v>
      </c>
      <c r="AB454" s="941">
        <v>48.0</v>
      </c>
      <c r="AC454" s="941">
        <v>-21.0</v>
      </c>
      <c r="AD454" s="941">
        <v>5.0</v>
      </c>
      <c r="AE454" s="941">
        <v>3.0</v>
      </c>
      <c r="AF454" s="941">
        <v>1.0</v>
      </c>
      <c r="AG454" s="941">
        <v>771.0</v>
      </c>
      <c r="AH454" s="941">
        <v>998.0</v>
      </c>
      <c r="AI454" s="941">
        <v>16.0</v>
      </c>
      <c r="AJ454" s="941">
        <v>117.0</v>
      </c>
      <c r="AK454" s="941">
        <v>0.0</v>
      </c>
      <c r="AL454" s="941">
        <v>0.0</v>
      </c>
      <c r="AM454" s="941">
        <v>0.0</v>
      </c>
      <c r="AN454" s="941">
        <v>0.0</v>
      </c>
      <c r="AO454" s="941">
        <v>0.0</v>
      </c>
      <c r="AP454" s="941">
        <v>0.0</v>
      </c>
      <c r="AQ454" s="941">
        <v>0.0</v>
      </c>
      <c r="AR454" s="941">
        <v>1.0</v>
      </c>
      <c r="AS454" s="941">
        <v>0.0</v>
      </c>
      <c r="AT454" s="941">
        <v>0.0</v>
      </c>
      <c r="AU454" s="941">
        <v>0.0</v>
      </c>
      <c r="AV454" s="941">
        <v>0.0</v>
      </c>
      <c r="AW454" s="941">
        <v>0.0</v>
      </c>
      <c r="AX454" s="941">
        <v>0.0</v>
      </c>
      <c r="AY454" s="941">
        <v>0.0</v>
      </c>
      <c r="AZ454" s="941">
        <v>0.0</v>
      </c>
      <c r="BA454" s="941">
        <v>0.0</v>
      </c>
      <c r="BB454" s="941">
        <v>0.0</v>
      </c>
      <c r="BC454" s="941">
        <v>0.0</v>
      </c>
      <c r="BD454" s="941">
        <v>2.0</v>
      </c>
      <c r="BE454" s="941">
        <v>4.0</v>
      </c>
      <c r="BF454" s="941">
        <v>1.0</v>
      </c>
      <c r="BG454" s="942">
        <v>0.0</v>
      </c>
    </row>
    <row r="455">
      <c r="A455" s="935" t="s">
        <v>139</v>
      </c>
      <c r="B455" s="16" t="str">
        <f>IF(C455&lt;'PlayerGrades+'!$Y$44,"F-",IF(C455&lt;'PlayerGrades+'!$Y$43,"F",IF(C455&lt;'PlayerGrades+'!$Y$42,"F+",IF(C455&lt;'PlayerGrades+'!$Y$41,"E-",IF(C455&lt;'PlayerGrades+'!$Y$40,"E",IF(C455&lt;'PlayerGrades+'!$Y$39,"E+",IF(C455&lt;'PlayerGrades+'!$Y$38,"D-",IF(C455&lt;'PlayerGrades+'!$Y$37,"D",IF(C455&lt;'PlayerGrades+'!$Y$36,"D+",IF(C455&lt;'PlayerGrades+'!$Y$35,"C-",IF(C455&lt;'PlayerGrades+'!$Y$34,"C",IF(C455&lt;'PlayerGrades+'!$Y$33,"C+",IF(C455&lt;'PlayerGrades+'!$Y$32,"B-",IF(C455&lt;'PlayerGrades+'!$Y$31,"B",IF(C455&lt;'PlayerGrades+'!$Y$30,"B+",IF(C455&lt;'PlayerGrades+'!$Y$29,"A-",IF(C455&lt;'PlayerGrades+'!$Y$28,"A",IF(C455&lt;'PlayerGrades+'!$Y$27,"A+",IF(C455&lt;'PlayerGrades+'!$Y$26,"S-",IF(C455&lt;'PlayerGrades+'!$Y$25,"S","S+"))))))))))))))))))))</f>
        <v>F-</v>
      </c>
      <c r="C455" s="936">
        <f>('PlayerGrades+'!$Y$47*(VLOOKUP(E455, 'PlayerGrades+'!$X$3:$Y$23, 2, FALSE)))+('PlayerGrades+'!$Y$48*(VLOOKUP(G455, 'PlayerGrades+'!$X$3:$Y$23, 2, FALSE)))+('PlayerGrades+'!$Y$49*(VLOOKUP(I455, 'PlayerGrades+'!$X$3:$Y$23, 2, FALSE)))+('PlayerGrades+'!$Y$50*(VLOOKUP(K455, 'PlayerGrades+'!$X$3:$Y$23, 2, FALSE)))+('PlayerGrades+'!$Y$51*(VLOOKUP(M455, 'PlayerGrades+'!$X$3:$Y$23, 2, FALSE)))+('PlayerGrades+'!$Y$52*(VLOOKUP(O455, 'PlayerGrades+'!$X$3:$Y$23, 2, FALSE)))+('PlayerGrades+'!$Y$53*(VLOOKUP(Q455, 'PlayerGrades+'!$X$3:$Y$23, 2, FALSE)))+('PlayerGrades+'!$Y$54*(VLOOKUP(S455, 'PlayerGrades+'!$X$3:$Y$23, 2, FALSE)))+('PlayerGrades+'!$Y$55*(VLOOKUP(U455, 'PlayerGrades+'!$X$3:$Y$23, 2, FALSE)))</f>
        <v>7.6</v>
      </c>
      <c r="D455" s="937">
        <f t="shared" si="1"/>
        <v>0.06012024048</v>
      </c>
      <c r="E455" s="937" t="str">
        <f>IF(D455&lt;'PlayerGrades+'!$AA$21,"F-",IF(D455&lt;'PlayerGrades+'!$AA$20,"F",IF(D455&lt;'PlayerGrades+'!$AA$19,"F+",IF(D455&lt;'PlayerGrades+'!$AA$18,"E-",IF(D455&lt;'PlayerGrades+'!$AA$17,"E",IF(D455&lt;'PlayerGrades+'!$AA$16,"E+",IF(D455&lt;'PlayerGrades+'!$AA$15,"D-",IF(D455&lt;'PlayerGrades+'!$AA$14,"D",IF(D455&lt;'PlayerGrades+'!$AA$13,"D+",IF(D455&lt;'PlayerGrades+'!$AA$12,"C-",IF(D455&lt;'PlayerGrades+'!$AA$11,"C",IF(D455&lt;'PlayerGrades+'!$AA$10,"C+",IF(D455&lt;'PlayerGrades+'!$AA$9,"B-",IF(D455&lt;'PlayerGrades+'!$AA$8,"B",IF(D455&lt;'PlayerGrades+'!$AA$7,"B+",IF(D455&lt;'PlayerGrades+'!$AA$6,"A-",IF(D455&lt;'PlayerGrades+'!$AA$5,"A",IF(D455&lt;'PlayerGrades+'!$AA$4,"A+",IF(D455&lt;'PlayerGrades+'!$AA$3,"S-",IF(D455&lt;'PlayerGrades+'!$AA$2,"S","S+"))))))))))))))))))))</f>
        <v>B-</v>
      </c>
      <c r="F455" s="937">
        <f t="shared" si="2"/>
        <v>-1.322645291</v>
      </c>
      <c r="G455" s="937" t="str">
        <f>IF(F455&lt;'PlayerGrades+'!$AB$21,"F-",IF(F455&lt;'PlayerGrades+'!$AB$20,"F",IF(F455&lt;'PlayerGrades+'!$AB$19,"F+",IF(F455&lt;'PlayerGrades+'!$AB$18,"E-",IF(F455&lt;'PlayerGrades+'!$AB$17,"E",IF(F455&lt;'PlayerGrades+'!$AB$16,"E+",IF(F455&lt;'PlayerGrades+'!$AB$15,"D-",IF(F455&lt;'PlayerGrades+'!$AB$14,"D",IF(F455&lt;'PlayerGrades+'!$AB$13,"D+",IF(F455&lt;'PlayerGrades+'!$AB$12,"C-",IF(F455&lt;'PlayerGrades+'!$AB$11,"C",IF(F455&lt;'PlayerGrades+'!$AB$10,"C+",IF(F455&lt;'PlayerGrades+'!$AB$9,"B-",IF(F455&lt;'PlayerGrades+'!$AB$8,"B",IF(F455&lt;'PlayerGrades+'!$AB$7,"B+",IF(F455&lt;'PlayerGrades+'!$AB$6,"A-",IF(F455&lt;'PlayerGrades+'!$AB$5,"A",IF(F455&lt;'PlayerGrades+'!$AB$4,"A+",IF(F455&lt;'PlayerGrades+'!$AB$3,"S-",IF(F455&lt;'PlayerGrades+'!$AB$2,"S","S+"))))))))))))))))))))</f>
        <v>F-</v>
      </c>
      <c r="H455" s="937">
        <f t="shared" si="3"/>
        <v>0.06012024048</v>
      </c>
      <c r="I455" s="937" t="str">
        <f>IF(H455&lt;'PlayerGrades+'!$AC$21,"F-",IF(H455&lt;'PlayerGrades+'!$AC$20,"F",IF(H455&lt;'PlayerGrades+'!$AC$19,"F+",IF(H455&lt;'PlayerGrades+'!$AC$18,"E-",IF(H455&lt;'PlayerGrades+'!$AC$17,"E",IF(H455&lt;'PlayerGrades+'!$AC$16,"E+",IF(H455&lt;'PlayerGrades+'!$AC$15,"D-",IF(H455&lt;'PlayerGrades+'!$AC$14,"D",IF(H455&lt;'PlayerGrades+'!$AC$13,"D+",IF(H455&lt;'PlayerGrades+'!$AC$12,"C-",IF(H455&lt;'PlayerGrades+'!$AC$11,"C",IF(H455&lt;'PlayerGrades+'!$AC$10,"C+",IF(H455&lt;'PlayerGrades+'!$AC$9,"B-",IF(H455&lt;'PlayerGrades+'!$AC$8,"B",IF(H455&lt;'PlayerGrades+'!$AC$7,"B+",IF(H455&lt;'PlayerGrades+'!$AC$6,"A-",IF(H455&lt;'PlayerGrades+'!$AC$5,"A",IF(H455&lt;'PlayerGrades+'!$AC$4,"A+",IF(H455&lt;'PlayerGrades+'!$AC$3,"S-",IF(H455&lt;'PlayerGrades+'!$AC$2,"S","S+"))))))))))))))))))))</f>
        <v>E-</v>
      </c>
      <c r="J455" s="937">
        <f t="shared" si="4"/>
        <v>0</v>
      </c>
      <c r="K455" s="937" t="str">
        <f>IF(J455&lt;'PlayerGrades+'!$AD$21,"F-",IF(J455&lt;'PlayerGrades+'!$AD$20,"F",IF(J455&lt;'PlayerGrades+'!$AD$19,"F+",IF(J455&lt;'PlayerGrades+'!$AD$18,"E-",IF(J455&lt;'PlayerGrades+'!$AD$17,"E",IF(J455&lt;'PlayerGrades+'!$AD$16,"E+",IF(J455&lt;'PlayerGrades+'!$AD$15,"D-",IF(J455&lt;'PlayerGrades+'!$AD$14,"D",IF(J455&lt;'PlayerGrades+'!$AD$13,"D+",IF(J455&lt;'PlayerGrades+'!$AD$12,"C-",IF(J455&lt;'PlayerGrades+'!$AD$11,"C",IF(J455&lt;'PlayerGrades+'!$AD$10,"C+",IF(J455&lt;'PlayerGrades+'!$AD$9,"B-",IF(J455&lt;'PlayerGrades+'!$AD$8,"B",IF(J455&lt;'PlayerGrades+'!$AD$7,"B+",IF(J455&lt;'PlayerGrades+'!$AD$6,"A-",IF(J455&lt;'PlayerGrades+'!$AD$5,"A",IF(J455&lt;'PlayerGrades+'!$AD$4,"A+",IF(J455&lt;'PlayerGrades+'!$AD$3,"S-",IF(J455&lt;'PlayerGrades+'!$AD$2,"S","S+"))))))))))))))))))))</f>
        <v>F-</v>
      </c>
      <c r="L455" s="677">
        <f t="shared" si="5"/>
        <v>0.120240481</v>
      </c>
      <c r="M455" s="938" t="str">
        <f>IF(L455&lt;'PlayerGrades+'!$AE$21,"F-",IF(L455&lt;'PlayerGrades+'!$AE$20,"F",IF(L455&lt;'PlayerGrades+'!$AE$19,"F+",IF(L455&lt;'PlayerGrades+'!$AE$18,"E-",IF(L455&lt;'PlayerGrades+'!$AE$17,"E",IF(L455&lt;'PlayerGrades+'!$AE$16,"E+",IF(L455&lt;'PlayerGrades+'!$AE$15,"D-",IF(L455&lt;'PlayerGrades+'!$AE$14,"D",IF(L455&lt;'PlayerGrades+'!$AE$13,"D+",IF(L455&lt;'PlayerGrades+'!$AE$12,"C-",IF(L455&lt;'PlayerGrades+'!$AE$11,"C",IF(L455&lt;'PlayerGrades+'!$AE$10,"C+",IF(L455&lt;'PlayerGrades+'!$AE$9,"B-",IF(L455&lt;'PlayerGrades+'!$AE$8,"B",IF(L455&lt;'PlayerGrades+'!$AE$7,"B+",IF(L455&lt;'PlayerGrades+'!$AE$6,"A-",IF(L455&lt;'PlayerGrades+'!$AE$5,"A",IF(L455&lt;'PlayerGrades+'!$AE$4,"A+",IF(L455&lt;'PlayerGrades+'!$AE$3,"S-",IF(L455&lt;'PlayerGrades+'!$AE$2,"S","S+"))))))))))))))))))))</f>
        <v>F-</v>
      </c>
      <c r="N455" s="937">
        <f t="shared" si="6"/>
        <v>0</v>
      </c>
      <c r="O455" s="937" t="str">
        <f>IF(N455&lt;'PlayerGrades+'!$AF$21,"F-",IF(N455&lt;'PlayerGrades+'!$AF$20,"F",IF(N455&lt;'PlayerGrades+'!$AF$19,"F+",IF(N455&lt;'PlayerGrades+'!$AF$18,"E-",IF(N455&lt;'PlayerGrades+'!$AF$17,"E",IF(N455&lt;'PlayerGrades+'!$AF$16,"E+",IF(N455&lt;'PlayerGrades+'!$AF$15,"D-",IF(N455&lt;'PlayerGrades+'!$AF$14,"D",IF(N455&lt;'PlayerGrades+'!$AF$13,"D+",IF(N455&lt;'PlayerGrades+'!$AF$12,"C-",IF(N455&lt;'PlayerGrades+'!$AF$11,"C",IF(N455&lt;'PlayerGrades+'!$AF$10,"C+",IF(N455&lt;'PlayerGrades+'!$AF$9,"B-",IF(N455&lt;'PlayerGrades+'!$AF$8,"B",IF(N455&lt;'PlayerGrades+'!$AF$7,"B+",IF(N455&lt;'PlayerGrades+'!$AF$6,"A-",IF(N455&lt;'PlayerGrades+'!$AF$5,"A",IF(N455&lt;'PlayerGrades+'!$AF$4,"A+",IF(N455&lt;'PlayerGrades+'!$AF$3,"S-",IF(N455&lt;'PlayerGrades+'!$AF$2,"S","S+"))))))))))))))))))))</f>
        <v>F-</v>
      </c>
      <c r="P455" s="937">
        <f t="shared" si="7"/>
        <v>0</v>
      </c>
      <c r="Q455" s="937" t="str">
        <f>IF(P455&lt;'PlayerGrades+'!$AG$21,"F-",IF(P455&lt;'PlayerGrades+'!$AG$20,"F",IF(P455&lt;'PlayerGrades+'!$AG$19,"F+",IF(P455&lt;'PlayerGrades+'!$AG$18,"E-",IF(P455&lt;'PlayerGrades+'!$AG$17,"E",IF(P455&lt;'PlayerGrades+'!$AG$16,"E+",IF(P455&lt;'PlayerGrades+'!$AG$15,"D-",IF(P455&lt;'PlayerGrades+'!$AG$14,"D",IF(P455&lt;'PlayerGrades+'!$AG$13,"D+",IF(P455&lt;'PlayerGrades+'!$AG$12,"C-",IF(P455&lt;'PlayerGrades+'!$AG$11,"C",IF(P455&lt;'PlayerGrades+'!$AG$10,"C+",IF(P455&lt;'PlayerGrades+'!$AG$9,"B-",IF(P455&lt;'PlayerGrades+'!$AG$8,"B",IF(P455&lt;'PlayerGrades+'!$AG$7,"B+",IF(P455&lt;'PlayerGrades+'!$AG$6,"A-",IF(P455&lt;'PlayerGrades+'!$AG$5,"A",IF(P455&lt;'PlayerGrades+'!$AG$4,"A+",IF(P455&lt;'PlayerGrades+'!$AG$3,"S-",IF(P455&lt;'PlayerGrades+'!$AG$2,"S","S+"))))))))))))))))))))</f>
        <v>F</v>
      </c>
      <c r="R455" s="937">
        <f t="shared" si="8"/>
        <v>0.1803607214</v>
      </c>
      <c r="S455" s="937" t="str">
        <f>IF(R455&lt;'PlayerGrades+'!$AH$21,"F-",IF(R455&lt;'PlayerGrades+'!$AH$20,"F",IF(R455&lt;'PlayerGrades+'!$AH$19,"F+",IF(R455&lt;'PlayerGrades+'!$AH$18,"E-",IF(R455&lt;'PlayerGrades+'!$AH$17,"E",IF(R455&lt;'PlayerGrades+'!$AH$16,"E+",IF(R455&lt;'PlayerGrades+'!$AH$15,"D-",IF(R455&lt;'PlayerGrades+'!$AH$14,"D",IF(R455&lt;'PlayerGrades+'!$AH$13,"D+",IF(R455&lt;'PlayerGrades+'!$AH$12,"C-",IF(R455&lt;'PlayerGrades+'!$AH$11,"C",IF(R455&lt;'PlayerGrades+'!$AH$10,"C+",IF(R455&lt;'PlayerGrades+'!$AH$9,"B-",IF(R455&lt;'PlayerGrades+'!$AH$8,"B",IF(R455&lt;'PlayerGrades+'!$AH$7,"B+",IF(R455&lt;'PlayerGrades+'!$AH$6,"A-",IF(R455&lt;'PlayerGrades+'!$AH$5,"A",IF(R455&lt;'PlayerGrades+'!$AH$4,"A+",IF(R455&lt;'PlayerGrades+'!$AH$3,"S-",IF(R455&lt;'PlayerGrades+'!$AH$2,"S","S+"))))))))))))))))))))</f>
        <v>F-</v>
      </c>
      <c r="T455" s="937">
        <f t="shared" si="9"/>
        <v>1.300601202</v>
      </c>
      <c r="U455" s="937" t="str">
        <f>IF(T455&lt;'PlayerGrades+'!$AI$21,"F-",IF(T455&lt;'PlayerGrades+'!$AI$20,"F",IF(T455&lt;'PlayerGrades+'!$AI$19,"F+",IF(T455&lt;'PlayerGrades+'!$AI$18,"E-",IF(T455&lt;'PlayerGrades+'!$AI$17,"E",IF(T455&lt;'PlayerGrades+'!$AI$16,"E+",IF(T455&lt;'PlayerGrades+'!$AI$15,"D-",IF(T455&lt;'PlayerGrades+'!$AI$14,"D",IF(T455&lt;'PlayerGrades+'!$AI$13,"D+",IF(T455&lt;'PlayerGrades+'!$AI$12,"C-",IF(T455&lt;'PlayerGrades+'!$AI$11,"C",IF(T455&lt;'PlayerGrades+'!$AI$10,"C+",IF(T455&lt;'PlayerGrades+'!$AI$9,"B-",IF(T455&lt;'PlayerGrades+'!$AI$8,"B",IF(T455&lt;'PlayerGrades+'!$AI$7,"B+",IF(T455&lt;'PlayerGrades+'!$AI$6,"A-",IF(T455&lt;'PlayerGrades+'!$AI$5,"A",IF(T455&lt;'PlayerGrades+'!$AI$4,"A+",IF(T455&lt;'PlayerGrades+'!$AI$3,"S-",IF(T455&lt;'PlayerGrades+'!$AI$2,"S","S+"))))))))))))))))))))</f>
        <v>C+</v>
      </c>
      <c r="V455" s="941">
        <v>1.0</v>
      </c>
      <c r="W455" s="941">
        <v>0.0</v>
      </c>
      <c r="X455" s="941">
        <v>1.0</v>
      </c>
      <c r="Y455" s="941">
        <v>0.0</v>
      </c>
      <c r="Z455" s="941">
        <v>1.0</v>
      </c>
      <c r="AA455" s="941">
        <v>46.0</v>
      </c>
      <c r="AB455" s="941">
        <v>68.0</v>
      </c>
      <c r="AC455" s="941">
        <v>-22.0</v>
      </c>
      <c r="AD455" s="941">
        <v>1.0</v>
      </c>
      <c r="AE455" s="941">
        <v>3.0</v>
      </c>
      <c r="AF455" s="941">
        <v>5.0</v>
      </c>
      <c r="AG455" s="941">
        <v>724.0</v>
      </c>
      <c r="AH455" s="941">
        <v>998.0</v>
      </c>
      <c r="AI455" s="941">
        <v>10.0</v>
      </c>
      <c r="AJ455" s="941">
        <v>1.0</v>
      </c>
      <c r="AK455" s="941">
        <v>0.0</v>
      </c>
      <c r="AL455" s="941">
        <v>0.0</v>
      </c>
      <c r="AM455" s="941">
        <v>0.0</v>
      </c>
      <c r="AN455" s="941">
        <v>0.0</v>
      </c>
      <c r="AO455" s="941">
        <v>0.0</v>
      </c>
      <c r="AP455" s="941">
        <v>0.0</v>
      </c>
      <c r="AQ455" s="941">
        <v>0.0</v>
      </c>
      <c r="AR455" s="941">
        <v>2.0</v>
      </c>
      <c r="AS455" s="941">
        <v>0.0</v>
      </c>
      <c r="AT455" s="941">
        <v>0.0</v>
      </c>
      <c r="AU455" s="941">
        <v>0.0</v>
      </c>
      <c r="AV455" s="941">
        <v>0.0</v>
      </c>
      <c r="AW455" s="941">
        <v>0.0</v>
      </c>
      <c r="AX455" s="941">
        <v>0.0</v>
      </c>
      <c r="AY455" s="941">
        <v>0.0</v>
      </c>
      <c r="AZ455" s="941">
        <v>0.0</v>
      </c>
      <c r="BA455" s="941">
        <v>0.0</v>
      </c>
      <c r="BB455" s="941">
        <v>1.0</v>
      </c>
      <c r="BC455" s="941">
        <v>0.0</v>
      </c>
      <c r="BD455" s="941">
        <v>2.0</v>
      </c>
      <c r="BE455" s="941">
        <v>5.0</v>
      </c>
      <c r="BF455" s="941">
        <v>1.0</v>
      </c>
      <c r="BG455" s="942">
        <v>0.0</v>
      </c>
    </row>
    <row r="456">
      <c r="A456" s="935" t="s">
        <v>128</v>
      </c>
      <c r="B456" s="16" t="str">
        <f>IF(C456&lt;'PlayerGrades+'!$Y$44,"F-",IF(C456&lt;'PlayerGrades+'!$Y$43,"F",IF(C456&lt;'PlayerGrades+'!$Y$42,"F+",IF(C456&lt;'PlayerGrades+'!$Y$41,"E-",IF(C456&lt;'PlayerGrades+'!$Y$40,"E",IF(C456&lt;'PlayerGrades+'!$Y$39,"E+",IF(C456&lt;'PlayerGrades+'!$Y$38,"D-",IF(C456&lt;'PlayerGrades+'!$Y$37,"D",IF(C456&lt;'PlayerGrades+'!$Y$36,"D+",IF(C456&lt;'PlayerGrades+'!$Y$35,"C-",IF(C456&lt;'PlayerGrades+'!$Y$34,"C",IF(C456&lt;'PlayerGrades+'!$Y$33,"C+",IF(C456&lt;'PlayerGrades+'!$Y$32,"B-",IF(C456&lt;'PlayerGrades+'!$Y$31,"B",IF(C456&lt;'PlayerGrades+'!$Y$30,"B+",IF(C456&lt;'PlayerGrades+'!$Y$29,"A-",IF(C456&lt;'PlayerGrades+'!$Y$28,"A",IF(C456&lt;'PlayerGrades+'!$Y$27,"A+",IF(C456&lt;'PlayerGrades+'!$Y$26,"S-",IF(C456&lt;'PlayerGrades+'!$Y$25,"S","S+"))))))))))))))))))))</f>
        <v>F-</v>
      </c>
      <c r="C456" s="936">
        <f>('PlayerGrades+'!$Y$47*(VLOOKUP(E456, 'PlayerGrades+'!$X$3:$Y$23, 2, FALSE)))+('PlayerGrades+'!$Y$48*(VLOOKUP(G456, 'PlayerGrades+'!$X$3:$Y$23, 2, FALSE)))+('PlayerGrades+'!$Y$49*(VLOOKUP(I456, 'PlayerGrades+'!$X$3:$Y$23, 2, FALSE)))+('PlayerGrades+'!$Y$50*(VLOOKUP(K456, 'PlayerGrades+'!$X$3:$Y$23, 2, FALSE)))+('PlayerGrades+'!$Y$51*(VLOOKUP(M456, 'PlayerGrades+'!$X$3:$Y$23, 2, FALSE)))+('PlayerGrades+'!$Y$52*(VLOOKUP(O456, 'PlayerGrades+'!$X$3:$Y$23, 2, FALSE)))+('PlayerGrades+'!$Y$53*(VLOOKUP(Q456, 'PlayerGrades+'!$X$3:$Y$23, 2, FALSE)))+('PlayerGrades+'!$Y$54*(VLOOKUP(S456, 'PlayerGrades+'!$X$3:$Y$23, 2, FALSE)))+('PlayerGrades+'!$Y$55*(VLOOKUP(U456, 'PlayerGrades+'!$X$3:$Y$23, 2, FALSE)))</f>
        <v>7.15</v>
      </c>
      <c r="D456" s="937">
        <f t="shared" si="1"/>
        <v>0</v>
      </c>
      <c r="E456" s="937" t="str">
        <f>IF(D456&lt;'PlayerGrades+'!$AA$21,"F-",IF(D456&lt;'PlayerGrades+'!$AA$20,"F",IF(D456&lt;'PlayerGrades+'!$AA$19,"F+",IF(D456&lt;'PlayerGrades+'!$AA$18,"E-",IF(D456&lt;'PlayerGrades+'!$AA$17,"E",IF(D456&lt;'PlayerGrades+'!$AA$16,"E+",IF(D456&lt;'PlayerGrades+'!$AA$15,"D-",IF(D456&lt;'PlayerGrades+'!$AA$14,"D",IF(D456&lt;'PlayerGrades+'!$AA$13,"D+",IF(D456&lt;'PlayerGrades+'!$AA$12,"C-",IF(D456&lt;'PlayerGrades+'!$AA$11,"C",IF(D456&lt;'PlayerGrades+'!$AA$10,"C+",IF(D456&lt;'PlayerGrades+'!$AA$9,"B-",IF(D456&lt;'PlayerGrades+'!$AA$8,"B",IF(D456&lt;'PlayerGrades+'!$AA$7,"B+",IF(D456&lt;'PlayerGrades+'!$AA$6,"A-",IF(D456&lt;'PlayerGrades+'!$AA$5,"A",IF(D456&lt;'PlayerGrades+'!$AA$4,"A+",IF(D456&lt;'PlayerGrades+'!$AA$3,"S-",IF(D456&lt;'PlayerGrades+'!$AA$2,"S","S+"))))))))))))))))))))</f>
        <v>F-</v>
      </c>
      <c r="F456" s="937">
        <f t="shared" si="2"/>
        <v>-0.5410821643</v>
      </c>
      <c r="G456" s="937" t="str">
        <f>IF(F456&lt;'PlayerGrades+'!$AB$21,"F-",IF(F456&lt;'PlayerGrades+'!$AB$20,"F",IF(F456&lt;'PlayerGrades+'!$AB$19,"F+",IF(F456&lt;'PlayerGrades+'!$AB$18,"E-",IF(F456&lt;'PlayerGrades+'!$AB$17,"E",IF(F456&lt;'PlayerGrades+'!$AB$16,"E+",IF(F456&lt;'PlayerGrades+'!$AB$15,"D-",IF(F456&lt;'PlayerGrades+'!$AB$14,"D",IF(F456&lt;'PlayerGrades+'!$AB$13,"D+",IF(F456&lt;'PlayerGrades+'!$AB$12,"C-",IF(F456&lt;'PlayerGrades+'!$AB$11,"C",IF(F456&lt;'PlayerGrades+'!$AB$10,"C+",IF(F456&lt;'PlayerGrades+'!$AB$9,"B-",IF(F456&lt;'PlayerGrades+'!$AB$8,"B",IF(F456&lt;'PlayerGrades+'!$AB$7,"B+",IF(F456&lt;'PlayerGrades+'!$AB$6,"A-",IF(F456&lt;'PlayerGrades+'!$AB$5,"A",IF(F456&lt;'PlayerGrades+'!$AB$4,"A+",IF(F456&lt;'PlayerGrades+'!$AB$3,"S-",IF(F456&lt;'PlayerGrades+'!$AB$2,"S","S+"))))))))))))))))))))</f>
        <v>D</v>
      </c>
      <c r="H456" s="937">
        <f t="shared" si="3"/>
        <v>0</v>
      </c>
      <c r="I456" s="937" t="str">
        <f>IF(H456&lt;'PlayerGrades+'!$AC$21,"F-",IF(H456&lt;'PlayerGrades+'!$AC$20,"F",IF(H456&lt;'PlayerGrades+'!$AC$19,"F+",IF(H456&lt;'PlayerGrades+'!$AC$18,"E-",IF(H456&lt;'PlayerGrades+'!$AC$17,"E",IF(H456&lt;'PlayerGrades+'!$AC$16,"E+",IF(H456&lt;'PlayerGrades+'!$AC$15,"D-",IF(H456&lt;'PlayerGrades+'!$AC$14,"D",IF(H456&lt;'PlayerGrades+'!$AC$13,"D+",IF(H456&lt;'PlayerGrades+'!$AC$12,"C-",IF(H456&lt;'PlayerGrades+'!$AC$11,"C",IF(H456&lt;'PlayerGrades+'!$AC$10,"C+",IF(H456&lt;'PlayerGrades+'!$AC$9,"B-",IF(H456&lt;'PlayerGrades+'!$AC$8,"B",IF(H456&lt;'PlayerGrades+'!$AC$7,"B+",IF(H456&lt;'PlayerGrades+'!$AC$6,"A-",IF(H456&lt;'PlayerGrades+'!$AC$5,"A",IF(H456&lt;'PlayerGrades+'!$AC$4,"A+",IF(H456&lt;'PlayerGrades+'!$AC$3,"S-",IF(H456&lt;'PlayerGrades+'!$AC$2,"S","S+"))))))))))))))))))))</f>
        <v>F-</v>
      </c>
      <c r="J456" s="937">
        <f t="shared" si="4"/>
        <v>0</v>
      </c>
      <c r="K456" s="937" t="str">
        <f>IF(J456&lt;'PlayerGrades+'!$AD$21,"F-",IF(J456&lt;'PlayerGrades+'!$AD$20,"F",IF(J456&lt;'PlayerGrades+'!$AD$19,"F+",IF(J456&lt;'PlayerGrades+'!$AD$18,"E-",IF(J456&lt;'PlayerGrades+'!$AD$17,"E",IF(J456&lt;'PlayerGrades+'!$AD$16,"E+",IF(J456&lt;'PlayerGrades+'!$AD$15,"D-",IF(J456&lt;'PlayerGrades+'!$AD$14,"D",IF(J456&lt;'PlayerGrades+'!$AD$13,"D+",IF(J456&lt;'PlayerGrades+'!$AD$12,"C-",IF(J456&lt;'PlayerGrades+'!$AD$11,"C",IF(J456&lt;'PlayerGrades+'!$AD$10,"C+",IF(J456&lt;'PlayerGrades+'!$AD$9,"B-",IF(J456&lt;'PlayerGrades+'!$AD$8,"B",IF(J456&lt;'PlayerGrades+'!$AD$7,"B+",IF(J456&lt;'PlayerGrades+'!$AD$6,"A-",IF(J456&lt;'PlayerGrades+'!$AD$5,"A",IF(J456&lt;'PlayerGrades+'!$AD$4,"A+",IF(J456&lt;'PlayerGrades+'!$AD$3,"S-",IF(J456&lt;'PlayerGrades+'!$AD$2,"S","S+"))))))))))))))))))))</f>
        <v>F-</v>
      </c>
      <c r="L456" s="677">
        <f t="shared" si="5"/>
        <v>0.3006012024</v>
      </c>
      <c r="M456" s="938" t="str">
        <f>IF(L456&lt;'PlayerGrades+'!$AE$21,"F-",IF(L456&lt;'PlayerGrades+'!$AE$20,"F",IF(L456&lt;'PlayerGrades+'!$AE$19,"F+",IF(L456&lt;'PlayerGrades+'!$AE$18,"E-",IF(L456&lt;'PlayerGrades+'!$AE$17,"E",IF(L456&lt;'PlayerGrades+'!$AE$16,"E+",IF(L456&lt;'PlayerGrades+'!$AE$15,"D-",IF(L456&lt;'PlayerGrades+'!$AE$14,"D",IF(L456&lt;'PlayerGrades+'!$AE$13,"D+",IF(L456&lt;'PlayerGrades+'!$AE$12,"C-",IF(L456&lt;'PlayerGrades+'!$AE$11,"C",IF(L456&lt;'PlayerGrades+'!$AE$10,"C+",IF(L456&lt;'PlayerGrades+'!$AE$9,"B-",IF(L456&lt;'PlayerGrades+'!$AE$8,"B",IF(L456&lt;'PlayerGrades+'!$AE$7,"B+",IF(L456&lt;'PlayerGrades+'!$AE$6,"A-",IF(L456&lt;'PlayerGrades+'!$AE$5,"A",IF(L456&lt;'PlayerGrades+'!$AE$4,"A+",IF(L456&lt;'PlayerGrades+'!$AE$3,"S-",IF(L456&lt;'PlayerGrades+'!$AE$2,"S","S+"))))))))))))))))))))</f>
        <v>E-</v>
      </c>
      <c r="N456" s="937">
        <f t="shared" si="6"/>
        <v>0</v>
      </c>
      <c r="O456" s="937" t="str">
        <f>IF(N456&lt;'PlayerGrades+'!$AF$21,"F-",IF(N456&lt;'PlayerGrades+'!$AF$20,"F",IF(N456&lt;'PlayerGrades+'!$AF$19,"F+",IF(N456&lt;'PlayerGrades+'!$AF$18,"E-",IF(N456&lt;'PlayerGrades+'!$AF$17,"E",IF(N456&lt;'PlayerGrades+'!$AF$16,"E+",IF(N456&lt;'PlayerGrades+'!$AF$15,"D-",IF(N456&lt;'PlayerGrades+'!$AF$14,"D",IF(N456&lt;'PlayerGrades+'!$AF$13,"D+",IF(N456&lt;'PlayerGrades+'!$AF$12,"C-",IF(N456&lt;'PlayerGrades+'!$AF$11,"C",IF(N456&lt;'PlayerGrades+'!$AF$10,"C+",IF(N456&lt;'PlayerGrades+'!$AF$9,"B-",IF(N456&lt;'PlayerGrades+'!$AF$8,"B",IF(N456&lt;'PlayerGrades+'!$AF$7,"B+",IF(N456&lt;'PlayerGrades+'!$AF$6,"A-",IF(N456&lt;'PlayerGrades+'!$AF$5,"A",IF(N456&lt;'PlayerGrades+'!$AF$4,"A+",IF(N456&lt;'PlayerGrades+'!$AF$3,"S-",IF(N456&lt;'PlayerGrades+'!$AF$2,"S","S+"))))))))))))))))))))</f>
        <v>F-</v>
      </c>
      <c r="P456" s="937">
        <f t="shared" si="7"/>
        <v>0</v>
      </c>
      <c r="Q456" s="937" t="str">
        <f>IF(P456&lt;'PlayerGrades+'!$AG$21,"F-",IF(P456&lt;'PlayerGrades+'!$AG$20,"F",IF(P456&lt;'PlayerGrades+'!$AG$19,"F+",IF(P456&lt;'PlayerGrades+'!$AG$18,"E-",IF(P456&lt;'PlayerGrades+'!$AG$17,"E",IF(P456&lt;'PlayerGrades+'!$AG$16,"E+",IF(P456&lt;'PlayerGrades+'!$AG$15,"D-",IF(P456&lt;'PlayerGrades+'!$AG$14,"D",IF(P456&lt;'PlayerGrades+'!$AG$13,"D+",IF(P456&lt;'PlayerGrades+'!$AG$12,"C-",IF(P456&lt;'PlayerGrades+'!$AG$11,"C",IF(P456&lt;'PlayerGrades+'!$AG$10,"C+",IF(P456&lt;'PlayerGrades+'!$AG$9,"B-",IF(P456&lt;'PlayerGrades+'!$AG$8,"B",IF(P456&lt;'PlayerGrades+'!$AG$7,"B+",IF(P456&lt;'PlayerGrades+'!$AG$6,"A-",IF(P456&lt;'PlayerGrades+'!$AG$5,"A",IF(P456&lt;'PlayerGrades+'!$AG$4,"A+",IF(P456&lt;'PlayerGrades+'!$AG$3,"S-",IF(P456&lt;'PlayerGrades+'!$AG$2,"S","S+"))))))))))))))))))))</f>
        <v>F</v>
      </c>
      <c r="R456" s="937">
        <f t="shared" si="8"/>
        <v>0.4208416834</v>
      </c>
      <c r="S456" s="937" t="str">
        <f>IF(R456&lt;'PlayerGrades+'!$AH$21,"F-",IF(R456&lt;'PlayerGrades+'!$AH$20,"F",IF(R456&lt;'PlayerGrades+'!$AH$19,"F+",IF(R456&lt;'PlayerGrades+'!$AH$18,"E-",IF(R456&lt;'PlayerGrades+'!$AH$17,"E",IF(R456&lt;'PlayerGrades+'!$AH$16,"E+",IF(R456&lt;'PlayerGrades+'!$AH$15,"D-",IF(R456&lt;'PlayerGrades+'!$AH$14,"D",IF(R456&lt;'PlayerGrades+'!$AH$13,"D+",IF(R456&lt;'PlayerGrades+'!$AH$12,"C-",IF(R456&lt;'PlayerGrades+'!$AH$11,"C",IF(R456&lt;'PlayerGrades+'!$AH$10,"C+",IF(R456&lt;'PlayerGrades+'!$AH$9,"B-",IF(R456&lt;'PlayerGrades+'!$AH$8,"B",IF(R456&lt;'PlayerGrades+'!$AH$7,"B+",IF(R456&lt;'PlayerGrades+'!$AH$6,"A-",IF(R456&lt;'PlayerGrades+'!$AH$5,"A",IF(R456&lt;'PlayerGrades+'!$AH$4,"A+",IF(R456&lt;'PlayerGrades+'!$AH$3,"S-",IF(R456&lt;'PlayerGrades+'!$AH$2,"S","S+"))))))))))))))))))))</f>
        <v>F+</v>
      </c>
      <c r="T456" s="937">
        <f t="shared" si="9"/>
        <v>1.180360721</v>
      </c>
      <c r="U456" s="937" t="str">
        <f>IF(T456&lt;'PlayerGrades+'!$AI$21,"F-",IF(T456&lt;'PlayerGrades+'!$AI$20,"F",IF(T456&lt;'PlayerGrades+'!$AI$19,"F+",IF(T456&lt;'PlayerGrades+'!$AI$18,"E-",IF(T456&lt;'PlayerGrades+'!$AI$17,"E",IF(T456&lt;'PlayerGrades+'!$AI$16,"E+",IF(T456&lt;'PlayerGrades+'!$AI$15,"D-",IF(T456&lt;'PlayerGrades+'!$AI$14,"D",IF(T456&lt;'PlayerGrades+'!$AI$13,"D+",IF(T456&lt;'PlayerGrades+'!$AI$12,"C-",IF(T456&lt;'PlayerGrades+'!$AI$11,"C",IF(T456&lt;'PlayerGrades+'!$AI$10,"C+",IF(T456&lt;'PlayerGrades+'!$AI$9,"B-",IF(T456&lt;'PlayerGrades+'!$AI$8,"B",IF(T456&lt;'PlayerGrades+'!$AI$7,"B+",IF(T456&lt;'PlayerGrades+'!$AI$6,"A-",IF(T456&lt;'PlayerGrades+'!$AI$5,"A",IF(T456&lt;'PlayerGrades+'!$AI$4,"A+",IF(T456&lt;'PlayerGrades+'!$AI$3,"S-",IF(T456&lt;'PlayerGrades+'!$AI$2,"S","S+"))))))))))))))))))))</f>
        <v>D+</v>
      </c>
      <c r="V456" s="941">
        <v>1.0</v>
      </c>
      <c r="W456" s="941">
        <v>0.0</v>
      </c>
      <c r="X456" s="941">
        <v>1.0</v>
      </c>
      <c r="Y456" s="941">
        <v>0.0</v>
      </c>
      <c r="Z456" s="941">
        <v>0.0</v>
      </c>
      <c r="AA456" s="941">
        <v>48.0</v>
      </c>
      <c r="AB456" s="941">
        <v>57.0</v>
      </c>
      <c r="AC456" s="941">
        <v>-9.0</v>
      </c>
      <c r="AD456" s="941">
        <v>3.0</v>
      </c>
      <c r="AE456" s="941">
        <v>4.0</v>
      </c>
      <c r="AF456" s="941">
        <v>1.0</v>
      </c>
      <c r="AG456" s="941">
        <v>749.0</v>
      </c>
      <c r="AH456" s="941">
        <v>998.0</v>
      </c>
      <c r="AI456" s="941">
        <v>13.0</v>
      </c>
      <c r="AJ456" s="941">
        <v>98.0</v>
      </c>
      <c r="AK456" s="941">
        <v>0.0</v>
      </c>
      <c r="AL456" s="941">
        <v>0.0</v>
      </c>
      <c r="AM456" s="941">
        <v>0.0</v>
      </c>
      <c r="AN456" s="941">
        <v>0.0</v>
      </c>
      <c r="AO456" s="941">
        <v>0.0</v>
      </c>
      <c r="AP456" s="941">
        <v>0.0</v>
      </c>
      <c r="AQ456" s="941">
        <v>0.0</v>
      </c>
      <c r="AR456" s="941">
        <v>5.0</v>
      </c>
      <c r="AS456" s="941">
        <v>0.0</v>
      </c>
      <c r="AT456" s="941">
        <v>0.0</v>
      </c>
      <c r="AU456" s="941">
        <v>0.0</v>
      </c>
      <c r="AV456" s="941">
        <v>0.0</v>
      </c>
      <c r="AW456" s="941">
        <v>0.0</v>
      </c>
      <c r="AX456" s="941">
        <v>0.0</v>
      </c>
      <c r="AY456" s="941">
        <v>0.0</v>
      </c>
      <c r="AZ456" s="941">
        <v>0.0</v>
      </c>
      <c r="BA456" s="941">
        <v>0.0</v>
      </c>
      <c r="BB456" s="941">
        <v>0.0</v>
      </c>
      <c r="BC456" s="941">
        <v>0.0</v>
      </c>
      <c r="BD456" s="941">
        <v>4.0</v>
      </c>
      <c r="BE456" s="941">
        <v>3.0</v>
      </c>
      <c r="BF456" s="941">
        <v>1.0</v>
      </c>
      <c r="BG456" s="942">
        <v>0.0</v>
      </c>
    </row>
    <row r="457">
      <c r="A457" s="943" t="s">
        <v>150</v>
      </c>
      <c r="B457" s="16" t="str">
        <f>IF(C457&lt;'PlayerGrades+'!$Y$44,"F-",IF(C457&lt;'PlayerGrades+'!$Y$43,"F",IF(C457&lt;'PlayerGrades+'!$Y$42,"F+",IF(C457&lt;'PlayerGrades+'!$Y$41,"E-",IF(C457&lt;'PlayerGrades+'!$Y$40,"E",IF(C457&lt;'PlayerGrades+'!$Y$39,"E+",IF(C457&lt;'PlayerGrades+'!$Y$38,"D-",IF(C457&lt;'PlayerGrades+'!$Y$37,"D",IF(C457&lt;'PlayerGrades+'!$Y$36,"D+",IF(C457&lt;'PlayerGrades+'!$Y$35,"C-",IF(C457&lt;'PlayerGrades+'!$Y$34,"C",IF(C457&lt;'PlayerGrades+'!$Y$33,"C+",IF(C457&lt;'PlayerGrades+'!$Y$32,"B-",IF(C457&lt;'PlayerGrades+'!$Y$31,"B",IF(C457&lt;'PlayerGrades+'!$Y$30,"B+",IF(C457&lt;'PlayerGrades+'!$Y$29,"A-",IF(C457&lt;'PlayerGrades+'!$Y$28,"A",IF(C457&lt;'PlayerGrades+'!$Y$27,"A+",IF(C457&lt;'PlayerGrades+'!$Y$26,"S-",IF(C457&lt;'PlayerGrades+'!$Y$25,"S","S+"))))))))))))))))))))</f>
        <v>F</v>
      </c>
      <c r="C457" s="936">
        <f>('PlayerGrades+'!$Y$47*(VLOOKUP(E457, 'PlayerGrades+'!$X$3:$Y$23, 2, FALSE)))+('PlayerGrades+'!$Y$48*(VLOOKUP(G457, 'PlayerGrades+'!$X$3:$Y$23, 2, FALSE)))+('PlayerGrades+'!$Y$49*(VLOOKUP(I457, 'PlayerGrades+'!$X$3:$Y$23, 2, FALSE)))+('PlayerGrades+'!$Y$50*(VLOOKUP(K457, 'PlayerGrades+'!$X$3:$Y$23, 2, FALSE)))+('PlayerGrades+'!$Y$51*(VLOOKUP(M457, 'PlayerGrades+'!$X$3:$Y$23, 2, FALSE)))+('PlayerGrades+'!$Y$52*(VLOOKUP(O457, 'PlayerGrades+'!$X$3:$Y$23, 2, FALSE)))+('PlayerGrades+'!$Y$53*(VLOOKUP(Q457, 'PlayerGrades+'!$X$3:$Y$23, 2, FALSE)))+('PlayerGrades+'!$Y$54*(VLOOKUP(S457, 'PlayerGrades+'!$X$3:$Y$23, 2, FALSE)))+('PlayerGrades+'!$Y$55*(VLOOKUP(U457, 'PlayerGrades+'!$X$3:$Y$23, 2, FALSE)))</f>
        <v>9.4</v>
      </c>
      <c r="D457" s="937">
        <f t="shared" si="1"/>
        <v>0</v>
      </c>
      <c r="E457" s="937" t="str">
        <f>IF(D457&lt;'PlayerGrades+'!$AA$21,"F-",IF(D457&lt;'PlayerGrades+'!$AA$20,"F",IF(D457&lt;'PlayerGrades+'!$AA$19,"F+",IF(D457&lt;'PlayerGrades+'!$AA$18,"E-",IF(D457&lt;'PlayerGrades+'!$AA$17,"E",IF(D457&lt;'PlayerGrades+'!$AA$16,"E+",IF(D457&lt;'PlayerGrades+'!$AA$15,"D-",IF(D457&lt;'PlayerGrades+'!$AA$14,"D",IF(D457&lt;'PlayerGrades+'!$AA$13,"D+",IF(D457&lt;'PlayerGrades+'!$AA$12,"C-",IF(D457&lt;'PlayerGrades+'!$AA$11,"C",IF(D457&lt;'PlayerGrades+'!$AA$10,"C+",IF(D457&lt;'PlayerGrades+'!$AA$9,"B-",IF(D457&lt;'PlayerGrades+'!$AA$8,"B",IF(D457&lt;'PlayerGrades+'!$AA$7,"B+",IF(D457&lt;'PlayerGrades+'!$AA$6,"A-",IF(D457&lt;'PlayerGrades+'!$AA$5,"A",IF(D457&lt;'PlayerGrades+'!$AA$4,"A+",IF(D457&lt;'PlayerGrades+'!$AA$3,"S-",IF(D457&lt;'PlayerGrades+'!$AA$2,"S","S+"))))))))))))))))))))</f>
        <v>F-</v>
      </c>
      <c r="F457" s="937">
        <f t="shared" si="2"/>
        <v>-0.4208416834</v>
      </c>
      <c r="G457" s="937" t="str">
        <f>IF(F457&lt;'PlayerGrades+'!$AB$21,"F-",IF(F457&lt;'PlayerGrades+'!$AB$20,"F",IF(F457&lt;'PlayerGrades+'!$AB$19,"F+",IF(F457&lt;'PlayerGrades+'!$AB$18,"E-",IF(F457&lt;'PlayerGrades+'!$AB$17,"E",IF(F457&lt;'PlayerGrades+'!$AB$16,"E+",IF(F457&lt;'PlayerGrades+'!$AB$15,"D-",IF(F457&lt;'PlayerGrades+'!$AB$14,"D",IF(F457&lt;'PlayerGrades+'!$AB$13,"D+",IF(F457&lt;'PlayerGrades+'!$AB$12,"C-",IF(F457&lt;'PlayerGrades+'!$AB$11,"C",IF(F457&lt;'PlayerGrades+'!$AB$10,"C+",IF(F457&lt;'PlayerGrades+'!$AB$9,"B-",IF(F457&lt;'PlayerGrades+'!$AB$8,"B",IF(F457&lt;'PlayerGrades+'!$AB$7,"B+",IF(F457&lt;'PlayerGrades+'!$AB$6,"A-",IF(F457&lt;'PlayerGrades+'!$AB$5,"A",IF(F457&lt;'PlayerGrades+'!$AB$4,"A+",IF(F457&lt;'PlayerGrades+'!$AB$3,"S-",IF(F457&lt;'PlayerGrades+'!$AB$2,"S","S+"))))))))))))))))))))</f>
        <v>D</v>
      </c>
      <c r="H457" s="937">
        <f t="shared" si="3"/>
        <v>0</v>
      </c>
      <c r="I457" s="937" t="str">
        <f>IF(H457&lt;'PlayerGrades+'!$AC$21,"F-",IF(H457&lt;'PlayerGrades+'!$AC$20,"F",IF(H457&lt;'PlayerGrades+'!$AC$19,"F+",IF(H457&lt;'PlayerGrades+'!$AC$18,"E-",IF(H457&lt;'PlayerGrades+'!$AC$17,"E",IF(H457&lt;'PlayerGrades+'!$AC$16,"E+",IF(H457&lt;'PlayerGrades+'!$AC$15,"D-",IF(H457&lt;'PlayerGrades+'!$AC$14,"D",IF(H457&lt;'PlayerGrades+'!$AC$13,"D+",IF(H457&lt;'PlayerGrades+'!$AC$12,"C-",IF(H457&lt;'PlayerGrades+'!$AC$11,"C",IF(H457&lt;'PlayerGrades+'!$AC$10,"C+",IF(H457&lt;'PlayerGrades+'!$AC$9,"B-",IF(H457&lt;'PlayerGrades+'!$AC$8,"B",IF(H457&lt;'PlayerGrades+'!$AC$7,"B+",IF(H457&lt;'PlayerGrades+'!$AC$6,"A-",IF(H457&lt;'PlayerGrades+'!$AC$5,"A",IF(H457&lt;'PlayerGrades+'!$AC$4,"A+",IF(H457&lt;'PlayerGrades+'!$AC$3,"S-",IF(H457&lt;'PlayerGrades+'!$AC$2,"S","S+"))))))))))))))))))))</f>
        <v>F-</v>
      </c>
      <c r="J457" s="937">
        <f t="shared" si="4"/>
        <v>0</v>
      </c>
      <c r="K457" s="937" t="str">
        <f>IF(J457&lt;'PlayerGrades+'!$AD$21,"F-",IF(J457&lt;'PlayerGrades+'!$AD$20,"F",IF(J457&lt;'PlayerGrades+'!$AD$19,"F+",IF(J457&lt;'PlayerGrades+'!$AD$18,"E-",IF(J457&lt;'PlayerGrades+'!$AD$17,"E",IF(J457&lt;'PlayerGrades+'!$AD$16,"E+",IF(J457&lt;'PlayerGrades+'!$AD$15,"D-",IF(J457&lt;'PlayerGrades+'!$AD$14,"D",IF(J457&lt;'PlayerGrades+'!$AD$13,"D+",IF(J457&lt;'PlayerGrades+'!$AD$12,"C-",IF(J457&lt;'PlayerGrades+'!$AD$11,"C",IF(J457&lt;'PlayerGrades+'!$AD$10,"C+",IF(J457&lt;'PlayerGrades+'!$AD$9,"B-",IF(J457&lt;'PlayerGrades+'!$AD$8,"B",IF(J457&lt;'PlayerGrades+'!$AD$7,"B+",IF(J457&lt;'PlayerGrades+'!$AD$6,"A-",IF(J457&lt;'PlayerGrades+'!$AD$5,"A",IF(J457&lt;'PlayerGrades+'!$AD$4,"A+",IF(J457&lt;'PlayerGrades+'!$AD$3,"S-",IF(J457&lt;'PlayerGrades+'!$AD$2,"S","S+"))))))))))))))))))))</f>
        <v>F-</v>
      </c>
      <c r="L457" s="677">
        <f t="shared" si="5"/>
        <v>0.2404809619</v>
      </c>
      <c r="M457" s="938" t="str">
        <f>IF(L457&lt;'PlayerGrades+'!$AE$21,"F-",IF(L457&lt;'PlayerGrades+'!$AE$20,"F",IF(L457&lt;'PlayerGrades+'!$AE$19,"F+",IF(L457&lt;'PlayerGrades+'!$AE$18,"E-",IF(L457&lt;'PlayerGrades+'!$AE$17,"E",IF(L457&lt;'PlayerGrades+'!$AE$16,"E+",IF(L457&lt;'PlayerGrades+'!$AE$15,"D-",IF(L457&lt;'PlayerGrades+'!$AE$14,"D",IF(L457&lt;'PlayerGrades+'!$AE$13,"D+",IF(L457&lt;'PlayerGrades+'!$AE$12,"C-",IF(L457&lt;'PlayerGrades+'!$AE$11,"C",IF(L457&lt;'PlayerGrades+'!$AE$10,"C+",IF(L457&lt;'PlayerGrades+'!$AE$9,"B-",IF(L457&lt;'PlayerGrades+'!$AE$8,"B",IF(L457&lt;'PlayerGrades+'!$AE$7,"B+",IF(L457&lt;'PlayerGrades+'!$AE$6,"A-",IF(L457&lt;'PlayerGrades+'!$AE$5,"A",IF(L457&lt;'PlayerGrades+'!$AE$4,"A+",IF(L457&lt;'PlayerGrades+'!$AE$3,"S-",IF(L457&lt;'PlayerGrades+'!$AE$2,"S","S+"))))))))))))))))))))</f>
        <v>F</v>
      </c>
      <c r="N457" s="937">
        <f t="shared" si="6"/>
        <v>0.06012024048</v>
      </c>
      <c r="O457" s="937" t="str">
        <f>IF(N457&lt;'PlayerGrades+'!$AF$21,"F-",IF(N457&lt;'PlayerGrades+'!$AF$20,"F",IF(N457&lt;'PlayerGrades+'!$AF$19,"F+",IF(N457&lt;'PlayerGrades+'!$AF$18,"E-",IF(N457&lt;'PlayerGrades+'!$AF$17,"E",IF(N457&lt;'PlayerGrades+'!$AF$16,"E+",IF(N457&lt;'PlayerGrades+'!$AF$15,"D-",IF(N457&lt;'PlayerGrades+'!$AF$14,"D",IF(N457&lt;'PlayerGrades+'!$AF$13,"D+",IF(N457&lt;'PlayerGrades+'!$AF$12,"C-",IF(N457&lt;'PlayerGrades+'!$AF$11,"C",IF(N457&lt;'PlayerGrades+'!$AF$10,"C+",IF(N457&lt;'PlayerGrades+'!$AF$9,"B-",IF(N457&lt;'PlayerGrades+'!$AF$8,"B",IF(N457&lt;'PlayerGrades+'!$AF$7,"B+",IF(N457&lt;'PlayerGrades+'!$AF$6,"A-",IF(N457&lt;'PlayerGrades+'!$AF$5,"A",IF(N457&lt;'PlayerGrades+'!$AF$4,"A+",IF(N457&lt;'PlayerGrades+'!$AF$3,"S-",IF(N457&lt;'PlayerGrades+'!$AF$2,"S","S+"))))))))))))))))))))</f>
        <v>D+</v>
      </c>
      <c r="P457" s="937">
        <f t="shared" si="7"/>
        <v>0</v>
      </c>
      <c r="Q457" s="937" t="str">
        <f>IF(P457&lt;'PlayerGrades+'!$AG$21,"F-",IF(P457&lt;'PlayerGrades+'!$AG$20,"F",IF(P457&lt;'PlayerGrades+'!$AG$19,"F+",IF(P457&lt;'PlayerGrades+'!$AG$18,"E-",IF(P457&lt;'PlayerGrades+'!$AG$17,"E",IF(P457&lt;'PlayerGrades+'!$AG$16,"E+",IF(P457&lt;'PlayerGrades+'!$AG$15,"D-",IF(P457&lt;'PlayerGrades+'!$AG$14,"D",IF(P457&lt;'PlayerGrades+'!$AG$13,"D+",IF(P457&lt;'PlayerGrades+'!$AG$12,"C-",IF(P457&lt;'PlayerGrades+'!$AG$11,"C",IF(P457&lt;'PlayerGrades+'!$AG$10,"C+",IF(P457&lt;'PlayerGrades+'!$AG$9,"B-",IF(P457&lt;'PlayerGrades+'!$AG$8,"B",IF(P457&lt;'PlayerGrades+'!$AG$7,"B+",IF(P457&lt;'PlayerGrades+'!$AG$6,"A-",IF(P457&lt;'PlayerGrades+'!$AG$5,"A",IF(P457&lt;'PlayerGrades+'!$AG$4,"A+",IF(P457&lt;'PlayerGrades+'!$AG$3,"S-",IF(P457&lt;'PlayerGrades+'!$AG$2,"S","S+"))))))))))))))))))))</f>
        <v>F</v>
      </c>
      <c r="R457" s="937">
        <f t="shared" si="8"/>
        <v>0.3607214429</v>
      </c>
      <c r="S457" s="937" t="str">
        <f>IF(R457&lt;'PlayerGrades+'!$AH$21,"F-",IF(R457&lt;'PlayerGrades+'!$AH$20,"F",IF(R457&lt;'PlayerGrades+'!$AH$19,"F+",IF(R457&lt;'PlayerGrades+'!$AH$18,"E-",IF(R457&lt;'PlayerGrades+'!$AH$17,"E",IF(R457&lt;'PlayerGrades+'!$AH$16,"E+",IF(R457&lt;'PlayerGrades+'!$AH$15,"D-",IF(R457&lt;'PlayerGrades+'!$AH$14,"D",IF(R457&lt;'PlayerGrades+'!$AH$13,"D+",IF(R457&lt;'PlayerGrades+'!$AH$12,"C-",IF(R457&lt;'PlayerGrades+'!$AH$11,"C",IF(R457&lt;'PlayerGrades+'!$AH$10,"C+",IF(R457&lt;'PlayerGrades+'!$AH$9,"B-",IF(R457&lt;'PlayerGrades+'!$AH$8,"B",IF(R457&lt;'PlayerGrades+'!$AH$7,"B+",IF(R457&lt;'PlayerGrades+'!$AH$6,"A-",IF(R457&lt;'PlayerGrades+'!$AH$5,"A",IF(R457&lt;'PlayerGrades+'!$AH$4,"A+",IF(R457&lt;'PlayerGrades+'!$AH$3,"S-",IF(R457&lt;'PlayerGrades+'!$AH$2,"S","S+"))))))))))))))))))))</f>
        <v>F</v>
      </c>
      <c r="T457" s="937">
        <f t="shared" si="9"/>
        <v>1.360721443</v>
      </c>
      <c r="U457" s="937" t="str">
        <f>IF(T457&lt;'PlayerGrades+'!$AI$21,"F-",IF(T457&lt;'PlayerGrades+'!$AI$20,"F",IF(T457&lt;'PlayerGrades+'!$AI$19,"F+",IF(T457&lt;'PlayerGrades+'!$AI$18,"E-",IF(T457&lt;'PlayerGrades+'!$AI$17,"E",IF(T457&lt;'PlayerGrades+'!$AI$16,"E+",IF(T457&lt;'PlayerGrades+'!$AI$15,"D-",IF(T457&lt;'PlayerGrades+'!$AI$14,"D",IF(T457&lt;'PlayerGrades+'!$AI$13,"D+",IF(T457&lt;'PlayerGrades+'!$AI$12,"C-",IF(T457&lt;'PlayerGrades+'!$AI$11,"C",IF(T457&lt;'PlayerGrades+'!$AI$10,"C+",IF(T457&lt;'PlayerGrades+'!$AI$9,"B-",IF(T457&lt;'PlayerGrades+'!$AI$8,"B",IF(T457&lt;'PlayerGrades+'!$AI$7,"B+",IF(T457&lt;'PlayerGrades+'!$AI$6,"A-",IF(T457&lt;'PlayerGrades+'!$AI$5,"A",IF(T457&lt;'PlayerGrades+'!$AI$4,"A+",IF(T457&lt;'PlayerGrades+'!$AI$3,"S-",IF(T457&lt;'PlayerGrades+'!$AI$2,"S","S+"))))))))))))))))))))</f>
        <v>B</v>
      </c>
      <c r="V457" s="944">
        <v>1.0</v>
      </c>
      <c r="W457" s="944">
        <v>0.0</v>
      </c>
      <c r="X457" s="944">
        <v>1.0</v>
      </c>
      <c r="Y457" s="944">
        <v>0.0</v>
      </c>
      <c r="Z457" s="944">
        <v>0.0</v>
      </c>
      <c r="AA457" s="944">
        <v>42.0</v>
      </c>
      <c r="AB457" s="944">
        <v>49.0</v>
      </c>
      <c r="AC457" s="944">
        <v>-7.0</v>
      </c>
      <c r="AD457" s="944">
        <v>2.0</v>
      </c>
      <c r="AE457" s="944">
        <v>4.0</v>
      </c>
      <c r="AF457" s="944">
        <v>1.0</v>
      </c>
      <c r="AG457" s="944">
        <v>777.0</v>
      </c>
      <c r="AH457" s="944">
        <v>998.0</v>
      </c>
      <c r="AI457" s="944">
        <v>15.0</v>
      </c>
      <c r="AJ457" s="944">
        <v>14.0</v>
      </c>
      <c r="AK457" s="944">
        <v>0.0</v>
      </c>
      <c r="AL457" s="944">
        <v>0.0</v>
      </c>
      <c r="AM457" s="944">
        <v>0.0</v>
      </c>
      <c r="AN457" s="944">
        <v>0.0</v>
      </c>
      <c r="AO457" s="944">
        <v>0.0</v>
      </c>
      <c r="AP457" s="944">
        <v>0.0</v>
      </c>
      <c r="AQ457" s="944">
        <v>0.0</v>
      </c>
      <c r="AR457" s="944">
        <v>4.0</v>
      </c>
      <c r="AS457" s="944">
        <v>1.0</v>
      </c>
      <c r="AT457" s="944">
        <v>0.0</v>
      </c>
      <c r="AU457" s="944">
        <v>0.0</v>
      </c>
      <c r="AV457" s="944">
        <v>0.0</v>
      </c>
      <c r="AW457" s="944">
        <v>0.0</v>
      </c>
      <c r="AX457" s="944">
        <v>0.0</v>
      </c>
      <c r="AY457" s="944">
        <v>0.0</v>
      </c>
      <c r="AZ457" s="944">
        <v>0.0</v>
      </c>
      <c r="BA457" s="944">
        <v>0.0</v>
      </c>
      <c r="BB457" s="944">
        <v>0.0</v>
      </c>
      <c r="BC457" s="944">
        <v>0.0</v>
      </c>
      <c r="BD457" s="944">
        <v>4.0</v>
      </c>
      <c r="BE457" s="944">
        <v>6.0</v>
      </c>
      <c r="BF457" s="944">
        <v>1.0</v>
      </c>
      <c r="BG457" s="945">
        <v>0.0</v>
      </c>
    </row>
    <row r="458">
      <c r="A458" s="964" t="s">
        <v>132</v>
      </c>
      <c r="B458" s="16" t="str">
        <f>IF(C458&lt;'PlayerGrades+'!$Y$44,"F-",IF(C458&lt;'PlayerGrades+'!$Y$43,"F",IF(C458&lt;'PlayerGrades+'!$Y$42,"F+",IF(C458&lt;'PlayerGrades+'!$Y$41,"E-",IF(C458&lt;'PlayerGrades+'!$Y$40,"E",IF(C458&lt;'PlayerGrades+'!$Y$39,"E+",IF(C458&lt;'PlayerGrades+'!$Y$38,"D-",IF(C458&lt;'PlayerGrades+'!$Y$37,"D",IF(C458&lt;'PlayerGrades+'!$Y$36,"D+",IF(C458&lt;'PlayerGrades+'!$Y$35,"C-",IF(C458&lt;'PlayerGrades+'!$Y$34,"C",IF(C458&lt;'PlayerGrades+'!$Y$33,"C+",IF(C458&lt;'PlayerGrades+'!$Y$32,"B-",IF(C458&lt;'PlayerGrades+'!$Y$31,"B",IF(C458&lt;'PlayerGrades+'!$Y$30,"B+",IF(C458&lt;'PlayerGrades+'!$Y$29,"A-",IF(C458&lt;'PlayerGrades+'!$Y$28,"A",IF(C458&lt;'PlayerGrades+'!$Y$27,"A+",IF(C458&lt;'PlayerGrades+'!$Y$26,"S-",IF(C458&lt;'PlayerGrades+'!$Y$25,"S","S+"))))))))))))))))))))</f>
        <v>B+</v>
      </c>
      <c r="C458" s="936">
        <f>('PlayerGrades+'!$Y$47*(VLOOKUP(E458, 'PlayerGrades+'!$X$3:$Y$23, 2, FALSE)))+('PlayerGrades+'!$Y$48*(VLOOKUP(G458, 'PlayerGrades+'!$X$3:$Y$23, 2, FALSE)))+('PlayerGrades+'!$Y$49*(VLOOKUP(I458, 'PlayerGrades+'!$X$3:$Y$23, 2, FALSE)))+('PlayerGrades+'!$Y$50*(VLOOKUP(K458, 'PlayerGrades+'!$X$3:$Y$23, 2, FALSE)))+('PlayerGrades+'!$Y$51*(VLOOKUP(M458, 'PlayerGrades+'!$X$3:$Y$23, 2, FALSE)))+('PlayerGrades+'!$Y$52*(VLOOKUP(O458, 'PlayerGrades+'!$X$3:$Y$23, 2, FALSE)))+('PlayerGrades+'!$Y$53*(VLOOKUP(Q458, 'PlayerGrades+'!$X$3:$Y$23, 2, FALSE)))+('PlayerGrades+'!$Y$54*(VLOOKUP(S458, 'PlayerGrades+'!$X$3:$Y$23, 2, FALSE)))+('PlayerGrades+'!$Y$55*(VLOOKUP(U458, 'PlayerGrades+'!$X$3:$Y$23, 2, FALSE)))</f>
        <v>24.25</v>
      </c>
      <c r="D458" s="937">
        <f t="shared" si="1"/>
        <v>1.118012422</v>
      </c>
      <c r="E458" s="937" t="str">
        <f>IF(D458&lt;'PlayerGrades+'!$AA$21,"F-",IF(D458&lt;'PlayerGrades+'!$AA$20,"F",IF(D458&lt;'PlayerGrades+'!$AA$19,"F+",IF(D458&lt;'PlayerGrades+'!$AA$18,"E-",IF(D458&lt;'PlayerGrades+'!$AA$17,"E",IF(D458&lt;'PlayerGrades+'!$AA$16,"E+",IF(D458&lt;'PlayerGrades+'!$AA$15,"D-",IF(D458&lt;'PlayerGrades+'!$AA$14,"D",IF(D458&lt;'PlayerGrades+'!$AA$13,"D+",IF(D458&lt;'PlayerGrades+'!$AA$12,"C-",IF(D458&lt;'PlayerGrades+'!$AA$11,"C",IF(D458&lt;'PlayerGrades+'!$AA$10,"C+",IF(D458&lt;'PlayerGrades+'!$AA$9,"B-",IF(D458&lt;'PlayerGrades+'!$AA$8,"B",IF(D458&lt;'PlayerGrades+'!$AA$7,"B+",IF(D458&lt;'PlayerGrades+'!$AA$6,"A-",IF(D458&lt;'PlayerGrades+'!$AA$5,"A",IF(D458&lt;'PlayerGrades+'!$AA$4,"A+",IF(D458&lt;'PlayerGrades+'!$AA$3,"S-",IF(D458&lt;'PlayerGrades+'!$AA$2,"S","S+"))))))))))))))))))))</f>
        <v>S+</v>
      </c>
      <c r="F458" s="937">
        <f t="shared" si="2"/>
        <v>0.9050576752</v>
      </c>
      <c r="G458" s="937" t="str">
        <f>IF(F458&lt;'PlayerGrades+'!$AB$21,"F-",IF(F458&lt;'PlayerGrades+'!$AB$20,"F",IF(F458&lt;'PlayerGrades+'!$AB$19,"F+",IF(F458&lt;'PlayerGrades+'!$AB$18,"E-",IF(F458&lt;'PlayerGrades+'!$AB$17,"E",IF(F458&lt;'PlayerGrades+'!$AB$16,"E+",IF(F458&lt;'PlayerGrades+'!$AB$15,"D-",IF(F458&lt;'PlayerGrades+'!$AB$14,"D",IF(F458&lt;'PlayerGrades+'!$AB$13,"D+",IF(F458&lt;'PlayerGrades+'!$AB$12,"C-",IF(F458&lt;'PlayerGrades+'!$AB$11,"C",IF(F458&lt;'PlayerGrades+'!$AB$10,"C+",IF(F458&lt;'PlayerGrades+'!$AB$9,"B-",IF(F458&lt;'PlayerGrades+'!$AB$8,"B",IF(F458&lt;'PlayerGrades+'!$AB$7,"B+",IF(F458&lt;'PlayerGrades+'!$AB$6,"A-",IF(F458&lt;'PlayerGrades+'!$AB$5,"A",IF(F458&lt;'PlayerGrades+'!$AB$4,"A+",IF(F458&lt;'PlayerGrades+'!$AB$3,"S-",IF(F458&lt;'PlayerGrades+'!$AB$2,"S","S+"))))))))))))))))))))</f>
        <v>S</v>
      </c>
      <c r="H458" s="937">
        <f t="shared" si="3"/>
        <v>0.1064773736</v>
      </c>
      <c r="I458" s="937" t="str">
        <f>IF(H458&lt;'PlayerGrades+'!$AC$21,"F-",IF(H458&lt;'PlayerGrades+'!$AC$20,"F",IF(H458&lt;'PlayerGrades+'!$AC$19,"F+",IF(H458&lt;'PlayerGrades+'!$AC$18,"E-",IF(H458&lt;'PlayerGrades+'!$AC$17,"E",IF(H458&lt;'PlayerGrades+'!$AC$16,"E+",IF(H458&lt;'PlayerGrades+'!$AC$15,"D-",IF(H458&lt;'PlayerGrades+'!$AC$14,"D",IF(H458&lt;'PlayerGrades+'!$AC$13,"D+",IF(H458&lt;'PlayerGrades+'!$AC$12,"C-",IF(H458&lt;'PlayerGrades+'!$AC$11,"C",IF(H458&lt;'PlayerGrades+'!$AC$10,"C+",IF(H458&lt;'PlayerGrades+'!$AC$9,"B-",IF(H458&lt;'PlayerGrades+'!$AC$8,"B",IF(H458&lt;'PlayerGrades+'!$AC$7,"B+",IF(H458&lt;'PlayerGrades+'!$AC$6,"A-",IF(H458&lt;'PlayerGrades+'!$AC$5,"A",IF(H458&lt;'PlayerGrades+'!$AC$4,"A+",IF(H458&lt;'PlayerGrades+'!$AC$3,"S-",IF(H458&lt;'PlayerGrades+'!$AC$2,"S","S+"))))))))))))))))))))</f>
        <v>C-</v>
      </c>
      <c r="J458" s="937">
        <f t="shared" si="4"/>
        <v>0.1064773736</v>
      </c>
      <c r="K458" s="937" t="str">
        <f>IF(J458&lt;'PlayerGrades+'!$AD$21,"F-",IF(J458&lt;'PlayerGrades+'!$AD$20,"F",IF(J458&lt;'PlayerGrades+'!$AD$19,"F+",IF(J458&lt;'PlayerGrades+'!$AD$18,"E-",IF(J458&lt;'PlayerGrades+'!$AD$17,"E",IF(J458&lt;'PlayerGrades+'!$AD$16,"E+",IF(J458&lt;'PlayerGrades+'!$AD$15,"D-",IF(J458&lt;'PlayerGrades+'!$AD$14,"D",IF(J458&lt;'PlayerGrades+'!$AD$13,"D+",IF(J458&lt;'PlayerGrades+'!$AD$12,"C-",IF(J458&lt;'PlayerGrades+'!$AD$11,"C",IF(J458&lt;'PlayerGrades+'!$AD$10,"C+",IF(J458&lt;'PlayerGrades+'!$AD$9,"B-",IF(J458&lt;'PlayerGrades+'!$AD$8,"B",IF(J458&lt;'PlayerGrades+'!$AD$7,"B+",IF(J458&lt;'PlayerGrades+'!$AD$6,"A-",IF(J458&lt;'PlayerGrades+'!$AD$5,"A",IF(J458&lt;'PlayerGrades+'!$AD$4,"A+",IF(J458&lt;'PlayerGrades+'!$AD$3,"S-",IF(J458&lt;'PlayerGrades+'!$AD$2,"S","S+"))))))))))))))))))))</f>
        <v>S+</v>
      </c>
      <c r="L458" s="677">
        <f t="shared" si="5"/>
        <v>0.2129547471</v>
      </c>
      <c r="M458" s="938" t="str">
        <f>IF(L458&lt;'PlayerGrades+'!$AE$21,"F-",IF(L458&lt;'PlayerGrades+'!$AE$20,"F",IF(L458&lt;'PlayerGrades+'!$AE$19,"F+",IF(L458&lt;'PlayerGrades+'!$AE$18,"E-",IF(L458&lt;'PlayerGrades+'!$AE$17,"E",IF(L458&lt;'PlayerGrades+'!$AE$16,"E+",IF(L458&lt;'PlayerGrades+'!$AE$15,"D-",IF(L458&lt;'PlayerGrades+'!$AE$14,"D",IF(L458&lt;'PlayerGrades+'!$AE$13,"D+",IF(L458&lt;'PlayerGrades+'!$AE$12,"C-",IF(L458&lt;'PlayerGrades+'!$AE$11,"C",IF(L458&lt;'PlayerGrades+'!$AE$10,"C+",IF(L458&lt;'PlayerGrades+'!$AE$9,"B-",IF(L458&lt;'PlayerGrades+'!$AE$8,"B",IF(L458&lt;'PlayerGrades+'!$AE$7,"B+",IF(L458&lt;'PlayerGrades+'!$AE$6,"A-",IF(L458&lt;'PlayerGrades+'!$AE$5,"A",IF(L458&lt;'PlayerGrades+'!$AE$4,"A+",IF(L458&lt;'PlayerGrades+'!$AE$3,"S-",IF(L458&lt;'PlayerGrades+'!$AE$2,"S","S+"))))))))))))))))))))</f>
        <v>F</v>
      </c>
      <c r="N458" s="937">
        <f t="shared" si="6"/>
        <v>0.05323868678</v>
      </c>
      <c r="O458" s="937" t="str">
        <f>IF(N458&lt;'PlayerGrades+'!$AF$21,"F-",IF(N458&lt;'PlayerGrades+'!$AF$20,"F",IF(N458&lt;'PlayerGrades+'!$AF$19,"F+",IF(N458&lt;'PlayerGrades+'!$AF$18,"E-",IF(N458&lt;'PlayerGrades+'!$AF$17,"E",IF(N458&lt;'PlayerGrades+'!$AF$16,"E+",IF(N458&lt;'PlayerGrades+'!$AF$15,"D-",IF(N458&lt;'PlayerGrades+'!$AF$14,"D",IF(N458&lt;'PlayerGrades+'!$AF$13,"D+",IF(N458&lt;'PlayerGrades+'!$AF$12,"C-",IF(N458&lt;'PlayerGrades+'!$AF$11,"C",IF(N458&lt;'PlayerGrades+'!$AF$10,"C+",IF(N458&lt;'PlayerGrades+'!$AF$9,"B-",IF(N458&lt;'PlayerGrades+'!$AF$8,"B",IF(N458&lt;'PlayerGrades+'!$AF$7,"B+",IF(N458&lt;'PlayerGrades+'!$AF$6,"A-",IF(N458&lt;'PlayerGrades+'!$AF$5,"A",IF(N458&lt;'PlayerGrades+'!$AF$4,"A+",IF(N458&lt;'PlayerGrades+'!$AF$3,"S-",IF(N458&lt;'PlayerGrades+'!$AF$2,"S","S+"))))))))))))))))))))</f>
        <v>D</v>
      </c>
      <c r="P458" s="937">
        <f t="shared" si="7"/>
        <v>0.05323868678</v>
      </c>
      <c r="Q458" s="937" t="str">
        <f>IF(P458&lt;'PlayerGrades+'!$AG$21,"F-",IF(P458&lt;'PlayerGrades+'!$AG$20,"F",IF(P458&lt;'PlayerGrades+'!$AG$19,"F+",IF(P458&lt;'PlayerGrades+'!$AG$18,"E-",IF(P458&lt;'PlayerGrades+'!$AG$17,"E",IF(P458&lt;'PlayerGrades+'!$AG$16,"E+",IF(P458&lt;'PlayerGrades+'!$AG$15,"D-",IF(P458&lt;'PlayerGrades+'!$AG$14,"D",IF(P458&lt;'PlayerGrades+'!$AG$13,"D+",IF(P458&lt;'PlayerGrades+'!$AG$12,"C-",IF(P458&lt;'PlayerGrades+'!$AG$11,"C",IF(P458&lt;'PlayerGrades+'!$AG$10,"C+",IF(P458&lt;'PlayerGrades+'!$AG$9,"B-",IF(P458&lt;'PlayerGrades+'!$AG$8,"B",IF(P458&lt;'PlayerGrades+'!$AG$7,"B+",IF(P458&lt;'PlayerGrades+'!$AG$6,"A-",IF(P458&lt;'PlayerGrades+'!$AG$5,"A",IF(P458&lt;'PlayerGrades+'!$AG$4,"A+",IF(P458&lt;'PlayerGrades+'!$AG$3,"S-",IF(P458&lt;'PlayerGrades+'!$AG$2,"S","S+"))))))))))))))))))))</f>
        <v>A</v>
      </c>
      <c r="R458" s="937">
        <f t="shared" si="8"/>
        <v>0.5856255546</v>
      </c>
      <c r="S458" s="937" t="str">
        <f>IF(R458&lt;'PlayerGrades+'!$AH$21,"F-",IF(R458&lt;'PlayerGrades+'!$AH$20,"F",IF(R458&lt;'PlayerGrades+'!$AH$19,"F+",IF(R458&lt;'PlayerGrades+'!$AH$18,"E-",IF(R458&lt;'PlayerGrades+'!$AH$17,"E",IF(R458&lt;'PlayerGrades+'!$AH$16,"E+",IF(R458&lt;'PlayerGrades+'!$AH$15,"D-",IF(R458&lt;'PlayerGrades+'!$AH$14,"D",IF(R458&lt;'PlayerGrades+'!$AH$13,"D+",IF(R458&lt;'PlayerGrades+'!$AH$12,"C-",IF(R458&lt;'PlayerGrades+'!$AH$11,"C",IF(R458&lt;'PlayerGrades+'!$AH$10,"C+",IF(R458&lt;'PlayerGrades+'!$AH$9,"B-",IF(R458&lt;'PlayerGrades+'!$AH$8,"B",IF(R458&lt;'PlayerGrades+'!$AH$7,"B+",IF(R458&lt;'PlayerGrades+'!$AH$6,"A-",IF(R458&lt;'PlayerGrades+'!$AH$5,"A",IF(R458&lt;'PlayerGrades+'!$AH$4,"A+",IF(R458&lt;'PlayerGrades+'!$AH$3,"S-",IF(R458&lt;'PlayerGrades+'!$AH$2,"S","S+"))))))))))))))))))))</f>
        <v>B+</v>
      </c>
      <c r="T458" s="937">
        <f t="shared" si="9"/>
        <v>1.212954747</v>
      </c>
      <c r="U458" s="937" t="str">
        <f>IF(T458&lt;'PlayerGrades+'!$AI$21,"F-",IF(T458&lt;'PlayerGrades+'!$AI$20,"F",IF(T458&lt;'PlayerGrades+'!$AI$19,"F+",IF(T458&lt;'PlayerGrades+'!$AI$18,"E-",IF(T458&lt;'PlayerGrades+'!$AI$17,"E",IF(T458&lt;'PlayerGrades+'!$AI$16,"E+",IF(T458&lt;'PlayerGrades+'!$AI$15,"D-",IF(T458&lt;'PlayerGrades+'!$AI$14,"D",IF(T458&lt;'PlayerGrades+'!$AI$13,"D+",IF(T458&lt;'PlayerGrades+'!$AI$12,"C-",IF(T458&lt;'PlayerGrades+'!$AI$11,"C",IF(T458&lt;'PlayerGrades+'!$AI$10,"C+",IF(T458&lt;'PlayerGrades+'!$AI$9,"B-",IF(T458&lt;'PlayerGrades+'!$AI$8,"B",IF(T458&lt;'PlayerGrades+'!$AI$7,"B+",IF(T458&lt;'PlayerGrades+'!$AI$6,"A-",IF(T458&lt;'PlayerGrades+'!$AI$5,"A",IF(T458&lt;'PlayerGrades+'!$AI$4,"A+",IF(T458&lt;'PlayerGrades+'!$AI$3,"S-",IF(T458&lt;'PlayerGrades+'!$AI$2,"S","S+"))))))))))))))))))))</f>
        <v>C-</v>
      </c>
      <c r="V458" s="941">
        <v>1.0</v>
      </c>
      <c r="W458" s="941">
        <v>1.0</v>
      </c>
      <c r="X458" s="941">
        <v>0.0</v>
      </c>
      <c r="Y458" s="941">
        <v>3.0</v>
      </c>
      <c r="Z458" s="941">
        <v>18.0</v>
      </c>
      <c r="AA458" s="941">
        <v>40.0</v>
      </c>
      <c r="AB458" s="941">
        <v>23.0</v>
      </c>
      <c r="AC458" s="941">
        <v>17.0</v>
      </c>
      <c r="AD458" s="941">
        <v>5.0</v>
      </c>
      <c r="AE458" s="941">
        <v>7.0</v>
      </c>
      <c r="AF458" s="941">
        <v>0.0</v>
      </c>
      <c r="AG458" s="941">
        <v>961.0</v>
      </c>
      <c r="AH458" s="941">
        <v>1127.0</v>
      </c>
      <c r="AI458" s="941">
        <v>41.0</v>
      </c>
      <c r="AJ458" s="941">
        <v>702.0</v>
      </c>
      <c r="AK458" s="941">
        <v>0.0</v>
      </c>
      <c r="AL458" s="941">
        <v>2.0</v>
      </c>
      <c r="AM458" s="941">
        <v>0.0</v>
      </c>
      <c r="AN458" s="941">
        <v>0.0</v>
      </c>
      <c r="AO458" s="941">
        <v>0.0</v>
      </c>
      <c r="AP458" s="941">
        <v>1.0</v>
      </c>
      <c r="AQ458" s="941">
        <v>0.0</v>
      </c>
      <c r="AR458" s="941">
        <v>4.0</v>
      </c>
      <c r="AS458" s="941">
        <v>1.0</v>
      </c>
      <c r="AT458" s="941">
        <v>1.0</v>
      </c>
      <c r="AU458" s="941">
        <v>0.0</v>
      </c>
      <c r="AV458" s="941">
        <v>0.0</v>
      </c>
      <c r="AW458" s="941">
        <v>0.0</v>
      </c>
      <c r="AX458" s="941">
        <v>0.0</v>
      </c>
      <c r="AY458" s="941">
        <v>0.0</v>
      </c>
      <c r="AZ458" s="941">
        <v>0.0</v>
      </c>
      <c r="BA458" s="941">
        <v>0.0</v>
      </c>
      <c r="BB458" s="941">
        <v>2.0</v>
      </c>
      <c r="BC458" s="941">
        <v>0.0</v>
      </c>
      <c r="BD458" s="941">
        <v>6.0</v>
      </c>
      <c r="BE458" s="941">
        <v>4.0</v>
      </c>
      <c r="BF458" s="941">
        <v>1.0</v>
      </c>
      <c r="BG458" s="941">
        <v>1.0</v>
      </c>
    </row>
    <row r="459">
      <c r="A459" s="965" t="s">
        <v>121</v>
      </c>
      <c r="B459" s="16" t="str">
        <f>IF(C459&lt;'PlayerGrades+'!$Y$44,"F-",IF(C459&lt;'PlayerGrades+'!$Y$43,"F",IF(C459&lt;'PlayerGrades+'!$Y$42,"F+",IF(C459&lt;'PlayerGrades+'!$Y$41,"E-",IF(C459&lt;'PlayerGrades+'!$Y$40,"E",IF(C459&lt;'PlayerGrades+'!$Y$39,"E+",IF(C459&lt;'PlayerGrades+'!$Y$38,"D-",IF(C459&lt;'PlayerGrades+'!$Y$37,"D",IF(C459&lt;'PlayerGrades+'!$Y$36,"D+",IF(C459&lt;'PlayerGrades+'!$Y$35,"C-",IF(C459&lt;'PlayerGrades+'!$Y$34,"C",IF(C459&lt;'PlayerGrades+'!$Y$33,"C+",IF(C459&lt;'PlayerGrades+'!$Y$32,"B-",IF(C459&lt;'PlayerGrades+'!$Y$31,"B",IF(C459&lt;'PlayerGrades+'!$Y$30,"B+",IF(C459&lt;'PlayerGrades+'!$Y$29,"A-",IF(C459&lt;'PlayerGrades+'!$Y$28,"A",IF(C459&lt;'PlayerGrades+'!$Y$27,"A+",IF(C459&lt;'PlayerGrades+'!$Y$26,"S-",IF(C459&lt;'PlayerGrades+'!$Y$25,"S","S+"))))))))))))))))))))</f>
        <v>S</v>
      </c>
      <c r="C459" s="936">
        <f>('PlayerGrades+'!$Y$47*(VLOOKUP(E459, 'PlayerGrades+'!$X$3:$Y$23, 2, FALSE)))+('PlayerGrades+'!$Y$48*(VLOOKUP(G459, 'PlayerGrades+'!$X$3:$Y$23, 2, FALSE)))+('PlayerGrades+'!$Y$49*(VLOOKUP(I459, 'PlayerGrades+'!$X$3:$Y$23, 2, FALSE)))+('PlayerGrades+'!$Y$50*(VLOOKUP(K459, 'PlayerGrades+'!$X$3:$Y$23, 2, FALSE)))+('PlayerGrades+'!$Y$51*(VLOOKUP(M459, 'PlayerGrades+'!$X$3:$Y$23, 2, FALSE)))+('PlayerGrades+'!$Y$52*(VLOOKUP(O459, 'PlayerGrades+'!$X$3:$Y$23, 2, FALSE)))+('PlayerGrades+'!$Y$53*(VLOOKUP(Q459, 'PlayerGrades+'!$X$3:$Y$23, 2, FALSE)))+('PlayerGrades+'!$Y$54*(VLOOKUP(S459, 'PlayerGrades+'!$X$3:$Y$23, 2, FALSE)))+('PlayerGrades+'!$Y$55*(VLOOKUP(U459, 'PlayerGrades+'!$X$3:$Y$23, 2, FALSE)))</f>
        <v>33</v>
      </c>
      <c r="D459" s="937">
        <f t="shared" si="1"/>
        <v>0.1064773736</v>
      </c>
      <c r="E459" s="937" t="str">
        <f>IF(D459&lt;'PlayerGrades+'!$AA$21,"F-",IF(D459&lt;'PlayerGrades+'!$AA$20,"F",IF(D459&lt;'PlayerGrades+'!$AA$19,"F+",IF(D459&lt;'PlayerGrades+'!$AA$18,"E-",IF(D459&lt;'PlayerGrades+'!$AA$17,"E",IF(D459&lt;'PlayerGrades+'!$AA$16,"E+",IF(D459&lt;'PlayerGrades+'!$AA$15,"D-",IF(D459&lt;'PlayerGrades+'!$AA$14,"D",IF(D459&lt;'PlayerGrades+'!$AA$13,"D+",IF(D459&lt;'PlayerGrades+'!$AA$12,"C-",IF(D459&lt;'PlayerGrades+'!$AA$11,"C",IF(D459&lt;'PlayerGrades+'!$AA$10,"C+",IF(D459&lt;'PlayerGrades+'!$AA$9,"B-",IF(D459&lt;'PlayerGrades+'!$AA$8,"B",IF(D459&lt;'PlayerGrades+'!$AA$7,"B+",IF(D459&lt;'PlayerGrades+'!$AA$6,"A-",IF(D459&lt;'PlayerGrades+'!$AA$5,"A",IF(D459&lt;'PlayerGrades+'!$AA$4,"A+",IF(D459&lt;'PlayerGrades+'!$AA$3,"S-",IF(D459&lt;'PlayerGrades+'!$AA$2,"S","S+"))))))))))))))))))))</f>
        <v>B</v>
      </c>
      <c r="F459" s="937">
        <f t="shared" si="2"/>
        <v>1.437444543</v>
      </c>
      <c r="G459" s="937" t="str">
        <f>IF(F459&lt;'PlayerGrades+'!$AB$21,"F-",IF(F459&lt;'PlayerGrades+'!$AB$20,"F",IF(F459&lt;'PlayerGrades+'!$AB$19,"F+",IF(F459&lt;'PlayerGrades+'!$AB$18,"E-",IF(F459&lt;'PlayerGrades+'!$AB$17,"E",IF(F459&lt;'PlayerGrades+'!$AB$16,"E+",IF(F459&lt;'PlayerGrades+'!$AB$15,"D-",IF(F459&lt;'PlayerGrades+'!$AB$14,"D",IF(F459&lt;'PlayerGrades+'!$AB$13,"D+",IF(F459&lt;'PlayerGrades+'!$AB$12,"C-",IF(F459&lt;'PlayerGrades+'!$AB$11,"C",IF(F459&lt;'PlayerGrades+'!$AB$10,"C+",IF(F459&lt;'PlayerGrades+'!$AB$9,"B-",IF(F459&lt;'PlayerGrades+'!$AB$8,"B",IF(F459&lt;'PlayerGrades+'!$AB$7,"B+",IF(F459&lt;'PlayerGrades+'!$AB$6,"A-",IF(F459&lt;'PlayerGrades+'!$AB$5,"A",IF(F459&lt;'PlayerGrades+'!$AB$4,"A+",IF(F459&lt;'PlayerGrades+'!$AB$3,"S-",IF(F459&lt;'PlayerGrades+'!$AB$2,"S","S+"))))))))))))))))))))</f>
        <v>S+</v>
      </c>
      <c r="H459" s="937">
        <f t="shared" si="3"/>
        <v>0.3194321207</v>
      </c>
      <c r="I459" s="937" t="str">
        <f>IF(H459&lt;'PlayerGrades+'!$AC$21,"F-",IF(H459&lt;'PlayerGrades+'!$AC$20,"F",IF(H459&lt;'PlayerGrades+'!$AC$19,"F+",IF(H459&lt;'PlayerGrades+'!$AC$18,"E-",IF(H459&lt;'PlayerGrades+'!$AC$17,"E",IF(H459&lt;'PlayerGrades+'!$AC$16,"E+",IF(H459&lt;'PlayerGrades+'!$AC$15,"D-",IF(H459&lt;'PlayerGrades+'!$AC$14,"D",IF(H459&lt;'PlayerGrades+'!$AC$13,"D+",IF(H459&lt;'PlayerGrades+'!$AC$12,"C-",IF(H459&lt;'PlayerGrades+'!$AC$11,"C",IF(H459&lt;'PlayerGrades+'!$AC$10,"C+",IF(H459&lt;'PlayerGrades+'!$AC$9,"B-",IF(H459&lt;'PlayerGrades+'!$AC$8,"B",IF(H459&lt;'PlayerGrades+'!$AC$7,"B+",IF(H459&lt;'PlayerGrades+'!$AC$6,"A-",IF(H459&lt;'PlayerGrades+'!$AC$5,"A",IF(H459&lt;'PlayerGrades+'!$AC$4,"A+",IF(H459&lt;'PlayerGrades+'!$AC$3,"S-",IF(H459&lt;'PlayerGrades+'!$AC$2,"S","S+"))))))))))))))))))))</f>
        <v>S+</v>
      </c>
      <c r="J459" s="937">
        <f t="shared" si="4"/>
        <v>0.1064773736</v>
      </c>
      <c r="K459" s="937" t="str">
        <f>IF(J459&lt;'PlayerGrades+'!$AD$21,"F-",IF(J459&lt;'PlayerGrades+'!$AD$20,"F",IF(J459&lt;'PlayerGrades+'!$AD$19,"F+",IF(J459&lt;'PlayerGrades+'!$AD$18,"E-",IF(J459&lt;'PlayerGrades+'!$AD$17,"E",IF(J459&lt;'PlayerGrades+'!$AD$16,"E+",IF(J459&lt;'PlayerGrades+'!$AD$15,"D-",IF(J459&lt;'PlayerGrades+'!$AD$14,"D",IF(J459&lt;'PlayerGrades+'!$AD$13,"D+",IF(J459&lt;'PlayerGrades+'!$AD$12,"C-",IF(J459&lt;'PlayerGrades+'!$AD$11,"C",IF(J459&lt;'PlayerGrades+'!$AD$10,"C+",IF(J459&lt;'PlayerGrades+'!$AD$9,"B-",IF(J459&lt;'PlayerGrades+'!$AD$8,"B",IF(J459&lt;'PlayerGrades+'!$AD$7,"B+",IF(J459&lt;'PlayerGrades+'!$AD$6,"A-",IF(J459&lt;'PlayerGrades+'!$AD$5,"A",IF(J459&lt;'PlayerGrades+'!$AD$4,"A+",IF(J459&lt;'PlayerGrades+'!$AD$3,"S-",IF(J459&lt;'PlayerGrades+'!$AD$2,"S","S+"))))))))))))))))))))</f>
        <v>S+</v>
      </c>
      <c r="L459" s="677">
        <f t="shared" si="5"/>
        <v>0.7453416149</v>
      </c>
      <c r="M459" s="938" t="str">
        <f>IF(L459&lt;'PlayerGrades+'!$AE$21,"F-",IF(L459&lt;'PlayerGrades+'!$AE$20,"F",IF(L459&lt;'PlayerGrades+'!$AE$19,"F+",IF(L459&lt;'PlayerGrades+'!$AE$18,"E-",IF(L459&lt;'PlayerGrades+'!$AE$17,"E",IF(L459&lt;'PlayerGrades+'!$AE$16,"E+",IF(L459&lt;'PlayerGrades+'!$AE$15,"D-",IF(L459&lt;'PlayerGrades+'!$AE$14,"D",IF(L459&lt;'PlayerGrades+'!$AE$13,"D+",IF(L459&lt;'PlayerGrades+'!$AE$12,"C-",IF(L459&lt;'PlayerGrades+'!$AE$11,"C",IF(L459&lt;'PlayerGrades+'!$AE$10,"C+",IF(L459&lt;'PlayerGrades+'!$AE$9,"B-",IF(L459&lt;'PlayerGrades+'!$AE$8,"B",IF(L459&lt;'PlayerGrades+'!$AE$7,"B+",IF(L459&lt;'PlayerGrades+'!$AE$6,"A-",IF(L459&lt;'PlayerGrades+'!$AE$5,"A",IF(L459&lt;'PlayerGrades+'!$AE$4,"A+",IF(L459&lt;'PlayerGrades+'!$AE$3,"S-",IF(L459&lt;'PlayerGrades+'!$AE$2,"S","S+"))))))))))))))))))))</f>
        <v>S+</v>
      </c>
      <c r="N459" s="937">
        <f t="shared" si="6"/>
        <v>0.1597160603</v>
      </c>
      <c r="O459" s="937" t="str">
        <f>IF(N459&lt;'PlayerGrades+'!$AF$21,"F-",IF(N459&lt;'PlayerGrades+'!$AF$20,"F",IF(N459&lt;'PlayerGrades+'!$AF$19,"F+",IF(N459&lt;'PlayerGrades+'!$AF$18,"E-",IF(N459&lt;'PlayerGrades+'!$AF$17,"E",IF(N459&lt;'PlayerGrades+'!$AF$16,"E+",IF(N459&lt;'PlayerGrades+'!$AF$15,"D-",IF(N459&lt;'PlayerGrades+'!$AF$14,"D",IF(N459&lt;'PlayerGrades+'!$AF$13,"D+",IF(N459&lt;'PlayerGrades+'!$AF$12,"C-",IF(N459&lt;'PlayerGrades+'!$AF$11,"C",IF(N459&lt;'PlayerGrades+'!$AF$10,"C+",IF(N459&lt;'PlayerGrades+'!$AF$9,"B-",IF(N459&lt;'PlayerGrades+'!$AF$8,"B",IF(N459&lt;'PlayerGrades+'!$AF$7,"B+",IF(N459&lt;'PlayerGrades+'!$AF$6,"A-",IF(N459&lt;'PlayerGrades+'!$AF$5,"A",IF(N459&lt;'PlayerGrades+'!$AF$4,"A+",IF(N459&lt;'PlayerGrades+'!$AF$3,"S-",IF(N459&lt;'PlayerGrades+'!$AF$2,"S","S+"))))))))))))))))))))</f>
        <v>S+</v>
      </c>
      <c r="P459" s="937">
        <f t="shared" si="7"/>
        <v>0.1064773736</v>
      </c>
      <c r="Q459" s="937" t="str">
        <f>IF(P459&lt;'PlayerGrades+'!$AG$21,"F-",IF(P459&lt;'PlayerGrades+'!$AG$20,"F",IF(P459&lt;'PlayerGrades+'!$AG$19,"F+",IF(P459&lt;'PlayerGrades+'!$AG$18,"E-",IF(P459&lt;'PlayerGrades+'!$AG$17,"E",IF(P459&lt;'PlayerGrades+'!$AG$16,"E+",IF(P459&lt;'PlayerGrades+'!$AG$15,"D-",IF(P459&lt;'PlayerGrades+'!$AG$14,"D",IF(P459&lt;'PlayerGrades+'!$AG$13,"D+",IF(P459&lt;'PlayerGrades+'!$AG$12,"C-",IF(P459&lt;'PlayerGrades+'!$AG$11,"C",IF(P459&lt;'PlayerGrades+'!$AG$10,"C+",IF(P459&lt;'PlayerGrades+'!$AG$9,"B-",IF(P459&lt;'PlayerGrades+'!$AG$8,"B",IF(P459&lt;'PlayerGrades+'!$AG$7,"B+",IF(P459&lt;'PlayerGrades+'!$AG$6,"A-",IF(P459&lt;'PlayerGrades+'!$AG$5,"A",IF(P459&lt;'PlayerGrades+'!$AG$4,"A+",IF(P459&lt;'PlayerGrades+'!$AG$3,"S-",IF(P459&lt;'PlayerGrades+'!$AG$2,"S","S+"))))))))))))))))))))</f>
        <v>S+</v>
      </c>
      <c r="R459" s="937">
        <f t="shared" si="8"/>
        <v>0.6388642413</v>
      </c>
      <c r="S459" s="937" t="str">
        <f>IF(R459&lt;'PlayerGrades+'!$AH$21,"F-",IF(R459&lt;'PlayerGrades+'!$AH$20,"F",IF(R459&lt;'PlayerGrades+'!$AH$19,"F+",IF(R459&lt;'PlayerGrades+'!$AH$18,"E-",IF(R459&lt;'PlayerGrades+'!$AH$17,"E",IF(R459&lt;'PlayerGrades+'!$AH$16,"E+",IF(R459&lt;'PlayerGrades+'!$AH$15,"D-",IF(R459&lt;'PlayerGrades+'!$AH$14,"D",IF(R459&lt;'PlayerGrades+'!$AH$13,"D+",IF(R459&lt;'PlayerGrades+'!$AH$12,"C-",IF(R459&lt;'PlayerGrades+'!$AH$11,"C",IF(R459&lt;'PlayerGrades+'!$AH$10,"C+",IF(R459&lt;'PlayerGrades+'!$AH$9,"B-",IF(R459&lt;'PlayerGrades+'!$AH$8,"B",IF(R459&lt;'PlayerGrades+'!$AH$7,"B+",IF(R459&lt;'PlayerGrades+'!$AH$6,"A-",IF(R459&lt;'PlayerGrades+'!$AH$5,"A",IF(R459&lt;'PlayerGrades+'!$AH$4,"A+",IF(R459&lt;'PlayerGrades+'!$AH$3,"S-",IF(R459&lt;'PlayerGrades+'!$AH$2,"S","S+"))))))))))))))))))))</f>
        <v>A</v>
      </c>
      <c r="T459" s="937">
        <f t="shared" si="9"/>
        <v>0.479148181</v>
      </c>
      <c r="U459" s="937" t="str">
        <f>IF(T459&lt;'PlayerGrades+'!$AI$21,"F-",IF(T459&lt;'PlayerGrades+'!$AI$20,"F",IF(T459&lt;'PlayerGrades+'!$AI$19,"F+",IF(T459&lt;'PlayerGrades+'!$AI$18,"E-",IF(T459&lt;'PlayerGrades+'!$AI$17,"E",IF(T459&lt;'PlayerGrades+'!$AI$16,"E+",IF(T459&lt;'PlayerGrades+'!$AI$15,"D-",IF(T459&lt;'PlayerGrades+'!$AI$14,"D",IF(T459&lt;'PlayerGrades+'!$AI$13,"D+",IF(T459&lt;'PlayerGrades+'!$AI$12,"C-",IF(T459&lt;'PlayerGrades+'!$AI$11,"C",IF(T459&lt;'PlayerGrades+'!$AI$10,"C+",IF(T459&lt;'PlayerGrades+'!$AI$9,"B-",IF(T459&lt;'PlayerGrades+'!$AI$8,"B",IF(T459&lt;'PlayerGrades+'!$AI$7,"B+",IF(T459&lt;'PlayerGrades+'!$AI$6,"A-",IF(T459&lt;'PlayerGrades+'!$AI$5,"A",IF(T459&lt;'PlayerGrades+'!$AI$4,"A+",IF(T459&lt;'PlayerGrades+'!$AI$3,"S-",IF(T459&lt;'PlayerGrades+'!$AI$2,"S","S+"))))))))))))))))))))</f>
        <v>F-</v>
      </c>
      <c r="V459" s="941">
        <v>1.0</v>
      </c>
      <c r="W459" s="941">
        <v>1.0</v>
      </c>
      <c r="X459" s="941">
        <v>0.0</v>
      </c>
      <c r="Y459" s="941">
        <v>1.0</v>
      </c>
      <c r="Z459" s="941">
        <v>1.0</v>
      </c>
      <c r="AA459" s="941">
        <v>77.0</v>
      </c>
      <c r="AB459" s="941">
        <v>50.0</v>
      </c>
      <c r="AC459" s="941">
        <v>27.0</v>
      </c>
      <c r="AD459" s="941">
        <v>3.0</v>
      </c>
      <c r="AE459" s="941">
        <v>6.0</v>
      </c>
      <c r="AF459" s="941">
        <v>1.0</v>
      </c>
      <c r="AG459" s="941">
        <v>884.0</v>
      </c>
      <c r="AH459" s="941">
        <v>1127.0</v>
      </c>
      <c r="AI459" s="941">
        <v>17.0</v>
      </c>
      <c r="AJ459" s="941">
        <v>31.0</v>
      </c>
      <c r="AK459" s="941">
        <v>0.0</v>
      </c>
      <c r="AL459" s="941">
        <v>2.0</v>
      </c>
      <c r="AM459" s="941">
        <v>0.0</v>
      </c>
      <c r="AN459" s="941">
        <v>0.0</v>
      </c>
      <c r="AO459" s="941">
        <v>0.0</v>
      </c>
      <c r="AP459" s="941">
        <v>2.0</v>
      </c>
      <c r="AQ459" s="941">
        <v>0.0</v>
      </c>
      <c r="AR459" s="941">
        <v>14.0</v>
      </c>
      <c r="AS459" s="941">
        <v>3.0</v>
      </c>
      <c r="AT459" s="941">
        <v>0.0</v>
      </c>
      <c r="AU459" s="941">
        <v>0.0</v>
      </c>
      <c r="AV459" s="941">
        <v>0.0</v>
      </c>
      <c r="AW459" s="941">
        <v>0.0</v>
      </c>
      <c r="AX459" s="941">
        <v>0.0</v>
      </c>
      <c r="AY459" s="941">
        <v>0.0</v>
      </c>
      <c r="AZ459" s="941">
        <v>0.0</v>
      </c>
      <c r="BA459" s="941">
        <v>0.0</v>
      </c>
      <c r="BB459" s="941">
        <v>6.0</v>
      </c>
      <c r="BC459" s="941">
        <v>0.0</v>
      </c>
      <c r="BD459" s="941">
        <v>9.0</v>
      </c>
      <c r="BE459" s="941">
        <v>9.0</v>
      </c>
      <c r="BF459" s="941">
        <v>0.0</v>
      </c>
      <c r="BG459" s="941">
        <v>1.0</v>
      </c>
    </row>
    <row r="460">
      <c r="A460" s="965" t="s">
        <v>514</v>
      </c>
      <c r="B460" s="16" t="str">
        <f>IF(C460&lt;'PlayerGrades+'!$Y$44,"F-",IF(C460&lt;'PlayerGrades+'!$Y$43,"F",IF(C460&lt;'PlayerGrades+'!$Y$42,"F+",IF(C460&lt;'PlayerGrades+'!$Y$41,"E-",IF(C460&lt;'PlayerGrades+'!$Y$40,"E",IF(C460&lt;'PlayerGrades+'!$Y$39,"E+",IF(C460&lt;'PlayerGrades+'!$Y$38,"D-",IF(C460&lt;'PlayerGrades+'!$Y$37,"D",IF(C460&lt;'PlayerGrades+'!$Y$36,"D+",IF(C460&lt;'PlayerGrades+'!$Y$35,"C-",IF(C460&lt;'PlayerGrades+'!$Y$34,"C",IF(C460&lt;'PlayerGrades+'!$Y$33,"C+",IF(C460&lt;'PlayerGrades+'!$Y$32,"B-",IF(C460&lt;'PlayerGrades+'!$Y$31,"B",IF(C460&lt;'PlayerGrades+'!$Y$30,"B+",IF(C460&lt;'PlayerGrades+'!$Y$29,"A-",IF(C460&lt;'PlayerGrades+'!$Y$28,"A",IF(C460&lt;'PlayerGrades+'!$Y$27,"A+",IF(C460&lt;'PlayerGrades+'!$Y$26,"S-",IF(C460&lt;'PlayerGrades+'!$Y$25,"S","S+"))))))))))))))))))))</f>
        <v>A</v>
      </c>
      <c r="C460" s="936">
        <f>('PlayerGrades+'!$Y$47*(VLOOKUP(E460, 'PlayerGrades+'!$X$3:$Y$23, 2, FALSE)))+('PlayerGrades+'!$Y$48*(VLOOKUP(G460, 'PlayerGrades+'!$X$3:$Y$23, 2, FALSE)))+('PlayerGrades+'!$Y$49*(VLOOKUP(I460, 'PlayerGrades+'!$X$3:$Y$23, 2, FALSE)))+('PlayerGrades+'!$Y$50*(VLOOKUP(K460, 'PlayerGrades+'!$X$3:$Y$23, 2, FALSE)))+('PlayerGrades+'!$Y$51*(VLOOKUP(M460, 'PlayerGrades+'!$X$3:$Y$23, 2, FALSE)))+('PlayerGrades+'!$Y$52*(VLOOKUP(O460, 'PlayerGrades+'!$X$3:$Y$23, 2, FALSE)))+('PlayerGrades+'!$Y$53*(VLOOKUP(Q460, 'PlayerGrades+'!$X$3:$Y$23, 2, FALSE)))+('PlayerGrades+'!$Y$54*(VLOOKUP(S460, 'PlayerGrades+'!$X$3:$Y$23, 2, FALSE)))+('PlayerGrades+'!$Y$55*(VLOOKUP(U460, 'PlayerGrades+'!$X$3:$Y$23, 2, FALSE)))</f>
        <v>26.1</v>
      </c>
      <c r="D460" s="937">
        <f t="shared" si="1"/>
        <v>0.05323868678</v>
      </c>
      <c r="E460" s="937" t="str">
        <f>IF(D460&lt;'PlayerGrades+'!$AA$21,"F-",IF(D460&lt;'PlayerGrades+'!$AA$20,"F",IF(D460&lt;'PlayerGrades+'!$AA$19,"F+",IF(D460&lt;'PlayerGrades+'!$AA$18,"E-",IF(D460&lt;'PlayerGrades+'!$AA$17,"E",IF(D460&lt;'PlayerGrades+'!$AA$16,"E+",IF(D460&lt;'PlayerGrades+'!$AA$15,"D-",IF(D460&lt;'PlayerGrades+'!$AA$14,"D",IF(D460&lt;'PlayerGrades+'!$AA$13,"D+",IF(D460&lt;'PlayerGrades+'!$AA$12,"C-",IF(D460&lt;'PlayerGrades+'!$AA$11,"C",IF(D460&lt;'PlayerGrades+'!$AA$10,"C+",IF(D460&lt;'PlayerGrades+'!$AA$9,"B-",IF(D460&lt;'PlayerGrades+'!$AA$8,"B",IF(D460&lt;'PlayerGrades+'!$AA$7,"B+",IF(D460&lt;'PlayerGrades+'!$AA$6,"A-",IF(D460&lt;'PlayerGrades+'!$AA$5,"A",IF(D460&lt;'PlayerGrades+'!$AA$4,"A+",IF(D460&lt;'PlayerGrades+'!$AA$3,"S-",IF(D460&lt;'PlayerGrades+'!$AA$2,"S","S+"))))))))))))))))))))</f>
        <v>B-</v>
      </c>
      <c r="F460" s="937">
        <f t="shared" si="2"/>
        <v>0.1597160603</v>
      </c>
      <c r="G460" s="937" t="str">
        <f>IF(F460&lt;'PlayerGrades+'!$AB$21,"F-",IF(F460&lt;'PlayerGrades+'!$AB$20,"F",IF(F460&lt;'PlayerGrades+'!$AB$19,"F+",IF(F460&lt;'PlayerGrades+'!$AB$18,"E-",IF(F460&lt;'PlayerGrades+'!$AB$17,"E",IF(F460&lt;'PlayerGrades+'!$AB$16,"E+",IF(F460&lt;'PlayerGrades+'!$AB$15,"D-",IF(F460&lt;'PlayerGrades+'!$AB$14,"D",IF(F460&lt;'PlayerGrades+'!$AB$13,"D+",IF(F460&lt;'PlayerGrades+'!$AB$12,"C-",IF(F460&lt;'PlayerGrades+'!$AB$11,"C",IF(F460&lt;'PlayerGrades+'!$AB$10,"C+",IF(F460&lt;'PlayerGrades+'!$AB$9,"B-",IF(F460&lt;'PlayerGrades+'!$AB$8,"B",IF(F460&lt;'PlayerGrades+'!$AB$7,"B+",IF(F460&lt;'PlayerGrades+'!$AB$6,"A-",IF(F460&lt;'PlayerGrades+'!$AB$5,"A",IF(F460&lt;'PlayerGrades+'!$AB$4,"A+",IF(F460&lt;'PlayerGrades+'!$AB$3,"S-",IF(F460&lt;'PlayerGrades+'!$AB$2,"S","S+"))))))))))))))))))))</f>
        <v>B+</v>
      </c>
      <c r="H460" s="937">
        <f t="shared" si="3"/>
        <v>0.1064773736</v>
      </c>
      <c r="I460" s="937" t="str">
        <f>IF(H460&lt;'PlayerGrades+'!$AC$21,"F-",IF(H460&lt;'PlayerGrades+'!$AC$20,"F",IF(H460&lt;'PlayerGrades+'!$AC$19,"F+",IF(H460&lt;'PlayerGrades+'!$AC$18,"E-",IF(H460&lt;'PlayerGrades+'!$AC$17,"E",IF(H460&lt;'PlayerGrades+'!$AC$16,"E+",IF(H460&lt;'PlayerGrades+'!$AC$15,"D-",IF(H460&lt;'PlayerGrades+'!$AC$14,"D",IF(H460&lt;'PlayerGrades+'!$AC$13,"D+",IF(H460&lt;'PlayerGrades+'!$AC$12,"C-",IF(H460&lt;'PlayerGrades+'!$AC$11,"C",IF(H460&lt;'PlayerGrades+'!$AC$10,"C+",IF(H460&lt;'PlayerGrades+'!$AC$9,"B-",IF(H460&lt;'PlayerGrades+'!$AC$8,"B",IF(H460&lt;'PlayerGrades+'!$AC$7,"B+",IF(H460&lt;'PlayerGrades+'!$AC$6,"A-",IF(H460&lt;'PlayerGrades+'!$AC$5,"A",IF(H460&lt;'PlayerGrades+'!$AC$4,"A+",IF(H460&lt;'PlayerGrades+'!$AC$3,"S-",IF(H460&lt;'PlayerGrades+'!$AC$2,"S","S+"))))))))))))))))))))</f>
        <v>C-</v>
      </c>
      <c r="J460" s="937">
        <f t="shared" si="4"/>
        <v>0.05323868678</v>
      </c>
      <c r="K460" s="937" t="str">
        <f>IF(J460&lt;'PlayerGrades+'!$AD$21,"F-",IF(J460&lt;'PlayerGrades+'!$AD$20,"F",IF(J460&lt;'PlayerGrades+'!$AD$19,"F+",IF(J460&lt;'PlayerGrades+'!$AD$18,"E-",IF(J460&lt;'PlayerGrades+'!$AD$17,"E",IF(J460&lt;'PlayerGrades+'!$AD$16,"E+",IF(J460&lt;'PlayerGrades+'!$AD$15,"D-",IF(J460&lt;'PlayerGrades+'!$AD$14,"D",IF(J460&lt;'PlayerGrades+'!$AD$13,"D+",IF(J460&lt;'PlayerGrades+'!$AD$12,"C-",IF(J460&lt;'PlayerGrades+'!$AD$11,"C",IF(J460&lt;'PlayerGrades+'!$AD$10,"C+",IF(J460&lt;'PlayerGrades+'!$AD$9,"B-",IF(J460&lt;'PlayerGrades+'!$AD$8,"B",IF(J460&lt;'PlayerGrades+'!$AD$7,"B+",IF(J460&lt;'PlayerGrades+'!$AD$6,"A-",IF(J460&lt;'PlayerGrades+'!$AD$5,"A",IF(J460&lt;'PlayerGrades+'!$AD$4,"A+",IF(J460&lt;'PlayerGrades+'!$AD$3,"S-",IF(J460&lt;'PlayerGrades+'!$AD$2,"S","S+"))))))))))))))))))))</f>
        <v>B+</v>
      </c>
      <c r="L460" s="677">
        <f t="shared" si="5"/>
        <v>0.4259094942</v>
      </c>
      <c r="M460" s="938" t="str">
        <f>IF(L460&lt;'PlayerGrades+'!$AE$21,"F-",IF(L460&lt;'PlayerGrades+'!$AE$20,"F",IF(L460&lt;'PlayerGrades+'!$AE$19,"F+",IF(L460&lt;'PlayerGrades+'!$AE$18,"E-",IF(L460&lt;'PlayerGrades+'!$AE$17,"E",IF(L460&lt;'PlayerGrades+'!$AE$16,"E+",IF(L460&lt;'PlayerGrades+'!$AE$15,"D-",IF(L460&lt;'PlayerGrades+'!$AE$14,"D",IF(L460&lt;'PlayerGrades+'!$AE$13,"D+",IF(L460&lt;'PlayerGrades+'!$AE$12,"C-",IF(L460&lt;'PlayerGrades+'!$AE$11,"C",IF(L460&lt;'PlayerGrades+'!$AE$10,"C+",IF(L460&lt;'PlayerGrades+'!$AE$9,"B-",IF(L460&lt;'PlayerGrades+'!$AE$8,"B",IF(L460&lt;'PlayerGrades+'!$AE$7,"B+",IF(L460&lt;'PlayerGrades+'!$AE$6,"A-",IF(L460&lt;'PlayerGrades+'!$AE$5,"A",IF(L460&lt;'PlayerGrades+'!$AE$4,"A+",IF(L460&lt;'PlayerGrades+'!$AE$3,"S-",IF(L460&lt;'PlayerGrades+'!$AE$2,"S","S+"))))))))))))))))))))</f>
        <v>C+</v>
      </c>
      <c r="N460" s="937">
        <f t="shared" si="6"/>
        <v>0.1064773736</v>
      </c>
      <c r="O460" s="937" t="str">
        <f>IF(N460&lt;'PlayerGrades+'!$AF$21,"F-",IF(N460&lt;'PlayerGrades+'!$AF$20,"F",IF(N460&lt;'PlayerGrades+'!$AF$19,"F+",IF(N460&lt;'PlayerGrades+'!$AF$18,"E-",IF(N460&lt;'PlayerGrades+'!$AF$17,"E",IF(N460&lt;'PlayerGrades+'!$AF$16,"E+",IF(N460&lt;'PlayerGrades+'!$AF$15,"D-",IF(N460&lt;'PlayerGrades+'!$AF$14,"D",IF(N460&lt;'PlayerGrades+'!$AF$13,"D+",IF(N460&lt;'PlayerGrades+'!$AF$12,"C-",IF(N460&lt;'PlayerGrades+'!$AF$11,"C",IF(N460&lt;'PlayerGrades+'!$AF$10,"C+",IF(N460&lt;'PlayerGrades+'!$AF$9,"B-",IF(N460&lt;'PlayerGrades+'!$AF$8,"B",IF(N460&lt;'PlayerGrades+'!$AF$7,"B+",IF(N460&lt;'PlayerGrades+'!$AF$6,"A-",IF(N460&lt;'PlayerGrades+'!$AF$5,"A",IF(N460&lt;'PlayerGrades+'!$AF$4,"A+",IF(N460&lt;'PlayerGrades+'!$AF$3,"S-",IF(N460&lt;'PlayerGrades+'!$AF$2,"S","S+"))))))))))))))))))))</f>
        <v>S-</v>
      </c>
      <c r="P460" s="937">
        <f t="shared" si="7"/>
        <v>0.05323868678</v>
      </c>
      <c r="Q460" s="937" t="str">
        <f>IF(P460&lt;'PlayerGrades+'!$AG$21,"F-",IF(P460&lt;'PlayerGrades+'!$AG$20,"F",IF(P460&lt;'PlayerGrades+'!$AG$19,"F+",IF(P460&lt;'PlayerGrades+'!$AG$18,"E-",IF(P460&lt;'PlayerGrades+'!$AG$17,"E",IF(P460&lt;'PlayerGrades+'!$AG$16,"E+",IF(P460&lt;'PlayerGrades+'!$AG$15,"D-",IF(P460&lt;'PlayerGrades+'!$AG$14,"D",IF(P460&lt;'PlayerGrades+'!$AG$13,"D+",IF(P460&lt;'PlayerGrades+'!$AG$12,"C-",IF(P460&lt;'PlayerGrades+'!$AG$11,"C",IF(P460&lt;'PlayerGrades+'!$AG$10,"C+",IF(P460&lt;'PlayerGrades+'!$AG$9,"B-",IF(P460&lt;'PlayerGrades+'!$AG$8,"B",IF(P460&lt;'PlayerGrades+'!$AG$7,"B+",IF(P460&lt;'PlayerGrades+'!$AG$6,"A-",IF(P460&lt;'PlayerGrades+'!$AG$5,"A",IF(P460&lt;'PlayerGrades+'!$AG$4,"A+",IF(P460&lt;'PlayerGrades+'!$AG$3,"S-",IF(P460&lt;'PlayerGrades+'!$AG$2,"S","S+"))))))))))))))))))))</f>
        <v>A</v>
      </c>
      <c r="R460" s="937">
        <f t="shared" si="8"/>
        <v>0.5856255546</v>
      </c>
      <c r="S460" s="937" t="str">
        <f>IF(R460&lt;'PlayerGrades+'!$AH$21,"F-",IF(R460&lt;'PlayerGrades+'!$AH$20,"F",IF(R460&lt;'PlayerGrades+'!$AH$19,"F+",IF(R460&lt;'PlayerGrades+'!$AH$18,"E-",IF(R460&lt;'PlayerGrades+'!$AH$17,"E",IF(R460&lt;'PlayerGrades+'!$AH$16,"E+",IF(R460&lt;'PlayerGrades+'!$AH$15,"D-",IF(R460&lt;'PlayerGrades+'!$AH$14,"D",IF(R460&lt;'PlayerGrades+'!$AH$13,"D+",IF(R460&lt;'PlayerGrades+'!$AH$12,"C-",IF(R460&lt;'PlayerGrades+'!$AH$11,"C",IF(R460&lt;'PlayerGrades+'!$AH$10,"C+",IF(R460&lt;'PlayerGrades+'!$AH$9,"B-",IF(R460&lt;'PlayerGrades+'!$AH$8,"B",IF(R460&lt;'PlayerGrades+'!$AH$7,"B+",IF(R460&lt;'PlayerGrades+'!$AH$6,"A-",IF(R460&lt;'PlayerGrades+'!$AH$5,"A",IF(R460&lt;'PlayerGrades+'!$AH$4,"A+",IF(R460&lt;'PlayerGrades+'!$AH$3,"S-",IF(R460&lt;'PlayerGrades+'!$AH$2,"S","S+"))))))))))))))))))))</f>
        <v>B+</v>
      </c>
      <c r="T460" s="937">
        <f t="shared" si="9"/>
        <v>1.212954747</v>
      </c>
      <c r="U460" s="937" t="str">
        <f>IF(T460&lt;'PlayerGrades+'!$AI$21,"F-",IF(T460&lt;'PlayerGrades+'!$AI$20,"F",IF(T460&lt;'PlayerGrades+'!$AI$19,"F+",IF(T460&lt;'PlayerGrades+'!$AI$18,"E-",IF(T460&lt;'PlayerGrades+'!$AI$17,"E",IF(T460&lt;'PlayerGrades+'!$AI$16,"E+",IF(T460&lt;'PlayerGrades+'!$AI$15,"D-",IF(T460&lt;'PlayerGrades+'!$AI$14,"D",IF(T460&lt;'PlayerGrades+'!$AI$13,"D+",IF(T460&lt;'PlayerGrades+'!$AI$12,"C-",IF(T460&lt;'PlayerGrades+'!$AI$11,"C",IF(T460&lt;'PlayerGrades+'!$AI$10,"C+",IF(T460&lt;'PlayerGrades+'!$AI$9,"B-",IF(T460&lt;'PlayerGrades+'!$AI$8,"B",IF(T460&lt;'PlayerGrades+'!$AI$7,"B+",IF(T460&lt;'PlayerGrades+'!$AI$6,"A-",IF(T460&lt;'PlayerGrades+'!$AI$5,"A",IF(T460&lt;'PlayerGrades+'!$AI$4,"A+",IF(T460&lt;'PlayerGrades+'!$AI$3,"S-",IF(T460&lt;'PlayerGrades+'!$AI$2,"S","S+"))))))))))))))))))))</f>
        <v>C-</v>
      </c>
      <c r="V460" s="941">
        <v>1.0</v>
      </c>
      <c r="W460" s="941">
        <v>1.0</v>
      </c>
      <c r="X460" s="941">
        <v>0.0</v>
      </c>
      <c r="Y460" s="941">
        <v>1.0</v>
      </c>
      <c r="Z460" s="941">
        <v>0.0</v>
      </c>
      <c r="AA460" s="941">
        <v>72.0</v>
      </c>
      <c r="AB460" s="941">
        <v>69.0</v>
      </c>
      <c r="AC460" s="941">
        <v>3.0</v>
      </c>
      <c r="AD460" s="941">
        <v>6.0</v>
      </c>
      <c r="AE460" s="941">
        <v>5.0</v>
      </c>
      <c r="AF460" s="941">
        <v>1.0</v>
      </c>
      <c r="AG460" s="941">
        <v>825.0</v>
      </c>
      <c r="AH460" s="941">
        <v>1127.0</v>
      </c>
      <c r="AI460" s="941">
        <v>11.0</v>
      </c>
      <c r="AJ460" s="941">
        <v>13.0</v>
      </c>
      <c r="AK460" s="941">
        <v>0.0</v>
      </c>
      <c r="AL460" s="941">
        <v>1.0</v>
      </c>
      <c r="AM460" s="941">
        <v>0.0</v>
      </c>
      <c r="AN460" s="941">
        <v>0.0</v>
      </c>
      <c r="AO460" s="941">
        <v>0.0</v>
      </c>
      <c r="AP460" s="941">
        <v>1.0</v>
      </c>
      <c r="AQ460" s="941">
        <v>0.0</v>
      </c>
      <c r="AR460" s="941">
        <v>8.0</v>
      </c>
      <c r="AS460" s="941">
        <v>2.0</v>
      </c>
      <c r="AT460" s="941">
        <v>1.0</v>
      </c>
      <c r="AU460" s="941">
        <v>0.0</v>
      </c>
      <c r="AV460" s="941">
        <v>0.0</v>
      </c>
      <c r="AW460" s="941">
        <v>0.0</v>
      </c>
      <c r="AX460" s="941">
        <v>0.0</v>
      </c>
      <c r="AY460" s="941">
        <v>0.0</v>
      </c>
      <c r="AZ460" s="941">
        <v>0.0</v>
      </c>
      <c r="BA460" s="941">
        <v>0.0</v>
      </c>
      <c r="BB460" s="941">
        <v>2.0</v>
      </c>
      <c r="BC460" s="941">
        <v>0.0</v>
      </c>
      <c r="BD460" s="941">
        <v>5.0</v>
      </c>
      <c r="BE460" s="941">
        <v>4.0</v>
      </c>
      <c r="BF460" s="941">
        <v>1.0</v>
      </c>
      <c r="BG460" s="941">
        <v>1.0</v>
      </c>
    </row>
    <row r="461">
      <c r="A461" s="965" t="s">
        <v>154</v>
      </c>
      <c r="B461" s="16" t="str">
        <f>IF(C461&lt;'PlayerGrades+'!$Y$44,"F-",IF(C461&lt;'PlayerGrades+'!$Y$43,"F",IF(C461&lt;'PlayerGrades+'!$Y$42,"F+",IF(C461&lt;'PlayerGrades+'!$Y$41,"E-",IF(C461&lt;'PlayerGrades+'!$Y$40,"E",IF(C461&lt;'PlayerGrades+'!$Y$39,"E+",IF(C461&lt;'PlayerGrades+'!$Y$38,"D-",IF(C461&lt;'PlayerGrades+'!$Y$37,"D",IF(C461&lt;'PlayerGrades+'!$Y$36,"D+",IF(C461&lt;'PlayerGrades+'!$Y$35,"C-",IF(C461&lt;'PlayerGrades+'!$Y$34,"C",IF(C461&lt;'PlayerGrades+'!$Y$33,"C+",IF(C461&lt;'PlayerGrades+'!$Y$32,"B-",IF(C461&lt;'PlayerGrades+'!$Y$31,"B",IF(C461&lt;'PlayerGrades+'!$Y$30,"B+",IF(C461&lt;'PlayerGrades+'!$Y$29,"A-",IF(C461&lt;'PlayerGrades+'!$Y$28,"A",IF(C461&lt;'PlayerGrades+'!$Y$27,"A+",IF(C461&lt;'PlayerGrades+'!$Y$26,"S-",IF(C461&lt;'PlayerGrades+'!$Y$25,"S","S+"))))))))))))))))))))</f>
        <v>C+</v>
      </c>
      <c r="C461" s="936">
        <f>('PlayerGrades+'!$Y$47*(VLOOKUP(E461, 'PlayerGrades+'!$X$3:$Y$23, 2, FALSE)))+('PlayerGrades+'!$Y$48*(VLOOKUP(G461, 'PlayerGrades+'!$X$3:$Y$23, 2, FALSE)))+('PlayerGrades+'!$Y$49*(VLOOKUP(I461, 'PlayerGrades+'!$X$3:$Y$23, 2, FALSE)))+('PlayerGrades+'!$Y$50*(VLOOKUP(K461, 'PlayerGrades+'!$X$3:$Y$23, 2, FALSE)))+('PlayerGrades+'!$Y$51*(VLOOKUP(M461, 'PlayerGrades+'!$X$3:$Y$23, 2, FALSE)))+('PlayerGrades+'!$Y$52*(VLOOKUP(O461, 'PlayerGrades+'!$X$3:$Y$23, 2, FALSE)))+('PlayerGrades+'!$Y$53*(VLOOKUP(Q461, 'PlayerGrades+'!$X$3:$Y$23, 2, FALSE)))+('PlayerGrades+'!$Y$54*(VLOOKUP(S461, 'PlayerGrades+'!$X$3:$Y$23, 2, FALSE)))+('PlayerGrades+'!$Y$55*(VLOOKUP(U461, 'PlayerGrades+'!$X$3:$Y$23, 2, FALSE)))</f>
        <v>21.05</v>
      </c>
      <c r="D461" s="937">
        <f t="shared" si="1"/>
        <v>0</v>
      </c>
      <c r="E461" s="937" t="str">
        <f>IF(D461&lt;'PlayerGrades+'!$AA$21,"F-",IF(D461&lt;'PlayerGrades+'!$AA$20,"F",IF(D461&lt;'PlayerGrades+'!$AA$19,"F+",IF(D461&lt;'PlayerGrades+'!$AA$18,"E-",IF(D461&lt;'PlayerGrades+'!$AA$17,"E",IF(D461&lt;'PlayerGrades+'!$AA$16,"E+",IF(D461&lt;'PlayerGrades+'!$AA$15,"D-",IF(D461&lt;'PlayerGrades+'!$AA$14,"D",IF(D461&lt;'PlayerGrades+'!$AA$13,"D+",IF(D461&lt;'PlayerGrades+'!$AA$12,"C-",IF(D461&lt;'PlayerGrades+'!$AA$11,"C",IF(D461&lt;'PlayerGrades+'!$AA$10,"C+",IF(D461&lt;'PlayerGrades+'!$AA$9,"B-",IF(D461&lt;'PlayerGrades+'!$AA$8,"B",IF(D461&lt;'PlayerGrades+'!$AA$7,"B+",IF(D461&lt;'PlayerGrades+'!$AA$6,"A-",IF(D461&lt;'PlayerGrades+'!$AA$5,"A",IF(D461&lt;'PlayerGrades+'!$AA$4,"A+",IF(D461&lt;'PlayerGrades+'!$AA$3,"S-",IF(D461&lt;'PlayerGrades+'!$AA$2,"S","S+"))))))))))))))))))))</f>
        <v>F-</v>
      </c>
      <c r="F461" s="937">
        <f t="shared" si="2"/>
        <v>-1.011535049</v>
      </c>
      <c r="G461" s="937" t="str">
        <f>IF(F461&lt;'PlayerGrades+'!$AB$21,"F-",IF(F461&lt;'PlayerGrades+'!$AB$20,"F",IF(F461&lt;'PlayerGrades+'!$AB$19,"F+",IF(F461&lt;'PlayerGrades+'!$AB$18,"E-",IF(F461&lt;'PlayerGrades+'!$AB$17,"E",IF(F461&lt;'PlayerGrades+'!$AB$16,"E+",IF(F461&lt;'PlayerGrades+'!$AB$15,"D-",IF(F461&lt;'PlayerGrades+'!$AB$14,"D",IF(F461&lt;'PlayerGrades+'!$AB$13,"D+",IF(F461&lt;'PlayerGrades+'!$AB$12,"C-",IF(F461&lt;'PlayerGrades+'!$AB$11,"C",IF(F461&lt;'PlayerGrades+'!$AB$10,"C+",IF(F461&lt;'PlayerGrades+'!$AB$9,"B-",IF(F461&lt;'PlayerGrades+'!$AB$8,"B",IF(F461&lt;'PlayerGrades+'!$AB$7,"B+",IF(F461&lt;'PlayerGrades+'!$AB$6,"A-",IF(F461&lt;'PlayerGrades+'!$AB$5,"A",IF(F461&lt;'PlayerGrades+'!$AB$4,"A+",IF(F461&lt;'PlayerGrades+'!$AB$3,"S-",IF(F461&lt;'PlayerGrades+'!$AB$2,"S","S+"))))))))))))))))))))</f>
        <v>F</v>
      </c>
      <c r="H461" s="937">
        <f t="shared" si="3"/>
        <v>0.1597160603</v>
      </c>
      <c r="I461" s="937" t="str">
        <f>IF(H461&lt;'PlayerGrades+'!$AC$21,"F-",IF(H461&lt;'PlayerGrades+'!$AC$20,"F",IF(H461&lt;'PlayerGrades+'!$AC$19,"F+",IF(H461&lt;'PlayerGrades+'!$AC$18,"E-",IF(H461&lt;'PlayerGrades+'!$AC$17,"E",IF(H461&lt;'PlayerGrades+'!$AC$16,"E+",IF(H461&lt;'PlayerGrades+'!$AC$15,"D-",IF(H461&lt;'PlayerGrades+'!$AC$14,"D",IF(H461&lt;'PlayerGrades+'!$AC$13,"D+",IF(H461&lt;'PlayerGrades+'!$AC$12,"C-",IF(H461&lt;'PlayerGrades+'!$AC$11,"C",IF(H461&lt;'PlayerGrades+'!$AC$10,"C+",IF(H461&lt;'PlayerGrades+'!$AC$9,"B-",IF(H461&lt;'PlayerGrades+'!$AC$8,"B",IF(H461&lt;'PlayerGrades+'!$AC$7,"B+",IF(H461&lt;'PlayerGrades+'!$AC$6,"A-",IF(H461&lt;'PlayerGrades+'!$AC$5,"A",IF(H461&lt;'PlayerGrades+'!$AC$4,"A+",IF(H461&lt;'PlayerGrades+'!$AC$3,"S-",IF(H461&lt;'PlayerGrades+'!$AC$2,"S","S+"))))))))))))))))))))</f>
        <v>A</v>
      </c>
      <c r="J461" s="937">
        <f t="shared" si="4"/>
        <v>0</v>
      </c>
      <c r="K461" s="937" t="str">
        <f>IF(J461&lt;'PlayerGrades+'!$AD$21,"F-",IF(J461&lt;'PlayerGrades+'!$AD$20,"F",IF(J461&lt;'PlayerGrades+'!$AD$19,"F+",IF(J461&lt;'PlayerGrades+'!$AD$18,"E-",IF(J461&lt;'PlayerGrades+'!$AD$17,"E",IF(J461&lt;'PlayerGrades+'!$AD$16,"E+",IF(J461&lt;'PlayerGrades+'!$AD$15,"D-",IF(J461&lt;'PlayerGrades+'!$AD$14,"D",IF(J461&lt;'PlayerGrades+'!$AD$13,"D+",IF(J461&lt;'PlayerGrades+'!$AD$12,"C-",IF(J461&lt;'PlayerGrades+'!$AD$11,"C",IF(J461&lt;'PlayerGrades+'!$AD$10,"C+",IF(J461&lt;'PlayerGrades+'!$AD$9,"B-",IF(J461&lt;'PlayerGrades+'!$AD$8,"B",IF(J461&lt;'PlayerGrades+'!$AD$7,"B+",IF(J461&lt;'PlayerGrades+'!$AD$6,"A-",IF(J461&lt;'PlayerGrades+'!$AD$5,"A",IF(J461&lt;'PlayerGrades+'!$AD$4,"A+",IF(J461&lt;'PlayerGrades+'!$AD$3,"S-",IF(J461&lt;'PlayerGrades+'!$AD$2,"S","S+"))))))))))))))))))))</f>
        <v>F-</v>
      </c>
      <c r="L461" s="677">
        <f t="shared" si="5"/>
        <v>0.4259094942</v>
      </c>
      <c r="M461" s="938" t="str">
        <f>IF(L461&lt;'PlayerGrades+'!$AE$21,"F-",IF(L461&lt;'PlayerGrades+'!$AE$20,"F",IF(L461&lt;'PlayerGrades+'!$AE$19,"F+",IF(L461&lt;'PlayerGrades+'!$AE$18,"E-",IF(L461&lt;'PlayerGrades+'!$AE$17,"E",IF(L461&lt;'PlayerGrades+'!$AE$16,"E+",IF(L461&lt;'PlayerGrades+'!$AE$15,"D-",IF(L461&lt;'PlayerGrades+'!$AE$14,"D",IF(L461&lt;'PlayerGrades+'!$AE$13,"D+",IF(L461&lt;'PlayerGrades+'!$AE$12,"C-",IF(L461&lt;'PlayerGrades+'!$AE$11,"C",IF(L461&lt;'PlayerGrades+'!$AE$10,"C+",IF(L461&lt;'PlayerGrades+'!$AE$9,"B-",IF(L461&lt;'PlayerGrades+'!$AE$8,"B",IF(L461&lt;'PlayerGrades+'!$AE$7,"B+",IF(L461&lt;'PlayerGrades+'!$AE$6,"A-",IF(L461&lt;'PlayerGrades+'!$AE$5,"A",IF(L461&lt;'PlayerGrades+'!$AE$4,"A+",IF(L461&lt;'PlayerGrades+'!$AE$3,"S-",IF(L461&lt;'PlayerGrades+'!$AE$2,"S","S+"))))))))))))))))))))</f>
        <v>C+</v>
      </c>
      <c r="N461" s="937">
        <f t="shared" si="6"/>
        <v>0.1064773736</v>
      </c>
      <c r="O461" s="937" t="str">
        <f>IF(N461&lt;'PlayerGrades+'!$AF$21,"F-",IF(N461&lt;'PlayerGrades+'!$AF$20,"F",IF(N461&lt;'PlayerGrades+'!$AF$19,"F+",IF(N461&lt;'PlayerGrades+'!$AF$18,"E-",IF(N461&lt;'PlayerGrades+'!$AF$17,"E",IF(N461&lt;'PlayerGrades+'!$AF$16,"E+",IF(N461&lt;'PlayerGrades+'!$AF$15,"D-",IF(N461&lt;'PlayerGrades+'!$AF$14,"D",IF(N461&lt;'PlayerGrades+'!$AF$13,"D+",IF(N461&lt;'PlayerGrades+'!$AF$12,"C-",IF(N461&lt;'PlayerGrades+'!$AF$11,"C",IF(N461&lt;'PlayerGrades+'!$AF$10,"C+",IF(N461&lt;'PlayerGrades+'!$AF$9,"B-",IF(N461&lt;'PlayerGrades+'!$AF$8,"B",IF(N461&lt;'PlayerGrades+'!$AF$7,"B+",IF(N461&lt;'PlayerGrades+'!$AF$6,"A-",IF(N461&lt;'PlayerGrades+'!$AF$5,"A",IF(N461&lt;'PlayerGrades+'!$AF$4,"A+",IF(N461&lt;'PlayerGrades+'!$AF$3,"S-",IF(N461&lt;'PlayerGrades+'!$AF$2,"S","S+"))))))))))))))))))))</f>
        <v>S-</v>
      </c>
      <c r="P461" s="937">
        <f t="shared" si="7"/>
        <v>0</v>
      </c>
      <c r="Q461" s="937" t="str">
        <f>IF(P461&lt;'PlayerGrades+'!$AG$21,"F-",IF(P461&lt;'PlayerGrades+'!$AG$20,"F",IF(P461&lt;'PlayerGrades+'!$AG$19,"F+",IF(P461&lt;'PlayerGrades+'!$AG$18,"E-",IF(P461&lt;'PlayerGrades+'!$AG$17,"E",IF(P461&lt;'PlayerGrades+'!$AG$16,"E+",IF(P461&lt;'PlayerGrades+'!$AG$15,"D-",IF(P461&lt;'PlayerGrades+'!$AG$14,"D",IF(P461&lt;'PlayerGrades+'!$AG$13,"D+",IF(P461&lt;'PlayerGrades+'!$AG$12,"C-",IF(P461&lt;'PlayerGrades+'!$AG$11,"C",IF(P461&lt;'PlayerGrades+'!$AG$10,"C+",IF(P461&lt;'PlayerGrades+'!$AG$9,"B-",IF(P461&lt;'PlayerGrades+'!$AG$8,"B",IF(P461&lt;'PlayerGrades+'!$AG$7,"B+",IF(P461&lt;'PlayerGrades+'!$AG$6,"A-",IF(P461&lt;'PlayerGrades+'!$AG$5,"A",IF(P461&lt;'PlayerGrades+'!$AG$4,"A+",IF(P461&lt;'PlayerGrades+'!$AG$3,"S-",IF(P461&lt;'PlayerGrades+'!$AG$2,"S","S+"))))))))))))))))))))</f>
        <v>F</v>
      </c>
      <c r="R461" s="937">
        <f t="shared" si="8"/>
        <v>0.6921029281</v>
      </c>
      <c r="S461" s="937" t="str">
        <f>IF(R461&lt;'PlayerGrades+'!$AH$21,"F-",IF(R461&lt;'PlayerGrades+'!$AH$20,"F",IF(R461&lt;'PlayerGrades+'!$AH$19,"F+",IF(R461&lt;'PlayerGrades+'!$AH$18,"E-",IF(R461&lt;'PlayerGrades+'!$AH$17,"E",IF(R461&lt;'PlayerGrades+'!$AH$16,"E+",IF(R461&lt;'PlayerGrades+'!$AH$15,"D-",IF(R461&lt;'PlayerGrades+'!$AH$14,"D",IF(R461&lt;'PlayerGrades+'!$AH$13,"D+",IF(R461&lt;'PlayerGrades+'!$AH$12,"C-",IF(R461&lt;'PlayerGrades+'!$AH$11,"C",IF(R461&lt;'PlayerGrades+'!$AH$10,"C+",IF(R461&lt;'PlayerGrades+'!$AH$9,"B-",IF(R461&lt;'PlayerGrades+'!$AH$8,"B",IF(R461&lt;'PlayerGrades+'!$AH$7,"B+",IF(R461&lt;'PlayerGrades+'!$AH$6,"A-",IF(R461&lt;'PlayerGrades+'!$AH$5,"A",IF(R461&lt;'PlayerGrades+'!$AH$4,"A+",IF(R461&lt;'PlayerGrades+'!$AH$3,"S-",IF(R461&lt;'PlayerGrades+'!$AH$2,"S","S+"))))))))))))))))))))</f>
        <v>S-</v>
      </c>
      <c r="T461" s="937">
        <f t="shared" si="9"/>
        <v>2.15971606</v>
      </c>
      <c r="U461" s="937" t="str">
        <f>IF(T461&lt;'PlayerGrades+'!$AI$21,"F-",IF(T461&lt;'PlayerGrades+'!$AI$20,"F",IF(T461&lt;'PlayerGrades+'!$AI$19,"F+",IF(T461&lt;'PlayerGrades+'!$AI$18,"E-",IF(T461&lt;'PlayerGrades+'!$AI$17,"E",IF(T461&lt;'PlayerGrades+'!$AI$16,"E+",IF(T461&lt;'PlayerGrades+'!$AI$15,"D-",IF(T461&lt;'PlayerGrades+'!$AI$14,"D",IF(T461&lt;'PlayerGrades+'!$AI$13,"D+",IF(T461&lt;'PlayerGrades+'!$AI$12,"C-",IF(T461&lt;'PlayerGrades+'!$AI$11,"C",IF(T461&lt;'PlayerGrades+'!$AI$10,"C+",IF(T461&lt;'PlayerGrades+'!$AI$9,"B-",IF(T461&lt;'PlayerGrades+'!$AI$8,"B",IF(T461&lt;'PlayerGrades+'!$AI$7,"B+",IF(T461&lt;'PlayerGrades+'!$AI$6,"A-",IF(T461&lt;'PlayerGrades+'!$AI$5,"A",IF(T461&lt;'PlayerGrades+'!$AI$4,"A+",IF(T461&lt;'PlayerGrades+'!$AI$3,"S-",IF(T461&lt;'PlayerGrades+'!$AI$2,"S","S+"))))))))))))))))))))</f>
        <v>S+</v>
      </c>
      <c r="V461" s="941">
        <v>1.0</v>
      </c>
      <c r="W461" s="941">
        <v>1.0</v>
      </c>
      <c r="X461" s="941">
        <v>0.0</v>
      </c>
      <c r="Y461" s="941">
        <v>0.0</v>
      </c>
      <c r="Z461" s="941">
        <v>0.0</v>
      </c>
      <c r="AA461" s="941">
        <v>51.0</v>
      </c>
      <c r="AB461" s="941">
        <v>70.0</v>
      </c>
      <c r="AC461" s="941">
        <v>-19.0</v>
      </c>
      <c r="AD461" s="941">
        <v>9.0</v>
      </c>
      <c r="AE461" s="941">
        <v>4.0</v>
      </c>
      <c r="AF461" s="941">
        <v>0.0</v>
      </c>
      <c r="AG461" s="941">
        <v>828.0</v>
      </c>
      <c r="AH461" s="941">
        <v>1127.0</v>
      </c>
      <c r="AI461" s="941">
        <v>11.0</v>
      </c>
      <c r="AJ461" s="941">
        <v>11.0</v>
      </c>
      <c r="AK461" s="941">
        <v>0.0</v>
      </c>
      <c r="AL461" s="941">
        <v>0.0</v>
      </c>
      <c r="AM461" s="941">
        <v>0.0</v>
      </c>
      <c r="AN461" s="941">
        <v>0.0</v>
      </c>
      <c r="AO461" s="941">
        <v>0.0</v>
      </c>
      <c r="AP461" s="941">
        <v>0.0</v>
      </c>
      <c r="AQ461" s="941">
        <v>0.0</v>
      </c>
      <c r="AR461" s="941">
        <v>8.0</v>
      </c>
      <c r="AS461" s="941">
        <v>2.0</v>
      </c>
      <c r="AT461" s="941">
        <v>1.0</v>
      </c>
      <c r="AU461" s="941">
        <v>0.0</v>
      </c>
      <c r="AV461" s="941">
        <v>0.0</v>
      </c>
      <c r="AW461" s="941">
        <v>0.0</v>
      </c>
      <c r="AX461" s="941">
        <v>0.0</v>
      </c>
      <c r="AY461" s="941">
        <v>0.0</v>
      </c>
      <c r="AZ461" s="941">
        <v>0.0</v>
      </c>
      <c r="BA461" s="941">
        <v>0.0</v>
      </c>
      <c r="BB461" s="941">
        <v>3.0</v>
      </c>
      <c r="BC461" s="941">
        <v>0.0</v>
      </c>
      <c r="BD461" s="941">
        <v>4.0</v>
      </c>
      <c r="BE461" s="941">
        <v>3.0</v>
      </c>
      <c r="BF461" s="941">
        <v>2.0</v>
      </c>
      <c r="BG461" s="941">
        <v>1.0</v>
      </c>
    </row>
    <row r="462">
      <c r="A462" s="965" t="s">
        <v>119</v>
      </c>
      <c r="B462" s="16" t="str">
        <f>IF(C462&lt;'PlayerGrades+'!$Y$44,"F-",IF(C462&lt;'PlayerGrades+'!$Y$43,"F",IF(C462&lt;'PlayerGrades+'!$Y$42,"F+",IF(C462&lt;'PlayerGrades+'!$Y$41,"E-",IF(C462&lt;'PlayerGrades+'!$Y$40,"E",IF(C462&lt;'PlayerGrades+'!$Y$39,"E+",IF(C462&lt;'PlayerGrades+'!$Y$38,"D-",IF(C462&lt;'PlayerGrades+'!$Y$37,"D",IF(C462&lt;'PlayerGrades+'!$Y$36,"D+",IF(C462&lt;'PlayerGrades+'!$Y$35,"C-",IF(C462&lt;'PlayerGrades+'!$Y$34,"C",IF(C462&lt;'PlayerGrades+'!$Y$33,"C+",IF(C462&lt;'PlayerGrades+'!$Y$32,"B-",IF(C462&lt;'PlayerGrades+'!$Y$31,"B",IF(C462&lt;'PlayerGrades+'!$Y$30,"B+",IF(C462&lt;'PlayerGrades+'!$Y$29,"A-",IF(C462&lt;'PlayerGrades+'!$Y$28,"A",IF(C462&lt;'PlayerGrades+'!$Y$27,"A+",IF(C462&lt;'PlayerGrades+'!$Y$26,"S-",IF(C462&lt;'PlayerGrades+'!$Y$25,"S","S+"))))))))))))))))))))</f>
        <v>C+</v>
      </c>
      <c r="C462" s="936">
        <f>('PlayerGrades+'!$Y$47*(VLOOKUP(E462, 'PlayerGrades+'!$X$3:$Y$23, 2, FALSE)))+('PlayerGrades+'!$Y$48*(VLOOKUP(G462, 'PlayerGrades+'!$X$3:$Y$23, 2, FALSE)))+('PlayerGrades+'!$Y$49*(VLOOKUP(I462, 'PlayerGrades+'!$X$3:$Y$23, 2, FALSE)))+('PlayerGrades+'!$Y$50*(VLOOKUP(K462, 'PlayerGrades+'!$X$3:$Y$23, 2, FALSE)))+('PlayerGrades+'!$Y$51*(VLOOKUP(M462, 'PlayerGrades+'!$X$3:$Y$23, 2, FALSE)))+('PlayerGrades+'!$Y$52*(VLOOKUP(O462, 'PlayerGrades+'!$X$3:$Y$23, 2, FALSE)))+('PlayerGrades+'!$Y$53*(VLOOKUP(Q462, 'PlayerGrades+'!$X$3:$Y$23, 2, FALSE)))+('PlayerGrades+'!$Y$54*(VLOOKUP(S462, 'PlayerGrades+'!$X$3:$Y$23, 2, FALSE)))+('PlayerGrades+'!$Y$55*(VLOOKUP(U462, 'PlayerGrades+'!$X$3:$Y$23, 2, FALSE)))</f>
        <v>21.15</v>
      </c>
      <c r="D462" s="937">
        <f t="shared" si="1"/>
        <v>0.3194321207</v>
      </c>
      <c r="E462" s="937" t="str">
        <f>IF(D462&lt;'PlayerGrades+'!$AA$21,"F-",IF(D462&lt;'PlayerGrades+'!$AA$20,"F",IF(D462&lt;'PlayerGrades+'!$AA$19,"F+",IF(D462&lt;'PlayerGrades+'!$AA$18,"E-",IF(D462&lt;'PlayerGrades+'!$AA$17,"E",IF(D462&lt;'PlayerGrades+'!$AA$16,"E+",IF(D462&lt;'PlayerGrades+'!$AA$15,"D-",IF(D462&lt;'PlayerGrades+'!$AA$14,"D",IF(D462&lt;'PlayerGrades+'!$AA$13,"D+",IF(D462&lt;'PlayerGrades+'!$AA$12,"C-",IF(D462&lt;'PlayerGrades+'!$AA$11,"C",IF(D462&lt;'PlayerGrades+'!$AA$10,"C+",IF(D462&lt;'PlayerGrades+'!$AA$9,"B-",IF(D462&lt;'PlayerGrades+'!$AA$8,"B",IF(D462&lt;'PlayerGrades+'!$AA$7,"B+",IF(D462&lt;'PlayerGrades+'!$AA$6,"A-",IF(D462&lt;'PlayerGrades+'!$AA$5,"A",IF(D462&lt;'PlayerGrades+'!$AA$4,"A+",IF(D462&lt;'PlayerGrades+'!$AA$3,"S-",IF(D462&lt;'PlayerGrades+'!$AA$2,"S","S+"))))))))))))))))))))</f>
        <v>A</v>
      </c>
      <c r="F462" s="937">
        <f t="shared" si="2"/>
        <v>0.05323868678</v>
      </c>
      <c r="G462" s="937" t="str">
        <f>IF(F462&lt;'PlayerGrades+'!$AB$21,"F-",IF(F462&lt;'PlayerGrades+'!$AB$20,"F",IF(F462&lt;'PlayerGrades+'!$AB$19,"F+",IF(F462&lt;'PlayerGrades+'!$AB$18,"E-",IF(F462&lt;'PlayerGrades+'!$AB$17,"E",IF(F462&lt;'PlayerGrades+'!$AB$16,"E+",IF(F462&lt;'PlayerGrades+'!$AB$15,"D-",IF(F462&lt;'PlayerGrades+'!$AB$14,"D",IF(F462&lt;'PlayerGrades+'!$AB$13,"D+",IF(F462&lt;'PlayerGrades+'!$AB$12,"C-",IF(F462&lt;'PlayerGrades+'!$AB$11,"C",IF(F462&lt;'PlayerGrades+'!$AB$10,"C+",IF(F462&lt;'PlayerGrades+'!$AB$9,"B-",IF(F462&lt;'PlayerGrades+'!$AB$8,"B",IF(F462&lt;'PlayerGrades+'!$AB$7,"B+",IF(F462&lt;'PlayerGrades+'!$AB$6,"A-",IF(F462&lt;'PlayerGrades+'!$AB$5,"A",IF(F462&lt;'PlayerGrades+'!$AB$4,"A+",IF(F462&lt;'PlayerGrades+'!$AB$3,"S-",IF(F462&lt;'PlayerGrades+'!$AB$2,"S","S+"))))))))))))))))))))</f>
        <v>B</v>
      </c>
      <c r="H462" s="937">
        <f t="shared" si="3"/>
        <v>0.05323868678</v>
      </c>
      <c r="I462" s="937" t="str">
        <f>IF(H462&lt;'PlayerGrades+'!$AC$21,"F-",IF(H462&lt;'PlayerGrades+'!$AC$20,"F",IF(H462&lt;'PlayerGrades+'!$AC$19,"F+",IF(H462&lt;'PlayerGrades+'!$AC$18,"E-",IF(H462&lt;'PlayerGrades+'!$AC$17,"E",IF(H462&lt;'PlayerGrades+'!$AC$16,"E+",IF(H462&lt;'PlayerGrades+'!$AC$15,"D-",IF(H462&lt;'PlayerGrades+'!$AC$14,"D",IF(H462&lt;'PlayerGrades+'!$AC$13,"D+",IF(H462&lt;'PlayerGrades+'!$AC$12,"C-",IF(H462&lt;'PlayerGrades+'!$AC$11,"C",IF(H462&lt;'PlayerGrades+'!$AC$10,"C+",IF(H462&lt;'PlayerGrades+'!$AC$9,"B-",IF(H462&lt;'PlayerGrades+'!$AC$8,"B",IF(H462&lt;'PlayerGrades+'!$AC$7,"B+",IF(H462&lt;'PlayerGrades+'!$AC$6,"A-",IF(H462&lt;'PlayerGrades+'!$AC$5,"A",IF(H462&lt;'PlayerGrades+'!$AC$4,"A+",IF(H462&lt;'PlayerGrades+'!$AC$3,"S-",IF(H462&lt;'PlayerGrades+'!$AC$2,"S","S+"))))))))))))))))))))</f>
        <v>F+</v>
      </c>
      <c r="J462" s="937">
        <f t="shared" si="4"/>
        <v>0</v>
      </c>
      <c r="K462" s="937" t="str">
        <f>IF(J462&lt;'PlayerGrades+'!$AD$21,"F-",IF(J462&lt;'PlayerGrades+'!$AD$20,"F",IF(J462&lt;'PlayerGrades+'!$AD$19,"F+",IF(J462&lt;'PlayerGrades+'!$AD$18,"E-",IF(J462&lt;'PlayerGrades+'!$AD$17,"E",IF(J462&lt;'PlayerGrades+'!$AD$16,"E+",IF(J462&lt;'PlayerGrades+'!$AD$15,"D-",IF(J462&lt;'PlayerGrades+'!$AD$14,"D",IF(J462&lt;'PlayerGrades+'!$AD$13,"D+",IF(J462&lt;'PlayerGrades+'!$AD$12,"C-",IF(J462&lt;'PlayerGrades+'!$AD$11,"C",IF(J462&lt;'PlayerGrades+'!$AD$10,"C+",IF(J462&lt;'PlayerGrades+'!$AD$9,"B-",IF(J462&lt;'PlayerGrades+'!$AD$8,"B",IF(J462&lt;'PlayerGrades+'!$AD$7,"B+",IF(J462&lt;'PlayerGrades+'!$AD$6,"A-",IF(J462&lt;'PlayerGrades+'!$AD$5,"A",IF(J462&lt;'PlayerGrades+'!$AD$4,"A+",IF(J462&lt;'PlayerGrades+'!$AD$3,"S-",IF(J462&lt;'PlayerGrades+'!$AD$2,"S","S+"))))))))))))))))))))</f>
        <v>F-</v>
      </c>
      <c r="L462" s="677">
        <f t="shared" si="5"/>
        <v>0.5323868678</v>
      </c>
      <c r="M462" s="938" t="str">
        <f>IF(L462&lt;'PlayerGrades+'!$AE$21,"F-",IF(L462&lt;'PlayerGrades+'!$AE$20,"F",IF(L462&lt;'PlayerGrades+'!$AE$19,"F+",IF(L462&lt;'PlayerGrades+'!$AE$18,"E-",IF(L462&lt;'PlayerGrades+'!$AE$17,"E",IF(L462&lt;'PlayerGrades+'!$AE$16,"E+",IF(L462&lt;'PlayerGrades+'!$AE$15,"D-",IF(L462&lt;'PlayerGrades+'!$AE$14,"D",IF(L462&lt;'PlayerGrades+'!$AE$13,"D+",IF(L462&lt;'PlayerGrades+'!$AE$12,"C-",IF(L462&lt;'PlayerGrades+'!$AE$11,"C",IF(L462&lt;'PlayerGrades+'!$AE$10,"C+",IF(L462&lt;'PlayerGrades+'!$AE$9,"B-",IF(L462&lt;'PlayerGrades+'!$AE$8,"B",IF(L462&lt;'PlayerGrades+'!$AE$7,"B+",IF(L462&lt;'PlayerGrades+'!$AE$6,"A-",IF(L462&lt;'PlayerGrades+'!$AE$5,"A",IF(L462&lt;'PlayerGrades+'!$AE$4,"A+",IF(L462&lt;'PlayerGrades+'!$AE$3,"S-",IF(L462&lt;'PlayerGrades+'!$AE$2,"S","S+"))))))))))))))))))))</f>
        <v>A-</v>
      </c>
      <c r="N462" s="937">
        <f t="shared" si="6"/>
        <v>0.05323868678</v>
      </c>
      <c r="O462" s="937" t="str">
        <f>IF(N462&lt;'PlayerGrades+'!$AF$21,"F-",IF(N462&lt;'PlayerGrades+'!$AF$20,"F",IF(N462&lt;'PlayerGrades+'!$AF$19,"F+",IF(N462&lt;'PlayerGrades+'!$AF$18,"E-",IF(N462&lt;'PlayerGrades+'!$AF$17,"E",IF(N462&lt;'PlayerGrades+'!$AF$16,"E+",IF(N462&lt;'PlayerGrades+'!$AF$15,"D-",IF(N462&lt;'PlayerGrades+'!$AF$14,"D",IF(N462&lt;'PlayerGrades+'!$AF$13,"D+",IF(N462&lt;'PlayerGrades+'!$AF$12,"C-",IF(N462&lt;'PlayerGrades+'!$AF$11,"C",IF(N462&lt;'PlayerGrades+'!$AF$10,"C+",IF(N462&lt;'PlayerGrades+'!$AF$9,"B-",IF(N462&lt;'PlayerGrades+'!$AF$8,"B",IF(N462&lt;'PlayerGrades+'!$AF$7,"B+",IF(N462&lt;'PlayerGrades+'!$AF$6,"A-",IF(N462&lt;'PlayerGrades+'!$AF$5,"A",IF(N462&lt;'PlayerGrades+'!$AF$4,"A+",IF(N462&lt;'PlayerGrades+'!$AF$3,"S-",IF(N462&lt;'PlayerGrades+'!$AF$2,"S","S+"))))))))))))))))))))</f>
        <v>D</v>
      </c>
      <c r="P462" s="937">
        <f t="shared" si="7"/>
        <v>0</v>
      </c>
      <c r="Q462" s="937" t="str">
        <f>IF(P462&lt;'PlayerGrades+'!$AG$21,"F-",IF(P462&lt;'PlayerGrades+'!$AG$20,"F",IF(P462&lt;'PlayerGrades+'!$AG$19,"F+",IF(P462&lt;'PlayerGrades+'!$AG$18,"E-",IF(P462&lt;'PlayerGrades+'!$AG$17,"E",IF(P462&lt;'PlayerGrades+'!$AG$16,"E+",IF(P462&lt;'PlayerGrades+'!$AG$15,"D-",IF(P462&lt;'PlayerGrades+'!$AG$14,"D",IF(P462&lt;'PlayerGrades+'!$AG$13,"D+",IF(P462&lt;'PlayerGrades+'!$AG$12,"C-",IF(P462&lt;'PlayerGrades+'!$AG$11,"C",IF(P462&lt;'PlayerGrades+'!$AG$10,"C+",IF(P462&lt;'PlayerGrades+'!$AG$9,"B-",IF(P462&lt;'PlayerGrades+'!$AG$8,"B",IF(P462&lt;'PlayerGrades+'!$AG$7,"B+",IF(P462&lt;'PlayerGrades+'!$AG$6,"A-",IF(P462&lt;'PlayerGrades+'!$AG$5,"A",IF(P462&lt;'PlayerGrades+'!$AG$4,"A+",IF(P462&lt;'PlayerGrades+'!$AG$3,"S-",IF(P462&lt;'PlayerGrades+'!$AG$2,"S","S+"))))))))))))))))))))</f>
        <v>F</v>
      </c>
      <c r="R462" s="937">
        <f t="shared" si="8"/>
        <v>0.6388642413</v>
      </c>
      <c r="S462" s="937" t="str">
        <f>IF(R462&lt;'PlayerGrades+'!$AH$21,"F-",IF(R462&lt;'PlayerGrades+'!$AH$20,"F",IF(R462&lt;'PlayerGrades+'!$AH$19,"F+",IF(R462&lt;'PlayerGrades+'!$AH$18,"E-",IF(R462&lt;'PlayerGrades+'!$AH$17,"E",IF(R462&lt;'PlayerGrades+'!$AH$16,"E+",IF(R462&lt;'PlayerGrades+'!$AH$15,"D-",IF(R462&lt;'PlayerGrades+'!$AH$14,"D",IF(R462&lt;'PlayerGrades+'!$AH$13,"D+",IF(R462&lt;'PlayerGrades+'!$AH$12,"C-",IF(R462&lt;'PlayerGrades+'!$AH$11,"C",IF(R462&lt;'PlayerGrades+'!$AH$10,"C+",IF(R462&lt;'PlayerGrades+'!$AH$9,"B-",IF(R462&lt;'PlayerGrades+'!$AH$8,"B",IF(R462&lt;'PlayerGrades+'!$AH$7,"B+",IF(R462&lt;'PlayerGrades+'!$AH$6,"A-",IF(R462&lt;'PlayerGrades+'!$AH$5,"A",IF(R462&lt;'PlayerGrades+'!$AH$4,"A+",IF(R462&lt;'PlayerGrades+'!$AH$3,"S-",IF(R462&lt;'PlayerGrades+'!$AH$2,"S","S+"))))))))))))))))))))</f>
        <v>A</v>
      </c>
      <c r="T462" s="937">
        <f t="shared" si="9"/>
        <v>1.585625555</v>
      </c>
      <c r="U462" s="937" t="str">
        <f>IF(T462&lt;'PlayerGrades+'!$AI$21,"F-",IF(T462&lt;'PlayerGrades+'!$AI$20,"F",IF(T462&lt;'PlayerGrades+'!$AI$19,"F+",IF(T462&lt;'PlayerGrades+'!$AI$18,"E-",IF(T462&lt;'PlayerGrades+'!$AI$17,"E",IF(T462&lt;'PlayerGrades+'!$AI$16,"E+",IF(T462&lt;'PlayerGrades+'!$AI$15,"D-",IF(T462&lt;'PlayerGrades+'!$AI$14,"D",IF(T462&lt;'PlayerGrades+'!$AI$13,"D+",IF(T462&lt;'PlayerGrades+'!$AI$12,"C-",IF(T462&lt;'PlayerGrades+'!$AI$11,"C",IF(T462&lt;'PlayerGrades+'!$AI$10,"C+",IF(T462&lt;'PlayerGrades+'!$AI$9,"B-",IF(T462&lt;'PlayerGrades+'!$AI$8,"B",IF(T462&lt;'PlayerGrades+'!$AI$7,"B+",IF(T462&lt;'PlayerGrades+'!$AI$6,"A-",IF(T462&lt;'PlayerGrades+'!$AI$5,"A",IF(T462&lt;'PlayerGrades+'!$AI$4,"A+",IF(T462&lt;'PlayerGrades+'!$AI$3,"S-",IF(T462&lt;'PlayerGrades+'!$AI$2,"S","S+"))))))))))))))))))))</f>
        <v>A+</v>
      </c>
      <c r="V462" s="941">
        <v>1.0</v>
      </c>
      <c r="W462" s="941">
        <v>0.0</v>
      </c>
      <c r="X462" s="941">
        <v>1.0</v>
      </c>
      <c r="Y462" s="941">
        <v>2.0</v>
      </c>
      <c r="Z462" s="941">
        <v>4.0</v>
      </c>
      <c r="AA462" s="941">
        <v>61.0</v>
      </c>
      <c r="AB462" s="941">
        <v>60.0</v>
      </c>
      <c r="AC462" s="941">
        <v>1.0</v>
      </c>
      <c r="AD462" s="941">
        <v>2.0</v>
      </c>
      <c r="AE462" s="941">
        <v>4.0</v>
      </c>
      <c r="AF462" s="941">
        <v>2.0</v>
      </c>
      <c r="AG462" s="941">
        <v>857.0</v>
      </c>
      <c r="AH462" s="941">
        <v>1127.0</v>
      </c>
      <c r="AI462" s="941">
        <v>14.0</v>
      </c>
      <c r="AJ462" s="941">
        <v>183.0</v>
      </c>
      <c r="AK462" s="941">
        <v>0.0</v>
      </c>
      <c r="AL462" s="941">
        <v>0.0</v>
      </c>
      <c r="AM462" s="941">
        <v>0.0</v>
      </c>
      <c r="AN462" s="941">
        <v>0.0</v>
      </c>
      <c r="AO462" s="941">
        <v>0.0</v>
      </c>
      <c r="AP462" s="941">
        <v>0.0</v>
      </c>
      <c r="AQ462" s="941">
        <v>0.0</v>
      </c>
      <c r="AR462" s="941">
        <v>10.0</v>
      </c>
      <c r="AS462" s="941">
        <v>1.0</v>
      </c>
      <c r="AT462" s="941">
        <v>0.0</v>
      </c>
      <c r="AU462" s="941">
        <v>0.0</v>
      </c>
      <c r="AV462" s="941">
        <v>0.0</v>
      </c>
      <c r="AW462" s="941">
        <v>0.0</v>
      </c>
      <c r="AX462" s="941">
        <v>0.0</v>
      </c>
      <c r="AY462" s="941">
        <v>0.0</v>
      </c>
      <c r="AZ462" s="941">
        <v>0.0</v>
      </c>
      <c r="BA462" s="941">
        <v>0.0</v>
      </c>
      <c r="BB462" s="941">
        <v>1.0</v>
      </c>
      <c r="BC462" s="941">
        <v>0.0</v>
      </c>
      <c r="BD462" s="941">
        <v>10.0</v>
      </c>
      <c r="BE462" s="941">
        <v>11.0</v>
      </c>
      <c r="BF462" s="941">
        <v>1.0</v>
      </c>
      <c r="BG462" s="941">
        <v>0.0</v>
      </c>
    </row>
    <row r="463">
      <c r="A463" s="965" t="s">
        <v>152</v>
      </c>
      <c r="B463" s="16" t="str">
        <f>IF(C463&lt;'PlayerGrades+'!$Y$44,"F-",IF(C463&lt;'PlayerGrades+'!$Y$43,"F",IF(C463&lt;'PlayerGrades+'!$Y$42,"F+",IF(C463&lt;'PlayerGrades+'!$Y$41,"E-",IF(C463&lt;'PlayerGrades+'!$Y$40,"E",IF(C463&lt;'PlayerGrades+'!$Y$39,"E+",IF(C463&lt;'PlayerGrades+'!$Y$38,"D-",IF(C463&lt;'PlayerGrades+'!$Y$37,"D",IF(C463&lt;'PlayerGrades+'!$Y$36,"D+",IF(C463&lt;'PlayerGrades+'!$Y$35,"C-",IF(C463&lt;'PlayerGrades+'!$Y$34,"C",IF(C463&lt;'PlayerGrades+'!$Y$33,"C+",IF(C463&lt;'PlayerGrades+'!$Y$32,"B-",IF(C463&lt;'PlayerGrades+'!$Y$31,"B",IF(C463&lt;'PlayerGrades+'!$Y$30,"B+",IF(C463&lt;'PlayerGrades+'!$Y$29,"A-",IF(C463&lt;'PlayerGrades+'!$Y$28,"A",IF(C463&lt;'PlayerGrades+'!$Y$27,"A+",IF(C463&lt;'PlayerGrades+'!$Y$26,"S-",IF(C463&lt;'PlayerGrades+'!$Y$25,"S","S+"))))))))))))))))))))</f>
        <v>F-</v>
      </c>
      <c r="C463" s="936">
        <f>('PlayerGrades+'!$Y$47*(VLOOKUP(E463, 'PlayerGrades+'!$X$3:$Y$23, 2, FALSE)))+('PlayerGrades+'!$Y$48*(VLOOKUP(G463, 'PlayerGrades+'!$X$3:$Y$23, 2, FALSE)))+('PlayerGrades+'!$Y$49*(VLOOKUP(I463, 'PlayerGrades+'!$X$3:$Y$23, 2, FALSE)))+('PlayerGrades+'!$Y$50*(VLOOKUP(K463, 'PlayerGrades+'!$X$3:$Y$23, 2, FALSE)))+('PlayerGrades+'!$Y$51*(VLOOKUP(M463, 'PlayerGrades+'!$X$3:$Y$23, 2, FALSE)))+('PlayerGrades+'!$Y$52*(VLOOKUP(O463, 'PlayerGrades+'!$X$3:$Y$23, 2, FALSE)))+('PlayerGrades+'!$Y$53*(VLOOKUP(Q463, 'PlayerGrades+'!$X$3:$Y$23, 2, FALSE)))+('PlayerGrades+'!$Y$54*(VLOOKUP(S463, 'PlayerGrades+'!$X$3:$Y$23, 2, FALSE)))+('PlayerGrades+'!$Y$55*(VLOOKUP(U463, 'PlayerGrades+'!$X$3:$Y$23, 2, FALSE)))</f>
        <v>5.75</v>
      </c>
      <c r="D463" s="937">
        <f t="shared" si="1"/>
        <v>0</v>
      </c>
      <c r="E463" s="937" t="str">
        <f>IF(D463&lt;'PlayerGrades+'!$AA$21,"F-",IF(D463&lt;'PlayerGrades+'!$AA$20,"F",IF(D463&lt;'PlayerGrades+'!$AA$19,"F+",IF(D463&lt;'PlayerGrades+'!$AA$18,"E-",IF(D463&lt;'PlayerGrades+'!$AA$17,"E",IF(D463&lt;'PlayerGrades+'!$AA$16,"E+",IF(D463&lt;'PlayerGrades+'!$AA$15,"D-",IF(D463&lt;'PlayerGrades+'!$AA$14,"D",IF(D463&lt;'PlayerGrades+'!$AA$13,"D+",IF(D463&lt;'PlayerGrades+'!$AA$12,"C-",IF(D463&lt;'PlayerGrades+'!$AA$11,"C",IF(D463&lt;'PlayerGrades+'!$AA$10,"C+",IF(D463&lt;'PlayerGrades+'!$AA$9,"B-",IF(D463&lt;'PlayerGrades+'!$AA$8,"B",IF(D463&lt;'PlayerGrades+'!$AA$7,"B+",IF(D463&lt;'PlayerGrades+'!$AA$6,"A-",IF(D463&lt;'PlayerGrades+'!$AA$5,"A",IF(D463&lt;'PlayerGrades+'!$AA$4,"A+",IF(D463&lt;'PlayerGrades+'!$AA$3,"S-",IF(D463&lt;'PlayerGrades+'!$AA$2,"S","S+"))))))))))))))))))))</f>
        <v>F-</v>
      </c>
      <c r="F463" s="937">
        <f t="shared" si="2"/>
        <v>-1.118012422</v>
      </c>
      <c r="G463" s="937" t="str">
        <f>IF(F463&lt;'PlayerGrades+'!$AB$21,"F-",IF(F463&lt;'PlayerGrades+'!$AB$20,"F",IF(F463&lt;'PlayerGrades+'!$AB$19,"F+",IF(F463&lt;'PlayerGrades+'!$AB$18,"E-",IF(F463&lt;'PlayerGrades+'!$AB$17,"E",IF(F463&lt;'PlayerGrades+'!$AB$16,"E+",IF(F463&lt;'PlayerGrades+'!$AB$15,"D-",IF(F463&lt;'PlayerGrades+'!$AB$14,"D",IF(F463&lt;'PlayerGrades+'!$AB$13,"D+",IF(F463&lt;'PlayerGrades+'!$AB$12,"C-",IF(F463&lt;'PlayerGrades+'!$AB$11,"C",IF(F463&lt;'PlayerGrades+'!$AB$10,"C+",IF(F463&lt;'PlayerGrades+'!$AB$9,"B-",IF(F463&lt;'PlayerGrades+'!$AB$8,"B",IF(F463&lt;'PlayerGrades+'!$AB$7,"B+",IF(F463&lt;'PlayerGrades+'!$AB$6,"A-",IF(F463&lt;'PlayerGrades+'!$AB$5,"A",IF(F463&lt;'PlayerGrades+'!$AB$4,"A+",IF(F463&lt;'PlayerGrades+'!$AB$3,"S-",IF(F463&lt;'PlayerGrades+'!$AB$2,"S","S+"))))))))))))))))))))</f>
        <v>F-</v>
      </c>
      <c r="H463" s="937">
        <f t="shared" si="3"/>
        <v>0</v>
      </c>
      <c r="I463" s="937" t="str">
        <f>IF(H463&lt;'PlayerGrades+'!$AC$21,"F-",IF(H463&lt;'PlayerGrades+'!$AC$20,"F",IF(H463&lt;'PlayerGrades+'!$AC$19,"F+",IF(H463&lt;'PlayerGrades+'!$AC$18,"E-",IF(H463&lt;'PlayerGrades+'!$AC$17,"E",IF(H463&lt;'PlayerGrades+'!$AC$16,"E+",IF(H463&lt;'PlayerGrades+'!$AC$15,"D-",IF(H463&lt;'PlayerGrades+'!$AC$14,"D",IF(H463&lt;'PlayerGrades+'!$AC$13,"D+",IF(H463&lt;'PlayerGrades+'!$AC$12,"C-",IF(H463&lt;'PlayerGrades+'!$AC$11,"C",IF(H463&lt;'PlayerGrades+'!$AC$10,"C+",IF(H463&lt;'PlayerGrades+'!$AC$9,"B-",IF(H463&lt;'PlayerGrades+'!$AC$8,"B",IF(H463&lt;'PlayerGrades+'!$AC$7,"B+",IF(H463&lt;'PlayerGrades+'!$AC$6,"A-",IF(H463&lt;'PlayerGrades+'!$AC$5,"A",IF(H463&lt;'PlayerGrades+'!$AC$4,"A+",IF(H463&lt;'PlayerGrades+'!$AC$3,"S-",IF(H463&lt;'PlayerGrades+'!$AC$2,"S","S+"))))))))))))))))))))</f>
        <v>F-</v>
      </c>
      <c r="J463" s="937">
        <f t="shared" si="4"/>
        <v>0</v>
      </c>
      <c r="K463" s="937" t="str">
        <f>IF(J463&lt;'PlayerGrades+'!$AD$21,"F-",IF(J463&lt;'PlayerGrades+'!$AD$20,"F",IF(J463&lt;'PlayerGrades+'!$AD$19,"F+",IF(J463&lt;'PlayerGrades+'!$AD$18,"E-",IF(J463&lt;'PlayerGrades+'!$AD$17,"E",IF(J463&lt;'PlayerGrades+'!$AD$16,"E+",IF(J463&lt;'PlayerGrades+'!$AD$15,"D-",IF(J463&lt;'PlayerGrades+'!$AD$14,"D",IF(J463&lt;'PlayerGrades+'!$AD$13,"D+",IF(J463&lt;'PlayerGrades+'!$AD$12,"C-",IF(J463&lt;'PlayerGrades+'!$AD$11,"C",IF(J463&lt;'PlayerGrades+'!$AD$10,"C+",IF(J463&lt;'PlayerGrades+'!$AD$9,"B-",IF(J463&lt;'PlayerGrades+'!$AD$8,"B",IF(J463&lt;'PlayerGrades+'!$AD$7,"B+",IF(J463&lt;'PlayerGrades+'!$AD$6,"A-",IF(J463&lt;'PlayerGrades+'!$AD$5,"A",IF(J463&lt;'PlayerGrades+'!$AD$4,"A+",IF(J463&lt;'PlayerGrades+'!$AD$3,"S-",IF(J463&lt;'PlayerGrades+'!$AD$2,"S","S+"))))))))))))))))))))</f>
        <v>F-</v>
      </c>
      <c r="L463" s="677">
        <f t="shared" si="5"/>
        <v>0.05323868678</v>
      </c>
      <c r="M463" s="938" t="str">
        <f>IF(L463&lt;'PlayerGrades+'!$AE$21,"F-",IF(L463&lt;'PlayerGrades+'!$AE$20,"F",IF(L463&lt;'PlayerGrades+'!$AE$19,"F+",IF(L463&lt;'PlayerGrades+'!$AE$18,"E-",IF(L463&lt;'PlayerGrades+'!$AE$17,"E",IF(L463&lt;'PlayerGrades+'!$AE$16,"E+",IF(L463&lt;'PlayerGrades+'!$AE$15,"D-",IF(L463&lt;'PlayerGrades+'!$AE$14,"D",IF(L463&lt;'PlayerGrades+'!$AE$13,"D+",IF(L463&lt;'PlayerGrades+'!$AE$12,"C-",IF(L463&lt;'PlayerGrades+'!$AE$11,"C",IF(L463&lt;'PlayerGrades+'!$AE$10,"C+",IF(L463&lt;'PlayerGrades+'!$AE$9,"B-",IF(L463&lt;'PlayerGrades+'!$AE$8,"B",IF(L463&lt;'PlayerGrades+'!$AE$7,"B+",IF(L463&lt;'PlayerGrades+'!$AE$6,"A-",IF(L463&lt;'PlayerGrades+'!$AE$5,"A",IF(L463&lt;'PlayerGrades+'!$AE$4,"A+",IF(L463&lt;'PlayerGrades+'!$AE$3,"S-",IF(L463&lt;'PlayerGrades+'!$AE$2,"S","S+"))))))))))))))))))))</f>
        <v>F-</v>
      </c>
      <c r="N463" s="937">
        <f t="shared" si="6"/>
        <v>0</v>
      </c>
      <c r="O463" s="937" t="str">
        <f>IF(N463&lt;'PlayerGrades+'!$AF$21,"F-",IF(N463&lt;'PlayerGrades+'!$AF$20,"F",IF(N463&lt;'PlayerGrades+'!$AF$19,"F+",IF(N463&lt;'PlayerGrades+'!$AF$18,"E-",IF(N463&lt;'PlayerGrades+'!$AF$17,"E",IF(N463&lt;'PlayerGrades+'!$AF$16,"E+",IF(N463&lt;'PlayerGrades+'!$AF$15,"D-",IF(N463&lt;'PlayerGrades+'!$AF$14,"D",IF(N463&lt;'PlayerGrades+'!$AF$13,"D+",IF(N463&lt;'PlayerGrades+'!$AF$12,"C-",IF(N463&lt;'PlayerGrades+'!$AF$11,"C",IF(N463&lt;'PlayerGrades+'!$AF$10,"C+",IF(N463&lt;'PlayerGrades+'!$AF$9,"B-",IF(N463&lt;'PlayerGrades+'!$AF$8,"B",IF(N463&lt;'PlayerGrades+'!$AF$7,"B+",IF(N463&lt;'PlayerGrades+'!$AF$6,"A-",IF(N463&lt;'PlayerGrades+'!$AF$5,"A",IF(N463&lt;'PlayerGrades+'!$AF$4,"A+",IF(N463&lt;'PlayerGrades+'!$AF$3,"S-",IF(N463&lt;'PlayerGrades+'!$AF$2,"S","S+"))))))))))))))))))))</f>
        <v>F-</v>
      </c>
      <c r="P463" s="937">
        <f t="shared" si="7"/>
        <v>0</v>
      </c>
      <c r="Q463" s="937" t="str">
        <f>IF(P463&lt;'PlayerGrades+'!$AG$21,"F-",IF(P463&lt;'PlayerGrades+'!$AG$20,"F",IF(P463&lt;'PlayerGrades+'!$AG$19,"F+",IF(P463&lt;'PlayerGrades+'!$AG$18,"E-",IF(P463&lt;'PlayerGrades+'!$AG$17,"E",IF(P463&lt;'PlayerGrades+'!$AG$16,"E+",IF(P463&lt;'PlayerGrades+'!$AG$15,"D-",IF(P463&lt;'PlayerGrades+'!$AG$14,"D",IF(P463&lt;'PlayerGrades+'!$AG$13,"D+",IF(P463&lt;'PlayerGrades+'!$AG$12,"C-",IF(P463&lt;'PlayerGrades+'!$AG$11,"C",IF(P463&lt;'PlayerGrades+'!$AG$10,"C+",IF(P463&lt;'PlayerGrades+'!$AG$9,"B-",IF(P463&lt;'PlayerGrades+'!$AG$8,"B",IF(P463&lt;'PlayerGrades+'!$AG$7,"B+",IF(P463&lt;'PlayerGrades+'!$AG$6,"A-",IF(P463&lt;'PlayerGrades+'!$AG$5,"A",IF(P463&lt;'PlayerGrades+'!$AG$4,"A+",IF(P463&lt;'PlayerGrades+'!$AG$3,"S-",IF(P463&lt;'PlayerGrades+'!$AG$2,"S","S+"))))))))))))))))))))</f>
        <v>F</v>
      </c>
      <c r="R463" s="937">
        <f t="shared" si="8"/>
        <v>0.3194321207</v>
      </c>
      <c r="S463" s="937" t="str">
        <f>IF(R463&lt;'PlayerGrades+'!$AH$21,"F-",IF(R463&lt;'PlayerGrades+'!$AH$20,"F",IF(R463&lt;'PlayerGrades+'!$AH$19,"F+",IF(R463&lt;'PlayerGrades+'!$AH$18,"E-",IF(R463&lt;'PlayerGrades+'!$AH$17,"E",IF(R463&lt;'PlayerGrades+'!$AH$16,"E+",IF(R463&lt;'PlayerGrades+'!$AH$15,"D-",IF(R463&lt;'PlayerGrades+'!$AH$14,"D",IF(R463&lt;'PlayerGrades+'!$AH$13,"D+",IF(R463&lt;'PlayerGrades+'!$AH$12,"C-",IF(R463&lt;'PlayerGrades+'!$AH$11,"C",IF(R463&lt;'PlayerGrades+'!$AH$10,"C+",IF(R463&lt;'PlayerGrades+'!$AH$9,"B-",IF(R463&lt;'PlayerGrades+'!$AH$8,"B",IF(R463&lt;'PlayerGrades+'!$AH$7,"B+",IF(R463&lt;'PlayerGrades+'!$AH$6,"A-",IF(R463&lt;'PlayerGrades+'!$AH$5,"A",IF(R463&lt;'PlayerGrades+'!$AH$4,"A+",IF(R463&lt;'PlayerGrades+'!$AH$3,"S-",IF(R463&lt;'PlayerGrades+'!$AH$2,"S","S+"))))))))))))))))))))</f>
        <v>F</v>
      </c>
      <c r="T463" s="937">
        <f t="shared" si="9"/>
        <v>2.425909494</v>
      </c>
      <c r="U463" s="937" t="str">
        <f>IF(T463&lt;'PlayerGrades+'!$AI$21,"F-",IF(T463&lt;'PlayerGrades+'!$AI$20,"F",IF(T463&lt;'PlayerGrades+'!$AI$19,"F+",IF(T463&lt;'PlayerGrades+'!$AI$18,"E-",IF(T463&lt;'PlayerGrades+'!$AI$17,"E",IF(T463&lt;'PlayerGrades+'!$AI$16,"E+",IF(T463&lt;'PlayerGrades+'!$AI$15,"D-",IF(T463&lt;'PlayerGrades+'!$AI$14,"D",IF(T463&lt;'PlayerGrades+'!$AI$13,"D+",IF(T463&lt;'PlayerGrades+'!$AI$12,"C-",IF(T463&lt;'PlayerGrades+'!$AI$11,"C",IF(T463&lt;'PlayerGrades+'!$AI$10,"C+",IF(T463&lt;'PlayerGrades+'!$AI$9,"B-",IF(T463&lt;'PlayerGrades+'!$AI$8,"B",IF(T463&lt;'PlayerGrades+'!$AI$7,"B+",IF(T463&lt;'PlayerGrades+'!$AI$6,"A-",IF(T463&lt;'PlayerGrades+'!$AI$5,"A",IF(T463&lt;'PlayerGrades+'!$AI$4,"A+",IF(T463&lt;'PlayerGrades+'!$AI$3,"S-",IF(T463&lt;'PlayerGrades+'!$AI$2,"S","S+"))))))))))))))))))))</f>
        <v>S+</v>
      </c>
      <c r="V463" s="941">
        <v>1.0</v>
      </c>
      <c r="W463" s="941">
        <v>0.0</v>
      </c>
      <c r="X463" s="941">
        <v>1.0</v>
      </c>
      <c r="Y463" s="941">
        <v>0.0</v>
      </c>
      <c r="Z463" s="941">
        <v>0.0</v>
      </c>
      <c r="AA463" s="941">
        <v>50.0</v>
      </c>
      <c r="AB463" s="941">
        <v>71.0</v>
      </c>
      <c r="AC463" s="941">
        <v>-21.0</v>
      </c>
      <c r="AD463" s="941">
        <v>2.0</v>
      </c>
      <c r="AE463" s="941">
        <v>3.0</v>
      </c>
      <c r="AF463" s="941">
        <v>1.0</v>
      </c>
      <c r="AG463" s="941">
        <v>817.0</v>
      </c>
      <c r="AH463" s="941">
        <v>1127.0</v>
      </c>
      <c r="AI463" s="941">
        <v>11.0</v>
      </c>
      <c r="AJ463" s="941">
        <v>0.0</v>
      </c>
      <c r="AK463" s="941">
        <v>0.0</v>
      </c>
      <c r="AL463" s="941">
        <v>0.0</v>
      </c>
      <c r="AM463" s="941">
        <v>0.0</v>
      </c>
      <c r="AN463" s="941">
        <v>0.0</v>
      </c>
      <c r="AO463" s="941">
        <v>0.0</v>
      </c>
      <c r="AP463" s="941">
        <v>0.0</v>
      </c>
      <c r="AQ463" s="941">
        <v>0.0</v>
      </c>
      <c r="AR463" s="941">
        <v>1.0</v>
      </c>
      <c r="AS463" s="941">
        <v>0.0</v>
      </c>
      <c r="AT463" s="941">
        <v>0.0</v>
      </c>
      <c r="AU463" s="941">
        <v>0.0</v>
      </c>
      <c r="AV463" s="941">
        <v>0.0</v>
      </c>
      <c r="AW463" s="941">
        <v>0.0</v>
      </c>
      <c r="AX463" s="941">
        <v>0.0</v>
      </c>
      <c r="AY463" s="941">
        <v>0.0</v>
      </c>
      <c r="AZ463" s="941">
        <v>0.0</v>
      </c>
      <c r="BA463" s="941">
        <v>0.0</v>
      </c>
      <c r="BB463" s="941">
        <v>0.0</v>
      </c>
      <c r="BC463" s="941">
        <v>0.0</v>
      </c>
      <c r="BD463" s="941">
        <v>4.0</v>
      </c>
      <c r="BE463" s="941">
        <v>8.0</v>
      </c>
      <c r="BF463" s="941">
        <v>2.0</v>
      </c>
      <c r="BG463" s="941">
        <v>0.0</v>
      </c>
    </row>
    <row r="464">
      <c r="A464" s="965" t="s">
        <v>130</v>
      </c>
      <c r="B464" s="16" t="str">
        <f>IF(C464&lt;'PlayerGrades+'!$Y$44,"F-",IF(C464&lt;'PlayerGrades+'!$Y$43,"F",IF(C464&lt;'PlayerGrades+'!$Y$42,"F+",IF(C464&lt;'PlayerGrades+'!$Y$41,"E-",IF(C464&lt;'PlayerGrades+'!$Y$40,"E",IF(C464&lt;'PlayerGrades+'!$Y$39,"E+",IF(C464&lt;'PlayerGrades+'!$Y$38,"D-",IF(C464&lt;'PlayerGrades+'!$Y$37,"D",IF(C464&lt;'PlayerGrades+'!$Y$36,"D+",IF(C464&lt;'PlayerGrades+'!$Y$35,"C-",IF(C464&lt;'PlayerGrades+'!$Y$34,"C",IF(C464&lt;'PlayerGrades+'!$Y$33,"C+",IF(C464&lt;'PlayerGrades+'!$Y$32,"B-",IF(C464&lt;'PlayerGrades+'!$Y$31,"B",IF(C464&lt;'PlayerGrades+'!$Y$30,"B+",IF(C464&lt;'PlayerGrades+'!$Y$29,"A-",IF(C464&lt;'PlayerGrades+'!$Y$28,"A",IF(C464&lt;'PlayerGrades+'!$Y$27,"A+",IF(C464&lt;'PlayerGrades+'!$Y$26,"S-",IF(C464&lt;'PlayerGrades+'!$Y$25,"S","S+"))))))))))))))))))))</f>
        <v>D</v>
      </c>
      <c r="C464" s="936">
        <f>('PlayerGrades+'!$Y$47*(VLOOKUP(E464, 'PlayerGrades+'!$X$3:$Y$23, 2, FALSE)))+('PlayerGrades+'!$Y$48*(VLOOKUP(G464, 'PlayerGrades+'!$X$3:$Y$23, 2, FALSE)))+('PlayerGrades+'!$Y$49*(VLOOKUP(I464, 'PlayerGrades+'!$X$3:$Y$23, 2, FALSE)))+('PlayerGrades+'!$Y$50*(VLOOKUP(K464, 'PlayerGrades+'!$X$3:$Y$23, 2, FALSE)))+('PlayerGrades+'!$Y$51*(VLOOKUP(M464, 'PlayerGrades+'!$X$3:$Y$23, 2, FALSE)))+('PlayerGrades+'!$Y$52*(VLOOKUP(O464, 'PlayerGrades+'!$X$3:$Y$23, 2, FALSE)))+('PlayerGrades+'!$Y$53*(VLOOKUP(Q464, 'PlayerGrades+'!$X$3:$Y$23, 2, FALSE)))+('PlayerGrades+'!$Y$54*(VLOOKUP(S464, 'PlayerGrades+'!$X$3:$Y$23, 2, FALSE)))+('PlayerGrades+'!$Y$55*(VLOOKUP(U464, 'PlayerGrades+'!$X$3:$Y$23, 2, FALSE)))</f>
        <v>17.05</v>
      </c>
      <c r="D464" s="937">
        <f t="shared" si="1"/>
        <v>0</v>
      </c>
      <c r="E464" s="937" t="str">
        <f>IF(D464&lt;'PlayerGrades+'!$AA$21,"F-",IF(D464&lt;'PlayerGrades+'!$AA$20,"F",IF(D464&lt;'PlayerGrades+'!$AA$19,"F+",IF(D464&lt;'PlayerGrades+'!$AA$18,"E-",IF(D464&lt;'PlayerGrades+'!$AA$17,"E",IF(D464&lt;'PlayerGrades+'!$AA$16,"E+",IF(D464&lt;'PlayerGrades+'!$AA$15,"D-",IF(D464&lt;'PlayerGrades+'!$AA$14,"D",IF(D464&lt;'PlayerGrades+'!$AA$13,"D+",IF(D464&lt;'PlayerGrades+'!$AA$12,"C-",IF(D464&lt;'PlayerGrades+'!$AA$11,"C",IF(D464&lt;'PlayerGrades+'!$AA$10,"C+",IF(D464&lt;'PlayerGrades+'!$AA$9,"B-",IF(D464&lt;'PlayerGrades+'!$AA$8,"B",IF(D464&lt;'PlayerGrades+'!$AA$7,"B+",IF(D464&lt;'PlayerGrades+'!$AA$6,"A-",IF(D464&lt;'PlayerGrades+'!$AA$5,"A",IF(D464&lt;'PlayerGrades+'!$AA$4,"A+",IF(D464&lt;'PlayerGrades+'!$AA$3,"S-",IF(D464&lt;'PlayerGrades+'!$AA$2,"S","S+"))))))))))))))))))))</f>
        <v>F-</v>
      </c>
      <c r="F464" s="937">
        <f t="shared" si="2"/>
        <v>-0.3726708075</v>
      </c>
      <c r="G464" s="937" t="str">
        <f>IF(F464&lt;'PlayerGrades+'!$AB$21,"F-",IF(F464&lt;'PlayerGrades+'!$AB$20,"F",IF(F464&lt;'PlayerGrades+'!$AB$19,"F+",IF(F464&lt;'PlayerGrades+'!$AB$18,"E-",IF(F464&lt;'PlayerGrades+'!$AB$17,"E",IF(F464&lt;'PlayerGrades+'!$AB$16,"E+",IF(F464&lt;'PlayerGrades+'!$AB$15,"D-",IF(F464&lt;'PlayerGrades+'!$AB$14,"D",IF(F464&lt;'PlayerGrades+'!$AB$13,"D+",IF(F464&lt;'PlayerGrades+'!$AB$12,"C-",IF(F464&lt;'PlayerGrades+'!$AB$11,"C",IF(F464&lt;'PlayerGrades+'!$AB$10,"C+",IF(F464&lt;'PlayerGrades+'!$AB$9,"B-",IF(F464&lt;'PlayerGrades+'!$AB$8,"B",IF(F464&lt;'PlayerGrades+'!$AB$7,"B+",IF(F464&lt;'PlayerGrades+'!$AB$6,"A-",IF(F464&lt;'PlayerGrades+'!$AB$5,"A",IF(F464&lt;'PlayerGrades+'!$AB$4,"A+",IF(F464&lt;'PlayerGrades+'!$AB$3,"S-",IF(F464&lt;'PlayerGrades+'!$AB$2,"S","S+"))))))))))))))))))))</f>
        <v>C-</v>
      </c>
      <c r="H464" s="937">
        <f t="shared" si="3"/>
        <v>0.1597160603</v>
      </c>
      <c r="I464" s="937" t="str">
        <f>IF(H464&lt;'PlayerGrades+'!$AC$21,"F-",IF(H464&lt;'PlayerGrades+'!$AC$20,"F",IF(H464&lt;'PlayerGrades+'!$AC$19,"F+",IF(H464&lt;'PlayerGrades+'!$AC$18,"E-",IF(H464&lt;'PlayerGrades+'!$AC$17,"E",IF(H464&lt;'PlayerGrades+'!$AC$16,"E+",IF(H464&lt;'PlayerGrades+'!$AC$15,"D-",IF(H464&lt;'PlayerGrades+'!$AC$14,"D",IF(H464&lt;'PlayerGrades+'!$AC$13,"D+",IF(H464&lt;'PlayerGrades+'!$AC$12,"C-",IF(H464&lt;'PlayerGrades+'!$AC$11,"C",IF(H464&lt;'PlayerGrades+'!$AC$10,"C+",IF(H464&lt;'PlayerGrades+'!$AC$9,"B-",IF(H464&lt;'PlayerGrades+'!$AC$8,"B",IF(H464&lt;'PlayerGrades+'!$AC$7,"B+",IF(H464&lt;'PlayerGrades+'!$AC$6,"A-",IF(H464&lt;'PlayerGrades+'!$AC$5,"A",IF(H464&lt;'PlayerGrades+'!$AC$4,"A+",IF(H464&lt;'PlayerGrades+'!$AC$3,"S-",IF(H464&lt;'PlayerGrades+'!$AC$2,"S","S+"))))))))))))))))))))</f>
        <v>A</v>
      </c>
      <c r="J464" s="937">
        <f t="shared" si="4"/>
        <v>0.05323868678</v>
      </c>
      <c r="K464" s="937" t="str">
        <f>IF(J464&lt;'PlayerGrades+'!$AD$21,"F-",IF(J464&lt;'PlayerGrades+'!$AD$20,"F",IF(J464&lt;'PlayerGrades+'!$AD$19,"F+",IF(J464&lt;'PlayerGrades+'!$AD$18,"E-",IF(J464&lt;'PlayerGrades+'!$AD$17,"E",IF(J464&lt;'PlayerGrades+'!$AD$16,"E+",IF(J464&lt;'PlayerGrades+'!$AD$15,"D-",IF(J464&lt;'PlayerGrades+'!$AD$14,"D",IF(J464&lt;'PlayerGrades+'!$AD$13,"D+",IF(J464&lt;'PlayerGrades+'!$AD$12,"C-",IF(J464&lt;'PlayerGrades+'!$AD$11,"C",IF(J464&lt;'PlayerGrades+'!$AD$10,"C+",IF(J464&lt;'PlayerGrades+'!$AD$9,"B-",IF(J464&lt;'PlayerGrades+'!$AD$8,"B",IF(J464&lt;'PlayerGrades+'!$AD$7,"B+",IF(J464&lt;'PlayerGrades+'!$AD$6,"A-",IF(J464&lt;'PlayerGrades+'!$AD$5,"A",IF(J464&lt;'PlayerGrades+'!$AD$4,"A+",IF(J464&lt;'PlayerGrades+'!$AD$3,"S-",IF(J464&lt;'PlayerGrades+'!$AD$2,"S","S+"))))))))))))))))))))</f>
        <v>B+</v>
      </c>
      <c r="L464" s="677">
        <f t="shared" si="5"/>
        <v>0.2661934339</v>
      </c>
      <c r="M464" s="938" t="str">
        <f>IF(L464&lt;'PlayerGrades+'!$AE$21,"F-",IF(L464&lt;'PlayerGrades+'!$AE$20,"F",IF(L464&lt;'PlayerGrades+'!$AE$19,"F+",IF(L464&lt;'PlayerGrades+'!$AE$18,"E-",IF(L464&lt;'PlayerGrades+'!$AE$17,"E",IF(L464&lt;'PlayerGrades+'!$AE$16,"E+",IF(L464&lt;'PlayerGrades+'!$AE$15,"D-",IF(L464&lt;'PlayerGrades+'!$AE$14,"D",IF(L464&lt;'PlayerGrades+'!$AE$13,"D+",IF(L464&lt;'PlayerGrades+'!$AE$12,"C-",IF(L464&lt;'PlayerGrades+'!$AE$11,"C",IF(L464&lt;'PlayerGrades+'!$AE$10,"C+",IF(L464&lt;'PlayerGrades+'!$AE$9,"B-",IF(L464&lt;'PlayerGrades+'!$AE$8,"B",IF(L464&lt;'PlayerGrades+'!$AE$7,"B+",IF(L464&lt;'PlayerGrades+'!$AE$6,"A-",IF(L464&lt;'PlayerGrades+'!$AE$5,"A",IF(L464&lt;'PlayerGrades+'!$AE$4,"A+",IF(L464&lt;'PlayerGrades+'!$AE$3,"S-",IF(L464&lt;'PlayerGrades+'!$AE$2,"S","S+"))))))))))))))))))))</f>
        <v>F</v>
      </c>
      <c r="N464" s="937">
        <f t="shared" si="6"/>
        <v>0</v>
      </c>
      <c r="O464" s="937" t="str">
        <f>IF(N464&lt;'PlayerGrades+'!$AF$21,"F-",IF(N464&lt;'PlayerGrades+'!$AF$20,"F",IF(N464&lt;'PlayerGrades+'!$AF$19,"F+",IF(N464&lt;'PlayerGrades+'!$AF$18,"E-",IF(N464&lt;'PlayerGrades+'!$AF$17,"E",IF(N464&lt;'PlayerGrades+'!$AF$16,"E+",IF(N464&lt;'PlayerGrades+'!$AF$15,"D-",IF(N464&lt;'PlayerGrades+'!$AF$14,"D",IF(N464&lt;'PlayerGrades+'!$AF$13,"D+",IF(N464&lt;'PlayerGrades+'!$AF$12,"C-",IF(N464&lt;'PlayerGrades+'!$AF$11,"C",IF(N464&lt;'PlayerGrades+'!$AF$10,"C+",IF(N464&lt;'PlayerGrades+'!$AF$9,"B-",IF(N464&lt;'PlayerGrades+'!$AF$8,"B",IF(N464&lt;'PlayerGrades+'!$AF$7,"B+",IF(N464&lt;'PlayerGrades+'!$AF$6,"A-",IF(N464&lt;'PlayerGrades+'!$AF$5,"A",IF(N464&lt;'PlayerGrades+'!$AF$4,"A+",IF(N464&lt;'PlayerGrades+'!$AF$3,"S-",IF(N464&lt;'PlayerGrades+'!$AF$2,"S","S+"))))))))))))))))))))</f>
        <v>F-</v>
      </c>
      <c r="P464" s="937">
        <f t="shared" si="7"/>
        <v>0.05323868678</v>
      </c>
      <c r="Q464" s="937" t="str">
        <f>IF(P464&lt;'PlayerGrades+'!$AG$21,"F-",IF(P464&lt;'PlayerGrades+'!$AG$20,"F",IF(P464&lt;'PlayerGrades+'!$AG$19,"F+",IF(P464&lt;'PlayerGrades+'!$AG$18,"E-",IF(P464&lt;'PlayerGrades+'!$AG$17,"E",IF(P464&lt;'PlayerGrades+'!$AG$16,"E+",IF(P464&lt;'PlayerGrades+'!$AG$15,"D-",IF(P464&lt;'PlayerGrades+'!$AG$14,"D",IF(P464&lt;'PlayerGrades+'!$AG$13,"D+",IF(P464&lt;'PlayerGrades+'!$AG$12,"C-",IF(P464&lt;'PlayerGrades+'!$AG$11,"C",IF(P464&lt;'PlayerGrades+'!$AG$10,"C+",IF(P464&lt;'PlayerGrades+'!$AG$9,"B-",IF(P464&lt;'PlayerGrades+'!$AG$8,"B",IF(P464&lt;'PlayerGrades+'!$AG$7,"B+",IF(P464&lt;'PlayerGrades+'!$AG$6,"A-",IF(P464&lt;'PlayerGrades+'!$AG$5,"A",IF(P464&lt;'PlayerGrades+'!$AG$4,"A+",IF(P464&lt;'PlayerGrades+'!$AG$3,"S-",IF(P464&lt;'PlayerGrades+'!$AG$2,"S","S+"))))))))))))))))))))</f>
        <v>A</v>
      </c>
      <c r="R464" s="937">
        <f t="shared" si="8"/>
        <v>0.9050576752</v>
      </c>
      <c r="S464" s="937" t="str">
        <f>IF(R464&lt;'PlayerGrades+'!$AH$21,"F-",IF(R464&lt;'PlayerGrades+'!$AH$20,"F",IF(R464&lt;'PlayerGrades+'!$AH$19,"F+",IF(R464&lt;'PlayerGrades+'!$AH$18,"E-",IF(R464&lt;'PlayerGrades+'!$AH$17,"E",IF(R464&lt;'PlayerGrades+'!$AH$16,"E+",IF(R464&lt;'PlayerGrades+'!$AH$15,"D-",IF(R464&lt;'PlayerGrades+'!$AH$14,"D",IF(R464&lt;'PlayerGrades+'!$AH$13,"D+",IF(R464&lt;'PlayerGrades+'!$AH$12,"C-",IF(R464&lt;'PlayerGrades+'!$AH$11,"C",IF(R464&lt;'PlayerGrades+'!$AH$10,"C+",IF(R464&lt;'PlayerGrades+'!$AH$9,"B-",IF(R464&lt;'PlayerGrades+'!$AH$8,"B",IF(R464&lt;'PlayerGrades+'!$AH$7,"B+",IF(R464&lt;'PlayerGrades+'!$AH$6,"A-",IF(R464&lt;'PlayerGrades+'!$AH$5,"A",IF(R464&lt;'PlayerGrades+'!$AH$4,"A+",IF(R464&lt;'PlayerGrades+'!$AH$3,"S-",IF(R464&lt;'PlayerGrades+'!$AH$2,"S","S+"))))))))))))))))))))</f>
        <v>S+</v>
      </c>
      <c r="T464" s="937">
        <f t="shared" si="9"/>
        <v>0.1064773736</v>
      </c>
      <c r="U464" s="937" t="str">
        <f>IF(T464&lt;'PlayerGrades+'!$AI$21,"F-",IF(T464&lt;'PlayerGrades+'!$AI$20,"F",IF(T464&lt;'PlayerGrades+'!$AI$19,"F+",IF(T464&lt;'PlayerGrades+'!$AI$18,"E-",IF(T464&lt;'PlayerGrades+'!$AI$17,"E",IF(T464&lt;'PlayerGrades+'!$AI$16,"E+",IF(T464&lt;'PlayerGrades+'!$AI$15,"D-",IF(T464&lt;'PlayerGrades+'!$AI$14,"D",IF(T464&lt;'PlayerGrades+'!$AI$13,"D+",IF(T464&lt;'PlayerGrades+'!$AI$12,"C-",IF(T464&lt;'PlayerGrades+'!$AI$11,"C",IF(T464&lt;'PlayerGrades+'!$AI$10,"C+",IF(T464&lt;'PlayerGrades+'!$AI$9,"B-",IF(T464&lt;'PlayerGrades+'!$AI$8,"B",IF(T464&lt;'PlayerGrades+'!$AI$7,"B+",IF(T464&lt;'PlayerGrades+'!$AI$6,"A-",IF(T464&lt;'PlayerGrades+'!$AI$5,"A",IF(T464&lt;'PlayerGrades+'!$AI$4,"A+",IF(T464&lt;'PlayerGrades+'!$AI$3,"S-",IF(T464&lt;'PlayerGrades+'!$AI$2,"S","S+"))))))))))))))))))))</f>
        <v>F-</v>
      </c>
      <c r="V464" s="941">
        <v>1.0</v>
      </c>
      <c r="W464" s="941">
        <v>0.0</v>
      </c>
      <c r="X464" s="941">
        <v>1.0</v>
      </c>
      <c r="Y464" s="941">
        <v>0.0</v>
      </c>
      <c r="Z464" s="941">
        <v>0.0</v>
      </c>
      <c r="AA464" s="941">
        <v>41.0</v>
      </c>
      <c r="AB464" s="941">
        <v>48.0</v>
      </c>
      <c r="AC464" s="941">
        <v>-7.0</v>
      </c>
      <c r="AD464" s="941">
        <v>4.0</v>
      </c>
      <c r="AE464" s="941">
        <v>5.0</v>
      </c>
      <c r="AF464" s="941">
        <v>8.0</v>
      </c>
      <c r="AG464" s="941">
        <v>889.0</v>
      </c>
      <c r="AH464" s="941">
        <v>1127.0</v>
      </c>
      <c r="AI464" s="941">
        <v>18.0</v>
      </c>
      <c r="AJ464" s="941">
        <v>2.0</v>
      </c>
      <c r="AK464" s="941">
        <v>0.0</v>
      </c>
      <c r="AL464" s="941">
        <v>1.0</v>
      </c>
      <c r="AM464" s="941">
        <v>0.0</v>
      </c>
      <c r="AN464" s="941">
        <v>0.0</v>
      </c>
      <c r="AO464" s="941">
        <v>0.0</v>
      </c>
      <c r="AP464" s="941">
        <v>1.0</v>
      </c>
      <c r="AQ464" s="941">
        <v>0.0</v>
      </c>
      <c r="AR464" s="941">
        <v>5.0</v>
      </c>
      <c r="AS464" s="941">
        <v>0.0</v>
      </c>
      <c r="AT464" s="941">
        <v>0.0</v>
      </c>
      <c r="AU464" s="941">
        <v>0.0</v>
      </c>
      <c r="AV464" s="941">
        <v>0.0</v>
      </c>
      <c r="AW464" s="941">
        <v>0.0</v>
      </c>
      <c r="AX464" s="941">
        <v>0.0</v>
      </c>
      <c r="AY464" s="941">
        <v>0.0</v>
      </c>
      <c r="AZ464" s="941">
        <v>0.0</v>
      </c>
      <c r="BA464" s="941">
        <v>0.0</v>
      </c>
      <c r="BB464" s="941">
        <v>3.0</v>
      </c>
      <c r="BC464" s="941">
        <v>0.0</v>
      </c>
      <c r="BD464" s="941">
        <v>13.0</v>
      </c>
      <c r="BE464" s="941">
        <v>2.0</v>
      </c>
      <c r="BF464" s="941">
        <v>0.0</v>
      </c>
      <c r="BG464" s="941">
        <v>0.0</v>
      </c>
    </row>
    <row r="465">
      <c r="A465" s="966" t="s">
        <v>141</v>
      </c>
      <c r="B465" s="16" t="str">
        <f>IF(C465&lt;'PlayerGrades+'!$Y$44,"F-",IF(C465&lt;'PlayerGrades+'!$Y$43,"F",IF(C465&lt;'PlayerGrades+'!$Y$42,"F+",IF(C465&lt;'PlayerGrades+'!$Y$41,"E-",IF(C465&lt;'PlayerGrades+'!$Y$40,"E",IF(C465&lt;'PlayerGrades+'!$Y$39,"E+",IF(C465&lt;'PlayerGrades+'!$Y$38,"D-",IF(C465&lt;'PlayerGrades+'!$Y$37,"D",IF(C465&lt;'PlayerGrades+'!$Y$36,"D+",IF(C465&lt;'PlayerGrades+'!$Y$35,"C-",IF(C465&lt;'PlayerGrades+'!$Y$34,"C",IF(C465&lt;'PlayerGrades+'!$Y$33,"C+",IF(C465&lt;'PlayerGrades+'!$Y$32,"B-",IF(C465&lt;'PlayerGrades+'!$Y$31,"B",IF(C465&lt;'PlayerGrades+'!$Y$30,"B+",IF(C465&lt;'PlayerGrades+'!$Y$29,"A-",IF(C465&lt;'PlayerGrades+'!$Y$28,"A",IF(C465&lt;'PlayerGrades+'!$Y$27,"A+",IF(C465&lt;'PlayerGrades+'!$Y$26,"S-",IF(C465&lt;'PlayerGrades+'!$Y$25,"S","S+"))))))))))))))))))))</f>
        <v>E+</v>
      </c>
      <c r="C465" s="936">
        <f>('PlayerGrades+'!$Y$47*(VLOOKUP(E465, 'PlayerGrades+'!$X$3:$Y$23, 2, FALSE)))+('PlayerGrades+'!$Y$48*(VLOOKUP(G465, 'PlayerGrades+'!$X$3:$Y$23, 2, FALSE)))+('PlayerGrades+'!$Y$49*(VLOOKUP(I465, 'PlayerGrades+'!$X$3:$Y$23, 2, FALSE)))+('PlayerGrades+'!$Y$50*(VLOOKUP(K465, 'PlayerGrades+'!$X$3:$Y$23, 2, FALSE)))+('PlayerGrades+'!$Y$51*(VLOOKUP(M465, 'PlayerGrades+'!$X$3:$Y$23, 2, FALSE)))+('PlayerGrades+'!$Y$52*(VLOOKUP(O465, 'PlayerGrades+'!$X$3:$Y$23, 2, FALSE)))+('PlayerGrades+'!$Y$53*(VLOOKUP(Q465, 'PlayerGrades+'!$X$3:$Y$23, 2, FALSE)))+('PlayerGrades+'!$Y$54*(VLOOKUP(S465, 'PlayerGrades+'!$X$3:$Y$23, 2, FALSE)))+('PlayerGrades+'!$Y$55*(VLOOKUP(U465, 'PlayerGrades+'!$X$3:$Y$23, 2, FALSE)))</f>
        <v>13.6</v>
      </c>
      <c r="D465" s="937">
        <f t="shared" si="1"/>
        <v>0</v>
      </c>
      <c r="E465" s="937" t="str">
        <f>IF(D465&lt;'PlayerGrades+'!$AA$21,"F-",IF(D465&lt;'PlayerGrades+'!$AA$20,"F",IF(D465&lt;'PlayerGrades+'!$AA$19,"F+",IF(D465&lt;'PlayerGrades+'!$AA$18,"E-",IF(D465&lt;'PlayerGrades+'!$AA$17,"E",IF(D465&lt;'PlayerGrades+'!$AA$16,"E+",IF(D465&lt;'PlayerGrades+'!$AA$15,"D-",IF(D465&lt;'PlayerGrades+'!$AA$14,"D",IF(D465&lt;'PlayerGrades+'!$AA$13,"D+",IF(D465&lt;'PlayerGrades+'!$AA$12,"C-",IF(D465&lt;'PlayerGrades+'!$AA$11,"C",IF(D465&lt;'PlayerGrades+'!$AA$10,"C+",IF(D465&lt;'PlayerGrades+'!$AA$9,"B-",IF(D465&lt;'PlayerGrades+'!$AA$8,"B",IF(D465&lt;'PlayerGrades+'!$AA$7,"B+",IF(D465&lt;'PlayerGrades+'!$AA$6,"A-",IF(D465&lt;'PlayerGrades+'!$AA$5,"A",IF(D465&lt;'PlayerGrades+'!$AA$4,"A+",IF(D465&lt;'PlayerGrades+'!$AA$3,"S-",IF(D465&lt;'PlayerGrades+'!$AA$2,"S","S+"))))))))))))))))))))</f>
        <v>F-</v>
      </c>
      <c r="F465" s="937">
        <f t="shared" si="2"/>
        <v>-1.756876664</v>
      </c>
      <c r="G465" s="937" t="str">
        <f>IF(F465&lt;'PlayerGrades+'!$AB$21,"F-",IF(F465&lt;'PlayerGrades+'!$AB$20,"F",IF(F465&lt;'PlayerGrades+'!$AB$19,"F+",IF(F465&lt;'PlayerGrades+'!$AB$18,"E-",IF(F465&lt;'PlayerGrades+'!$AB$17,"E",IF(F465&lt;'PlayerGrades+'!$AB$16,"E+",IF(F465&lt;'PlayerGrades+'!$AB$15,"D-",IF(F465&lt;'PlayerGrades+'!$AB$14,"D",IF(F465&lt;'PlayerGrades+'!$AB$13,"D+",IF(F465&lt;'PlayerGrades+'!$AB$12,"C-",IF(F465&lt;'PlayerGrades+'!$AB$11,"C",IF(F465&lt;'PlayerGrades+'!$AB$10,"C+",IF(F465&lt;'PlayerGrades+'!$AB$9,"B-",IF(F465&lt;'PlayerGrades+'!$AB$8,"B",IF(F465&lt;'PlayerGrades+'!$AB$7,"B+",IF(F465&lt;'PlayerGrades+'!$AB$6,"A-",IF(F465&lt;'PlayerGrades+'!$AB$5,"A",IF(F465&lt;'PlayerGrades+'!$AB$4,"A+",IF(F465&lt;'PlayerGrades+'!$AB$3,"S-",IF(F465&lt;'PlayerGrades+'!$AB$2,"S","S+"))))))))))))))))))))</f>
        <v>F-</v>
      </c>
      <c r="H465" s="937">
        <f t="shared" si="3"/>
        <v>0.1064773736</v>
      </c>
      <c r="I465" s="937" t="str">
        <f>IF(H465&lt;'PlayerGrades+'!$AC$21,"F-",IF(H465&lt;'PlayerGrades+'!$AC$20,"F",IF(H465&lt;'PlayerGrades+'!$AC$19,"F+",IF(H465&lt;'PlayerGrades+'!$AC$18,"E-",IF(H465&lt;'PlayerGrades+'!$AC$17,"E",IF(H465&lt;'PlayerGrades+'!$AC$16,"E+",IF(H465&lt;'PlayerGrades+'!$AC$15,"D-",IF(H465&lt;'PlayerGrades+'!$AC$14,"D",IF(H465&lt;'PlayerGrades+'!$AC$13,"D+",IF(H465&lt;'PlayerGrades+'!$AC$12,"C-",IF(H465&lt;'PlayerGrades+'!$AC$11,"C",IF(H465&lt;'PlayerGrades+'!$AC$10,"C+",IF(H465&lt;'PlayerGrades+'!$AC$9,"B-",IF(H465&lt;'PlayerGrades+'!$AC$8,"B",IF(H465&lt;'PlayerGrades+'!$AC$7,"B+",IF(H465&lt;'PlayerGrades+'!$AC$6,"A-",IF(H465&lt;'PlayerGrades+'!$AC$5,"A",IF(H465&lt;'PlayerGrades+'!$AC$4,"A+",IF(H465&lt;'PlayerGrades+'!$AC$3,"S-",IF(H465&lt;'PlayerGrades+'!$AC$2,"S","S+"))))))))))))))))))))</f>
        <v>C-</v>
      </c>
      <c r="J465" s="937">
        <f t="shared" si="4"/>
        <v>0</v>
      </c>
      <c r="K465" s="937" t="str">
        <f>IF(J465&lt;'PlayerGrades+'!$AD$21,"F-",IF(J465&lt;'PlayerGrades+'!$AD$20,"F",IF(J465&lt;'PlayerGrades+'!$AD$19,"F+",IF(J465&lt;'PlayerGrades+'!$AD$18,"E-",IF(J465&lt;'PlayerGrades+'!$AD$17,"E",IF(J465&lt;'PlayerGrades+'!$AD$16,"E+",IF(J465&lt;'PlayerGrades+'!$AD$15,"D-",IF(J465&lt;'PlayerGrades+'!$AD$14,"D",IF(J465&lt;'PlayerGrades+'!$AD$13,"D+",IF(J465&lt;'PlayerGrades+'!$AD$12,"C-",IF(J465&lt;'PlayerGrades+'!$AD$11,"C",IF(J465&lt;'PlayerGrades+'!$AD$10,"C+",IF(J465&lt;'PlayerGrades+'!$AD$9,"B-",IF(J465&lt;'PlayerGrades+'!$AD$8,"B",IF(J465&lt;'PlayerGrades+'!$AD$7,"B+",IF(J465&lt;'PlayerGrades+'!$AD$6,"A-",IF(J465&lt;'PlayerGrades+'!$AD$5,"A",IF(J465&lt;'PlayerGrades+'!$AD$4,"A+",IF(J465&lt;'PlayerGrades+'!$AD$3,"S-",IF(J465&lt;'PlayerGrades+'!$AD$2,"S","S+"))))))))))))))))))))</f>
        <v>F-</v>
      </c>
      <c r="L465" s="677">
        <f t="shared" si="5"/>
        <v>0.4259094942</v>
      </c>
      <c r="M465" s="938" t="str">
        <f>IF(L465&lt;'PlayerGrades+'!$AE$21,"F-",IF(L465&lt;'PlayerGrades+'!$AE$20,"F",IF(L465&lt;'PlayerGrades+'!$AE$19,"F+",IF(L465&lt;'PlayerGrades+'!$AE$18,"E-",IF(L465&lt;'PlayerGrades+'!$AE$17,"E",IF(L465&lt;'PlayerGrades+'!$AE$16,"E+",IF(L465&lt;'PlayerGrades+'!$AE$15,"D-",IF(L465&lt;'PlayerGrades+'!$AE$14,"D",IF(L465&lt;'PlayerGrades+'!$AE$13,"D+",IF(L465&lt;'PlayerGrades+'!$AE$12,"C-",IF(L465&lt;'PlayerGrades+'!$AE$11,"C",IF(L465&lt;'PlayerGrades+'!$AE$10,"C+",IF(L465&lt;'PlayerGrades+'!$AE$9,"B-",IF(L465&lt;'PlayerGrades+'!$AE$8,"B",IF(L465&lt;'PlayerGrades+'!$AE$7,"B+",IF(L465&lt;'PlayerGrades+'!$AE$6,"A-",IF(L465&lt;'PlayerGrades+'!$AE$5,"A",IF(L465&lt;'PlayerGrades+'!$AE$4,"A+",IF(L465&lt;'PlayerGrades+'!$AE$3,"S-",IF(L465&lt;'PlayerGrades+'!$AE$2,"S","S+"))))))))))))))))))))</f>
        <v>C+</v>
      </c>
      <c r="N465" s="937">
        <f t="shared" si="6"/>
        <v>0.05323868678</v>
      </c>
      <c r="O465" s="937" t="str">
        <f>IF(N465&lt;'PlayerGrades+'!$AF$21,"F-",IF(N465&lt;'PlayerGrades+'!$AF$20,"F",IF(N465&lt;'PlayerGrades+'!$AF$19,"F+",IF(N465&lt;'PlayerGrades+'!$AF$18,"E-",IF(N465&lt;'PlayerGrades+'!$AF$17,"E",IF(N465&lt;'PlayerGrades+'!$AF$16,"E+",IF(N465&lt;'PlayerGrades+'!$AF$15,"D-",IF(N465&lt;'PlayerGrades+'!$AF$14,"D",IF(N465&lt;'PlayerGrades+'!$AF$13,"D+",IF(N465&lt;'PlayerGrades+'!$AF$12,"C-",IF(N465&lt;'PlayerGrades+'!$AF$11,"C",IF(N465&lt;'PlayerGrades+'!$AF$10,"C+",IF(N465&lt;'PlayerGrades+'!$AF$9,"B-",IF(N465&lt;'PlayerGrades+'!$AF$8,"B",IF(N465&lt;'PlayerGrades+'!$AF$7,"B+",IF(N465&lt;'PlayerGrades+'!$AF$6,"A-",IF(N465&lt;'PlayerGrades+'!$AF$5,"A",IF(N465&lt;'PlayerGrades+'!$AF$4,"A+",IF(N465&lt;'PlayerGrades+'!$AF$3,"S-",IF(N465&lt;'PlayerGrades+'!$AF$2,"S","S+"))))))))))))))))))))</f>
        <v>D</v>
      </c>
      <c r="P465" s="937">
        <f t="shared" si="7"/>
        <v>0</v>
      </c>
      <c r="Q465" s="937" t="str">
        <f>IF(P465&lt;'PlayerGrades+'!$AG$21,"F-",IF(P465&lt;'PlayerGrades+'!$AG$20,"F",IF(P465&lt;'PlayerGrades+'!$AG$19,"F+",IF(P465&lt;'PlayerGrades+'!$AG$18,"E-",IF(P465&lt;'PlayerGrades+'!$AG$17,"E",IF(P465&lt;'PlayerGrades+'!$AG$16,"E+",IF(P465&lt;'PlayerGrades+'!$AG$15,"D-",IF(P465&lt;'PlayerGrades+'!$AG$14,"D",IF(P465&lt;'PlayerGrades+'!$AG$13,"D+",IF(P465&lt;'PlayerGrades+'!$AG$12,"C-",IF(P465&lt;'PlayerGrades+'!$AG$11,"C",IF(P465&lt;'PlayerGrades+'!$AG$10,"C+",IF(P465&lt;'PlayerGrades+'!$AG$9,"B-",IF(P465&lt;'PlayerGrades+'!$AG$8,"B",IF(P465&lt;'PlayerGrades+'!$AG$7,"B+",IF(P465&lt;'PlayerGrades+'!$AG$6,"A-",IF(P465&lt;'PlayerGrades+'!$AG$5,"A",IF(P465&lt;'PlayerGrades+'!$AG$4,"A+",IF(P465&lt;'PlayerGrades+'!$AG$3,"S-",IF(P465&lt;'PlayerGrades+'!$AG$2,"S","S+"))))))))))))))))))))</f>
        <v>F</v>
      </c>
      <c r="R465" s="937">
        <f t="shared" si="8"/>
        <v>0.6388642413</v>
      </c>
      <c r="S465" s="937" t="str">
        <f>IF(R465&lt;'PlayerGrades+'!$AH$21,"F-",IF(R465&lt;'PlayerGrades+'!$AH$20,"F",IF(R465&lt;'PlayerGrades+'!$AH$19,"F+",IF(R465&lt;'PlayerGrades+'!$AH$18,"E-",IF(R465&lt;'PlayerGrades+'!$AH$17,"E",IF(R465&lt;'PlayerGrades+'!$AH$16,"E+",IF(R465&lt;'PlayerGrades+'!$AH$15,"D-",IF(R465&lt;'PlayerGrades+'!$AH$14,"D",IF(R465&lt;'PlayerGrades+'!$AH$13,"D+",IF(R465&lt;'PlayerGrades+'!$AH$12,"C-",IF(R465&lt;'PlayerGrades+'!$AH$11,"C",IF(R465&lt;'PlayerGrades+'!$AH$10,"C+",IF(R465&lt;'PlayerGrades+'!$AH$9,"B-",IF(R465&lt;'PlayerGrades+'!$AH$8,"B",IF(R465&lt;'PlayerGrades+'!$AH$7,"B+",IF(R465&lt;'PlayerGrades+'!$AH$6,"A-",IF(R465&lt;'PlayerGrades+'!$AH$5,"A",IF(R465&lt;'PlayerGrades+'!$AH$4,"A+",IF(R465&lt;'PlayerGrades+'!$AH$3,"S-",IF(R465&lt;'PlayerGrades+'!$AH$2,"S","S+"))))))))))))))))))))</f>
        <v>A</v>
      </c>
      <c r="T465" s="937">
        <f t="shared" si="9"/>
        <v>0.4259094942</v>
      </c>
      <c r="U465" s="937" t="str">
        <f>IF(T465&lt;'PlayerGrades+'!$AI$21,"F-",IF(T465&lt;'PlayerGrades+'!$AI$20,"F",IF(T465&lt;'PlayerGrades+'!$AI$19,"F+",IF(T465&lt;'PlayerGrades+'!$AI$18,"E-",IF(T465&lt;'PlayerGrades+'!$AI$17,"E",IF(T465&lt;'PlayerGrades+'!$AI$16,"E+",IF(T465&lt;'PlayerGrades+'!$AI$15,"D-",IF(T465&lt;'PlayerGrades+'!$AI$14,"D",IF(T465&lt;'PlayerGrades+'!$AI$13,"D+",IF(T465&lt;'PlayerGrades+'!$AI$12,"C-",IF(T465&lt;'PlayerGrades+'!$AI$11,"C",IF(T465&lt;'PlayerGrades+'!$AI$10,"C+",IF(T465&lt;'PlayerGrades+'!$AI$9,"B-",IF(T465&lt;'PlayerGrades+'!$AI$8,"B",IF(T465&lt;'PlayerGrades+'!$AI$7,"B+",IF(T465&lt;'PlayerGrades+'!$AI$6,"A-",IF(T465&lt;'PlayerGrades+'!$AI$5,"A",IF(T465&lt;'PlayerGrades+'!$AI$4,"A+",IF(T465&lt;'PlayerGrades+'!$AI$3,"S-",IF(T465&lt;'PlayerGrades+'!$AI$2,"S","S+"))))))))))))))))))))</f>
        <v>F-</v>
      </c>
      <c r="V465" s="941">
        <v>1.0</v>
      </c>
      <c r="W465" s="941">
        <v>0.0</v>
      </c>
      <c r="X465" s="941">
        <v>1.0</v>
      </c>
      <c r="Y465" s="941">
        <v>0.0</v>
      </c>
      <c r="Z465" s="941">
        <v>0.0</v>
      </c>
      <c r="AA465" s="941">
        <v>49.0</v>
      </c>
      <c r="AB465" s="941">
        <v>82.0</v>
      </c>
      <c r="AC465" s="941">
        <v>-33.0</v>
      </c>
      <c r="AD465" s="941">
        <v>4.0</v>
      </c>
      <c r="AE465" s="941">
        <v>4.0</v>
      </c>
      <c r="AF465" s="941">
        <v>2.0</v>
      </c>
      <c r="AG465" s="941">
        <v>787.0</v>
      </c>
      <c r="AH465" s="941">
        <v>1127.0</v>
      </c>
      <c r="AI465" s="941">
        <v>9.0</v>
      </c>
      <c r="AJ465" s="941">
        <v>3.0</v>
      </c>
      <c r="AK465" s="941">
        <v>0.0</v>
      </c>
      <c r="AL465" s="941">
        <v>0.0</v>
      </c>
      <c r="AM465" s="941">
        <v>0.0</v>
      </c>
      <c r="AN465" s="941">
        <v>0.0</v>
      </c>
      <c r="AO465" s="941">
        <v>0.0</v>
      </c>
      <c r="AP465" s="941">
        <v>0.0</v>
      </c>
      <c r="AQ465" s="941">
        <v>0.0</v>
      </c>
      <c r="AR465" s="941">
        <v>8.0</v>
      </c>
      <c r="AS465" s="941">
        <v>1.0</v>
      </c>
      <c r="AT465" s="941">
        <v>1.0</v>
      </c>
      <c r="AU465" s="941">
        <v>0.0</v>
      </c>
      <c r="AV465" s="941">
        <v>0.0</v>
      </c>
      <c r="AW465" s="941">
        <v>0.0</v>
      </c>
      <c r="AX465" s="941">
        <v>0.0</v>
      </c>
      <c r="AY465" s="941">
        <v>0.0</v>
      </c>
      <c r="AZ465" s="941">
        <v>0.0</v>
      </c>
      <c r="BA465" s="941">
        <v>0.0</v>
      </c>
      <c r="BB465" s="941">
        <v>2.0</v>
      </c>
      <c r="BC465" s="941">
        <v>0.0</v>
      </c>
      <c r="BD465" s="941">
        <v>8.0</v>
      </c>
      <c r="BE465" s="941">
        <v>8.0</v>
      </c>
      <c r="BF465" s="941">
        <v>0.0</v>
      </c>
      <c r="BG465" s="941">
        <v>0.0</v>
      </c>
    </row>
    <row r="466">
      <c r="A466" s="964" t="s">
        <v>153</v>
      </c>
      <c r="B466" s="16" t="str">
        <f>IF(C466&lt;'PlayerGrades+'!$Y$44,"F-",IF(C466&lt;'PlayerGrades+'!$Y$43,"F",IF(C466&lt;'PlayerGrades+'!$Y$42,"F+",IF(C466&lt;'PlayerGrades+'!$Y$41,"E-",IF(C466&lt;'PlayerGrades+'!$Y$40,"E",IF(C466&lt;'PlayerGrades+'!$Y$39,"E+",IF(C466&lt;'PlayerGrades+'!$Y$38,"D-",IF(C466&lt;'PlayerGrades+'!$Y$37,"D",IF(C466&lt;'PlayerGrades+'!$Y$36,"D+",IF(C466&lt;'PlayerGrades+'!$Y$35,"C-",IF(C466&lt;'PlayerGrades+'!$Y$34,"C",IF(C466&lt;'PlayerGrades+'!$Y$33,"C+",IF(C466&lt;'PlayerGrades+'!$Y$32,"B-",IF(C466&lt;'PlayerGrades+'!$Y$31,"B",IF(C466&lt;'PlayerGrades+'!$Y$30,"B+",IF(C466&lt;'PlayerGrades+'!$Y$29,"A-",IF(C466&lt;'PlayerGrades+'!$Y$28,"A",IF(C466&lt;'PlayerGrades+'!$Y$27,"A+",IF(C466&lt;'PlayerGrades+'!$Y$26,"S-",IF(C466&lt;'PlayerGrades+'!$Y$25,"S","S+"))))))))))))))))))))</f>
        <v>F</v>
      </c>
      <c r="C466" s="936">
        <f>('PlayerGrades+'!$Y$47*(VLOOKUP(E466, 'PlayerGrades+'!$X$3:$Y$23, 2, FALSE)))+('PlayerGrades+'!$Y$48*(VLOOKUP(G466, 'PlayerGrades+'!$X$3:$Y$23, 2, FALSE)))+('PlayerGrades+'!$Y$49*(VLOOKUP(I466, 'PlayerGrades+'!$X$3:$Y$23, 2, FALSE)))+('PlayerGrades+'!$Y$50*(VLOOKUP(K466, 'PlayerGrades+'!$X$3:$Y$23, 2, FALSE)))+('PlayerGrades+'!$Y$51*(VLOOKUP(M466, 'PlayerGrades+'!$X$3:$Y$23, 2, FALSE)))+('PlayerGrades+'!$Y$52*(VLOOKUP(O466, 'PlayerGrades+'!$X$3:$Y$23, 2, FALSE)))+('PlayerGrades+'!$Y$53*(VLOOKUP(Q466, 'PlayerGrades+'!$X$3:$Y$23, 2, FALSE)))+('PlayerGrades+'!$Y$54*(VLOOKUP(S466, 'PlayerGrades+'!$X$3:$Y$23, 2, FALSE)))+('PlayerGrades+'!$Y$55*(VLOOKUP(U466, 'PlayerGrades+'!$X$3:$Y$23, 2, FALSE)))</f>
        <v>9.5</v>
      </c>
      <c r="D466" s="937">
        <f t="shared" si="1"/>
        <v>0.7272727273</v>
      </c>
      <c r="E466" s="937" t="str">
        <f>IF(D466&lt;'PlayerGrades+'!$AA$21,"F-",IF(D466&lt;'PlayerGrades+'!$AA$20,"F",IF(D466&lt;'PlayerGrades+'!$AA$19,"F+",IF(D466&lt;'PlayerGrades+'!$AA$18,"E-",IF(D466&lt;'PlayerGrades+'!$AA$17,"E",IF(D466&lt;'PlayerGrades+'!$AA$16,"E+",IF(D466&lt;'PlayerGrades+'!$AA$15,"D-",IF(D466&lt;'PlayerGrades+'!$AA$14,"D",IF(D466&lt;'PlayerGrades+'!$AA$13,"D+",IF(D466&lt;'PlayerGrades+'!$AA$12,"C-",IF(D466&lt;'PlayerGrades+'!$AA$11,"C",IF(D466&lt;'PlayerGrades+'!$AA$10,"C+",IF(D466&lt;'PlayerGrades+'!$AA$9,"B-",IF(D466&lt;'PlayerGrades+'!$AA$8,"B",IF(D466&lt;'PlayerGrades+'!$AA$7,"B+",IF(D466&lt;'PlayerGrades+'!$AA$6,"A-",IF(D466&lt;'PlayerGrades+'!$AA$5,"A",IF(D466&lt;'PlayerGrades+'!$AA$4,"A+",IF(D466&lt;'PlayerGrades+'!$AA$3,"S-",IF(D466&lt;'PlayerGrades+'!$AA$2,"S","S+"))))))))))))))))))))</f>
        <v>S</v>
      </c>
      <c r="F466" s="937">
        <f t="shared" si="2"/>
        <v>-0.8181818182</v>
      </c>
      <c r="G466" s="937" t="str">
        <f>IF(F466&lt;'PlayerGrades+'!$AB$21,"F-",IF(F466&lt;'PlayerGrades+'!$AB$20,"F",IF(F466&lt;'PlayerGrades+'!$AB$19,"F+",IF(F466&lt;'PlayerGrades+'!$AB$18,"E-",IF(F466&lt;'PlayerGrades+'!$AB$17,"E",IF(F466&lt;'PlayerGrades+'!$AB$16,"E+",IF(F466&lt;'PlayerGrades+'!$AB$15,"D-",IF(F466&lt;'PlayerGrades+'!$AB$14,"D",IF(F466&lt;'PlayerGrades+'!$AB$13,"D+",IF(F466&lt;'PlayerGrades+'!$AB$12,"C-",IF(F466&lt;'PlayerGrades+'!$AB$11,"C",IF(F466&lt;'PlayerGrades+'!$AB$10,"C+",IF(F466&lt;'PlayerGrades+'!$AB$9,"B-",IF(F466&lt;'PlayerGrades+'!$AB$8,"B",IF(F466&lt;'PlayerGrades+'!$AB$7,"B+",IF(F466&lt;'PlayerGrades+'!$AB$6,"A-",IF(F466&lt;'PlayerGrades+'!$AB$5,"A",IF(F466&lt;'PlayerGrades+'!$AB$4,"A+",IF(F466&lt;'PlayerGrades+'!$AB$3,"S-",IF(F466&lt;'PlayerGrades+'!$AB$2,"S","S+"))))))))))))))))))))</f>
        <v>E</v>
      </c>
      <c r="H466" s="937">
        <f t="shared" si="3"/>
        <v>0</v>
      </c>
      <c r="I466" s="937" t="str">
        <f>IF(H466&lt;'PlayerGrades+'!$AC$21,"F-",IF(H466&lt;'PlayerGrades+'!$AC$20,"F",IF(H466&lt;'PlayerGrades+'!$AC$19,"F+",IF(H466&lt;'PlayerGrades+'!$AC$18,"E-",IF(H466&lt;'PlayerGrades+'!$AC$17,"E",IF(H466&lt;'PlayerGrades+'!$AC$16,"E+",IF(H466&lt;'PlayerGrades+'!$AC$15,"D-",IF(H466&lt;'PlayerGrades+'!$AC$14,"D",IF(H466&lt;'PlayerGrades+'!$AC$13,"D+",IF(H466&lt;'PlayerGrades+'!$AC$12,"C-",IF(H466&lt;'PlayerGrades+'!$AC$11,"C",IF(H466&lt;'PlayerGrades+'!$AC$10,"C+",IF(H466&lt;'PlayerGrades+'!$AC$9,"B-",IF(H466&lt;'PlayerGrades+'!$AC$8,"B",IF(H466&lt;'PlayerGrades+'!$AC$7,"B+",IF(H466&lt;'PlayerGrades+'!$AC$6,"A-",IF(H466&lt;'PlayerGrades+'!$AC$5,"A",IF(H466&lt;'PlayerGrades+'!$AC$4,"A+",IF(H466&lt;'PlayerGrades+'!$AC$3,"S-",IF(H466&lt;'PlayerGrades+'!$AC$2,"S","S+"))))))))))))))))))))</f>
        <v>F-</v>
      </c>
      <c r="J466" s="937">
        <f t="shared" si="4"/>
        <v>0</v>
      </c>
      <c r="K466" s="937" t="str">
        <f>IF(J466&lt;'PlayerGrades+'!$AD$21,"F-",IF(J466&lt;'PlayerGrades+'!$AD$20,"F",IF(J466&lt;'PlayerGrades+'!$AD$19,"F+",IF(J466&lt;'PlayerGrades+'!$AD$18,"E-",IF(J466&lt;'PlayerGrades+'!$AD$17,"E",IF(J466&lt;'PlayerGrades+'!$AD$16,"E+",IF(J466&lt;'PlayerGrades+'!$AD$15,"D-",IF(J466&lt;'PlayerGrades+'!$AD$14,"D",IF(J466&lt;'PlayerGrades+'!$AD$13,"D+",IF(J466&lt;'PlayerGrades+'!$AD$12,"C-",IF(J466&lt;'PlayerGrades+'!$AD$11,"C",IF(J466&lt;'PlayerGrades+'!$AD$10,"C+",IF(J466&lt;'PlayerGrades+'!$AD$9,"B-",IF(J466&lt;'PlayerGrades+'!$AD$8,"B",IF(J466&lt;'PlayerGrades+'!$AD$7,"B+",IF(J466&lt;'PlayerGrades+'!$AD$6,"A-",IF(J466&lt;'PlayerGrades+'!$AD$5,"A",IF(J466&lt;'PlayerGrades+'!$AD$4,"A+",IF(J466&lt;'PlayerGrades+'!$AD$3,"S-",IF(J466&lt;'PlayerGrades+'!$AD$2,"S","S+"))))))))))))))))))))</f>
        <v>F-</v>
      </c>
      <c r="L466" s="677">
        <f t="shared" si="5"/>
        <v>0.09090909091</v>
      </c>
      <c r="M466" s="938" t="str">
        <f>IF(L466&lt;'PlayerGrades+'!$AE$21,"F-",IF(L466&lt;'PlayerGrades+'!$AE$20,"F",IF(L466&lt;'PlayerGrades+'!$AE$19,"F+",IF(L466&lt;'PlayerGrades+'!$AE$18,"E-",IF(L466&lt;'PlayerGrades+'!$AE$17,"E",IF(L466&lt;'PlayerGrades+'!$AE$16,"E+",IF(L466&lt;'PlayerGrades+'!$AE$15,"D-",IF(L466&lt;'PlayerGrades+'!$AE$14,"D",IF(L466&lt;'PlayerGrades+'!$AE$13,"D+",IF(L466&lt;'PlayerGrades+'!$AE$12,"C-",IF(L466&lt;'PlayerGrades+'!$AE$11,"C",IF(L466&lt;'PlayerGrades+'!$AE$10,"C+",IF(L466&lt;'PlayerGrades+'!$AE$9,"B-",IF(L466&lt;'PlayerGrades+'!$AE$8,"B",IF(L466&lt;'PlayerGrades+'!$AE$7,"B+",IF(L466&lt;'PlayerGrades+'!$AE$6,"A-",IF(L466&lt;'PlayerGrades+'!$AE$5,"A",IF(L466&lt;'PlayerGrades+'!$AE$4,"A+",IF(L466&lt;'PlayerGrades+'!$AE$3,"S-",IF(L466&lt;'PlayerGrades+'!$AE$2,"S","S+"))))))))))))))))))))</f>
        <v>F-</v>
      </c>
      <c r="N466" s="937">
        <f t="shared" si="6"/>
        <v>0</v>
      </c>
      <c r="O466" s="937" t="str">
        <f>IF(N466&lt;'PlayerGrades+'!$AF$21,"F-",IF(N466&lt;'PlayerGrades+'!$AF$20,"F",IF(N466&lt;'PlayerGrades+'!$AF$19,"F+",IF(N466&lt;'PlayerGrades+'!$AF$18,"E-",IF(N466&lt;'PlayerGrades+'!$AF$17,"E",IF(N466&lt;'PlayerGrades+'!$AF$16,"E+",IF(N466&lt;'PlayerGrades+'!$AF$15,"D-",IF(N466&lt;'PlayerGrades+'!$AF$14,"D",IF(N466&lt;'PlayerGrades+'!$AF$13,"D+",IF(N466&lt;'PlayerGrades+'!$AF$12,"C-",IF(N466&lt;'PlayerGrades+'!$AF$11,"C",IF(N466&lt;'PlayerGrades+'!$AF$10,"C+",IF(N466&lt;'PlayerGrades+'!$AF$9,"B-",IF(N466&lt;'PlayerGrades+'!$AF$8,"B",IF(N466&lt;'PlayerGrades+'!$AF$7,"B+",IF(N466&lt;'PlayerGrades+'!$AF$6,"A-",IF(N466&lt;'PlayerGrades+'!$AF$5,"A",IF(N466&lt;'PlayerGrades+'!$AF$4,"A+",IF(N466&lt;'PlayerGrades+'!$AF$3,"S-",IF(N466&lt;'PlayerGrades+'!$AF$2,"S","S+"))))))))))))))))))))</f>
        <v>F-</v>
      </c>
      <c r="P466" s="937">
        <f t="shared" si="7"/>
        <v>0</v>
      </c>
      <c r="Q466" s="937" t="str">
        <f>IF(P466&lt;'PlayerGrades+'!$AG$21,"F-",IF(P466&lt;'PlayerGrades+'!$AG$20,"F",IF(P466&lt;'PlayerGrades+'!$AG$19,"F+",IF(P466&lt;'PlayerGrades+'!$AG$18,"E-",IF(P466&lt;'PlayerGrades+'!$AG$17,"E",IF(P466&lt;'PlayerGrades+'!$AG$16,"E+",IF(P466&lt;'PlayerGrades+'!$AG$15,"D-",IF(P466&lt;'PlayerGrades+'!$AG$14,"D",IF(P466&lt;'PlayerGrades+'!$AG$13,"D+",IF(P466&lt;'PlayerGrades+'!$AG$12,"C-",IF(P466&lt;'PlayerGrades+'!$AG$11,"C",IF(P466&lt;'PlayerGrades+'!$AG$10,"C+",IF(P466&lt;'PlayerGrades+'!$AG$9,"B-",IF(P466&lt;'PlayerGrades+'!$AG$8,"B",IF(P466&lt;'PlayerGrades+'!$AG$7,"B+",IF(P466&lt;'PlayerGrades+'!$AG$6,"A-",IF(P466&lt;'PlayerGrades+'!$AG$5,"A",IF(P466&lt;'PlayerGrades+'!$AG$4,"A+",IF(P466&lt;'PlayerGrades+'!$AG$3,"S-",IF(P466&lt;'PlayerGrades+'!$AG$2,"S","S+"))))))))))))))))))))</f>
        <v>F</v>
      </c>
      <c r="R466" s="937">
        <f t="shared" si="8"/>
        <v>0.4090909091</v>
      </c>
      <c r="S466" s="937" t="str">
        <f>IF(R466&lt;'PlayerGrades+'!$AH$21,"F-",IF(R466&lt;'PlayerGrades+'!$AH$20,"F",IF(R466&lt;'PlayerGrades+'!$AH$19,"F+",IF(R466&lt;'PlayerGrades+'!$AH$18,"E-",IF(R466&lt;'PlayerGrades+'!$AH$17,"E",IF(R466&lt;'PlayerGrades+'!$AH$16,"E+",IF(R466&lt;'PlayerGrades+'!$AH$15,"D-",IF(R466&lt;'PlayerGrades+'!$AH$14,"D",IF(R466&lt;'PlayerGrades+'!$AH$13,"D+",IF(R466&lt;'PlayerGrades+'!$AH$12,"C-",IF(R466&lt;'PlayerGrades+'!$AH$11,"C",IF(R466&lt;'PlayerGrades+'!$AH$10,"C+",IF(R466&lt;'PlayerGrades+'!$AH$9,"B-",IF(R466&lt;'PlayerGrades+'!$AH$8,"B",IF(R466&lt;'PlayerGrades+'!$AH$7,"B+",IF(R466&lt;'PlayerGrades+'!$AH$6,"A-",IF(R466&lt;'PlayerGrades+'!$AH$5,"A",IF(R466&lt;'PlayerGrades+'!$AH$4,"A+",IF(R466&lt;'PlayerGrades+'!$AH$3,"S-",IF(R466&lt;'PlayerGrades+'!$AH$2,"S","S+"))))))))))))))))))))</f>
        <v>F+</v>
      </c>
      <c r="T466" s="937">
        <f t="shared" si="9"/>
        <v>1.136363636</v>
      </c>
      <c r="U466" s="937" t="str">
        <f>IF(T466&lt;'PlayerGrades+'!$AI$21,"F-",IF(T466&lt;'PlayerGrades+'!$AI$20,"F",IF(T466&lt;'PlayerGrades+'!$AI$19,"F+",IF(T466&lt;'PlayerGrades+'!$AI$18,"E-",IF(T466&lt;'PlayerGrades+'!$AI$17,"E",IF(T466&lt;'PlayerGrades+'!$AI$16,"E+",IF(T466&lt;'PlayerGrades+'!$AI$15,"D-",IF(T466&lt;'PlayerGrades+'!$AI$14,"D",IF(T466&lt;'PlayerGrades+'!$AI$13,"D+",IF(T466&lt;'PlayerGrades+'!$AI$12,"C-",IF(T466&lt;'PlayerGrades+'!$AI$11,"C",IF(T466&lt;'PlayerGrades+'!$AI$10,"C+",IF(T466&lt;'PlayerGrades+'!$AI$9,"B-",IF(T466&lt;'PlayerGrades+'!$AI$8,"B",IF(T466&lt;'PlayerGrades+'!$AI$7,"B+",IF(T466&lt;'PlayerGrades+'!$AI$6,"A-",IF(T466&lt;'PlayerGrades+'!$AI$5,"A",IF(T466&lt;'PlayerGrades+'!$AI$4,"A+",IF(T466&lt;'PlayerGrades+'!$AI$3,"S-",IF(T466&lt;'PlayerGrades+'!$AI$2,"S","S+"))))))))))))))))))))</f>
        <v>D</v>
      </c>
      <c r="V466" s="939">
        <v>1.0</v>
      </c>
      <c r="W466" s="939">
        <v>1.0</v>
      </c>
      <c r="X466" s="939">
        <v>0.0</v>
      </c>
      <c r="Y466" s="939">
        <v>5.0</v>
      </c>
      <c r="Z466" s="939">
        <v>11.0</v>
      </c>
      <c r="AA466" s="939">
        <v>40.0</v>
      </c>
      <c r="AB466" s="939">
        <v>58.0</v>
      </c>
      <c r="AC466" s="939">
        <v>-18.0</v>
      </c>
      <c r="AD466" s="939">
        <v>0.0</v>
      </c>
      <c r="AE466" s="939">
        <v>3.0</v>
      </c>
      <c r="AF466" s="939">
        <v>0.0</v>
      </c>
      <c r="AG466" s="939">
        <v>1041.0</v>
      </c>
      <c r="AH466" s="939">
        <v>1320.0</v>
      </c>
      <c r="AI466" s="939">
        <v>17.0</v>
      </c>
      <c r="AJ466" s="939">
        <v>538.0</v>
      </c>
      <c r="AK466" s="939">
        <v>0.0</v>
      </c>
      <c r="AL466" s="939">
        <v>0.0</v>
      </c>
      <c r="AM466" s="939">
        <v>0.0</v>
      </c>
      <c r="AN466" s="939">
        <v>0.0</v>
      </c>
      <c r="AO466" s="939">
        <v>0.0</v>
      </c>
      <c r="AP466" s="939">
        <v>0.0</v>
      </c>
      <c r="AQ466" s="939">
        <v>0.0</v>
      </c>
      <c r="AR466" s="939">
        <v>2.0</v>
      </c>
      <c r="AS466" s="939">
        <v>0.0</v>
      </c>
      <c r="AT466" s="939">
        <v>0.0</v>
      </c>
      <c r="AU466" s="939">
        <v>0.0</v>
      </c>
      <c r="AV466" s="939">
        <v>0.0</v>
      </c>
      <c r="AW466" s="939">
        <v>0.0</v>
      </c>
      <c r="AX466" s="939">
        <v>0.0</v>
      </c>
      <c r="AY466" s="939">
        <v>0.0</v>
      </c>
      <c r="AZ466" s="939">
        <v>0.0</v>
      </c>
      <c r="BA466" s="939">
        <v>0.0</v>
      </c>
      <c r="BB466" s="939">
        <v>0.0</v>
      </c>
      <c r="BC466" s="939">
        <v>0.0</v>
      </c>
      <c r="BD466" s="939">
        <v>9.0</v>
      </c>
      <c r="BE466" s="939">
        <v>3.0</v>
      </c>
      <c r="BF466" s="939">
        <v>1.0</v>
      </c>
      <c r="BG466" s="940">
        <v>1.0</v>
      </c>
    </row>
    <row r="467">
      <c r="A467" s="965" t="s">
        <v>131</v>
      </c>
      <c r="B467" s="16" t="str">
        <f>IF(C467&lt;'PlayerGrades+'!$Y$44,"F-",IF(C467&lt;'PlayerGrades+'!$Y$43,"F",IF(C467&lt;'PlayerGrades+'!$Y$42,"F+",IF(C467&lt;'PlayerGrades+'!$Y$41,"E-",IF(C467&lt;'PlayerGrades+'!$Y$40,"E",IF(C467&lt;'PlayerGrades+'!$Y$39,"E+",IF(C467&lt;'PlayerGrades+'!$Y$38,"D-",IF(C467&lt;'PlayerGrades+'!$Y$37,"D",IF(C467&lt;'PlayerGrades+'!$Y$36,"D+",IF(C467&lt;'PlayerGrades+'!$Y$35,"C-",IF(C467&lt;'PlayerGrades+'!$Y$34,"C",IF(C467&lt;'PlayerGrades+'!$Y$33,"C+",IF(C467&lt;'PlayerGrades+'!$Y$32,"B-",IF(C467&lt;'PlayerGrades+'!$Y$31,"B",IF(C467&lt;'PlayerGrades+'!$Y$30,"B+",IF(C467&lt;'PlayerGrades+'!$Y$29,"A-",IF(C467&lt;'PlayerGrades+'!$Y$28,"A",IF(C467&lt;'PlayerGrades+'!$Y$27,"A+",IF(C467&lt;'PlayerGrades+'!$Y$26,"S-",IF(C467&lt;'PlayerGrades+'!$Y$25,"S","S+"))))))))))))))))))))</f>
        <v>D</v>
      </c>
      <c r="C467" s="936">
        <f>('PlayerGrades+'!$Y$47*(VLOOKUP(E467, 'PlayerGrades+'!$X$3:$Y$23, 2, FALSE)))+('PlayerGrades+'!$Y$48*(VLOOKUP(G467, 'PlayerGrades+'!$X$3:$Y$23, 2, FALSE)))+('PlayerGrades+'!$Y$49*(VLOOKUP(I467, 'PlayerGrades+'!$X$3:$Y$23, 2, FALSE)))+('PlayerGrades+'!$Y$50*(VLOOKUP(K467, 'PlayerGrades+'!$X$3:$Y$23, 2, FALSE)))+('PlayerGrades+'!$Y$51*(VLOOKUP(M467, 'PlayerGrades+'!$X$3:$Y$23, 2, FALSE)))+('PlayerGrades+'!$Y$52*(VLOOKUP(O467, 'PlayerGrades+'!$X$3:$Y$23, 2, FALSE)))+('PlayerGrades+'!$Y$53*(VLOOKUP(Q467, 'PlayerGrades+'!$X$3:$Y$23, 2, FALSE)))+('PlayerGrades+'!$Y$54*(VLOOKUP(S467, 'PlayerGrades+'!$X$3:$Y$23, 2, FALSE)))+('PlayerGrades+'!$Y$55*(VLOOKUP(U467, 'PlayerGrades+'!$X$3:$Y$23, 2, FALSE)))</f>
        <v>16.7</v>
      </c>
      <c r="D467" s="937">
        <f t="shared" si="1"/>
        <v>0</v>
      </c>
      <c r="E467" s="937" t="str">
        <f>IF(D467&lt;'PlayerGrades+'!$AA$21,"F-",IF(D467&lt;'PlayerGrades+'!$AA$20,"F",IF(D467&lt;'PlayerGrades+'!$AA$19,"F+",IF(D467&lt;'PlayerGrades+'!$AA$18,"E-",IF(D467&lt;'PlayerGrades+'!$AA$17,"E",IF(D467&lt;'PlayerGrades+'!$AA$16,"E+",IF(D467&lt;'PlayerGrades+'!$AA$15,"D-",IF(D467&lt;'PlayerGrades+'!$AA$14,"D",IF(D467&lt;'PlayerGrades+'!$AA$13,"D+",IF(D467&lt;'PlayerGrades+'!$AA$12,"C-",IF(D467&lt;'PlayerGrades+'!$AA$11,"C",IF(D467&lt;'PlayerGrades+'!$AA$10,"C+",IF(D467&lt;'PlayerGrades+'!$AA$9,"B-",IF(D467&lt;'PlayerGrades+'!$AA$8,"B",IF(D467&lt;'PlayerGrades+'!$AA$7,"B+",IF(D467&lt;'PlayerGrades+'!$AA$6,"A-",IF(D467&lt;'PlayerGrades+'!$AA$5,"A",IF(D467&lt;'PlayerGrades+'!$AA$4,"A+",IF(D467&lt;'PlayerGrades+'!$AA$3,"S-",IF(D467&lt;'PlayerGrades+'!$AA$2,"S","S+"))))))))))))))))))))</f>
        <v>F-</v>
      </c>
      <c r="F467" s="937">
        <f t="shared" si="2"/>
        <v>-0.1363636364</v>
      </c>
      <c r="G467" s="937" t="str">
        <f>IF(F467&lt;'PlayerGrades+'!$AB$21,"F-",IF(F467&lt;'PlayerGrades+'!$AB$20,"F",IF(F467&lt;'PlayerGrades+'!$AB$19,"F+",IF(F467&lt;'PlayerGrades+'!$AB$18,"E-",IF(F467&lt;'PlayerGrades+'!$AB$17,"E",IF(F467&lt;'PlayerGrades+'!$AB$16,"E+",IF(F467&lt;'PlayerGrades+'!$AB$15,"D-",IF(F467&lt;'PlayerGrades+'!$AB$14,"D",IF(F467&lt;'PlayerGrades+'!$AB$13,"D+",IF(F467&lt;'PlayerGrades+'!$AB$12,"C-",IF(F467&lt;'PlayerGrades+'!$AB$11,"C",IF(F467&lt;'PlayerGrades+'!$AB$10,"C+",IF(F467&lt;'PlayerGrades+'!$AB$9,"B-",IF(F467&lt;'PlayerGrades+'!$AB$8,"B",IF(F467&lt;'PlayerGrades+'!$AB$7,"B+",IF(F467&lt;'PlayerGrades+'!$AB$6,"A-",IF(F467&lt;'PlayerGrades+'!$AB$5,"A",IF(F467&lt;'PlayerGrades+'!$AB$4,"A+",IF(F467&lt;'PlayerGrades+'!$AB$3,"S-",IF(F467&lt;'PlayerGrades+'!$AB$2,"S","S+"))))))))))))))))))))</f>
        <v>C+</v>
      </c>
      <c r="H467" s="937">
        <f t="shared" si="3"/>
        <v>0.04545454545</v>
      </c>
      <c r="I467" s="937" t="str">
        <f>IF(H467&lt;'PlayerGrades+'!$AC$21,"F-",IF(H467&lt;'PlayerGrades+'!$AC$20,"F",IF(H467&lt;'PlayerGrades+'!$AC$19,"F+",IF(H467&lt;'PlayerGrades+'!$AC$18,"E-",IF(H467&lt;'PlayerGrades+'!$AC$17,"E",IF(H467&lt;'PlayerGrades+'!$AC$16,"E+",IF(H467&lt;'PlayerGrades+'!$AC$15,"D-",IF(H467&lt;'PlayerGrades+'!$AC$14,"D",IF(H467&lt;'PlayerGrades+'!$AC$13,"D+",IF(H467&lt;'PlayerGrades+'!$AC$12,"C-",IF(H467&lt;'PlayerGrades+'!$AC$11,"C",IF(H467&lt;'PlayerGrades+'!$AC$10,"C+",IF(H467&lt;'PlayerGrades+'!$AC$9,"B-",IF(H467&lt;'PlayerGrades+'!$AC$8,"B",IF(H467&lt;'PlayerGrades+'!$AC$7,"B+",IF(H467&lt;'PlayerGrades+'!$AC$6,"A-",IF(H467&lt;'PlayerGrades+'!$AC$5,"A",IF(H467&lt;'PlayerGrades+'!$AC$4,"A+",IF(H467&lt;'PlayerGrades+'!$AC$3,"S-",IF(H467&lt;'PlayerGrades+'!$AC$2,"S","S+"))))))))))))))))))))</f>
        <v>F</v>
      </c>
      <c r="J467" s="937">
        <f t="shared" si="4"/>
        <v>0.09090909091</v>
      </c>
      <c r="K467" s="937" t="str">
        <f>IF(J467&lt;'PlayerGrades+'!$AD$21,"F-",IF(J467&lt;'PlayerGrades+'!$AD$20,"F",IF(J467&lt;'PlayerGrades+'!$AD$19,"F+",IF(J467&lt;'PlayerGrades+'!$AD$18,"E-",IF(J467&lt;'PlayerGrades+'!$AD$17,"E",IF(J467&lt;'PlayerGrades+'!$AD$16,"E+",IF(J467&lt;'PlayerGrades+'!$AD$15,"D-",IF(J467&lt;'PlayerGrades+'!$AD$14,"D",IF(J467&lt;'PlayerGrades+'!$AD$13,"D+",IF(J467&lt;'PlayerGrades+'!$AD$12,"C-",IF(J467&lt;'PlayerGrades+'!$AD$11,"C",IF(J467&lt;'PlayerGrades+'!$AD$10,"C+",IF(J467&lt;'PlayerGrades+'!$AD$9,"B-",IF(J467&lt;'PlayerGrades+'!$AD$8,"B",IF(J467&lt;'PlayerGrades+'!$AD$7,"B+",IF(J467&lt;'PlayerGrades+'!$AD$6,"A-",IF(J467&lt;'PlayerGrades+'!$AD$5,"A",IF(J467&lt;'PlayerGrades+'!$AD$4,"A+",IF(J467&lt;'PlayerGrades+'!$AD$3,"S-",IF(J467&lt;'PlayerGrades+'!$AD$2,"S","S+"))))))))))))))))))))</f>
        <v>S-</v>
      </c>
      <c r="L467" s="677">
        <f t="shared" si="5"/>
        <v>0.3636363636</v>
      </c>
      <c r="M467" s="938" t="str">
        <f>IF(L467&lt;'PlayerGrades+'!$AE$21,"F-",IF(L467&lt;'PlayerGrades+'!$AE$20,"F",IF(L467&lt;'PlayerGrades+'!$AE$19,"F+",IF(L467&lt;'PlayerGrades+'!$AE$18,"E-",IF(L467&lt;'PlayerGrades+'!$AE$17,"E",IF(L467&lt;'PlayerGrades+'!$AE$16,"E+",IF(L467&lt;'PlayerGrades+'!$AE$15,"D-",IF(L467&lt;'PlayerGrades+'!$AE$14,"D",IF(L467&lt;'PlayerGrades+'!$AE$13,"D+",IF(L467&lt;'PlayerGrades+'!$AE$12,"C-",IF(L467&lt;'PlayerGrades+'!$AE$11,"C",IF(L467&lt;'PlayerGrades+'!$AE$10,"C+",IF(L467&lt;'PlayerGrades+'!$AE$9,"B-",IF(L467&lt;'PlayerGrades+'!$AE$8,"B",IF(L467&lt;'PlayerGrades+'!$AE$7,"B+",IF(L467&lt;'PlayerGrades+'!$AE$6,"A-",IF(L467&lt;'PlayerGrades+'!$AE$5,"A",IF(L467&lt;'PlayerGrades+'!$AE$4,"A+",IF(L467&lt;'PlayerGrades+'!$AE$3,"S-",IF(L467&lt;'PlayerGrades+'!$AE$2,"S","S+"))))))))))))))))))))</f>
        <v>D+</v>
      </c>
      <c r="N467" s="937">
        <f t="shared" si="6"/>
        <v>0.09090909091</v>
      </c>
      <c r="O467" s="937" t="str">
        <f>IF(N467&lt;'PlayerGrades+'!$AF$21,"F-",IF(N467&lt;'PlayerGrades+'!$AF$20,"F",IF(N467&lt;'PlayerGrades+'!$AF$19,"F+",IF(N467&lt;'PlayerGrades+'!$AF$18,"E-",IF(N467&lt;'PlayerGrades+'!$AF$17,"E",IF(N467&lt;'PlayerGrades+'!$AF$16,"E+",IF(N467&lt;'PlayerGrades+'!$AF$15,"D-",IF(N467&lt;'PlayerGrades+'!$AF$14,"D",IF(N467&lt;'PlayerGrades+'!$AF$13,"D+",IF(N467&lt;'PlayerGrades+'!$AF$12,"C-",IF(N467&lt;'PlayerGrades+'!$AF$11,"C",IF(N467&lt;'PlayerGrades+'!$AF$10,"C+",IF(N467&lt;'PlayerGrades+'!$AF$9,"B-",IF(N467&lt;'PlayerGrades+'!$AF$8,"B",IF(N467&lt;'PlayerGrades+'!$AF$7,"B+",IF(N467&lt;'PlayerGrades+'!$AF$6,"A-",IF(N467&lt;'PlayerGrades+'!$AF$5,"A",IF(N467&lt;'PlayerGrades+'!$AF$4,"A+",IF(N467&lt;'PlayerGrades+'!$AF$3,"S-",IF(N467&lt;'PlayerGrades+'!$AF$2,"S","S+"))))))))))))))))))))</f>
        <v>B+</v>
      </c>
      <c r="P467" s="937">
        <f t="shared" si="7"/>
        <v>0.09090909091</v>
      </c>
      <c r="Q467" s="937" t="str">
        <f>IF(P467&lt;'PlayerGrades+'!$AG$21,"F-",IF(P467&lt;'PlayerGrades+'!$AG$20,"F",IF(P467&lt;'PlayerGrades+'!$AG$19,"F+",IF(P467&lt;'PlayerGrades+'!$AG$18,"E-",IF(P467&lt;'PlayerGrades+'!$AG$17,"E",IF(P467&lt;'PlayerGrades+'!$AG$16,"E+",IF(P467&lt;'PlayerGrades+'!$AG$15,"D-",IF(P467&lt;'PlayerGrades+'!$AG$14,"D",IF(P467&lt;'PlayerGrades+'!$AG$13,"D+",IF(P467&lt;'PlayerGrades+'!$AG$12,"C-",IF(P467&lt;'PlayerGrades+'!$AG$11,"C",IF(P467&lt;'PlayerGrades+'!$AG$10,"C+",IF(P467&lt;'PlayerGrades+'!$AG$9,"B-",IF(P467&lt;'PlayerGrades+'!$AG$8,"B",IF(P467&lt;'PlayerGrades+'!$AG$7,"B+",IF(P467&lt;'PlayerGrades+'!$AG$6,"A-",IF(P467&lt;'PlayerGrades+'!$AG$5,"A",IF(P467&lt;'PlayerGrades+'!$AG$4,"A+",IF(P467&lt;'PlayerGrades+'!$AG$3,"S-",IF(P467&lt;'PlayerGrades+'!$AG$2,"S","S+"))))))))))))))))))))</f>
        <v>S+</v>
      </c>
      <c r="R467" s="937">
        <f t="shared" si="8"/>
        <v>0.4545454545</v>
      </c>
      <c r="S467" s="937" t="str">
        <f>IF(R467&lt;'PlayerGrades+'!$AH$21,"F-",IF(R467&lt;'PlayerGrades+'!$AH$20,"F",IF(R467&lt;'PlayerGrades+'!$AH$19,"F+",IF(R467&lt;'PlayerGrades+'!$AH$18,"E-",IF(R467&lt;'PlayerGrades+'!$AH$17,"E",IF(R467&lt;'PlayerGrades+'!$AH$16,"E+",IF(R467&lt;'PlayerGrades+'!$AH$15,"D-",IF(R467&lt;'PlayerGrades+'!$AH$14,"D",IF(R467&lt;'PlayerGrades+'!$AH$13,"D+",IF(R467&lt;'PlayerGrades+'!$AH$12,"C-",IF(R467&lt;'PlayerGrades+'!$AH$11,"C",IF(R467&lt;'PlayerGrades+'!$AH$10,"C+",IF(R467&lt;'PlayerGrades+'!$AH$9,"B-",IF(R467&lt;'PlayerGrades+'!$AH$8,"B",IF(R467&lt;'PlayerGrades+'!$AH$7,"B+",IF(R467&lt;'PlayerGrades+'!$AH$6,"A-",IF(R467&lt;'PlayerGrades+'!$AH$5,"A",IF(R467&lt;'PlayerGrades+'!$AH$4,"A+",IF(R467&lt;'PlayerGrades+'!$AH$3,"S-",IF(R467&lt;'PlayerGrades+'!$AH$2,"S","S+"))))))))))))))))))))</f>
        <v>E-</v>
      </c>
      <c r="T467" s="937">
        <f t="shared" si="9"/>
        <v>0.2727272727</v>
      </c>
      <c r="U467" s="937" t="str">
        <f>IF(T467&lt;'PlayerGrades+'!$AI$21,"F-",IF(T467&lt;'PlayerGrades+'!$AI$20,"F",IF(T467&lt;'PlayerGrades+'!$AI$19,"F+",IF(T467&lt;'PlayerGrades+'!$AI$18,"E-",IF(T467&lt;'PlayerGrades+'!$AI$17,"E",IF(T467&lt;'PlayerGrades+'!$AI$16,"E+",IF(T467&lt;'PlayerGrades+'!$AI$15,"D-",IF(T467&lt;'PlayerGrades+'!$AI$14,"D",IF(T467&lt;'PlayerGrades+'!$AI$13,"D+",IF(T467&lt;'PlayerGrades+'!$AI$12,"C-",IF(T467&lt;'PlayerGrades+'!$AI$11,"C",IF(T467&lt;'PlayerGrades+'!$AI$10,"C+",IF(T467&lt;'PlayerGrades+'!$AI$9,"B-",IF(T467&lt;'PlayerGrades+'!$AI$8,"B",IF(T467&lt;'PlayerGrades+'!$AI$7,"B+",IF(T467&lt;'PlayerGrades+'!$AI$6,"A-",IF(T467&lt;'PlayerGrades+'!$AI$5,"A",IF(T467&lt;'PlayerGrades+'!$AI$4,"A+",IF(T467&lt;'PlayerGrades+'!$AI$3,"S-",IF(T467&lt;'PlayerGrades+'!$AI$2,"S","S+"))))))))))))))))))))</f>
        <v>F-</v>
      </c>
      <c r="V467" s="941">
        <v>1.0</v>
      </c>
      <c r="W467" s="941">
        <v>1.0</v>
      </c>
      <c r="X467" s="941">
        <v>0.0</v>
      </c>
      <c r="Y467" s="941">
        <v>0.0</v>
      </c>
      <c r="Z467" s="941">
        <v>0.0</v>
      </c>
      <c r="AA467" s="941">
        <v>63.0</v>
      </c>
      <c r="AB467" s="941">
        <v>66.0</v>
      </c>
      <c r="AC467" s="941">
        <v>-3.0</v>
      </c>
      <c r="AD467" s="941">
        <v>7.0</v>
      </c>
      <c r="AE467" s="941">
        <v>6.0</v>
      </c>
      <c r="AF467" s="941">
        <v>3.0</v>
      </c>
      <c r="AG467" s="941">
        <v>1004.0</v>
      </c>
      <c r="AH467" s="941">
        <v>1320.0</v>
      </c>
      <c r="AI467" s="941">
        <v>15.0</v>
      </c>
      <c r="AJ467" s="941">
        <v>14.0</v>
      </c>
      <c r="AK467" s="941">
        <v>0.0</v>
      </c>
      <c r="AL467" s="941">
        <v>2.0</v>
      </c>
      <c r="AM467" s="941">
        <v>0.0</v>
      </c>
      <c r="AN467" s="941">
        <v>0.0</v>
      </c>
      <c r="AO467" s="941">
        <v>0.0</v>
      </c>
      <c r="AP467" s="941">
        <v>2.0</v>
      </c>
      <c r="AQ467" s="941">
        <v>0.0</v>
      </c>
      <c r="AR467" s="941">
        <v>8.0</v>
      </c>
      <c r="AS467" s="941">
        <v>2.0</v>
      </c>
      <c r="AT467" s="941">
        <v>1.0</v>
      </c>
      <c r="AU467" s="941">
        <v>1.0</v>
      </c>
      <c r="AV467" s="941">
        <v>1.0</v>
      </c>
      <c r="AW467" s="941">
        <v>0.0</v>
      </c>
      <c r="AX467" s="941">
        <v>0.0</v>
      </c>
      <c r="AY467" s="941">
        <v>0.0</v>
      </c>
      <c r="AZ467" s="941">
        <v>0.0</v>
      </c>
      <c r="BA467" s="941">
        <v>0.0</v>
      </c>
      <c r="BB467" s="941">
        <v>1.0</v>
      </c>
      <c r="BC467" s="941">
        <v>0.0</v>
      </c>
      <c r="BD467" s="941">
        <v>3.0</v>
      </c>
      <c r="BE467" s="941">
        <v>6.0</v>
      </c>
      <c r="BF467" s="941">
        <v>0.0</v>
      </c>
      <c r="BG467" s="942">
        <v>1.0</v>
      </c>
    </row>
    <row r="468">
      <c r="A468" s="965" t="s">
        <v>142</v>
      </c>
      <c r="B468" s="16" t="str">
        <f>IF(C468&lt;'PlayerGrades+'!$Y$44,"F-",IF(C468&lt;'PlayerGrades+'!$Y$43,"F",IF(C468&lt;'PlayerGrades+'!$Y$42,"F+",IF(C468&lt;'PlayerGrades+'!$Y$41,"E-",IF(C468&lt;'PlayerGrades+'!$Y$40,"E",IF(C468&lt;'PlayerGrades+'!$Y$39,"E+",IF(C468&lt;'PlayerGrades+'!$Y$38,"D-",IF(C468&lt;'PlayerGrades+'!$Y$37,"D",IF(C468&lt;'PlayerGrades+'!$Y$36,"D+",IF(C468&lt;'PlayerGrades+'!$Y$35,"C-",IF(C468&lt;'PlayerGrades+'!$Y$34,"C",IF(C468&lt;'PlayerGrades+'!$Y$33,"C+",IF(C468&lt;'PlayerGrades+'!$Y$32,"B-",IF(C468&lt;'PlayerGrades+'!$Y$31,"B",IF(C468&lt;'PlayerGrades+'!$Y$30,"B+",IF(C468&lt;'PlayerGrades+'!$Y$29,"A-",IF(C468&lt;'PlayerGrades+'!$Y$28,"A",IF(C468&lt;'PlayerGrades+'!$Y$27,"A+",IF(C468&lt;'PlayerGrades+'!$Y$26,"S-",IF(C468&lt;'PlayerGrades+'!$Y$25,"S","S+"))))))))))))))))))))</f>
        <v>F-</v>
      </c>
      <c r="C468" s="936">
        <f>('PlayerGrades+'!$Y$47*(VLOOKUP(E468, 'PlayerGrades+'!$X$3:$Y$23, 2, FALSE)))+('PlayerGrades+'!$Y$48*(VLOOKUP(G468, 'PlayerGrades+'!$X$3:$Y$23, 2, FALSE)))+('PlayerGrades+'!$Y$49*(VLOOKUP(I468, 'PlayerGrades+'!$X$3:$Y$23, 2, FALSE)))+('PlayerGrades+'!$Y$50*(VLOOKUP(K468, 'PlayerGrades+'!$X$3:$Y$23, 2, FALSE)))+('PlayerGrades+'!$Y$51*(VLOOKUP(M468, 'PlayerGrades+'!$X$3:$Y$23, 2, FALSE)))+('PlayerGrades+'!$Y$52*(VLOOKUP(O468, 'PlayerGrades+'!$X$3:$Y$23, 2, FALSE)))+('PlayerGrades+'!$Y$53*(VLOOKUP(Q468, 'PlayerGrades+'!$X$3:$Y$23, 2, FALSE)))+('PlayerGrades+'!$Y$54*(VLOOKUP(S468, 'PlayerGrades+'!$X$3:$Y$23, 2, FALSE)))+('PlayerGrades+'!$Y$55*(VLOOKUP(U468, 'PlayerGrades+'!$X$3:$Y$23, 2, FALSE)))</f>
        <v>8.1</v>
      </c>
      <c r="D468" s="937">
        <f t="shared" si="1"/>
        <v>0</v>
      </c>
      <c r="E468" s="937" t="str">
        <f>IF(D468&lt;'PlayerGrades+'!$AA$21,"F-",IF(D468&lt;'PlayerGrades+'!$AA$20,"F",IF(D468&lt;'PlayerGrades+'!$AA$19,"F+",IF(D468&lt;'PlayerGrades+'!$AA$18,"E-",IF(D468&lt;'PlayerGrades+'!$AA$17,"E",IF(D468&lt;'PlayerGrades+'!$AA$16,"E+",IF(D468&lt;'PlayerGrades+'!$AA$15,"D-",IF(D468&lt;'PlayerGrades+'!$AA$14,"D",IF(D468&lt;'PlayerGrades+'!$AA$13,"D+",IF(D468&lt;'PlayerGrades+'!$AA$12,"C-",IF(D468&lt;'PlayerGrades+'!$AA$11,"C",IF(D468&lt;'PlayerGrades+'!$AA$10,"C+",IF(D468&lt;'PlayerGrades+'!$AA$9,"B-",IF(D468&lt;'PlayerGrades+'!$AA$8,"B",IF(D468&lt;'PlayerGrades+'!$AA$7,"B+",IF(D468&lt;'PlayerGrades+'!$AA$6,"A-",IF(D468&lt;'PlayerGrades+'!$AA$5,"A",IF(D468&lt;'PlayerGrades+'!$AA$4,"A+",IF(D468&lt;'PlayerGrades+'!$AA$3,"S-",IF(D468&lt;'PlayerGrades+'!$AA$2,"S","S+"))))))))))))))))))))</f>
        <v>F-</v>
      </c>
      <c r="F468" s="937">
        <f t="shared" si="2"/>
        <v>-0.3181818182</v>
      </c>
      <c r="G468" s="937" t="str">
        <f>IF(F468&lt;'PlayerGrades+'!$AB$21,"F-",IF(F468&lt;'PlayerGrades+'!$AB$20,"F",IF(F468&lt;'PlayerGrades+'!$AB$19,"F+",IF(F468&lt;'PlayerGrades+'!$AB$18,"E-",IF(F468&lt;'PlayerGrades+'!$AB$17,"E",IF(F468&lt;'PlayerGrades+'!$AB$16,"E+",IF(F468&lt;'PlayerGrades+'!$AB$15,"D-",IF(F468&lt;'PlayerGrades+'!$AB$14,"D",IF(F468&lt;'PlayerGrades+'!$AB$13,"D+",IF(F468&lt;'PlayerGrades+'!$AB$12,"C-",IF(F468&lt;'PlayerGrades+'!$AB$11,"C",IF(F468&lt;'PlayerGrades+'!$AB$10,"C+",IF(F468&lt;'PlayerGrades+'!$AB$9,"B-",IF(F468&lt;'PlayerGrades+'!$AB$8,"B",IF(F468&lt;'PlayerGrades+'!$AB$7,"B+",IF(F468&lt;'PlayerGrades+'!$AB$6,"A-",IF(F468&lt;'PlayerGrades+'!$AB$5,"A",IF(F468&lt;'PlayerGrades+'!$AB$4,"A+",IF(F468&lt;'PlayerGrades+'!$AB$3,"S-",IF(F468&lt;'PlayerGrades+'!$AB$2,"S","S+"))))))))))))))))))))</f>
        <v>C</v>
      </c>
      <c r="H468" s="937">
        <f t="shared" si="3"/>
        <v>0.09090909091</v>
      </c>
      <c r="I468" s="937" t="str">
        <f>IF(H468&lt;'PlayerGrades+'!$AC$21,"F-",IF(H468&lt;'PlayerGrades+'!$AC$20,"F",IF(H468&lt;'PlayerGrades+'!$AC$19,"F+",IF(H468&lt;'PlayerGrades+'!$AC$18,"E-",IF(H468&lt;'PlayerGrades+'!$AC$17,"E",IF(H468&lt;'PlayerGrades+'!$AC$16,"E+",IF(H468&lt;'PlayerGrades+'!$AC$15,"D-",IF(H468&lt;'PlayerGrades+'!$AC$14,"D",IF(H468&lt;'PlayerGrades+'!$AC$13,"D+",IF(H468&lt;'PlayerGrades+'!$AC$12,"C-",IF(H468&lt;'PlayerGrades+'!$AC$11,"C",IF(H468&lt;'PlayerGrades+'!$AC$10,"C+",IF(H468&lt;'PlayerGrades+'!$AC$9,"B-",IF(H468&lt;'PlayerGrades+'!$AC$8,"B",IF(H468&lt;'PlayerGrades+'!$AC$7,"B+",IF(H468&lt;'PlayerGrades+'!$AC$6,"A-",IF(H468&lt;'PlayerGrades+'!$AC$5,"A",IF(H468&lt;'PlayerGrades+'!$AC$4,"A+",IF(H468&lt;'PlayerGrades+'!$AC$3,"S-",IF(H468&lt;'PlayerGrades+'!$AC$2,"S","S+"))))))))))))))))))))</f>
        <v>D</v>
      </c>
      <c r="J468" s="937">
        <f t="shared" si="4"/>
        <v>0</v>
      </c>
      <c r="K468" s="937" t="str">
        <f>IF(J468&lt;'PlayerGrades+'!$AD$21,"F-",IF(J468&lt;'PlayerGrades+'!$AD$20,"F",IF(J468&lt;'PlayerGrades+'!$AD$19,"F+",IF(J468&lt;'PlayerGrades+'!$AD$18,"E-",IF(J468&lt;'PlayerGrades+'!$AD$17,"E",IF(J468&lt;'PlayerGrades+'!$AD$16,"E+",IF(J468&lt;'PlayerGrades+'!$AD$15,"D-",IF(J468&lt;'PlayerGrades+'!$AD$14,"D",IF(J468&lt;'PlayerGrades+'!$AD$13,"D+",IF(J468&lt;'PlayerGrades+'!$AD$12,"C-",IF(J468&lt;'PlayerGrades+'!$AD$11,"C",IF(J468&lt;'PlayerGrades+'!$AD$10,"C+",IF(J468&lt;'PlayerGrades+'!$AD$9,"B-",IF(J468&lt;'PlayerGrades+'!$AD$8,"B",IF(J468&lt;'PlayerGrades+'!$AD$7,"B+",IF(J468&lt;'PlayerGrades+'!$AD$6,"A-",IF(J468&lt;'PlayerGrades+'!$AD$5,"A",IF(J468&lt;'PlayerGrades+'!$AD$4,"A+",IF(J468&lt;'PlayerGrades+'!$AD$3,"S-",IF(J468&lt;'PlayerGrades+'!$AD$2,"S","S+"))))))))))))))))))))</f>
        <v>F-</v>
      </c>
      <c r="L468" s="677">
        <f t="shared" si="5"/>
        <v>0.2272727273</v>
      </c>
      <c r="M468" s="938" t="str">
        <f>IF(L468&lt;'PlayerGrades+'!$AE$21,"F-",IF(L468&lt;'PlayerGrades+'!$AE$20,"F",IF(L468&lt;'PlayerGrades+'!$AE$19,"F+",IF(L468&lt;'PlayerGrades+'!$AE$18,"E-",IF(L468&lt;'PlayerGrades+'!$AE$17,"E",IF(L468&lt;'PlayerGrades+'!$AE$16,"E+",IF(L468&lt;'PlayerGrades+'!$AE$15,"D-",IF(L468&lt;'PlayerGrades+'!$AE$14,"D",IF(L468&lt;'PlayerGrades+'!$AE$13,"D+",IF(L468&lt;'PlayerGrades+'!$AE$12,"C-",IF(L468&lt;'PlayerGrades+'!$AE$11,"C",IF(L468&lt;'PlayerGrades+'!$AE$10,"C+",IF(L468&lt;'PlayerGrades+'!$AE$9,"B-",IF(L468&lt;'PlayerGrades+'!$AE$8,"B",IF(L468&lt;'PlayerGrades+'!$AE$7,"B+",IF(L468&lt;'PlayerGrades+'!$AE$6,"A-",IF(L468&lt;'PlayerGrades+'!$AE$5,"A",IF(L468&lt;'PlayerGrades+'!$AE$4,"A+",IF(L468&lt;'PlayerGrades+'!$AE$3,"S-",IF(L468&lt;'PlayerGrades+'!$AE$2,"S","S+"))))))))))))))))))))</f>
        <v>F</v>
      </c>
      <c r="N468" s="937">
        <f t="shared" si="6"/>
        <v>0</v>
      </c>
      <c r="O468" s="937" t="str">
        <f>IF(N468&lt;'PlayerGrades+'!$AF$21,"F-",IF(N468&lt;'PlayerGrades+'!$AF$20,"F",IF(N468&lt;'PlayerGrades+'!$AF$19,"F+",IF(N468&lt;'PlayerGrades+'!$AF$18,"E-",IF(N468&lt;'PlayerGrades+'!$AF$17,"E",IF(N468&lt;'PlayerGrades+'!$AF$16,"E+",IF(N468&lt;'PlayerGrades+'!$AF$15,"D-",IF(N468&lt;'PlayerGrades+'!$AF$14,"D",IF(N468&lt;'PlayerGrades+'!$AF$13,"D+",IF(N468&lt;'PlayerGrades+'!$AF$12,"C-",IF(N468&lt;'PlayerGrades+'!$AF$11,"C",IF(N468&lt;'PlayerGrades+'!$AF$10,"C+",IF(N468&lt;'PlayerGrades+'!$AF$9,"B-",IF(N468&lt;'PlayerGrades+'!$AF$8,"B",IF(N468&lt;'PlayerGrades+'!$AF$7,"B+",IF(N468&lt;'PlayerGrades+'!$AF$6,"A-",IF(N468&lt;'PlayerGrades+'!$AF$5,"A",IF(N468&lt;'PlayerGrades+'!$AF$4,"A+",IF(N468&lt;'PlayerGrades+'!$AF$3,"S-",IF(N468&lt;'PlayerGrades+'!$AF$2,"S","S+"))))))))))))))))))))</f>
        <v>F-</v>
      </c>
      <c r="P468" s="937">
        <f t="shared" si="7"/>
        <v>0</v>
      </c>
      <c r="Q468" s="937" t="str">
        <f>IF(P468&lt;'PlayerGrades+'!$AG$21,"F-",IF(P468&lt;'PlayerGrades+'!$AG$20,"F",IF(P468&lt;'PlayerGrades+'!$AG$19,"F+",IF(P468&lt;'PlayerGrades+'!$AG$18,"E-",IF(P468&lt;'PlayerGrades+'!$AG$17,"E",IF(P468&lt;'PlayerGrades+'!$AG$16,"E+",IF(P468&lt;'PlayerGrades+'!$AG$15,"D-",IF(P468&lt;'PlayerGrades+'!$AG$14,"D",IF(P468&lt;'PlayerGrades+'!$AG$13,"D+",IF(P468&lt;'PlayerGrades+'!$AG$12,"C-",IF(P468&lt;'PlayerGrades+'!$AG$11,"C",IF(P468&lt;'PlayerGrades+'!$AG$10,"C+",IF(P468&lt;'PlayerGrades+'!$AG$9,"B-",IF(P468&lt;'PlayerGrades+'!$AG$8,"B",IF(P468&lt;'PlayerGrades+'!$AG$7,"B+",IF(P468&lt;'PlayerGrades+'!$AG$6,"A-",IF(P468&lt;'PlayerGrades+'!$AG$5,"A",IF(P468&lt;'PlayerGrades+'!$AG$4,"A+",IF(P468&lt;'PlayerGrades+'!$AG$3,"S-",IF(P468&lt;'PlayerGrades+'!$AG$2,"S","S+"))))))))))))))))))))</f>
        <v>F</v>
      </c>
      <c r="R468" s="937">
        <f t="shared" si="8"/>
        <v>0.4090909091</v>
      </c>
      <c r="S468" s="937" t="str">
        <f>IF(R468&lt;'PlayerGrades+'!$AH$21,"F-",IF(R468&lt;'PlayerGrades+'!$AH$20,"F",IF(R468&lt;'PlayerGrades+'!$AH$19,"F+",IF(R468&lt;'PlayerGrades+'!$AH$18,"E-",IF(R468&lt;'PlayerGrades+'!$AH$17,"E",IF(R468&lt;'PlayerGrades+'!$AH$16,"E+",IF(R468&lt;'PlayerGrades+'!$AH$15,"D-",IF(R468&lt;'PlayerGrades+'!$AH$14,"D",IF(R468&lt;'PlayerGrades+'!$AH$13,"D+",IF(R468&lt;'PlayerGrades+'!$AH$12,"C-",IF(R468&lt;'PlayerGrades+'!$AH$11,"C",IF(R468&lt;'PlayerGrades+'!$AH$10,"C+",IF(R468&lt;'PlayerGrades+'!$AH$9,"B-",IF(R468&lt;'PlayerGrades+'!$AH$8,"B",IF(R468&lt;'PlayerGrades+'!$AH$7,"B+",IF(R468&lt;'PlayerGrades+'!$AH$6,"A-",IF(R468&lt;'PlayerGrades+'!$AH$5,"A",IF(R468&lt;'PlayerGrades+'!$AH$4,"A+",IF(R468&lt;'PlayerGrades+'!$AH$3,"S-",IF(R468&lt;'PlayerGrades+'!$AH$2,"S","S+"))))))))))))))))))))</f>
        <v>F+</v>
      </c>
      <c r="T468" s="937">
        <f t="shared" si="9"/>
        <v>0.4090909091</v>
      </c>
      <c r="U468" s="937" t="str">
        <f>IF(T468&lt;'PlayerGrades+'!$AI$21,"F-",IF(T468&lt;'PlayerGrades+'!$AI$20,"F",IF(T468&lt;'PlayerGrades+'!$AI$19,"F+",IF(T468&lt;'PlayerGrades+'!$AI$18,"E-",IF(T468&lt;'PlayerGrades+'!$AI$17,"E",IF(T468&lt;'PlayerGrades+'!$AI$16,"E+",IF(T468&lt;'PlayerGrades+'!$AI$15,"D-",IF(T468&lt;'PlayerGrades+'!$AI$14,"D",IF(T468&lt;'PlayerGrades+'!$AI$13,"D+",IF(T468&lt;'PlayerGrades+'!$AI$12,"C-",IF(T468&lt;'PlayerGrades+'!$AI$11,"C",IF(T468&lt;'PlayerGrades+'!$AI$10,"C+",IF(T468&lt;'PlayerGrades+'!$AI$9,"B-",IF(T468&lt;'PlayerGrades+'!$AI$8,"B",IF(T468&lt;'PlayerGrades+'!$AI$7,"B+",IF(T468&lt;'PlayerGrades+'!$AI$6,"A-",IF(T468&lt;'PlayerGrades+'!$AI$5,"A",IF(T468&lt;'PlayerGrades+'!$AI$4,"A+",IF(T468&lt;'PlayerGrades+'!$AI$3,"S-",IF(T468&lt;'PlayerGrades+'!$AI$2,"S","S+"))))))))))))))))))))</f>
        <v>F-</v>
      </c>
      <c r="V468" s="941">
        <v>1.0</v>
      </c>
      <c r="W468" s="941">
        <v>1.0</v>
      </c>
      <c r="X468" s="941">
        <v>0.0</v>
      </c>
      <c r="Y468" s="941">
        <v>0.0</v>
      </c>
      <c r="Z468" s="941">
        <v>0.0</v>
      </c>
      <c r="AA468" s="941">
        <v>60.0</v>
      </c>
      <c r="AB468" s="941">
        <v>67.0</v>
      </c>
      <c r="AC468" s="941">
        <v>-7.0</v>
      </c>
      <c r="AD468" s="941">
        <v>2.0</v>
      </c>
      <c r="AE468" s="941">
        <v>3.0</v>
      </c>
      <c r="AF468" s="941">
        <v>1.0</v>
      </c>
      <c r="AG468" s="941">
        <v>1003.0</v>
      </c>
      <c r="AH468" s="941">
        <v>1320.0</v>
      </c>
      <c r="AI468" s="941">
        <v>14.0</v>
      </c>
      <c r="AJ468" s="941">
        <v>4.0</v>
      </c>
      <c r="AK468" s="941">
        <v>0.0</v>
      </c>
      <c r="AL468" s="941">
        <v>0.0</v>
      </c>
      <c r="AM468" s="941">
        <v>0.0</v>
      </c>
      <c r="AN468" s="941">
        <v>0.0</v>
      </c>
      <c r="AO468" s="941">
        <v>0.0</v>
      </c>
      <c r="AP468" s="941">
        <v>0.0</v>
      </c>
      <c r="AQ468" s="941">
        <v>0.0</v>
      </c>
      <c r="AR468" s="941">
        <v>5.0</v>
      </c>
      <c r="AS468" s="941">
        <v>0.0</v>
      </c>
      <c r="AT468" s="941">
        <v>0.0</v>
      </c>
      <c r="AU468" s="941">
        <v>0.0</v>
      </c>
      <c r="AV468" s="941">
        <v>0.0</v>
      </c>
      <c r="AW468" s="941">
        <v>0.0</v>
      </c>
      <c r="AX468" s="941">
        <v>0.0</v>
      </c>
      <c r="AY468" s="941">
        <v>0.0</v>
      </c>
      <c r="AZ468" s="941">
        <v>0.0</v>
      </c>
      <c r="BA468" s="941">
        <v>0.0</v>
      </c>
      <c r="BB468" s="941">
        <v>2.0</v>
      </c>
      <c r="BC468" s="941">
        <v>0.0</v>
      </c>
      <c r="BD468" s="941">
        <v>7.0</v>
      </c>
      <c r="BE468" s="941">
        <v>9.0</v>
      </c>
      <c r="BF468" s="941">
        <v>0.0</v>
      </c>
      <c r="BG468" s="942">
        <v>1.0</v>
      </c>
    </row>
    <row r="469">
      <c r="A469" s="965" t="s">
        <v>120</v>
      </c>
      <c r="B469" s="16" t="str">
        <f>IF(C469&lt;'PlayerGrades+'!$Y$44,"F-",IF(C469&lt;'PlayerGrades+'!$Y$43,"F",IF(C469&lt;'PlayerGrades+'!$Y$42,"F+",IF(C469&lt;'PlayerGrades+'!$Y$41,"E-",IF(C469&lt;'PlayerGrades+'!$Y$40,"E",IF(C469&lt;'PlayerGrades+'!$Y$39,"E+",IF(C469&lt;'PlayerGrades+'!$Y$38,"D-",IF(C469&lt;'PlayerGrades+'!$Y$37,"D",IF(C469&lt;'PlayerGrades+'!$Y$36,"D+",IF(C469&lt;'PlayerGrades+'!$Y$35,"C-",IF(C469&lt;'PlayerGrades+'!$Y$34,"C",IF(C469&lt;'PlayerGrades+'!$Y$33,"C+",IF(C469&lt;'PlayerGrades+'!$Y$32,"B-",IF(C469&lt;'PlayerGrades+'!$Y$31,"B",IF(C469&lt;'PlayerGrades+'!$Y$30,"B+",IF(C469&lt;'PlayerGrades+'!$Y$29,"A-",IF(C469&lt;'PlayerGrades+'!$Y$28,"A",IF(C469&lt;'PlayerGrades+'!$Y$27,"A+",IF(C469&lt;'PlayerGrades+'!$Y$26,"S-",IF(C469&lt;'PlayerGrades+'!$Y$25,"S","S+"))))))))))))))))))))</f>
        <v>A</v>
      </c>
      <c r="C469" s="936">
        <f>('PlayerGrades+'!$Y$47*(VLOOKUP(E469, 'PlayerGrades+'!$X$3:$Y$23, 2, FALSE)))+('PlayerGrades+'!$Y$48*(VLOOKUP(G469, 'PlayerGrades+'!$X$3:$Y$23, 2, FALSE)))+('PlayerGrades+'!$Y$49*(VLOOKUP(I469, 'PlayerGrades+'!$X$3:$Y$23, 2, FALSE)))+('PlayerGrades+'!$Y$50*(VLOOKUP(K469, 'PlayerGrades+'!$X$3:$Y$23, 2, FALSE)))+('PlayerGrades+'!$Y$51*(VLOOKUP(M469, 'PlayerGrades+'!$X$3:$Y$23, 2, FALSE)))+('PlayerGrades+'!$Y$52*(VLOOKUP(O469, 'PlayerGrades+'!$X$3:$Y$23, 2, FALSE)))+('PlayerGrades+'!$Y$53*(VLOOKUP(Q469, 'PlayerGrades+'!$X$3:$Y$23, 2, FALSE)))+('PlayerGrades+'!$Y$54*(VLOOKUP(S469, 'PlayerGrades+'!$X$3:$Y$23, 2, FALSE)))+('PlayerGrades+'!$Y$55*(VLOOKUP(U469, 'PlayerGrades+'!$X$3:$Y$23, 2, FALSE)))</f>
        <v>27.15</v>
      </c>
      <c r="D469" s="937">
        <f t="shared" si="1"/>
        <v>0</v>
      </c>
      <c r="E469" s="937" t="str">
        <f>IF(D469&lt;'PlayerGrades+'!$AA$21,"F-",IF(D469&lt;'PlayerGrades+'!$AA$20,"F",IF(D469&lt;'PlayerGrades+'!$AA$19,"F+",IF(D469&lt;'PlayerGrades+'!$AA$18,"E-",IF(D469&lt;'PlayerGrades+'!$AA$17,"E",IF(D469&lt;'PlayerGrades+'!$AA$16,"E+",IF(D469&lt;'PlayerGrades+'!$AA$15,"D-",IF(D469&lt;'PlayerGrades+'!$AA$14,"D",IF(D469&lt;'PlayerGrades+'!$AA$13,"D+",IF(D469&lt;'PlayerGrades+'!$AA$12,"C-",IF(D469&lt;'PlayerGrades+'!$AA$11,"C",IF(D469&lt;'PlayerGrades+'!$AA$10,"C+",IF(D469&lt;'PlayerGrades+'!$AA$9,"B-",IF(D469&lt;'PlayerGrades+'!$AA$8,"B",IF(D469&lt;'PlayerGrades+'!$AA$7,"B+",IF(D469&lt;'PlayerGrades+'!$AA$6,"A-",IF(D469&lt;'PlayerGrades+'!$AA$5,"A",IF(D469&lt;'PlayerGrades+'!$AA$4,"A+",IF(D469&lt;'PlayerGrades+'!$AA$3,"S-",IF(D469&lt;'PlayerGrades+'!$AA$2,"S","S+"))))))))))))))))))))</f>
        <v>F-</v>
      </c>
      <c r="F469" s="937">
        <f t="shared" si="2"/>
        <v>0.2272727273</v>
      </c>
      <c r="G469" s="937" t="str">
        <f>IF(F469&lt;'PlayerGrades+'!$AB$21,"F-",IF(F469&lt;'PlayerGrades+'!$AB$20,"F",IF(F469&lt;'PlayerGrades+'!$AB$19,"F+",IF(F469&lt;'PlayerGrades+'!$AB$18,"E-",IF(F469&lt;'PlayerGrades+'!$AB$17,"E",IF(F469&lt;'PlayerGrades+'!$AB$16,"E+",IF(F469&lt;'PlayerGrades+'!$AB$15,"D-",IF(F469&lt;'PlayerGrades+'!$AB$14,"D",IF(F469&lt;'PlayerGrades+'!$AB$13,"D+",IF(F469&lt;'PlayerGrades+'!$AB$12,"C-",IF(F469&lt;'PlayerGrades+'!$AB$11,"C",IF(F469&lt;'PlayerGrades+'!$AB$10,"C+",IF(F469&lt;'PlayerGrades+'!$AB$9,"B-",IF(F469&lt;'PlayerGrades+'!$AB$8,"B",IF(F469&lt;'PlayerGrades+'!$AB$7,"B+",IF(F469&lt;'PlayerGrades+'!$AB$6,"A-",IF(F469&lt;'PlayerGrades+'!$AB$5,"A",IF(F469&lt;'PlayerGrades+'!$AB$4,"A+",IF(F469&lt;'PlayerGrades+'!$AB$3,"S-",IF(F469&lt;'PlayerGrades+'!$AB$2,"S","S+"))))))))))))))))))))</f>
        <v>B+</v>
      </c>
      <c r="H469" s="937">
        <f t="shared" si="3"/>
        <v>0.04545454545</v>
      </c>
      <c r="I469" s="937" t="str">
        <f>IF(H469&lt;'PlayerGrades+'!$AC$21,"F-",IF(H469&lt;'PlayerGrades+'!$AC$20,"F",IF(H469&lt;'PlayerGrades+'!$AC$19,"F+",IF(H469&lt;'PlayerGrades+'!$AC$18,"E-",IF(H469&lt;'PlayerGrades+'!$AC$17,"E",IF(H469&lt;'PlayerGrades+'!$AC$16,"E+",IF(H469&lt;'PlayerGrades+'!$AC$15,"D-",IF(H469&lt;'PlayerGrades+'!$AC$14,"D",IF(H469&lt;'PlayerGrades+'!$AC$13,"D+",IF(H469&lt;'PlayerGrades+'!$AC$12,"C-",IF(H469&lt;'PlayerGrades+'!$AC$11,"C",IF(H469&lt;'PlayerGrades+'!$AC$10,"C+",IF(H469&lt;'PlayerGrades+'!$AC$9,"B-",IF(H469&lt;'PlayerGrades+'!$AC$8,"B",IF(H469&lt;'PlayerGrades+'!$AC$7,"B+",IF(H469&lt;'PlayerGrades+'!$AC$6,"A-",IF(H469&lt;'PlayerGrades+'!$AC$5,"A",IF(H469&lt;'PlayerGrades+'!$AC$4,"A+",IF(H469&lt;'PlayerGrades+'!$AC$3,"S-",IF(H469&lt;'PlayerGrades+'!$AC$2,"S","S+"))))))))))))))))))))</f>
        <v>F</v>
      </c>
      <c r="J469" s="937">
        <f t="shared" si="4"/>
        <v>0.1363636364</v>
      </c>
      <c r="K469" s="937" t="str">
        <f>IF(J469&lt;'PlayerGrades+'!$AD$21,"F-",IF(J469&lt;'PlayerGrades+'!$AD$20,"F",IF(J469&lt;'PlayerGrades+'!$AD$19,"F+",IF(J469&lt;'PlayerGrades+'!$AD$18,"E-",IF(J469&lt;'PlayerGrades+'!$AD$17,"E",IF(J469&lt;'PlayerGrades+'!$AD$16,"E+",IF(J469&lt;'PlayerGrades+'!$AD$15,"D-",IF(J469&lt;'PlayerGrades+'!$AD$14,"D",IF(J469&lt;'PlayerGrades+'!$AD$13,"D+",IF(J469&lt;'PlayerGrades+'!$AD$12,"C-",IF(J469&lt;'PlayerGrades+'!$AD$11,"C",IF(J469&lt;'PlayerGrades+'!$AD$10,"C+",IF(J469&lt;'PlayerGrades+'!$AD$9,"B-",IF(J469&lt;'PlayerGrades+'!$AD$8,"B",IF(J469&lt;'PlayerGrades+'!$AD$7,"B+",IF(J469&lt;'PlayerGrades+'!$AD$6,"A-",IF(J469&lt;'PlayerGrades+'!$AD$5,"A",IF(J469&lt;'PlayerGrades+'!$AD$4,"A+",IF(J469&lt;'PlayerGrades+'!$AD$3,"S-",IF(J469&lt;'PlayerGrades+'!$AD$2,"S","S+"))))))))))))))))))))</f>
        <v>S+</v>
      </c>
      <c r="L469" s="677">
        <f t="shared" si="5"/>
        <v>0.6363636364</v>
      </c>
      <c r="M469" s="938" t="str">
        <f>IF(L469&lt;'PlayerGrades+'!$AE$21,"F-",IF(L469&lt;'PlayerGrades+'!$AE$20,"F",IF(L469&lt;'PlayerGrades+'!$AE$19,"F+",IF(L469&lt;'PlayerGrades+'!$AE$18,"E-",IF(L469&lt;'PlayerGrades+'!$AE$17,"E",IF(L469&lt;'PlayerGrades+'!$AE$16,"E+",IF(L469&lt;'PlayerGrades+'!$AE$15,"D-",IF(L469&lt;'PlayerGrades+'!$AE$14,"D",IF(L469&lt;'PlayerGrades+'!$AE$13,"D+",IF(L469&lt;'PlayerGrades+'!$AE$12,"C-",IF(L469&lt;'PlayerGrades+'!$AE$11,"C",IF(L469&lt;'PlayerGrades+'!$AE$10,"C+",IF(L469&lt;'PlayerGrades+'!$AE$9,"B-",IF(L469&lt;'PlayerGrades+'!$AE$8,"B",IF(L469&lt;'PlayerGrades+'!$AE$7,"B+",IF(L469&lt;'PlayerGrades+'!$AE$6,"A-",IF(L469&lt;'PlayerGrades+'!$AE$5,"A",IF(L469&lt;'PlayerGrades+'!$AE$4,"A+",IF(L469&lt;'PlayerGrades+'!$AE$3,"S-",IF(L469&lt;'PlayerGrades+'!$AE$2,"S","S+"))))))))))))))))))))</f>
        <v>S-</v>
      </c>
      <c r="N469" s="937">
        <f t="shared" si="6"/>
        <v>0.1363636364</v>
      </c>
      <c r="O469" s="937" t="str">
        <f>IF(N469&lt;'PlayerGrades+'!$AF$21,"F-",IF(N469&lt;'PlayerGrades+'!$AF$20,"F",IF(N469&lt;'PlayerGrades+'!$AF$19,"F+",IF(N469&lt;'PlayerGrades+'!$AF$18,"E-",IF(N469&lt;'PlayerGrades+'!$AF$17,"E",IF(N469&lt;'PlayerGrades+'!$AF$16,"E+",IF(N469&lt;'PlayerGrades+'!$AF$15,"D-",IF(N469&lt;'PlayerGrades+'!$AF$14,"D",IF(N469&lt;'PlayerGrades+'!$AF$13,"D+",IF(N469&lt;'PlayerGrades+'!$AF$12,"C-",IF(N469&lt;'PlayerGrades+'!$AF$11,"C",IF(N469&lt;'PlayerGrades+'!$AF$10,"C+",IF(N469&lt;'PlayerGrades+'!$AF$9,"B-",IF(N469&lt;'PlayerGrades+'!$AF$8,"B",IF(N469&lt;'PlayerGrades+'!$AF$7,"B+",IF(N469&lt;'PlayerGrades+'!$AF$6,"A-",IF(N469&lt;'PlayerGrades+'!$AF$5,"A",IF(N469&lt;'PlayerGrades+'!$AF$4,"A+",IF(N469&lt;'PlayerGrades+'!$AF$3,"S-",IF(N469&lt;'PlayerGrades+'!$AF$2,"S","S+"))))))))))))))))))))</f>
        <v>S</v>
      </c>
      <c r="P469" s="937">
        <f t="shared" si="7"/>
        <v>0.09090909091</v>
      </c>
      <c r="Q469" s="937" t="str">
        <f>IF(P469&lt;'PlayerGrades+'!$AG$21,"F-",IF(P469&lt;'PlayerGrades+'!$AG$20,"F",IF(P469&lt;'PlayerGrades+'!$AG$19,"F+",IF(P469&lt;'PlayerGrades+'!$AG$18,"E-",IF(P469&lt;'PlayerGrades+'!$AG$17,"E",IF(P469&lt;'PlayerGrades+'!$AG$16,"E+",IF(P469&lt;'PlayerGrades+'!$AG$15,"D-",IF(P469&lt;'PlayerGrades+'!$AG$14,"D",IF(P469&lt;'PlayerGrades+'!$AG$13,"D+",IF(P469&lt;'PlayerGrades+'!$AG$12,"C-",IF(P469&lt;'PlayerGrades+'!$AG$11,"C",IF(P469&lt;'PlayerGrades+'!$AG$10,"C+",IF(P469&lt;'PlayerGrades+'!$AG$9,"B-",IF(P469&lt;'PlayerGrades+'!$AG$8,"B",IF(P469&lt;'PlayerGrades+'!$AG$7,"B+",IF(P469&lt;'PlayerGrades+'!$AG$6,"A-",IF(P469&lt;'PlayerGrades+'!$AG$5,"A",IF(P469&lt;'PlayerGrades+'!$AG$4,"A+",IF(P469&lt;'PlayerGrades+'!$AG$3,"S-",IF(P469&lt;'PlayerGrades+'!$AG$2,"S","S+"))))))))))))))))))))</f>
        <v>S+</v>
      </c>
      <c r="R469" s="937">
        <f t="shared" si="8"/>
        <v>0.7272727273</v>
      </c>
      <c r="S469" s="937" t="str">
        <f>IF(R469&lt;'PlayerGrades+'!$AH$21,"F-",IF(R469&lt;'PlayerGrades+'!$AH$20,"F",IF(R469&lt;'PlayerGrades+'!$AH$19,"F+",IF(R469&lt;'PlayerGrades+'!$AH$18,"E-",IF(R469&lt;'PlayerGrades+'!$AH$17,"E",IF(R469&lt;'PlayerGrades+'!$AH$16,"E+",IF(R469&lt;'PlayerGrades+'!$AH$15,"D-",IF(R469&lt;'PlayerGrades+'!$AH$14,"D",IF(R469&lt;'PlayerGrades+'!$AH$13,"D+",IF(R469&lt;'PlayerGrades+'!$AH$12,"C-",IF(R469&lt;'PlayerGrades+'!$AH$11,"C",IF(R469&lt;'PlayerGrades+'!$AH$10,"C+",IF(R469&lt;'PlayerGrades+'!$AH$9,"B-",IF(R469&lt;'PlayerGrades+'!$AH$8,"B",IF(R469&lt;'PlayerGrades+'!$AH$7,"B+",IF(R469&lt;'PlayerGrades+'!$AH$6,"A-",IF(R469&lt;'PlayerGrades+'!$AH$5,"A",IF(R469&lt;'PlayerGrades+'!$AH$4,"A+",IF(R469&lt;'PlayerGrades+'!$AH$3,"S-",IF(R469&lt;'PlayerGrades+'!$AH$2,"S","S+"))))))))))))))))))))</f>
        <v>S</v>
      </c>
      <c r="T469" s="937">
        <f t="shared" si="9"/>
        <v>2.545454545</v>
      </c>
      <c r="U469" s="937" t="str">
        <f>IF(T469&lt;'PlayerGrades+'!$AI$21,"F-",IF(T469&lt;'PlayerGrades+'!$AI$20,"F",IF(T469&lt;'PlayerGrades+'!$AI$19,"F+",IF(T469&lt;'PlayerGrades+'!$AI$18,"E-",IF(T469&lt;'PlayerGrades+'!$AI$17,"E",IF(T469&lt;'PlayerGrades+'!$AI$16,"E+",IF(T469&lt;'PlayerGrades+'!$AI$15,"D-",IF(T469&lt;'PlayerGrades+'!$AI$14,"D",IF(T469&lt;'PlayerGrades+'!$AI$13,"D+",IF(T469&lt;'PlayerGrades+'!$AI$12,"C-",IF(T469&lt;'PlayerGrades+'!$AI$11,"C",IF(T469&lt;'PlayerGrades+'!$AI$10,"C+",IF(T469&lt;'PlayerGrades+'!$AI$9,"B-",IF(T469&lt;'PlayerGrades+'!$AI$8,"B",IF(T469&lt;'PlayerGrades+'!$AI$7,"B+",IF(T469&lt;'PlayerGrades+'!$AI$6,"A-",IF(T469&lt;'PlayerGrades+'!$AI$5,"A",IF(T469&lt;'PlayerGrades+'!$AI$4,"A+",IF(T469&lt;'PlayerGrades+'!$AI$3,"S-",IF(T469&lt;'PlayerGrades+'!$AI$2,"S","S+"))))))))))))))))))))</f>
        <v>S+</v>
      </c>
      <c r="V469" s="941">
        <v>1.0</v>
      </c>
      <c r="W469" s="941">
        <v>1.0</v>
      </c>
      <c r="X469" s="941">
        <v>0.0</v>
      </c>
      <c r="Y469" s="941">
        <v>0.0</v>
      </c>
      <c r="Z469" s="941">
        <v>0.0</v>
      </c>
      <c r="AA469" s="941">
        <v>83.0</v>
      </c>
      <c r="AB469" s="941">
        <v>78.0</v>
      </c>
      <c r="AC469" s="941">
        <v>5.0</v>
      </c>
      <c r="AD469" s="941">
        <v>6.0</v>
      </c>
      <c r="AE469" s="941">
        <v>6.0</v>
      </c>
      <c r="AF469" s="941">
        <v>0.0</v>
      </c>
      <c r="AG469" s="941">
        <v>974.0</v>
      </c>
      <c r="AH469" s="941">
        <v>1320.0</v>
      </c>
      <c r="AI469" s="941">
        <v>12.0</v>
      </c>
      <c r="AJ469" s="941">
        <v>3.0</v>
      </c>
      <c r="AK469" s="941">
        <v>0.0</v>
      </c>
      <c r="AL469" s="941">
        <v>3.0</v>
      </c>
      <c r="AM469" s="941">
        <v>0.0</v>
      </c>
      <c r="AN469" s="941">
        <v>0.0</v>
      </c>
      <c r="AO469" s="941">
        <v>0.0</v>
      </c>
      <c r="AP469" s="941">
        <v>2.0</v>
      </c>
      <c r="AQ469" s="941">
        <v>0.0</v>
      </c>
      <c r="AR469" s="941">
        <v>14.0</v>
      </c>
      <c r="AS469" s="941">
        <v>3.0</v>
      </c>
      <c r="AT469" s="941">
        <v>0.0</v>
      </c>
      <c r="AU469" s="941">
        <v>0.0</v>
      </c>
      <c r="AV469" s="941">
        <v>0.0</v>
      </c>
      <c r="AW469" s="941">
        <v>0.0</v>
      </c>
      <c r="AX469" s="941">
        <v>0.0</v>
      </c>
      <c r="AY469" s="941">
        <v>0.0</v>
      </c>
      <c r="AZ469" s="941">
        <v>0.0</v>
      </c>
      <c r="BA469" s="941">
        <v>0.0</v>
      </c>
      <c r="BB469" s="941">
        <v>1.0</v>
      </c>
      <c r="BC469" s="941">
        <v>0.0</v>
      </c>
      <c r="BD469" s="941">
        <v>10.0</v>
      </c>
      <c r="BE469" s="941">
        <v>12.0</v>
      </c>
      <c r="BF469" s="941">
        <v>2.0</v>
      </c>
      <c r="BG469" s="942">
        <v>1.0</v>
      </c>
    </row>
    <row r="470">
      <c r="A470" s="965" t="s">
        <v>129</v>
      </c>
      <c r="B470" s="16" t="str">
        <f>IF(C470&lt;'PlayerGrades+'!$Y$44,"F-",IF(C470&lt;'PlayerGrades+'!$Y$43,"F",IF(C470&lt;'PlayerGrades+'!$Y$42,"F+",IF(C470&lt;'PlayerGrades+'!$Y$41,"E-",IF(C470&lt;'PlayerGrades+'!$Y$40,"E",IF(C470&lt;'PlayerGrades+'!$Y$39,"E+",IF(C470&lt;'PlayerGrades+'!$Y$38,"D-",IF(C470&lt;'PlayerGrades+'!$Y$37,"D",IF(C470&lt;'PlayerGrades+'!$Y$36,"D+",IF(C470&lt;'PlayerGrades+'!$Y$35,"C-",IF(C470&lt;'PlayerGrades+'!$Y$34,"C",IF(C470&lt;'PlayerGrades+'!$Y$33,"C+",IF(C470&lt;'PlayerGrades+'!$Y$32,"B-",IF(C470&lt;'PlayerGrades+'!$Y$31,"B",IF(C470&lt;'PlayerGrades+'!$Y$30,"B+",IF(C470&lt;'PlayerGrades+'!$Y$29,"A-",IF(C470&lt;'PlayerGrades+'!$Y$28,"A",IF(C470&lt;'PlayerGrades+'!$Y$27,"A+",IF(C470&lt;'PlayerGrades+'!$Y$26,"S-",IF(C470&lt;'PlayerGrades+'!$Y$25,"S","S+"))))))))))))))))))))</f>
        <v>S</v>
      </c>
      <c r="C470" s="936">
        <f>('PlayerGrades+'!$Y$47*(VLOOKUP(E470, 'PlayerGrades+'!$X$3:$Y$23, 2, FALSE)))+('PlayerGrades+'!$Y$48*(VLOOKUP(G470, 'PlayerGrades+'!$X$3:$Y$23, 2, FALSE)))+('PlayerGrades+'!$Y$49*(VLOOKUP(I470, 'PlayerGrades+'!$X$3:$Y$23, 2, FALSE)))+('PlayerGrades+'!$Y$50*(VLOOKUP(K470, 'PlayerGrades+'!$X$3:$Y$23, 2, FALSE)))+('PlayerGrades+'!$Y$51*(VLOOKUP(M470, 'PlayerGrades+'!$X$3:$Y$23, 2, FALSE)))+('PlayerGrades+'!$Y$52*(VLOOKUP(O470, 'PlayerGrades+'!$X$3:$Y$23, 2, FALSE)))+('PlayerGrades+'!$Y$53*(VLOOKUP(Q470, 'PlayerGrades+'!$X$3:$Y$23, 2, FALSE)))+('PlayerGrades+'!$Y$54*(VLOOKUP(S470, 'PlayerGrades+'!$X$3:$Y$23, 2, FALSE)))+('PlayerGrades+'!$Y$55*(VLOOKUP(U470, 'PlayerGrades+'!$X$3:$Y$23, 2, FALSE)))</f>
        <v>32.9</v>
      </c>
      <c r="D470" s="937">
        <f t="shared" si="1"/>
        <v>0.04545454545</v>
      </c>
      <c r="E470" s="937" t="str">
        <f>IF(D470&lt;'PlayerGrades+'!$AA$21,"F-",IF(D470&lt;'PlayerGrades+'!$AA$20,"F",IF(D470&lt;'PlayerGrades+'!$AA$19,"F+",IF(D470&lt;'PlayerGrades+'!$AA$18,"E-",IF(D470&lt;'PlayerGrades+'!$AA$17,"E",IF(D470&lt;'PlayerGrades+'!$AA$16,"E+",IF(D470&lt;'PlayerGrades+'!$AA$15,"D-",IF(D470&lt;'PlayerGrades+'!$AA$14,"D",IF(D470&lt;'PlayerGrades+'!$AA$13,"D+",IF(D470&lt;'PlayerGrades+'!$AA$12,"C-",IF(D470&lt;'PlayerGrades+'!$AA$11,"C",IF(D470&lt;'PlayerGrades+'!$AA$10,"C+",IF(D470&lt;'PlayerGrades+'!$AA$9,"B-",IF(D470&lt;'PlayerGrades+'!$AA$8,"B",IF(D470&lt;'PlayerGrades+'!$AA$7,"B+",IF(D470&lt;'PlayerGrades+'!$AA$6,"A-",IF(D470&lt;'PlayerGrades+'!$AA$5,"A",IF(D470&lt;'PlayerGrades+'!$AA$4,"A+",IF(D470&lt;'PlayerGrades+'!$AA$3,"S-",IF(D470&lt;'PlayerGrades+'!$AA$2,"S","S+"))))))))))))))))))))</f>
        <v>C+</v>
      </c>
      <c r="F470" s="937">
        <f t="shared" si="2"/>
        <v>0.5909090909</v>
      </c>
      <c r="G470" s="937" t="str">
        <f>IF(F470&lt;'PlayerGrades+'!$AB$21,"F-",IF(F470&lt;'PlayerGrades+'!$AB$20,"F",IF(F470&lt;'PlayerGrades+'!$AB$19,"F+",IF(F470&lt;'PlayerGrades+'!$AB$18,"E-",IF(F470&lt;'PlayerGrades+'!$AB$17,"E",IF(F470&lt;'PlayerGrades+'!$AB$16,"E+",IF(F470&lt;'PlayerGrades+'!$AB$15,"D-",IF(F470&lt;'PlayerGrades+'!$AB$14,"D",IF(F470&lt;'PlayerGrades+'!$AB$13,"D+",IF(F470&lt;'PlayerGrades+'!$AB$12,"C-",IF(F470&lt;'PlayerGrades+'!$AB$11,"C",IF(F470&lt;'PlayerGrades+'!$AB$10,"C+",IF(F470&lt;'PlayerGrades+'!$AB$9,"B-",IF(F470&lt;'PlayerGrades+'!$AB$8,"B",IF(F470&lt;'PlayerGrades+'!$AB$7,"B+",IF(F470&lt;'PlayerGrades+'!$AB$6,"A-",IF(F470&lt;'PlayerGrades+'!$AB$5,"A",IF(F470&lt;'PlayerGrades+'!$AB$4,"A+",IF(F470&lt;'PlayerGrades+'!$AB$3,"S-",IF(F470&lt;'PlayerGrades+'!$AB$2,"S","S+"))))))))))))))))))))</f>
        <v>S-</v>
      </c>
      <c r="H470" s="937">
        <f t="shared" si="3"/>
        <v>0.5454545455</v>
      </c>
      <c r="I470" s="937" t="str">
        <f>IF(H470&lt;'PlayerGrades+'!$AC$21,"F-",IF(H470&lt;'PlayerGrades+'!$AC$20,"F",IF(H470&lt;'PlayerGrades+'!$AC$19,"F+",IF(H470&lt;'PlayerGrades+'!$AC$18,"E-",IF(H470&lt;'PlayerGrades+'!$AC$17,"E",IF(H470&lt;'PlayerGrades+'!$AC$16,"E+",IF(H470&lt;'PlayerGrades+'!$AC$15,"D-",IF(H470&lt;'PlayerGrades+'!$AC$14,"D",IF(H470&lt;'PlayerGrades+'!$AC$13,"D+",IF(H470&lt;'PlayerGrades+'!$AC$12,"C-",IF(H470&lt;'PlayerGrades+'!$AC$11,"C",IF(H470&lt;'PlayerGrades+'!$AC$10,"C+",IF(H470&lt;'PlayerGrades+'!$AC$9,"B-",IF(H470&lt;'PlayerGrades+'!$AC$8,"B",IF(H470&lt;'PlayerGrades+'!$AC$7,"B+",IF(H470&lt;'PlayerGrades+'!$AC$6,"A-",IF(H470&lt;'PlayerGrades+'!$AC$5,"A",IF(H470&lt;'PlayerGrades+'!$AC$4,"A+",IF(H470&lt;'PlayerGrades+'!$AC$3,"S-",IF(H470&lt;'PlayerGrades+'!$AC$2,"S","S+"))))))))))))))))))))</f>
        <v>S+</v>
      </c>
      <c r="J470" s="937">
        <f t="shared" si="4"/>
        <v>0.09090909091</v>
      </c>
      <c r="K470" s="937" t="str">
        <f>IF(J470&lt;'PlayerGrades+'!$AD$21,"F-",IF(J470&lt;'PlayerGrades+'!$AD$20,"F",IF(J470&lt;'PlayerGrades+'!$AD$19,"F+",IF(J470&lt;'PlayerGrades+'!$AD$18,"E-",IF(J470&lt;'PlayerGrades+'!$AD$17,"E",IF(J470&lt;'PlayerGrades+'!$AD$16,"E+",IF(J470&lt;'PlayerGrades+'!$AD$15,"D-",IF(J470&lt;'PlayerGrades+'!$AD$14,"D",IF(J470&lt;'PlayerGrades+'!$AD$13,"D+",IF(J470&lt;'PlayerGrades+'!$AD$12,"C-",IF(J470&lt;'PlayerGrades+'!$AD$11,"C",IF(J470&lt;'PlayerGrades+'!$AD$10,"C+",IF(J470&lt;'PlayerGrades+'!$AD$9,"B-",IF(J470&lt;'PlayerGrades+'!$AD$8,"B",IF(J470&lt;'PlayerGrades+'!$AD$7,"B+",IF(J470&lt;'PlayerGrades+'!$AD$6,"A-",IF(J470&lt;'PlayerGrades+'!$AD$5,"A",IF(J470&lt;'PlayerGrades+'!$AD$4,"A+",IF(J470&lt;'PlayerGrades+'!$AD$3,"S-",IF(J470&lt;'PlayerGrades+'!$AD$2,"S","S+"))))))))))))))))))))</f>
        <v>S-</v>
      </c>
      <c r="L470" s="677">
        <f t="shared" si="5"/>
        <v>0.7727272727</v>
      </c>
      <c r="M470" s="938" t="str">
        <f>IF(L470&lt;'PlayerGrades+'!$AE$21,"F-",IF(L470&lt;'PlayerGrades+'!$AE$20,"F",IF(L470&lt;'PlayerGrades+'!$AE$19,"F+",IF(L470&lt;'PlayerGrades+'!$AE$18,"E-",IF(L470&lt;'PlayerGrades+'!$AE$17,"E",IF(L470&lt;'PlayerGrades+'!$AE$16,"E+",IF(L470&lt;'PlayerGrades+'!$AE$15,"D-",IF(L470&lt;'PlayerGrades+'!$AE$14,"D",IF(L470&lt;'PlayerGrades+'!$AE$13,"D+",IF(L470&lt;'PlayerGrades+'!$AE$12,"C-",IF(L470&lt;'PlayerGrades+'!$AE$11,"C",IF(L470&lt;'PlayerGrades+'!$AE$10,"C+",IF(L470&lt;'PlayerGrades+'!$AE$9,"B-",IF(L470&lt;'PlayerGrades+'!$AE$8,"B",IF(L470&lt;'PlayerGrades+'!$AE$7,"B+",IF(L470&lt;'PlayerGrades+'!$AE$6,"A-",IF(L470&lt;'PlayerGrades+'!$AE$5,"A",IF(L470&lt;'PlayerGrades+'!$AE$4,"A+",IF(L470&lt;'PlayerGrades+'!$AE$3,"S-",IF(L470&lt;'PlayerGrades+'!$AE$2,"S","S+"))))))))))))))))))))</f>
        <v>S+</v>
      </c>
      <c r="N470" s="937">
        <f t="shared" si="6"/>
        <v>0.1818181818</v>
      </c>
      <c r="O470" s="937" t="str">
        <f>IF(N470&lt;'PlayerGrades+'!$AF$21,"F-",IF(N470&lt;'PlayerGrades+'!$AF$20,"F",IF(N470&lt;'PlayerGrades+'!$AF$19,"F+",IF(N470&lt;'PlayerGrades+'!$AF$18,"E-",IF(N470&lt;'PlayerGrades+'!$AF$17,"E",IF(N470&lt;'PlayerGrades+'!$AF$16,"E+",IF(N470&lt;'PlayerGrades+'!$AF$15,"D-",IF(N470&lt;'PlayerGrades+'!$AF$14,"D",IF(N470&lt;'PlayerGrades+'!$AF$13,"D+",IF(N470&lt;'PlayerGrades+'!$AF$12,"C-",IF(N470&lt;'PlayerGrades+'!$AF$11,"C",IF(N470&lt;'PlayerGrades+'!$AF$10,"C+",IF(N470&lt;'PlayerGrades+'!$AF$9,"B-",IF(N470&lt;'PlayerGrades+'!$AF$8,"B",IF(N470&lt;'PlayerGrades+'!$AF$7,"B+",IF(N470&lt;'PlayerGrades+'!$AF$6,"A-",IF(N470&lt;'PlayerGrades+'!$AF$5,"A",IF(N470&lt;'PlayerGrades+'!$AF$4,"A+",IF(N470&lt;'PlayerGrades+'!$AF$3,"S-",IF(N470&lt;'PlayerGrades+'!$AF$2,"S","S+"))))))))))))))))))))</f>
        <v>S+</v>
      </c>
      <c r="P470" s="937">
        <f t="shared" si="7"/>
        <v>0.09090909091</v>
      </c>
      <c r="Q470" s="937" t="str">
        <f>IF(P470&lt;'PlayerGrades+'!$AG$21,"F-",IF(P470&lt;'PlayerGrades+'!$AG$20,"F",IF(P470&lt;'PlayerGrades+'!$AG$19,"F+",IF(P470&lt;'PlayerGrades+'!$AG$18,"E-",IF(P470&lt;'PlayerGrades+'!$AG$17,"E",IF(P470&lt;'PlayerGrades+'!$AG$16,"E+",IF(P470&lt;'PlayerGrades+'!$AG$15,"D-",IF(P470&lt;'PlayerGrades+'!$AG$14,"D",IF(P470&lt;'PlayerGrades+'!$AG$13,"D+",IF(P470&lt;'PlayerGrades+'!$AG$12,"C-",IF(P470&lt;'PlayerGrades+'!$AG$11,"C",IF(P470&lt;'PlayerGrades+'!$AG$10,"C+",IF(P470&lt;'PlayerGrades+'!$AG$9,"B-",IF(P470&lt;'PlayerGrades+'!$AG$8,"B",IF(P470&lt;'PlayerGrades+'!$AG$7,"B+",IF(P470&lt;'PlayerGrades+'!$AG$6,"A-",IF(P470&lt;'PlayerGrades+'!$AG$5,"A",IF(P470&lt;'PlayerGrades+'!$AG$4,"A+",IF(P470&lt;'PlayerGrades+'!$AG$3,"S-",IF(P470&lt;'PlayerGrades+'!$AG$2,"S","S+"))))))))))))))))))))</f>
        <v>S+</v>
      </c>
      <c r="R470" s="937">
        <f t="shared" si="8"/>
        <v>0.6363636364</v>
      </c>
      <c r="S470" s="937" t="str">
        <f>IF(R470&lt;'PlayerGrades+'!$AH$21,"F-",IF(R470&lt;'PlayerGrades+'!$AH$20,"F",IF(R470&lt;'PlayerGrades+'!$AH$19,"F+",IF(R470&lt;'PlayerGrades+'!$AH$18,"E-",IF(R470&lt;'PlayerGrades+'!$AH$17,"E",IF(R470&lt;'PlayerGrades+'!$AH$16,"E+",IF(R470&lt;'PlayerGrades+'!$AH$15,"D-",IF(R470&lt;'PlayerGrades+'!$AH$14,"D",IF(R470&lt;'PlayerGrades+'!$AH$13,"D+",IF(R470&lt;'PlayerGrades+'!$AH$12,"C-",IF(R470&lt;'PlayerGrades+'!$AH$11,"C",IF(R470&lt;'PlayerGrades+'!$AH$10,"C+",IF(R470&lt;'PlayerGrades+'!$AH$9,"B-",IF(R470&lt;'PlayerGrades+'!$AH$8,"B",IF(R470&lt;'PlayerGrades+'!$AH$7,"B+",IF(R470&lt;'PlayerGrades+'!$AH$6,"A-",IF(R470&lt;'PlayerGrades+'!$AH$5,"A",IF(R470&lt;'PlayerGrades+'!$AH$4,"A+",IF(R470&lt;'PlayerGrades+'!$AH$3,"S-",IF(R470&lt;'PlayerGrades+'!$AH$2,"S","S+"))))))))))))))))))))</f>
        <v>A</v>
      </c>
      <c r="T470" s="937">
        <f t="shared" si="9"/>
        <v>1.272727273</v>
      </c>
      <c r="U470" s="937" t="str">
        <f>IF(T470&lt;'PlayerGrades+'!$AI$21,"F-",IF(T470&lt;'PlayerGrades+'!$AI$20,"F",IF(T470&lt;'PlayerGrades+'!$AI$19,"F+",IF(T470&lt;'PlayerGrades+'!$AI$18,"E-",IF(T470&lt;'PlayerGrades+'!$AI$17,"E",IF(T470&lt;'PlayerGrades+'!$AI$16,"E+",IF(T470&lt;'PlayerGrades+'!$AI$15,"D-",IF(T470&lt;'PlayerGrades+'!$AI$14,"D",IF(T470&lt;'PlayerGrades+'!$AI$13,"D+",IF(T470&lt;'PlayerGrades+'!$AI$12,"C-",IF(T470&lt;'PlayerGrades+'!$AI$11,"C",IF(T470&lt;'PlayerGrades+'!$AI$10,"C+",IF(T470&lt;'PlayerGrades+'!$AI$9,"B-",IF(T470&lt;'PlayerGrades+'!$AI$8,"B",IF(T470&lt;'PlayerGrades+'!$AI$7,"B+",IF(T470&lt;'PlayerGrades+'!$AI$6,"A-",IF(T470&lt;'PlayerGrades+'!$AI$5,"A",IF(T470&lt;'PlayerGrades+'!$AI$4,"A+",IF(T470&lt;'PlayerGrades+'!$AI$3,"S-",IF(T470&lt;'PlayerGrades+'!$AI$2,"S","S+"))))))))))))))))))))</f>
        <v>C</v>
      </c>
      <c r="V470" s="941">
        <v>1.0</v>
      </c>
      <c r="W470" s="941">
        <v>0.0</v>
      </c>
      <c r="X470" s="941">
        <v>1.0</v>
      </c>
      <c r="Y470" s="941">
        <v>1.0</v>
      </c>
      <c r="Z470" s="941">
        <v>0.0</v>
      </c>
      <c r="AA470" s="941">
        <v>84.0</v>
      </c>
      <c r="AB470" s="941">
        <v>71.0</v>
      </c>
      <c r="AC470" s="941">
        <v>13.0</v>
      </c>
      <c r="AD470" s="941">
        <v>5.0</v>
      </c>
      <c r="AE470" s="941">
        <v>6.0</v>
      </c>
      <c r="AF470" s="941">
        <v>3.0</v>
      </c>
      <c r="AG470" s="941">
        <v>1002.0</v>
      </c>
      <c r="AH470" s="941">
        <v>1320.0</v>
      </c>
      <c r="AI470" s="941">
        <v>14.0</v>
      </c>
      <c r="AJ470" s="941">
        <v>25.0</v>
      </c>
      <c r="AK470" s="941">
        <v>0.0</v>
      </c>
      <c r="AL470" s="941">
        <v>2.0</v>
      </c>
      <c r="AM470" s="941">
        <v>0.0</v>
      </c>
      <c r="AN470" s="941">
        <v>0.0</v>
      </c>
      <c r="AO470" s="941">
        <v>0.0</v>
      </c>
      <c r="AP470" s="941">
        <v>2.0</v>
      </c>
      <c r="AQ470" s="941">
        <v>0.0</v>
      </c>
      <c r="AR470" s="941">
        <v>17.0</v>
      </c>
      <c r="AS470" s="941">
        <v>4.0</v>
      </c>
      <c r="AT470" s="941">
        <v>1.0</v>
      </c>
      <c r="AU470" s="941">
        <v>1.0</v>
      </c>
      <c r="AV470" s="941">
        <v>0.0</v>
      </c>
      <c r="AW470" s="941">
        <v>0.0</v>
      </c>
      <c r="AX470" s="941">
        <v>0.0</v>
      </c>
      <c r="AY470" s="941">
        <v>0.0</v>
      </c>
      <c r="AZ470" s="941">
        <v>0.0</v>
      </c>
      <c r="BA470" s="941">
        <v>0.0</v>
      </c>
      <c r="BB470" s="941">
        <v>12.0</v>
      </c>
      <c r="BC470" s="941">
        <v>0.0</v>
      </c>
      <c r="BD470" s="941">
        <v>9.0</v>
      </c>
      <c r="BE470" s="941">
        <v>6.0</v>
      </c>
      <c r="BF470" s="941">
        <v>1.0</v>
      </c>
      <c r="BG470" s="942">
        <v>0.0</v>
      </c>
    </row>
    <row r="471">
      <c r="A471" s="965" t="s">
        <v>420</v>
      </c>
      <c r="B471" s="16" t="str">
        <f>IF(C471&lt;'PlayerGrades+'!$Y$44,"F-",IF(C471&lt;'PlayerGrades+'!$Y$43,"F",IF(C471&lt;'PlayerGrades+'!$Y$42,"F+",IF(C471&lt;'PlayerGrades+'!$Y$41,"E-",IF(C471&lt;'PlayerGrades+'!$Y$40,"E",IF(C471&lt;'PlayerGrades+'!$Y$39,"E+",IF(C471&lt;'PlayerGrades+'!$Y$38,"D-",IF(C471&lt;'PlayerGrades+'!$Y$37,"D",IF(C471&lt;'PlayerGrades+'!$Y$36,"D+",IF(C471&lt;'PlayerGrades+'!$Y$35,"C-",IF(C471&lt;'PlayerGrades+'!$Y$34,"C",IF(C471&lt;'PlayerGrades+'!$Y$33,"C+",IF(C471&lt;'PlayerGrades+'!$Y$32,"B-",IF(C471&lt;'PlayerGrades+'!$Y$31,"B",IF(C471&lt;'PlayerGrades+'!$Y$30,"B+",IF(C471&lt;'PlayerGrades+'!$Y$29,"A-",IF(C471&lt;'PlayerGrades+'!$Y$28,"A",IF(C471&lt;'PlayerGrades+'!$Y$27,"A+",IF(C471&lt;'PlayerGrades+'!$Y$26,"S-",IF(C471&lt;'PlayerGrades+'!$Y$25,"S","S+"))))))))))))))))))))</f>
        <v>A+</v>
      </c>
      <c r="C471" s="936">
        <f>('PlayerGrades+'!$Y$47*(VLOOKUP(E471, 'PlayerGrades+'!$X$3:$Y$23, 2, FALSE)))+('PlayerGrades+'!$Y$48*(VLOOKUP(G471, 'PlayerGrades+'!$X$3:$Y$23, 2, FALSE)))+('PlayerGrades+'!$Y$49*(VLOOKUP(I471, 'PlayerGrades+'!$X$3:$Y$23, 2, FALSE)))+('PlayerGrades+'!$Y$50*(VLOOKUP(K471, 'PlayerGrades+'!$X$3:$Y$23, 2, FALSE)))+('PlayerGrades+'!$Y$51*(VLOOKUP(M471, 'PlayerGrades+'!$X$3:$Y$23, 2, FALSE)))+('PlayerGrades+'!$Y$52*(VLOOKUP(O471, 'PlayerGrades+'!$X$3:$Y$23, 2, FALSE)))+('PlayerGrades+'!$Y$53*(VLOOKUP(Q471, 'PlayerGrades+'!$X$3:$Y$23, 2, FALSE)))+('PlayerGrades+'!$Y$54*(VLOOKUP(S471, 'PlayerGrades+'!$X$3:$Y$23, 2, FALSE)))+('PlayerGrades+'!$Y$55*(VLOOKUP(U471, 'PlayerGrades+'!$X$3:$Y$23, 2, FALSE)))</f>
        <v>29.05</v>
      </c>
      <c r="D471" s="937">
        <f t="shared" si="1"/>
        <v>0.04545454545</v>
      </c>
      <c r="E471" s="937" t="str">
        <f>IF(D471&lt;'PlayerGrades+'!$AA$21,"F-",IF(D471&lt;'PlayerGrades+'!$AA$20,"F",IF(D471&lt;'PlayerGrades+'!$AA$19,"F+",IF(D471&lt;'PlayerGrades+'!$AA$18,"E-",IF(D471&lt;'PlayerGrades+'!$AA$17,"E",IF(D471&lt;'PlayerGrades+'!$AA$16,"E+",IF(D471&lt;'PlayerGrades+'!$AA$15,"D-",IF(D471&lt;'PlayerGrades+'!$AA$14,"D",IF(D471&lt;'PlayerGrades+'!$AA$13,"D+",IF(D471&lt;'PlayerGrades+'!$AA$12,"C-",IF(D471&lt;'PlayerGrades+'!$AA$11,"C",IF(D471&lt;'PlayerGrades+'!$AA$10,"C+",IF(D471&lt;'PlayerGrades+'!$AA$9,"B-",IF(D471&lt;'PlayerGrades+'!$AA$8,"B",IF(D471&lt;'PlayerGrades+'!$AA$7,"B+",IF(D471&lt;'PlayerGrades+'!$AA$6,"A-",IF(D471&lt;'PlayerGrades+'!$AA$5,"A",IF(D471&lt;'PlayerGrades+'!$AA$4,"A+",IF(D471&lt;'PlayerGrades+'!$AA$3,"S-",IF(D471&lt;'PlayerGrades+'!$AA$2,"S","S+"))))))))))))))))))))</f>
        <v>C+</v>
      </c>
      <c r="F471" s="937">
        <f t="shared" si="2"/>
        <v>-0.1363636364</v>
      </c>
      <c r="G471" s="937" t="str">
        <f>IF(F471&lt;'PlayerGrades+'!$AB$21,"F-",IF(F471&lt;'PlayerGrades+'!$AB$20,"F",IF(F471&lt;'PlayerGrades+'!$AB$19,"F+",IF(F471&lt;'PlayerGrades+'!$AB$18,"E-",IF(F471&lt;'PlayerGrades+'!$AB$17,"E",IF(F471&lt;'PlayerGrades+'!$AB$16,"E+",IF(F471&lt;'PlayerGrades+'!$AB$15,"D-",IF(F471&lt;'PlayerGrades+'!$AB$14,"D",IF(F471&lt;'PlayerGrades+'!$AB$13,"D+",IF(F471&lt;'PlayerGrades+'!$AB$12,"C-",IF(F471&lt;'PlayerGrades+'!$AB$11,"C",IF(F471&lt;'PlayerGrades+'!$AB$10,"C+",IF(F471&lt;'PlayerGrades+'!$AB$9,"B-",IF(F471&lt;'PlayerGrades+'!$AB$8,"B",IF(F471&lt;'PlayerGrades+'!$AB$7,"B+",IF(F471&lt;'PlayerGrades+'!$AB$6,"A-",IF(F471&lt;'PlayerGrades+'!$AB$5,"A",IF(F471&lt;'PlayerGrades+'!$AB$4,"A+",IF(F471&lt;'PlayerGrades+'!$AB$3,"S-",IF(F471&lt;'PlayerGrades+'!$AB$2,"S","S+"))))))))))))))))))))</f>
        <v>C+</v>
      </c>
      <c r="H471" s="937">
        <f t="shared" si="3"/>
        <v>0.4090909091</v>
      </c>
      <c r="I471" s="937" t="str">
        <f>IF(H471&lt;'PlayerGrades+'!$AC$21,"F-",IF(H471&lt;'PlayerGrades+'!$AC$20,"F",IF(H471&lt;'PlayerGrades+'!$AC$19,"F+",IF(H471&lt;'PlayerGrades+'!$AC$18,"E-",IF(H471&lt;'PlayerGrades+'!$AC$17,"E",IF(H471&lt;'PlayerGrades+'!$AC$16,"E+",IF(H471&lt;'PlayerGrades+'!$AC$15,"D-",IF(H471&lt;'PlayerGrades+'!$AC$14,"D",IF(H471&lt;'PlayerGrades+'!$AC$13,"D+",IF(H471&lt;'PlayerGrades+'!$AC$12,"C-",IF(H471&lt;'PlayerGrades+'!$AC$11,"C",IF(H471&lt;'PlayerGrades+'!$AC$10,"C+",IF(H471&lt;'PlayerGrades+'!$AC$9,"B-",IF(H471&lt;'PlayerGrades+'!$AC$8,"B",IF(H471&lt;'PlayerGrades+'!$AC$7,"B+",IF(H471&lt;'PlayerGrades+'!$AC$6,"A-",IF(H471&lt;'PlayerGrades+'!$AC$5,"A",IF(H471&lt;'PlayerGrades+'!$AC$4,"A+",IF(H471&lt;'PlayerGrades+'!$AC$3,"S-",IF(H471&lt;'PlayerGrades+'!$AC$2,"S","S+"))))))))))))))))))))</f>
        <v>S+</v>
      </c>
      <c r="J471" s="937">
        <f t="shared" si="4"/>
        <v>0.04545454545</v>
      </c>
      <c r="K471" s="937" t="str">
        <f>IF(J471&lt;'PlayerGrades+'!$AD$21,"F-",IF(J471&lt;'PlayerGrades+'!$AD$20,"F",IF(J471&lt;'PlayerGrades+'!$AD$19,"F+",IF(J471&lt;'PlayerGrades+'!$AD$18,"E-",IF(J471&lt;'PlayerGrades+'!$AD$17,"E",IF(J471&lt;'PlayerGrades+'!$AD$16,"E+",IF(J471&lt;'PlayerGrades+'!$AD$15,"D-",IF(J471&lt;'PlayerGrades+'!$AD$14,"D",IF(J471&lt;'PlayerGrades+'!$AD$13,"D+",IF(J471&lt;'PlayerGrades+'!$AD$12,"C-",IF(J471&lt;'PlayerGrades+'!$AD$11,"C",IF(J471&lt;'PlayerGrades+'!$AD$10,"C+",IF(J471&lt;'PlayerGrades+'!$AD$9,"B-",IF(J471&lt;'PlayerGrades+'!$AD$8,"B",IF(J471&lt;'PlayerGrades+'!$AD$7,"B+",IF(J471&lt;'PlayerGrades+'!$AD$6,"A-",IF(J471&lt;'PlayerGrades+'!$AD$5,"A",IF(J471&lt;'PlayerGrades+'!$AD$4,"A+",IF(J471&lt;'PlayerGrades+'!$AD$3,"S-",IF(J471&lt;'PlayerGrades+'!$AD$2,"S","S+"))))))))))))))))))))</f>
        <v>B-</v>
      </c>
      <c r="L471" s="677">
        <f t="shared" si="5"/>
        <v>0.5454545455</v>
      </c>
      <c r="M471" s="938" t="str">
        <f>IF(L471&lt;'PlayerGrades+'!$AE$21,"F-",IF(L471&lt;'PlayerGrades+'!$AE$20,"F",IF(L471&lt;'PlayerGrades+'!$AE$19,"F+",IF(L471&lt;'PlayerGrades+'!$AE$18,"E-",IF(L471&lt;'PlayerGrades+'!$AE$17,"E",IF(L471&lt;'PlayerGrades+'!$AE$16,"E+",IF(L471&lt;'PlayerGrades+'!$AE$15,"D-",IF(L471&lt;'PlayerGrades+'!$AE$14,"D",IF(L471&lt;'PlayerGrades+'!$AE$13,"D+",IF(L471&lt;'PlayerGrades+'!$AE$12,"C-",IF(L471&lt;'PlayerGrades+'!$AE$11,"C",IF(L471&lt;'PlayerGrades+'!$AE$10,"C+",IF(L471&lt;'PlayerGrades+'!$AE$9,"B-",IF(L471&lt;'PlayerGrades+'!$AE$8,"B",IF(L471&lt;'PlayerGrades+'!$AE$7,"B+",IF(L471&lt;'PlayerGrades+'!$AE$6,"A-",IF(L471&lt;'PlayerGrades+'!$AE$5,"A",IF(L471&lt;'PlayerGrades+'!$AE$4,"A+",IF(L471&lt;'PlayerGrades+'!$AE$3,"S-",IF(L471&lt;'PlayerGrades+'!$AE$2,"S","S+"))))))))))))))))))))</f>
        <v>A</v>
      </c>
      <c r="N471" s="937">
        <f t="shared" si="6"/>
        <v>0.09090909091</v>
      </c>
      <c r="O471" s="937" t="str">
        <f>IF(N471&lt;'PlayerGrades+'!$AF$21,"F-",IF(N471&lt;'PlayerGrades+'!$AF$20,"F",IF(N471&lt;'PlayerGrades+'!$AF$19,"F+",IF(N471&lt;'PlayerGrades+'!$AF$18,"E-",IF(N471&lt;'PlayerGrades+'!$AF$17,"E",IF(N471&lt;'PlayerGrades+'!$AF$16,"E+",IF(N471&lt;'PlayerGrades+'!$AF$15,"D-",IF(N471&lt;'PlayerGrades+'!$AF$14,"D",IF(N471&lt;'PlayerGrades+'!$AF$13,"D+",IF(N471&lt;'PlayerGrades+'!$AF$12,"C-",IF(N471&lt;'PlayerGrades+'!$AF$11,"C",IF(N471&lt;'PlayerGrades+'!$AF$10,"C+",IF(N471&lt;'PlayerGrades+'!$AF$9,"B-",IF(N471&lt;'PlayerGrades+'!$AF$8,"B",IF(N471&lt;'PlayerGrades+'!$AF$7,"B+",IF(N471&lt;'PlayerGrades+'!$AF$6,"A-",IF(N471&lt;'PlayerGrades+'!$AF$5,"A",IF(N471&lt;'PlayerGrades+'!$AF$4,"A+",IF(N471&lt;'PlayerGrades+'!$AF$3,"S-",IF(N471&lt;'PlayerGrades+'!$AF$2,"S","S+"))))))))))))))))))))</f>
        <v>B+</v>
      </c>
      <c r="P471" s="937">
        <f t="shared" si="7"/>
        <v>0.04545454545</v>
      </c>
      <c r="Q471" s="937" t="str">
        <f>IF(P471&lt;'PlayerGrades+'!$AG$21,"F-",IF(P471&lt;'PlayerGrades+'!$AG$20,"F",IF(P471&lt;'PlayerGrades+'!$AG$19,"F+",IF(P471&lt;'PlayerGrades+'!$AG$18,"E-",IF(P471&lt;'PlayerGrades+'!$AG$17,"E",IF(P471&lt;'PlayerGrades+'!$AG$16,"E+",IF(P471&lt;'PlayerGrades+'!$AG$15,"D-",IF(P471&lt;'PlayerGrades+'!$AG$14,"D",IF(P471&lt;'PlayerGrades+'!$AG$13,"D+",IF(P471&lt;'PlayerGrades+'!$AG$12,"C-",IF(P471&lt;'PlayerGrades+'!$AG$11,"C",IF(P471&lt;'PlayerGrades+'!$AG$10,"C+",IF(P471&lt;'PlayerGrades+'!$AG$9,"B-",IF(P471&lt;'PlayerGrades+'!$AG$8,"B",IF(P471&lt;'PlayerGrades+'!$AG$7,"B+",IF(P471&lt;'PlayerGrades+'!$AG$6,"A-",IF(P471&lt;'PlayerGrades+'!$AG$5,"A",IF(P471&lt;'PlayerGrades+'!$AG$4,"A+",IF(P471&lt;'PlayerGrades+'!$AG$3,"S-",IF(P471&lt;'PlayerGrades+'!$AG$2,"S","S+"))))))))))))))))))))</f>
        <v>A</v>
      </c>
      <c r="R471" s="937">
        <f t="shared" si="8"/>
        <v>0.6818181818</v>
      </c>
      <c r="S471" s="937" t="str">
        <f>IF(R471&lt;'PlayerGrades+'!$AH$21,"F-",IF(R471&lt;'PlayerGrades+'!$AH$20,"F",IF(R471&lt;'PlayerGrades+'!$AH$19,"F+",IF(R471&lt;'PlayerGrades+'!$AH$18,"E-",IF(R471&lt;'PlayerGrades+'!$AH$17,"E",IF(R471&lt;'PlayerGrades+'!$AH$16,"E+",IF(R471&lt;'PlayerGrades+'!$AH$15,"D-",IF(R471&lt;'PlayerGrades+'!$AH$14,"D",IF(R471&lt;'PlayerGrades+'!$AH$13,"D+",IF(R471&lt;'PlayerGrades+'!$AH$12,"C-",IF(R471&lt;'PlayerGrades+'!$AH$11,"C",IF(R471&lt;'PlayerGrades+'!$AH$10,"C+",IF(R471&lt;'PlayerGrades+'!$AH$9,"B-",IF(R471&lt;'PlayerGrades+'!$AH$8,"B",IF(R471&lt;'PlayerGrades+'!$AH$7,"B+",IF(R471&lt;'PlayerGrades+'!$AH$6,"A-",IF(R471&lt;'PlayerGrades+'!$AH$5,"A",IF(R471&lt;'PlayerGrades+'!$AH$4,"A+",IF(R471&lt;'PlayerGrades+'!$AH$3,"S-",IF(R471&lt;'PlayerGrades+'!$AH$2,"S","S+"))))))))))))))))))))</f>
        <v>S-</v>
      </c>
      <c r="T471" s="937">
        <f t="shared" si="9"/>
        <v>2.363636364</v>
      </c>
      <c r="U471" s="937" t="str">
        <f>IF(T471&lt;'PlayerGrades+'!$AI$21,"F-",IF(T471&lt;'PlayerGrades+'!$AI$20,"F",IF(T471&lt;'PlayerGrades+'!$AI$19,"F+",IF(T471&lt;'PlayerGrades+'!$AI$18,"E-",IF(T471&lt;'PlayerGrades+'!$AI$17,"E",IF(T471&lt;'PlayerGrades+'!$AI$16,"E+",IF(T471&lt;'PlayerGrades+'!$AI$15,"D-",IF(T471&lt;'PlayerGrades+'!$AI$14,"D",IF(T471&lt;'PlayerGrades+'!$AI$13,"D+",IF(T471&lt;'PlayerGrades+'!$AI$12,"C-",IF(T471&lt;'PlayerGrades+'!$AI$11,"C",IF(T471&lt;'PlayerGrades+'!$AI$10,"C+",IF(T471&lt;'PlayerGrades+'!$AI$9,"B-",IF(T471&lt;'PlayerGrades+'!$AI$8,"B",IF(T471&lt;'PlayerGrades+'!$AI$7,"B+",IF(T471&lt;'PlayerGrades+'!$AI$6,"A-",IF(T471&lt;'PlayerGrades+'!$AI$5,"A",IF(T471&lt;'PlayerGrades+'!$AI$4,"A+",IF(T471&lt;'PlayerGrades+'!$AI$3,"S-",IF(T471&lt;'PlayerGrades+'!$AI$2,"S","S+"))))))))))))))))))))</f>
        <v>S+</v>
      </c>
      <c r="V471" s="941">
        <v>1.0</v>
      </c>
      <c r="W471" s="941">
        <v>0.0</v>
      </c>
      <c r="X471" s="941">
        <v>1.0</v>
      </c>
      <c r="Y471" s="941">
        <v>1.0</v>
      </c>
      <c r="Z471" s="941">
        <v>0.0</v>
      </c>
      <c r="AA471" s="941">
        <v>65.0</v>
      </c>
      <c r="AB471" s="941">
        <v>68.0</v>
      </c>
      <c r="AC471" s="941">
        <v>-3.0</v>
      </c>
      <c r="AD471" s="941">
        <v>5.0</v>
      </c>
      <c r="AE471" s="941">
        <v>8.0</v>
      </c>
      <c r="AF471" s="941">
        <v>3.0</v>
      </c>
      <c r="AG471" s="941">
        <v>1004.0</v>
      </c>
      <c r="AH471" s="941">
        <v>1320.0</v>
      </c>
      <c r="AI471" s="941">
        <v>14.0</v>
      </c>
      <c r="AJ471" s="941">
        <v>24.0</v>
      </c>
      <c r="AK471" s="941">
        <v>0.0</v>
      </c>
      <c r="AL471" s="941">
        <v>1.0</v>
      </c>
      <c r="AM471" s="941">
        <v>0.0</v>
      </c>
      <c r="AN471" s="941">
        <v>0.0</v>
      </c>
      <c r="AO471" s="941">
        <v>0.0</v>
      </c>
      <c r="AP471" s="941">
        <v>1.0</v>
      </c>
      <c r="AQ471" s="941">
        <v>0.0</v>
      </c>
      <c r="AR471" s="941">
        <v>12.0</v>
      </c>
      <c r="AS471" s="941">
        <v>2.0</v>
      </c>
      <c r="AT471" s="941">
        <v>1.0</v>
      </c>
      <c r="AU471" s="941">
        <v>1.0</v>
      </c>
      <c r="AV471" s="941">
        <v>0.0</v>
      </c>
      <c r="AW471" s="941">
        <v>0.0</v>
      </c>
      <c r="AX471" s="941">
        <v>0.0</v>
      </c>
      <c r="AY471" s="941">
        <v>0.0</v>
      </c>
      <c r="AZ471" s="941">
        <v>0.0</v>
      </c>
      <c r="BA471" s="941">
        <v>0.0</v>
      </c>
      <c r="BB471" s="941">
        <v>9.0</v>
      </c>
      <c r="BC471" s="941">
        <v>0.0</v>
      </c>
      <c r="BD471" s="941">
        <v>10.0</v>
      </c>
      <c r="BE471" s="941">
        <v>8.0</v>
      </c>
      <c r="BF471" s="941">
        <v>2.0</v>
      </c>
      <c r="BG471" s="942">
        <v>0.0</v>
      </c>
    </row>
    <row r="472">
      <c r="A472" s="965" t="s">
        <v>118</v>
      </c>
      <c r="B472" s="16" t="str">
        <f>IF(C472&lt;'PlayerGrades+'!$Y$44,"F-",IF(C472&lt;'PlayerGrades+'!$Y$43,"F",IF(C472&lt;'PlayerGrades+'!$Y$42,"F+",IF(C472&lt;'PlayerGrades+'!$Y$41,"E-",IF(C472&lt;'PlayerGrades+'!$Y$40,"E",IF(C472&lt;'PlayerGrades+'!$Y$39,"E+",IF(C472&lt;'PlayerGrades+'!$Y$38,"D-",IF(C472&lt;'PlayerGrades+'!$Y$37,"D",IF(C472&lt;'PlayerGrades+'!$Y$36,"D+",IF(C472&lt;'PlayerGrades+'!$Y$35,"C-",IF(C472&lt;'PlayerGrades+'!$Y$34,"C",IF(C472&lt;'PlayerGrades+'!$Y$33,"C+",IF(C472&lt;'PlayerGrades+'!$Y$32,"B-",IF(C472&lt;'PlayerGrades+'!$Y$31,"B",IF(C472&lt;'PlayerGrades+'!$Y$30,"B+",IF(C472&lt;'PlayerGrades+'!$Y$29,"A-",IF(C472&lt;'PlayerGrades+'!$Y$28,"A",IF(C472&lt;'PlayerGrades+'!$Y$27,"A+",IF(C472&lt;'PlayerGrades+'!$Y$26,"S-",IF(C472&lt;'PlayerGrades+'!$Y$25,"S","S+"))))))))))))))))))))</f>
        <v>A</v>
      </c>
      <c r="C472" s="936">
        <f>('PlayerGrades+'!$Y$47*(VLOOKUP(E472, 'PlayerGrades+'!$X$3:$Y$23, 2, FALSE)))+('PlayerGrades+'!$Y$48*(VLOOKUP(G472, 'PlayerGrades+'!$X$3:$Y$23, 2, FALSE)))+('PlayerGrades+'!$Y$49*(VLOOKUP(I472, 'PlayerGrades+'!$X$3:$Y$23, 2, FALSE)))+('PlayerGrades+'!$Y$50*(VLOOKUP(K472, 'PlayerGrades+'!$X$3:$Y$23, 2, FALSE)))+('PlayerGrades+'!$Y$51*(VLOOKUP(M472, 'PlayerGrades+'!$X$3:$Y$23, 2, FALSE)))+('PlayerGrades+'!$Y$52*(VLOOKUP(O472, 'PlayerGrades+'!$X$3:$Y$23, 2, FALSE)))+('PlayerGrades+'!$Y$53*(VLOOKUP(Q472, 'PlayerGrades+'!$X$3:$Y$23, 2, FALSE)))+('PlayerGrades+'!$Y$54*(VLOOKUP(S472, 'PlayerGrades+'!$X$3:$Y$23, 2, FALSE)))+('PlayerGrades+'!$Y$55*(VLOOKUP(U472, 'PlayerGrades+'!$X$3:$Y$23, 2, FALSE)))</f>
        <v>27.3</v>
      </c>
      <c r="D472" s="937">
        <f t="shared" si="1"/>
        <v>0.6363636364</v>
      </c>
      <c r="E472" s="937" t="str">
        <f>IF(D472&lt;'PlayerGrades+'!$AA$21,"F-",IF(D472&lt;'PlayerGrades+'!$AA$20,"F",IF(D472&lt;'PlayerGrades+'!$AA$19,"F+",IF(D472&lt;'PlayerGrades+'!$AA$18,"E-",IF(D472&lt;'PlayerGrades+'!$AA$17,"E",IF(D472&lt;'PlayerGrades+'!$AA$16,"E+",IF(D472&lt;'PlayerGrades+'!$AA$15,"D-",IF(D472&lt;'PlayerGrades+'!$AA$14,"D",IF(D472&lt;'PlayerGrades+'!$AA$13,"D+",IF(D472&lt;'PlayerGrades+'!$AA$12,"C-",IF(D472&lt;'PlayerGrades+'!$AA$11,"C",IF(D472&lt;'PlayerGrades+'!$AA$10,"C+",IF(D472&lt;'PlayerGrades+'!$AA$9,"B-",IF(D472&lt;'PlayerGrades+'!$AA$8,"B",IF(D472&lt;'PlayerGrades+'!$AA$7,"B+",IF(D472&lt;'PlayerGrades+'!$AA$6,"A-",IF(D472&lt;'PlayerGrades+'!$AA$5,"A",IF(D472&lt;'PlayerGrades+'!$AA$4,"A+",IF(D472&lt;'PlayerGrades+'!$AA$3,"S-",IF(D472&lt;'PlayerGrades+'!$AA$2,"S","S+"))))))))))))))))))))</f>
        <v>S-</v>
      </c>
      <c r="F472" s="937">
        <f t="shared" si="2"/>
        <v>0.2272727273</v>
      </c>
      <c r="G472" s="937" t="str">
        <f>IF(F472&lt;'PlayerGrades+'!$AB$21,"F-",IF(F472&lt;'PlayerGrades+'!$AB$20,"F",IF(F472&lt;'PlayerGrades+'!$AB$19,"F+",IF(F472&lt;'PlayerGrades+'!$AB$18,"E-",IF(F472&lt;'PlayerGrades+'!$AB$17,"E",IF(F472&lt;'PlayerGrades+'!$AB$16,"E+",IF(F472&lt;'PlayerGrades+'!$AB$15,"D-",IF(F472&lt;'PlayerGrades+'!$AB$14,"D",IF(F472&lt;'PlayerGrades+'!$AB$13,"D+",IF(F472&lt;'PlayerGrades+'!$AB$12,"C-",IF(F472&lt;'PlayerGrades+'!$AB$11,"C",IF(F472&lt;'PlayerGrades+'!$AB$10,"C+",IF(F472&lt;'PlayerGrades+'!$AB$9,"B-",IF(F472&lt;'PlayerGrades+'!$AB$8,"B",IF(F472&lt;'PlayerGrades+'!$AB$7,"B+",IF(F472&lt;'PlayerGrades+'!$AB$6,"A-",IF(F472&lt;'PlayerGrades+'!$AB$5,"A",IF(F472&lt;'PlayerGrades+'!$AB$4,"A+",IF(F472&lt;'PlayerGrades+'!$AB$3,"S-",IF(F472&lt;'PlayerGrades+'!$AB$2,"S","S+"))))))))))))))))))))</f>
        <v>B+</v>
      </c>
      <c r="H472" s="937">
        <f t="shared" si="3"/>
        <v>0.2272727273</v>
      </c>
      <c r="I472" s="937" t="str">
        <f>IF(H472&lt;'PlayerGrades+'!$AC$21,"F-",IF(H472&lt;'PlayerGrades+'!$AC$20,"F",IF(H472&lt;'PlayerGrades+'!$AC$19,"F+",IF(H472&lt;'PlayerGrades+'!$AC$18,"E-",IF(H472&lt;'PlayerGrades+'!$AC$17,"E",IF(H472&lt;'PlayerGrades+'!$AC$16,"E+",IF(H472&lt;'PlayerGrades+'!$AC$15,"D-",IF(H472&lt;'PlayerGrades+'!$AC$14,"D",IF(H472&lt;'PlayerGrades+'!$AC$13,"D+",IF(H472&lt;'PlayerGrades+'!$AC$12,"C-",IF(H472&lt;'PlayerGrades+'!$AC$11,"C",IF(H472&lt;'PlayerGrades+'!$AC$10,"C+",IF(H472&lt;'PlayerGrades+'!$AC$9,"B-",IF(H472&lt;'PlayerGrades+'!$AC$8,"B",IF(H472&lt;'PlayerGrades+'!$AC$7,"B+",IF(H472&lt;'PlayerGrades+'!$AC$6,"A-",IF(H472&lt;'PlayerGrades+'!$AC$5,"A",IF(H472&lt;'PlayerGrades+'!$AC$4,"A+",IF(H472&lt;'PlayerGrades+'!$AC$3,"S-",IF(H472&lt;'PlayerGrades+'!$AC$2,"S","S+"))))))))))))))))))))</f>
        <v>S</v>
      </c>
      <c r="J472" s="937">
        <f t="shared" si="4"/>
        <v>0.09090909091</v>
      </c>
      <c r="K472" s="937" t="str">
        <f>IF(J472&lt;'PlayerGrades+'!$AD$21,"F-",IF(J472&lt;'PlayerGrades+'!$AD$20,"F",IF(J472&lt;'PlayerGrades+'!$AD$19,"F+",IF(J472&lt;'PlayerGrades+'!$AD$18,"E-",IF(J472&lt;'PlayerGrades+'!$AD$17,"E",IF(J472&lt;'PlayerGrades+'!$AD$16,"E+",IF(J472&lt;'PlayerGrades+'!$AD$15,"D-",IF(J472&lt;'PlayerGrades+'!$AD$14,"D",IF(J472&lt;'PlayerGrades+'!$AD$13,"D+",IF(J472&lt;'PlayerGrades+'!$AD$12,"C-",IF(J472&lt;'PlayerGrades+'!$AD$11,"C",IF(J472&lt;'PlayerGrades+'!$AD$10,"C+",IF(J472&lt;'PlayerGrades+'!$AD$9,"B-",IF(J472&lt;'PlayerGrades+'!$AD$8,"B",IF(J472&lt;'PlayerGrades+'!$AD$7,"B+",IF(J472&lt;'PlayerGrades+'!$AD$6,"A-",IF(J472&lt;'PlayerGrades+'!$AD$5,"A",IF(J472&lt;'PlayerGrades+'!$AD$4,"A+",IF(J472&lt;'PlayerGrades+'!$AD$3,"S-",IF(J472&lt;'PlayerGrades+'!$AD$2,"S","S+"))))))))))))))))))))</f>
        <v>S-</v>
      </c>
      <c r="L472" s="677">
        <f t="shared" si="5"/>
        <v>0.3636363636</v>
      </c>
      <c r="M472" s="938" t="str">
        <f>IF(L472&lt;'PlayerGrades+'!$AE$21,"F-",IF(L472&lt;'PlayerGrades+'!$AE$20,"F",IF(L472&lt;'PlayerGrades+'!$AE$19,"F+",IF(L472&lt;'PlayerGrades+'!$AE$18,"E-",IF(L472&lt;'PlayerGrades+'!$AE$17,"E",IF(L472&lt;'PlayerGrades+'!$AE$16,"E+",IF(L472&lt;'PlayerGrades+'!$AE$15,"D-",IF(L472&lt;'PlayerGrades+'!$AE$14,"D",IF(L472&lt;'PlayerGrades+'!$AE$13,"D+",IF(L472&lt;'PlayerGrades+'!$AE$12,"C-",IF(L472&lt;'PlayerGrades+'!$AE$11,"C",IF(L472&lt;'PlayerGrades+'!$AE$10,"C+",IF(L472&lt;'PlayerGrades+'!$AE$9,"B-",IF(L472&lt;'PlayerGrades+'!$AE$8,"B",IF(L472&lt;'PlayerGrades+'!$AE$7,"B+",IF(L472&lt;'PlayerGrades+'!$AE$6,"A-",IF(L472&lt;'PlayerGrades+'!$AE$5,"A",IF(L472&lt;'PlayerGrades+'!$AE$4,"A+",IF(L472&lt;'PlayerGrades+'!$AE$3,"S-",IF(L472&lt;'PlayerGrades+'!$AE$2,"S","S+"))))))))))))))))))))</f>
        <v>D+</v>
      </c>
      <c r="N472" s="937">
        <f t="shared" si="6"/>
        <v>0.04545454545</v>
      </c>
      <c r="O472" s="937" t="str">
        <f>IF(N472&lt;'PlayerGrades+'!$AF$21,"F-",IF(N472&lt;'PlayerGrades+'!$AF$20,"F",IF(N472&lt;'PlayerGrades+'!$AF$19,"F+",IF(N472&lt;'PlayerGrades+'!$AF$18,"E-",IF(N472&lt;'PlayerGrades+'!$AF$17,"E",IF(N472&lt;'PlayerGrades+'!$AF$16,"E+",IF(N472&lt;'PlayerGrades+'!$AF$15,"D-",IF(N472&lt;'PlayerGrades+'!$AF$14,"D",IF(N472&lt;'PlayerGrades+'!$AF$13,"D+",IF(N472&lt;'PlayerGrades+'!$AF$12,"C-",IF(N472&lt;'PlayerGrades+'!$AF$11,"C",IF(N472&lt;'PlayerGrades+'!$AF$10,"C+",IF(N472&lt;'PlayerGrades+'!$AF$9,"B-",IF(N472&lt;'PlayerGrades+'!$AF$8,"B",IF(N472&lt;'PlayerGrades+'!$AF$7,"B+",IF(N472&lt;'PlayerGrades+'!$AF$6,"A-",IF(N472&lt;'PlayerGrades+'!$AF$5,"A",IF(N472&lt;'PlayerGrades+'!$AF$4,"A+",IF(N472&lt;'PlayerGrades+'!$AF$3,"S-",IF(N472&lt;'PlayerGrades+'!$AF$2,"S","S+"))))))))))))))))))))</f>
        <v>E+</v>
      </c>
      <c r="P472" s="937">
        <f t="shared" si="7"/>
        <v>0.04545454545</v>
      </c>
      <c r="Q472" s="937" t="str">
        <f>IF(P472&lt;'PlayerGrades+'!$AG$21,"F-",IF(P472&lt;'PlayerGrades+'!$AG$20,"F",IF(P472&lt;'PlayerGrades+'!$AG$19,"F+",IF(P472&lt;'PlayerGrades+'!$AG$18,"E-",IF(P472&lt;'PlayerGrades+'!$AG$17,"E",IF(P472&lt;'PlayerGrades+'!$AG$16,"E+",IF(P472&lt;'PlayerGrades+'!$AG$15,"D-",IF(P472&lt;'PlayerGrades+'!$AG$14,"D",IF(P472&lt;'PlayerGrades+'!$AG$13,"D+",IF(P472&lt;'PlayerGrades+'!$AG$12,"C-",IF(P472&lt;'PlayerGrades+'!$AG$11,"C",IF(P472&lt;'PlayerGrades+'!$AG$10,"C+",IF(P472&lt;'PlayerGrades+'!$AG$9,"B-",IF(P472&lt;'PlayerGrades+'!$AG$8,"B",IF(P472&lt;'PlayerGrades+'!$AG$7,"B+",IF(P472&lt;'PlayerGrades+'!$AG$6,"A-",IF(P472&lt;'PlayerGrades+'!$AG$5,"A",IF(P472&lt;'PlayerGrades+'!$AG$4,"A+",IF(P472&lt;'PlayerGrades+'!$AG$3,"S-",IF(P472&lt;'PlayerGrades+'!$AG$2,"S","S+"))))))))))))))))))))</f>
        <v>A</v>
      </c>
      <c r="R472" s="937">
        <f t="shared" si="8"/>
        <v>0.6818181818</v>
      </c>
      <c r="S472" s="937" t="str">
        <f>IF(R472&lt;'PlayerGrades+'!$AH$21,"F-",IF(R472&lt;'PlayerGrades+'!$AH$20,"F",IF(R472&lt;'PlayerGrades+'!$AH$19,"F+",IF(R472&lt;'PlayerGrades+'!$AH$18,"E-",IF(R472&lt;'PlayerGrades+'!$AH$17,"E",IF(R472&lt;'PlayerGrades+'!$AH$16,"E+",IF(R472&lt;'PlayerGrades+'!$AH$15,"D-",IF(R472&lt;'PlayerGrades+'!$AH$14,"D",IF(R472&lt;'PlayerGrades+'!$AH$13,"D+",IF(R472&lt;'PlayerGrades+'!$AH$12,"C-",IF(R472&lt;'PlayerGrades+'!$AH$11,"C",IF(R472&lt;'PlayerGrades+'!$AH$10,"C+",IF(R472&lt;'PlayerGrades+'!$AH$9,"B-",IF(R472&lt;'PlayerGrades+'!$AH$8,"B",IF(R472&lt;'PlayerGrades+'!$AH$7,"B+",IF(R472&lt;'PlayerGrades+'!$AH$6,"A-",IF(R472&lt;'PlayerGrades+'!$AH$5,"A",IF(R472&lt;'PlayerGrades+'!$AH$4,"A+",IF(R472&lt;'PlayerGrades+'!$AH$3,"S-",IF(R472&lt;'PlayerGrades+'!$AH$2,"S","S+"))))))))))))))))))))</f>
        <v>S-</v>
      </c>
      <c r="T472" s="937">
        <f t="shared" si="9"/>
        <v>2.181818182</v>
      </c>
      <c r="U472" s="937" t="str">
        <f>IF(T472&lt;'PlayerGrades+'!$AI$21,"F-",IF(T472&lt;'PlayerGrades+'!$AI$20,"F",IF(T472&lt;'PlayerGrades+'!$AI$19,"F+",IF(T472&lt;'PlayerGrades+'!$AI$18,"E-",IF(T472&lt;'PlayerGrades+'!$AI$17,"E",IF(T472&lt;'PlayerGrades+'!$AI$16,"E+",IF(T472&lt;'PlayerGrades+'!$AI$15,"D-",IF(T472&lt;'PlayerGrades+'!$AI$14,"D",IF(T472&lt;'PlayerGrades+'!$AI$13,"D+",IF(T472&lt;'PlayerGrades+'!$AI$12,"C-",IF(T472&lt;'PlayerGrades+'!$AI$11,"C",IF(T472&lt;'PlayerGrades+'!$AI$10,"C+",IF(T472&lt;'PlayerGrades+'!$AI$9,"B-",IF(T472&lt;'PlayerGrades+'!$AI$8,"B",IF(T472&lt;'PlayerGrades+'!$AI$7,"B+",IF(T472&lt;'PlayerGrades+'!$AI$6,"A-",IF(T472&lt;'PlayerGrades+'!$AI$5,"A",IF(T472&lt;'PlayerGrades+'!$AI$4,"A+",IF(T472&lt;'PlayerGrades+'!$AI$3,"S-",IF(T472&lt;'PlayerGrades+'!$AI$2,"S","S+"))))))))))))))))))))</f>
        <v>S+</v>
      </c>
      <c r="V472" s="941">
        <v>1.0</v>
      </c>
      <c r="W472" s="941">
        <v>0.0</v>
      </c>
      <c r="X472" s="941">
        <v>1.0</v>
      </c>
      <c r="Y472" s="941">
        <v>1.0</v>
      </c>
      <c r="Z472" s="941">
        <v>13.0</v>
      </c>
      <c r="AA472" s="941">
        <v>57.0</v>
      </c>
      <c r="AB472" s="941">
        <v>52.0</v>
      </c>
      <c r="AC472" s="941">
        <v>5.0</v>
      </c>
      <c r="AD472" s="941">
        <v>3.0</v>
      </c>
      <c r="AE472" s="941">
        <v>6.0</v>
      </c>
      <c r="AF472" s="941">
        <v>3.0</v>
      </c>
      <c r="AG472" s="941">
        <v>1051.0</v>
      </c>
      <c r="AH472" s="941">
        <v>1320.0</v>
      </c>
      <c r="AI472" s="941">
        <v>20.0</v>
      </c>
      <c r="AJ472" s="941">
        <v>481.0</v>
      </c>
      <c r="AK472" s="941">
        <v>0.0</v>
      </c>
      <c r="AL472" s="941">
        <v>2.0</v>
      </c>
      <c r="AM472" s="941">
        <v>0.0</v>
      </c>
      <c r="AN472" s="941">
        <v>0.0</v>
      </c>
      <c r="AO472" s="941">
        <v>0.0</v>
      </c>
      <c r="AP472" s="941">
        <v>1.0</v>
      </c>
      <c r="AQ472" s="941">
        <v>0.0</v>
      </c>
      <c r="AR472" s="941">
        <v>8.0</v>
      </c>
      <c r="AS472" s="941">
        <v>1.0</v>
      </c>
      <c r="AT472" s="941">
        <v>1.0</v>
      </c>
      <c r="AU472" s="941">
        <v>1.0</v>
      </c>
      <c r="AV472" s="941">
        <v>0.0</v>
      </c>
      <c r="AW472" s="941">
        <v>0.0</v>
      </c>
      <c r="AX472" s="941">
        <v>0.0</v>
      </c>
      <c r="AY472" s="941">
        <v>0.0</v>
      </c>
      <c r="AZ472" s="941">
        <v>0.0</v>
      </c>
      <c r="BA472" s="941">
        <v>0.0</v>
      </c>
      <c r="BB472" s="941">
        <v>5.0</v>
      </c>
      <c r="BC472" s="941">
        <v>0.0</v>
      </c>
      <c r="BD472" s="941">
        <v>12.0</v>
      </c>
      <c r="BE472" s="941">
        <v>4.0</v>
      </c>
      <c r="BF472" s="941">
        <v>2.0</v>
      </c>
      <c r="BG472" s="942">
        <v>0.0</v>
      </c>
    </row>
    <row r="473">
      <c r="A473" s="966" t="s">
        <v>140</v>
      </c>
      <c r="B473" s="16" t="str">
        <f>IF(C473&lt;'PlayerGrades+'!$Y$44,"F-",IF(C473&lt;'PlayerGrades+'!$Y$43,"F",IF(C473&lt;'PlayerGrades+'!$Y$42,"F+",IF(C473&lt;'PlayerGrades+'!$Y$41,"E-",IF(C473&lt;'PlayerGrades+'!$Y$40,"E",IF(C473&lt;'PlayerGrades+'!$Y$39,"E+",IF(C473&lt;'PlayerGrades+'!$Y$38,"D-",IF(C473&lt;'PlayerGrades+'!$Y$37,"D",IF(C473&lt;'PlayerGrades+'!$Y$36,"D+",IF(C473&lt;'PlayerGrades+'!$Y$35,"C-",IF(C473&lt;'PlayerGrades+'!$Y$34,"C",IF(C473&lt;'PlayerGrades+'!$Y$33,"C+",IF(C473&lt;'PlayerGrades+'!$Y$32,"B-",IF(C473&lt;'PlayerGrades+'!$Y$31,"B",IF(C473&lt;'PlayerGrades+'!$Y$30,"B+",IF(C473&lt;'PlayerGrades+'!$Y$29,"A-",IF(C473&lt;'PlayerGrades+'!$Y$28,"A",IF(C473&lt;'PlayerGrades+'!$Y$27,"A+",IF(C473&lt;'PlayerGrades+'!$Y$26,"S-",IF(C473&lt;'PlayerGrades+'!$Y$25,"S","S+"))))))))))))))))))))</f>
        <v>F</v>
      </c>
      <c r="C473" s="936">
        <f>('PlayerGrades+'!$Y$47*(VLOOKUP(E473, 'PlayerGrades+'!$X$3:$Y$23, 2, FALSE)))+('PlayerGrades+'!$Y$48*(VLOOKUP(G473, 'PlayerGrades+'!$X$3:$Y$23, 2, FALSE)))+('PlayerGrades+'!$Y$49*(VLOOKUP(I473, 'PlayerGrades+'!$X$3:$Y$23, 2, FALSE)))+('PlayerGrades+'!$Y$50*(VLOOKUP(K473, 'PlayerGrades+'!$X$3:$Y$23, 2, FALSE)))+('PlayerGrades+'!$Y$51*(VLOOKUP(M473, 'PlayerGrades+'!$X$3:$Y$23, 2, FALSE)))+('PlayerGrades+'!$Y$52*(VLOOKUP(O473, 'PlayerGrades+'!$X$3:$Y$23, 2, FALSE)))+('PlayerGrades+'!$Y$53*(VLOOKUP(Q473, 'PlayerGrades+'!$X$3:$Y$23, 2, FALSE)))+('PlayerGrades+'!$Y$54*(VLOOKUP(S473, 'PlayerGrades+'!$X$3:$Y$23, 2, FALSE)))+('PlayerGrades+'!$Y$55*(VLOOKUP(U473, 'PlayerGrades+'!$X$3:$Y$23, 2, FALSE)))</f>
        <v>9.85</v>
      </c>
      <c r="D473" s="937">
        <f t="shared" si="1"/>
        <v>0</v>
      </c>
      <c r="E473" s="937" t="str">
        <f>IF(D473&lt;'PlayerGrades+'!$AA$21,"F-",IF(D473&lt;'PlayerGrades+'!$AA$20,"F",IF(D473&lt;'PlayerGrades+'!$AA$19,"F+",IF(D473&lt;'PlayerGrades+'!$AA$18,"E-",IF(D473&lt;'PlayerGrades+'!$AA$17,"E",IF(D473&lt;'PlayerGrades+'!$AA$16,"E+",IF(D473&lt;'PlayerGrades+'!$AA$15,"D-",IF(D473&lt;'PlayerGrades+'!$AA$14,"D",IF(D473&lt;'PlayerGrades+'!$AA$13,"D+",IF(D473&lt;'PlayerGrades+'!$AA$12,"C-",IF(D473&lt;'PlayerGrades+'!$AA$11,"C",IF(D473&lt;'PlayerGrades+'!$AA$10,"C+",IF(D473&lt;'PlayerGrades+'!$AA$9,"B-",IF(D473&lt;'PlayerGrades+'!$AA$8,"B",IF(D473&lt;'PlayerGrades+'!$AA$7,"B+",IF(D473&lt;'PlayerGrades+'!$AA$6,"A-",IF(D473&lt;'PlayerGrades+'!$AA$5,"A",IF(D473&lt;'PlayerGrades+'!$AA$4,"A+",IF(D473&lt;'PlayerGrades+'!$AA$3,"S-",IF(D473&lt;'PlayerGrades+'!$AA$2,"S","S+"))))))))))))))))))))</f>
        <v>F-</v>
      </c>
      <c r="F473" s="937">
        <f t="shared" si="2"/>
        <v>-1</v>
      </c>
      <c r="G473" s="937" t="str">
        <f>IF(F473&lt;'PlayerGrades+'!$AB$21,"F-",IF(F473&lt;'PlayerGrades+'!$AB$20,"F",IF(F473&lt;'PlayerGrades+'!$AB$19,"F+",IF(F473&lt;'PlayerGrades+'!$AB$18,"E-",IF(F473&lt;'PlayerGrades+'!$AB$17,"E",IF(F473&lt;'PlayerGrades+'!$AB$16,"E+",IF(F473&lt;'PlayerGrades+'!$AB$15,"D-",IF(F473&lt;'PlayerGrades+'!$AB$14,"D",IF(F473&lt;'PlayerGrades+'!$AB$13,"D+",IF(F473&lt;'PlayerGrades+'!$AB$12,"C-",IF(F473&lt;'PlayerGrades+'!$AB$11,"C",IF(F473&lt;'PlayerGrades+'!$AB$10,"C+",IF(F473&lt;'PlayerGrades+'!$AB$9,"B-",IF(F473&lt;'PlayerGrades+'!$AB$8,"B",IF(F473&lt;'PlayerGrades+'!$AB$7,"B+",IF(F473&lt;'PlayerGrades+'!$AB$6,"A-",IF(F473&lt;'PlayerGrades+'!$AB$5,"A",IF(F473&lt;'PlayerGrades+'!$AB$4,"A+",IF(F473&lt;'PlayerGrades+'!$AB$3,"S-",IF(F473&lt;'PlayerGrades+'!$AB$2,"S","S+"))))))))))))))))))))</f>
        <v>F</v>
      </c>
      <c r="H473" s="937">
        <f t="shared" si="3"/>
        <v>0.09090909091</v>
      </c>
      <c r="I473" s="937" t="str">
        <f>IF(H473&lt;'PlayerGrades+'!$AC$21,"F-",IF(H473&lt;'PlayerGrades+'!$AC$20,"F",IF(H473&lt;'PlayerGrades+'!$AC$19,"F+",IF(H473&lt;'PlayerGrades+'!$AC$18,"E-",IF(H473&lt;'PlayerGrades+'!$AC$17,"E",IF(H473&lt;'PlayerGrades+'!$AC$16,"E+",IF(H473&lt;'PlayerGrades+'!$AC$15,"D-",IF(H473&lt;'PlayerGrades+'!$AC$14,"D",IF(H473&lt;'PlayerGrades+'!$AC$13,"D+",IF(H473&lt;'PlayerGrades+'!$AC$12,"C-",IF(H473&lt;'PlayerGrades+'!$AC$11,"C",IF(H473&lt;'PlayerGrades+'!$AC$10,"C+",IF(H473&lt;'PlayerGrades+'!$AC$9,"B-",IF(H473&lt;'PlayerGrades+'!$AC$8,"B",IF(H473&lt;'PlayerGrades+'!$AC$7,"B+",IF(H473&lt;'PlayerGrades+'!$AC$6,"A-",IF(H473&lt;'PlayerGrades+'!$AC$5,"A",IF(H473&lt;'PlayerGrades+'!$AC$4,"A+",IF(H473&lt;'PlayerGrades+'!$AC$3,"S-",IF(H473&lt;'PlayerGrades+'!$AC$2,"S","S+"))))))))))))))))))))</f>
        <v>D</v>
      </c>
      <c r="J473" s="937">
        <f t="shared" si="4"/>
        <v>0</v>
      </c>
      <c r="K473" s="937" t="str">
        <f>IF(J473&lt;'PlayerGrades+'!$AD$21,"F-",IF(J473&lt;'PlayerGrades+'!$AD$20,"F",IF(J473&lt;'PlayerGrades+'!$AD$19,"F+",IF(J473&lt;'PlayerGrades+'!$AD$18,"E-",IF(J473&lt;'PlayerGrades+'!$AD$17,"E",IF(J473&lt;'PlayerGrades+'!$AD$16,"E+",IF(J473&lt;'PlayerGrades+'!$AD$15,"D-",IF(J473&lt;'PlayerGrades+'!$AD$14,"D",IF(J473&lt;'PlayerGrades+'!$AD$13,"D+",IF(J473&lt;'PlayerGrades+'!$AD$12,"C-",IF(J473&lt;'PlayerGrades+'!$AD$11,"C",IF(J473&lt;'PlayerGrades+'!$AD$10,"C+",IF(J473&lt;'PlayerGrades+'!$AD$9,"B-",IF(J473&lt;'PlayerGrades+'!$AD$8,"B",IF(J473&lt;'PlayerGrades+'!$AD$7,"B+",IF(J473&lt;'PlayerGrades+'!$AD$6,"A-",IF(J473&lt;'PlayerGrades+'!$AD$5,"A",IF(J473&lt;'PlayerGrades+'!$AD$4,"A+",IF(J473&lt;'PlayerGrades+'!$AD$3,"S-",IF(J473&lt;'PlayerGrades+'!$AD$2,"S","S+"))))))))))))))))))))</f>
        <v>F-</v>
      </c>
      <c r="L473" s="677">
        <f t="shared" si="5"/>
        <v>0.2272727273</v>
      </c>
      <c r="M473" s="938" t="str">
        <f>IF(L473&lt;'PlayerGrades+'!$AE$21,"F-",IF(L473&lt;'PlayerGrades+'!$AE$20,"F",IF(L473&lt;'PlayerGrades+'!$AE$19,"F+",IF(L473&lt;'PlayerGrades+'!$AE$18,"E-",IF(L473&lt;'PlayerGrades+'!$AE$17,"E",IF(L473&lt;'PlayerGrades+'!$AE$16,"E+",IF(L473&lt;'PlayerGrades+'!$AE$15,"D-",IF(L473&lt;'PlayerGrades+'!$AE$14,"D",IF(L473&lt;'PlayerGrades+'!$AE$13,"D+",IF(L473&lt;'PlayerGrades+'!$AE$12,"C-",IF(L473&lt;'PlayerGrades+'!$AE$11,"C",IF(L473&lt;'PlayerGrades+'!$AE$10,"C+",IF(L473&lt;'PlayerGrades+'!$AE$9,"B-",IF(L473&lt;'PlayerGrades+'!$AE$8,"B",IF(L473&lt;'PlayerGrades+'!$AE$7,"B+",IF(L473&lt;'PlayerGrades+'!$AE$6,"A-",IF(L473&lt;'PlayerGrades+'!$AE$5,"A",IF(L473&lt;'PlayerGrades+'!$AE$4,"A+",IF(L473&lt;'PlayerGrades+'!$AE$3,"S-",IF(L473&lt;'PlayerGrades+'!$AE$2,"S","S+"))))))))))))))))))))</f>
        <v>F</v>
      </c>
      <c r="N473" s="937">
        <f t="shared" si="6"/>
        <v>0</v>
      </c>
      <c r="O473" s="937" t="str">
        <f>IF(N473&lt;'PlayerGrades+'!$AF$21,"F-",IF(N473&lt;'PlayerGrades+'!$AF$20,"F",IF(N473&lt;'PlayerGrades+'!$AF$19,"F+",IF(N473&lt;'PlayerGrades+'!$AF$18,"E-",IF(N473&lt;'PlayerGrades+'!$AF$17,"E",IF(N473&lt;'PlayerGrades+'!$AF$16,"E+",IF(N473&lt;'PlayerGrades+'!$AF$15,"D-",IF(N473&lt;'PlayerGrades+'!$AF$14,"D",IF(N473&lt;'PlayerGrades+'!$AF$13,"D+",IF(N473&lt;'PlayerGrades+'!$AF$12,"C-",IF(N473&lt;'PlayerGrades+'!$AF$11,"C",IF(N473&lt;'PlayerGrades+'!$AF$10,"C+",IF(N473&lt;'PlayerGrades+'!$AF$9,"B-",IF(N473&lt;'PlayerGrades+'!$AF$8,"B",IF(N473&lt;'PlayerGrades+'!$AF$7,"B+",IF(N473&lt;'PlayerGrades+'!$AF$6,"A-",IF(N473&lt;'PlayerGrades+'!$AF$5,"A",IF(N473&lt;'PlayerGrades+'!$AF$4,"A+",IF(N473&lt;'PlayerGrades+'!$AF$3,"S-",IF(N473&lt;'PlayerGrades+'!$AF$2,"S","S+"))))))))))))))))))))</f>
        <v>F-</v>
      </c>
      <c r="P473" s="937">
        <f t="shared" si="7"/>
        <v>0</v>
      </c>
      <c r="Q473" s="937" t="str">
        <f>IF(P473&lt;'PlayerGrades+'!$AG$21,"F-",IF(P473&lt;'PlayerGrades+'!$AG$20,"F",IF(P473&lt;'PlayerGrades+'!$AG$19,"F+",IF(P473&lt;'PlayerGrades+'!$AG$18,"E-",IF(P473&lt;'PlayerGrades+'!$AG$17,"E",IF(P473&lt;'PlayerGrades+'!$AG$16,"E+",IF(P473&lt;'PlayerGrades+'!$AG$15,"D-",IF(P473&lt;'PlayerGrades+'!$AG$14,"D",IF(P473&lt;'PlayerGrades+'!$AG$13,"D+",IF(P473&lt;'PlayerGrades+'!$AG$12,"C-",IF(P473&lt;'PlayerGrades+'!$AG$11,"C",IF(P473&lt;'PlayerGrades+'!$AG$10,"C+",IF(P473&lt;'PlayerGrades+'!$AG$9,"B-",IF(P473&lt;'PlayerGrades+'!$AG$8,"B",IF(P473&lt;'PlayerGrades+'!$AG$7,"B+",IF(P473&lt;'PlayerGrades+'!$AG$6,"A-",IF(P473&lt;'PlayerGrades+'!$AG$5,"A",IF(P473&lt;'PlayerGrades+'!$AG$4,"A+",IF(P473&lt;'PlayerGrades+'!$AG$3,"S-",IF(P473&lt;'PlayerGrades+'!$AG$2,"S","S+"))))))))))))))))))))</f>
        <v>F</v>
      </c>
      <c r="R473" s="937">
        <f t="shared" si="8"/>
        <v>0.6818181818</v>
      </c>
      <c r="S473" s="937" t="str">
        <f>IF(R473&lt;'PlayerGrades+'!$AH$21,"F-",IF(R473&lt;'PlayerGrades+'!$AH$20,"F",IF(R473&lt;'PlayerGrades+'!$AH$19,"F+",IF(R473&lt;'PlayerGrades+'!$AH$18,"E-",IF(R473&lt;'PlayerGrades+'!$AH$17,"E",IF(R473&lt;'PlayerGrades+'!$AH$16,"E+",IF(R473&lt;'PlayerGrades+'!$AH$15,"D-",IF(R473&lt;'PlayerGrades+'!$AH$14,"D",IF(R473&lt;'PlayerGrades+'!$AH$13,"D+",IF(R473&lt;'PlayerGrades+'!$AH$12,"C-",IF(R473&lt;'PlayerGrades+'!$AH$11,"C",IF(R473&lt;'PlayerGrades+'!$AH$10,"C+",IF(R473&lt;'PlayerGrades+'!$AH$9,"B-",IF(R473&lt;'PlayerGrades+'!$AH$8,"B",IF(R473&lt;'PlayerGrades+'!$AH$7,"B+",IF(R473&lt;'PlayerGrades+'!$AH$6,"A-",IF(R473&lt;'PlayerGrades+'!$AH$5,"A",IF(R473&lt;'PlayerGrades+'!$AH$4,"A+",IF(R473&lt;'PlayerGrades+'!$AH$3,"S-",IF(R473&lt;'PlayerGrades+'!$AH$2,"S","S+"))))))))))))))))))))</f>
        <v>S-</v>
      </c>
      <c r="T473" s="937">
        <f t="shared" si="9"/>
        <v>0.4090909091</v>
      </c>
      <c r="U473" s="937" t="str">
        <f>IF(T473&lt;'PlayerGrades+'!$AI$21,"F-",IF(T473&lt;'PlayerGrades+'!$AI$20,"F",IF(T473&lt;'PlayerGrades+'!$AI$19,"F+",IF(T473&lt;'PlayerGrades+'!$AI$18,"E-",IF(T473&lt;'PlayerGrades+'!$AI$17,"E",IF(T473&lt;'PlayerGrades+'!$AI$16,"E+",IF(T473&lt;'PlayerGrades+'!$AI$15,"D-",IF(T473&lt;'PlayerGrades+'!$AI$14,"D",IF(T473&lt;'PlayerGrades+'!$AI$13,"D+",IF(T473&lt;'PlayerGrades+'!$AI$12,"C-",IF(T473&lt;'PlayerGrades+'!$AI$11,"C",IF(T473&lt;'PlayerGrades+'!$AI$10,"C+",IF(T473&lt;'PlayerGrades+'!$AI$9,"B-",IF(T473&lt;'PlayerGrades+'!$AI$8,"B",IF(T473&lt;'PlayerGrades+'!$AI$7,"B+",IF(T473&lt;'PlayerGrades+'!$AI$6,"A-",IF(T473&lt;'PlayerGrades+'!$AI$5,"A",IF(T473&lt;'PlayerGrades+'!$AI$4,"A+",IF(T473&lt;'PlayerGrades+'!$AI$3,"S-",IF(T473&lt;'PlayerGrades+'!$AI$2,"S","S+"))))))))))))))))))))</f>
        <v>F-</v>
      </c>
      <c r="V473" s="944">
        <v>1.0</v>
      </c>
      <c r="W473" s="944">
        <v>0.0</v>
      </c>
      <c r="X473" s="944">
        <v>1.0</v>
      </c>
      <c r="Y473" s="944">
        <v>0.0</v>
      </c>
      <c r="Z473" s="944">
        <v>0.0</v>
      </c>
      <c r="AA473" s="944">
        <v>56.0</v>
      </c>
      <c r="AB473" s="944">
        <v>78.0</v>
      </c>
      <c r="AC473" s="944">
        <v>-22.0</v>
      </c>
      <c r="AD473" s="944">
        <v>9.0</v>
      </c>
      <c r="AE473" s="944">
        <v>3.0</v>
      </c>
      <c r="AF473" s="944">
        <v>3.0</v>
      </c>
      <c r="AG473" s="944">
        <v>980.0</v>
      </c>
      <c r="AH473" s="944">
        <v>1320.0</v>
      </c>
      <c r="AI473" s="944">
        <v>12.0</v>
      </c>
      <c r="AJ473" s="944">
        <v>2.0</v>
      </c>
      <c r="AK473" s="944">
        <v>0.0</v>
      </c>
      <c r="AL473" s="944">
        <v>0.0</v>
      </c>
      <c r="AM473" s="944">
        <v>0.0</v>
      </c>
      <c r="AN473" s="944">
        <v>0.0</v>
      </c>
      <c r="AO473" s="944">
        <v>0.0</v>
      </c>
      <c r="AP473" s="944">
        <v>0.0</v>
      </c>
      <c r="AQ473" s="944">
        <v>0.0</v>
      </c>
      <c r="AR473" s="944">
        <v>5.0</v>
      </c>
      <c r="AS473" s="944">
        <v>0.0</v>
      </c>
      <c r="AT473" s="944">
        <v>0.0</v>
      </c>
      <c r="AU473" s="944">
        <v>0.0</v>
      </c>
      <c r="AV473" s="944">
        <v>0.0</v>
      </c>
      <c r="AW473" s="944">
        <v>0.0</v>
      </c>
      <c r="AX473" s="944">
        <v>0.0</v>
      </c>
      <c r="AY473" s="944">
        <v>0.0</v>
      </c>
      <c r="AZ473" s="944">
        <v>0.0</v>
      </c>
      <c r="BA473" s="944">
        <v>0.0</v>
      </c>
      <c r="BB473" s="944">
        <v>2.0</v>
      </c>
      <c r="BC473" s="944">
        <v>0.0</v>
      </c>
      <c r="BD473" s="944">
        <v>6.0</v>
      </c>
      <c r="BE473" s="944">
        <v>9.0</v>
      </c>
      <c r="BF473" s="944">
        <v>0.0</v>
      </c>
      <c r="BG473" s="945">
        <v>0.0</v>
      </c>
    </row>
    <row r="474">
      <c r="A474" s="964" t="s">
        <v>132</v>
      </c>
      <c r="B474" s="16" t="str">
        <f>IF(C474&lt;'PlayerGrades+'!$Y$44,"F-",IF(C474&lt;'PlayerGrades+'!$Y$43,"F",IF(C474&lt;'PlayerGrades+'!$Y$42,"F+",IF(C474&lt;'PlayerGrades+'!$Y$41,"E-",IF(C474&lt;'PlayerGrades+'!$Y$40,"E",IF(C474&lt;'PlayerGrades+'!$Y$39,"E+",IF(C474&lt;'PlayerGrades+'!$Y$38,"D-",IF(C474&lt;'PlayerGrades+'!$Y$37,"D",IF(C474&lt;'PlayerGrades+'!$Y$36,"D+",IF(C474&lt;'PlayerGrades+'!$Y$35,"C-",IF(C474&lt;'PlayerGrades+'!$Y$34,"C",IF(C474&lt;'PlayerGrades+'!$Y$33,"C+",IF(C474&lt;'PlayerGrades+'!$Y$32,"B-",IF(C474&lt;'PlayerGrades+'!$Y$31,"B",IF(C474&lt;'PlayerGrades+'!$Y$30,"B+",IF(C474&lt;'PlayerGrades+'!$Y$29,"A-",IF(C474&lt;'PlayerGrades+'!$Y$28,"A",IF(C474&lt;'PlayerGrades+'!$Y$27,"A+",IF(C474&lt;'PlayerGrades+'!$Y$26,"S-",IF(C474&lt;'PlayerGrades+'!$Y$25,"S","S+"))))))))))))))))))))</f>
        <v>C-</v>
      </c>
      <c r="C474" s="936">
        <f>('PlayerGrades+'!$Y$47*(VLOOKUP(E474, 'PlayerGrades+'!$X$3:$Y$23, 2, FALSE)))+('PlayerGrades+'!$Y$48*(VLOOKUP(G474, 'PlayerGrades+'!$X$3:$Y$23, 2, FALSE)))+('PlayerGrades+'!$Y$49*(VLOOKUP(I474, 'PlayerGrades+'!$X$3:$Y$23, 2, FALSE)))+('PlayerGrades+'!$Y$50*(VLOOKUP(K474, 'PlayerGrades+'!$X$3:$Y$23, 2, FALSE)))+('PlayerGrades+'!$Y$51*(VLOOKUP(M474, 'PlayerGrades+'!$X$3:$Y$23, 2, FALSE)))+('PlayerGrades+'!$Y$52*(VLOOKUP(O474, 'PlayerGrades+'!$X$3:$Y$23, 2, FALSE)))+('PlayerGrades+'!$Y$53*(VLOOKUP(Q474, 'PlayerGrades+'!$X$3:$Y$23, 2, FALSE)))+('PlayerGrades+'!$Y$54*(VLOOKUP(S474, 'PlayerGrades+'!$X$3:$Y$23, 2, FALSE)))+('PlayerGrades+'!$Y$55*(VLOOKUP(U474, 'PlayerGrades+'!$X$3:$Y$23, 2, FALSE)))</f>
        <v>19.35</v>
      </c>
      <c r="D474" s="937">
        <f t="shared" si="1"/>
        <v>1.098901099</v>
      </c>
      <c r="E474" s="937" t="str">
        <f>IF(D474&lt;'PlayerGrades+'!$AA$21,"F-",IF(D474&lt;'PlayerGrades+'!$AA$20,"F",IF(D474&lt;'PlayerGrades+'!$AA$19,"F+",IF(D474&lt;'PlayerGrades+'!$AA$18,"E-",IF(D474&lt;'PlayerGrades+'!$AA$17,"E",IF(D474&lt;'PlayerGrades+'!$AA$16,"E+",IF(D474&lt;'PlayerGrades+'!$AA$15,"D-",IF(D474&lt;'PlayerGrades+'!$AA$14,"D",IF(D474&lt;'PlayerGrades+'!$AA$13,"D+",IF(D474&lt;'PlayerGrades+'!$AA$12,"C-",IF(D474&lt;'PlayerGrades+'!$AA$11,"C",IF(D474&lt;'PlayerGrades+'!$AA$10,"C+",IF(D474&lt;'PlayerGrades+'!$AA$9,"B-",IF(D474&lt;'PlayerGrades+'!$AA$8,"B",IF(D474&lt;'PlayerGrades+'!$AA$7,"B+",IF(D474&lt;'PlayerGrades+'!$AA$6,"A-",IF(D474&lt;'PlayerGrades+'!$AA$5,"A",IF(D474&lt;'PlayerGrades+'!$AA$4,"A+",IF(D474&lt;'PlayerGrades+'!$AA$3,"S-",IF(D474&lt;'PlayerGrades+'!$AA$2,"S","S+"))))))))))))))))))))</f>
        <v>S+</v>
      </c>
      <c r="F474" s="937">
        <f t="shared" si="2"/>
        <v>1.043956044</v>
      </c>
      <c r="G474" s="937" t="str">
        <f>IF(F474&lt;'PlayerGrades+'!$AB$21,"F-",IF(F474&lt;'PlayerGrades+'!$AB$20,"F",IF(F474&lt;'PlayerGrades+'!$AB$19,"F+",IF(F474&lt;'PlayerGrades+'!$AB$18,"E-",IF(F474&lt;'PlayerGrades+'!$AB$17,"E",IF(F474&lt;'PlayerGrades+'!$AB$16,"E+",IF(F474&lt;'PlayerGrades+'!$AB$15,"D-",IF(F474&lt;'PlayerGrades+'!$AB$14,"D",IF(F474&lt;'PlayerGrades+'!$AB$13,"D+",IF(F474&lt;'PlayerGrades+'!$AB$12,"C-",IF(F474&lt;'PlayerGrades+'!$AB$11,"C",IF(F474&lt;'PlayerGrades+'!$AB$10,"C+",IF(F474&lt;'PlayerGrades+'!$AB$9,"B-",IF(F474&lt;'PlayerGrades+'!$AB$8,"B",IF(F474&lt;'PlayerGrades+'!$AB$7,"B+",IF(F474&lt;'PlayerGrades+'!$AB$6,"A-",IF(F474&lt;'PlayerGrades+'!$AB$5,"A",IF(F474&lt;'PlayerGrades+'!$AB$4,"A+",IF(F474&lt;'PlayerGrades+'!$AB$3,"S-",IF(F474&lt;'PlayerGrades+'!$AB$2,"S","S+"))))))))))))))))))))</f>
        <v>S+</v>
      </c>
      <c r="H474" s="937">
        <f t="shared" si="3"/>
        <v>0</v>
      </c>
      <c r="I474" s="937" t="str">
        <f>IF(H474&lt;'PlayerGrades+'!$AC$21,"F-",IF(H474&lt;'PlayerGrades+'!$AC$20,"F",IF(H474&lt;'PlayerGrades+'!$AC$19,"F+",IF(H474&lt;'PlayerGrades+'!$AC$18,"E-",IF(H474&lt;'PlayerGrades+'!$AC$17,"E",IF(H474&lt;'PlayerGrades+'!$AC$16,"E+",IF(H474&lt;'PlayerGrades+'!$AC$15,"D-",IF(H474&lt;'PlayerGrades+'!$AC$14,"D",IF(H474&lt;'PlayerGrades+'!$AC$13,"D+",IF(H474&lt;'PlayerGrades+'!$AC$12,"C-",IF(H474&lt;'PlayerGrades+'!$AC$11,"C",IF(H474&lt;'PlayerGrades+'!$AC$10,"C+",IF(H474&lt;'PlayerGrades+'!$AC$9,"B-",IF(H474&lt;'PlayerGrades+'!$AC$8,"B",IF(H474&lt;'PlayerGrades+'!$AC$7,"B+",IF(H474&lt;'PlayerGrades+'!$AC$6,"A-",IF(H474&lt;'PlayerGrades+'!$AC$5,"A",IF(H474&lt;'PlayerGrades+'!$AC$4,"A+",IF(H474&lt;'PlayerGrades+'!$AC$3,"S-",IF(H474&lt;'PlayerGrades+'!$AC$2,"S","S+"))))))))))))))))))))</f>
        <v>F-</v>
      </c>
      <c r="J474" s="937">
        <f t="shared" si="4"/>
        <v>0.1098901099</v>
      </c>
      <c r="K474" s="937" t="str">
        <f>IF(J474&lt;'PlayerGrades+'!$AD$21,"F-",IF(J474&lt;'PlayerGrades+'!$AD$20,"F",IF(J474&lt;'PlayerGrades+'!$AD$19,"F+",IF(J474&lt;'PlayerGrades+'!$AD$18,"E-",IF(J474&lt;'PlayerGrades+'!$AD$17,"E",IF(J474&lt;'PlayerGrades+'!$AD$16,"E+",IF(J474&lt;'PlayerGrades+'!$AD$15,"D-",IF(J474&lt;'PlayerGrades+'!$AD$14,"D",IF(J474&lt;'PlayerGrades+'!$AD$13,"D+",IF(J474&lt;'PlayerGrades+'!$AD$12,"C-",IF(J474&lt;'PlayerGrades+'!$AD$11,"C",IF(J474&lt;'PlayerGrades+'!$AD$10,"C+",IF(J474&lt;'PlayerGrades+'!$AD$9,"B-",IF(J474&lt;'PlayerGrades+'!$AD$8,"B",IF(J474&lt;'PlayerGrades+'!$AD$7,"B+",IF(J474&lt;'PlayerGrades+'!$AD$6,"A-",IF(J474&lt;'PlayerGrades+'!$AD$5,"A",IF(J474&lt;'PlayerGrades+'!$AD$4,"A+",IF(J474&lt;'PlayerGrades+'!$AD$3,"S-",IF(J474&lt;'PlayerGrades+'!$AD$2,"S","S+"))))))))))))))))))))</f>
        <v>S+</v>
      </c>
      <c r="L474" s="677">
        <f t="shared" si="5"/>
        <v>0.4395604396</v>
      </c>
      <c r="M474" s="938" t="str">
        <f>IF(L474&lt;'PlayerGrades+'!$AE$21,"F-",IF(L474&lt;'PlayerGrades+'!$AE$20,"F",IF(L474&lt;'PlayerGrades+'!$AE$19,"F+",IF(L474&lt;'PlayerGrades+'!$AE$18,"E-",IF(L474&lt;'PlayerGrades+'!$AE$17,"E",IF(L474&lt;'PlayerGrades+'!$AE$16,"E+",IF(L474&lt;'PlayerGrades+'!$AE$15,"D-",IF(L474&lt;'PlayerGrades+'!$AE$14,"D",IF(L474&lt;'PlayerGrades+'!$AE$13,"D+",IF(L474&lt;'PlayerGrades+'!$AE$12,"C-",IF(L474&lt;'PlayerGrades+'!$AE$11,"C",IF(L474&lt;'PlayerGrades+'!$AE$10,"C+",IF(L474&lt;'PlayerGrades+'!$AE$9,"B-",IF(L474&lt;'PlayerGrades+'!$AE$8,"B",IF(L474&lt;'PlayerGrades+'!$AE$7,"B+",IF(L474&lt;'PlayerGrades+'!$AE$6,"A-",IF(L474&lt;'PlayerGrades+'!$AE$5,"A",IF(L474&lt;'PlayerGrades+'!$AE$4,"A+",IF(L474&lt;'PlayerGrades+'!$AE$3,"S-",IF(L474&lt;'PlayerGrades+'!$AE$2,"S","S+"))))))))))))))))))))</f>
        <v>B</v>
      </c>
      <c r="N474" s="937">
        <f t="shared" si="6"/>
        <v>0</v>
      </c>
      <c r="O474" s="937" t="str">
        <f>IF(N474&lt;'PlayerGrades+'!$AF$21,"F-",IF(N474&lt;'PlayerGrades+'!$AF$20,"F",IF(N474&lt;'PlayerGrades+'!$AF$19,"F+",IF(N474&lt;'PlayerGrades+'!$AF$18,"E-",IF(N474&lt;'PlayerGrades+'!$AF$17,"E",IF(N474&lt;'PlayerGrades+'!$AF$16,"E+",IF(N474&lt;'PlayerGrades+'!$AF$15,"D-",IF(N474&lt;'PlayerGrades+'!$AF$14,"D",IF(N474&lt;'PlayerGrades+'!$AF$13,"D+",IF(N474&lt;'PlayerGrades+'!$AF$12,"C-",IF(N474&lt;'PlayerGrades+'!$AF$11,"C",IF(N474&lt;'PlayerGrades+'!$AF$10,"C+",IF(N474&lt;'PlayerGrades+'!$AF$9,"B-",IF(N474&lt;'PlayerGrades+'!$AF$8,"B",IF(N474&lt;'PlayerGrades+'!$AF$7,"B+",IF(N474&lt;'PlayerGrades+'!$AF$6,"A-",IF(N474&lt;'PlayerGrades+'!$AF$5,"A",IF(N474&lt;'PlayerGrades+'!$AF$4,"A+",IF(N474&lt;'PlayerGrades+'!$AF$3,"S-",IF(N474&lt;'PlayerGrades+'!$AF$2,"S","S+"))))))))))))))))))))</f>
        <v>F-</v>
      </c>
      <c r="P474" s="937">
        <f t="shared" si="7"/>
        <v>0</v>
      </c>
      <c r="Q474" s="937" t="str">
        <f>IF(P474&lt;'PlayerGrades+'!$AG$21,"F-",IF(P474&lt;'PlayerGrades+'!$AG$20,"F",IF(P474&lt;'PlayerGrades+'!$AG$19,"F+",IF(P474&lt;'PlayerGrades+'!$AG$18,"E-",IF(P474&lt;'PlayerGrades+'!$AG$17,"E",IF(P474&lt;'PlayerGrades+'!$AG$16,"E+",IF(P474&lt;'PlayerGrades+'!$AG$15,"D-",IF(P474&lt;'PlayerGrades+'!$AG$14,"D",IF(P474&lt;'PlayerGrades+'!$AG$13,"D+",IF(P474&lt;'PlayerGrades+'!$AG$12,"C-",IF(P474&lt;'PlayerGrades+'!$AG$11,"C",IF(P474&lt;'PlayerGrades+'!$AG$10,"C+",IF(P474&lt;'PlayerGrades+'!$AG$9,"B-",IF(P474&lt;'PlayerGrades+'!$AG$8,"B",IF(P474&lt;'PlayerGrades+'!$AG$7,"B+",IF(P474&lt;'PlayerGrades+'!$AG$6,"A-",IF(P474&lt;'PlayerGrades+'!$AG$5,"A",IF(P474&lt;'PlayerGrades+'!$AG$4,"A+",IF(P474&lt;'PlayerGrades+'!$AG$3,"S-",IF(P474&lt;'PlayerGrades+'!$AG$2,"S","S+"))))))))))))))))))))</f>
        <v>F</v>
      </c>
      <c r="R474" s="937">
        <f t="shared" si="8"/>
        <v>0.3296703297</v>
      </c>
      <c r="S474" s="937" t="str">
        <f>IF(R474&lt;'PlayerGrades+'!$AH$21,"F-",IF(R474&lt;'PlayerGrades+'!$AH$20,"F",IF(R474&lt;'PlayerGrades+'!$AH$19,"F+",IF(R474&lt;'PlayerGrades+'!$AH$18,"E-",IF(R474&lt;'PlayerGrades+'!$AH$17,"E",IF(R474&lt;'PlayerGrades+'!$AH$16,"E+",IF(R474&lt;'PlayerGrades+'!$AH$15,"D-",IF(R474&lt;'PlayerGrades+'!$AH$14,"D",IF(R474&lt;'PlayerGrades+'!$AH$13,"D+",IF(R474&lt;'PlayerGrades+'!$AH$12,"C-",IF(R474&lt;'PlayerGrades+'!$AH$11,"C",IF(R474&lt;'PlayerGrades+'!$AH$10,"C+",IF(R474&lt;'PlayerGrades+'!$AH$9,"B-",IF(R474&lt;'PlayerGrades+'!$AH$8,"B",IF(R474&lt;'PlayerGrades+'!$AH$7,"B+",IF(R474&lt;'PlayerGrades+'!$AH$6,"A-",IF(R474&lt;'PlayerGrades+'!$AH$5,"A",IF(R474&lt;'PlayerGrades+'!$AH$4,"A+",IF(R474&lt;'PlayerGrades+'!$AH$3,"S-",IF(R474&lt;'PlayerGrades+'!$AH$2,"S","S+"))))))))))))))))))))</f>
        <v>F</v>
      </c>
      <c r="T474" s="937">
        <f t="shared" si="9"/>
        <v>3.164835165</v>
      </c>
      <c r="U474" s="937" t="str">
        <f>IF(T474&lt;'PlayerGrades+'!$AI$21,"F-",IF(T474&lt;'PlayerGrades+'!$AI$20,"F",IF(T474&lt;'PlayerGrades+'!$AI$19,"F+",IF(T474&lt;'PlayerGrades+'!$AI$18,"E-",IF(T474&lt;'PlayerGrades+'!$AI$17,"E",IF(T474&lt;'PlayerGrades+'!$AI$16,"E+",IF(T474&lt;'PlayerGrades+'!$AI$15,"D-",IF(T474&lt;'PlayerGrades+'!$AI$14,"D",IF(T474&lt;'PlayerGrades+'!$AI$13,"D+",IF(T474&lt;'PlayerGrades+'!$AI$12,"C-",IF(T474&lt;'PlayerGrades+'!$AI$11,"C",IF(T474&lt;'PlayerGrades+'!$AI$10,"C+",IF(T474&lt;'PlayerGrades+'!$AI$9,"B-",IF(T474&lt;'PlayerGrades+'!$AI$8,"B",IF(T474&lt;'PlayerGrades+'!$AI$7,"B+",IF(T474&lt;'PlayerGrades+'!$AI$6,"A-",IF(T474&lt;'PlayerGrades+'!$AI$5,"A",IF(T474&lt;'PlayerGrades+'!$AI$4,"A+",IF(T474&lt;'PlayerGrades+'!$AI$3,"S-",IF(T474&lt;'PlayerGrades+'!$AI$2,"S","S+"))))))))))))))))))))</f>
        <v>S+</v>
      </c>
      <c r="V474" s="939">
        <v>1.0</v>
      </c>
      <c r="W474" s="939">
        <v>1.0</v>
      </c>
      <c r="X474" s="939">
        <v>0.0</v>
      </c>
      <c r="Y474" s="939">
        <v>5.0</v>
      </c>
      <c r="Z474" s="939">
        <v>15.0</v>
      </c>
      <c r="AA474" s="939">
        <v>43.0</v>
      </c>
      <c r="AB474" s="939">
        <v>24.0</v>
      </c>
      <c r="AC474" s="939">
        <v>19.0</v>
      </c>
      <c r="AD474" s="939">
        <v>0.0</v>
      </c>
      <c r="AE474" s="939">
        <v>6.0</v>
      </c>
      <c r="AF474" s="939">
        <v>1.0</v>
      </c>
      <c r="AG474" s="939">
        <v>921.0</v>
      </c>
      <c r="AH474" s="939">
        <v>1092.0</v>
      </c>
      <c r="AI474" s="939">
        <v>38.0</v>
      </c>
      <c r="AJ474" s="939">
        <v>617.0</v>
      </c>
      <c r="AK474" s="939">
        <v>0.0</v>
      </c>
      <c r="AL474" s="939">
        <v>2.0</v>
      </c>
      <c r="AM474" s="939">
        <v>0.0</v>
      </c>
      <c r="AN474" s="939">
        <v>0.0</v>
      </c>
      <c r="AO474" s="939">
        <v>0.0</v>
      </c>
      <c r="AP474" s="939">
        <v>0.0</v>
      </c>
      <c r="AQ474" s="939">
        <v>0.0</v>
      </c>
      <c r="AR474" s="939">
        <v>8.0</v>
      </c>
      <c r="AS474" s="939">
        <v>0.0</v>
      </c>
      <c r="AT474" s="939">
        <v>0.0</v>
      </c>
      <c r="AU474" s="939">
        <v>0.0</v>
      </c>
      <c r="AV474" s="939">
        <v>0.0</v>
      </c>
      <c r="AW474" s="939">
        <v>0.0</v>
      </c>
      <c r="AX474" s="939">
        <v>0.0</v>
      </c>
      <c r="AY474" s="939">
        <v>0.0</v>
      </c>
      <c r="AZ474" s="939">
        <v>0.0</v>
      </c>
      <c r="BA474" s="939">
        <v>0.0</v>
      </c>
      <c r="BB474" s="939">
        <v>0.0</v>
      </c>
      <c r="BC474" s="939">
        <v>0.0</v>
      </c>
      <c r="BD474" s="939">
        <v>6.0</v>
      </c>
      <c r="BE474" s="939">
        <v>3.0</v>
      </c>
      <c r="BF474" s="939">
        <v>3.0</v>
      </c>
      <c r="BG474" s="940">
        <v>1.0</v>
      </c>
    </row>
    <row r="475">
      <c r="A475" s="965" t="s">
        <v>154</v>
      </c>
      <c r="B475" s="16" t="str">
        <f>IF(C475&lt;'PlayerGrades+'!$Y$44,"F-",IF(C475&lt;'PlayerGrades+'!$Y$43,"F",IF(C475&lt;'PlayerGrades+'!$Y$42,"F+",IF(C475&lt;'PlayerGrades+'!$Y$41,"E-",IF(C475&lt;'PlayerGrades+'!$Y$40,"E",IF(C475&lt;'PlayerGrades+'!$Y$39,"E+",IF(C475&lt;'PlayerGrades+'!$Y$38,"D-",IF(C475&lt;'PlayerGrades+'!$Y$37,"D",IF(C475&lt;'PlayerGrades+'!$Y$36,"D+",IF(C475&lt;'PlayerGrades+'!$Y$35,"C-",IF(C475&lt;'PlayerGrades+'!$Y$34,"C",IF(C475&lt;'PlayerGrades+'!$Y$33,"C+",IF(C475&lt;'PlayerGrades+'!$Y$32,"B-",IF(C475&lt;'PlayerGrades+'!$Y$31,"B",IF(C475&lt;'PlayerGrades+'!$Y$30,"B+",IF(C475&lt;'PlayerGrades+'!$Y$29,"A-",IF(C475&lt;'PlayerGrades+'!$Y$28,"A",IF(C475&lt;'PlayerGrades+'!$Y$27,"A+",IF(C475&lt;'PlayerGrades+'!$Y$26,"S-",IF(C475&lt;'PlayerGrades+'!$Y$25,"S","S+"))))))))))))))))))))</f>
        <v>F</v>
      </c>
      <c r="C475" s="936">
        <f>('PlayerGrades+'!$Y$47*(VLOOKUP(E475, 'PlayerGrades+'!$X$3:$Y$23, 2, FALSE)))+('PlayerGrades+'!$Y$48*(VLOOKUP(G475, 'PlayerGrades+'!$X$3:$Y$23, 2, FALSE)))+('PlayerGrades+'!$Y$49*(VLOOKUP(I475, 'PlayerGrades+'!$X$3:$Y$23, 2, FALSE)))+('PlayerGrades+'!$Y$50*(VLOOKUP(K475, 'PlayerGrades+'!$X$3:$Y$23, 2, FALSE)))+('PlayerGrades+'!$Y$51*(VLOOKUP(M475, 'PlayerGrades+'!$X$3:$Y$23, 2, FALSE)))+('PlayerGrades+'!$Y$52*(VLOOKUP(O475, 'PlayerGrades+'!$X$3:$Y$23, 2, FALSE)))+('PlayerGrades+'!$Y$53*(VLOOKUP(Q475, 'PlayerGrades+'!$X$3:$Y$23, 2, FALSE)))+('PlayerGrades+'!$Y$54*(VLOOKUP(S475, 'PlayerGrades+'!$X$3:$Y$23, 2, FALSE)))+('PlayerGrades+'!$Y$55*(VLOOKUP(U475, 'PlayerGrades+'!$X$3:$Y$23, 2, FALSE)))</f>
        <v>9.65</v>
      </c>
      <c r="D475" s="937">
        <f t="shared" si="1"/>
        <v>0</v>
      </c>
      <c r="E475" s="937" t="str">
        <f>IF(D475&lt;'PlayerGrades+'!$AA$21,"F-",IF(D475&lt;'PlayerGrades+'!$AA$20,"F",IF(D475&lt;'PlayerGrades+'!$AA$19,"F+",IF(D475&lt;'PlayerGrades+'!$AA$18,"E-",IF(D475&lt;'PlayerGrades+'!$AA$17,"E",IF(D475&lt;'PlayerGrades+'!$AA$16,"E+",IF(D475&lt;'PlayerGrades+'!$AA$15,"D-",IF(D475&lt;'PlayerGrades+'!$AA$14,"D",IF(D475&lt;'PlayerGrades+'!$AA$13,"D+",IF(D475&lt;'PlayerGrades+'!$AA$12,"C-",IF(D475&lt;'PlayerGrades+'!$AA$11,"C",IF(D475&lt;'PlayerGrades+'!$AA$10,"C+",IF(D475&lt;'PlayerGrades+'!$AA$9,"B-",IF(D475&lt;'PlayerGrades+'!$AA$8,"B",IF(D475&lt;'PlayerGrades+'!$AA$7,"B+",IF(D475&lt;'PlayerGrades+'!$AA$6,"A-",IF(D475&lt;'PlayerGrades+'!$AA$5,"A",IF(D475&lt;'PlayerGrades+'!$AA$4,"A+",IF(D475&lt;'PlayerGrades+'!$AA$3,"S-",IF(D475&lt;'PlayerGrades+'!$AA$2,"S","S+"))))))))))))))))))))</f>
        <v>F-</v>
      </c>
      <c r="F475" s="937">
        <f t="shared" si="2"/>
        <v>-1.208791209</v>
      </c>
      <c r="G475" s="937" t="str">
        <f>IF(F475&lt;'PlayerGrades+'!$AB$21,"F-",IF(F475&lt;'PlayerGrades+'!$AB$20,"F",IF(F475&lt;'PlayerGrades+'!$AB$19,"F+",IF(F475&lt;'PlayerGrades+'!$AB$18,"E-",IF(F475&lt;'PlayerGrades+'!$AB$17,"E",IF(F475&lt;'PlayerGrades+'!$AB$16,"E+",IF(F475&lt;'PlayerGrades+'!$AB$15,"D-",IF(F475&lt;'PlayerGrades+'!$AB$14,"D",IF(F475&lt;'PlayerGrades+'!$AB$13,"D+",IF(F475&lt;'PlayerGrades+'!$AB$12,"C-",IF(F475&lt;'PlayerGrades+'!$AB$11,"C",IF(F475&lt;'PlayerGrades+'!$AB$10,"C+",IF(F475&lt;'PlayerGrades+'!$AB$9,"B-",IF(F475&lt;'PlayerGrades+'!$AB$8,"B",IF(F475&lt;'PlayerGrades+'!$AB$7,"B+",IF(F475&lt;'PlayerGrades+'!$AB$6,"A-",IF(F475&lt;'PlayerGrades+'!$AB$5,"A",IF(F475&lt;'PlayerGrades+'!$AB$4,"A+",IF(F475&lt;'PlayerGrades+'!$AB$3,"S-",IF(F475&lt;'PlayerGrades+'!$AB$2,"S","S+"))))))))))))))))))))</f>
        <v>F-</v>
      </c>
      <c r="H475" s="937">
        <f t="shared" si="3"/>
        <v>0.1648351648</v>
      </c>
      <c r="I475" s="937" t="str">
        <f>IF(H475&lt;'PlayerGrades+'!$AC$21,"F-",IF(H475&lt;'PlayerGrades+'!$AC$20,"F",IF(H475&lt;'PlayerGrades+'!$AC$19,"F+",IF(H475&lt;'PlayerGrades+'!$AC$18,"E-",IF(H475&lt;'PlayerGrades+'!$AC$17,"E",IF(H475&lt;'PlayerGrades+'!$AC$16,"E+",IF(H475&lt;'PlayerGrades+'!$AC$15,"D-",IF(H475&lt;'PlayerGrades+'!$AC$14,"D",IF(H475&lt;'PlayerGrades+'!$AC$13,"D+",IF(H475&lt;'PlayerGrades+'!$AC$12,"C-",IF(H475&lt;'PlayerGrades+'!$AC$11,"C",IF(H475&lt;'PlayerGrades+'!$AC$10,"C+",IF(H475&lt;'PlayerGrades+'!$AC$9,"B-",IF(H475&lt;'PlayerGrades+'!$AC$8,"B",IF(H475&lt;'PlayerGrades+'!$AC$7,"B+",IF(H475&lt;'PlayerGrades+'!$AC$6,"A-",IF(H475&lt;'PlayerGrades+'!$AC$5,"A",IF(H475&lt;'PlayerGrades+'!$AC$4,"A+",IF(H475&lt;'PlayerGrades+'!$AC$3,"S-",IF(H475&lt;'PlayerGrades+'!$AC$2,"S","S+"))))))))))))))))))))</f>
        <v>A+</v>
      </c>
      <c r="J475" s="937">
        <f t="shared" si="4"/>
        <v>0</v>
      </c>
      <c r="K475" s="937" t="str">
        <f>IF(J475&lt;'PlayerGrades+'!$AD$21,"F-",IF(J475&lt;'PlayerGrades+'!$AD$20,"F",IF(J475&lt;'PlayerGrades+'!$AD$19,"F+",IF(J475&lt;'PlayerGrades+'!$AD$18,"E-",IF(J475&lt;'PlayerGrades+'!$AD$17,"E",IF(J475&lt;'PlayerGrades+'!$AD$16,"E+",IF(J475&lt;'PlayerGrades+'!$AD$15,"D-",IF(J475&lt;'PlayerGrades+'!$AD$14,"D",IF(J475&lt;'PlayerGrades+'!$AD$13,"D+",IF(J475&lt;'PlayerGrades+'!$AD$12,"C-",IF(J475&lt;'PlayerGrades+'!$AD$11,"C",IF(J475&lt;'PlayerGrades+'!$AD$10,"C+",IF(J475&lt;'PlayerGrades+'!$AD$9,"B-",IF(J475&lt;'PlayerGrades+'!$AD$8,"B",IF(J475&lt;'PlayerGrades+'!$AD$7,"B+",IF(J475&lt;'PlayerGrades+'!$AD$6,"A-",IF(J475&lt;'PlayerGrades+'!$AD$5,"A",IF(J475&lt;'PlayerGrades+'!$AD$4,"A+",IF(J475&lt;'PlayerGrades+'!$AD$3,"S-",IF(J475&lt;'PlayerGrades+'!$AD$2,"S","S+"))))))))))))))))))))</f>
        <v>F-</v>
      </c>
      <c r="L475" s="677">
        <f t="shared" si="5"/>
        <v>0.3846153846</v>
      </c>
      <c r="M475" s="938" t="str">
        <f>IF(L475&lt;'PlayerGrades+'!$AE$21,"F-",IF(L475&lt;'PlayerGrades+'!$AE$20,"F",IF(L475&lt;'PlayerGrades+'!$AE$19,"F+",IF(L475&lt;'PlayerGrades+'!$AE$18,"E-",IF(L475&lt;'PlayerGrades+'!$AE$17,"E",IF(L475&lt;'PlayerGrades+'!$AE$16,"E+",IF(L475&lt;'PlayerGrades+'!$AE$15,"D-",IF(L475&lt;'PlayerGrades+'!$AE$14,"D",IF(L475&lt;'PlayerGrades+'!$AE$13,"D+",IF(L475&lt;'PlayerGrades+'!$AE$12,"C-",IF(L475&lt;'PlayerGrades+'!$AE$11,"C",IF(L475&lt;'PlayerGrades+'!$AE$10,"C+",IF(L475&lt;'PlayerGrades+'!$AE$9,"B-",IF(L475&lt;'PlayerGrades+'!$AE$8,"B",IF(L475&lt;'PlayerGrades+'!$AE$7,"B+",IF(L475&lt;'PlayerGrades+'!$AE$6,"A-",IF(L475&lt;'PlayerGrades+'!$AE$5,"A",IF(L475&lt;'PlayerGrades+'!$AE$4,"A+",IF(L475&lt;'PlayerGrades+'!$AE$3,"S-",IF(L475&lt;'PlayerGrades+'!$AE$2,"S","S+"))))))))))))))))))))</f>
        <v>C</v>
      </c>
      <c r="N475" s="937">
        <f t="shared" si="6"/>
        <v>0</v>
      </c>
      <c r="O475" s="937" t="str">
        <f>IF(N475&lt;'PlayerGrades+'!$AF$21,"F-",IF(N475&lt;'PlayerGrades+'!$AF$20,"F",IF(N475&lt;'PlayerGrades+'!$AF$19,"F+",IF(N475&lt;'PlayerGrades+'!$AF$18,"E-",IF(N475&lt;'PlayerGrades+'!$AF$17,"E",IF(N475&lt;'PlayerGrades+'!$AF$16,"E+",IF(N475&lt;'PlayerGrades+'!$AF$15,"D-",IF(N475&lt;'PlayerGrades+'!$AF$14,"D",IF(N475&lt;'PlayerGrades+'!$AF$13,"D+",IF(N475&lt;'PlayerGrades+'!$AF$12,"C-",IF(N475&lt;'PlayerGrades+'!$AF$11,"C",IF(N475&lt;'PlayerGrades+'!$AF$10,"C+",IF(N475&lt;'PlayerGrades+'!$AF$9,"B-",IF(N475&lt;'PlayerGrades+'!$AF$8,"B",IF(N475&lt;'PlayerGrades+'!$AF$7,"B+",IF(N475&lt;'PlayerGrades+'!$AF$6,"A-",IF(N475&lt;'PlayerGrades+'!$AF$5,"A",IF(N475&lt;'PlayerGrades+'!$AF$4,"A+",IF(N475&lt;'PlayerGrades+'!$AF$3,"S-",IF(N475&lt;'PlayerGrades+'!$AF$2,"S","S+"))))))))))))))))))))</f>
        <v>F-</v>
      </c>
      <c r="P475" s="937">
        <f t="shared" si="7"/>
        <v>0</v>
      </c>
      <c r="Q475" s="937" t="str">
        <f>IF(P475&lt;'PlayerGrades+'!$AG$21,"F-",IF(P475&lt;'PlayerGrades+'!$AG$20,"F",IF(P475&lt;'PlayerGrades+'!$AG$19,"F+",IF(P475&lt;'PlayerGrades+'!$AG$18,"E-",IF(P475&lt;'PlayerGrades+'!$AG$17,"E",IF(P475&lt;'PlayerGrades+'!$AG$16,"E+",IF(P475&lt;'PlayerGrades+'!$AG$15,"D-",IF(P475&lt;'PlayerGrades+'!$AG$14,"D",IF(P475&lt;'PlayerGrades+'!$AG$13,"D+",IF(P475&lt;'PlayerGrades+'!$AG$12,"C-",IF(P475&lt;'PlayerGrades+'!$AG$11,"C",IF(P475&lt;'PlayerGrades+'!$AG$10,"C+",IF(P475&lt;'PlayerGrades+'!$AG$9,"B-",IF(P475&lt;'PlayerGrades+'!$AG$8,"B",IF(P475&lt;'PlayerGrades+'!$AG$7,"B+",IF(P475&lt;'PlayerGrades+'!$AG$6,"A-",IF(P475&lt;'PlayerGrades+'!$AG$5,"A",IF(P475&lt;'PlayerGrades+'!$AG$4,"A+",IF(P475&lt;'PlayerGrades+'!$AG$3,"S-",IF(P475&lt;'PlayerGrades+'!$AG$2,"S","S+"))))))))))))))))))))</f>
        <v>F</v>
      </c>
      <c r="R475" s="937">
        <f t="shared" si="8"/>
        <v>0.4395604396</v>
      </c>
      <c r="S475" s="937" t="str">
        <f>IF(R475&lt;'PlayerGrades+'!$AH$21,"F-",IF(R475&lt;'PlayerGrades+'!$AH$20,"F",IF(R475&lt;'PlayerGrades+'!$AH$19,"F+",IF(R475&lt;'PlayerGrades+'!$AH$18,"E-",IF(R475&lt;'PlayerGrades+'!$AH$17,"E",IF(R475&lt;'PlayerGrades+'!$AH$16,"E+",IF(R475&lt;'PlayerGrades+'!$AH$15,"D-",IF(R475&lt;'PlayerGrades+'!$AH$14,"D",IF(R475&lt;'PlayerGrades+'!$AH$13,"D+",IF(R475&lt;'PlayerGrades+'!$AH$12,"C-",IF(R475&lt;'PlayerGrades+'!$AH$11,"C",IF(R475&lt;'PlayerGrades+'!$AH$10,"C+",IF(R475&lt;'PlayerGrades+'!$AH$9,"B-",IF(R475&lt;'PlayerGrades+'!$AH$8,"B",IF(R475&lt;'PlayerGrades+'!$AH$7,"B+",IF(R475&lt;'PlayerGrades+'!$AH$6,"A-",IF(R475&lt;'PlayerGrades+'!$AH$5,"A",IF(R475&lt;'PlayerGrades+'!$AH$4,"A+",IF(R475&lt;'PlayerGrades+'!$AH$3,"S-",IF(R475&lt;'PlayerGrades+'!$AH$2,"S","S+"))))))))))))))))))))</f>
        <v>E-</v>
      </c>
      <c r="T475" s="937">
        <f t="shared" si="9"/>
        <v>0.2747252747</v>
      </c>
      <c r="U475" s="937" t="str">
        <f>IF(T475&lt;'PlayerGrades+'!$AI$21,"F-",IF(T475&lt;'PlayerGrades+'!$AI$20,"F",IF(T475&lt;'PlayerGrades+'!$AI$19,"F+",IF(T475&lt;'PlayerGrades+'!$AI$18,"E-",IF(T475&lt;'PlayerGrades+'!$AI$17,"E",IF(T475&lt;'PlayerGrades+'!$AI$16,"E+",IF(T475&lt;'PlayerGrades+'!$AI$15,"D-",IF(T475&lt;'PlayerGrades+'!$AI$14,"D",IF(T475&lt;'PlayerGrades+'!$AI$13,"D+",IF(T475&lt;'PlayerGrades+'!$AI$12,"C-",IF(T475&lt;'PlayerGrades+'!$AI$11,"C",IF(T475&lt;'PlayerGrades+'!$AI$10,"C+",IF(T475&lt;'PlayerGrades+'!$AI$9,"B-",IF(T475&lt;'PlayerGrades+'!$AI$8,"B",IF(T475&lt;'PlayerGrades+'!$AI$7,"B+",IF(T475&lt;'PlayerGrades+'!$AI$6,"A-",IF(T475&lt;'PlayerGrades+'!$AI$5,"A",IF(T475&lt;'PlayerGrades+'!$AI$4,"A+",IF(T475&lt;'PlayerGrades+'!$AI$3,"S-",IF(T475&lt;'PlayerGrades+'!$AI$2,"S","S+"))))))))))))))))))))</f>
        <v>F-</v>
      </c>
      <c r="V475" s="941">
        <v>1.0</v>
      </c>
      <c r="W475" s="941">
        <v>1.0</v>
      </c>
      <c r="X475" s="941">
        <v>0.0</v>
      </c>
      <c r="Y475" s="941">
        <v>0.0</v>
      </c>
      <c r="Z475" s="941">
        <v>0.0</v>
      </c>
      <c r="AA475" s="941">
        <v>48.0</v>
      </c>
      <c r="AB475" s="941">
        <v>70.0</v>
      </c>
      <c r="AC475" s="941">
        <v>-22.0</v>
      </c>
      <c r="AD475" s="941">
        <v>4.0</v>
      </c>
      <c r="AE475" s="941">
        <v>3.0</v>
      </c>
      <c r="AF475" s="941">
        <v>0.0</v>
      </c>
      <c r="AG475" s="941">
        <v>792.0</v>
      </c>
      <c r="AH475" s="941">
        <v>1092.0</v>
      </c>
      <c r="AI475" s="941">
        <v>11.0</v>
      </c>
      <c r="AJ475" s="941">
        <v>0.0</v>
      </c>
      <c r="AK475" s="941">
        <v>0.0</v>
      </c>
      <c r="AL475" s="941">
        <v>0.0</v>
      </c>
      <c r="AM475" s="941">
        <v>0.0</v>
      </c>
      <c r="AN475" s="941">
        <v>0.0</v>
      </c>
      <c r="AO475" s="941">
        <v>0.0</v>
      </c>
      <c r="AP475" s="941">
        <v>0.0</v>
      </c>
      <c r="AQ475" s="941">
        <v>0.0</v>
      </c>
      <c r="AR475" s="941">
        <v>7.0</v>
      </c>
      <c r="AS475" s="941">
        <v>0.0</v>
      </c>
      <c r="AT475" s="941">
        <v>0.0</v>
      </c>
      <c r="AU475" s="941">
        <v>0.0</v>
      </c>
      <c r="AV475" s="941">
        <v>0.0</v>
      </c>
      <c r="AW475" s="941">
        <v>0.0</v>
      </c>
      <c r="AX475" s="941">
        <v>0.0</v>
      </c>
      <c r="AY475" s="941">
        <v>0.0</v>
      </c>
      <c r="AZ475" s="941">
        <v>0.0</v>
      </c>
      <c r="BA475" s="941">
        <v>0.0</v>
      </c>
      <c r="BB475" s="941">
        <v>3.0</v>
      </c>
      <c r="BC475" s="941">
        <v>0.0</v>
      </c>
      <c r="BD475" s="941">
        <v>4.0</v>
      </c>
      <c r="BE475" s="941">
        <v>5.0</v>
      </c>
      <c r="BF475" s="941">
        <v>0.0</v>
      </c>
      <c r="BG475" s="942">
        <v>1.0</v>
      </c>
    </row>
    <row r="476">
      <c r="A476" s="965" t="s">
        <v>121</v>
      </c>
      <c r="B476" s="16" t="str">
        <f>IF(C476&lt;'PlayerGrades+'!$Y$44,"F-",IF(C476&lt;'PlayerGrades+'!$Y$43,"F",IF(C476&lt;'PlayerGrades+'!$Y$42,"F+",IF(C476&lt;'PlayerGrades+'!$Y$41,"E-",IF(C476&lt;'PlayerGrades+'!$Y$40,"E",IF(C476&lt;'PlayerGrades+'!$Y$39,"E+",IF(C476&lt;'PlayerGrades+'!$Y$38,"D-",IF(C476&lt;'PlayerGrades+'!$Y$37,"D",IF(C476&lt;'PlayerGrades+'!$Y$36,"D+",IF(C476&lt;'PlayerGrades+'!$Y$35,"C-",IF(C476&lt;'PlayerGrades+'!$Y$34,"C",IF(C476&lt;'PlayerGrades+'!$Y$33,"C+",IF(C476&lt;'PlayerGrades+'!$Y$32,"B-",IF(C476&lt;'PlayerGrades+'!$Y$31,"B",IF(C476&lt;'PlayerGrades+'!$Y$30,"B+",IF(C476&lt;'PlayerGrades+'!$Y$29,"A-",IF(C476&lt;'PlayerGrades+'!$Y$28,"A",IF(C476&lt;'PlayerGrades+'!$Y$27,"A+",IF(C476&lt;'PlayerGrades+'!$Y$26,"S-",IF(C476&lt;'PlayerGrades+'!$Y$25,"S","S+"))))))))))))))))))))</f>
        <v>A</v>
      </c>
      <c r="C476" s="936">
        <f>('PlayerGrades+'!$Y$47*(VLOOKUP(E476, 'PlayerGrades+'!$X$3:$Y$23, 2, FALSE)))+('PlayerGrades+'!$Y$48*(VLOOKUP(G476, 'PlayerGrades+'!$X$3:$Y$23, 2, FALSE)))+('PlayerGrades+'!$Y$49*(VLOOKUP(I476, 'PlayerGrades+'!$X$3:$Y$23, 2, FALSE)))+('PlayerGrades+'!$Y$50*(VLOOKUP(K476, 'PlayerGrades+'!$X$3:$Y$23, 2, FALSE)))+('PlayerGrades+'!$Y$51*(VLOOKUP(M476, 'PlayerGrades+'!$X$3:$Y$23, 2, FALSE)))+('PlayerGrades+'!$Y$52*(VLOOKUP(O476, 'PlayerGrades+'!$X$3:$Y$23, 2, FALSE)))+('PlayerGrades+'!$Y$53*(VLOOKUP(Q476, 'PlayerGrades+'!$X$3:$Y$23, 2, FALSE)))+('PlayerGrades+'!$Y$54*(VLOOKUP(S476, 'PlayerGrades+'!$X$3:$Y$23, 2, FALSE)))+('PlayerGrades+'!$Y$55*(VLOOKUP(U476, 'PlayerGrades+'!$X$3:$Y$23, 2, FALSE)))</f>
        <v>27.5</v>
      </c>
      <c r="D476" s="937">
        <f t="shared" si="1"/>
        <v>0</v>
      </c>
      <c r="E476" s="937" t="str">
        <f>IF(D476&lt;'PlayerGrades+'!$AA$21,"F-",IF(D476&lt;'PlayerGrades+'!$AA$20,"F",IF(D476&lt;'PlayerGrades+'!$AA$19,"F+",IF(D476&lt;'PlayerGrades+'!$AA$18,"E-",IF(D476&lt;'PlayerGrades+'!$AA$17,"E",IF(D476&lt;'PlayerGrades+'!$AA$16,"E+",IF(D476&lt;'PlayerGrades+'!$AA$15,"D-",IF(D476&lt;'PlayerGrades+'!$AA$14,"D",IF(D476&lt;'PlayerGrades+'!$AA$13,"D+",IF(D476&lt;'PlayerGrades+'!$AA$12,"C-",IF(D476&lt;'PlayerGrades+'!$AA$11,"C",IF(D476&lt;'PlayerGrades+'!$AA$10,"C+",IF(D476&lt;'PlayerGrades+'!$AA$9,"B-",IF(D476&lt;'PlayerGrades+'!$AA$8,"B",IF(D476&lt;'PlayerGrades+'!$AA$7,"B+",IF(D476&lt;'PlayerGrades+'!$AA$6,"A-",IF(D476&lt;'PlayerGrades+'!$AA$5,"A",IF(D476&lt;'PlayerGrades+'!$AA$4,"A+",IF(D476&lt;'PlayerGrades+'!$AA$3,"S-",IF(D476&lt;'PlayerGrades+'!$AA$2,"S","S+"))))))))))))))))))))</f>
        <v>F-</v>
      </c>
      <c r="F476" s="937">
        <f t="shared" si="2"/>
        <v>1.263736264</v>
      </c>
      <c r="G476" s="937" t="str">
        <f>IF(F476&lt;'PlayerGrades+'!$AB$21,"F-",IF(F476&lt;'PlayerGrades+'!$AB$20,"F",IF(F476&lt;'PlayerGrades+'!$AB$19,"F+",IF(F476&lt;'PlayerGrades+'!$AB$18,"E-",IF(F476&lt;'PlayerGrades+'!$AB$17,"E",IF(F476&lt;'PlayerGrades+'!$AB$16,"E+",IF(F476&lt;'PlayerGrades+'!$AB$15,"D-",IF(F476&lt;'PlayerGrades+'!$AB$14,"D",IF(F476&lt;'PlayerGrades+'!$AB$13,"D+",IF(F476&lt;'PlayerGrades+'!$AB$12,"C-",IF(F476&lt;'PlayerGrades+'!$AB$11,"C",IF(F476&lt;'PlayerGrades+'!$AB$10,"C+",IF(F476&lt;'PlayerGrades+'!$AB$9,"B-",IF(F476&lt;'PlayerGrades+'!$AB$8,"B",IF(F476&lt;'PlayerGrades+'!$AB$7,"B+",IF(F476&lt;'PlayerGrades+'!$AB$6,"A-",IF(F476&lt;'PlayerGrades+'!$AB$5,"A",IF(F476&lt;'PlayerGrades+'!$AB$4,"A+",IF(F476&lt;'PlayerGrades+'!$AB$3,"S-",IF(F476&lt;'PlayerGrades+'!$AB$2,"S","S+"))))))))))))))))))))</f>
        <v>S+</v>
      </c>
      <c r="H476" s="937">
        <f t="shared" si="3"/>
        <v>0.7692307692</v>
      </c>
      <c r="I476" s="937" t="str">
        <f>IF(H476&lt;'PlayerGrades+'!$AC$21,"F-",IF(H476&lt;'PlayerGrades+'!$AC$20,"F",IF(H476&lt;'PlayerGrades+'!$AC$19,"F+",IF(H476&lt;'PlayerGrades+'!$AC$18,"E-",IF(H476&lt;'PlayerGrades+'!$AC$17,"E",IF(H476&lt;'PlayerGrades+'!$AC$16,"E+",IF(H476&lt;'PlayerGrades+'!$AC$15,"D-",IF(H476&lt;'PlayerGrades+'!$AC$14,"D",IF(H476&lt;'PlayerGrades+'!$AC$13,"D+",IF(H476&lt;'PlayerGrades+'!$AC$12,"C-",IF(H476&lt;'PlayerGrades+'!$AC$11,"C",IF(H476&lt;'PlayerGrades+'!$AC$10,"C+",IF(H476&lt;'PlayerGrades+'!$AC$9,"B-",IF(H476&lt;'PlayerGrades+'!$AC$8,"B",IF(H476&lt;'PlayerGrades+'!$AC$7,"B+",IF(H476&lt;'PlayerGrades+'!$AC$6,"A-",IF(H476&lt;'PlayerGrades+'!$AC$5,"A",IF(H476&lt;'PlayerGrades+'!$AC$4,"A+",IF(H476&lt;'PlayerGrades+'!$AC$3,"S-",IF(H476&lt;'PlayerGrades+'!$AC$2,"S","S+"))))))))))))))))))))</f>
        <v>S+</v>
      </c>
      <c r="J476" s="937">
        <f t="shared" si="4"/>
        <v>0.05494505495</v>
      </c>
      <c r="K476" s="937" t="str">
        <f>IF(J476&lt;'PlayerGrades+'!$AD$21,"F-",IF(J476&lt;'PlayerGrades+'!$AD$20,"F",IF(J476&lt;'PlayerGrades+'!$AD$19,"F+",IF(J476&lt;'PlayerGrades+'!$AD$18,"E-",IF(J476&lt;'PlayerGrades+'!$AD$17,"E",IF(J476&lt;'PlayerGrades+'!$AD$16,"E+",IF(J476&lt;'PlayerGrades+'!$AD$15,"D-",IF(J476&lt;'PlayerGrades+'!$AD$14,"D",IF(J476&lt;'PlayerGrades+'!$AD$13,"D+",IF(J476&lt;'PlayerGrades+'!$AD$12,"C-",IF(J476&lt;'PlayerGrades+'!$AD$11,"C",IF(J476&lt;'PlayerGrades+'!$AD$10,"C+",IF(J476&lt;'PlayerGrades+'!$AD$9,"B-",IF(J476&lt;'PlayerGrades+'!$AD$8,"B",IF(J476&lt;'PlayerGrades+'!$AD$7,"B+",IF(J476&lt;'PlayerGrades+'!$AD$6,"A-",IF(J476&lt;'PlayerGrades+'!$AD$5,"A",IF(J476&lt;'PlayerGrades+'!$AD$4,"A+",IF(J476&lt;'PlayerGrades+'!$AD$3,"S-",IF(J476&lt;'PlayerGrades+'!$AD$2,"S","S+"))))))))))))))))))))</f>
        <v>B+</v>
      </c>
      <c r="L476" s="677">
        <f t="shared" si="5"/>
        <v>0.6593406593</v>
      </c>
      <c r="M476" s="938" t="str">
        <f>IF(L476&lt;'PlayerGrades+'!$AE$21,"F-",IF(L476&lt;'PlayerGrades+'!$AE$20,"F",IF(L476&lt;'PlayerGrades+'!$AE$19,"F+",IF(L476&lt;'PlayerGrades+'!$AE$18,"E-",IF(L476&lt;'PlayerGrades+'!$AE$17,"E",IF(L476&lt;'PlayerGrades+'!$AE$16,"E+",IF(L476&lt;'PlayerGrades+'!$AE$15,"D-",IF(L476&lt;'PlayerGrades+'!$AE$14,"D",IF(L476&lt;'PlayerGrades+'!$AE$13,"D+",IF(L476&lt;'PlayerGrades+'!$AE$12,"C-",IF(L476&lt;'PlayerGrades+'!$AE$11,"C",IF(L476&lt;'PlayerGrades+'!$AE$10,"C+",IF(L476&lt;'PlayerGrades+'!$AE$9,"B-",IF(L476&lt;'PlayerGrades+'!$AE$8,"B",IF(L476&lt;'PlayerGrades+'!$AE$7,"B+",IF(L476&lt;'PlayerGrades+'!$AE$6,"A-",IF(L476&lt;'PlayerGrades+'!$AE$5,"A",IF(L476&lt;'PlayerGrades+'!$AE$4,"A+",IF(L476&lt;'PlayerGrades+'!$AE$3,"S-",IF(L476&lt;'PlayerGrades+'!$AE$2,"S","S+"))))))))))))))))))))</f>
        <v>S</v>
      </c>
      <c r="N476" s="937">
        <f t="shared" si="6"/>
        <v>0.1648351648</v>
      </c>
      <c r="O476" s="937" t="str">
        <f>IF(N476&lt;'PlayerGrades+'!$AF$21,"F-",IF(N476&lt;'PlayerGrades+'!$AF$20,"F",IF(N476&lt;'PlayerGrades+'!$AF$19,"F+",IF(N476&lt;'PlayerGrades+'!$AF$18,"E-",IF(N476&lt;'PlayerGrades+'!$AF$17,"E",IF(N476&lt;'PlayerGrades+'!$AF$16,"E+",IF(N476&lt;'PlayerGrades+'!$AF$15,"D-",IF(N476&lt;'PlayerGrades+'!$AF$14,"D",IF(N476&lt;'PlayerGrades+'!$AF$13,"D+",IF(N476&lt;'PlayerGrades+'!$AF$12,"C-",IF(N476&lt;'PlayerGrades+'!$AF$11,"C",IF(N476&lt;'PlayerGrades+'!$AF$10,"C+",IF(N476&lt;'PlayerGrades+'!$AF$9,"B-",IF(N476&lt;'PlayerGrades+'!$AF$8,"B",IF(N476&lt;'PlayerGrades+'!$AF$7,"B+",IF(N476&lt;'PlayerGrades+'!$AF$6,"A-",IF(N476&lt;'PlayerGrades+'!$AF$5,"A",IF(N476&lt;'PlayerGrades+'!$AF$4,"A+",IF(N476&lt;'PlayerGrades+'!$AF$3,"S-",IF(N476&lt;'PlayerGrades+'!$AF$2,"S","S+"))))))))))))))))))))</f>
        <v>S+</v>
      </c>
      <c r="P476" s="937">
        <f t="shared" si="7"/>
        <v>0.05494505495</v>
      </c>
      <c r="Q476" s="937" t="str">
        <f>IF(P476&lt;'PlayerGrades+'!$AG$21,"F-",IF(P476&lt;'PlayerGrades+'!$AG$20,"F",IF(P476&lt;'PlayerGrades+'!$AG$19,"F+",IF(P476&lt;'PlayerGrades+'!$AG$18,"E-",IF(P476&lt;'PlayerGrades+'!$AG$17,"E",IF(P476&lt;'PlayerGrades+'!$AG$16,"E+",IF(P476&lt;'PlayerGrades+'!$AG$15,"D-",IF(P476&lt;'PlayerGrades+'!$AG$14,"D",IF(P476&lt;'PlayerGrades+'!$AG$13,"D+",IF(P476&lt;'PlayerGrades+'!$AG$12,"C-",IF(P476&lt;'PlayerGrades+'!$AG$11,"C",IF(P476&lt;'PlayerGrades+'!$AG$10,"C+",IF(P476&lt;'PlayerGrades+'!$AG$9,"B-",IF(P476&lt;'PlayerGrades+'!$AG$8,"B",IF(P476&lt;'PlayerGrades+'!$AG$7,"B+",IF(P476&lt;'PlayerGrades+'!$AG$6,"A-",IF(P476&lt;'PlayerGrades+'!$AG$5,"A",IF(P476&lt;'PlayerGrades+'!$AG$4,"A+",IF(P476&lt;'PlayerGrades+'!$AG$3,"S-",IF(P476&lt;'PlayerGrades+'!$AG$2,"S","S+"))))))))))))))))))))</f>
        <v>A</v>
      </c>
      <c r="R476" s="937">
        <f t="shared" si="8"/>
        <v>0.4945054945</v>
      </c>
      <c r="S476" s="937" t="str">
        <f>IF(R476&lt;'PlayerGrades+'!$AH$21,"F-",IF(R476&lt;'PlayerGrades+'!$AH$20,"F",IF(R476&lt;'PlayerGrades+'!$AH$19,"F+",IF(R476&lt;'PlayerGrades+'!$AH$18,"E-",IF(R476&lt;'PlayerGrades+'!$AH$17,"E",IF(R476&lt;'PlayerGrades+'!$AH$16,"E+",IF(R476&lt;'PlayerGrades+'!$AH$15,"D-",IF(R476&lt;'PlayerGrades+'!$AH$14,"D",IF(R476&lt;'PlayerGrades+'!$AH$13,"D+",IF(R476&lt;'PlayerGrades+'!$AH$12,"C-",IF(R476&lt;'PlayerGrades+'!$AH$11,"C",IF(R476&lt;'PlayerGrades+'!$AH$10,"C+",IF(R476&lt;'PlayerGrades+'!$AH$9,"B-",IF(R476&lt;'PlayerGrades+'!$AH$8,"B",IF(R476&lt;'PlayerGrades+'!$AH$7,"B+",IF(R476&lt;'PlayerGrades+'!$AH$6,"A-",IF(R476&lt;'PlayerGrades+'!$AH$5,"A",IF(R476&lt;'PlayerGrades+'!$AH$4,"A+",IF(R476&lt;'PlayerGrades+'!$AH$3,"S-",IF(R476&lt;'PlayerGrades+'!$AH$2,"S","S+"))))))))))))))))))))</f>
        <v>D-</v>
      </c>
      <c r="T476" s="937">
        <f t="shared" si="9"/>
        <v>1.164835165</v>
      </c>
      <c r="U476" s="937" t="str">
        <f>IF(T476&lt;'PlayerGrades+'!$AI$21,"F-",IF(T476&lt;'PlayerGrades+'!$AI$20,"F",IF(T476&lt;'PlayerGrades+'!$AI$19,"F+",IF(T476&lt;'PlayerGrades+'!$AI$18,"E-",IF(T476&lt;'PlayerGrades+'!$AI$17,"E",IF(T476&lt;'PlayerGrades+'!$AI$16,"E+",IF(T476&lt;'PlayerGrades+'!$AI$15,"D-",IF(T476&lt;'PlayerGrades+'!$AI$14,"D",IF(T476&lt;'PlayerGrades+'!$AI$13,"D+",IF(T476&lt;'PlayerGrades+'!$AI$12,"C-",IF(T476&lt;'PlayerGrades+'!$AI$11,"C",IF(T476&lt;'PlayerGrades+'!$AI$10,"C+",IF(T476&lt;'PlayerGrades+'!$AI$9,"B-",IF(T476&lt;'PlayerGrades+'!$AI$8,"B",IF(T476&lt;'PlayerGrades+'!$AI$7,"B+",IF(T476&lt;'PlayerGrades+'!$AI$6,"A-",IF(T476&lt;'PlayerGrades+'!$AI$5,"A",IF(T476&lt;'PlayerGrades+'!$AI$4,"A+",IF(T476&lt;'PlayerGrades+'!$AI$3,"S-",IF(T476&lt;'PlayerGrades+'!$AI$2,"S","S+"))))))))))))))))))))</f>
        <v>D+</v>
      </c>
      <c r="V476" s="941">
        <v>1.0</v>
      </c>
      <c r="W476" s="941">
        <v>1.0</v>
      </c>
      <c r="X476" s="941">
        <v>0.0</v>
      </c>
      <c r="Y476" s="941">
        <v>0.0</v>
      </c>
      <c r="Z476" s="941">
        <v>0.0</v>
      </c>
      <c r="AA476" s="941">
        <v>75.0</v>
      </c>
      <c r="AB476" s="941">
        <v>52.0</v>
      </c>
      <c r="AC476" s="941">
        <v>23.0</v>
      </c>
      <c r="AD476" s="941">
        <v>4.0</v>
      </c>
      <c r="AE476" s="941">
        <v>5.0</v>
      </c>
      <c r="AF476" s="941">
        <v>3.0</v>
      </c>
      <c r="AG476" s="941">
        <v>845.0</v>
      </c>
      <c r="AH476" s="941">
        <v>1092.0</v>
      </c>
      <c r="AI476" s="941">
        <v>16.0</v>
      </c>
      <c r="AJ476" s="941">
        <v>24.0</v>
      </c>
      <c r="AK476" s="941">
        <v>0.0</v>
      </c>
      <c r="AL476" s="941">
        <v>1.0</v>
      </c>
      <c r="AM476" s="941">
        <v>0.0</v>
      </c>
      <c r="AN476" s="941">
        <v>0.0</v>
      </c>
      <c r="AO476" s="941">
        <v>0.0</v>
      </c>
      <c r="AP476" s="941">
        <v>1.0</v>
      </c>
      <c r="AQ476" s="941">
        <v>0.0</v>
      </c>
      <c r="AR476" s="941">
        <v>12.0</v>
      </c>
      <c r="AS476" s="941">
        <v>3.0</v>
      </c>
      <c r="AT476" s="941">
        <v>1.0</v>
      </c>
      <c r="AU476" s="941">
        <v>0.0</v>
      </c>
      <c r="AV476" s="941">
        <v>0.0</v>
      </c>
      <c r="AW476" s="941">
        <v>0.0</v>
      </c>
      <c r="AX476" s="941">
        <v>0.0</v>
      </c>
      <c r="AY476" s="941">
        <v>0.0</v>
      </c>
      <c r="AZ476" s="941">
        <v>0.0</v>
      </c>
      <c r="BA476" s="941">
        <v>0.0</v>
      </c>
      <c r="BB476" s="941">
        <v>14.0</v>
      </c>
      <c r="BC476" s="941">
        <v>0.0</v>
      </c>
      <c r="BD476" s="941">
        <v>5.0</v>
      </c>
      <c r="BE476" s="941">
        <v>3.0</v>
      </c>
      <c r="BF476" s="941">
        <v>1.0</v>
      </c>
      <c r="BG476" s="942">
        <v>1.0</v>
      </c>
    </row>
    <row r="477">
      <c r="A477" s="965" t="s">
        <v>514</v>
      </c>
      <c r="B477" s="16" t="str">
        <f>IF(C477&lt;'PlayerGrades+'!$Y$44,"F-",IF(C477&lt;'PlayerGrades+'!$Y$43,"F",IF(C477&lt;'PlayerGrades+'!$Y$42,"F+",IF(C477&lt;'PlayerGrades+'!$Y$41,"E-",IF(C477&lt;'PlayerGrades+'!$Y$40,"E",IF(C477&lt;'PlayerGrades+'!$Y$39,"E+",IF(C477&lt;'PlayerGrades+'!$Y$38,"D-",IF(C477&lt;'PlayerGrades+'!$Y$37,"D",IF(C477&lt;'PlayerGrades+'!$Y$36,"D+",IF(C477&lt;'PlayerGrades+'!$Y$35,"C-",IF(C477&lt;'PlayerGrades+'!$Y$34,"C",IF(C477&lt;'PlayerGrades+'!$Y$33,"C+",IF(C477&lt;'PlayerGrades+'!$Y$32,"B-",IF(C477&lt;'PlayerGrades+'!$Y$31,"B",IF(C477&lt;'PlayerGrades+'!$Y$30,"B+",IF(C477&lt;'PlayerGrades+'!$Y$29,"A-",IF(C477&lt;'PlayerGrades+'!$Y$28,"A",IF(C477&lt;'PlayerGrades+'!$Y$27,"A+",IF(C477&lt;'PlayerGrades+'!$Y$26,"S-",IF(C477&lt;'PlayerGrades+'!$Y$25,"S","S+"))))))))))))))))))))</f>
        <v>A</v>
      </c>
      <c r="C477" s="936">
        <f>('PlayerGrades+'!$Y$47*(VLOOKUP(E477, 'PlayerGrades+'!$X$3:$Y$23, 2, FALSE)))+('PlayerGrades+'!$Y$48*(VLOOKUP(G477, 'PlayerGrades+'!$X$3:$Y$23, 2, FALSE)))+('PlayerGrades+'!$Y$49*(VLOOKUP(I477, 'PlayerGrades+'!$X$3:$Y$23, 2, FALSE)))+('PlayerGrades+'!$Y$50*(VLOOKUP(K477, 'PlayerGrades+'!$X$3:$Y$23, 2, FALSE)))+('PlayerGrades+'!$Y$51*(VLOOKUP(M477, 'PlayerGrades+'!$X$3:$Y$23, 2, FALSE)))+('PlayerGrades+'!$Y$52*(VLOOKUP(O477, 'PlayerGrades+'!$X$3:$Y$23, 2, FALSE)))+('PlayerGrades+'!$Y$53*(VLOOKUP(Q477, 'PlayerGrades+'!$X$3:$Y$23, 2, FALSE)))+('PlayerGrades+'!$Y$54*(VLOOKUP(S477, 'PlayerGrades+'!$X$3:$Y$23, 2, FALSE)))+('PlayerGrades+'!$Y$55*(VLOOKUP(U477, 'PlayerGrades+'!$X$3:$Y$23, 2, FALSE)))</f>
        <v>26.05</v>
      </c>
      <c r="D477" s="937">
        <f t="shared" si="1"/>
        <v>0</v>
      </c>
      <c r="E477" s="937" t="str">
        <f>IF(D477&lt;'PlayerGrades+'!$AA$21,"F-",IF(D477&lt;'PlayerGrades+'!$AA$20,"F",IF(D477&lt;'PlayerGrades+'!$AA$19,"F+",IF(D477&lt;'PlayerGrades+'!$AA$18,"E-",IF(D477&lt;'PlayerGrades+'!$AA$17,"E",IF(D477&lt;'PlayerGrades+'!$AA$16,"E+",IF(D477&lt;'PlayerGrades+'!$AA$15,"D-",IF(D477&lt;'PlayerGrades+'!$AA$14,"D",IF(D477&lt;'PlayerGrades+'!$AA$13,"D+",IF(D477&lt;'PlayerGrades+'!$AA$12,"C-",IF(D477&lt;'PlayerGrades+'!$AA$11,"C",IF(D477&lt;'PlayerGrades+'!$AA$10,"C+",IF(D477&lt;'PlayerGrades+'!$AA$9,"B-",IF(D477&lt;'PlayerGrades+'!$AA$8,"B",IF(D477&lt;'PlayerGrades+'!$AA$7,"B+",IF(D477&lt;'PlayerGrades+'!$AA$6,"A-",IF(D477&lt;'PlayerGrades+'!$AA$5,"A",IF(D477&lt;'PlayerGrades+'!$AA$4,"A+",IF(D477&lt;'PlayerGrades+'!$AA$3,"S-",IF(D477&lt;'PlayerGrades+'!$AA$2,"S","S+"))))))))))))))))))))</f>
        <v>F-</v>
      </c>
      <c r="F477" s="937">
        <f t="shared" si="2"/>
        <v>1.043956044</v>
      </c>
      <c r="G477" s="937" t="str">
        <f>IF(F477&lt;'PlayerGrades+'!$AB$21,"F-",IF(F477&lt;'PlayerGrades+'!$AB$20,"F",IF(F477&lt;'PlayerGrades+'!$AB$19,"F+",IF(F477&lt;'PlayerGrades+'!$AB$18,"E-",IF(F477&lt;'PlayerGrades+'!$AB$17,"E",IF(F477&lt;'PlayerGrades+'!$AB$16,"E+",IF(F477&lt;'PlayerGrades+'!$AB$15,"D-",IF(F477&lt;'PlayerGrades+'!$AB$14,"D",IF(F477&lt;'PlayerGrades+'!$AB$13,"D+",IF(F477&lt;'PlayerGrades+'!$AB$12,"C-",IF(F477&lt;'PlayerGrades+'!$AB$11,"C",IF(F477&lt;'PlayerGrades+'!$AB$10,"C+",IF(F477&lt;'PlayerGrades+'!$AB$9,"B-",IF(F477&lt;'PlayerGrades+'!$AB$8,"B",IF(F477&lt;'PlayerGrades+'!$AB$7,"B+",IF(F477&lt;'PlayerGrades+'!$AB$6,"A-",IF(F477&lt;'PlayerGrades+'!$AB$5,"A",IF(F477&lt;'PlayerGrades+'!$AB$4,"A+",IF(F477&lt;'PlayerGrades+'!$AB$3,"S-",IF(F477&lt;'PlayerGrades+'!$AB$2,"S","S+"))))))))))))))))))))</f>
        <v>S+</v>
      </c>
      <c r="H477" s="937">
        <f t="shared" si="3"/>
        <v>0.1648351648</v>
      </c>
      <c r="I477" s="937" t="str">
        <f>IF(H477&lt;'PlayerGrades+'!$AC$21,"F-",IF(H477&lt;'PlayerGrades+'!$AC$20,"F",IF(H477&lt;'PlayerGrades+'!$AC$19,"F+",IF(H477&lt;'PlayerGrades+'!$AC$18,"E-",IF(H477&lt;'PlayerGrades+'!$AC$17,"E",IF(H477&lt;'PlayerGrades+'!$AC$16,"E+",IF(H477&lt;'PlayerGrades+'!$AC$15,"D-",IF(H477&lt;'PlayerGrades+'!$AC$14,"D",IF(H477&lt;'PlayerGrades+'!$AC$13,"D+",IF(H477&lt;'PlayerGrades+'!$AC$12,"C-",IF(H477&lt;'PlayerGrades+'!$AC$11,"C",IF(H477&lt;'PlayerGrades+'!$AC$10,"C+",IF(H477&lt;'PlayerGrades+'!$AC$9,"B-",IF(H477&lt;'PlayerGrades+'!$AC$8,"B",IF(H477&lt;'PlayerGrades+'!$AC$7,"B+",IF(H477&lt;'PlayerGrades+'!$AC$6,"A-",IF(H477&lt;'PlayerGrades+'!$AC$5,"A",IF(H477&lt;'PlayerGrades+'!$AC$4,"A+",IF(H477&lt;'PlayerGrades+'!$AC$3,"S-",IF(H477&lt;'PlayerGrades+'!$AC$2,"S","S+"))))))))))))))))))))</f>
        <v>A+</v>
      </c>
      <c r="J477" s="937">
        <f t="shared" si="4"/>
        <v>0.2197802198</v>
      </c>
      <c r="K477" s="937" t="str">
        <f>IF(J477&lt;'PlayerGrades+'!$AD$21,"F-",IF(J477&lt;'PlayerGrades+'!$AD$20,"F",IF(J477&lt;'PlayerGrades+'!$AD$19,"F+",IF(J477&lt;'PlayerGrades+'!$AD$18,"E-",IF(J477&lt;'PlayerGrades+'!$AD$17,"E",IF(J477&lt;'PlayerGrades+'!$AD$16,"E+",IF(J477&lt;'PlayerGrades+'!$AD$15,"D-",IF(J477&lt;'PlayerGrades+'!$AD$14,"D",IF(J477&lt;'PlayerGrades+'!$AD$13,"D+",IF(J477&lt;'PlayerGrades+'!$AD$12,"C-",IF(J477&lt;'PlayerGrades+'!$AD$11,"C",IF(J477&lt;'PlayerGrades+'!$AD$10,"C+",IF(J477&lt;'PlayerGrades+'!$AD$9,"B-",IF(J477&lt;'PlayerGrades+'!$AD$8,"B",IF(J477&lt;'PlayerGrades+'!$AD$7,"B+",IF(J477&lt;'PlayerGrades+'!$AD$6,"A-",IF(J477&lt;'PlayerGrades+'!$AD$5,"A",IF(J477&lt;'PlayerGrades+'!$AD$4,"A+",IF(J477&lt;'PlayerGrades+'!$AD$3,"S-",IF(J477&lt;'PlayerGrades+'!$AD$2,"S","S+"))))))))))))))))))))</f>
        <v>S+</v>
      </c>
      <c r="L477" s="677">
        <f t="shared" si="5"/>
        <v>0.9340659341</v>
      </c>
      <c r="M477" s="938" t="str">
        <f>IF(L477&lt;'PlayerGrades+'!$AE$21,"F-",IF(L477&lt;'PlayerGrades+'!$AE$20,"F",IF(L477&lt;'PlayerGrades+'!$AE$19,"F+",IF(L477&lt;'PlayerGrades+'!$AE$18,"E-",IF(L477&lt;'PlayerGrades+'!$AE$17,"E",IF(L477&lt;'PlayerGrades+'!$AE$16,"E+",IF(L477&lt;'PlayerGrades+'!$AE$15,"D-",IF(L477&lt;'PlayerGrades+'!$AE$14,"D",IF(L477&lt;'PlayerGrades+'!$AE$13,"D+",IF(L477&lt;'PlayerGrades+'!$AE$12,"C-",IF(L477&lt;'PlayerGrades+'!$AE$11,"C",IF(L477&lt;'PlayerGrades+'!$AE$10,"C+",IF(L477&lt;'PlayerGrades+'!$AE$9,"B-",IF(L477&lt;'PlayerGrades+'!$AE$8,"B",IF(L477&lt;'PlayerGrades+'!$AE$7,"B+",IF(L477&lt;'PlayerGrades+'!$AE$6,"A-",IF(L477&lt;'PlayerGrades+'!$AE$5,"A",IF(L477&lt;'PlayerGrades+'!$AE$4,"A+",IF(L477&lt;'PlayerGrades+'!$AE$3,"S-",IF(L477&lt;'PlayerGrades+'!$AE$2,"S","S+"))))))))))))))))))))</f>
        <v>S+</v>
      </c>
      <c r="N477" s="937">
        <f t="shared" si="6"/>
        <v>0.3296703297</v>
      </c>
      <c r="O477" s="937" t="str">
        <f>IF(N477&lt;'PlayerGrades+'!$AF$21,"F-",IF(N477&lt;'PlayerGrades+'!$AF$20,"F",IF(N477&lt;'PlayerGrades+'!$AF$19,"F+",IF(N477&lt;'PlayerGrades+'!$AF$18,"E-",IF(N477&lt;'PlayerGrades+'!$AF$17,"E",IF(N477&lt;'PlayerGrades+'!$AF$16,"E+",IF(N477&lt;'PlayerGrades+'!$AF$15,"D-",IF(N477&lt;'PlayerGrades+'!$AF$14,"D",IF(N477&lt;'PlayerGrades+'!$AF$13,"D+",IF(N477&lt;'PlayerGrades+'!$AF$12,"C-",IF(N477&lt;'PlayerGrades+'!$AF$11,"C",IF(N477&lt;'PlayerGrades+'!$AF$10,"C+",IF(N477&lt;'PlayerGrades+'!$AF$9,"B-",IF(N477&lt;'PlayerGrades+'!$AF$8,"B",IF(N477&lt;'PlayerGrades+'!$AF$7,"B+",IF(N477&lt;'PlayerGrades+'!$AF$6,"A-",IF(N477&lt;'PlayerGrades+'!$AF$5,"A",IF(N477&lt;'PlayerGrades+'!$AF$4,"A+",IF(N477&lt;'PlayerGrades+'!$AF$3,"S-",IF(N477&lt;'PlayerGrades+'!$AF$2,"S","S+"))))))))))))))))))))</f>
        <v>S+</v>
      </c>
      <c r="P477" s="937">
        <f t="shared" si="7"/>
        <v>0.2197802198</v>
      </c>
      <c r="Q477" s="937" t="str">
        <f>IF(P477&lt;'PlayerGrades+'!$AG$21,"F-",IF(P477&lt;'PlayerGrades+'!$AG$20,"F",IF(P477&lt;'PlayerGrades+'!$AG$19,"F+",IF(P477&lt;'PlayerGrades+'!$AG$18,"E-",IF(P477&lt;'PlayerGrades+'!$AG$17,"E",IF(P477&lt;'PlayerGrades+'!$AG$16,"E+",IF(P477&lt;'PlayerGrades+'!$AG$15,"D-",IF(P477&lt;'PlayerGrades+'!$AG$14,"D",IF(P477&lt;'PlayerGrades+'!$AG$13,"D+",IF(P477&lt;'PlayerGrades+'!$AG$12,"C-",IF(P477&lt;'PlayerGrades+'!$AG$11,"C",IF(P477&lt;'PlayerGrades+'!$AG$10,"C+",IF(P477&lt;'PlayerGrades+'!$AG$9,"B-",IF(P477&lt;'PlayerGrades+'!$AG$8,"B",IF(P477&lt;'PlayerGrades+'!$AG$7,"B+",IF(P477&lt;'PlayerGrades+'!$AG$6,"A-",IF(P477&lt;'PlayerGrades+'!$AG$5,"A",IF(P477&lt;'PlayerGrades+'!$AG$4,"A+",IF(P477&lt;'PlayerGrades+'!$AG$3,"S-",IF(P477&lt;'PlayerGrades+'!$AG$2,"S","S+"))))))))))))))))))))</f>
        <v>S+</v>
      </c>
      <c r="R477" s="937">
        <f t="shared" si="8"/>
        <v>0.3296703297</v>
      </c>
      <c r="S477" s="937" t="str">
        <f>IF(R477&lt;'PlayerGrades+'!$AH$21,"F-",IF(R477&lt;'PlayerGrades+'!$AH$20,"F",IF(R477&lt;'PlayerGrades+'!$AH$19,"F+",IF(R477&lt;'PlayerGrades+'!$AH$18,"E-",IF(R477&lt;'PlayerGrades+'!$AH$17,"E",IF(R477&lt;'PlayerGrades+'!$AH$16,"E+",IF(R477&lt;'PlayerGrades+'!$AH$15,"D-",IF(R477&lt;'PlayerGrades+'!$AH$14,"D",IF(R477&lt;'PlayerGrades+'!$AH$13,"D+",IF(R477&lt;'PlayerGrades+'!$AH$12,"C-",IF(R477&lt;'PlayerGrades+'!$AH$11,"C",IF(R477&lt;'PlayerGrades+'!$AH$10,"C+",IF(R477&lt;'PlayerGrades+'!$AH$9,"B-",IF(R477&lt;'PlayerGrades+'!$AH$8,"B",IF(R477&lt;'PlayerGrades+'!$AH$7,"B+",IF(R477&lt;'PlayerGrades+'!$AH$6,"A-",IF(R477&lt;'PlayerGrades+'!$AH$5,"A",IF(R477&lt;'PlayerGrades+'!$AH$4,"A+",IF(R477&lt;'PlayerGrades+'!$AH$3,"S-",IF(R477&lt;'PlayerGrades+'!$AH$2,"S","S+"))))))))))))))))))))</f>
        <v>F</v>
      </c>
      <c r="T477" s="937">
        <f t="shared" si="9"/>
        <v>0.4945054945</v>
      </c>
      <c r="U477" s="937" t="str">
        <f>IF(T477&lt;'PlayerGrades+'!$AI$21,"F-",IF(T477&lt;'PlayerGrades+'!$AI$20,"F",IF(T477&lt;'PlayerGrades+'!$AI$19,"F+",IF(T477&lt;'PlayerGrades+'!$AI$18,"E-",IF(T477&lt;'PlayerGrades+'!$AI$17,"E",IF(T477&lt;'PlayerGrades+'!$AI$16,"E+",IF(T477&lt;'PlayerGrades+'!$AI$15,"D-",IF(T477&lt;'PlayerGrades+'!$AI$14,"D",IF(T477&lt;'PlayerGrades+'!$AI$13,"D+",IF(T477&lt;'PlayerGrades+'!$AI$12,"C-",IF(T477&lt;'PlayerGrades+'!$AI$11,"C",IF(T477&lt;'PlayerGrades+'!$AI$10,"C+",IF(T477&lt;'PlayerGrades+'!$AI$9,"B-",IF(T477&lt;'PlayerGrades+'!$AI$8,"B",IF(T477&lt;'PlayerGrades+'!$AI$7,"B+",IF(T477&lt;'PlayerGrades+'!$AI$6,"A-",IF(T477&lt;'PlayerGrades+'!$AI$5,"A",IF(T477&lt;'PlayerGrades+'!$AI$4,"A+",IF(T477&lt;'PlayerGrades+'!$AI$3,"S-",IF(T477&lt;'PlayerGrades+'!$AI$2,"S","S+"))))))))))))))))))))</f>
        <v>F-</v>
      </c>
      <c r="V477" s="941">
        <v>1.0</v>
      </c>
      <c r="W477" s="941">
        <v>1.0</v>
      </c>
      <c r="X477" s="941">
        <v>0.0</v>
      </c>
      <c r="Y477" s="941">
        <v>0.0</v>
      </c>
      <c r="Z477" s="941">
        <v>0.0</v>
      </c>
      <c r="AA477" s="941">
        <v>86.0</v>
      </c>
      <c r="AB477" s="941">
        <v>67.0</v>
      </c>
      <c r="AC477" s="941">
        <v>19.0</v>
      </c>
      <c r="AD477" s="941">
        <v>3.0</v>
      </c>
      <c r="AE477" s="941">
        <v>6.0</v>
      </c>
      <c r="AF477" s="941">
        <v>3.0</v>
      </c>
      <c r="AG477" s="941">
        <v>799.0</v>
      </c>
      <c r="AH477" s="941">
        <v>1092.0</v>
      </c>
      <c r="AI477" s="941">
        <v>11.0</v>
      </c>
      <c r="AJ477" s="941">
        <v>9.0</v>
      </c>
      <c r="AK477" s="941">
        <v>0.0</v>
      </c>
      <c r="AL477" s="941">
        <v>4.0</v>
      </c>
      <c r="AM477" s="941">
        <v>0.0</v>
      </c>
      <c r="AN477" s="941">
        <v>0.0</v>
      </c>
      <c r="AO477" s="941">
        <v>0.0</v>
      </c>
      <c r="AP477" s="941">
        <v>4.0</v>
      </c>
      <c r="AQ477" s="941">
        <v>0.0</v>
      </c>
      <c r="AR477" s="941">
        <v>17.0</v>
      </c>
      <c r="AS477" s="941">
        <v>6.0</v>
      </c>
      <c r="AT477" s="941">
        <v>3.0</v>
      </c>
      <c r="AU477" s="941">
        <v>0.0</v>
      </c>
      <c r="AV477" s="941">
        <v>0.0</v>
      </c>
      <c r="AW477" s="941">
        <v>0.0</v>
      </c>
      <c r="AX477" s="941">
        <v>0.0</v>
      </c>
      <c r="AY477" s="941">
        <v>0.0</v>
      </c>
      <c r="AZ477" s="941">
        <v>0.0</v>
      </c>
      <c r="BA477" s="941">
        <v>0.0</v>
      </c>
      <c r="BB477" s="941">
        <v>3.0</v>
      </c>
      <c r="BC477" s="941">
        <v>0.0</v>
      </c>
      <c r="BD477" s="941">
        <v>3.0</v>
      </c>
      <c r="BE477" s="941">
        <v>9.0</v>
      </c>
      <c r="BF477" s="941">
        <v>0.0</v>
      </c>
      <c r="BG477" s="942">
        <v>1.0</v>
      </c>
    </row>
    <row r="478">
      <c r="A478" s="965" t="s">
        <v>142</v>
      </c>
      <c r="B478" s="16" t="str">
        <f>IF(C478&lt;'PlayerGrades+'!$Y$44,"F-",IF(C478&lt;'PlayerGrades+'!$Y$43,"F",IF(C478&lt;'PlayerGrades+'!$Y$42,"F+",IF(C478&lt;'PlayerGrades+'!$Y$41,"E-",IF(C478&lt;'PlayerGrades+'!$Y$40,"E",IF(C478&lt;'PlayerGrades+'!$Y$39,"E+",IF(C478&lt;'PlayerGrades+'!$Y$38,"D-",IF(C478&lt;'PlayerGrades+'!$Y$37,"D",IF(C478&lt;'PlayerGrades+'!$Y$36,"D+",IF(C478&lt;'PlayerGrades+'!$Y$35,"C-",IF(C478&lt;'PlayerGrades+'!$Y$34,"C",IF(C478&lt;'PlayerGrades+'!$Y$33,"C+",IF(C478&lt;'PlayerGrades+'!$Y$32,"B-",IF(C478&lt;'PlayerGrades+'!$Y$31,"B",IF(C478&lt;'PlayerGrades+'!$Y$30,"B+",IF(C478&lt;'PlayerGrades+'!$Y$29,"A-",IF(C478&lt;'PlayerGrades+'!$Y$28,"A",IF(C478&lt;'PlayerGrades+'!$Y$27,"A+",IF(C478&lt;'PlayerGrades+'!$Y$26,"S-",IF(C478&lt;'PlayerGrades+'!$Y$25,"S","S+"))))))))))))))))))))</f>
        <v>E</v>
      </c>
      <c r="C478" s="936">
        <f>('PlayerGrades+'!$Y$47*(VLOOKUP(E478, 'PlayerGrades+'!$X$3:$Y$23, 2, FALSE)))+('PlayerGrades+'!$Y$48*(VLOOKUP(G478, 'PlayerGrades+'!$X$3:$Y$23, 2, FALSE)))+('PlayerGrades+'!$Y$49*(VLOOKUP(I478, 'PlayerGrades+'!$X$3:$Y$23, 2, FALSE)))+('PlayerGrades+'!$Y$50*(VLOOKUP(K478, 'PlayerGrades+'!$X$3:$Y$23, 2, FALSE)))+('PlayerGrades+'!$Y$51*(VLOOKUP(M478, 'PlayerGrades+'!$X$3:$Y$23, 2, FALSE)))+('PlayerGrades+'!$Y$52*(VLOOKUP(O478, 'PlayerGrades+'!$X$3:$Y$23, 2, FALSE)))+('PlayerGrades+'!$Y$53*(VLOOKUP(Q478, 'PlayerGrades+'!$X$3:$Y$23, 2, FALSE)))+('PlayerGrades+'!$Y$54*(VLOOKUP(S478, 'PlayerGrades+'!$X$3:$Y$23, 2, FALSE)))+('PlayerGrades+'!$Y$55*(VLOOKUP(U478, 'PlayerGrades+'!$X$3:$Y$23, 2, FALSE)))</f>
        <v>13.3</v>
      </c>
      <c r="D478" s="937">
        <f t="shared" si="1"/>
        <v>0.05494505495</v>
      </c>
      <c r="E478" s="937" t="str">
        <f>IF(D478&lt;'PlayerGrades+'!$AA$21,"F-",IF(D478&lt;'PlayerGrades+'!$AA$20,"F",IF(D478&lt;'PlayerGrades+'!$AA$19,"F+",IF(D478&lt;'PlayerGrades+'!$AA$18,"E-",IF(D478&lt;'PlayerGrades+'!$AA$17,"E",IF(D478&lt;'PlayerGrades+'!$AA$16,"E+",IF(D478&lt;'PlayerGrades+'!$AA$15,"D-",IF(D478&lt;'PlayerGrades+'!$AA$14,"D",IF(D478&lt;'PlayerGrades+'!$AA$13,"D+",IF(D478&lt;'PlayerGrades+'!$AA$12,"C-",IF(D478&lt;'PlayerGrades+'!$AA$11,"C",IF(D478&lt;'PlayerGrades+'!$AA$10,"C+",IF(D478&lt;'PlayerGrades+'!$AA$9,"B-",IF(D478&lt;'PlayerGrades+'!$AA$8,"B",IF(D478&lt;'PlayerGrades+'!$AA$7,"B+",IF(D478&lt;'PlayerGrades+'!$AA$6,"A-",IF(D478&lt;'PlayerGrades+'!$AA$5,"A",IF(D478&lt;'PlayerGrades+'!$AA$4,"A+",IF(D478&lt;'PlayerGrades+'!$AA$3,"S-",IF(D478&lt;'PlayerGrades+'!$AA$2,"S","S+"))))))))))))))))))))</f>
        <v>B-</v>
      </c>
      <c r="F478" s="937">
        <f t="shared" si="2"/>
        <v>-1.208791209</v>
      </c>
      <c r="G478" s="937" t="str">
        <f>IF(F478&lt;'PlayerGrades+'!$AB$21,"F-",IF(F478&lt;'PlayerGrades+'!$AB$20,"F",IF(F478&lt;'PlayerGrades+'!$AB$19,"F+",IF(F478&lt;'PlayerGrades+'!$AB$18,"E-",IF(F478&lt;'PlayerGrades+'!$AB$17,"E",IF(F478&lt;'PlayerGrades+'!$AB$16,"E+",IF(F478&lt;'PlayerGrades+'!$AB$15,"D-",IF(F478&lt;'PlayerGrades+'!$AB$14,"D",IF(F478&lt;'PlayerGrades+'!$AB$13,"D+",IF(F478&lt;'PlayerGrades+'!$AB$12,"C-",IF(F478&lt;'PlayerGrades+'!$AB$11,"C",IF(F478&lt;'PlayerGrades+'!$AB$10,"C+",IF(F478&lt;'PlayerGrades+'!$AB$9,"B-",IF(F478&lt;'PlayerGrades+'!$AB$8,"B",IF(F478&lt;'PlayerGrades+'!$AB$7,"B+",IF(F478&lt;'PlayerGrades+'!$AB$6,"A-",IF(F478&lt;'PlayerGrades+'!$AB$5,"A",IF(F478&lt;'PlayerGrades+'!$AB$4,"A+",IF(F478&lt;'PlayerGrades+'!$AB$3,"S-",IF(F478&lt;'PlayerGrades+'!$AB$2,"S","S+"))))))))))))))))))))</f>
        <v>F-</v>
      </c>
      <c r="H478" s="937">
        <f t="shared" si="3"/>
        <v>0.2197802198</v>
      </c>
      <c r="I478" s="937" t="str">
        <f>IF(H478&lt;'PlayerGrades+'!$AC$21,"F-",IF(H478&lt;'PlayerGrades+'!$AC$20,"F",IF(H478&lt;'PlayerGrades+'!$AC$19,"F+",IF(H478&lt;'PlayerGrades+'!$AC$18,"E-",IF(H478&lt;'PlayerGrades+'!$AC$17,"E",IF(H478&lt;'PlayerGrades+'!$AC$16,"E+",IF(H478&lt;'PlayerGrades+'!$AC$15,"D-",IF(H478&lt;'PlayerGrades+'!$AC$14,"D",IF(H478&lt;'PlayerGrades+'!$AC$13,"D+",IF(H478&lt;'PlayerGrades+'!$AC$12,"C-",IF(H478&lt;'PlayerGrades+'!$AC$11,"C",IF(H478&lt;'PlayerGrades+'!$AC$10,"C+",IF(H478&lt;'PlayerGrades+'!$AC$9,"B-",IF(H478&lt;'PlayerGrades+'!$AC$8,"B",IF(H478&lt;'PlayerGrades+'!$AC$7,"B+",IF(H478&lt;'PlayerGrades+'!$AC$6,"A-",IF(H478&lt;'PlayerGrades+'!$AC$5,"A",IF(H478&lt;'PlayerGrades+'!$AC$4,"A+",IF(H478&lt;'PlayerGrades+'!$AC$3,"S-",IF(H478&lt;'PlayerGrades+'!$AC$2,"S","S+"))))))))))))))))))))</f>
        <v>S</v>
      </c>
      <c r="J478" s="937">
        <f t="shared" si="4"/>
        <v>0</v>
      </c>
      <c r="K478" s="937" t="str">
        <f>IF(J478&lt;'PlayerGrades+'!$AD$21,"F-",IF(J478&lt;'PlayerGrades+'!$AD$20,"F",IF(J478&lt;'PlayerGrades+'!$AD$19,"F+",IF(J478&lt;'PlayerGrades+'!$AD$18,"E-",IF(J478&lt;'PlayerGrades+'!$AD$17,"E",IF(J478&lt;'PlayerGrades+'!$AD$16,"E+",IF(J478&lt;'PlayerGrades+'!$AD$15,"D-",IF(J478&lt;'PlayerGrades+'!$AD$14,"D",IF(J478&lt;'PlayerGrades+'!$AD$13,"D+",IF(J478&lt;'PlayerGrades+'!$AD$12,"C-",IF(J478&lt;'PlayerGrades+'!$AD$11,"C",IF(J478&lt;'PlayerGrades+'!$AD$10,"C+",IF(J478&lt;'PlayerGrades+'!$AD$9,"B-",IF(J478&lt;'PlayerGrades+'!$AD$8,"B",IF(J478&lt;'PlayerGrades+'!$AD$7,"B+",IF(J478&lt;'PlayerGrades+'!$AD$6,"A-",IF(J478&lt;'PlayerGrades+'!$AD$5,"A",IF(J478&lt;'PlayerGrades+'!$AD$4,"A+",IF(J478&lt;'PlayerGrades+'!$AD$3,"S-",IF(J478&lt;'PlayerGrades+'!$AD$2,"S","S+"))))))))))))))))))))</f>
        <v>F-</v>
      </c>
      <c r="L478" s="677">
        <f t="shared" si="5"/>
        <v>0.05494505495</v>
      </c>
      <c r="M478" s="938" t="str">
        <f>IF(L478&lt;'PlayerGrades+'!$AE$21,"F-",IF(L478&lt;'PlayerGrades+'!$AE$20,"F",IF(L478&lt;'PlayerGrades+'!$AE$19,"F+",IF(L478&lt;'PlayerGrades+'!$AE$18,"E-",IF(L478&lt;'PlayerGrades+'!$AE$17,"E",IF(L478&lt;'PlayerGrades+'!$AE$16,"E+",IF(L478&lt;'PlayerGrades+'!$AE$15,"D-",IF(L478&lt;'PlayerGrades+'!$AE$14,"D",IF(L478&lt;'PlayerGrades+'!$AE$13,"D+",IF(L478&lt;'PlayerGrades+'!$AE$12,"C-",IF(L478&lt;'PlayerGrades+'!$AE$11,"C",IF(L478&lt;'PlayerGrades+'!$AE$10,"C+",IF(L478&lt;'PlayerGrades+'!$AE$9,"B-",IF(L478&lt;'PlayerGrades+'!$AE$8,"B",IF(L478&lt;'PlayerGrades+'!$AE$7,"B+",IF(L478&lt;'PlayerGrades+'!$AE$6,"A-",IF(L478&lt;'PlayerGrades+'!$AE$5,"A",IF(L478&lt;'PlayerGrades+'!$AE$4,"A+",IF(L478&lt;'PlayerGrades+'!$AE$3,"S-",IF(L478&lt;'PlayerGrades+'!$AE$2,"S","S+"))))))))))))))))))))</f>
        <v>F-</v>
      </c>
      <c r="N478" s="937">
        <f t="shared" si="6"/>
        <v>0.05494505495</v>
      </c>
      <c r="O478" s="937" t="str">
        <f>IF(N478&lt;'PlayerGrades+'!$AF$21,"F-",IF(N478&lt;'PlayerGrades+'!$AF$20,"F",IF(N478&lt;'PlayerGrades+'!$AF$19,"F+",IF(N478&lt;'PlayerGrades+'!$AF$18,"E-",IF(N478&lt;'PlayerGrades+'!$AF$17,"E",IF(N478&lt;'PlayerGrades+'!$AF$16,"E+",IF(N478&lt;'PlayerGrades+'!$AF$15,"D-",IF(N478&lt;'PlayerGrades+'!$AF$14,"D",IF(N478&lt;'PlayerGrades+'!$AF$13,"D+",IF(N478&lt;'PlayerGrades+'!$AF$12,"C-",IF(N478&lt;'PlayerGrades+'!$AF$11,"C",IF(N478&lt;'PlayerGrades+'!$AF$10,"C+",IF(N478&lt;'PlayerGrades+'!$AF$9,"B-",IF(N478&lt;'PlayerGrades+'!$AF$8,"B",IF(N478&lt;'PlayerGrades+'!$AF$7,"B+",IF(N478&lt;'PlayerGrades+'!$AF$6,"A-",IF(N478&lt;'PlayerGrades+'!$AF$5,"A",IF(N478&lt;'PlayerGrades+'!$AF$4,"A+",IF(N478&lt;'PlayerGrades+'!$AF$3,"S-",IF(N478&lt;'PlayerGrades+'!$AF$2,"S","S+"))))))))))))))))))))</f>
        <v>D</v>
      </c>
      <c r="P478" s="937">
        <f t="shared" si="7"/>
        <v>0</v>
      </c>
      <c r="Q478" s="937" t="str">
        <f>IF(P478&lt;'PlayerGrades+'!$AG$21,"F-",IF(P478&lt;'PlayerGrades+'!$AG$20,"F",IF(P478&lt;'PlayerGrades+'!$AG$19,"F+",IF(P478&lt;'PlayerGrades+'!$AG$18,"E-",IF(P478&lt;'PlayerGrades+'!$AG$17,"E",IF(P478&lt;'PlayerGrades+'!$AG$16,"E+",IF(P478&lt;'PlayerGrades+'!$AG$15,"D-",IF(P478&lt;'PlayerGrades+'!$AG$14,"D",IF(P478&lt;'PlayerGrades+'!$AG$13,"D+",IF(P478&lt;'PlayerGrades+'!$AG$12,"C-",IF(P478&lt;'PlayerGrades+'!$AG$11,"C",IF(P478&lt;'PlayerGrades+'!$AG$10,"C+",IF(P478&lt;'PlayerGrades+'!$AG$9,"B-",IF(P478&lt;'PlayerGrades+'!$AG$8,"B",IF(P478&lt;'PlayerGrades+'!$AG$7,"B+",IF(P478&lt;'PlayerGrades+'!$AG$6,"A-",IF(P478&lt;'PlayerGrades+'!$AG$5,"A",IF(P478&lt;'PlayerGrades+'!$AG$4,"A+",IF(P478&lt;'PlayerGrades+'!$AG$3,"S-",IF(P478&lt;'PlayerGrades+'!$AG$2,"S","S+"))))))))))))))))))))</f>
        <v>F</v>
      </c>
      <c r="R478" s="937">
        <f t="shared" si="8"/>
        <v>0.4945054945</v>
      </c>
      <c r="S478" s="937" t="str">
        <f>IF(R478&lt;'PlayerGrades+'!$AH$21,"F-",IF(R478&lt;'PlayerGrades+'!$AH$20,"F",IF(R478&lt;'PlayerGrades+'!$AH$19,"F+",IF(R478&lt;'PlayerGrades+'!$AH$18,"E-",IF(R478&lt;'PlayerGrades+'!$AH$17,"E",IF(R478&lt;'PlayerGrades+'!$AH$16,"E+",IF(R478&lt;'PlayerGrades+'!$AH$15,"D-",IF(R478&lt;'PlayerGrades+'!$AH$14,"D",IF(R478&lt;'PlayerGrades+'!$AH$13,"D+",IF(R478&lt;'PlayerGrades+'!$AH$12,"C-",IF(R478&lt;'PlayerGrades+'!$AH$11,"C",IF(R478&lt;'PlayerGrades+'!$AH$10,"C+",IF(R478&lt;'PlayerGrades+'!$AH$9,"B-",IF(R478&lt;'PlayerGrades+'!$AH$8,"B",IF(R478&lt;'PlayerGrades+'!$AH$7,"B+",IF(R478&lt;'PlayerGrades+'!$AH$6,"A-",IF(R478&lt;'PlayerGrades+'!$AH$5,"A",IF(R478&lt;'PlayerGrades+'!$AH$4,"A+",IF(R478&lt;'PlayerGrades+'!$AH$3,"S-",IF(R478&lt;'PlayerGrades+'!$AH$2,"S","S+"))))))))))))))))))))</f>
        <v>D-</v>
      </c>
      <c r="T478" s="937">
        <f t="shared" si="9"/>
        <v>0.2197802198</v>
      </c>
      <c r="U478" s="937" t="str">
        <f>IF(T478&lt;'PlayerGrades+'!$AI$21,"F-",IF(T478&lt;'PlayerGrades+'!$AI$20,"F",IF(T478&lt;'PlayerGrades+'!$AI$19,"F+",IF(T478&lt;'PlayerGrades+'!$AI$18,"E-",IF(T478&lt;'PlayerGrades+'!$AI$17,"E",IF(T478&lt;'PlayerGrades+'!$AI$16,"E+",IF(T478&lt;'PlayerGrades+'!$AI$15,"D-",IF(T478&lt;'PlayerGrades+'!$AI$14,"D",IF(T478&lt;'PlayerGrades+'!$AI$13,"D+",IF(T478&lt;'PlayerGrades+'!$AI$12,"C-",IF(T478&lt;'PlayerGrades+'!$AI$11,"C",IF(T478&lt;'PlayerGrades+'!$AI$10,"C+",IF(T478&lt;'PlayerGrades+'!$AI$9,"B-",IF(T478&lt;'PlayerGrades+'!$AI$8,"B",IF(T478&lt;'PlayerGrades+'!$AI$7,"B+",IF(T478&lt;'PlayerGrades+'!$AI$6,"A-",IF(T478&lt;'PlayerGrades+'!$AI$5,"A",IF(T478&lt;'PlayerGrades+'!$AI$4,"A+",IF(T478&lt;'PlayerGrades+'!$AI$3,"S-",IF(T478&lt;'PlayerGrades+'!$AI$2,"S","S+"))))))))))))))))))))</f>
        <v>F-</v>
      </c>
      <c r="V478" s="941">
        <v>1.0</v>
      </c>
      <c r="W478" s="941">
        <v>0.0</v>
      </c>
      <c r="X478" s="941">
        <v>1.0</v>
      </c>
      <c r="Y478" s="941">
        <v>1.0</v>
      </c>
      <c r="Z478" s="941">
        <v>0.0</v>
      </c>
      <c r="AA478" s="941">
        <v>44.0</v>
      </c>
      <c r="AB478" s="941">
        <v>66.0</v>
      </c>
      <c r="AC478" s="941">
        <v>-22.0</v>
      </c>
      <c r="AD478" s="941">
        <v>3.0</v>
      </c>
      <c r="AE478" s="941">
        <v>3.0</v>
      </c>
      <c r="AF478" s="941">
        <v>2.0</v>
      </c>
      <c r="AG478" s="941">
        <v>803.0</v>
      </c>
      <c r="AH478" s="941">
        <v>1092.0</v>
      </c>
      <c r="AI478" s="941">
        <v>12.0</v>
      </c>
      <c r="AJ478" s="941">
        <v>5.0</v>
      </c>
      <c r="AK478" s="941">
        <v>0.0</v>
      </c>
      <c r="AL478" s="941">
        <v>0.0</v>
      </c>
      <c r="AM478" s="941">
        <v>0.0</v>
      </c>
      <c r="AN478" s="941">
        <v>0.0</v>
      </c>
      <c r="AO478" s="941">
        <v>0.0</v>
      </c>
      <c r="AP478" s="941">
        <v>0.0</v>
      </c>
      <c r="AQ478" s="941">
        <v>0.0</v>
      </c>
      <c r="AR478" s="941">
        <v>1.0</v>
      </c>
      <c r="AS478" s="941">
        <v>1.0</v>
      </c>
      <c r="AT478" s="941">
        <v>0.0</v>
      </c>
      <c r="AU478" s="941">
        <v>0.0</v>
      </c>
      <c r="AV478" s="941">
        <v>0.0</v>
      </c>
      <c r="AW478" s="941">
        <v>0.0</v>
      </c>
      <c r="AX478" s="941">
        <v>0.0</v>
      </c>
      <c r="AY478" s="941">
        <v>0.0</v>
      </c>
      <c r="AZ478" s="941">
        <v>0.0</v>
      </c>
      <c r="BA478" s="941">
        <v>0.0</v>
      </c>
      <c r="BB478" s="941">
        <v>4.0</v>
      </c>
      <c r="BC478" s="941">
        <v>0.0</v>
      </c>
      <c r="BD478" s="941">
        <v>6.0</v>
      </c>
      <c r="BE478" s="941">
        <v>4.0</v>
      </c>
      <c r="BF478" s="941">
        <v>0.0</v>
      </c>
      <c r="BG478" s="942">
        <v>0.0</v>
      </c>
    </row>
    <row r="479">
      <c r="A479" s="965" t="s">
        <v>120</v>
      </c>
      <c r="B479" s="16" t="str">
        <f>IF(C479&lt;'PlayerGrades+'!$Y$44,"F-",IF(C479&lt;'PlayerGrades+'!$Y$43,"F",IF(C479&lt;'PlayerGrades+'!$Y$42,"F+",IF(C479&lt;'PlayerGrades+'!$Y$41,"E-",IF(C479&lt;'PlayerGrades+'!$Y$40,"E",IF(C479&lt;'PlayerGrades+'!$Y$39,"E+",IF(C479&lt;'PlayerGrades+'!$Y$38,"D-",IF(C479&lt;'PlayerGrades+'!$Y$37,"D",IF(C479&lt;'PlayerGrades+'!$Y$36,"D+",IF(C479&lt;'PlayerGrades+'!$Y$35,"C-",IF(C479&lt;'PlayerGrades+'!$Y$34,"C",IF(C479&lt;'PlayerGrades+'!$Y$33,"C+",IF(C479&lt;'PlayerGrades+'!$Y$32,"B-",IF(C479&lt;'PlayerGrades+'!$Y$31,"B",IF(C479&lt;'PlayerGrades+'!$Y$30,"B+",IF(C479&lt;'PlayerGrades+'!$Y$29,"A-",IF(C479&lt;'PlayerGrades+'!$Y$28,"A",IF(C479&lt;'PlayerGrades+'!$Y$27,"A+",IF(C479&lt;'PlayerGrades+'!$Y$26,"S-",IF(C479&lt;'PlayerGrades+'!$Y$25,"S","S+"))))))))))))))))))))</f>
        <v>B</v>
      </c>
      <c r="C479" s="936">
        <f>('PlayerGrades+'!$Y$47*(VLOOKUP(E479, 'PlayerGrades+'!$X$3:$Y$23, 2, FALSE)))+('PlayerGrades+'!$Y$48*(VLOOKUP(G479, 'PlayerGrades+'!$X$3:$Y$23, 2, FALSE)))+('PlayerGrades+'!$Y$49*(VLOOKUP(I479, 'PlayerGrades+'!$X$3:$Y$23, 2, FALSE)))+('PlayerGrades+'!$Y$50*(VLOOKUP(K479, 'PlayerGrades+'!$X$3:$Y$23, 2, FALSE)))+('PlayerGrades+'!$Y$51*(VLOOKUP(M479, 'PlayerGrades+'!$X$3:$Y$23, 2, FALSE)))+('PlayerGrades+'!$Y$52*(VLOOKUP(O479, 'PlayerGrades+'!$X$3:$Y$23, 2, FALSE)))+('PlayerGrades+'!$Y$53*(VLOOKUP(Q479, 'PlayerGrades+'!$X$3:$Y$23, 2, FALSE)))+('PlayerGrades+'!$Y$54*(VLOOKUP(S479, 'PlayerGrades+'!$X$3:$Y$23, 2, FALSE)))+('PlayerGrades+'!$Y$55*(VLOOKUP(U479, 'PlayerGrades+'!$X$3:$Y$23, 2, FALSE)))</f>
        <v>23.1</v>
      </c>
      <c r="D479" s="937">
        <f t="shared" si="1"/>
        <v>0.05494505495</v>
      </c>
      <c r="E479" s="937" t="str">
        <f>IF(D479&lt;'PlayerGrades+'!$AA$21,"F-",IF(D479&lt;'PlayerGrades+'!$AA$20,"F",IF(D479&lt;'PlayerGrades+'!$AA$19,"F+",IF(D479&lt;'PlayerGrades+'!$AA$18,"E-",IF(D479&lt;'PlayerGrades+'!$AA$17,"E",IF(D479&lt;'PlayerGrades+'!$AA$16,"E+",IF(D479&lt;'PlayerGrades+'!$AA$15,"D-",IF(D479&lt;'PlayerGrades+'!$AA$14,"D",IF(D479&lt;'PlayerGrades+'!$AA$13,"D+",IF(D479&lt;'PlayerGrades+'!$AA$12,"C-",IF(D479&lt;'PlayerGrades+'!$AA$11,"C",IF(D479&lt;'PlayerGrades+'!$AA$10,"C+",IF(D479&lt;'PlayerGrades+'!$AA$9,"B-",IF(D479&lt;'PlayerGrades+'!$AA$8,"B",IF(D479&lt;'PlayerGrades+'!$AA$7,"B+",IF(D479&lt;'PlayerGrades+'!$AA$6,"A-",IF(D479&lt;'PlayerGrades+'!$AA$5,"A",IF(D479&lt;'PlayerGrades+'!$AA$4,"A+",IF(D479&lt;'PlayerGrades+'!$AA$3,"S-",IF(D479&lt;'PlayerGrades+'!$AA$2,"S","S+"))))))))))))))))))))</f>
        <v>B-</v>
      </c>
      <c r="F479" s="937">
        <f t="shared" si="2"/>
        <v>-0.9340659341</v>
      </c>
      <c r="G479" s="937" t="str">
        <f>IF(F479&lt;'PlayerGrades+'!$AB$21,"F-",IF(F479&lt;'PlayerGrades+'!$AB$20,"F",IF(F479&lt;'PlayerGrades+'!$AB$19,"F+",IF(F479&lt;'PlayerGrades+'!$AB$18,"E-",IF(F479&lt;'PlayerGrades+'!$AB$17,"E",IF(F479&lt;'PlayerGrades+'!$AB$16,"E+",IF(F479&lt;'PlayerGrades+'!$AB$15,"D-",IF(F479&lt;'PlayerGrades+'!$AB$14,"D",IF(F479&lt;'PlayerGrades+'!$AB$13,"D+",IF(F479&lt;'PlayerGrades+'!$AB$12,"C-",IF(F479&lt;'PlayerGrades+'!$AB$11,"C",IF(F479&lt;'PlayerGrades+'!$AB$10,"C+",IF(F479&lt;'PlayerGrades+'!$AB$9,"B-",IF(F479&lt;'PlayerGrades+'!$AB$8,"B",IF(F479&lt;'PlayerGrades+'!$AB$7,"B+",IF(F479&lt;'PlayerGrades+'!$AB$6,"A-",IF(F479&lt;'PlayerGrades+'!$AB$5,"A",IF(F479&lt;'PlayerGrades+'!$AB$4,"A+",IF(F479&lt;'PlayerGrades+'!$AB$3,"S-",IF(F479&lt;'PlayerGrades+'!$AB$2,"S","S+"))))))))))))))))))))</f>
        <v>E-</v>
      </c>
      <c r="H479" s="937">
        <f t="shared" si="3"/>
        <v>0.05494505495</v>
      </c>
      <c r="I479" s="937" t="str">
        <f>IF(H479&lt;'PlayerGrades+'!$AC$21,"F-",IF(H479&lt;'PlayerGrades+'!$AC$20,"F",IF(H479&lt;'PlayerGrades+'!$AC$19,"F+",IF(H479&lt;'PlayerGrades+'!$AC$18,"E-",IF(H479&lt;'PlayerGrades+'!$AC$17,"E",IF(H479&lt;'PlayerGrades+'!$AC$16,"E+",IF(H479&lt;'PlayerGrades+'!$AC$15,"D-",IF(H479&lt;'PlayerGrades+'!$AC$14,"D",IF(H479&lt;'PlayerGrades+'!$AC$13,"D+",IF(H479&lt;'PlayerGrades+'!$AC$12,"C-",IF(H479&lt;'PlayerGrades+'!$AC$11,"C",IF(H479&lt;'PlayerGrades+'!$AC$10,"C+",IF(H479&lt;'PlayerGrades+'!$AC$9,"B-",IF(H479&lt;'PlayerGrades+'!$AC$8,"B",IF(H479&lt;'PlayerGrades+'!$AC$7,"B+",IF(H479&lt;'PlayerGrades+'!$AC$6,"A-",IF(H479&lt;'PlayerGrades+'!$AC$5,"A",IF(H479&lt;'PlayerGrades+'!$AC$4,"A+",IF(H479&lt;'PlayerGrades+'!$AC$3,"S-",IF(H479&lt;'PlayerGrades+'!$AC$2,"S","S+"))))))))))))))))))))</f>
        <v>F+</v>
      </c>
      <c r="J479" s="937">
        <f t="shared" si="4"/>
        <v>0.05494505495</v>
      </c>
      <c r="K479" s="937" t="str">
        <f>IF(J479&lt;'PlayerGrades+'!$AD$21,"F-",IF(J479&lt;'PlayerGrades+'!$AD$20,"F",IF(J479&lt;'PlayerGrades+'!$AD$19,"F+",IF(J479&lt;'PlayerGrades+'!$AD$18,"E-",IF(J479&lt;'PlayerGrades+'!$AD$17,"E",IF(J479&lt;'PlayerGrades+'!$AD$16,"E+",IF(J479&lt;'PlayerGrades+'!$AD$15,"D-",IF(J479&lt;'PlayerGrades+'!$AD$14,"D",IF(J479&lt;'PlayerGrades+'!$AD$13,"D+",IF(J479&lt;'PlayerGrades+'!$AD$12,"C-",IF(J479&lt;'PlayerGrades+'!$AD$11,"C",IF(J479&lt;'PlayerGrades+'!$AD$10,"C+",IF(J479&lt;'PlayerGrades+'!$AD$9,"B-",IF(J479&lt;'PlayerGrades+'!$AD$8,"B",IF(J479&lt;'PlayerGrades+'!$AD$7,"B+",IF(J479&lt;'PlayerGrades+'!$AD$6,"A-",IF(J479&lt;'PlayerGrades+'!$AD$5,"A",IF(J479&lt;'PlayerGrades+'!$AD$4,"A+",IF(J479&lt;'PlayerGrades+'!$AD$3,"S-",IF(J479&lt;'PlayerGrades+'!$AD$2,"S","S+"))))))))))))))))))))</f>
        <v>B+</v>
      </c>
      <c r="L479" s="677">
        <f t="shared" si="5"/>
        <v>0.3296703297</v>
      </c>
      <c r="M479" s="938" t="str">
        <f>IF(L479&lt;'PlayerGrades+'!$AE$21,"F-",IF(L479&lt;'PlayerGrades+'!$AE$20,"F",IF(L479&lt;'PlayerGrades+'!$AE$19,"F+",IF(L479&lt;'PlayerGrades+'!$AE$18,"E-",IF(L479&lt;'PlayerGrades+'!$AE$17,"E",IF(L479&lt;'PlayerGrades+'!$AE$16,"E+",IF(L479&lt;'PlayerGrades+'!$AE$15,"D-",IF(L479&lt;'PlayerGrades+'!$AE$14,"D",IF(L479&lt;'PlayerGrades+'!$AE$13,"D+",IF(L479&lt;'PlayerGrades+'!$AE$12,"C-",IF(L479&lt;'PlayerGrades+'!$AE$11,"C",IF(L479&lt;'PlayerGrades+'!$AE$10,"C+",IF(L479&lt;'PlayerGrades+'!$AE$9,"B-",IF(L479&lt;'PlayerGrades+'!$AE$8,"B",IF(L479&lt;'PlayerGrades+'!$AE$7,"B+",IF(L479&lt;'PlayerGrades+'!$AE$6,"A-",IF(L479&lt;'PlayerGrades+'!$AE$5,"A",IF(L479&lt;'PlayerGrades+'!$AE$4,"A+",IF(L479&lt;'PlayerGrades+'!$AE$3,"S-",IF(L479&lt;'PlayerGrades+'!$AE$2,"S","S+"))))))))))))))))))))</f>
        <v>E+</v>
      </c>
      <c r="N479" s="937">
        <f t="shared" si="6"/>
        <v>0.1098901099</v>
      </c>
      <c r="O479" s="937" t="str">
        <f>IF(N479&lt;'PlayerGrades+'!$AF$21,"F-",IF(N479&lt;'PlayerGrades+'!$AF$20,"F",IF(N479&lt;'PlayerGrades+'!$AF$19,"F+",IF(N479&lt;'PlayerGrades+'!$AF$18,"E-",IF(N479&lt;'PlayerGrades+'!$AF$17,"E",IF(N479&lt;'PlayerGrades+'!$AF$16,"E+",IF(N479&lt;'PlayerGrades+'!$AF$15,"D-",IF(N479&lt;'PlayerGrades+'!$AF$14,"D",IF(N479&lt;'PlayerGrades+'!$AF$13,"D+",IF(N479&lt;'PlayerGrades+'!$AF$12,"C-",IF(N479&lt;'PlayerGrades+'!$AF$11,"C",IF(N479&lt;'PlayerGrades+'!$AF$10,"C+",IF(N479&lt;'PlayerGrades+'!$AF$9,"B-",IF(N479&lt;'PlayerGrades+'!$AF$8,"B",IF(N479&lt;'PlayerGrades+'!$AF$7,"B+",IF(N479&lt;'PlayerGrades+'!$AF$6,"A-",IF(N479&lt;'PlayerGrades+'!$AF$5,"A",IF(N479&lt;'PlayerGrades+'!$AF$4,"A+",IF(N479&lt;'PlayerGrades+'!$AF$3,"S-",IF(N479&lt;'PlayerGrades+'!$AF$2,"S","S+"))))))))))))))))))))</f>
        <v>S-</v>
      </c>
      <c r="P479" s="937">
        <f t="shared" si="7"/>
        <v>0.05494505495</v>
      </c>
      <c r="Q479" s="937" t="str">
        <f>IF(P479&lt;'PlayerGrades+'!$AG$21,"F-",IF(P479&lt;'PlayerGrades+'!$AG$20,"F",IF(P479&lt;'PlayerGrades+'!$AG$19,"F+",IF(P479&lt;'PlayerGrades+'!$AG$18,"E-",IF(P479&lt;'PlayerGrades+'!$AG$17,"E",IF(P479&lt;'PlayerGrades+'!$AG$16,"E+",IF(P479&lt;'PlayerGrades+'!$AG$15,"D-",IF(P479&lt;'PlayerGrades+'!$AG$14,"D",IF(P479&lt;'PlayerGrades+'!$AG$13,"D+",IF(P479&lt;'PlayerGrades+'!$AG$12,"C-",IF(P479&lt;'PlayerGrades+'!$AG$11,"C",IF(P479&lt;'PlayerGrades+'!$AG$10,"C+",IF(P479&lt;'PlayerGrades+'!$AG$9,"B-",IF(P479&lt;'PlayerGrades+'!$AG$8,"B",IF(P479&lt;'PlayerGrades+'!$AG$7,"B+",IF(P479&lt;'PlayerGrades+'!$AG$6,"A-",IF(P479&lt;'PlayerGrades+'!$AG$5,"A",IF(P479&lt;'PlayerGrades+'!$AG$4,"A+",IF(P479&lt;'PlayerGrades+'!$AG$3,"S-",IF(P479&lt;'PlayerGrades+'!$AG$2,"S","S+"))))))))))))))))))))</f>
        <v>A</v>
      </c>
      <c r="R479" s="937">
        <f t="shared" si="8"/>
        <v>0.7142857143</v>
      </c>
      <c r="S479" s="937" t="str">
        <f>IF(R479&lt;'PlayerGrades+'!$AH$21,"F-",IF(R479&lt;'PlayerGrades+'!$AH$20,"F",IF(R479&lt;'PlayerGrades+'!$AH$19,"F+",IF(R479&lt;'PlayerGrades+'!$AH$18,"E-",IF(R479&lt;'PlayerGrades+'!$AH$17,"E",IF(R479&lt;'PlayerGrades+'!$AH$16,"E+",IF(R479&lt;'PlayerGrades+'!$AH$15,"D-",IF(R479&lt;'PlayerGrades+'!$AH$14,"D",IF(R479&lt;'PlayerGrades+'!$AH$13,"D+",IF(R479&lt;'PlayerGrades+'!$AH$12,"C-",IF(R479&lt;'PlayerGrades+'!$AH$11,"C",IF(R479&lt;'PlayerGrades+'!$AH$10,"C+",IF(R479&lt;'PlayerGrades+'!$AH$9,"B-",IF(R479&lt;'PlayerGrades+'!$AH$8,"B",IF(R479&lt;'PlayerGrades+'!$AH$7,"B+",IF(R479&lt;'PlayerGrades+'!$AH$6,"A-",IF(R479&lt;'PlayerGrades+'!$AH$5,"A",IF(R479&lt;'PlayerGrades+'!$AH$4,"A+",IF(R479&lt;'PlayerGrades+'!$AH$3,"S-",IF(R479&lt;'PlayerGrades+'!$AH$2,"S","S+"))))))))))))))))))))</f>
        <v>S</v>
      </c>
      <c r="T479" s="937">
        <f t="shared" si="9"/>
        <v>2.384615385</v>
      </c>
      <c r="U479" s="937" t="str">
        <f>IF(T479&lt;'PlayerGrades+'!$AI$21,"F-",IF(T479&lt;'PlayerGrades+'!$AI$20,"F",IF(T479&lt;'PlayerGrades+'!$AI$19,"F+",IF(T479&lt;'PlayerGrades+'!$AI$18,"E-",IF(T479&lt;'PlayerGrades+'!$AI$17,"E",IF(T479&lt;'PlayerGrades+'!$AI$16,"E+",IF(T479&lt;'PlayerGrades+'!$AI$15,"D-",IF(T479&lt;'PlayerGrades+'!$AI$14,"D",IF(T479&lt;'PlayerGrades+'!$AI$13,"D+",IF(T479&lt;'PlayerGrades+'!$AI$12,"C-",IF(T479&lt;'PlayerGrades+'!$AI$11,"C",IF(T479&lt;'PlayerGrades+'!$AI$10,"C+",IF(T479&lt;'PlayerGrades+'!$AI$9,"B-",IF(T479&lt;'PlayerGrades+'!$AI$8,"B",IF(T479&lt;'PlayerGrades+'!$AI$7,"B+",IF(T479&lt;'PlayerGrades+'!$AI$6,"A-",IF(T479&lt;'PlayerGrades+'!$AI$5,"A",IF(T479&lt;'PlayerGrades+'!$AI$4,"A+",IF(T479&lt;'PlayerGrades+'!$AI$3,"S-",IF(T479&lt;'PlayerGrades+'!$AI$2,"S","S+"))))))))))))))))))))</f>
        <v>S+</v>
      </c>
      <c r="V479" s="941">
        <v>1.0</v>
      </c>
      <c r="W479" s="941">
        <v>0.0</v>
      </c>
      <c r="X479" s="941">
        <v>1.0</v>
      </c>
      <c r="Y479" s="941">
        <v>1.0</v>
      </c>
      <c r="Z479" s="941">
        <v>0.0</v>
      </c>
      <c r="AA479" s="941">
        <v>50.0</v>
      </c>
      <c r="AB479" s="941">
        <v>67.0</v>
      </c>
      <c r="AC479" s="941">
        <v>-17.0</v>
      </c>
      <c r="AD479" s="941">
        <v>9.0</v>
      </c>
      <c r="AE479" s="941">
        <v>5.0</v>
      </c>
      <c r="AF479" s="941">
        <v>2.0</v>
      </c>
      <c r="AG479" s="941">
        <v>800.0</v>
      </c>
      <c r="AH479" s="941">
        <v>1092.0</v>
      </c>
      <c r="AI479" s="941">
        <v>11.0</v>
      </c>
      <c r="AJ479" s="941">
        <v>22.0</v>
      </c>
      <c r="AK479" s="941">
        <v>0.0</v>
      </c>
      <c r="AL479" s="941">
        <v>1.0</v>
      </c>
      <c r="AM479" s="941">
        <v>0.0</v>
      </c>
      <c r="AN479" s="941">
        <v>0.0</v>
      </c>
      <c r="AO479" s="941">
        <v>0.0</v>
      </c>
      <c r="AP479" s="941">
        <v>1.0</v>
      </c>
      <c r="AQ479" s="941">
        <v>0.0</v>
      </c>
      <c r="AR479" s="941">
        <v>6.0</v>
      </c>
      <c r="AS479" s="941">
        <v>2.0</v>
      </c>
      <c r="AT479" s="941">
        <v>0.0</v>
      </c>
      <c r="AU479" s="941">
        <v>0.0</v>
      </c>
      <c r="AV479" s="941">
        <v>0.0</v>
      </c>
      <c r="AW479" s="941">
        <v>0.0</v>
      </c>
      <c r="AX479" s="941">
        <v>0.0</v>
      </c>
      <c r="AY479" s="941">
        <v>0.0</v>
      </c>
      <c r="AZ479" s="941">
        <v>0.0</v>
      </c>
      <c r="BA479" s="941">
        <v>0.0</v>
      </c>
      <c r="BB479" s="941">
        <v>1.0</v>
      </c>
      <c r="BC479" s="941">
        <v>0.0</v>
      </c>
      <c r="BD479" s="941">
        <v>4.0</v>
      </c>
      <c r="BE479" s="941">
        <v>7.0</v>
      </c>
      <c r="BF479" s="941">
        <v>2.0</v>
      </c>
      <c r="BG479" s="942">
        <v>0.0</v>
      </c>
    </row>
    <row r="480">
      <c r="A480" s="965" t="s">
        <v>153</v>
      </c>
      <c r="B480" s="16" t="str">
        <f>IF(C480&lt;'PlayerGrades+'!$Y$44,"F-",IF(C480&lt;'PlayerGrades+'!$Y$43,"F",IF(C480&lt;'PlayerGrades+'!$Y$42,"F+",IF(C480&lt;'PlayerGrades+'!$Y$41,"E-",IF(C480&lt;'PlayerGrades+'!$Y$40,"E",IF(C480&lt;'PlayerGrades+'!$Y$39,"E+",IF(C480&lt;'PlayerGrades+'!$Y$38,"D-",IF(C480&lt;'PlayerGrades+'!$Y$37,"D",IF(C480&lt;'PlayerGrades+'!$Y$36,"D+",IF(C480&lt;'PlayerGrades+'!$Y$35,"C-",IF(C480&lt;'PlayerGrades+'!$Y$34,"C",IF(C480&lt;'PlayerGrades+'!$Y$33,"C+",IF(C480&lt;'PlayerGrades+'!$Y$32,"B-",IF(C480&lt;'PlayerGrades+'!$Y$31,"B",IF(C480&lt;'PlayerGrades+'!$Y$30,"B+",IF(C480&lt;'PlayerGrades+'!$Y$29,"A-",IF(C480&lt;'PlayerGrades+'!$Y$28,"A",IF(C480&lt;'PlayerGrades+'!$Y$27,"A+",IF(C480&lt;'PlayerGrades+'!$Y$26,"S-",IF(C480&lt;'PlayerGrades+'!$Y$25,"S","S+"))))))))))))))))))))</f>
        <v>F</v>
      </c>
      <c r="C480" s="936">
        <f>('PlayerGrades+'!$Y$47*(VLOOKUP(E480, 'PlayerGrades+'!$X$3:$Y$23, 2, FALSE)))+('PlayerGrades+'!$Y$48*(VLOOKUP(G480, 'PlayerGrades+'!$X$3:$Y$23, 2, FALSE)))+('PlayerGrades+'!$Y$49*(VLOOKUP(I480, 'PlayerGrades+'!$X$3:$Y$23, 2, FALSE)))+('PlayerGrades+'!$Y$50*(VLOOKUP(K480, 'PlayerGrades+'!$X$3:$Y$23, 2, FALSE)))+('PlayerGrades+'!$Y$51*(VLOOKUP(M480, 'PlayerGrades+'!$X$3:$Y$23, 2, FALSE)))+('PlayerGrades+'!$Y$52*(VLOOKUP(O480, 'PlayerGrades+'!$X$3:$Y$23, 2, FALSE)))+('PlayerGrades+'!$Y$53*(VLOOKUP(Q480, 'PlayerGrades+'!$X$3:$Y$23, 2, FALSE)))+('PlayerGrades+'!$Y$54*(VLOOKUP(S480, 'PlayerGrades+'!$X$3:$Y$23, 2, FALSE)))+('PlayerGrades+'!$Y$55*(VLOOKUP(U480, 'PlayerGrades+'!$X$3:$Y$23, 2, FALSE)))</f>
        <v>8.75</v>
      </c>
      <c r="D480" s="937">
        <f t="shared" si="1"/>
        <v>0.2747252747</v>
      </c>
      <c r="E480" s="937" t="str">
        <f>IF(D480&lt;'PlayerGrades+'!$AA$21,"F-",IF(D480&lt;'PlayerGrades+'!$AA$20,"F",IF(D480&lt;'PlayerGrades+'!$AA$19,"F+",IF(D480&lt;'PlayerGrades+'!$AA$18,"E-",IF(D480&lt;'PlayerGrades+'!$AA$17,"E",IF(D480&lt;'PlayerGrades+'!$AA$16,"E+",IF(D480&lt;'PlayerGrades+'!$AA$15,"D-",IF(D480&lt;'PlayerGrades+'!$AA$14,"D",IF(D480&lt;'PlayerGrades+'!$AA$13,"D+",IF(D480&lt;'PlayerGrades+'!$AA$12,"C-",IF(D480&lt;'PlayerGrades+'!$AA$11,"C",IF(D480&lt;'PlayerGrades+'!$AA$10,"C+",IF(D480&lt;'PlayerGrades+'!$AA$9,"B-",IF(D480&lt;'PlayerGrades+'!$AA$8,"B",IF(D480&lt;'PlayerGrades+'!$AA$7,"B+",IF(D480&lt;'PlayerGrades+'!$AA$6,"A-",IF(D480&lt;'PlayerGrades+'!$AA$5,"A",IF(D480&lt;'PlayerGrades+'!$AA$4,"A+",IF(D480&lt;'PlayerGrades+'!$AA$3,"S-",IF(D480&lt;'PlayerGrades+'!$AA$2,"S","S+"))))))))))))))))))))</f>
        <v>A</v>
      </c>
      <c r="F480" s="937">
        <f t="shared" si="2"/>
        <v>-1.923076923</v>
      </c>
      <c r="G480" s="937" t="str">
        <f>IF(F480&lt;'PlayerGrades+'!$AB$21,"F-",IF(F480&lt;'PlayerGrades+'!$AB$20,"F",IF(F480&lt;'PlayerGrades+'!$AB$19,"F+",IF(F480&lt;'PlayerGrades+'!$AB$18,"E-",IF(F480&lt;'PlayerGrades+'!$AB$17,"E",IF(F480&lt;'PlayerGrades+'!$AB$16,"E+",IF(F480&lt;'PlayerGrades+'!$AB$15,"D-",IF(F480&lt;'PlayerGrades+'!$AB$14,"D",IF(F480&lt;'PlayerGrades+'!$AB$13,"D+",IF(F480&lt;'PlayerGrades+'!$AB$12,"C-",IF(F480&lt;'PlayerGrades+'!$AB$11,"C",IF(F480&lt;'PlayerGrades+'!$AB$10,"C+",IF(F480&lt;'PlayerGrades+'!$AB$9,"B-",IF(F480&lt;'PlayerGrades+'!$AB$8,"B",IF(F480&lt;'PlayerGrades+'!$AB$7,"B+",IF(F480&lt;'PlayerGrades+'!$AB$6,"A-",IF(F480&lt;'PlayerGrades+'!$AB$5,"A",IF(F480&lt;'PlayerGrades+'!$AB$4,"A+",IF(F480&lt;'PlayerGrades+'!$AB$3,"S-",IF(F480&lt;'PlayerGrades+'!$AB$2,"S","S+"))))))))))))))))))))</f>
        <v>F-</v>
      </c>
      <c r="H480" s="937">
        <f t="shared" si="3"/>
        <v>0.05494505495</v>
      </c>
      <c r="I480" s="937" t="str">
        <f>IF(H480&lt;'PlayerGrades+'!$AC$21,"F-",IF(H480&lt;'PlayerGrades+'!$AC$20,"F",IF(H480&lt;'PlayerGrades+'!$AC$19,"F+",IF(H480&lt;'PlayerGrades+'!$AC$18,"E-",IF(H480&lt;'PlayerGrades+'!$AC$17,"E",IF(H480&lt;'PlayerGrades+'!$AC$16,"E+",IF(H480&lt;'PlayerGrades+'!$AC$15,"D-",IF(H480&lt;'PlayerGrades+'!$AC$14,"D",IF(H480&lt;'PlayerGrades+'!$AC$13,"D+",IF(H480&lt;'PlayerGrades+'!$AC$12,"C-",IF(H480&lt;'PlayerGrades+'!$AC$11,"C",IF(H480&lt;'PlayerGrades+'!$AC$10,"C+",IF(H480&lt;'PlayerGrades+'!$AC$9,"B-",IF(H480&lt;'PlayerGrades+'!$AC$8,"B",IF(H480&lt;'PlayerGrades+'!$AC$7,"B+",IF(H480&lt;'PlayerGrades+'!$AC$6,"A-",IF(H480&lt;'PlayerGrades+'!$AC$5,"A",IF(H480&lt;'PlayerGrades+'!$AC$4,"A+",IF(H480&lt;'PlayerGrades+'!$AC$3,"S-",IF(H480&lt;'PlayerGrades+'!$AC$2,"S","S+"))))))))))))))))))))</f>
        <v>F+</v>
      </c>
      <c r="J480" s="937">
        <f t="shared" si="4"/>
        <v>0</v>
      </c>
      <c r="K480" s="937" t="str">
        <f>IF(J480&lt;'PlayerGrades+'!$AD$21,"F-",IF(J480&lt;'PlayerGrades+'!$AD$20,"F",IF(J480&lt;'PlayerGrades+'!$AD$19,"F+",IF(J480&lt;'PlayerGrades+'!$AD$18,"E-",IF(J480&lt;'PlayerGrades+'!$AD$17,"E",IF(J480&lt;'PlayerGrades+'!$AD$16,"E+",IF(J480&lt;'PlayerGrades+'!$AD$15,"D-",IF(J480&lt;'PlayerGrades+'!$AD$14,"D",IF(J480&lt;'PlayerGrades+'!$AD$13,"D+",IF(J480&lt;'PlayerGrades+'!$AD$12,"C-",IF(J480&lt;'PlayerGrades+'!$AD$11,"C",IF(J480&lt;'PlayerGrades+'!$AD$10,"C+",IF(J480&lt;'PlayerGrades+'!$AD$9,"B-",IF(J480&lt;'PlayerGrades+'!$AD$8,"B",IF(J480&lt;'PlayerGrades+'!$AD$7,"B+",IF(J480&lt;'PlayerGrades+'!$AD$6,"A-",IF(J480&lt;'PlayerGrades+'!$AD$5,"A",IF(J480&lt;'PlayerGrades+'!$AD$4,"A+",IF(J480&lt;'PlayerGrades+'!$AD$3,"S-",IF(J480&lt;'PlayerGrades+'!$AD$2,"S","S+"))))))))))))))))))))</f>
        <v>F-</v>
      </c>
      <c r="L480" s="677">
        <f t="shared" si="5"/>
        <v>0.1648351648</v>
      </c>
      <c r="M480" s="938" t="str">
        <f>IF(L480&lt;'PlayerGrades+'!$AE$21,"F-",IF(L480&lt;'PlayerGrades+'!$AE$20,"F",IF(L480&lt;'PlayerGrades+'!$AE$19,"F+",IF(L480&lt;'PlayerGrades+'!$AE$18,"E-",IF(L480&lt;'PlayerGrades+'!$AE$17,"E",IF(L480&lt;'PlayerGrades+'!$AE$16,"E+",IF(L480&lt;'PlayerGrades+'!$AE$15,"D-",IF(L480&lt;'PlayerGrades+'!$AE$14,"D",IF(L480&lt;'PlayerGrades+'!$AE$13,"D+",IF(L480&lt;'PlayerGrades+'!$AE$12,"C-",IF(L480&lt;'PlayerGrades+'!$AE$11,"C",IF(L480&lt;'PlayerGrades+'!$AE$10,"C+",IF(L480&lt;'PlayerGrades+'!$AE$9,"B-",IF(L480&lt;'PlayerGrades+'!$AE$8,"B",IF(L480&lt;'PlayerGrades+'!$AE$7,"B+",IF(L480&lt;'PlayerGrades+'!$AE$6,"A-",IF(L480&lt;'PlayerGrades+'!$AE$5,"A",IF(L480&lt;'PlayerGrades+'!$AE$4,"A+",IF(L480&lt;'PlayerGrades+'!$AE$3,"S-",IF(L480&lt;'PlayerGrades+'!$AE$2,"S","S+"))))))))))))))))))))</f>
        <v>F-</v>
      </c>
      <c r="N480" s="937">
        <f t="shared" si="6"/>
        <v>0</v>
      </c>
      <c r="O480" s="937" t="str">
        <f>IF(N480&lt;'PlayerGrades+'!$AF$21,"F-",IF(N480&lt;'PlayerGrades+'!$AF$20,"F",IF(N480&lt;'PlayerGrades+'!$AF$19,"F+",IF(N480&lt;'PlayerGrades+'!$AF$18,"E-",IF(N480&lt;'PlayerGrades+'!$AF$17,"E",IF(N480&lt;'PlayerGrades+'!$AF$16,"E+",IF(N480&lt;'PlayerGrades+'!$AF$15,"D-",IF(N480&lt;'PlayerGrades+'!$AF$14,"D",IF(N480&lt;'PlayerGrades+'!$AF$13,"D+",IF(N480&lt;'PlayerGrades+'!$AF$12,"C-",IF(N480&lt;'PlayerGrades+'!$AF$11,"C",IF(N480&lt;'PlayerGrades+'!$AF$10,"C+",IF(N480&lt;'PlayerGrades+'!$AF$9,"B-",IF(N480&lt;'PlayerGrades+'!$AF$8,"B",IF(N480&lt;'PlayerGrades+'!$AF$7,"B+",IF(N480&lt;'PlayerGrades+'!$AF$6,"A-",IF(N480&lt;'PlayerGrades+'!$AF$5,"A",IF(N480&lt;'PlayerGrades+'!$AF$4,"A+",IF(N480&lt;'PlayerGrades+'!$AF$3,"S-",IF(N480&lt;'PlayerGrades+'!$AF$2,"S","S+"))))))))))))))))))))</f>
        <v>F-</v>
      </c>
      <c r="P480" s="937">
        <f t="shared" si="7"/>
        <v>0</v>
      </c>
      <c r="Q480" s="937" t="str">
        <f>IF(P480&lt;'PlayerGrades+'!$AG$21,"F-",IF(P480&lt;'PlayerGrades+'!$AG$20,"F",IF(P480&lt;'PlayerGrades+'!$AG$19,"F+",IF(P480&lt;'PlayerGrades+'!$AG$18,"E-",IF(P480&lt;'PlayerGrades+'!$AG$17,"E",IF(P480&lt;'PlayerGrades+'!$AG$16,"E+",IF(P480&lt;'PlayerGrades+'!$AG$15,"D-",IF(P480&lt;'PlayerGrades+'!$AG$14,"D",IF(P480&lt;'PlayerGrades+'!$AG$13,"D+",IF(P480&lt;'PlayerGrades+'!$AG$12,"C-",IF(P480&lt;'PlayerGrades+'!$AG$11,"C",IF(P480&lt;'PlayerGrades+'!$AG$10,"C+",IF(P480&lt;'PlayerGrades+'!$AG$9,"B-",IF(P480&lt;'PlayerGrades+'!$AG$8,"B",IF(P480&lt;'PlayerGrades+'!$AG$7,"B+",IF(P480&lt;'PlayerGrades+'!$AG$6,"A-",IF(P480&lt;'PlayerGrades+'!$AG$5,"A",IF(P480&lt;'PlayerGrades+'!$AG$4,"A+",IF(P480&lt;'PlayerGrades+'!$AG$3,"S-",IF(P480&lt;'PlayerGrades+'!$AG$2,"S","S+"))))))))))))))))))))</f>
        <v>F</v>
      </c>
      <c r="R480" s="937">
        <f t="shared" si="8"/>
        <v>0.3296703297</v>
      </c>
      <c r="S480" s="937" t="str">
        <f>IF(R480&lt;'PlayerGrades+'!$AH$21,"F-",IF(R480&lt;'PlayerGrades+'!$AH$20,"F",IF(R480&lt;'PlayerGrades+'!$AH$19,"F+",IF(R480&lt;'PlayerGrades+'!$AH$18,"E-",IF(R480&lt;'PlayerGrades+'!$AH$17,"E",IF(R480&lt;'PlayerGrades+'!$AH$16,"E+",IF(R480&lt;'PlayerGrades+'!$AH$15,"D-",IF(R480&lt;'PlayerGrades+'!$AH$14,"D",IF(R480&lt;'PlayerGrades+'!$AH$13,"D+",IF(R480&lt;'PlayerGrades+'!$AH$12,"C-",IF(R480&lt;'PlayerGrades+'!$AH$11,"C",IF(R480&lt;'PlayerGrades+'!$AH$10,"C+",IF(R480&lt;'PlayerGrades+'!$AH$9,"B-",IF(R480&lt;'PlayerGrades+'!$AH$8,"B",IF(R480&lt;'PlayerGrades+'!$AH$7,"B+",IF(R480&lt;'PlayerGrades+'!$AH$6,"A-",IF(R480&lt;'PlayerGrades+'!$AH$5,"A",IF(R480&lt;'PlayerGrades+'!$AH$4,"A+",IF(R480&lt;'PlayerGrades+'!$AH$3,"S-",IF(R480&lt;'PlayerGrades+'!$AH$2,"S","S+"))))))))))))))))))))</f>
        <v>F</v>
      </c>
      <c r="T480" s="937">
        <f t="shared" si="9"/>
        <v>1.43956044</v>
      </c>
      <c r="U480" s="937" t="str">
        <f>IF(T480&lt;'PlayerGrades+'!$AI$21,"F-",IF(T480&lt;'PlayerGrades+'!$AI$20,"F",IF(T480&lt;'PlayerGrades+'!$AI$19,"F+",IF(T480&lt;'PlayerGrades+'!$AI$18,"E-",IF(T480&lt;'PlayerGrades+'!$AI$17,"E",IF(T480&lt;'PlayerGrades+'!$AI$16,"E+",IF(T480&lt;'PlayerGrades+'!$AI$15,"D-",IF(T480&lt;'PlayerGrades+'!$AI$14,"D",IF(T480&lt;'PlayerGrades+'!$AI$13,"D+",IF(T480&lt;'PlayerGrades+'!$AI$12,"C-",IF(T480&lt;'PlayerGrades+'!$AI$11,"C",IF(T480&lt;'PlayerGrades+'!$AI$10,"C+",IF(T480&lt;'PlayerGrades+'!$AI$9,"B-",IF(T480&lt;'PlayerGrades+'!$AI$8,"B",IF(T480&lt;'PlayerGrades+'!$AI$7,"B+",IF(T480&lt;'PlayerGrades+'!$AI$6,"A-",IF(T480&lt;'PlayerGrades+'!$AI$5,"A",IF(T480&lt;'PlayerGrades+'!$AI$4,"A+",IF(T480&lt;'PlayerGrades+'!$AI$3,"S-",IF(T480&lt;'PlayerGrades+'!$AI$2,"S","S+"))))))))))))))))))))</f>
        <v>B+</v>
      </c>
      <c r="V480" s="941">
        <v>1.0</v>
      </c>
      <c r="W480" s="941">
        <v>0.0</v>
      </c>
      <c r="X480" s="941">
        <v>1.0</v>
      </c>
      <c r="Y480" s="941">
        <v>0.0</v>
      </c>
      <c r="Z480" s="941">
        <v>5.0</v>
      </c>
      <c r="AA480" s="941">
        <v>37.0</v>
      </c>
      <c r="AB480" s="941">
        <v>72.0</v>
      </c>
      <c r="AC480" s="941">
        <v>-35.0</v>
      </c>
      <c r="AD480" s="941">
        <v>1.0</v>
      </c>
      <c r="AE480" s="941">
        <v>3.0</v>
      </c>
      <c r="AF480" s="941">
        <v>0.0</v>
      </c>
      <c r="AG480" s="941">
        <v>782.0</v>
      </c>
      <c r="AH480" s="941">
        <v>1092.0</v>
      </c>
      <c r="AI480" s="941">
        <v>10.0</v>
      </c>
      <c r="AJ480" s="941">
        <v>220.0</v>
      </c>
      <c r="AK480" s="941">
        <v>0.0</v>
      </c>
      <c r="AL480" s="941">
        <v>0.0</v>
      </c>
      <c r="AM480" s="941">
        <v>0.0</v>
      </c>
      <c r="AN480" s="941">
        <v>0.0</v>
      </c>
      <c r="AO480" s="941">
        <v>0.0</v>
      </c>
      <c r="AP480" s="941">
        <v>0.0</v>
      </c>
      <c r="AQ480" s="941">
        <v>0.0</v>
      </c>
      <c r="AR480" s="941">
        <v>3.0</v>
      </c>
      <c r="AS480" s="941">
        <v>0.0</v>
      </c>
      <c r="AT480" s="941">
        <v>0.0</v>
      </c>
      <c r="AU480" s="941">
        <v>0.0</v>
      </c>
      <c r="AV480" s="941">
        <v>0.0</v>
      </c>
      <c r="AW480" s="941">
        <v>0.0</v>
      </c>
      <c r="AX480" s="941">
        <v>0.0</v>
      </c>
      <c r="AY480" s="941">
        <v>0.0</v>
      </c>
      <c r="AZ480" s="941">
        <v>0.0</v>
      </c>
      <c r="BA480" s="941">
        <v>0.0</v>
      </c>
      <c r="BB480" s="941">
        <v>1.0</v>
      </c>
      <c r="BC480" s="941">
        <v>0.0</v>
      </c>
      <c r="BD480" s="941">
        <v>5.0</v>
      </c>
      <c r="BE480" s="941">
        <v>8.0</v>
      </c>
      <c r="BF480" s="941">
        <v>1.0</v>
      </c>
      <c r="BG480" s="942">
        <v>0.0</v>
      </c>
    </row>
    <row r="481">
      <c r="A481" s="966" t="s">
        <v>131</v>
      </c>
      <c r="B481" s="16" t="str">
        <f>IF(C481&lt;'PlayerGrades+'!$Y$44,"F-",IF(C481&lt;'PlayerGrades+'!$Y$43,"F",IF(C481&lt;'PlayerGrades+'!$Y$42,"F+",IF(C481&lt;'PlayerGrades+'!$Y$41,"E-",IF(C481&lt;'PlayerGrades+'!$Y$40,"E",IF(C481&lt;'PlayerGrades+'!$Y$39,"E+",IF(C481&lt;'PlayerGrades+'!$Y$38,"D-",IF(C481&lt;'PlayerGrades+'!$Y$37,"D",IF(C481&lt;'PlayerGrades+'!$Y$36,"D+",IF(C481&lt;'PlayerGrades+'!$Y$35,"C-",IF(C481&lt;'PlayerGrades+'!$Y$34,"C",IF(C481&lt;'PlayerGrades+'!$Y$33,"C+",IF(C481&lt;'PlayerGrades+'!$Y$32,"B-",IF(C481&lt;'PlayerGrades+'!$Y$31,"B",IF(C481&lt;'PlayerGrades+'!$Y$30,"B+",IF(C481&lt;'PlayerGrades+'!$Y$29,"A-",IF(C481&lt;'PlayerGrades+'!$Y$28,"A",IF(C481&lt;'PlayerGrades+'!$Y$27,"A+",IF(C481&lt;'PlayerGrades+'!$Y$26,"S-",IF(C481&lt;'PlayerGrades+'!$Y$25,"S","S+"))))))))))))))))))))</f>
        <v>C-</v>
      </c>
      <c r="C481" s="936">
        <f>('PlayerGrades+'!$Y$47*(VLOOKUP(E481, 'PlayerGrades+'!$X$3:$Y$23, 2, FALSE)))+('PlayerGrades+'!$Y$48*(VLOOKUP(G481, 'PlayerGrades+'!$X$3:$Y$23, 2, FALSE)))+('PlayerGrades+'!$Y$49*(VLOOKUP(I481, 'PlayerGrades+'!$X$3:$Y$23, 2, FALSE)))+('PlayerGrades+'!$Y$50*(VLOOKUP(K481, 'PlayerGrades+'!$X$3:$Y$23, 2, FALSE)))+('PlayerGrades+'!$Y$51*(VLOOKUP(M481, 'PlayerGrades+'!$X$3:$Y$23, 2, FALSE)))+('PlayerGrades+'!$Y$52*(VLOOKUP(O481, 'PlayerGrades+'!$X$3:$Y$23, 2, FALSE)))+('PlayerGrades+'!$Y$53*(VLOOKUP(Q481, 'PlayerGrades+'!$X$3:$Y$23, 2, FALSE)))+('PlayerGrades+'!$Y$54*(VLOOKUP(S481, 'PlayerGrades+'!$X$3:$Y$23, 2, FALSE)))+('PlayerGrades+'!$Y$55*(VLOOKUP(U481, 'PlayerGrades+'!$X$3:$Y$23, 2, FALSE)))</f>
        <v>18.85</v>
      </c>
      <c r="D481" s="937">
        <f t="shared" si="1"/>
        <v>0</v>
      </c>
      <c r="E481" s="937" t="str">
        <f>IF(D481&lt;'PlayerGrades+'!$AA$21,"F-",IF(D481&lt;'PlayerGrades+'!$AA$20,"F",IF(D481&lt;'PlayerGrades+'!$AA$19,"F+",IF(D481&lt;'PlayerGrades+'!$AA$18,"E-",IF(D481&lt;'PlayerGrades+'!$AA$17,"E",IF(D481&lt;'PlayerGrades+'!$AA$16,"E+",IF(D481&lt;'PlayerGrades+'!$AA$15,"D-",IF(D481&lt;'PlayerGrades+'!$AA$14,"D",IF(D481&lt;'PlayerGrades+'!$AA$13,"D+",IF(D481&lt;'PlayerGrades+'!$AA$12,"C-",IF(D481&lt;'PlayerGrades+'!$AA$11,"C",IF(D481&lt;'PlayerGrades+'!$AA$10,"C+",IF(D481&lt;'PlayerGrades+'!$AA$9,"B-",IF(D481&lt;'PlayerGrades+'!$AA$8,"B",IF(D481&lt;'PlayerGrades+'!$AA$7,"B+",IF(D481&lt;'PlayerGrades+'!$AA$6,"A-",IF(D481&lt;'PlayerGrades+'!$AA$5,"A",IF(D481&lt;'PlayerGrades+'!$AA$4,"A+",IF(D481&lt;'PlayerGrades+'!$AA$3,"S-",IF(D481&lt;'PlayerGrades+'!$AA$2,"S","S+"))))))))))))))))))))</f>
        <v>F-</v>
      </c>
      <c r="F481" s="937">
        <f t="shared" si="2"/>
        <v>0.3296703297</v>
      </c>
      <c r="G481" s="937" t="str">
        <f>IF(F481&lt;'PlayerGrades+'!$AB$21,"F-",IF(F481&lt;'PlayerGrades+'!$AB$20,"F",IF(F481&lt;'PlayerGrades+'!$AB$19,"F+",IF(F481&lt;'PlayerGrades+'!$AB$18,"E-",IF(F481&lt;'PlayerGrades+'!$AB$17,"E",IF(F481&lt;'PlayerGrades+'!$AB$16,"E+",IF(F481&lt;'PlayerGrades+'!$AB$15,"D-",IF(F481&lt;'PlayerGrades+'!$AB$14,"D",IF(F481&lt;'PlayerGrades+'!$AB$13,"D+",IF(F481&lt;'PlayerGrades+'!$AB$12,"C-",IF(F481&lt;'PlayerGrades+'!$AB$11,"C",IF(F481&lt;'PlayerGrades+'!$AB$10,"C+",IF(F481&lt;'PlayerGrades+'!$AB$9,"B-",IF(F481&lt;'PlayerGrades+'!$AB$8,"B",IF(F481&lt;'PlayerGrades+'!$AB$7,"B+",IF(F481&lt;'PlayerGrades+'!$AB$6,"A-",IF(F481&lt;'PlayerGrades+'!$AB$5,"A",IF(F481&lt;'PlayerGrades+'!$AB$4,"A+",IF(F481&lt;'PlayerGrades+'!$AB$3,"S-",IF(F481&lt;'PlayerGrades+'!$AB$2,"S","S+"))))))))))))))))))))</f>
        <v>A-</v>
      </c>
      <c r="H481" s="937">
        <f t="shared" si="3"/>
        <v>0</v>
      </c>
      <c r="I481" s="937" t="str">
        <f>IF(H481&lt;'PlayerGrades+'!$AC$21,"F-",IF(H481&lt;'PlayerGrades+'!$AC$20,"F",IF(H481&lt;'PlayerGrades+'!$AC$19,"F+",IF(H481&lt;'PlayerGrades+'!$AC$18,"E-",IF(H481&lt;'PlayerGrades+'!$AC$17,"E",IF(H481&lt;'PlayerGrades+'!$AC$16,"E+",IF(H481&lt;'PlayerGrades+'!$AC$15,"D-",IF(H481&lt;'PlayerGrades+'!$AC$14,"D",IF(H481&lt;'PlayerGrades+'!$AC$13,"D+",IF(H481&lt;'PlayerGrades+'!$AC$12,"C-",IF(H481&lt;'PlayerGrades+'!$AC$11,"C",IF(H481&lt;'PlayerGrades+'!$AC$10,"C+",IF(H481&lt;'PlayerGrades+'!$AC$9,"B-",IF(H481&lt;'PlayerGrades+'!$AC$8,"B",IF(H481&lt;'PlayerGrades+'!$AC$7,"B+",IF(H481&lt;'PlayerGrades+'!$AC$6,"A-",IF(H481&lt;'PlayerGrades+'!$AC$5,"A",IF(H481&lt;'PlayerGrades+'!$AC$4,"A+",IF(H481&lt;'PlayerGrades+'!$AC$3,"S-",IF(H481&lt;'PlayerGrades+'!$AC$2,"S","S+"))))))))))))))))))))</f>
        <v>F-</v>
      </c>
      <c r="J481" s="937">
        <f t="shared" si="4"/>
        <v>0.1098901099</v>
      </c>
      <c r="K481" s="937" t="str">
        <f>IF(J481&lt;'PlayerGrades+'!$AD$21,"F-",IF(J481&lt;'PlayerGrades+'!$AD$20,"F",IF(J481&lt;'PlayerGrades+'!$AD$19,"F+",IF(J481&lt;'PlayerGrades+'!$AD$18,"E-",IF(J481&lt;'PlayerGrades+'!$AD$17,"E",IF(J481&lt;'PlayerGrades+'!$AD$16,"E+",IF(J481&lt;'PlayerGrades+'!$AD$15,"D-",IF(J481&lt;'PlayerGrades+'!$AD$14,"D",IF(J481&lt;'PlayerGrades+'!$AD$13,"D+",IF(J481&lt;'PlayerGrades+'!$AD$12,"C-",IF(J481&lt;'PlayerGrades+'!$AD$11,"C",IF(J481&lt;'PlayerGrades+'!$AD$10,"C+",IF(J481&lt;'PlayerGrades+'!$AD$9,"B-",IF(J481&lt;'PlayerGrades+'!$AD$8,"B",IF(J481&lt;'PlayerGrades+'!$AD$7,"B+",IF(J481&lt;'PlayerGrades+'!$AD$6,"A-",IF(J481&lt;'PlayerGrades+'!$AD$5,"A",IF(J481&lt;'PlayerGrades+'!$AD$4,"A+",IF(J481&lt;'PlayerGrades+'!$AD$3,"S-",IF(J481&lt;'PlayerGrades+'!$AD$2,"S","S+"))))))))))))))))))))</f>
        <v>S+</v>
      </c>
      <c r="L481" s="677">
        <f t="shared" si="5"/>
        <v>0.4395604396</v>
      </c>
      <c r="M481" s="938" t="str">
        <f>IF(L481&lt;'PlayerGrades+'!$AE$21,"F-",IF(L481&lt;'PlayerGrades+'!$AE$20,"F",IF(L481&lt;'PlayerGrades+'!$AE$19,"F+",IF(L481&lt;'PlayerGrades+'!$AE$18,"E-",IF(L481&lt;'PlayerGrades+'!$AE$17,"E",IF(L481&lt;'PlayerGrades+'!$AE$16,"E+",IF(L481&lt;'PlayerGrades+'!$AE$15,"D-",IF(L481&lt;'PlayerGrades+'!$AE$14,"D",IF(L481&lt;'PlayerGrades+'!$AE$13,"D+",IF(L481&lt;'PlayerGrades+'!$AE$12,"C-",IF(L481&lt;'PlayerGrades+'!$AE$11,"C",IF(L481&lt;'PlayerGrades+'!$AE$10,"C+",IF(L481&lt;'PlayerGrades+'!$AE$9,"B-",IF(L481&lt;'PlayerGrades+'!$AE$8,"B",IF(L481&lt;'PlayerGrades+'!$AE$7,"B+",IF(L481&lt;'PlayerGrades+'!$AE$6,"A-",IF(L481&lt;'PlayerGrades+'!$AE$5,"A",IF(L481&lt;'PlayerGrades+'!$AE$4,"A+",IF(L481&lt;'PlayerGrades+'!$AE$3,"S-",IF(L481&lt;'PlayerGrades+'!$AE$2,"S","S+"))))))))))))))))))))</f>
        <v>B</v>
      </c>
      <c r="N481" s="937">
        <f t="shared" si="6"/>
        <v>0.05494505495</v>
      </c>
      <c r="O481" s="937" t="str">
        <f>IF(N481&lt;'PlayerGrades+'!$AF$21,"F-",IF(N481&lt;'PlayerGrades+'!$AF$20,"F",IF(N481&lt;'PlayerGrades+'!$AF$19,"F+",IF(N481&lt;'PlayerGrades+'!$AF$18,"E-",IF(N481&lt;'PlayerGrades+'!$AF$17,"E",IF(N481&lt;'PlayerGrades+'!$AF$16,"E+",IF(N481&lt;'PlayerGrades+'!$AF$15,"D-",IF(N481&lt;'PlayerGrades+'!$AF$14,"D",IF(N481&lt;'PlayerGrades+'!$AF$13,"D+",IF(N481&lt;'PlayerGrades+'!$AF$12,"C-",IF(N481&lt;'PlayerGrades+'!$AF$11,"C",IF(N481&lt;'PlayerGrades+'!$AF$10,"C+",IF(N481&lt;'PlayerGrades+'!$AF$9,"B-",IF(N481&lt;'PlayerGrades+'!$AF$8,"B",IF(N481&lt;'PlayerGrades+'!$AF$7,"B+",IF(N481&lt;'PlayerGrades+'!$AF$6,"A-",IF(N481&lt;'PlayerGrades+'!$AF$5,"A",IF(N481&lt;'PlayerGrades+'!$AF$4,"A+",IF(N481&lt;'PlayerGrades+'!$AF$3,"S-",IF(N481&lt;'PlayerGrades+'!$AF$2,"S","S+"))))))))))))))))))))</f>
        <v>D</v>
      </c>
      <c r="P481" s="937">
        <f t="shared" si="7"/>
        <v>0.1098901099</v>
      </c>
      <c r="Q481" s="937" t="str">
        <f>IF(P481&lt;'PlayerGrades+'!$AG$21,"F-",IF(P481&lt;'PlayerGrades+'!$AG$20,"F",IF(P481&lt;'PlayerGrades+'!$AG$19,"F+",IF(P481&lt;'PlayerGrades+'!$AG$18,"E-",IF(P481&lt;'PlayerGrades+'!$AG$17,"E",IF(P481&lt;'PlayerGrades+'!$AG$16,"E+",IF(P481&lt;'PlayerGrades+'!$AG$15,"D-",IF(P481&lt;'PlayerGrades+'!$AG$14,"D",IF(P481&lt;'PlayerGrades+'!$AG$13,"D+",IF(P481&lt;'PlayerGrades+'!$AG$12,"C-",IF(P481&lt;'PlayerGrades+'!$AG$11,"C",IF(P481&lt;'PlayerGrades+'!$AG$10,"C+",IF(P481&lt;'PlayerGrades+'!$AG$9,"B-",IF(P481&lt;'PlayerGrades+'!$AG$8,"B",IF(P481&lt;'PlayerGrades+'!$AG$7,"B+",IF(P481&lt;'PlayerGrades+'!$AG$6,"A-",IF(P481&lt;'PlayerGrades+'!$AG$5,"A",IF(P481&lt;'PlayerGrades+'!$AG$4,"A+",IF(P481&lt;'PlayerGrades+'!$AG$3,"S-",IF(P481&lt;'PlayerGrades+'!$AG$2,"S","S+"))))))))))))))))))))</f>
        <v>S+</v>
      </c>
      <c r="R481" s="937">
        <f t="shared" si="8"/>
        <v>0.5494505495</v>
      </c>
      <c r="S481" s="937" t="str">
        <f>IF(R481&lt;'PlayerGrades+'!$AH$21,"F-",IF(R481&lt;'PlayerGrades+'!$AH$20,"F",IF(R481&lt;'PlayerGrades+'!$AH$19,"F+",IF(R481&lt;'PlayerGrades+'!$AH$18,"E-",IF(R481&lt;'PlayerGrades+'!$AH$17,"E",IF(R481&lt;'PlayerGrades+'!$AH$16,"E+",IF(R481&lt;'PlayerGrades+'!$AH$15,"D-",IF(R481&lt;'PlayerGrades+'!$AH$14,"D",IF(R481&lt;'PlayerGrades+'!$AH$13,"D+",IF(R481&lt;'PlayerGrades+'!$AH$12,"C-",IF(R481&lt;'PlayerGrades+'!$AH$11,"C",IF(R481&lt;'PlayerGrades+'!$AH$10,"C+",IF(R481&lt;'PlayerGrades+'!$AH$9,"B-",IF(R481&lt;'PlayerGrades+'!$AH$8,"B",IF(R481&lt;'PlayerGrades+'!$AH$7,"B+",IF(R481&lt;'PlayerGrades+'!$AH$6,"A-",IF(R481&lt;'PlayerGrades+'!$AH$5,"A",IF(R481&lt;'PlayerGrades+'!$AH$4,"A+",IF(R481&lt;'PlayerGrades+'!$AH$3,"S-",IF(R481&lt;'PlayerGrades+'!$AH$2,"S","S+"))))))))))))))))))))</f>
        <v>B-</v>
      </c>
      <c r="T481" s="937">
        <f t="shared" si="9"/>
        <v>0.3296703297</v>
      </c>
      <c r="U481" s="937" t="str">
        <f>IF(T481&lt;'PlayerGrades+'!$AI$21,"F-",IF(T481&lt;'PlayerGrades+'!$AI$20,"F",IF(T481&lt;'PlayerGrades+'!$AI$19,"F+",IF(T481&lt;'PlayerGrades+'!$AI$18,"E-",IF(T481&lt;'PlayerGrades+'!$AI$17,"E",IF(T481&lt;'PlayerGrades+'!$AI$16,"E+",IF(T481&lt;'PlayerGrades+'!$AI$15,"D-",IF(T481&lt;'PlayerGrades+'!$AI$14,"D",IF(T481&lt;'PlayerGrades+'!$AI$13,"D+",IF(T481&lt;'PlayerGrades+'!$AI$12,"C-",IF(T481&lt;'PlayerGrades+'!$AI$11,"C",IF(T481&lt;'PlayerGrades+'!$AI$10,"C+",IF(T481&lt;'PlayerGrades+'!$AI$9,"B-",IF(T481&lt;'PlayerGrades+'!$AI$8,"B",IF(T481&lt;'PlayerGrades+'!$AI$7,"B+",IF(T481&lt;'PlayerGrades+'!$AI$6,"A-",IF(T481&lt;'PlayerGrades+'!$AI$5,"A",IF(T481&lt;'PlayerGrades+'!$AI$4,"A+",IF(T481&lt;'PlayerGrades+'!$AI$3,"S-",IF(T481&lt;'PlayerGrades+'!$AI$2,"S","S+"))))))))))))))))))))</f>
        <v>F-</v>
      </c>
      <c r="V481" s="944">
        <v>1.0</v>
      </c>
      <c r="W481" s="944">
        <v>0.0</v>
      </c>
      <c r="X481" s="944">
        <v>1.0</v>
      </c>
      <c r="Y481" s="944">
        <v>0.0</v>
      </c>
      <c r="Z481" s="944">
        <v>0.0</v>
      </c>
      <c r="AA481" s="944">
        <v>66.0</v>
      </c>
      <c r="AB481" s="944">
        <v>60.0</v>
      </c>
      <c r="AC481" s="944">
        <v>6.0</v>
      </c>
      <c r="AD481" s="944">
        <v>1.0</v>
      </c>
      <c r="AE481" s="944">
        <v>5.0</v>
      </c>
      <c r="AF481" s="944">
        <v>2.0</v>
      </c>
      <c r="AG481" s="944">
        <v>817.0</v>
      </c>
      <c r="AH481" s="944">
        <v>1092.0</v>
      </c>
      <c r="AI481" s="944">
        <v>13.0</v>
      </c>
      <c r="AJ481" s="944">
        <v>6.0</v>
      </c>
      <c r="AK481" s="944">
        <v>0.0</v>
      </c>
      <c r="AL481" s="944">
        <v>2.0</v>
      </c>
      <c r="AM481" s="944">
        <v>0.0</v>
      </c>
      <c r="AN481" s="944">
        <v>0.0</v>
      </c>
      <c r="AO481" s="944">
        <v>0.0</v>
      </c>
      <c r="AP481" s="944">
        <v>2.0</v>
      </c>
      <c r="AQ481" s="944">
        <v>0.0</v>
      </c>
      <c r="AR481" s="944">
        <v>8.0</v>
      </c>
      <c r="AS481" s="944">
        <v>1.0</v>
      </c>
      <c r="AT481" s="944">
        <v>0.0</v>
      </c>
      <c r="AU481" s="944">
        <v>0.0</v>
      </c>
      <c r="AV481" s="944">
        <v>0.0</v>
      </c>
      <c r="AW481" s="944">
        <v>0.0</v>
      </c>
      <c r="AX481" s="944">
        <v>0.0</v>
      </c>
      <c r="AY481" s="944">
        <v>0.0</v>
      </c>
      <c r="AZ481" s="944">
        <v>0.0</v>
      </c>
      <c r="BA481" s="944">
        <v>0.0</v>
      </c>
      <c r="BB481" s="944">
        <v>0.0</v>
      </c>
      <c r="BC481" s="944">
        <v>0.0</v>
      </c>
      <c r="BD481" s="944">
        <v>9.0</v>
      </c>
      <c r="BE481" s="944">
        <v>6.0</v>
      </c>
      <c r="BF481" s="944">
        <v>0.0</v>
      </c>
      <c r="BG481" s="945">
        <v>0.0</v>
      </c>
    </row>
    <row r="482">
      <c r="A482" s="946" t="s">
        <v>119</v>
      </c>
      <c r="B482" s="16" t="str">
        <f>IF(C482&lt;'PlayerGrades+'!$Y$44,"F-",IF(C482&lt;'PlayerGrades+'!$Y$43,"F",IF(C482&lt;'PlayerGrades+'!$Y$42,"F+",IF(C482&lt;'PlayerGrades+'!$Y$41,"E-",IF(C482&lt;'PlayerGrades+'!$Y$40,"E",IF(C482&lt;'PlayerGrades+'!$Y$39,"E+",IF(C482&lt;'PlayerGrades+'!$Y$38,"D-",IF(C482&lt;'PlayerGrades+'!$Y$37,"D",IF(C482&lt;'PlayerGrades+'!$Y$36,"D+",IF(C482&lt;'PlayerGrades+'!$Y$35,"C-",IF(C482&lt;'PlayerGrades+'!$Y$34,"C",IF(C482&lt;'PlayerGrades+'!$Y$33,"C+",IF(C482&lt;'PlayerGrades+'!$Y$32,"B-",IF(C482&lt;'PlayerGrades+'!$Y$31,"B",IF(C482&lt;'PlayerGrades+'!$Y$30,"B+",IF(C482&lt;'PlayerGrades+'!$Y$29,"A-",IF(C482&lt;'PlayerGrades+'!$Y$28,"A",IF(C482&lt;'PlayerGrades+'!$Y$27,"A+",IF(C482&lt;'PlayerGrades+'!$Y$26,"S-",IF(C482&lt;'PlayerGrades+'!$Y$25,"S","S+"))))))))))))))))))))</f>
        <v>E-</v>
      </c>
      <c r="C482" s="936">
        <f>('PlayerGrades+'!$Y$47*(VLOOKUP(E482, 'PlayerGrades+'!$X$3:$Y$23, 2, FALSE)))+('PlayerGrades+'!$Y$48*(VLOOKUP(G482, 'PlayerGrades+'!$X$3:$Y$23, 2, FALSE)))+('PlayerGrades+'!$Y$49*(VLOOKUP(I482, 'PlayerGrades+'!$X$3:$Y$23, 2, FALSE)))+('PlayerGrades+'!$Y$50*(VLOOKUP(K482, 'PlayerGrades+'!$X$3:$Y$23, 2, FALSE)))+('PlayerGrades+'!$Y$51*(VLOOKUP(M482, 'PlayerGrades+'!$X$3:$Y$23, 2, FALSE)))+('PlayerGrades+'!$Y$52*(VLOOKUP(O482, 'PlayerGrades+'!$X$3:$Y$23, 2, FALSE)))+('PlayerGrades+'!$Y$53*(VLOOKUP(Q482, 'PlayerGrades+'!$X$3:$Y$23, 2, FALSE)))+('PlayerGrades+'!$Y$54*(VLOOKUP(S482, 'PlayerGrades+'!$X$3:$Y$23, 2, FALSE)))+('PlayerGrades+'!$Y$55*(VLOOKUP(U482, 'PlayerGrades+'!$X$3:$Y$23, 2, FALSE)))</f>
        <v>11.55</v>
      </c>
      <c r="D482" s="937">
        <f t="shared" si="1"/>
        <v>0.5731343284</v>
      </c>
      <c r="E482" s="937" t="str">
        <f>IF(D482&lt;'PlayerGrades+'!$AA$21,"F-",IF(D482&lt;'PlayerGrades+'!$AA$20,"F",IF(D482&lt;'PlayerGrades+'!$AA$19,"F+",IF(D482&lt;'PlayerGrades+'!$AA$18,"E-",IF(D482&lt;'PlayerGrades+'!$AA$17,"E",IF(D482&lt;'PlayerGrades+'!$AA$16,"E+",IF(D482&lt;'PlayerGrades+'!$AA$15,"D-",IF(D482&lt;'PlayerGrades+'!$AA$14,"D",IF(D482&lt;'PlayerGrades+'!$AA$13,"D+",IF(D482&lt;'PlayerGrades+'!$AA$12,"C-",IF(D482&lt;'PlayerGrades+'!$AA$11,"C",IF(D482&lt;'PlayerGrades+'!$AA$10,"C+",IF(D482&lt;'PlayerGrades+'!$AA$9,"B-",IF(D482&lt;'PlayerGrades+'!$AA$8,"B",IF(D482&lt;'PlayerGrades+'!$AA$7,"B+",IF(D482&lt;'PlayerGrades+'!$AA$6,"A-",IF(D482&lt;'PlayerGrades+'!$AA$5,"A",IF(D482&lt;'PlayerGrades+'!$AA$4,"A+",IF(D482&lt;'PlayerGrades+'!$AA$3,"S-",IF(D482&lt;'PlayerGrades+'!$AA$2,"S","S+"))))))))))))))))))))</f>
        <v>S-</v>
      </c>
      <c r="F482" s="937">
        <f t="shared" si="2"/>
        <v>-0.823880597</v>
      </c>
      <c r="G482" s="937" t="str">
        <f>IF(F482&lt;'PlayerGrades+'!$AB$21,"F-",IF(F482&lt;'PlayerGrades+'!$AB$20,"F",IF(F482&lt;'PlayerGrades+'!$AB$19,"F+",IF(F482&lt;'PlayerGrades+'!$AB$18,"E-",IF(F482&lt;'PlayerGrades+'!$AB$17,"E",IF(F482&lt;'PlayerGrades+'!$AB$16,"E+",IF(F482&lt;'PlayerGrades+'!$AB$15,"D-",IF(F482&lt;'PlayerGrades+'!$AB$14,"D",IF(F482&lt;'PlayerGrades+'!$AB$13,"D+",IF(F482&lt;'PlayerGrades+'!$AB$12,"C-",IF(F482&lt;'PlayerGrades+'!$AB$11,"C",IF(F482&lt;'PlayerGrades+'!$AB$10,"C+",IF(F482&lt;'PlayerGrades+'!$AB$9,"B-",IF(F482&lt;'PlayerGrades+'!$AB$8,"B",IF(F482&lt;'PlayerGrades+'!$AB$7,"B+",IF(F482&lt;'PlayerGrades+'!$AB$6,"A-",IF(F482&lt;'PlayerGrades+'!$AB$5,"A",IF(F482&lt;'PlayerGrades+'!$AB$4,"A+",IF(F482&lt;'PlayerGrades+'!$AB$3,"S-",IF(F482&lt;'PlayerGrades+'!$AB$2,"S","S+"))))))))))))))))))))</f>
        <v>E</v>
      </c>
      <c r="H482" s="937">
        <f t="shared" si="3"/>
        <v>0.03582089552</v>
      </c>
      <c r="I482" s="937" t="str">
        <f>IF(H482&lt;'PlayerGrades+'!$AC$21,"F-",IF(H482&lt;'PlayerGrades+'!$AC$20,"F",IF(H482&lt;'PlayerGrades+'!$AC$19,"F+",IF(H482&lt;'PlayerGrades+'!$AC$18,"E-",IF(H482&lt;'PlayerGrades+'!$AC$17,"E",IF(H482&lt;'PlayerGrades+'!$AC$16,"E+",IF(H482&lt;'PlayerGrades+'!$AC$15,"D-",IF(H482&lt;'PlayerGrades+'!$AC$14,"D",IF(H482&lt;'PlayerGrades+'!$AC$13,"D+",IF(H482&lt;'PlayerGrades+'!$AC$12,"C-",IF(H482&lt;'PlayerGrades+'!$AC$11,"C",IF(H482&lt;'PlayerGrades+'!$AC$10,"C+",IF(H482&lt;'PlayerGrades+'!$AC$9,"B-",IF(H482&lt;'PlayerGrades+'!$AC$8,"B",IF(H482&lt;'PlayerGrades+'!$AC$7,"B+",IF(H482&lt;'PlayerGrades+'!$AC$6,"A-",IF(H482&lt;'PlayerGrades+'!$AC$5,"A",IF(H482&lt;'PlayerGrades+'!$AC$4,"A+",IF(H482&lt;'PlayerGrades+'!$AC$3,"S-",IF(H482&lt;'PlayerGrades+'!$AC$2,"S","S+"))))))))))))))))))))</f>
        <v>F</v>
      </c>
      <c r="J482" s="937">
        <f t="shared" si="4"/>
        <v>0</v>
      </c>
      <c r="K482" s="937" t="str">
        <f>IF(J482&lt;'PlayerGrades+'!$AD$21,"F-",IF(J482&lt;'PlayerGrades+'!$AD$20,"F",IF(J482&lt;'PlayerGrades+'!$AD$19,"F+",IF(J482&lt;'PlayerGrades+'!$AD$18,"E-",IF(J482&lt;'PlayerGrades+'!$AD$17,"E",IF(J482&lt;'PlayerGrades+'!$AD$16,"E+",IF(J482&lt;'PlayerGrades+'!$AD$15,"D-",IF(J482&lt;'PlayerGrades+'!$AD$14,"D",IF(J482&lt;'PlayerGrades+'!$AD$13,"D+",IF(J482&lt;'PlayerGrades+'!$AD$12,"C-",IF(J482&lt;'PlayerGrades+'!$AD$11,"C",IF(J482&lt;'PlayerGrades+'!$AD$10,"C+",IF(J482&lt;'PlayerGrades+'!$AD$9,"B-",IF(J482&lt;'PlayerGrades+'!$AD$8,"B",IF(J482&lt;'PlayerGrades+'!$AD$7,"B+",IF(J482&lt;'PlayerGrades+'!$AD$6,"A-",IF(J482&lt;'PlayerGrades+'!$AD$5,"A",IF(J482&lt;'PlayerGrades+'!$AD$4,"A+",IF(J482&lt;'PlayerGrades+'!$AD$3,"S-",IF(J482&lt;'PlayerGrades+'!$AD$2,"S","S+"))))))))))))))))))))</f>
        <v>F-</v>
      </c>
      <c r="L482" s="677">
        <f t="shared" si="5"/>
        <v>0.1074626866</v>
      </c>
      <c r="M482" s="938" t="str">
        <f>IF(L482&lt;'PlayerGrades+'!$AE$21,"F-",IF(L482&lt;'PlayerGrades+'!$AE$20,"F",IF(L482&lt;'PlayerGrades+'!$AE$19,"F+",IF(L482&lt;'PlayerGrades+'!$AE$18,"E-",IF(L482&lt;'PlayerGrades+'!$AE$17,"E",IF(L482&lt;'PlayerGrades+'!$AE$16,"E+",IF(L482&lt;'PlayerGrades+'!$AE$15,"D-",IF(L482&lt;'PlayerGrades+'!$AE$14,"D",IF(L482&lt;'PlayerGrades+'!$AE$13,"D+",IF(L482&lt;'PlayerGrades+'!$AE$12,"C-",IF(L482&lt;'PlayerGrades+'!$AE$11,"C",IF(L482&lt;'PlayerGrades+'!$AE$10,"C+",IF(L482&lt;'PlayerGrades+'!$AE$9,"B-",IF(L482&lt;'PlayerGrades+'!$AE$8,"B",IF(L482&lt;'PlayerGrades+'!$AE$7,"B+",IF(L482&lt;'PlayerGrades+'!$AE$6,"A-",IF(L482&lt;'PlayerGrades+'!$AE$5,"A",IF(L482&lt;'PlayerGrades+'!$AE$4,"A+",IF(L482&lt;'PlayerGrades+'!$AE$3,"S-",IF(L482&lt;'PlayerGrades+'!$AE$2,"S","S+"))))))))))))))))))))</f>
        <v>F-</v>
      </c>
      <c r="N482" s="937">
        <f t="shared" si="6"/>
        <v>0</v>
      </c>
      <c r="O482" s="937" t="str">
        <f>IF(N482&lt;'PlayerGrades+'!$AF$21,"F-",IF(N482&lt;'PlayerGrades+'!$AF$20,"F",IF(N482&lt;'PlayerGrades+'!$AF$19,"F+",IF(N482&lt;'PlayerGrades+'!$AF$18,"E-",IF(N482&lt;'PlayerGrades+'!$AF$17,"E",IF(N482&lt;'PlayerGrades+'!$AF$16,"E+",IF(N482&lt;'PlayerGrades+'!$AF$15,"D-",IF(N482&lt;'PlayerGrades+'!$AF$14,"D",IF(N482&lt;'PlayerGrades+'!$AF$13,"D+",IF(N482&lt;'PlayerGrades+'!$AF$12,"C-",IF(N482&lt;'PlayerGrades+'!$AF$11,"C",IF(N482&lt;'PlayerGrades+'!$AF$10,"C+",IF(N482&lt;'PlayerGrades+'!$AF$9,"B-",IF(N482&lt;'PlayerGrades+'!$AF$8,"B",IF(N482&lt;'PlayerGrades+'!$AF$7,"B+",IF(N482&lt;'PlayerGrades+'!$AF$6,"A-",IF(N482&lt;'PlayerGrades+'!$AF$5,"A",IF(N482&lt;'PlayerGrades+'!$AF$4,"A+",IF(N482&lt;'PlayerGrades+'!$AF$3,"S-",IF(N482&lt;'PlayerGrades+'!$AF$2,"S","S+"))))))))))))))))))))</f>
        <v>F-</v>
      </c>
      <c r="P482" s="937">
        <f t="shared" si="7"/>
        <v>0</v>
      </c>
      <c r="Q482" s="937" t="str">
        <f>IF(P482&lt;'PlayerGrades+'!$AG$21,"F-",IF(P482&lt;'PlayerGrades+'!$AG$20,"F",IF(P482&lt;'PlayerGrades+'!$AG$19,"F+",IF(P482&lt;'PlayerGrades+'!$AG$18,"E-",IF(P482&lt;'PlayerGrades+'!$AG$17,"E",IF(P482&lt;'PlayerGrades+'!$AG$16,"E+",IF(P482&lt;'PlayerGrades+'!$AG$15,"D-",IF(P482&lt;'PlayerGrades+'!$AG$14,"D",IF(P482&lt;'PlayerGrades+'!$AG$13,"D+",IF(P482&lt;'PlayerGrades+'!$AG$12,"C-",IF(P482&lt;'PlayerGrades+'!$AG$11,"C",IF(P482&lt;'PlayerGrades+'!$AG$10,"C+",IF(P482&lt;'PlayerGrades+'!$AG$9,"B-",IF(P482&lt;'PlayerGrades+'!$AG$8,"B",IF(P482&lt;'PlayerGrades+'!$AG$7,"B+",IF(P482&lt;'PlayerGrades+'!$AG$6,"A-",IF(P482&lt;'PlayerGrades+'!$AG$5,"A",IF(P482&lt;'PlayerGrades+'!$AG$4,"A+",IF(P482&lt;'PlayerGrades+'!$AG$3,"S-",IF(P482&lt;'PlayerGrades+'!$AG$2,"S","S+"))))))))))))))))))))</f>
        <v>F</v>
      </c>
      <c r="R482" s="937">
        <f t="shared" si="8"/>
        <v>0.5731343284</v>
      </c>
      <c r="S482" s="937" t="str">
        <f>IF(R482&lt;'PlayerGrades+'!$AH$21,"F-",IF(R482&lt;'PlayerGrades+'!$AH$20,"F",IF(R482&lt;'PlayerGrades+'!$AH$19,"F+",IF(R482&lt;'PlayerGrades+'!$AH$18,"E-",IF(R482&lt;'PlayerGrades+'!$AH$17,"E",IF(R482&lt;'PlayerGrades+'!$AH$16,"E+",IF(R482&lt;'PlayerGrades+'!$AH$15,"D-",IF(R482&lt;'PlayerGrades+'!$AH$14,"D",IF(R482&lt;'PlayerGrades+'!$AH$13,"D+",IF(R482&lt;'PlayerGrades+'!$AH$12,"C-",IF(R482&lt;'PlayerGrades+'!$AH$11,"C",IF(R482&lt;'PlayerGrades+'!$AH$10,"C+",IF(R482&lt;'PlayerGrades+'!$AH$9,"B-",IF(R482&lt;'PlayerGrades+'!$AH$8,"B",IF(R482&lt;'PlayerGrades+'!$AH$7,"B+",IF(R482&lt;'PlayerGrades+'!$AH$6,"A-",IF(R482&lt;'PlayerGrades+'!$AH$5,"A",IF(R482&lt;'PlayerGrades+'!$AH$4,"A+",IF(R482&lt;'PlayerGrades+'!$AH$3,"S-",IF(R482&lt;'PlayerGrades+'!$AH$2,"S","S+"))))))))))))))))))))</f>
        <v>B</v>
      </c>
      <c r="T482" s="937">
        <f t="shared" si="9"/>
        <v>0.2507462687</v>
      </c>
      <c r="U482" s="937" t="str">
        <f>IF(T482&lt;'PlayerGrades+'!$AI$21,"F-",IF(T482&lt;'PlayerGrades+'!$AI$20,"F",IF(T482&lt;'PlayerGrades+'!$AI$19,"F+",IF(T482&lt;'PlayerGrades+'!$AI$18,"E-",IF(T482&lt;'PlayerGrades+'!$AI$17,"E",IF(T482&lt;'PlayerGrades+'!$AI$16,"E+",IF(T482&lt;'PlayerGrades+'!$AI$15,"D-",IF(T482&lt;'PlayerGrades+'!$AI$14,"D",IF(T482&lt;'PlayerGrades+'!$AI$13,"D+",IF(T482&lt;'PlayerGrades+'!$AI$12,"C-",IF(T482&lt;'PlayerGrades+'!$AI$11,"C",IF(T482&lt;'PlayerGrades+'!$AI$10,"C+",IF(T482&lt;'PlayerGrades+'!$AI$9,"B-",IF(T482&lt;'PlayerGrades+'!$AI$8,"B",IF(T482&lt;'PlayerGrades+'!$AI$7,"B+",IF(T482&lt;'PlayerGrades+'!$AI$6,"A-",IF(T482&lt;'PlayerGrades+'!$AI$5,"A",IF(T482&lt;'PlayerGrades+'!$AI$4,"A+",IF(T482&lt;'PlayerGrades+'!$AI$3,"S-",IF(T482&lt;'PlayerGrades+'!$AI$2,"S","S+"))))))))))))))))))))</f>
        <v>F-</v>
      </c>
      <c r="V482" s="939">
        <v>1.0</v>
      </c>
      <c r="W482" s="939">
        <v>1.0</v>
      </c>
      <c r="X482" s="939">
        <v>0.0</v>
      </c>
      <c r="Y482" s="939">
        <v>4.0</v>
      </c>
      <c r="Z482" s="939">
        <v>12.0</v>
      </c>
      <c r="AA482" s="939">
        <v>48.0</v>
      </c>
      <c r="AB482" s="939">
        <v>71.0</v>
      </c>
      <c r="AC482" s="939">
        <v>-23.0</v>
      </c>
      <c r="AD482" s="939">
        <v>6.0</v>
      </c>
      <c r="AE482" s="939">
        <v>4.0</v>
      </c>
      <c r="AF482" s="939">
        <v>3.0</v>
      </c>
      <c r="AG482" s="939">
        <v>1364.0</v>
      </c>
      <c r="AH482" s="939">
        <v>1675.0</v>
      </c>
      <c r="AI482" s="939">
        <v>19.0</v>
      </c>
      <c r="AJ482" s="939">
        <v>564.0</v>
      </c>
      <c r="AK482" s="939">
        <v>0.0</v>
      </c>
      <c r="AL482" s="939">
        <v>0.0</v>
      </c>
      <c r="AM482" s="939">
        <v>0.0</v>
      </c>
      <c r="AN482" s="939">
        <v>0.0</v>
      </c>
      <c r="AO482" s="939">
        <v>0.0</v>
      </c>
      <c r="AP482" s="939">
        <v>0.0</v>
      </c>
      <c r="AQ482" s="939">
        <v>0.0</v>
      </c>
      <c r="AR482" s="939">
        <v>3.0</v>
      </c>
      <c r="AS482" s="939">
        <v>0.0</v>
      </c>
      <c r="AT482" s="939">
        <v>0.0</v>
      </c>
      <c r="AU482" s="939">
        <v>0.0</v>
      </c>
      <c r="AV482" s="939">
        <v>0.0</v>
      </c>
      <c r="AW482" s="939">
        <v>0.0</v>
      </c>
      <c r="AX482" s="939">
        <v>0.0</v>
      </c>
      <c r="AY482" s="939">
        <v>0.0</v>
      </c>
      <c r="AZ482" s="939">
        <v>0.0</v>
      </c>
      <c r="BA482" s="939">
        <v>0.0</v>
      </c>
      <c r="BB482" s="939">
        <v>1.0</v>
      </c>
      <c r="BC482" s="939">
        <v>0.0</v>
      </c>
      <c r="BD482" s="939">
        <v>10.0</v>
      </c>
      <c r="BE482" s="939">
        <v>7.0</v>
      </c>
      <c r="BF482" s="939">
        <v>0.0</v>
      </c>
      <c r="BG482" s="940">
        <v>1.0</v>
      </c>
    </row>
    <row r="483">
      <c r="A483" s="935" t="s">
        <v>141</v>
      </c>
      <c r="B483" s="16" t="str">
        <f>IF(C483&lt;'PlayerGrades+'!$Y$44,"F-",IF(C483&lt;'PlayerGrades+'!$Y$43,"F",IF(C483&lt;'PlayerGrades+'!$Y$42,"F+",IF(C483&lt;'PlayerGrades+'!$Y$41,"E-",IF(C483&lt;'PlayerGrades+'!$Y$40,"E",IF(C483&lt;'PlayerGrades+'!$Y$39,"E+",IF(C483&lt;'PlayerGrades+'!$Y$38,"D-",IF(C483&lt;'PlayerGrades+'!$Y$37,"D",IF(C483&lt;'PlayerGrades+'!$Y$36,"D+",IF(C483&lt;'PlayerGrades+'!$Y$35,"C-",IF(C483&lt;'PlayerGrades+'!$Y$34,"C",IF(C483&lt;'PlayerGrades+'!$Y$33,"C+",IF(C483&lt;'PlayerGrades+'!$Y$32,"B-",IF(C483&lt;'PlayerGrades+'!$Y$31,"B",IF(C483&lt;'PlayerGrades+'!$Y$30,"B+",IF(C483&lt;'PlayerGrades+'!$Y$29,"A-",IF(C483&lt;'PlayerGrades+'!$Y$28,"A",IF(C483&lt;'PlayerGrades+'!$Y$27,"A+",IF(C483&lt;'PlayerGrades+'!$Y$26,"S-",IF(C483&lt;'PlayerGrades+'!$Y$25,"S","S+"))))))))))))))))))))</f>
        <v>F+</v>
      </c>
      <c r="C483" s="936">
        <f>('PlayerGrades+'!$Y$47*(VLOOKUP(E483, 'PlayerGrades+'!$X$3:$Y$23, 2, FALSE)))+('PlayerGrades+'!$Y$48*(VLOOKUP(G483, 'PlayerGrades+'!$X$3:$Y$23, 2, FALSE)))+('PlayerGrades+'!$Y$49*(VLOOKUP(I483, 'PlayerGrades+'!$X$3:$Y$23, 2, FALSE)))+('PlayerGrades+'!$Y$50*(VLOOKUP(K483, 'PlayerGrades+'!$X$3:$Y$23, 2, FALSE)))+('PlayerGrades+'!$Y$51*(VLOOKUP(M483, 'PlayerGrades+'!$X$3:$Y$23, 2, FALSE)))+('PlayerGrades+'!$Y$52*(VLOOKUP(O483, 'PlayerGrades+'!$X$3:$Y$23, 2, FALSE)))+('PlayerGrades+'!$Y$53*(VLOOKUP(Q483, 'PlayerGrades+'!$X$3:$Y$23, 2, FALSE)))+('PlayerGrades+'!$Y$54*(VLOOKUP(S483, 'PlayerGrades+'!$X$3:$Y$23, 2, FALSE)))+('PlayerGrades+'!$Y$55*(VLOOKUP(U483, 'PlayerGrades+'!$X$3:$Y$23, 2, FALSE)))</f>
        <v>10.7</v>
      </c>
      <c r="D483" s="937">
        <f t="shared" si="1"/>
        <v>0.03582089552</v>
      </c>
      <c r="E483" s="937" t="str">
        <f>IF(D483&lt;'PlayerGrades+'!$AA$21,"F-",IF(D483&lt;'PlayerGrades+'!$AA$20,"F",IF(D483&lt;'PlayerGrades+'!$AA$19,"F+",IF(D483&lt;'PlayerGrades+'!$AA$18,"E-",IF(D483&lt;'PlayerGrades+'!$AA$17,"E",IF(D483&lt;'PlayerGrades+'!$AA$16,"E+",IF(D483&lt;'PlayerGrades+'!$AA$15,"D-",IF(D483&lt;'PlayerGrades+'!$AA$14,"D",IF(D483&lt;'PlayerGrades+'!$AA$13,"D+",IF(D483&lt;'PlayerGrades+'!$AA$12,"C-",IF(D483&lt;'PlayerGrades+'!$AA$11,"C",IF(D483&lt;'PlayerGrades+'!$AA$10,"C+",IF(D483&lt;'PlayerGrades+'!$AA$9,"B-",IF(D483&lt;'PlayerGrades+'!$AA$8,"B",IF(D483&lt;'PlayerGrades+'!$AA$7,"B+",IF(D483&lt;'PlayerGrades+'!$AA$6,"A-",IF(D483&lt;'PlayerGrades+'!$AA$5,"A",IF(D483&lt;'PlayerGrades+'!$AA$4,"A+",IF(D483&lt;'PlayerGrades+'!$AA$3,"S-",IF(D483&lt;'PlayerGrades+'!$AA$2,"S","S+"))))))))))))))))))))</f>
        <v>C</v>
      </c>
      <c r="F483" s="937">
        <f t="shared" si="2"/>
        <v>-1.504477612</v>
      </c>
      <c r="G483" s="937" t="str">
        <f>IF(F483&lt;'PlayerGrades+'!$AB$21,"F-",IF(F483&lt;'PlayerGrades+'!$AB$20,"F",IF(F483&lt;'PlayerGrades+'!$AB$19,"F+",IF(F483&lt;'PlayerGrades+'!$AB$18,"E-",IF(F483&lt;'PlayerGrades+'!$AB$17,"E",IF(F483&lt;'PlayerGrades+'!$AB$16,"E+",IF(F483&lt;'PlayerGrades+'!$AB$15,"D-",IF(F483&lt;'PlayerGrades+'!$AB$14,"D",IF(F483&lt;'PlayerGrades+'!$AB$13,"D+",IF(F483&lt;'PlayerGrades+'!$AB$12,"C-",IF(F483&lt;'PlayerGrades+'!$AB$11,"C",IF(F483&lt;'PlayerGrades+'!$AB$10,"C+",IF(F483&lt;'PlayerGrades+'!$AB$9,"B-",IF(F483&lt;'PlayerGrades+'!$AB$8,"B",IF(F483&lt;'PlayerGrades+'!$AB$7,"B+",IF(F483&lt;'PlayerGrades+'!$AB$6,"A-",IF(F483&lt;'PlayerGrades+'!$AB$5,"A",IF(F483&lt;'PlayerGrades+'!$AB$4,"A+",IF(F483&lt;'PlayerGrades+'!$AB$3,"S-",IF(F483&lt;'PlayerGrades+'!$AB$2,"S","S+"))))))))))))))))))))</f>
        <v>F-</v>
      </c>
      <c r="H483" s="937">
        <f t="shared" si="3"/>
        <v>0.03582089552</v>
      </c>
      <c r="I483" s="937" t="str">
        <f>IF(H483&lt;'PlayerGrades+'!$AC$21,"F-",IF(H483&lt;'PlayerGrades+'!$AC$20,"F",IF(H483&lt;'PlayerGrades+'!$AC$19,"F+",IF(H483&lt;'PlayerGrades+'!$AC$18,"E-",IF(H483&lt;'PlayerGrades+'!$AC$17,"E",IF(H483&lt;'PlayerGrades+'!$AC$16,"E+",IF(H483&lt;'PlayerGrades+'!$AC$15,"D-",IF(H483&lt;'PlayerGrades+'!$AC$14,"D",IF(H483&lt;'PlayerGrades+'!$AC$13,"D+",IF(H483&lt;'PlayerGrades+'!$AC$12,"C-",IF(H483&lt;'PlayerGrades+'!$AC$11,"C",IF(H483&lt;'PlayerGrades+'!$AC$10,"C+",IF(H483&lt;'PlayerGrades+'!$AC$9,"B-",IF(H483&lt;'PlayerGrades+'!$AC$8,"B",IF(H483&lt;'PlayerGrades+'!$AC$7,"B+",IF(H483&lt;'PlayerGrades+'!$AC$6,"A-",IF(H483&lt;'PlayerGrades+'!$AC$5,"A",IF(H483&lt;'PlayerGrades+'!$AC$4,"A+",IF(H483&lt;'PlayerGrades+'!$AC$3,"S-",IF(H483&lt;'PlayerGrades+'!$AC$2,"S","S+"))))))))))))))))))))</f>
        <v>F</v>
      </c>
      <c r="J483" s="937">
        <f t="shared" si="4"/>
        <v>0</v>
      </c>
      <c r="K483" s="937" t="str">
        <f>IF(J483&lt;'PlayerGrades+'!$AD$21,"F-",IF(J483&lt;'PlayerGrades+'!$AD$20,"F",IF(J483&lt;'PlayerGrades+'!$AD$19,"F+",IF(J483&lt;'PlayerGrades+'!$AD$18,"E-",IF(J483&lt;'PlayerGrades+'!$AD$17,"E",IF(J483&lt;'PlayerGrades+'!$AD$16,"E+",IF(J483&lt;'PlayerGrades+'!$AD$15,"D-",IF(J483&lt;'PlayerGrades+'!$AD$14,"D",IF(J483&lt;'PlayerGrades+'!$AD$13,"D+",IF(J483&lt;'PlayerGrades+'!$AD$12,"C-",IF(J483&lt;'PlayerGrades+'!$AD$11,"C",IF(J483&lt;'PlayerGrades+'!$AD$10,"C+",IF(J483&lt;'PlayerGrades+'!$AD$9,"B-",IF(J483&lt;'PlayerGrades+'!$AD$8,"B",IF(J483&lt;'PlayerGrades+'!$AD$7,"B+",IF(J483&lt;'PlayerGrades+'!$AD$6,"A-",IF(J483&lt;'PlayerGrades+'!$AD$5,"A",IF(J483&lt;'PlayerGrades+'!$AD$4,"A+",IF(J483&lt;'PlayerGrades+'!$AD$3,"S-",IF(J483&lt;'PlayerGrades+'!$AD$2,"S","S+"))))))))))))))))))))</f>
        <v>F-</v>
      </c>
      <c r="L483" s="677">
        <f t="shared" si="5"/>
        <v>0.2865671642</v>
      </c>
      <c r="M483" s="938" t="str">
        <f>IF(L483&lt;'PlayerGrades+'!$AE$21,"F-",IF(L483&lt;'PlayerGrades+'!$AE$20,"F",IF(L483&lt;'PlayerGrades+'!$AE$19,"F+",IF(L483&lt;'PlayerGrades+'!$AE$18,"E-",IF(L483&lt;'PlayerGrades+'!$AE$17,"E",IF(L483&lt;'PlayerGrades+'!$AE$16,"E+",IF(L483&lt;'PlayerGrades+'!$AE$15,"D-",IF(L483&lt;'PlayerGrades+'!$AE$14,"D",IF(L483&lt;'PlayerGrades+'!$AE$13,"D+",IF(L483&lt;'PlayerGrades+'!$AE$12,"C-",IF(L483&lt;'PlayerGrades+'!$AE$11,"C",IF(L483&lt;'PlayerGrades+'!$AE$10,"C+",IF(L483&lt;'PlayerGrades+'!$AE$9,"B-",IF(L483&lt;'PlayerGrades+'!$AE$8,"B",IF(L483&lt;'PlayerGrades+'!$AE$7,"B+",IF(L483&lt;'PlayerGrades+'!$AE$6,"A-",IF(L483&lt;'PlayerGrades+'!$AE$5,"A",IF(L483&lt;'PlayerGrades+'!$AE$4,"A+",IF(L483&lt;'PlayerGrades+'!$AE$3,"S-",IF(L483&lt;'PlayerGrades+'!$AE$2,"S","S+"))))))))))))))))))))</f>
        <v>F+</v>
      </c>
      <c r="N483" s="937">
        <f t="shared" si="6"/>
        <v>0.07164179104</v>
      </c>
      <c r="O483" s="937" t="str">
        <f>IF(N483&lt;'PlayerGrades+'!$AF$21,"F-",IF(N483&lt;'PlayerGrades+'!$AF$20,"F",IF(N483&lt;'PlayerGrades+'!$AF$19,"F+",IF(N483&lt;'PlayerGrades+'!$AF$18,"E-",IF(N483&lt;'PlayerGrades+'!$AF$17,"E",IF(N483&lt;'PlayerGrades+'!$AF$16,"E+",IF(N483&lt;'PlayerGrades+'!$AF$15,"D-",IF(N483&lt;'PlayerGrades+'!$AF$14,"D",IF(N483&lt;'PlayerGrades+'!$AF$13,"D+",IF(N483&lt;'PlayerGrades+'!$AF$12,"C-",IF(N483&lt;'PlayerGrades+'!$AF$11,"C",IF(N483&lt;'PlayerGrades+'!$AF$10,"C+",IF(N483&lt;'PlayerGrades+'!$AF$9,"B-",IF(N483&lt;'PlayerGrades+'!$AF$8,"B",IF(N483&lt;'PlayerGrades+'!$AF$7,"B+",IF(N483&lt;'PlayerGrades+'!$AF$6,"A-",IF(N483&lt;'PlayerGrades+'!$AF$5,"A",IF(N483&lt;'PlayerGrades+'!$AF$4,"A+",IF(N483&lt;'PlayerGrades+'!$AF$3,"S-",IF(N483&lt;'PlayerGrades+'!$AF$2,"S","S+"))))))))))))))))))))</f>
        <v>C+</v>
      </c>
      <c r="P483" s="937">
        <f t="shared" si="7"/>
        <v>0</v>
      </c>
      <c r="Q483" s="937" t="str">
        <f>IF(P483&lt;'PlayerGrades+'!$AG$21,"F-",IF(P483&lt;'PlayerGrades+'!$AG$20,"F",IF(P483&lt;'PlayerGrades+'!$AG$19,"F+",IF(P483&lt;'PlayerGrades+'!$AG$18,"E-",IF(P483&lt;'PlayerGrades+'!$AG$17,"E",IF(P483&lt;'PlayerGrades+'!$AG$16,"E+",IF(P483&lt;'PlayerGrades+'!$AG$15,"D-",IF(P483&lt;'PlayerGrades+'!$AG$14,"D",IF(P483&lt;'PlayerGrades+'!$AG$13,"D+",IF(P483&lt;'PlayerGrades+'!$AG$12,"C-",IF(P483&lt;'PlayerGrades+'!$AG$11,"C",IF(P483&lt;'PlayerGrades+'!$AG$10,"C+",IF(P483&lt;'PlayerGrades+'!$AG$9,"B-",IF(P483&lt;'PlayerGrades+'!$AG$8,"B",IF(P483&lt;'PlayerGrades+'!$AG$7,"B+",IF(P483&lt;'PlayerGrades+'!$AG$6,"A-",IF(P483&lt;'PlayerGrades+'!$AG$5,"A",IF(P483&lt;'PlayerGrades+'!$AG$4,"A+",IF(P483&lt;'PlayerGrades+'!$AG$3,"S-",IF(P483&lt;'PlayerGrades+'!$AG$2,"S","S+"))))))))))))))))))))</f>
        <v>F</v>
      </c>
      <c r="R483" s="937">
        <f t="shared" si="8"/>
        <v>0.2507462687</v>
      </c>
      <c r="S483" s="937" t="str">
        <f>IF(R483&lt;'PlayerGrades+'!$AH$21,"F-",IF(R483&lt;'PlayerGrades+'!$AH$20,"F",IF(R483&lt;'PlayerGrades+'!$AH$19,"F+",IF(R483&lt;'PlayerGrades+'!$AH$18,"E-",IF(R483&lt;'PlayerGrades+'!$AH$17,"E",IF(R483&lt;'PlayerGrades+'!$AH$16,"E+",IF(R483&lt;'PlayerGrades+'!$AH$15,"D-",IF(R483&lt;'PlayerGrades+'!$AH$14,"D",IF(R483&lt;'PlayerGrades+'!$AH$13,"D+",IF(R483&lt;'PlayerGrades+'!$AH$12,"C-",IF(R483&lt;'PlayerGrades+'!$AH$11,"C",IF(R483&lt;'PlayerGrades+'!$AH$10,"C+",IF(R483&lt;'PlayerGrades+'!$AH$9,"B-",IF(R483&lt;'PlayerGrades+'!$AH$8,"B",IF(R483&lt;'PlayerGrades+'!$AH$7,"B+",IF(R483&lt;'PlayerGrades+'!$AH$6,"A-",IF(R483&lt;'PlayerGrades+'!$AH$5,"A",IF(R483&lt;'PlayerGrades+'!$AH$4,"A+",IF(R483&lt;'PlayerGrades+'!$AH$3,"S-",IF(R483&lt;'PlayerGrades+'!$AH$2,"S","S+"))))))))))))))))))))</f>
        <v>F-</v>
      </c>
      <c r="T483" s="937">
        <f t="shared" si="9"/>
        <v>1.358208955</v>
      </c>
      <c r="U483" s="937" t="str">
        <f>IF(T483&lt;'PlayerGrades+'!$AI$21,"F-",IF(T483&lt;'PlayerGrades+'!$AI$20,"F",IF(T483&lt;'PlayerGrades+'!$AI$19,"F+",IF(T483&lt;'PlayerGrades+'!$AI$18,"E-",IF(T483&lt;'PlayerGrades+'!$AI$17,"E",IF(T483&lt;'PlayerGrades+'!$AI$16,"E+",IF(T483&lt;'PlayerGrades+'!$AI$15,"D-",IF(T483&lt;'PlayerGrades+'!$AI$14,"D",IF(T483&lt;'PlayerGrades+'!$AI$13,"D+",IF(T483&lt;'PlayerGrades+'!$AI$12,"C-",IF(T483&lt;'PlayerGrades+'!$AI$11,"C",IF(T483&lt;'PlayerGrades+'!$AI$10,"C+",IF(T483&lt;'PlayerGrades+'!$AI$9,"B-",IF(T483&lt;'PlayerGrades+'!$AI$8,"B",IF(T483&lt;'PlayerGrades+'!$AI$7,"B+",IF(T483&lt;'PlayerGrades+'!$AI$6,"A-",IF(T483&lt;'PlayerGrades+'!$AI$5,"A",IF(T483&lt;'PlayerGrades+'!$AI$4,"A+",IF(T483&lt;'PlayerGrades+'!$AI$3,"S-",IF(T483&lt;'PlayerGrades+'!$AI$2,"S","S+"))))))))))))))))))))</f>
        <v>B</v>
      </c>
      <c r="V483" s="941">
        <v>1.0</v>
      </c>
      <c r="W483" s="941">
        <v>1.0</v>
      </c>
      <c r="X483" s="941">
        <v>0.0</v>
      </c>
      <c r="Y483" s="941">
        <v>1.0</v>
      </c>
      <c r="Z483" s="941">
        <v>0.0</v>
      </c>
      <c r="AA483" s="941">
        <v>54.0</v>
      </c>
      <c r="AB483" s="941">
        <v>96.0</v>
      </c>
      <c r="AC483" s="941">
        <v>-42.0</v>
      </c>
      <c r="AD483" s="941">
        <v>4.0</v>
      </c>
      <c r="AE483" s="941">
        <v>4.0</v>
      </c>
      <c r="AF483" s="941">
        <v>2.0</v>
      </c>
      <c r="AG483" s="941">
        <v>1293.0</v>
      </c>
      <c r="AH483" s="941">
        <v>1675.0</v>
      </c>
      <c r="AI483" s="941">
        <v>13.0</v>
      </c>
      <c r="AJ483" s="941">
        <v>6.0</v>
      </c>
      <c r="AK483" s="941">
        <v>0.0</v>
      </c>
      <c r="AL483" s="941">
        <v>0.0</v>
      </c>
      <c r="AM483" s="941">
        <v>0.0</v>
      </c>
      <c r="AN483" s="941">
        <v>0.0</v>
      </c>
      <c r="AO483" s="941">
        <v>0.0</v>
      </c>
      <c r="AP483" s="941">
        <v>0.0</v>
      </c>
      <c r="AQ483" s="941">
        <v>0.0</v>
      </c>
      <c r="AR483" s="941">
        <v>8.0</v>
      </c>
      <c r="AS483" s="941">
        <v>2.0</v>
      </c>
      <c r="AT483" s="941">
        <v>0.0</v>
      </c>
      <c r="AU483" s="941">
        <v>0.0</v>
      </c>
      <c r="AV483" s="941">
        <v>0.0</v>
      </c>
      <c r="AW483" s="941">
        <v>0.0</v>
      </c>
      <c r="AX483" s="941">
        <v>0.0</v>
      </c>
      <c r="AY483" s="941">
        <v>0.0</v>
      </c>
      <c r="AZ483" s="941">
        <v>0.0</v>
      </c>
      <c r="BA483" s="941">
        <v>0.0</v>
      </c>
      <c r="BB483" s="941">
        <v>1.0</v>
      </c>
      <c r="BC483" s="941">
        <v>0.0</v>
      </c>
      <c r="BD483" s="941">
        <v>3.0</v>
      </c>
      <c r="BE483" s="941">
        <v>10.0</v>
      </c>
      <c r="BF483" s="941">
        <v>1.0</v>
      </c>
      <c r="BG483" s="942">
        <v>1.0</v>
      </c>
    </row>
    <row r="484">
      <c r="A484" s="935" t="s">
        <v>152</v>
      </c>
      <c r="B484" s="16" t="str">
        <f>IF(C484&lt;'PlayerGrades+'!$Y$44,"F-",IF(C484&lt;'PlayerGrades+'!$Y$43,"F",IF(C484&lt;'PlayerGrades+'!$Y$42,"F+",IF(C484&lt;'PlayerGrades+'!$Y$41,"E-",IF(C484&lt;'PlayerGrades+'!$Y$40,"E",IF(C484&lt;'PlayerGrades+'!$Y$39,"E+",IF(C484&lt;'PlayerGrades+'!$Y$38,"D-",IF(C484&lt;'PlayerGrades+'!$Y$37,"D",IF(C484&lt;'PlayerGrades+'!$Y$36,"D+",IF(C484&lt;'PlayerGrades+'!$Y$35,"C-",IF(C484&lt;'PlayerGrades+'!$Y$34,"C",IF(C484&lt;'PlayerGrades+'!$Y$33,"C+",IF(C484&lt;'PlayerGrades+'!$Y$32,"B-",IF(C484&lt;'PlayerGrades+'!$Y$31,"B",IF(C484&lt;'PlayerGrades+'!$Y$30,"B+",IF(C484&lt;'PlayerGrades+'!$Y$29,"A-",IF(C484&lt;'PlayerGrades+'!$Y$28,"A",IF(C484&lt;'PlayerGrades+'!$Y$27,"A+",IF(C484&lt;'PlayerGrades+'!$Y$26,"S-",IF(C484&lt;'PlayerGrades+'!$Y$25,"S","S+"))))))))))))))))))))</f>
        <v>C+</v>
      </c>
      <c r="C484" s="936">
        <f>('PlayerGrades+'!$Y$47*(VLOOKUP(E484, 'PlayerGrades+'!$X$3:$Y$23, 2, FALSE)))+('PlayerGrades+'!$Y$48*(VLOOKUP(G484, 'PlayerGrades+'!$X$3:$Y$23, 2, FALSE)))+('PlayerGrades+'!$Y$49*(VLOOKUP(I484, 'PlayerGrades+'!$X$3:$Y$23, 2, FALSE)))+('PlayerGrades+'!$Y$50*(VLOOKUP(K484, 'PlayerGrades+'!$X$3:$Y$23, 2, FALSE)))+('PlayerGrades+'!$Y$51*(VLOOKUP(M484, 'PlayerGrades+'!$X$3:$Y$23, 2, FALSE)))+('PlayerGrades+'!$Y$52*(VLOOKUP(O484, 'PlayerGrades+'!$X$3:$Y$23, 2, FALSE)))+('PlayerGrades+'!$Y$53*(VLOOKUP(Q484, 'PlayerGrades+'!$X$3:$Y$23, 2, FALSE)))+('PlayerGrades+'!$Y$54*(VLOOKUP(S484, 'PlayerGrades+'!$X$3:$Y$23, 2, FALSE)))+('PlayerGrades+'!$Y$55*(VLOOKUP(U484, 'PlayerGrades+'!$X$3:$Y$23, 2, FALSE)))</f>
        <v>20.6</v>
      </c>
      <c r="D484" s="937">
        <f t="shared" si="1"/>
        <v>0.03582089552</v>
      </c>
      <c r="E484" s="937" t="str">
        <f>IF(D484&lt;'PlayerGrades+'!$AA$21,"F-",IF(D484&lt;'PlayerGrades+'!$AA$20,"F",IF(D484&lt;'PlayerGrades+'!$AA$19,"F+",IF(D484&lt;'PlayerGrades+'!$AA$18,"E-",IF(D484&lt;'PlayerGrades+'!$AA$17,"E",IF(D484&lt;'PlayerGrades+'!$AA$16,"E+",IF(D484&lt;'PlayerGrades+'!$AA$15,"D-",IF(D484&lt;'PlayerGrades+'!$AA$14,"D",IF(D484&lt;'PlayerGrades+'!$AA$13,"D+",IF(D484&lt;'PlayerGrades+'!$AA$12,"C-",IF(D484&lt;'PlayerGrades+'!$AA$11,"C",IF(D484&lt;'PlayerGrades+'!$AA$10,"C+",IF(D484&lt;'PlayerGrades+'!$AA$9,"B-",IF(D484&lt;'PlayerGrades+'!$AA$8,"B",IF(D484&lt;'PlayerGrades+'!$AA$7,"B+",IF(D484&lt;'PlayerGrades+'!$AA$6,"A-",IF(D484&lt;'PlayerGrades+'!$AA$5,"A",IF(D484&lt;'PlayerGrades+'!$AA$4,"A+",IF(D484&lt;'PlayerGrades+'!$AA$3,"S-",IF(D484&lt;'PlayerGrades+'!$AA$2,"S","S+"))))))))))))))))))))</f>
        <v>C</v>
      </c>
      <c r="F484" s="937">
        <f t="shared" si="2"/>
        <v>-0.1074626866</v>
      </c>
      <c r="G484" s="937" t="str">
        <f>IF(F484&lt;'PlayerGrades+'!$AB$21,"F-",IF(F484&lt;'PlayerGrades+'!$AB$20,"F",IF(F484&lt;'PlayerGrades+'!$AB$19,"F+",IF(F484&lt;'PlayerGrades+'!$AB$18,"E-",IF(F484&lt;'PlayerGrades+'!$AB$17,"E",IF(F484&lt;'PlayerGrades+'!$AB$16,"E+",IF(F484&lt;'PlayerGrades+'!$AB$15,"D-",IF(F484&lt;'PlayerGrades+'!$AB$14,"D",IF(F484&lt;'PlayerGrades+'!$AB$13,"D+",IF(F484&lt;'PlayerGrades+'!$AB$12,"C-",IF(F484&lt;'PlayerGrades+'!$AB$11,"C",IF(F484&lt;'PlayerGrades+'!$AB$10,"C+",IF(F484&lt;'PlayerGrades+'!$AB$9,"B-",IF(F484&lt;'PlayerGrades+'!$AB$8,"B",IF(F484&lt;'PlayerGrades+'!$AB$7,"B+",IF(F484&lt;'PlayerGrades+'!$AB$6,"A-",IF(F484&lt;'PlayerGrades+'!$AB$5,"A",IF(F484&lt;'PlayerGrades+'!$AB$4,"A+",IF(F484&lt;'PlayerGrades+'!$AB$3,"S-",IF(F484&lt;'PlayerGrades+'!$AB$2,"S","S+"))))))))))))))))))))</f>
        <v>C+</v>
      </c>
      <c r="H484" s="937">
        <f t="shared" si="3"/>
        <v>0.03582089552</v>
      </c>
      <c r="I484" s="937" t="str">
        <f>IF(H484&lt;'PlayerGrades+'!$AC$21,"F-",IF(H484&lt;'PlayerGrades+'!$AC$20,"F",IF(H484&lt;'PlayerGrades+'!$AC$19,"F+",IF(H484&lt;'PlayerGrades+'!$AC$18,"E-",IF(H484&lt;'PlayerGrades+'!$AC$17,"E",IF(H484&lt;'PlayerGrades+'!$AC$16,"E+",IF(H484&lt;'PlayerGrades+'!$AC$15,"D-",IF(H484&lt;'PlayerGrades+'!$AC$14,"D",IF(H484&lt;'PlayerGrades+'!$AC$13,"D+",IF(H484&lt;'PlayerGrades+'!$AC$12,"C-",IF(H484&lt;'PlayerGrades+'!$AC$11,"C",IF(H484&lt;'PlayerGrades+'!$AC$10,"C+",IF(H484&lt;'PlayerGrades+'!$AC$9,"B-",IF(H484&lt;'PlayerGrades+'!$AC$8,"B",IF(H484&lt;'PlayerGrades+'!$AC$7,"B+",IF(H484&lt;'PlayerGrades+'!$AC$6,"A-",IF(H484&lt;'PlayerGrades+'!$AC$5,"A",IF(H484&lt;'PlayerGrades+'!$AC$4,"A+",IF(H484&lt;'PlayerGrades+'!$AC$3,"S-",IF(H484&lt;'PlayerGrades+'!$AC$2,"S","S+"))))))))))))))))))))</f>
        <v>F</v>
      </c>
      <c r="J484" s="937">
        <f t="shared" si="4"/>
        <v>0</v>
      </c>
      <c r="K484" s="937" t="str">
        <f>IF(J484&lt;'PlayerGrades+'!$AD$21,"F-",IF(J484&lt;'PlayerGrades+'!$AD$20,"F",IF(J484&lt;'PlayerGrades+'!$AD$19,"F+",IF(J484&lt;'PlayerGrades+'!$AD$18,"E-",IF(J484&lt;'PlayerGrades+'!$AD$17,"E",IF(J484&lt;'PlayerGrades+'!$AD$16,"E+",IF(J484&lt;'PlayerGrades+'!$AD$15,"D-",IF(J484&lt;'PlayerGrades+'!$AD$14,"D",IF(J484&lt;'PlayerGrades+'!$AD$13,"D+",IF(J484&lt;'PlayerGrades+'!$AD$12,"C-",IF(J484&lt;'PlayerGrades+'!$AD$11,"C",IF(J484&lt;'PlayerGrades+'!$AD$10,"C+",IF(J484&lt;'PlayerGrades+'!$AD$9,"B-",IF(J484&lt;'PlayerGrades+'!$AD$8,"B",IF(J484&lt;'PlayerGrades+'!$AD$7,"B+",IF(J484&lt;'PlayerGrades+'!$AD$6,"A-",IF(J484&lt;'PlayerGrades+'!$AD$5,"A",IF(J484&lt;'PlayerGrades+'!$AD$4,"A+",IF(J484&lt;'PlayerGrades+'!$AD$3,"S-",IF(J484&lt;'PlayerGrades+'!$AD$2,"S","S+"))))))))))))))))))))</f>
        <v>F-</v>
      </c>
      <c r="L484" s="677">
        <f t="shared" si="5"/>
        <v>0.5731343284</v>
      </c>
      <c r="M484" s="938" t="str">
        <f>IF(L484&lt;'PlayerGrades+'!$AE$21,"F-",IF(L484&lt;'PlayerGrades+'!$AE$20,"F",IF(L484&lt;'PlayerGrades+'!$AE$19,"F+",IF(L484&lt;'PlayerGrades+'!$AE$18,"E-",IF(L484&lt;'PlayerGrades+'!$AE$17,"E",IF(L484&lt;'PlayerGrades+'!$AE$16,"E+",IF(L484&lt;'PlayerGrades+'!$AE$15,"D-",IF(L484&lt;'PlayerGrades+'!$AE$14,"D",IF(L484&lt;'PlayerGrades+'!$AE$13,"D+",IF(L484&lt;'PlayerGrades+'!$AE$12,"C-",IF(L484&lt;'PlayerGrades+'!$AE$11,"C",IF(L484&lt;'PlayerGrades+'!$AE$10,"C+",IF(L484&lt;'PlayerGrades+'!$AE$9,"B-",IF(L484&lt;'PlayerGrades+'!$AE$8,"B",IF(L484&lt;'PlayerGrades+'!$AE$7,"B+",IF(L484&lt;'PlayerGrades+'!$AE$6,"A-",IF(L484&lt;'PlayerGrades+'!$AE$5,"A",IF(L484&lt;'PlayerGrades+'!$AE$4,"A+",IF(L484&lt;'PlayerGrades+'!$AE$3,"S-",IF(L484&lt;'PlayerGrades+'!$AE$2,"S","S+"))))))))))))))))))))</f>
        <v>A</v>
      </c>
      <c r="N484" s="937">
        <f t="shared" si="6"/>
        <v>0.1432835821</v>
      </c>
      <c r="O484" s="937" t="str">
        <f>IF(N484&lt;'PlayerGrades+'!$AF$21,"F-",IF(N484&lt;'PlayerGrades+'!$AF$20,"F",IF(N484&lt;'PlayerGrades+'!$AF$19,"F+",IF(N484&lt;'PlayerGrades+'!$AF$18,"E-",IF(N484&lt;'PlayerGrades+'!$AF$17,"E",IF(N484&lt;'PlayerGrades+'!$AF$16,"E+",IF(N484&lt;'PlayerGrades+'!$AF$15,"D-",IF(N484&lt;'PlayerGrades+'!$AF$14,"D",IF(N484&lt;'PlayerGrades+'!$AF$13,"D+",IF(N484&lt;'PlayerGrades+'!$AF$12,"C-",IF(N484&lt;'PlayerGrades+'!$AF$11,"C",IF(N484&lt;'PlayerGrades+'!$AF$10,"C+",IF(N484&lt;'PlayerGrades+'!$AF$9,"B-",IF(N484&lt;'PlayerGrades+'!$AF$8,"B",IF(N484&lt;'PlayerGrades+'!$AF$7,"B+",IF(N484&lt;'PlayerGrades+'!$AF$6,"A-",IF(N484&lt;'PlayerGrades+'!$AF$5,"A",IF(N484&lt;'PlayerGrades+'!$AF$4,"A+",IF(N484&lt;'PlayerGrades+'!$AF$3,"S-",IF(N484&lt;'PlayerGrades+'!$AF$2,"S","S+"))))))))))))))))))))</f>
        <v>S</v>
      </c>
      <c r="P484" s="937">
        <f t="shared" si="7"/>
        <v>0</v>
      </c>
      <c r="Q484" s="937" t="str">
        <f>IF(P484&lt;'PlayerGrades+'!$AG$21,"F-",IF(P484&lt;'PlayerGrades+'!$AG$20,"F",IF(P484&lt;'PlayerGrades+'!$AG$19,"F+",IF(P484&lt;'PlayerGrades+'!$AG$18,"E-",IF(P484&lt;'PlayerGrades+'!$AG$17,"E",IF(P484&lt;'PlayerGrades+'!$AG$16,"E+",IF(P484&lt;'PlayerGrades+'!$AG$15,"D-",IF(P484&lt;'PlayerGrades+'!$AG$14,"D",IF(P484&lt;'PlayerGrades+'!$AG$13,"D+",IF(P484&lt;'PlayerGrades+'!$AG$12,"C-",IF(P484&lt;'PlayerGrades+'!$AG$11,"C",IF(P484&lt;'PlayerGrades+'!$AG$10,"C+",IF(P484&lt;'PlayerGrades+'!$AG$9,"B-",IF(P484&lt;'PlayerGrades+'!$AG$8,"B",IF(P484&lt;'PlayerGrades+'!$AG$7,"B+",IF(P484&lt;'PlayerGrades+'!$AG$6,"A-",IF(P484&lt;'PlayerGrades+'!$AG$5,"A",IF(P484&lt;'PlayerGrades+'!$AG$4,"A+",IF(P484&lt;'PlayerGrades+'!$AG$3,"S-",IF(P484&lt;'PlayerGrades+'!$AG$2,"S","S+"))))))))))))))))))))</f>
        <v>F</v>
      </c>
      <c r="R484" s="937">
        <f t="shared" si="8"/>
        <v>0.5731343284</v>
      </c>
      <c r="S484" s="937" t="str">
        <f>IF(R484&lt;'PlayerGrades+'!$AH$21,"F-",IF(R484&lt;'PlayerGrades+'!$AH$20,"F",IF(R484&lt;'PlayerGrades+'!$AH$19,"F+",IF(R484&lt;'PlayerGrades+'!$AH$18,"E-",IF(R484&lt;'PlayerGrades+'!$AH$17,"E",IF(R484&lt;'PlayerGrades+'!$AH$16,"E+",IF(R484&lt;'PlayerGrades+'!$AH$15,"D-",IF(R484&lt;'PlayerGrades+'!$AH$14,"D",IF(R484&lt;'PlayerGrades+'!$AH$13,"D+",IF(R484&lt;'PlayerGrades+'!$AH$12,"C-",IF(R484&lt;'PlayerGrades+'!$AH$11,"C",IF(R484&lt;'PlayerGrades+'!$AH$10,"C+",IF(R484&lt;'PlayerGrades+'!$AH$9,"B-",IF(R484&lt;'PlayerGrades+'!$AH$8,"B",IF(R484&lt;'PlayerGrades+'!$AH$7,"B+",IF(R484&lt;'PlayerGrades+'!$AH$6,"A-",IF(R484&lt;'PlayerGrades+'!$AH$5,"A",IF(R484&lt;'PlayerGrades+'!$AH$4,"A+",IF(R484&lt;'PlayerGrades+'!$AH$3,"S-",IF(R484&lt;'PlayerGrades+'!$AH$2,"S","S+"))))))))))))))))))))</f>
        <v>B</v>
      </c>
      <c r="T484" s="937">
        <f t="shared" si="9"/>
        <v>0.5014925373</v>
      </c>
      <c r="U484" s="937" t="str">
        <f>IF(T484&lt;'PlayerGrades+'!$AI$21,"F-",IF(T484&lt;'PlayerGrades+'!$AI$20,"F",IF(T484&lt;'PlayerGrades+'!$AI$19,"F+",IF(T484&lt;'PlayerGrades+'!$AI$18,"E-",IF(T484&lt;'PlayerGrades+'!$AI$17,"E",IF(T484&lt;'PlayerGrades+'!$AI$16,"E+",IF(T484&lt;'PlayerGrades+'!$AI$15,"D-",IF(T484&lt;'PlayerGrades+'!$AI$14,"D",IF(T484&lt;'PlayerGrades+'!$AI$13,"D+",IF(T484&lt;'PlayerGrades+'!$AI$12,"C-",IF(T484&lt;'PlayerGrades+'!$AI$11,"C",IF(T484&lt;'PlayerGrades+'!$AI$10,"C+",IF(T484&lt;'PlayerGrades+'!$AI$9,"B-",IF(T484&lt;'PlayerGrades+'!$AI$8,"B",IF(T484&lt;'PlayerGrades+'!$AI$7,"B+",IF(T484&lt;'PlayerGrades+'!$AI$6,"A-",IF(T484&lt;'PlayerGrades+'!$AI$5,"A",IF(T484&lt;'PlayerGrades+'!$AI$4,"A+",IF(T484&lt;'PlayerGrades+'!$AI$3,"S-",IF(T484&lt;'PlayerGrades+'!$AI$2,"S","S+"))))))))))))))))))))</f>
        <v>F-</v>
      </c>
      <c r="V484" s="941">
        <v>1.0</v>
      </c>
      <c r="W484" s="941">
        <v>1.0</v>
      </c>
      <c r="X484" s="941">
        <v>0.0</v>
      </c>
      <c r="Y484" s="941">
        <v>0.0</v>
      </c>
      <c r="Z484" s="941">
        <v>1.0</v>
      </c>
      <c r="AA484" s="941">
        <v>94.0</v>
      </c>
      <c r="AB484" s="941">
        <v>97.0</v>
      </c>
      <c r="AC484" s="941">
        <v>-3.0</v>
      </c>
      <c r="AD484" s="941">
        <v>3.0</v>
      </c>
      <c r="AE484" s="941">
        <v>4.0</v>
      </c>
      <c r="AF484" s="941">
        <v>0.0</v>
      </c>
      <c r="AG484" s="941">
        <v>1286.0</v>
      </c>
      <c r="AH484" s="941">
        <v>1675.0</v>
      </c>
      <c r="AI484" s="941">
        <v>13.0</v>
      </c>
      <c r="AJ484" s="941">
        <v>26.0</v>
      </c>
      <c r="AK484" s="941">
        <v>0.0</v>
      </c>
      <c r="AL484" s="941">
        <v>0.0</v>
      </c>
      <c r="AM484" s="941">
        <v>0.0</v>
      </c>
      <c r="AN484" s="941">
        <v>0.0</v>
      </c>
      <c r="AO484" s="941">
        <v>0.0</v>
      </c>
      <c r="AP484" s="941">
        <v>0.0</v>
      </c>
      <c r="AQ484" s="941">
        <v>0.0</v>
      </c>
      <c r="AR484" s="941">
        <v>16.0</v>
      </c>
      <c r="AS484" s="941">
        <v>4.0</v>
      </c>
      <c r="AT484" s="941">
        <v>0.0</v>
      </c>
      <c r="AU484" s="941">
        <v>0.0</v>
      </c>
      <c r="AV484" s="941">
        <v>0.0</v>
      </c>
      <c r="AW484" s="941">
        <v>0.0</v>
      </c>
      <c r="AX484" s="941">
        <v>0.0</v>
      </c>
      <c r="AY484" s="941">
        <v>0.0</v>
      </c>
      <c r="AZ484" s="941">
        <v>0.0</v>
      </c>
      <c r="BA484" s="941">
        <v>0.0</v>
      </c>
      <c r="BB484" s="941">
        <v>1.0</v>
      </c>
      <c r="BC484" s="941">
        <v>0.0</v>
      </c>
      <c r="BD484" s="941">
        <v>13.0</v>
      </c>
      <c r="BE484" s="941">
        <v>14.0</v>
      </c>
      <c r="BF484" s="941">
        <v>0.0</v>
      </c>
      <c r="BG484" s="942">
        <v>1.0</v>
      </c>
    </row>
    <row r="485">
      <c r="A485" s="935" t="s">
        <v>130</v>
      </c>
      <c r="B485" s="16" t="str">
        <f>IF(C485&lt;'PlayerGrades+'!$Y$44,"F-",IF(C485&lt;'PlayerGrades+'!$Y$43,"F",IF(C485&lt;'PlayerGrades+'!$Y$42,"F+",IF(C485&lt;'PlayerGrades+'!$Y$41,"E-",IF(C485&lt;'PlayerGrades+'!$Y$40,"E",IF(C485&lt;'PlayerGrades+'!$Y$39,"E+",IF(C485&lt;'PlayerGrades+'!$Y$38,"D-",IF(C485&lt;'PlayerGrades+'!$Y$37,"D",IF(C485&lt;'PlayerGrades+'!$Y$36,"D+",IF(C485&lt;'PlayerGrades+'!$Y$35,"C-",IF(C485&lt;'PlayerGrades+'!$Y$34,"C",IF(C485&lt;'PlayerGrades+'!$Y$33,"C+",IF(C485&lt;'PlayerGrades+'!$Y$32,"B-",IF(C485&lt;'PlayerGrades+'!$Y$31,"B",IF(C485&lt;'PlayerGrades+'!$Y$30,"B+",IF(C485&lt;'PlayerGrades+'!$Y$29,"A-",IF(C485&lt;'PlayerGrades+'!$Y$28,"A",IF(C485&lt;'PlayerGrades+'!$Y$27,"A+",IF(C485&lt;'PlayerGrades+'!$Y$26,"S-",IF(C485&lt;'PlayerGrades+'!$Y$25,"S","S+"))))))))))))))))))))</f>
        <v>C+</v>
      </c>
      <c r="C485" s="936">
        <f>('PlayerGrades+'!$Y$47*(VLOOKUP(E485, 'PlayerGrades+'!$X$3:$Y$23, 2, FALSE)))+('PlayerGrades+'!$Y$48*(VLOOKUP(G485, 'PlayerGrades+'!$X$3:$Y$23, 2, FALSE)))+('PlayerGrades+'!$Y$49*(VLOOKUP(I485, 'PlayerGrades+'!$X$3:$Y$23, 2, FALSE)))+('PlayerGrades+'!$Y$50*(VLOOKUP(K485, 'PlayerGrades+'!$X$3:$Y$23, 2, FALSE)))+('PlayerGrades+'!$Y$51*(VLOOKUP(M485, 'PlayerGrades+'!$X$3:$Y$23, 2, FALSE)))+('PlayerGrades+'!$Y$52*(VLOOKUP(O485, 'PlayerGrades+'!$X$3:$Y$23, 2, FALSE)))+('PlayerGrades+'!$Y$53*(VLOOKUP(Q485, 'PlayerGrades+'!$X$3:$Y$23, 2, FALSE)))+('PlayerGrades+'!$Y$54*(VLOOKUP(S485, 'PlayerGrades+'!$X$3:$Y$23, 2, FALSE)))+('PlayerGrades+'!$Y$55*(VLOOKUP(U485, 'PlayerGrades+'!$X$3:$Y$23, 2, FALSE)))</f>
        <v>20.6</v>
      </c>
      <c r="D485" s="937">
        <f t="shared" si="1"/>
        <v>0</v>
      </c>
      <c r="E485" s="937" t="str">
        <f>IF(D485&lt;'PlayerGrades+'!$AA$21,"F-",IF(D485&lt;'PlayerGrades+'!$AA$20,"F",IF(D485&lt;'PlayerGrades+'!$AA$19,"F+",IF(D485&lt;'PlayerGrades+'!$AA$18,"E-",IF(D485&lt;'PlayerGrades+'!$AA$17,"E",IF(D485&lt;'PlayerGrades+'!$AA$16,"E+",IF(D485&lt;'PlayerGrades+'!$AA$15,"D-",IF(D485&lt;'PlayerGrades+'!$AA$14,"D",IF(D485&lt;'PlayerGrades+'!$AA$13,"D+",IF(D485&lt;'PlayerGrades+'!$AA$12,"C-",IF(D485&lt;'PlayerGrades+'!$AA$11,"C",IF(D485&lt;'PlayerGrades+'!$AA$10,"C+",IF(D485&lt;'PlayerGrades+'!$AA$9,"B-",IF(D485&lt;'PlayerGrades+'!$AA$8,"B",IF(D485&lt;'PlayerGrades+'!$AA$7,"B+",IF(D485&lt;'PlayerGrades+'!$AA$6,"A-",IF(D485&lt;'PlayerGrades+'!$AA$5,"A",IF(D485&lt;'PlayerGrades+'!$AA$4,"A+",IF(D485&lt;'PlayerGrades+'!$AA$3,"S-",IF(D485&lt;'PlayerGrades+'!$AA$2,"S","S+"))))))))))))))))))))</f>
        <v>F-</v>
      </c>
      <c r="F485" s="937">
        <f t="shared" si="2"/>
        <v>0.752238806</v>
      </c>
      <c r="G485" s="937" t="str">
        <f>IF(F485&lt;'PlayerGrades+'!$AB$21,"F-",IF(F485&lt;'PlayerGrades+'!$AB$20,"F",IF(F485&lt;'PlayerGrades+'!$AB$19,"F+",IF(F485&lt;'PlayerGrades+'!$AB$18,"E-",IF(F485&lt;'PlayerGrades+'!$AB$17,"E",IF(F485&lt;'PlayerGrades+'!$AB$16,"E+",IF(F485&lt;'PlayerGrades+'!$AB$15,"D-",IF(F485&lt;'PlayerGrades+'!$AB$14,"D",IF(F485&lt;'PlayerGrades+'!$AB$13,"D+",IF(F485&lt;'PlayerGrades+'!$AB$12,"C-",IF(F485&lt;'PlayerGrades+'!$AB$11,"C",IF(F485&lt;'PlayerGrades+'!$AB$10,"C+",IF(F485&lt;'PlayerGrades+'!$AB$9,"B-",IF(F485&lt;'PlayerGrades+'!$AB$8,"B",IF(F485&lt;'PlayerGrades+'!$AB$7,"B+",IF(F485&lt;'PlayerGrades+'!$AB$6,"A-",IF(F485&lt;'PlayerGrades+'!$AB$5,"A",IF(F485&lt;'PlayerGrades+'!$AB$4,"A+",IF(F485&lt;'PlayerGrades+'!$AB$3,"S-",IF(F485&lt;'PlayerGrades+'!$AB$2,"S","S+"))))))))))))))))))))</f>
        <v>S</v>
      </c>
      <c r="H485" s="937">
        <f t="shared" si="3"/>
        <v>0.1432835821</v>
      </c>
      <c r="I485" s="937" t="str">
        <f>IF(H485&lt;'PlayerGrades+'!$AC$21,"F-",IF(H485&lt;'PlayerGrades+'!$AC$20,"F",IF(H485&lt;'PlayerGrades+'!$AC$19,"F+",IF(H485&lt;'PlayerGrades+'!$AC$18,"E-",IF(H485&lt;'PlayerGrades+'!$AC$17,"E",IF(H485&lt;'PlayerGrades+'!$AC$16,"E+",IF(H485&lt;'PlayerGrades+'!$AC$15,"D-",IF(H485&lt;'PlayerGrades+'!$AC$14,"D",IF(H485&lt;'PlayerGrades+'!$AC$13,"D+",IF(H485&lt;'PlayerGrades+'!$AC$12,"C-",IF(H485&lt;'PlayerGrades+'!$AC$11,"C",IF(H485&lt;'PlayerGrades+'!$AC$10,"C+",IF(H485&lt;'PlayerGrades+'!$AC$9,"B-",IF(H485&lt;'PlayerGrades+'!$AC$8,"B",IF(H485&lt;'PlayerGrades+'!$AC$7,"B+",IF(H485&lt;'PlayerGrades+'!$AC$6,"A-",IF(H485&lt;'PlayerGrades+'!$AC$5,"A",IF(H485&lt;'PlayerGrades+'!$AC$4,"A+",IF(H485&lt;'PlayerGrades+'!$AC$3,"S-",IF(H485&lt;'PlayerGrades+'!$AC$2,"S","S+"))))))))))))))))))))</f>
        <v>A</v>
      </c>
      <c r="J485" s="937">
        <f t="shared" si="4"/>
        <v>0.1074626866</v>
      </c>
      <c r="K485" s="937" t="str">
        <f>IF(J485&lt;'PlayerGrades+'!$AD$21,"F-",IF(J485&lt;'PlayerGrades+'!$AD$20,"F",IF(J485&lt;'PlayerGrades+'!$AD$19,"F+",IF(J485&lt;'PlayerGrades+'!$AD$18,"E-",IF(J485&lt;'PlayerGrades+'!$AD$17,"E",IF(J485&lt;'PlayerGrades+'!$AD$16,"E+",IF(J485&lt;'PlayerGrades+'!$AD$15,"D-",IF(J485&lt;'PlayerGrades+'!$AD$14,"D",IF(J485&lt;'PlayerGrades+'!$AD$13,"D+",IF(J485&lt;'PlayerGrades+'!$AD$12,"C-",IF(J485&lt;'PlayerGrades+'!$AD$11,"C",IF(J485&lt;'PlayerGrades+'!$AD$10,"C+",IF(J485&lt;'PlayerGrades+'!$AD$9,"B-",IF(J485&lt;'PlayerGrades+'!$AD$8,"B",IF(J485&lt;'PlayerGrades+'!$AD$7,"B+",IF(J485&lt;'PlayerGrades+'!$AD$6,"A-",IF(J485&lt;'PlayerGrades+'!$AD$5,"A",IF(J485&lt;'PlayerGrades+'!$AD$4,"A+",IF(J485&lt;'PlayerGrades+'!$AD$3,"S-",IF(J485&lt;'PlayerGrades+'!$AD$2,"S","S+"))))))))))))))))))))</f>
        <v>S+</v>
      </c>
      <c r="L485" s="677">
        <f t="shared" si="5"/>
        <v>0.3940298507</v>
      </c>
      <c r="M485" s="938" t="str">
        <f>IF(L485&lt;'PlayerGrades+'!$AE$21,"F-",IF(L485&lt;'PlayerGrades+'!$AE$20,"F",IF(L485&lt;'PlayerGrades+'!$AE$19,"F+",IF(L485&lt;'PlayerGrades+'!$AE$18,"E-",IF(L485&lt;'PlayerGrades+'!$AE$17,"E",IF(L485&lt;'PlayerGrades+'!$AE$16,"E+",IF(L485&lt;'PlayerGrades+'!$AE$15,"D-",IF(L485&lt;'PlayerGrades+'!$AE$14,"D",IF(L485&lt;'PlayerGrades+'!$AE$13,"D+",IF(L485&lt;'PlayerGrades+'!$AE$12,"C-",IF(L485&lt;'PlayerGrades+'!$AE$11,"C",IF(L485&lt;'PlayerGrades+'!$AE$10,"C+",IF(L485&lt;'PlayerGrades+'!$AE$9,"B-",IF(L485&lt;'PlayerGrades+'!$AE$8,"B",IF(L485&lt;'PlayerGrades+'!$AE$7,"B+",IF(L485&lt;'PlayerGrades+'!$AE$6,"A-",IF(L485&lt;'PlayerGrades+'!$AE$5,"A",IF(L485&lt;'PlayerGrades+'!$AE$4,"A+",IF(L485&lt;'PlayerGrades+'!$AE$3,"S-",IF(L485&lt;'PlayerGrades+'!$AE$2,"S","S+"))))))))))))))))))))</f>
        <v>C</v>
      </c>
      <c r="N485" s="937">
        <f t="shared" si="6"/>
        <v>0</v>
      </c>
      <c r="O485" s="937" t="str">
        <f>IF(N485&lt;'PlayerGrades+'!$AF$21,"F-",IF(N485&lt;'PlayerGrades+'!$AF$20,"F",IF(N485&lt;'PlayerGrades+'!$AF$19,"F+",IF(N485&lt;'PlayerGrades+'!$AF$18,"E-",IF(N485&lt;'PlayerGrades+'!$AF$17,"E",IF(N485&lt;'PlayerGrades+'!$AF$16,"E+",IF(N485&lt;'PlayerGrades+'!$AF$15,"D-",IF(N485&lt;'PlayerGrades+'!$AF$14,"D",IF(N485&lt;'PlayerGrades+'!$AF$13,"D+",IF(N485&lt;'PlayerGrades+'!$AF$12,"C-",IF(N485&lt;'PlayerGrades+'!$AF$11,"C",IF(N485&lt;'PlayerGrades+'!$AF$10,"C+",IF(N485&lt;'PlayerGrades+'!$AF$9,"B-",IF(N485&lt;'PlayerGrades+'!$AF$8,"B",IF(N485&lt;'PlayerGrades+'!$AF$7,"B+",IF(N485&lt;'PlayerGrades+'!$AF$6,"A-",IF(N485&lt;'PlayerGrades+'!$AF$5,"A",IF(N485&lt;'PlayerGrades+'!$AF$4,"A+",IF(N485&lt;'PlayerGrades+'!$AF$3,"S-",IF(N485&lt;'PlayerGrades+'!$AF$2,"S","S+"))))))))))))))))))))</f>
        <v>F-</v>
      </c>
      <c r="P485" s="937">
        <f t="shared" si="7"/>
        <v>0.1074626866</v>
      </c>
      <c r="Q485" s="937" t="str">
        <f>IF(P485&lt;'PlayerGrades+'!$AG$21,"F-",IF(P485&lt;'PlayerGrades+'!$AG$20,"F",IF(P485&lt;'PlayerGrades+'!$AG$19,"F+",IF(P485&lt;'PlayerGrades+'!$AG$18,"E-",IF(P485&lt;'PlayerGrades+'!$AG$17,"E",IF(P485&lt;'PlayerGrades+'!$AG$16,"E+",IF(P485&lt;'PlayerGrades+'!$AG$15,"D-",IF(P485&lt;'PlayerGrades+'!$AG$14,"D",IF(P485&lt;'PlayerGrades+'!$AG$13,"D+",IF(P485&lt;'PlayerGrades+'!$AG$12,"C-",IF(P485&lt;'PlayerGrades+'!$AG$11,"C",IF(P485&lt;'PlayerGrades+'!$AG$10,"C+",IF(P485&lt;'PlayerGrades+'!$AG$9,"B-",IF(P485&lt;'PlayerGrades+'!$AG$8,"B",IF(P485&lt;'PlayerGrades+'!$AG$7,"B+",IF(P485&lt;'PlayerGrades+'!$AG$6,"A-",IF(P485&lt;'PlayerGrades+'!$AG$5,"A",IF(P485&lt;'PlayerGrades+'!$AG$4,"A+",IF(P485&lt;'PlayerGrades+'!$AG$3,"S-",IF(P485&lt;'PlayerGrades+'!$AG$2,"S","S+"))))))))))))))))))))</f>
        <v>S+</v>
      </c>
      <c r="R485" s="937">
        <f t="shared" si="8"/>
        <v>0.5731343284</v>
      </c>
      <c r="S485" s="937" t="str">
        <f>IF(R485&lt;'PlayerGrades+'!$AH$21,"F-",IF(R485&lt;'PlayerGrades+'!$AH$20,"F",IF(R485&lt;'PlayerGrades+'!$AH$19,"F+",IF(R485&lt;'PlayerGrades+'!$AH$18,"E-",IF(R485&lt;'PlayerGrades+'!$AH$17,"E",IF(R485&lt;'PlayerGrades+'!$AH$16,"E+",IF(R485&lt;'PlayerGrades+'!$AH$15,"D-",IF(R485&lt;'PlayerGrades+'!$AH$14,"D",IF(R485&lt;'PlayerGrades+'!$AH$13,"D+",IF(R485&lt;'PlayerGrades+'!$AH$12,"C-",IF(R485&lt;'PlayerGrades+'!$AH$11,"C",IF(R485&lt;'PlayerGrades+'!$AH$10,"C+",IF(R485&lt;'PlayerGrades+'!$AH$9,"B-",IF(R485&lt;'PlayerGrades+'!$AH$8,"B",IF(R485&lt;'PlayerGrades+'!$AH$7,"B+",IF(R485&lt;'PlayerGrades+'!$AH$6,"A-",IF(R485&lt;'PlayerGrades+'!$AH$5,"A",IF(R485&lt;'PlayerGrades+'!$AH$4,"A+",IF(R485&lt;'PlayerGrades+'!$AH$3,"S-",IF(R485&lt;'PlayerGrades+'!$AH$2,"S","S+"))))))))))))))))))))</f>
        <v>B</v>
      </c>
      <c r="T485" s="937">
        <f t="shared" si="9"/>
        <v>0.4298507463</v>
      </c>
      <c r="U485" s="937" t="str">
        <f>IF(T485&lt;'PlayerGrades+'!$AI$21,"F-",IF(T485&lt;'PlayerGrades+'!$AI$20,"F",IF(T485&lt;'PlayerGrades+'!$AI$19,"F+",IF(T485&lt;'PlayerGrades+'!$AI$18,"E-",IF(T485&lt;'PlayerGrades+'!$AI$17,"E",IF(T485&lt;'PlayerGrades+'!$AI$16,"E+",IF(T485&lt;'PlayerGrades+'!$AI$15,"D-",IF(T485&lt;'PlayerGrades+'!$AI$14,"D",IF(T485&lt;'PlayerGrades+'!$AI$13,"D+",IF(T485&lt;'PlayerGrades+'!$AI$12,"C-",IF(T485&lt;'PlayerGrades+'!$AI$11,"C",IF(T485&lt;'PlayerGrades+'!$AI$10,"C+",IF(T485&lt;'PlayerGrades+'!$AI$9,"B-",IF(T485&lt;'PlayerGrades+'!$AI$8,"B",IF(T485&lt;'PlayerGrades+'!$AI$7,"B+",IF(T485&lt;'PlayerGrades+'!$AI$6,"A-",IF(T485&lt;'PlayerGrades+'!$AI$5,"A",IF(T485&lt;'PlayerGrades+'!$AI$4,"A+",IF(T485&lt;'PlayerGrades+'!$AI$3,"S-",IF(T485&lt;'PlayerGrades+'!$AI$2,"S","S+"))))))))))))))))))))</f>
        <v>F-</v>
      </c>
      <c r="V485" s="941">
        <v>1.0</v>
      </c>
      <c r="W485" s="941">
        <v>1.0</v>
      </c>
      <c r="X485" s="941">
        <v>0.0</v>
      </c>
      <c r="Y485" s="941">
        <v>0.0</v>
      </c>
      <c r="Z485" s="941">
        <v>0.0</v>
      </c>
      <c r="AA485" s="941">
        <v>84.0</v>
      </c>
      <c r="AB485" s="941">
        <v>63.0</v>
      </c>
      <c r="AC485" s="941">
        <v>21.0</v>
      </c>
      <c r="AD485" s="941">
        <v>8.0</v>
      </c>
      <c r="AE485" s="941">
        <v>7.0</v>
      </c>
      <c r="AF485" s="941">
        <v>3.0</v>
      </c>
      <c r="AG485" s="941">
        <v>1391.0</v>
      </c>
      <c r="AH485" s="941">
        <v>1675.0</v>
      </c>
      <c r="AI485" s="941">
        <v>22.0</v>
      </c>
      <c r="AJ485" s="941">
        <v>9.0</v>
      </c>
      <c r="AK485" s="941">
        <v>0.0</v>
      </c>
      <c r="AL485" s="941">
        <v>3.0</v>
      </c>
      <c r="AM485" s="941">
        <v>0.0</v>
      </c>
      <c r="AN485" s="941">
        <v>0.0</v>
      </c>
      <c r="AO485" s="941">
        <v>0.0</v>
      </c>
      <c r="AP485" s="941">
        <v>3.0</v>
      </c>
      <c r="AQ485" s="941">
        <v>0.0</v>
      </c>
      <c r="AR485" s="941">
        <v>11.0</v>
      </c>
      <c r="AS485" s="941">
        <v>0.0</v>
      </c>
      <c r="AT485" s="941">
        <v>0.0</v>
      </c>
      <c r="AU485" s="941">
        <v>0.0</v>
      </c>
      <c r="AV485" s="941">
        <v>0.0</v>
      </c>
      <c r="AW485" s="941">
        <v>0.0</v>
      </c>
      <c r="AX485" s="941">
        <v>0.0</v>
      </c>
      <c r="AY485" s="941">
        <v>0.0</v>
      </c>
      <c r="AZ485" s="941">
        <v>0.0</v>
      </c>
      <c r="BA485" s="941">
        <v>0.0</v>
      </c>
      <c r="BB485" s="941">
        <v>4.0</v>
      </c>
      <c r="BC485" s="941">
        <v>0.0</v>
      </c>
      <c r="BD485" s="941">
        <v>8.0</v>
      </c>
      <c r="BE485" s="941">
        <v>12.0</v>
      </c>
      <c r="BF485" s="941">
        <v>0.0</v>
      </c>
      <c r="BG485" s="942">
        <v>1.0</v>
      </c>
    </row>
    <row r="486">
      <c r="A486" s="935" t="s">
        <v>118</v>
      </c>
      <c r="B486" s="16" t="str">
        <f>IF(C486&lt;'PlayerGrades+'!$Y$44,"F-",IF(C486&lt;'PlayerGrades+'!$Y$43,"F",IF(C486&lt;'PlayerGrades+'!$Y$42,"F+",IF(C486&lt;'PlayerGrades+'!$Y$41,"E-",IF(C486&lt;'PlayerGrades+'!$Y$40,"E",IF(C486&lt;'PlayerGrades+'!$Y$39,"E+",IF(C486&lt;'PlayerGrades+'!$Y$38,"D-",IF(C486&lt;'PlayerGrades+'!$Y$37,"D",IF(C486&lt;'PlayerGrades+'!$Y$36,"D+",IF(C486&lt;'PlayerGrades+'!$Y$35,"C-",IF(C486&lt;'PlayerGrades+'!$Y$34,"C",IF(C486&lt;'PlayerGrades+'!$Y$33,"C+",IF(C486&lt;'PlayerGrades+'!$Y$32,"B-",IF(C486&lt;'PlayerGrades+'!$Y$31,"B",IF(C486&lt;'PlayerGrades+'!$Y$30,"B+",IF(C486&lt;'PlayerGrades+'!$Y$29,"A-",IF(C486&lt;'PlayerGrades+'!$Y$28,"A",IF(C486&lt;'PlayerGrades+'!$Y$27,"A+",IF(C486&lt;'PlayerGrades+'!$Y$26,"S-",IF(C486&lt;'PlayerGrades+'!$Y$25,"S","S+"))))))))))))))))))))</f>
        <v>B-</v>
      </c>
      <c r="C486" s="936">
        <f>('PlayerGrades+'!$Y$47*(VLOOKUP(E486, 'PlayerGrades+'!$X$3:$Y$23, 2, FALSE)))+('PlayerGrades+'!$Y$48*(VLOOKUP(G486, 'PlayerGrades+'!$X$3:$Y$23, 2, FALSE)))+('PlayerGrades+'!$Y$49*(VLOOKUP(I486, 'PlayerGrades+'!$X$3:$Y$23, 2, FALSE)))+('PlayerGrades+'!$Y$50*(VLOOKUP(K486, 'PlayerGrades+'!$X$3:$Y$23, 2, FALSE)))+('PlayerGrades+'!$Y$51*(VLOOKUP(M486, 'PlayerGrades+'!$X$3:$Y$23, 2, FALSE)))+('PlayerGrades+'!$Y$52*(VLOOKUP(O486, 'PlayerGrades+'!$X$3:$Y$23, 2, FALSE)))+('PlayerGrades+'!$Y$53*(VLOOKUP(Q486, 'PlayerGrades+'!$X$3:$Y$23, 2, FALSE)))+('PlayerGrades+'!$Y$54*(VLOOKUP(S486, 'PlayerGrades+'!$X$3:$Y$23, 2, FALSE)))+('PlayerGrades+'!$Y$55*(VLOOKUP(U486, 'PlayerGrades+'!$X$3:$Y$23, 2, FALSE)))</f>
        <v>21.8</v>
      </c>
      <c r="D486" s="937">
        <f t="shared" si="1"/>
        <v>0.6089552239</v>
      </c>
      <c r="E486" s="937" t="str">
        <f>IF(D486&lt;'PlayerGrades+'!$AA$21,"F-",IF(D486&lt;'PlayerGrades+'!$AA$20,"F",IF(D486&lt;'PlayerGrades+'!$AA$19,"F+",IF(D486&lt;'PlayerGrades+'!$AA$18,"E-",IF(D486&lt;'PlayerGrades+'!$AA$17,"E",IF(D486&lt;'PlayerGrades+'!$AA$16,"E+",IF(D486&lt;'PlayerGrades+'!$AA$15,"D-",IF(D486&lt;'PlayerGrades+'!$AA$14,"D",IF(D486&lt;'PlayerGrades+'!$AA$13,"D+",IF(D486&lt;'PlayerGrades+'!$AA$12,"C-",IF(D486&lt;'PlayerGrades+'!$AA$11,"C",IF(D486&lt;'PlayerGrades+'!$AA$10,"C+",IF(D486&lt;'PlayerGrades+'!$AA$9,"B-",IF(D486&lt;'PlayerGrades+'!$AA$8,"B",IF(D486&lt;'PlayerGrades+'!$AA$7,"B+",IF(D486&lt;'PlayerGrades+'!$AA$6,"A-",IF(D486&lt;'PlayerGrades+'!$AA$5,"A",IF(D486&lt;'PlayerGrades+'!$AA$4,"A+",IF(D486&lt;'PlayerGrades+'!$AA$3,"S-",IF(D486&lt;'PlayerGrades+'!$AA$2,"S","S+"))))))))))))))))))))</f>
        <v>S-</v>
      </c>
      <c r="F486" s="937">
        <f t="shared" si="2"/>
        <v>0.2149253731</v>
      </c>
      <c r="G486" s="937" t="str">
        <f>IF(F486&lt;'PlayerGrades+'!$AB$21,"F-",IF(F486&lt;'PlayerGrades+'!$AB$20,"F",IF(F486&lt;'PlayerGrades+'!$AB$19,"F+",IF(F486&lt;'PlayerGrades+'!$AB$18,"E-",IF(F486&lt;'PlayerGrades+'!$AB$17,"E",IF(F486&lt;'PlayerGrades+'!$AB$16,"E+",IF(F486&lt;'PlayerGrades+'!$AB$15,"D-",IF(F486&lt;'PlayerGrades+'!$AB$14,"D",IF(F486&lt;'PlayerGrades+'!$AB$13,"D+",IF(F486&lt;'PlayerGrades+'!$AB$12,"C-",IF(F486&lt;'PlayerGrades+'!$AB$11,"C",IF(F486&lt;'PlayerGrades+'!$AB$10,"C+",IF(F486&lt;'PlayerGrades+'!$AB$9,"B-",IF(F486&lt;'PlayerGrades+'!$AB$8,"B",IF(F486&lt;'PlayerGrades+'!$AB$7,"B+",IF(F486&lt;'PlayerGrades+'!$AB$6,"A-",IF(F486&lt;'PlayerGrades+'!$AB$5,"A",IF(F486&lt;'PlayerGrades+'!$AB$4,"A+",IF(F486&lt;'PlayerGrades+'!$AB$3,"S-",IF(F486&lt;'PlayerGrades+'!$AB$2,"S","S+"))))))))))))))))))))</f>
        <v>B+</v>
      </c>
      <c r="H486" s="937">
        <f t="shared" si="3"/>
        <v>0.03582089552</v>
      </c>
      <c r="I486" s="937" t="str">
        <f>IF(H486&lt;'PlayerGrades+'!$AC$21,"F-",IF(H486&lt;'PlayerGrades+'!$AC$20,"F",IF(H486&lt;'PlayerGrades+'!$AC$19,"F+",IF(H486&lt;'PlayerGrades+'!$AC$18,"E-",IF(H486&lt;'PlayerGrades+'!$AC$17,"E",IF(H486&lt;'PlayerGrades+'!$AC$16,"E+",IF(H486&lt;'PlayerGrades+'!$AC$15,"D-",IF(H486&lt;'PlayerGrades+'!$AC$14,"D",IF(H486&lt;'PlayerGrades+'!$AC$13,"D+",IF(H486&lt;'PlayerGrades+'!$AC$12,"C-",IF(H486&lt;'PlayerGrades+'!$AC$11,"C",IF(H486&lt;'PlayerGrades+'!$AC$10,"C+",IF(H486&lt;'PlayerGrades+'!$AC$9,"B-",IF(H486&lt;'PlayerGrades+'!$AC$8,"B",IF(H486&lt;'PlayerGrades+'!$AC$7,"B+",IF(H486&lt;'PlayerGrades+'!$AC$6,"A-",IF(H486&lt;'PlayerGrades+'!$AC$5,"A",IF(H486&lt;'PlayerGrades+'!$AC$4,"A+",IF(H486&lt;'PlayerGrades+'!$AC$3,"S-",IF(H486&lt;'PlayerGrades+'!$AC$2,"S","S+"))))))))))))))))))))</f>
        <v>F</v>
      </c>
      <c r="J486" s="937">
        <f t="shared" si="4"/>
        <v>0.1074626866</v>
      </c>
      <c r="K486" s="937" t="str">
        <f>IF(J486&lt;'PlayerGrades+'!$AD$21,"F-",IF(J486&lt;'PlayerGrades+'!$AD$20,"F",IF(J486&lt;'PlayerGrades+'!$AD$19,"F+",IF(J486&lt;'PlayerGrades+'!$AD$18,"E-",IF(J486&lt;'PlayerGrades+'!$AD$17,"E",IF(J486&lt;'PlayerGrades+'!$AD$16,"E+",IF(J486&lt;'PlayerGrades+'!$AD$15,"D-",IF(J486&lt;'PlayerGrades+'!$AD$14,"D",IF(J486&lt;'PlayerGrades+'!$AD$13,"D+",IF(J486&lt;'PlayerGrades+'!$AD$12,"C-",IF(J486&lt;'PlayerGrades+'!$AD$11,"C",IF(J486&lt;'PlayerGrades+'!$AD$10,"C+",IF(J486&lt;'PlayerGrades+'!$AD$9,"B-",IF(J486&lt;'PlayerGrades+'!$AD$8,"B",IF(J486&lt;'PlayerGrades+'!$AD$7,"B+",IF(J486&lt;'PlayerGrades+'!$AD$6,"A-",IF(J486&lt;'PlayerGrades+'!$AD$5,"A",IF(J486&lt;'PlayerGrades+'!$AD$4,"A+",IF(J486&lt;'PlayerGrades+'!$AD$3,"S-",IF(J486&lt;'PlayerGrades+'!$AD$2,"S","S+"))))))))))))))))))))</f>
        <v>S+</v>
      </c>
      <c r="L486" s="677">
        <f t="shared" si="5"/>
        <v>0.4298507463</v>
      </c>
      <c r="M486" s="938" t="str">
        <f>IF(L486&lt;'PlayerGrades+'!$AE$21,"F-",IF(L486&lt;'PlayerGrades+'!$AE$20,"F",IF(L486&lt;'PlayerGrades+'!$AE$19,"F+",IF(L486&lt;'PlayerGrades+'!$AE$18,"E-",IF(L486&lt;'PlayerGrades+'!$AE$17,"E",IF(L486&lt;'PlayerGrades+'!$AE$16,"E+",IF(L486&lt;'PlayerGrades+'!$AE$15,"D-",IF(L486&lt;'PlayerGrades+'!$AE$14,"D",IF(L486&lt;'PlayerGrades+'!$AE$13,"D+",IF(L486&lt;'PlayerGrades+'!$AE$12,"C-",IF(L486&lt;'PlayerGrades+'!$AE$11,"C",IF(L486&lt;'PlayerGrades+'!$AE$10,"C+",IF(L486&lt;'PlayerGrades+'!$AE$9,"B-",IF(L486&lt;'PlayerGrades+'!$AE$8,"B",IF(L486&lt;'PlayerGrades+'!$AE$7,"B+",IF(L486&lt;'PlayerGrades+'!$AE$6,"A-",IF(L486&lt;'PlayerGrades+'!$AE$5,"A",IF(L486&lt;'PlayerGrades+'!$AE$4,"A+",IF(L486&lt;'PlayerGrades+'!$AE$3,"S-",IF(L486&lt;'PlayerGrades+'!$AE$2,"S","S+"))))))))))))))))))))</f>
        <v>B-</v>
      </c>
      <c r="N486" s="937">
        <f t="shared" si="6"/>
        <v>0.07164179104</v>
      </c>
      <c r="O486" s="937" t="str">
        <f>IF(N486&lt;'PlayerGrades+'!$AF$21,"F-",IF(N486&lt;'PlayerGrades+'!$AF$20,"F",IF(N486&lt;'PlayerGrades+'!$AF$19,"F+",IF(N486&lt;'PlayerGrades+'!$AF$18,"E-",IF(N486&lt;'PlayerGrades+'!$AF$17,"E",IF(N486&lt;'PlayerGrades+'!$AF$16,"E+",IF(N486&lt;'PlayerGrades+'!$AF$15,"D-",IF(N486&lt;'PlayerGrades+'!$AF$14,"D",IF(N486&lt;'PlayerGrades+'!$AF$13,"D+",IF(N486&lt;'PlayerGrades+'!$AF$12,"C-",IF(N486&lt;'PlayerGrades+'!$AF$11,"C",IF(N486&lt;'PlayerGrades+'!$AF$10,"C+",IF(N486&lt;'PlayerGrades+'!$AF$9,"B-",IF(N486&lt;'PlayerGrades+'!$AF$8,"B",IF(N486&lt;'PlayerGrades+'!$AF$7,"B+",IF(N486&lt;'PlayerGrades+'!$AF$6,"A-",IF(N486&lt;'PlayerGrades+'!$AF$5,"A",IF(N486&lt;'PlayerGrades+'!$AF$4,"A+",IF(N486&lt;'PlayerGrades+'!$AF$3,"S-",IF(N486&lt;'PlayerGrades+'!$AF$2,"S","S+"))))))))))))))))))))</f>
        <v>C+</v>
      </c>
      <c r="P486" s="937">
        <f t="shared" si="7"/>
        <v>0.03582089552</v>
      </c>
      <c r="Q486" s="937" t="str">
        <f>IF(P486&lt;'PlayerGrades+'!$AG$21,"F-",IF(P486&lt;'PlayerGrades+'!$AG$20,"F",IF(P486&lt;'PlayerGrades+'!$AG$19,"F+",IF(P486&lt;'PlayerGrades+'!$AG$18,"E-",IF(P486&lt;'PlayerGrades+'!$AG$17,"E",IF(P486&lt;'PlayerGrades+'!$AG$16,"E+",IF(P486&lt;'PlayerGrades+'!$AG$15,"D-",IF(P486&lt;'PlayerGrades+'!$AG$14,"D",IF(P486&lt;'PlayerGrades+'!$AG$13,"D+",IF(P486&lt;'PlayerGrades+'!$AG$12,"C-",IF(P486&lt;'PlayerGrades+'!$AG$11,"C",IF(P486&lt;'PlayerGrades+'!$AG$10,"C+",IF(P486&lt;'PlayerGrades+'!$AG$9,"B-",IF(P486&lt;'PlayerGrades+'!$AG$8,"B",IF(P486&lt;'PlayerGrades+'!$AG$7,"B+",IF(P486&lt;'PlayerGrades+'!$AG$6,"A-",IF(P486&lt;'PlayerGrades+'!$AG$5,"A",IF(P486&lt;'PlayerGrades+'!$AG$4,"A+",IF(P486&lt;'PlayerGrades+'!$AG$3,"S-",IF(P486&lt;'PlayerGrades+'!$AG$2,"S","S+"))))))))))))))))))))</f>
        <v>B+</v>
      </c>
      <c r="R486" s="937">
        <f t="shared" si="8"/>
        <v>0.2149253731</v>
      </c>
      <c r="S486" s="937" t="str">
        <f>IF(R486&lt;'PlayerGrades+'!$AH$21,"F-",IF(R486&lt;'PlayerGrades+'!$AH$20,"F",IF(R486&lt;'PlayerGrades+'!$AH$19,"F+",IF(R486&lt;'PlayerGrades+'!$AH$18,"E-",IF(R486&lt;'PlayerGrades+'!$AH$17,"E",IF(R486&lt;'PlayerGrades+'!$AH$16,"E+",IF(R486&lt;'PlayerGrades+'!$AH$15,"D-",IF(R486&lt;'PlayerGrades+'!$AH$14,"D",IF(R486&lt;'PlayerGrades+'!$AH$13,"D+",IF(R486&lt;'PlayerGrades+'!$AH$12,"C-",IF(R486&lt;'PlayerGrades+'!$AH$11,"C",IF(R486&lt;'PlayerGrades+'!$AH$10,"C+",IF(R486&lt;'PlayerGrades+'!$AH$9,"B-",IF(R486&lt;'PlayerGrades+'!$AH$8,"B",IF(R486&lt;'PlayerGrades+'!$AH$7,"B+",IF(R486&lt;'PlayerGrades+'!$AH$6,"A-",IF(R486&lt;'PlayerGrades+'!$AH$5,"A",IF(R486&lt;'PlayerGrades+'!$AH$4,"A+",IF(R486&lt;'PlayerGrades+'!$AH$3,"S-",IF(R486&lt;'PlayerGrades+'!$AH$2,"S","S+"))))))))))))))))))))</f>
        <v>F-</v>
      </c>
      <c r="T486" s="937">
        <f t="shared" si="9"/>
        <v>2.107462687</v>
      </c>
      <c r="U486" s="937" t="str">
        <f>IF(T486&lt;'PlayerGrades+'!$AI$21,"F-",IF(T486&lt;'PlayerGrades+'!$AI$20,"F",IF(T486&lt;'PlayerGrades+'!$AI$19,"F+",IF(T486&lt;'PlayerGrades+'!$AI$18,"E-",IF(T486&lt;'PlayerGrades+'!$AI$17,"E",IF(T486&lt;'PlayerGrades+'!$AI$16,"E+",IF(T486&lt;'PlayerGrades+'!$AI$15,"D-",IF(T486&lt;'PlayerGrades+'!$AI$14,"D",IF(T486&lt;'PlayerGrades+'!$AI$13,"D+",IF(T486&lt;'PlayerGrades+'!$AI$12,"C-",IF(T486&lt;'PlayerGrades+'!$AI$11,"C",IF(T486&lt;'PlayerGrades+'!$AI$10,"C+",IF(T486&lt;'PlayerGrades+'!$AI$9,"B-",IF(T486&lt;'PlayerGrades+'!$AI$8,"B",IF(T486&lt;'PlayerGrades+'!$AI$7,"B+",IF(T486&lt;'PlayerGrades+'!$AI$6,"A-",IF(T486&lt;'PlayerGrades+'!$AI$5,"A",IF(T486&lt;'PlayerGrades+'!$AI$4,"A+",IF(T486&lt;'PlayerGrades+'!$AI$3,"S-",IF(T486&lt;'PlayerGrades+'!$AI$2,"S","S+"))))))))))))))))))))</f>
        <v>S+</v>
      </c>
      <c r="V486" s="941">
        <v>1.0</v>
      </c>
      <c r="W486" s="941">
        <v>0.0</v>
      </c>
      <c r="X486" s="941">
        <v>1.0</v>
      </c>
      <c r="Y486" s="941">
        <v>2.0</v>
      </c>
      <c r="Z486" s="941">
        <v>15.0</v>
      </c>
      <c r="AA486" s="941">
        <v>70.0</v>
      </c>
      <c r="AB486" s="941">
        <v>64.0</v>
      </c>
      <c r="AC486" s="941">
        <v>6.0</v>
      </c>
      <c r="AD486" s="941">
        <v>1.0</v>
      </c>
      <c r="AE486" s="941">
        <v>7.0</v>
      </c>
      <c r="AF486" s="941">
        <v>1.0</v>
      </c>
      <c r="AG486" s="941">
        <v>1386.0</v>
      </c>
      <c r="AH486" s="941">
        <v>1675.0</v>
      </c>
      <c r="AI486" s="941">
        <v>21.0</v>
      </c>
      <c r="AJ486" s="941">
        <v>646.0</v>
      </c>
      <c r="AK486" s="941">
        <v>0.0</v>
      </c>
      <c r="AL486" s="941">
        <v>3.0</v>
      </c>
      <c r="AM486" s="941">
        <v>0.0</v>
      </c>
      <c r="AN486" s="941">
        <v>0.0</v>
      </c>
      <c r="AO486" s="941">
        <v>0.0</v>
      </c>
      <c r="AP486" s="941">
        <v>1.0</v>
      </c>
      <c r="AQ486" s="941">
        <v>0.0</v>
      </c>
      <c r="AR486" s="941">
        <v>12.0</v>
      </c>
      <c r="AS486" s="941">
        <v>2.0</v>
      </c>
      <c r="AT486" s="941">
        <v>0.0</v>
      </c>
      <c r="AU486" s="941">
        <v>0.0</v>
      </c>
      <c r="AV486" s="941">
        <v>0.0</v>
      </c>
      <c r="AW486" s="941">
        <v>0.0</v>
      </c>
      <c r="AX486" s="941">
        <v>0.0</v>
      </c>
      <c r="AY486" s="941">
        <v>0.0</v>
      </c>
      <c r="AZ486" s="941">
        <v>0.0</v>
      </c>
      <c r="BA486" s="941">
        <v>0.0</v>
      </c>
      <c r="BB486" s="941">
        <v>1.0</v>
      </c>
      <c r="BC486" s="941">
        <v>0.0</v>
      </c>
      <c r="BD486" s="941">
        <v>5.0</v>
      </c>
      <c r="BE486" s="941">
        <v>3.0</v>
      </c>
      <c r="BF486" s="941">
        <v>2.0</v>
      </c>
      <c r="BG486" s="942">
        <v>0.0</v>
      </c>
    </row>
    <row r="487">
      <c r="A487" s="935" t="s">
        <v>151</v>
      </c>
      <c r="B487" s="16" t="str">
        <f>IF(C487&lt;'PlayerGrades+'!$Y$44,"F-",IF(C487&lt;'PlayerGrades+'!$Y$43,"F",IF(C487&lt;'PlayerGrades+'!$Y$42,"F+",IF(C487&lt;'PlayerGrades+'!$Y$41,"E-",IF(C487&lt;'PlayerGrades+'!$Y$40,"E",IF(C487&lt;'PlayerGrades+'!$Y$39,"E+",IF(C487&lt;'PlayerGrades+'!$Y$38,"D-",IF(C487&lt;'PlayerGrades+'!$Y$37,"D",IF(C487&lt;'PlayerGrades+'!$Y$36,"D+",IF(C487&lt;'PlayerGrades+'!$Y$35,"C-",IF(C487&lt;'PlayerGrades+'!$Y$34,"C",IF(C487&lt;'PlayerGrades+'!$Y$33,"C+",IF(C487&lt;'PlayerGrades+'!$Y$32,"B-",IF(C487&lt;'PlayerGrades+'!$Y$31,"B",IF(C487&lt;'PlayerGrades+'!$Y$30,"B+",IF(C487&lt;'PlayerGrades+'!$Y$29,"A-",IF(C487&lt;'PlayerGrades+'!$Y$28,"A",IF(C487&lt;'PlayerGrades+'!$Y$27,"A+",IF(C487&lt;'PlayerGrades+'!$Y$26,"S-",IF(C487&lt;'PlayerGrades+'!$Y$25,"S","S+"))))))))))))))))))))</f>
        <v>C</v>
      </c>
      <c r="C487" s="936">
        <f>('PlayerGrades+'!$Y$47*(VLOOKUP(E487, 'PlayerGrades+'!$X$3:$Y$23, 2, FALSE)))+('PlayerGrades+'!$Y$48*(VLOOKUP(G487, 'PlayerGrades+'!$X$3:$Y$23, 2, FALSE)))+('PlayerGrades+'!$Y$49*(VLOOKUP(I487, 'PlayerGrades+'!$X$3:$Y$23, 2, FALSE)))+('PlayerGrades+'!$Y$50*(VLOOKUP(K487, 'PlayerGrades+'!$X$3:$Y$23, 2, FALSE)))+('PlayerGrades+'!$Y$51*(VLOOKUP(M487, 'PlayerGrades+'!$X$3:$Y$23, 2, FALSE)))+('PlayerGrades+'!$Y$52*(VLOOKUP(O487, 'PlayerGrades+'!$X$3:$Y$23, 2, FALSE)))+('PlayerGrades+'!$Y$53*(VLOOKUP(Q487, 'PlayerGrades+'!$X$3:$Y$23, 2, FALSE)))+('PlayerGrades+'!$Y$54*(VLOOKUP(S487, 'PlayerGrades+'!$X$3:$Y$23, 2, FALSE)))+('PlayerGrades+'!$Y$55*(VLOOKUP(U487, 'PlayerGrades+'!$X$3:$Y$23, 2, FALSE)))</f>
        <v>19.95</v>
      </c>
      <c r="D487" s="937">
        <f t="shared" si="1"/>
        <v>0</v>
      </c>
      <c r="E487" s="937" t="str">
        <f>IF(D487&lt;'PlayerGrades+'!$AA$21,"F-",IF(D487&lt;'PlayerGrades+'!$AA$20,"F",IF(D487&lt;'PlayerGrades+'!$AA$19,"F+",IF(D487&lt;'PlayerGrades+'!$AA$18,"E-",IF(D487&lt;'PlayerGrades+'!$AA$17,"E",IF(D487&lt;'PlayerGrades+'!$AA$16,"E+",IF(D487&lt;'PlayerGrades+'!$AA$15,"D-",IF(D487&lt;'PlayerGrades+'!$AA$14,"D",IF(D487&lt;'PlayerGrades+'!$AA$13,"D+",IF(D487&lt;'PlayerGrades+'!$AA$12,"C-",IF(D487&lt;'PlayerGrades+'!$AA$11,"C",IF(D487&lt;'PlayerGrades+'!$AA$10,"C+",IF(D487&lt;'PlayerGrades+'!$AA$9,"B-",IF(D487&lt;'PlayerGrades+'!$AA$8,"B",IF(D487&lt;'PlayerGrades+'!$AA$7,"B+",IF(D487&lt;'PlayerGrades+'!$AA$6,"A-",IF(D487&lt;'PlayerGrades+'!$AA$5,"A",IF(D487&lt;'PlayerGrades+'!$AA$4,"A+",IF(D487&lt;'PlayerGrades+'!$AA$3,"S-",IF(D487&lt;'PlayerGrades+'!$AA$2,"S","S+"))))))))))))))))))))</f>
        <v>F-</v>
      </c>
      <c r="F487" s="937">
        <f t="shared" si="2"/>
        <v>0.5373134328</v>
      </c>
      <c r="G487" s="937" t="str">
        <f>IF(F487&lt;'PlayerGrades+'!$AB$21,"F-",IF(F487&lt;'PlayerGrades+'!$AB$20,"F",IF(F487&lt;'PlayerGrades+'!$AB$19,"F+",IF(F487&lt;'PlayerGrades+'!$AB$18,"E-",IF(F487&lt;'PlayerGrades+'!$AB$17,"E",IF(F487&lt;'PlayerGrades+'!$AB$16,"E+",IF(F487&lt;'PlayerGrades+'!$AB$15,"D-",IF(F487&lt;'PlayerGrades+'!$AB$14,"D",IF(F487&lt;'PlayerGrades+'!$AB$13,"D+",IF(F487&lt;'PlayerGrades+'!$AB$12,"C-",IF(F487&lt;'PlayerGrades+'!$AB$11,"C",IF(F487&lt;'PlayerGrades+'!$AB$10,"C+",IF(F487&lt;'PlayerGrades+'!$AB$9,"B-",IF(F487&lt;'PlayerGrades+'!$AB$8,"B",IF(F487&lt;'PlayerGrades+'!$AB$7,"B+",IF(F487&lt;'PlayerGrades+'!$AB$6,"A-",IF(F487&lt;'PlayerGrades+'!$AB$5,"A",IF(F487&lt;'PlayerGrades+'!$AB$4,"A+",IF(F487&lt;'PlayerGrades+'!$AB$3,"S-",IF(F487&lt;'PlayerGrades+'!$AB$2,"S","S+"))))))))))))))))))))</f>
        <v>A+</v>
      </c>
      <c r="H487" s="937">
        <f t="shared" si="3"/>
        <v>0.07164179104</v>
      </c>
      <c r="I487" s="937" t="str">
        <f>IF(H487&lt;'PlayerGrades+'!$AC$21,"F-",IF(H487&lt;'PlayerGrades+'!$AC$20,"F",IF(H487&lt;'PlayerGrades+'!$AC$19,"F+",IF(H487&lt;'PlayerGrades+'!$AC$18,"E-",IF(H487&lt;'PlayerGrades+'!$AC$17,"E",IF(H487&lt;'PlayerGrades+'!$AC$16,"E+",IF(H487&lt;'PlayerGrades+'!$AC$15,"D-",IF(H487&lt;'PlayerGrades+'!$AC$14,"D",IF(H487&lt;'PlayerGrades+'!$AC$13,"D+",IF(H487&lt;'PlayerGrades+'!$AC$12,"C-",IF(H487&lt;'PlayerGrades+'!$AC$11,"C",IF(H487&lt;'PlayerGrades+'!$AC$10,"C+",IF(H487&lt;'PlayerGrades+'!$AC$9,"B-",IF(H487&lt;'PlayerGrades+'!$AC$8,"B",IF(H487&lt;'PlayerGrades+'!$AC$7,"B+",IF(H487&lt;'PlayerGrades+'!$AC$6,"A-",IF(H487&lt;'PlayerGrades+'!$AC$5,"A",IF(H487&lt;'PlayerGrades+'!$AC$4,"A+",IF(H487&lt;'PlayerGrades+'!$AC$3,"S-",IF(H487&lt;'PlayerGrades+'!$AC$2,"S","S+"))))))))))))))))))))</f>
        <v>E</v>
      </c>
      <c r="J487" s="937">
        <f t="shared" si="4"/>
        <v>0.03582089552</v>
      </c>
      <c r="K487" s="937" t="str">
        <f>IF(J487&lt;'PlayerGrades+'!$AD$21,"F-",IF(J487&lt;'PlayerGrades+'!$AD$20,"F",IF(J487&lt;'PlayerGrades+'!$AD$19,"F+",IF(J487&lt;'PlayerGrades+'!$AD$18,"E-",IF(J487&lt;'PlayerGrades+'!$AD$17,"E",IF(J487&lt;'PlayerGrades+'!$AD$16,"E+",IF(J487&lt;'PlayerGrades+'!$AD$15,"D-",IF(J487&lt;'PlayerGrades+'!$AD$14,"D",IF(J487&lt;'PlayerGrades+'!$AD$13,"D+",IF(J487&lt;'PlayerGrades+'!$AD$12,"C-",IF(J487&lt;'PlayerGrades+'!$AD$11,"C",IF(J487&lt;'PlayerGrades+'!$AD$10,"C+",IF(J487&lt;'PlayerGrades+'!$AD$9,"B-",IF(J487&lt;'PlayerGrades+'!$AD$8,"B",IF(J487&lt;'PlayerGrades+'!$AD$7,"B+",IF(J487&lt;'PlayerGrades+'!$AD$6,"A-",IF(J487&lt;'PlayerGrades+'!$AD$5,"A",IF(J487&lt;'PlayerGrades+'!$AD$4,"A+",IF(J487&lt;'PlayerGrades+'!$AD$3,"S-",IF(J487&lt;'PlayerGrades+'!$AD$2,"S","S+"))))))))))))))))))))</f>
        <v>C</v>
      </c>
      <c r="L487" s="677">
        <f t="shared" si="5"/>
        <v>0.3223880597</v>
      </c>
      <c r="M487" s="938" t="str">
        <f>IF(L487&lt;'PlayerGrades+'!$AE$21,"F-",IF(L487&lt;'PlayerGrades+'!$AE$20,"F",IF(L487&lt;'PlayerGrades+'!$AE$19,"F+",IF(L487&lt;'PlayerGrades+'!$AE$18,"E-",IF(L487&lt;'PlayerGrades+'!$AE$17,"E",IF(L487&lt;'PlayerGrades+'!$AE$16,"E+",IF(L487&lt;'PlayerGrades+'!$AE$15,"D-",IF(L487&lt;'PlayerGrades+'!$AE$14,"D",IF(L487&lt;'PlayerGrades+'!$AE$13,"D+",IF(L487&lt;'PlayerGrades+'!$AE$12,"C-",IF(L487&lt;'PlayerGrades+'!$AE$11,"C",IF(L487&lt;'PlayerGrades+'!$AE$10,"C+",IF(L487&lt;'PlayerGrades+'!$AE$9,"B-",IF(L487&lt;'PlayerGrades+'!$AE$8,"B",IF(L487&lt;'PlayerGrades+'!$AE$7,"B+",IF(L487&lt;'PlayerGrades+'!$AE$6,"A-",IF(L487&lt;'PlayerGrades+'!$AE$5,"A",IF(L487&lt;'PlayerGrades+'!$AE$4,"A+",IF(L487&lt;'PlayerGrades+'!$AE$3,"S-",IF(L487&lt;'PlayerGrades+'!$AE$2,"S","S+"))))))))))))))))))))</f>
        <v>E</v>
      </c>
      <c r="N487" s="937">
        <f t="shared" si="6"/>
        <v>0.1074626866</v>
      </c>
      <c r="O487" s="937" t="str">
        <f>IF(N487&lt;'PlayerGrades+'!$AF$21,"F-",IF(N487&lt;'PlayerGrades+'!$AF$20,"F",IF(N487&lt;'PlayerGrades+'!$AF$19,"F+",IF(N487&lt;'PlayerGrades+'!$AF$18,"E-",IF(N487&lt;'PlayerGrades+'!$AF$17,"E",IF(N487&lt;'PlayerGrades+'!$AF$16,"E+",IF(N487&lt;'PlayerGrades+'!$AF$15,"D-",IF(N487&lt;'PlayerGrades+'!$AF$14,"D",IF(N487&lt;'PlayerGrades+'!$AF$13,"D+",IF(N487&lt;'PlayerGrades+'!$AF$12,"C-",IF(N487&lt;'PlayerGrades+'!$AF$11,"C",IF(N487&lt;'PlayerGrades+'!$AF$10,"C+",IF(N487&lt;'PlayerGrades+'!$AF$9,"B-",IF(N487&lt;'PlayerGrades+'!$AF$8,"B",IF(N487&lt;'PlayerGrades+'!$AF$7,"B+",IF(N487&lt;'PlayerGrades+'!$AF$6,"A-",IF(N487&lt;'PlayerGrades+'!$AF$5,"A",IF(N487&lt;'PlayerGrades+'!$AF$4,"A+",IF(N487&lt;'PlayerGrades+'!$AF$3,"S-",IF(N487&lt;'PlayerGrades+'!$AF$2,"S","S+"))))))))))))))))))))</f>
        <v>S-</v>
      </c>
      <c r="P487" s="937">
        <f t="shared" si="7"/>
        <v>0.03582089552</v>
      </c>
      <c r="Q487" s="937" t="str">
        <f>IF(P487&lt;'PlayerGrades+'!$AG$21,"F-",IF(P487&lt;'PlayerGrades+'!$AG$20,"F",IF(P487&lt;'PlayerGrades+'!$AG$19,"F+",IF(P487&lt;'PlayerGrades+'!$AG$18,"E-",IF(P487&lt;'PlayerGrades+'!$AG$17,"E",IF(P487&lt;'PlayerGrades+'!$AG$16,"E+",IF(P487&lt;'PlayerGrades+'!$AG$15,"D-",IF(P487&lt;'PlayerGrades+'!$AG$14,"D",IF(P487&lt;'PlayerGrades+'!$AG$13,"D+",IF(P487&lt;'PlayerGrades+'!$AG$12,"C-",IF(P487&lt;'PlayerGrades+'!$AG$11,"C",IF(P487&lt;'PlayerGrades+'!$AG$10,"C+",IF(P487&lt;'PlayerGrades+'!$AG$9,"B-",IF(P487&lt;'PlayerGrades+'!$AG$8,"B",IF(P487&lt;'PlayerGrades+'!$AG$7,"B+",IF(P487&lt;'PlayerGrades+'!$AG$6,"A-",IF(P487&lt;'PlayerGrades+'!$AG$5,"A",IF(P487&lt;'PlayerGrades+'!$AG$4,"A+",IF(P487&lt;'PlayerGrades+'!$AG$3,"S-",IF(P487&lt;'PlayerGrades+'!$AG$2,"S","S+"))))))))))))))))))))</f>
        <v>B+</v>
      </c>
      <c r="R487" s="937">
        <f t="shared" si="8"/>
        <v>0.5014925373</v>
      </c>
      <c r="S487" s="937" t="str">
        <f>IF(R487&lt;'PlayerGrades+'!$AH$21,"F-",IF(R487&lt;'PlayerGrades+'!$AH$20,"F",IF(R487&lt;'PlayerGrades+'!$AH$19,"F+",IF(R487&lt;'PlayerGrades+'!$AH$18,"E-",IF(R487&lt;'PlayerGrades+'!$AH$17,"E",IF(R487&lt;'PlayerGrades+'!$AH$16,"E+",IF(R487&lt;'PlayerGrades+'!$AH$15,"D-",IF(R487&lt;'PlayerGrades+'!$AH$14,"D",IF(R487&lt;'PlayerGrades+'!$AH$13,"D+",IF(R487&lt;'PlayerGrades+'!$AH$12,"C-",IF(R487&lt;'PlayerGrades+'!$AH$11,"C",IF(R487&lt;'PlayerGrades+'!$AH$10,"C+",IF(R487&lt;'PlayerGrades+'!$AH$9,"B-",IF(R487&lt;'PlayerGrades+'!$AH$8,"B",IF(R487&lt;'PlayerGrades+'!$AH$7,"B+",IF(R487&lt;'PlayerGrades+'!$AH$6,"A-",IF(R487&lt;'PlayerGrades+'!$AH$5,"A",IF(R487&lt;'PlayerGrades+'!$AH$4,"A+",IF(R487&lt;'PlayerGrades+'!$AH$3,"S-",IF(R487&lt;'PlayerGrades+'!$AH$2,"S","S+"))))))))))))))))))))</f>
        <v>D-</v>
      </c>
      <c r="T487" s="937">
        <f t="shared" si="9"/>
        <v>1.429850746</v>
      </c>
      <c r="U487" s="937" t="str">
        <f>IF(T487&lt;'PlayerGrades+'!$AI$21,"F-",IF(T487&lt;'PlayerGrades+'!$AI$20,"F",IF(T487&lt;'PlayerGrades+'!$AI$19,"F+",IF(T487&lt;'PlayerGrades+'!$AI$18,"E-",IF(T487&lt;'PlayerGrades+'!$AI$17,"E",IF(T487&lt;'PlayerGrades+'!$AI$16,"E+",IF(T487&lt;'PlayerGrades+'!$AI$15,"D-",IF(T487&lt;'PlayerGrades+'!$AI$14,"D",IF(T487&lt;'PlayerGrades+'!$AI$13,"D+",IF(T487&lt;'PlayerGrades+'!$AI$12,"C-",IF(T487&lt;'PlayerGrades+'!$AI$11,"C",IF(T487&lt;'PlayerGrades+'!$AI$10,"C+",IF(T487&lt;'PlayerGrades+'!$AI$9,"B-",IF(T487&lt;'PlayerGrades+'!$AI$8,"B",IF(T487&lt;'PlayerGrades+'!$AI$7,"B+",IF(T487&lt;'PlayerGrades+'!$AI$6,"A-",IF(T487&lt;'PlayerGrades+'!$AI$5,"A",IF(T487&lt;'PlayerGrades+'!$AI$4,"A+",IF(T487&lt;'PlayerGrades+'!$AI$3,"S-",IF(T487&lt;'PlayerGrades+'!$AI$2,"S","S+"))))))))))))))))))))</f>
        <v>B+</v>
      </c>
      <c r="V487" s="941">
        <v>1.0</v>
      </c>
      <c r="W487" s="941">
        <v>0.0</v>
      </c>
      <c r="X487" s="941">
        <v>1.0</v>
      </c>
      <c r="Y487" s="941">
        <v>0.0</v>
      </c>
      <c r="Z487" s="941">
        <v>0.0</v>
      </c>
      <c r="AA487" s="941">
        <v>85.0</v>
      </c>
      <c r="AB487" s="941">
        <v>70.0</v>
      </c>
      <c r="AC487" s="941">
        <v>15.0</v>
      </c>
      <c r="AD487" s="941">
        <v>4.0</v>
      </c>
      <c r="AE487" s="941">
        <v>5.0</v>
      </c>
      <c r="AF487" s="941">
        <v>1.0</v>
      </c>
      <c r="AG487" s="941">
        <v>1370.0</v>
      </c>
      <c r="AH487" s="941">
        <v>1675.0</v>
      </c>
      <c r="AI487" s="941">
        <v>19.0</v>
      </c>
      <c r="AJ487" s="941">
        <v>12.0</v>
      </c>
      <c r="AK487" s="941">
        <v>0.0</v>
      </c>
      <c r="AL487" s="941">
        <v>1.0</v>
      </c>
      <c r="AM487" s="941">
        <v>0.0</v>
      </c>
      <c r="AN487" s="941">
        <v>0.0</v>
      </c>
      <c r="AO487" s="941">
        <v>0.0</v>
      </c>
      <c r="AP487" s="941">
        <v>1.0</v>
      </c>
      <c r="AQ487" s="941">
        <v>0.0</v>
      </c>
      <c r="AR487" s="941">
        <v>9.0</v>
      </c>
      <c r="AS487" s="941">
        <v>3.0</v>
      </c>
      <c r="AT487" s="941">
        <v>0.0</v>
      </c>
      <c r="AU487" s="941">
        <v>0.0</v>
      </c>
      <c r="AV487" s="941">
        <v>0.0</v>
      </c>
      <c r="AW487" s="941">
        <v>0.0</v>
      </c>
      <c r="AX487" s="941">
        <v>0.0</v>
      </c>
      <c r="AY487" s="941">
        <v>0.0</v>
      </c>
      <c r="AZ487" s="941">
        <v>0.0</v>
      </c>
      <c r="BA487" s="941">
        <v>0.0</v>
      </c>
      <c r="BB487" s="941">
        <v>2.0</v>
      </c>
      <c r="BC487" s="941">
        <v>0.0</v>
      </c>
      <c r="BD487" s="941">
        <v>10.0</v>
      </c>
      <c r="BE487" s="941">
        <v>12.0</v>
      </c>
      <c r="BF487" s="941">
        <v>1.0</v>
      </c>
      <c r="BG487" s="942">
        <v>0.0</v>
      </c>
    </row>
    <row r="488">
      <c r="A488" s="935" t="s">
        <v>129</v>
      </c>
      <c r="B488" s="16" t="str">
        <f>IF(C488&lt;'PlayerGrades+'!$Y$44,"F-",IF(C488&lt;'PlayerGrades+'!$Y$43,"F",IF(C488&lt;'PlayerGrades+'!$Y$42,"F+",IF(C488&lt;'PlayerGrades+'!$Y$41,"E-",IF(C488&lt;'PlayerGrades+'!$Y$40,"E",IF(C488&lt;'PlayerGrades+'!$Y$39,"E+",IF(C488&lt;'PlayerGrades+'!$Y$38,"D-",IF(C488&lt;'PlayerGrades+'!$Y$37,"D",IF(C488&lt;'PlayerGrades+'!$Y$36,"D+",IF(C488&lt;'PlayerGrades+'!$Y$35,"C-",IF(C488&lt;'PlayerGrades+'!$Y$34,"C",IF(C488&lt;'PlayerGrades+'!$Y$33,"C+",IF(C488&lt;'PlayerGrades+'!$Y$32,"B-",IF(C488&lt;'PlayerGrades+'!$Y$31,"B",IF(C488&lt;'PlayerGrades+'!$Y$30,"B+",IF(C488&lt;'PlayerGrades+'!$Y$29,"A-",IF(C488&lt;'PlayerGrades+'!$Y$28,"A",IF(C488&lt;'PlayerGrades+'!$Y$27,"A+",IF(C488&lt;'PlayerGrades+'!$Y$26,"S-",IF(C488&lt;'PlayerGrades+'!$Y$25,"S","S+"))))))))))))))))))))</f>
        <v>B</v>
      </c>
      <c r="C488" s="936">
        <f>('PlayerGrades+'!$Y$47*(VLOOKUP(E488, 'PlayerGrades+'!$X$3:$Y$23, 2, FALSE)))+('PlayerGrades+'!$Y$48*(VLOOKUP(G488, 'PlayerGrades+'!$X$3:$Y$23, 2, FALSE)))+('PlayerGrades+'!$Y$49*(VLOOKUP(I488, 'PlayerGrades+'!$X$3:$Y$23, 2, FALSE)))+('PlayerGrades+'!$Y$50*(VLOOKUP(K488, 'PlayerGrades+'!$X$3:$Y$23, 2, FALSE)))+('PlayerGrades+'!$Y$51*(VLOOKUP(M488, 'PlayerGrades+'!$X$3:$Y$23, 2, FALSE)))+('PlayerGrades+'!$Y$52*(VLOOKUP(O488, 'PlayerGrades+'!$X$3:$Y$23, 2, FALSE)))+('PlayerGrades+'!$Y$53*(VLOOKUP(Q488, 'PlayerGrades+'!$X$3:$Y$23, 2, FALSE)))+('PlayerGrades+'!$Y$54*(VLOOKUP(S488, 'PlayerGrades+'!$X$3:$Y$23, 2, FALSE)))+('PlayerGrades+'!$Y$55*(VLOOKUP(U488, 'PlayerGrades+'!$X$3:$Y$23, 2, FALSE)))</f>
        <v>23</v>
      </c>
      <c r="D488" s="937">
        <f t="shared" si="1"/>
        <v>0.03582089552</v>
      </c>
      <c r="E488" s="937" t="str">
        <f>IF(D488&lt;'PlayerGrades+'!$AA$21,"F-",IF(D488&lt;'PlayerGrades+'!$AA$20,"F",IF(D488&lt;'PlayerGrades+'!$AA$19,"F+",IF(D488&lt;'PlayerGrades+'!$AA$18,"E-",IF(D488&lt;'PlayerGrades+'!$AA$17,"E",IF(D488&lt;'PlayerGrades+'!$AA$16,"E+",IF(D488&lt;'PlayerGrades+'!$AA$15,"D-",IF(D488&lt;'PlayerGrades+'!$AA$14,"D",IF(D488&lt;'PlayerGrades+'!$AA$13,"D+",IF(D488&lt;'PlayerGrades+'!$AA$12,"C-",IF(D488&lt;'PlayerGrades+'!$AA$11,"C",IF(D488&lt;'PlayerGrades+'!$AA$10,"C+",IF(D488&lt;'PlayerGrades+'!$AA$9,"B-",IF(D488&lt;'PlayerGrades+'!$AA$8,"B",IF(D488&lt;'PlayerGrades+'!$AA$7,"B+",IF(D488&lt;'PlayerGrades+'!$AA$6,"A-",IF(D488&lt;'PlayerGrades+'!$AA$5,"A",IF(D488&lt;'PlayerGrades+'!$AA$4,"A+",IF(D488&lt;'PlayerGrades+'!$AA$3,"S-",IF(D488&lt;'PlayerGrades+'!$AA$2,"S","S+"))))))))))))))))))))</f>
        <v>C</v>
      </c>
      <c r="F488" s="937">
        <f t="shared" si="2"/>
        <v>0.6447761194</v>
      </c>
      <c r="G488" s="937" t="str">
        <f>IF(F488&lt;'PlayerGrades+'!$AB$21,"F-",IF(F488&lt;'PlayerGrades+'!$AB$20,"F",IF(F488&lt;'PlayerGrades+'!$AB$19,"F+",IF(F488&lt;'PlayerGrades+'!$AB$18,"E-",IF(F488&lt;'PlayerGrades+'!$AB$17,"E",IF(F488&lt;'PlayerGrades+'!$AB$16,"E+",IF(F488&lt;'PlayerGrades+'!$AB$15,"D-",IF(F488&lt;'PlayerGrades+'!$AB$14,"D",IF(F488&lt;'PlayerGrades+'!$AB$13,"D+",IF(F488&lt;'PlayerGrades+'!$AB$12,"C-",IF(F488&lt;'PlayerGrades+'!$AB$11,"C",IF(F488&lt;'PlayerGrades+'!$AB$10,"C+",IF(F488&lt;'PlayerGrades+'!$AB$9,"B-",IF(F488&lt;'PlayerGrades+'!$AB$8,"B",IF(F488&lt;'PlayerGrades+'!$AB$7,"B+",IF(F488&lt;'PlayerGrades+'!$AB$6,"A-",IF(F488&lt;'PlayerGrades+'!$AB$5,"A",IF(F488&lt;'PlayerGrades+'!$AB$4,"A+",IF(F488&lt;'PlayerGrades+'!$AB$3,"S-",IF(F488&lt;'PlayerGrades+'!$AB$2,"S","S+"))))))))))))))))))))</f>
        <v>S-</v>
      </c>
      <c r="H488" s="937">
        <f t="shared" si="3"/>
        <v>0.1791044776</v>
      </c>
      <c r="I488" s="937" t="str">
        <f>IF(H488&lt;'PlayerGrades+'!$AC$21,"F-",IF(H488&lt;'PlayerGrades+'!$AC$20,"F",IF(H488&lt;'PlayerGrades+'!$AC$19,"F+",IF(H488&lt;'PlayerGrades+'!$AC$18,"E-",IF(H488&lt;'PlayerGrades+'!$AC$17,"E",IF(H488&lt;'PlayerGrades+'!$AC$16,"E+",IF(H488&lt;'PlayerGrades+'!$AC$15,"D-",IF(H488&lt;'PlayerGrades+'!$AC$14,"D",IF(H488&lt;'PlayerGrades+'!$AC$13,"D+",IF(H488&lt;'PlayerGrades+'!$AC$12,"C-",IF(H488&lt;'PlayerGrades+'!$AC$11,"C",IF(H488&lt;'PlayerGrades+'!$AC$10,"C+",IF(H488&lt;'PlayerGrades+'!$AC$9,"B-",IF(H488&lt;'PlayerGrades+'!$AC$8,"B",IF(H488&lt;'PlayerGrades+'!$AC$7,"B+",IF(H488&lt;'PlayerGrades+'!$AC$6,"A-",IF(H488&lt;'PlayerGrades+'!$AC$5,"A",IF(H488&lt;'PlayerGrades+'!$AC$4,"A+",IF(H488&lt;'PlayerGrades+'!$AC$3,"S-",IF(H488&lt;'PlayerGrades+'!$AC$2,"S","S+"))))))))))))))))))))</f>
        <v>S-</v>
      </c>
      <c r="J488" s="937">
        <f t="shared" si="4"/>
        <v>0.1432835821</v>
      </c>
      <c r="K488" s="937" t="str">
        <f>IF(J488&lt;'PlayerGrades+'!$AD$21,"F-",IF(J488&lt;'PlayerGrades+'!$AD$20,"F",IF(J488&lt;'PlayerGrades+'!$AD$19,"F+",IF(J488&lt;'PlayerGrades+'!$AD$18,"E-",IF(J488&lt;'PlayerGrades+'!$AD$17,"E",IF(J488&lt;'PlayerGrades+'!$AD$16,"E+",IF(J488&lt;'PlayerGrades+'!$AD$15,"D-",IF(J488&lt;'PlayerGrades+'!$AD$14,"D",IF(J488&lt;'PlayerGrades+'!$AD$13,"D+",IF(J488&lt;'PlayerGrades+'!$AD$12,"C-",IF(J488&lt;'PlayerGrades+'!$AD$11,"C",IF(J488&lt;'PlayerGrades+'!$AD$10,"C+",IF(J488&lt;'PlayerGrades+'!$AD$9,"B-",IF(J488&lt;'PlayerGrades+'!$AD$8,"B",IF(J488&lt;'PlayerGrades+'!$AD$7,"B+",IF(J488&lt;'PlayerGrades+'!$AD$6,"A-",IF(J488&lt;'PlayerGrades+'!$AD$5,"A",IF(J488&lt;'PlayerGrades+'!$AD$4,"A+",IF(J488&lt;'PlayerGrades+'!$AD$3,"S-",IF(J488&lt;'PlayerGrades+'!$AD$2,"S","S+"))))))))))))))))))))</f>
        <v>S+</v>
      </c>
      <c r="L488" s="677">
        <f t="shared" si="5"/>
        <v>0.4298507463</v>
      </c>
      <c r="M488" s="938" t="str">
        <f>IF(L488&lt;'PlayerGrades+'!$AE$21,"F-",IF(L488&lt;'PlayerGrades+'!$AE$20,"F",IF(L488&lt;'PlayerGrades+'!$AE$19,"F+",IF(L488&lt;'PlayerGrades+'!$AE$18,"E-",IF(L488&lt;'PlayerGrades+'!$AE$17,"E",IF(L488&lt;'PlayerGrades+'!$AE$16,"E+",IF(L488&lt;'PlayerGrades+'!$AE$15,"D-",IF(L488&lt;'PlayerGrades+'!$AE$14,"D",IF(L488&lt;'PlayerGrades+'!$AE$13,"D+",IF(L488&lt;'PlayerGrades+'!$AE$12,"C-",IF(L488&lt;'PlayerGrades+'!$AE$11,"C",IF(L488&lt;'PlayerGrades+'!$AE$10,"C+",IF(L488&lt;'PlayerGrades+'!$AE$9,"B-",IF(L488&lt;'PlayerGrades+'!$AE$8,"B",IF(L488&lt;'PlayerGrades+'!$AE$7,"B+",IF(L488&lt;'PlayerGrades+'!$AE$6,"A-",IF(L488&lt;'PlayerGrades+'!$AE$5,"A",IF(L488&lt;'PlayerGrades+'!$AE$4,"A+",IF(L488&lt;'PlayerGrades+'!$AE$3,"S-",IF(L488&lt;'PlayerGrades+'!$AE$2,"S","S+"))))))))))))))))))))</f>
        <v>B-</v>
      </c>
      <c r="N488" s="937">
        <f t="shared" si="6"/>
        <v>0.03582089552</v>
      </c>
      <c r="O488" s="937" t="str">
        <f>IF(N488&lt;'PlayerGrades+'!$AF$21,"F-",IF(N488&lt;'PlayerGrades+'!$AF$20,"F",IF(N488&lt;'PlayerGrades+'!$AF$19,"F+",IF(N488&lt;'PlayerGrades+'!$AF$18,"E-",IF(N488&lt;'PlayerGrades+'!$AF$17,"E",IF(N488&lt;'PlayerGrades+'!$AF$16,"E+",IF(N488&lt;'PlayerGrades+'!$AF$15,"D-",IF(N488&lt;'PlayerGrades+'!$AF$14,"D",IF(N488&lt;'PlayerGrades+'!$AF$13,"D+",IF(N488&lt;'PlayerGrades+'!$AF$12,"C-",IF(N488&lt;'PlayerGrades+'!$AF$11,"C",IF(N488&lt;'PlayerGrades+'!$AF$10,"C+",IF(N488&lt;'PlayerGrades+'!$AF$9,"B-",IF(N488&lt;'PlayerGrades+'!$AF$8,"B",IF(N488&lt;'PlayerGrades+'!$AF$7,"B+",IF(N488&lt;'PlayerGrades+'!$AF$6,"A-",IF(N488&lt;'PlayerGrades+'!$AF$5,"A",IF(N488&lt;'PlayerGrades+'!$AF$4,"A+",IF(N488&lt;'PlayerGrades+'!$AF$3,"S-",IF(N488&lt;'PlayerGrades+'!$AF$2,"S","S+"))))))))))))))))))))</f>
        <v>F+</v>
      </c>
      <c r="P488" s="937">
        <f t="shared" si="7"/>
        <v>0.1074626866</v>
      </c>
      <c r="Q488" s="937" t="str">
        <f>IF(P488&lt;'PlayerGrades+'!$AG$21,"F-",IF(P488&lt;'PlayerGrades+'!$AG$20,"F",IF(P488&lt;'PlayerGrades+'!$AG$19,"F+",IF(P488&lt;'PlayerGrades+'!$AG$18,"E-",IF(P488&lt;'PlayerGrades+'!$AG$17,"E",IF(P488&lt;'PlayerGrades+'!$AG$16,"E+",IF(P488&lt;'PlayerGrades+'!$AG$15,"D-",IF(P488&lt;'PlayerGrades+'!$AG$14,"D",IF(P488&lt;'PlayerGrades+'!$AG$13,"D+",IF(P488&lt;'PlayerGrades+'!$AG$12,"C-",IF(P488&lt;'PlayerGrades+'!$AG$11,"C",IF(P488&lt;'PlayerGrades+'!$AG$10,"C+",IF(P488&lt;'PlayerGrades+'!$AG$9,"B-",IF(P488&lt;'PlayerGrades+'!$AG$8,"B",IF(P488&lt;'PlayerGrades+'!$AG$7,"B+",IF(P488&lt;'PlayerGrades+'!$AG$6,"A-",IF(P488&lt;'PlayerGrades+'!$AG$5,"A",IF(P488&lt;'PlayerGrades+'!$AG$4,"A+",IF(P488&lt;'PlayerGrades+'!$AG$3,"S-",IF(P488&lt;'PlayerGrades+'!$AG$2,"S","S+"))))))))))))))))))))</f>
        <v>S+</v>
      </c>
      <c r="R488" s="937">
        <f t="shared" si="8"/>
        <v>0.5014925373</v>
      </c>
      <c r="S488" s="937" t="str">
        <f>IF(R488&lt;'PlayerGrades+'!$AH$21,"F-",IF(R488&lt;'PlayerGrades+'!$AH$20,"F",IF(R488&lt;'PlayerGrades+'!$AH$19,"F+",IF(R488&lt;'PlayerGrades+'!$AH$18,"E-",IF(R488&lt;'PlayerGrades+'!$AH$17,"E",IF(R488&lt;'PlayerGrades+'!$AH$16,"E+",IF(R488&lt;'PlayerGrades+'!$AH$15,"D-",IF(R488&lt;'PlayerGrades+'!$AH$14,"D",IF(R488&lt;'PlayerGrades+'!$AH$13,"D+",IF(R488&lt;'PlayerGrades+'!$AH$12,"C-",IF(R488&lt;'PlayerGrades+'!$AH$11,"C",IF(R488&lt;'PlayerGrades+'!$AH$10,"C+",IF(R488&lt;'PlayerGrades+'!$AH$9,"B-",IF(R488&lt;'PlayerGrades+'!$AH$8,"B",IF(R488&lt;'PlayerGrades+'!$AH$7,"B+",IF(R488&lt;'PlayerGrades+'!$AH$6,"A-",IF(R488&lt;'PlayerGrades+'!$AH$5,"A",IF(R488&lt;'PlayerGrades+'!$AH$4,"A+",IF(R488&lt;'PlayerGrades+'!$AH$3,"S-",IF(R488&lt;'PlayerGrades+'!$AH$2,"S","S+"))))))))))))))))))))</f>
        <v>D-</v>
      </c>
      <c r="T488" s="937">
        <f t="shared" si="9"/>
        <v>1.250746269</v>
      </c>
      <c r="U488" s="937" t="str">
        <f>IF(T488&lt;'PlayerGrades+'!$AI$21,"F-",IF(T488&lt;'PlayerGrades+'!$AI$20,"F",IF(T488&lt;'PlayerGrades+'!$AI$19,"F+",IF(T488&lt;'PlayerGrades+'!$AI$18,"E-",IF(T488&lt;'PlayerGrades+'!$AI$17,"E",IF(T488&lt;'PlayerGrades+'!$AI$16,"E+",IF(T488&lt;'PlayerGrades+'!$AI$15,"D-",IF(T488&lt;'PlayerGrades+'!$AI$14,"D",IF(T488&lt;'PlayerGrades+'!$AI$13,"D+",IF(T488&lt;'PlayerGrades+'!$AI$12,"C-",IF(T488&lt;'PlayerGrades+'!$AI$11,"C",IF(T488&lt;'PlayerGrades+'!$AI$10,"C+",IF(T488&lt;'PlayerGrades+'!$AI$9,"B-",IF(T488&lt;'PlayerGrades+'!$AI$8,"B",IF(T488&lt;'PlayerGrades+'!$AI$7,"B+",IF(T488&lt;'PlayerGrades+'!$AI$6,"A-",IF(T488&lt;'PlayerGrades+'!$AI$5,"A",IF(T488&lt;'PlayerGrades+'!$AI$4,"A+",IF(T488&lt;'PlayerGrades+'!$AI$3,"S-",IF(T488&lt;'PlayerGrades+'!$AI$2,"S","S+"))))))))))))))))))))</f>
        <v>C</v>
      </c>
      <c r="V488" s="941">
        <v>1.0</v>
      </c>
      <c r="W488" s="941">
        <v>0.0</v>
      </c>
      <c r="X488" s="941">
        <v>1.0</v>
      </c>
      <c r="Y488" s="941">
        <v>0.0</v>
      </c>
      <c r="Z488" s="941">
        <v>1.0</v>
      </c>
      <c r="AA488" s="941">
        <v>84.0</v>
      </c>
      <c r="AB488" s="941">
        <v>66.0</v>
      </c>
      <c r="AC488" s="941">
        <v>18.0</v>
      </c>
      <c r="AD488" s="941">
        <v>3.0</v>
      </c>
      <c r="AE488" s="941">
        <v>6.0</v>
      </c>
      <c r="AF488" s="941">
        <v>0.0</v>
      </c>
      <c r="AG488" s="941">
        <v>1374.0</v>
      </c>
      <c r="AH488" s="941">
        <v>1675.0</v>
      </c>
      <c r="AI488" s="941">
        <v>20.0</v>
      </c>
      <c r="AJ488" s="941">
        <v>205.0</v>
      </c>
      <c r="AK488" s="941">
        <v>0.0</v>
      </c>
      <c r="AL488" s="941">
        <v>4.0</v>
      </c>
      <c r="AM488" s="941">
        <v>0.0</v>
      </c>
      <c r="AN488" s="941">
        <v>0.0</v>
      </c>
      <c r="AO488" s="941">
        <v>0.0</v>
      </c>
      <c r="AP488" s="941">
        <v>3.0</v>
      </c>
      <c r="AQ488" s="941">
        <v>0.0</v>
      </c>
      <c r="AR488" s="941">
        <v>12.0</v>
      </c>
      <c r="AS488" s="941">
        <v>1.0</v>
      </c>
      <c r="AT488" s="941">
        <v>1.0</v>
      </c>
      <c r="AU488" s="941">
        <v>0.0</v>
      </c>
      <c r="AV488" s="941">
        <v>0.0</v>
      </c>
      <c r="AW488" s="941">
        <v>0.0</v>
      </c>
      <c r="AX488" s="941">
        <v>0.0</v>
      </c>
      <c r="AY488" s="941">
        <v>0.0</v>
      </c>
      <c r="AZ488" s="941">
        <v>0.0</v>
      </c>
      <c r="BA488" s="941">
        <v>0.0</v>
      </c>
      <c r="BB488" s="941">
        <v>5.0</v>
      </c>
      <c r="BC488" s="941">
        <v>0.0</v>
      </c>
      <c r="BD488" s="941">
        <v>11.0</v>
      </c>
      <c r="BE488" s="941">
        <v>7.0</v>
      </c>
      <c r="BF488" s="941">
        <v>1.0</v>
      </c>
      <c r="BG488" s="942">
        <v>0.0</v>
      </c>
    </row>
    <row r="489">
      <c r="A489" s="943" t="s">
        <v>140</v>
      </c>
      <c r="B489" s="16" t="str">
        <f>IF(C489&lt;'PlayerGrades+'!$Y$44,"F-",IF(C489&lt;'PlayerGrades+'!$Y$43,"F",IF(C489&lt;'PlayerGrades+'!$Y$42,"F+",IF(C489&lt;'PlayerGrades+'!$Y$41,"E-",IF(C489&lt;'PlayerGrades+'!$Y$40,"E",IF(C489&lt;'PlayerGrades+'!$Y$39,"E+",IF(C489&lt;'PlayerGrades+'!$Y$38,"D-",IF(C489&lt;'PlayerGrades+'!$Y$37,"D",IF(C489&lt;'PlayerGrades+'!$Y$36,"D+",IF(C489&lt;'PlayerGrades+'!$Y$35,"C-",IF(C489&lt;'PlayerGrades+'!$Y$34,"C",IF(C489&lt;'PlayerGrades+'!$Y$33,"C+",IF(C489&lt;'PlayerGrades+'!$Y$32,"B-",IF(C489&lt;'PlayerGrades+'!$Y$31,"B",IF(C489&lt;'PlayerGrades+'!$Y$30,"B+",IF(C489&lt;'PlayerGrades+'!$Y$29,"A-",IF(C489&lt;'PlayerGrades+'!$Y$28,"A",IF(C489&lt;'PlayerGrades+'!$Y$27,"A+",IF(C489&lt;'PlayerGrades+'!$Y$26,"S-",IF(C489&lt;'PlayerGrades+'!$Y$25,"S","S+"))))))))))))))))))))</f>
        <v>C-</v>
      </c>
      <c r="C489" s="936">
        <f>('PlayerGrades+'!$Y$47*(VLOOKUP(E489, 'PlayerGrades+'!$X$3:$Y$23, 2, FALSE)))+('PlayerGrades+'!$Y$48*(VLOOKUP(G489, 'PlayerGrades+'!$X$3:$Y$23, 2, FALSE)))+('PlayerGrades+'!$Y$49*(VLOOKUP(I489, 'PlayerGrades+'!$X$3:$Y$23, 2, FALSE)))+('PlayerGrades+'!$Y$50*(VLOOKUP(K489, 'PlayerGrades+'!$X$3:$Y$23, 2, FALSE)))+('PlayerGrades+'!$Y$51*(VLOOKUP(M489, 'PlayerGrades+'!$X$3:$Y$23, 2, FALSE)))+('PlayerGrades+'!$Y$52*(VLOOKUP(O489, 'PlayerGrades+'!$X$3:$Y$23, 2, FALSE)))+('PlayerGrades+'!$Y$53*(VLOOKUP(Q489, 'PlayerGrades+'!$X$3:$Y$23, 2, FALSE)))+('PlayerGrades+'!$Y$54*(VLOOKUP(S489, 'PlayerGrades+'!$X$3:$Y$23, 2, FALSE)))+('PlayerGrades+'!$Y$55*(VLOOKUP(U489, 'PlayerGrades+'!$X$3:$Y$23, 2, FALSE)))</f>
        <v>18.4</v>
      </c>
      <c r="D489" s="937">
        <f t="shared" si="1"/>
        <v>0</v>
      </c>
      <c r="E489" s="937" t="str">
        <f>IF(D489&lt;'PlayerGrades+'!$AA$21,"F-",IF(D489&lt;'PlayerGrades+'!$AA$20,"F",IF(D489&lt;'PlayerGrades+'!$AA$19,"F+",IF(D489&lt;'PlayerGrades+'!$AA$18,"E-",IF(D489&lt;'PlayerGrades+'!$AA$17,"E",IF(D489&lt;'PlayerGrades+'!$AA$16,"E+",IF(D489&lt;'PlayerGrades+'!$AA$15,"D-",IF(D489&lt;'PlayerGrades+'!$AA$14,"D",IF(D489&lt;'PlayerGrades+'!$AA$13,"D+",IF(D489&lt;'PlayerGrades+'!$AA$12,"C-",IF(D489&lt;'PlayerGrades+'!$AA$11,"C",IF(D489&lt;'PlayerGrades+'!$AA$10,"C+",IF(D489&lt;'PlayerGrades+'!$AA$9,"B-",IF(D489&lt;'PlayerGrades+'!$AA$8,"B",IF(D489&lt;'PlayerGrades+'!$AA$7,"B+",IF(D489&lt;'PlayerGrades+'!$AA$6,"A-",IF(D489&lt;'PlayerGrades+'!$AA$5,"A",IF(D489&lt;'PlayerGrades+'!$AA$4,"A+",IF(D489&lt;'PlayerGrades+'!$AA$3,"S-",IF(D489&lt;'PlayerGrades+'!$AA$2,"S","S+"))))))))))))))))))))</f>
        <v>F-</v>
      </c>
      <c r="F489" s="937">
        <f t="shared" si="2"/>
        <v>-0.5731343284</v>
      </c>
      <c r="G489" s="937" t="str">
        <f>IF(F489&lt;'PlayerGrades+'!$AB$21,"F-",IF(F489&lt;'PlayerGrades+'!$AB$20,"F",IF(F489&lt;'PlayerGrades+'!$AB$19,"F+",IF(F489&lt;'PlayerGrades+'!$AB$18,"E-",IF(F489&lt;'PlayerGrades+'!$AB$17,"E",IF(F489&lt;'PlayerGrades+'!$AB$16,"E+",IF(F489&lt;'PlayerGrades+'!$AB$15,"D-",IF(F489&lt;'PlayerGrades+'!$AB$14,"D",IF(F489&lt;'PlayerGrades+'!$AB$13,"D+",IF(F489&lt;'PlayerGrades+'!$AB$12,"C-",IF(F489&lt;'PlayerGrades+'!$AB$11,"C",IF(F489&lt;'PlayerGrades+'!$AB$10,"C+",IF(F489&lt;'PlayerGrades+'!$AB$9,"B-",IF(F489&lt;'PlayerGrades+'!$AB$8,"B",IF(F489&lt;'PlayerGrades+'!$AB$7,"B+",IF(F489&lt;'PlayerGrades+'!$AB$6,"A-",IF(F489&lt;'PlayerGrades+'!$AB$5,"A",IF(F489&lt;'PlayerGrades+'!$AB$4,"A+",IF(F489&lt;'PlayerGrades+'!$AB$3,"S-",IF(F489&lt;'PlayerGrades+'!$AB$2,"S","S+"))))))))))))))))))))</f>
        <v>D</v>
      </c>
      <c r="H489" s="937">
        <f t="shared" si="3"/>
        <v>0.03582089552</v>
      </c>
      <c r="I489" s="937" t="str">
        <f>IF(H489&lt;'PlayerGrades+'!$AC$21,"F-",IF(H489&lt;'PlayerGrades+'!$AC$20,"F",IF(H489&lt;'PlayerGrades+'!$AC$19,"F+",IF(H489&lt;'PlayerGrades+'!$AC$18,"E-",IF(H489&lt;'PlayerGrades+'!$AC$17,"E",IF(H489&lt;'PlayerGrades+'!$AC$16,"E+",IF(H489&lt;'PlayerGrades+'!$AC$15,"D-",IF(H489&lt;'PlayerGrades+'!$AC$14,"D",IF(H489&lt;'PlayerGrades+'!$AC$13,"D+",IF(H489&lt;'PlayerGrades+'!$AC$12,"C-",IF(H489&lt;'PlayerGrades+'!$AC$11,"C",IF(H489&lt;'PlayerGrades+'!$AC$10,"C+",IF(H489&lt;'PlayerGrades+'!$AC$9,"B-",IF(H489&lt;'PlayerGrades+'!$AC$8,"B",IF(H489&lt;'PlayerGrades+'!$AC$7,"B+",IF(H489&lt;'PlayerGrades+'!$AC$6,"A-",IF(H489&lt;'PlayerGrades+'!$AC$5,"A",IF(H489&lt;'PlayerGrades+'!$AC$4,"A+",IF(H489&lt;'PlayerGrades+'!$AC$3,"S-",IF(H489&lt;'PlayerGrades+'!$AC$2,"S","S+"))))))))))))))))))))</f>
        <v>F</v>
      </c>
      <c r="J489" s="937">
        <f t="shared" si="4"/>
        <v>0</v>
      </c>
      <c r="K489" s="937" t="str">
        <f>IF(J489&lt;'PlayerGrades+'!$AD$21,"F-",IF(J489&lt;'PlayerGrades+'!$AD$20,"F",IF(J489&lt;'PlayerGrades+'!$AD$19,"F+",IF(J489&lt;'PlayerGrades+'!$AD$18,"E-",IF(J489&lt;'PlayerGrades+'!$AD$17,"E",IF(J489&lt;'PlayerGrades+'!$AD$16,"E+",IF(J489&lt;'PlayerGrades+'!$AD$15,"D-",IF(J489&lt;'PlayerGrades+'!$AD$14,"D",IF(J489&lt;'PlayerGrades+'!$AD$13,"D+",IF(J489&lt;'PlayerGrades+'!$AD$12,"C-",IF(J489&lt;'PlayerGrades+'!$AD$11,"C",IF(J489&lt;'PlayerGrades+'!$AD$10,"C+",IF(J489&lt;'PlayerGrades+'!$AD$9,"B-",IF(J489&lt;'PlayerGrades+'!$AD$8,"B",IF(J489&lt;'PlayerGrades+'!$AD$7,"B+",IF(J489&lt;'PlayerGrades+'!$AD$6,"A-",IF(J489&lt;'PlayerGrades+'!$AD$5,"A",IF(J489&lt;'PlayerGrades+'!$AD$4,"A+",IF(J489&lt;'PlayerGrades+'!$AD$3,"S-",IF(J489&lt;'PlayerGrades+'!$AD$2,"S","S+"))))))))))))))))))))</f>
        <v>F-</v>
      </c>
      <c r="L489" s="677">
        <f t="shared" si="5"/>
        <v>0.3223880597</v>
      </c>
      <c r="M489" s="938" t="str">
        <f>IF(L489&lt;'PlayerGrades+'!$AE$21,"F-",IF(L489&lt;'PlayerGrades+'!$AE$20,"F",IF(L489&lt;'PlayerGrades+'!$AE$19,"F+",IF(L489&lt;'PlayerGrades+'!$AE$18,"E-",IF(L489&lt;'PlayerGrades+'!$AE$17,"E",IF(L489&lt;'PlayerGrades+'!$AE$16,"E+",IF(L489&lt;'PlayerGrades+'!$AE$15,"D-",IF(L489&lt;'PlayerGrades+'!$AE$14,"D",IF(L489&lt;'PlayerGrades+'!$AE$13,"D+",IF(L489&lt;'PlayerGrades+'!$AE$12,"C-",IF(L489&lt;'PlayerGrades+'!$AE$11,"C",IF(L489&lt;'PlayerGrades+'!$AE$10,"C+",IF(L489&lt;'PlayerGrades+'!$AE$9,"B-",IF(L489&lt;'PlayerGrades+'!$AE$8,"B",IF(L489&lt;'PlayerGrades+'!$AE$7,"B+",IF(L489&lt;'PlayerGrades+'!$AE$6,"A-",IF(L489&lt;'PlayerGrades+'!$AE$5,"A",IF(L489&lt;'PlayerGrades+'!$AE$4,"A+",IF(L489&lt;'PlayerGrades+'!$AE$3,"S-",IF(L489&lt;'PlayerGrades+'!$AE$2,"S","S+"))))))))))))))))))))</f>
        <v>E</v>
      </c>
      <c r="N489" s="937">
        <f t="shared" si="6"/>
        <v>0.1074626866</v>
      </c>
      <c r="O489" s="937" t="str">
        <f>IF(N489&lt;'PlayerGrades+'!$AF$21,"F-",IF(N489&lt;'PlayerGrades+'!$AF$20,"F",IF(N489&lt;'PlayerGrades+'!$AF$19,"F+",IF(N489&lt;'PlayerGrades+'!$AF$18,"E-",IF(N489&lt;'PlayerGrades+'!$AF$17,"E",IF(N489&lt;'PlayerGrades+'!$AF$16,"E+",IF(N489&lt;'PlayerGrades+'!$AF$15,"D-",IF(N489&lt;'PlayerGrades+'!$AF$14,"D",IF(N489&lt;'PlayerGrades+'!$AF$13,"D+",IF(N489&lt;'PlayerGrades+'!$AF$12,"C-",IF(N489&lt;'PlayerGrades+'!$AF$11,"C",IF(N489&lt;'PlayerGrades+'!$AF$10,"C+",IF(N489&lt;'PlayerGrades+'!$AF$9,"B-",IF(N489&lt;'PlayerGrades+'!$AF$8,"B",IF(N489&lt;'PlayerGrades+'!$AF$7,"B+",IF(N489&lt;'PlayerGrades+'!$AF$6,"A-",IF(N489&lt;'PlayerGrades+'!$AF$5,"A",IF(N489&lt;'PlayerGrades+'!$AF$4,"A+",IF(N489&lt;'PlayerGrades+'!$AF$3,"S-",IF(N489&lt;'PlayerGrades+'!$AF$2,"S","S+"))))))))))))))))))))</f>
        <v>S-</v>
      </c>
      <c r="P489" s="937">
        <f t="shared" si="7"/>
        <v>0</v>
      </c>
      <c r="Q489" s="937" t="str">
        <f>IF(P489&lt;'PlayerGrades+'!$AG$21,"F-",IF(P489&lt;'PlayerGrades+'!$AG$20,"F",IF(P489&lt;'PlayerGrades+'!$AG$19,"F+",IF(P489&lt;'PlayerGrades+'!$AG$18,"E-",IF(P489&lt;'PlayerGrades+'!$AG$17,"E",IF(P489&lt;'PlayerGrades+'!$AG$16,"E+",IF(P489&lt;'PlayerGrades+'!$AG$15,"D-",IF(P489&lt;'PlayerGrades+'!$AG$14,"D",IF(P489&lt;'PlayerGrades+'!$AG$13,"D+",IF(P489&lt;'PlayerGrades+'!$AG$12,"C-",IF(P489&lt;'PlayerGrades+'!$AG$11,"C",IF(P489&lt;'PlayerGrades+'!$AG$10,"C+",IF(P489&lt;'PlayerGrades+'!$AG$9,"B-",IF(P489&lt;'PlayerGrades+'!$AG$8,"B",IF(P489&lt;'PlayerGrades+'!$AG$7,"B+",IF(P489&lt;'PlayerGrades+'!$AG$6,"A-",IF(P489&lt;'PlayerGrades+'!$AG$5,"A",IF(P489&lt;'PlayerGrades+'!$AG$4,"A+",IF(P489&lt;'PlayerGrades+'!$AG$3,"S-",IF(P489&lt;'PlayerGrades+'!$AG$2,"S","S+"))))))))))))))))))))</f>
        <v>F</v>
      </c>
      <c r="R489" s="937">
        <f t="shared" si="8"/>
        <v>0.7164179104</v>
      </c>
      <c r="S489" s="937" t="str">
        <f>IF(R489&lt;'PlayerGrades+'!$AH$21,"F-",IF(R489&lt;'PlayerGrades+'!$AH$20,"F",IF(R489&lt;'PlayerGrades+'!$AH$19,"F+",IF(R489&lt;'PlayerGrades+'!$AH$18,"E-",IF(R489&lt;'PlayerGrades+'!$AH$17,"E",IF(R489&lt;'PlayerGrades+'!$AH$16,"E+",IF(R489&lt;'PlayerGrades+'!$AH$15,"D-",IF(R489&lt;'PlayerGrades+'!$AH$14,"D",IF(R489&lt;'PlayerGrades+'!$AH$13,"D+",IF(R489&lt;'PlayerGrades+'!$AH$12,"C-",IF(R489&lt;'PlayerGrades+'!$AH$11,"C",IF(R489&lt;'PlayerGrades+'!$AH$10,"C+",IF(R489&lt;'PlayerGrades+'!$AH$9,"B-",IF(R489&lt;'PlayerGrades+'!$AH$8,"B",IF(R489&lt;'PlayerGrades+'!$AH$7,"B+",IF(R489&lt;'PlayerGrades+'!$AH$6,"A-",IF(R489&lt;'PlayerGrades+'!$AH$5,"A",IF(R489&lt;'PlayerGrades+'!$AH$4,"A+",IF(R489&lt;'PlayerGrades+'!$AH$3,"S-",IF(R489&lt;'PlayerGrades+'!$AH$2,"S","S+"))))))))))))))))))))</f>
        <v>S</v>
      </c>
      <c r="T489" s="937">
        <f t="shared" si="9"/>
        <v>2.32238806</v>
      </c>
      <c r="U489" s="937" t="str">
        <f>IF(T489&lt;'PlayerGrades+'!$AI$21,"F-",IF(T489&lt;'PlayerGrades+'!$AI$20,"F",IF(T489&lt;'PlayerGrades+'!$AI$19,"F+",IF(T489&lt;'PlayerGrades+'!$AI$18,"E-",IF(T489&lt;'PlayerGrades+'!$AI$17,"E",IF(T489&lt;'PlayerGrades+'!$AI$16,"E+",IF(T489&lt;'PlayerGrades+'!$AI$15,"D-",IF(T489&lt;'PlayerGrades+'!$AI$14,"D",IF(T489&lt;'PlayerGrades+'!$AI$13,"D+",IF(T489&lt;'PlayerGrades+'!$AI$12,"C-",IF(T489&lt;'PlayerGrades+'!$AI$11,"C",IF(T489&lt;'PlayerGrades+'!$AI$10,"C+",IF(T489&lt;'PlayerGrades+'!$AI$9,"B-",IF(T489&lt;'PlayerGrades+'!$AI$8,"B",IF(T489&lt;'PlayerGrades+'!$AI$7,"B+",IF(T489&lt;'PlayerGrades+'!$AI$6,"A-",IF(T489&lt;'PlayerGrades+'!$AI$5,"A",IF(T489&lt;'PlayerGrades+'!$AI$4,"A+",IF(T489&lt;'PlayerGrades+'!$AI$3,"S-",IF(T489&lt;'PlayerGrades+'!$AI$2,"S","S+"))))))))))))))))))))</f>
        <v>S+</v>
      </c>
      <c r="V489" s="944">
        <v>1.0</v>
      </c>
      <c r="W489" s="944">
        <v>0.0</v>
      </c>
      <c r="X489" s="944">
        <v>1.0</v>
      </c>
      <c r="Y489" s="944">
        <v>0.0</v>
      </c>
      <c r="Z489" s="944">
        <v>0.0</v>
      </c>
      <c r="AA489" s="944">
        <v>74.0</v>
      </c>
      <c r="AB489" s="944">
        <v>90.0</v>
      </c>
      <c r="AC489" s="944">
        <v>-16.0</v>
      </c>
      <c r="AD489" s="944">
        <v>9.0</v>
      </c>
      <c r="AE489" s="944">
        <v>4.0</v>
      </c>
      <c r="AF489" s="944">
        <v>1.0</v>
      </c>
      <c r="AG489" s="944">
        <v>1314.0</v>
      </c>
      <c r="AH489" s="944">
        <v>1675.0</v>
      </c>
      <c r="AI489" s="944">
        <v>14.0</v>
      </c>
      <c r="AJ489" s="944">
        <v>0.0</v>
      </c>
      <c r="AK489" s="944">
        <v>0.0</v>
      </c>
      <c r="AL489" s="944">
        <v>0.0</v>
      </c>
      <c r="AM489" s="944">
        <v>0.0</v>
      </c>
      <c r="AN489" s="944">
        <v>0.0</v>
      </c>
      <c r="AO489" s="944">
        <v>0.0</v>
      </c>
      <c r="AP489" s="944">
        <v>0.0</v>
      </c>
      <c r="AQ489" s="944">
        <v>0.0</v>
      </c>
      <c r="AR489" s="944">
        <v>9.0</v>
      </c>
      <c r="AS489" s="944">
        <v>3.0</v>
      </c>
      <c r="AT489" s="944">
        <v>0.0</v>
      </c>
      <c r="AU489" s="944">
        <v>0.0</v>
      </c>
      <c r="AV489" s="944">
        <v>0.0</v>
      </c>
      <c r="AW489" s="944">
        <v>0.0</v>
      </c>
      <c r="AX489" s="944">
        <v>0.0</v>
      </c>
      <c r="AY489" s="944">
        <v>0.0</v>
      </c>
      <c r="AZ489" s="944">
        <v>0.0</v>
      </c>
      <c r="BA489" s="944">
        <v>0.0</v>
      </c>
      <c r="BB489" s="944">
        <v>1.0</v>
      </c>
      <c r="BC489" s="944">
        <v>0.0</v>
      </c>
      <c r="BD489" s="944">
        <v>11.0</v>
      </c>
      <c r="BE489" s="944">
        <v>9.0</v>
      </c>
      <c r="BF489" s="944">
        <v>2.0</v>
      </c>
      <c r="BG489" s="945">
        <v>0.0</v>
      </c>
    </row>
    <row r="490">
      <c r="A490" s="946" t="s">
        <v>114</v>
      </c>
      <c r="B490" s="16" t="str">
        <f>IF(C490&lt;'PlayerGrades+'!$Y$44,"F-",IF(C490&lt;'PlayerGrades+'!$Y$43,"F",IF(C490&lt;'PlayerGrades+'!$Y$42,"F+",IF(C490&lt;'PlayerGrades+'!$Y$41,"E-",IF(C490&lt;'PlayerGrades+'!$Y$40,"E",IF(C490&lt;'PlayerGrades+'!$Y$39,"E+",IF(C490&lt;'PlayerGrades+'!$Y$38,"D-",IF(C490&lt;'PlayerGrades+'!$Y$37,"D",IF(C490&lt;'PlayerGrades+'!$Y$36,"D+",IF(C490&lt;'PlayerGrades+'!$Y$35,"C-",IF(C490&lt;'PlayerGrades+'!$Y$34,"C",IF(C490&lt;'PlayerGrades+'!$Y$33,"C+",IF(C490&lt;'PlayerGrades+'!$Y$32,"B-",IF(C490&lt;'PlayerGrades+'!$Y$31,"B",IF(C490&lt;'PlayerGrades+'!$Y$30,"B+",IF(C490&lt;'PlayerGrades+'!$Y$29,"A-",IF(C490&lt;'PlayerGrades+'!$Y$28,"A",IF(C490&lt;'PlayerGrades+'!$Y$27,"A+",IF(C490&lt;'PlayerGrades+'!$Y$26,"S-",IF(C490&lt;'PlayerGrades+'!$Y$25,"S","S+"))))))))))))))))))))</f>
        <v>B</v>
      </c>
      <c r="C490" s="936">
        <f>('PlayerGrades+'!$Y$47*(VLOOKUP(E490, 'PlayerGrades+'!$X$3:$Y$23, 2, FALSE)))+('PlayerGrades+'!$Y$48*(VLOOKUP(G490, 'PlayerGrades+'!$X$3:$Y$23, 2, FALSE)))+('PlayerGrades+'!$Y$49*(VLOOKUP(I490, 'PlayerGrades+'!$X$3:$Y$23, 2, FALSE)))+('PlayerGrades+'!$Y$50*(VLOOKUP(K490, 'PlayerGrades+'!$X$3:$Y$23, 2, FALSE)))+('PlayerGrades+'!$Y$51*(VLOOKUP(M490, 'PlayerGrades+'!$X$3:$Y$23, 2, FALSE)))+('PlayerGrades+'!$Y$52*(VLOOKUP(O490, 'PlayerGrades+'!$X$3:$Y$23, 2, FALSE)))+('PlayerGrades+'!$Y$53*(VLOOKUP(Q490, 'PlayerGrades+'!$X$3:$Y$23, 2, FALSE)))+('PlayerGrades+'!$Y$54*(VLOOKUP(S490, 'PlayerGrades+'!$X$3:$Y$23, 2, FALSE)))+('PlayerGrades+'!$Y$55*(VLOOKUP(U490, 'PlayerGrades+'!$X$3:$Y$23, 2, FALSE)))</f>
        <v>22.95</v>
      </c>
      <c r="D490" s="937">
        <f t="shared" si="1"/>
        <v>0.8773903262</v>
      </c>
      <c r="E490" s="937" t="str">
        <f>IF(D490&lt;'PlayerGrades+'!$AA$21,"F-",IF(D490&lt;'PlayerGrades+'!$AA$20,"F",IF(D490&lt;'PlayerGrades+'!$AA$19,"F+",IF(D490&lt;'PlayerGrades+'!$AA$18,"E-",IF(D490&lt;'PlayerGrades+'!$AA$17,"E",IF(D490&lt;'PlayerGrades+'!$AA$16,"E+",IF(D490&lt;'PlayerGrades+'!$AA$15,"D-",IF(D490&lt;'PlayerGrades+'!$AA$14,"D",IF(D490&lt;'PlayerGrades+'!$AA$13,"D+",IF(D490&lt;'PlayerGrades+'!$AA$12,"C-",IF(D490&lt;'PlayerGrades+'!$AA$11,"C",IF(D490&lt;'PlayerGrades+'!$AA$10,"C+",IF(D490&lt;'PlayerGrades+'!$AA$9,"B-",IF(D490&lt;'PlayerGrades+'!$AA$8,"B",IF(D490&lt;'PlayerGrades+'!$AA$7,"B+",IF(D490&lt;'PlayerGrades+'!$AA$6,"A-",IF(D490&lt;'PlayerGrades+'!$AA$5,"A",IF(D490&lt;'PlayerGrades+'!$AA$4,"A+",IF(D490&lt;'PlayerGrades+'!$AA$3,"S-",IF(D490&lt;'PlayerGrades+'!$AA$2,"S","S+"))))))))))))))))))))</f>
        <v>S+</v>
      </c>
      <c r="F490" s="937">
        <f t="shared" si="2"/>
        <v>0.6749156355</v>
      </c>
      <c r="G490" s="937" t="str">
        <f>IF(F490&lt;'PlayerGrades+'!$AB$21,"F-",IF(F490&lt;'PlayerGrades+'!$AB$20,"F",IF(F490&lt;'PlayerGrades+'!$AB$19,"F+",IF(F490&lt;'PlayerGrades+'!$AB$18,"E-",IF(F490&lt;'PlayerGrades+'!$AB$17,"E",IF(F490&lt;'PlayerGrades+'!$AB$16,"E+",IF(F490&lt;'PlayerGrades+'!$AB$15,"D-",IF(F490&lt;'PlayerGrades+'!$AB$14,"D",IF(F490&lt;'PlayerGrades+'!$AB$13,"D+",IF(F490&lt;'PlayerGrades+'!$AB$12,"C-",IF(F490&lt;'PlayerGrades+'!$AB$11,"C",IF(F490&lt;'PlayerGrades+'!$AB$10,"C+",IF(F490&lt;'PlayerGrades+'!$AB$9,"B-",IF(F490&lt;'PlayerGrades+'!$AB$8,"B",IF(F490&lt;'PlayerGrades+'!$AB$7,"B+",IF(F490&lt;'PlayerGrades+'!$AB$6,"A-",IF(F490&lt;'PlayerGrades+'!$AB$5,"A",IF(F490&lt;'PlayerGrades+'!$AB$4,"A+",IF(F490&lt;'PlayerGrades+'!$AB$3,"S-",IF(F490&lt;'PlayerGrades+'!$AB$2,"S","S+"))))))))))))))))))))</f>
        <v>S-</v>
      </c>
      <c r="H490" s="937">
        <f t="shared" si="3"/>
        <v>0.1012373453</v>
      </c>
      <c r="I490" s="937" t="str">
        <f>IF(H490&lt;'PlayerGrades+'!$AC$21,"F-",IF(H490&lt;'PlayerGrades+'!$AC$20,"F",IF(H490&lt;'PlayerGrades+'!$AC$19,"F+",IF(H490&lt;'PlayerGrades+'!$AC$18,"E-",IF(H490&lt;'PlayerGrades+'!$AC$17,"E",IF(H490&lt;'PlayerGrades+'!$AC$16,"E+",IF(H490&lt;'PlayerGrades+'!$AC$15,"D-",IF(H490&lt;'PlayerGrades+'!$AC$14,"D",IF(H490&lt;'PlayerGrades+'!$AC$13,"D+",IF(H490&lt;'PlayerGrades+'!$AC$12,"C-",IF(H490&lt;'PlayerGrades+'!$AC$11,"C",IF(H490&lt;'PlayerGrades+'!$AC$10,"C+",IF(H490&lt;'PlayerGrades+'!$AC$9,"B-",IF(H490&lt;'PlayerGrades+'!$AC$8,"B",IF(H490&lt;'PlayerGrades+'!$AC$7,"B+",IF(H490&lt;'PlayerGrades+'!$AC$6,"A-",IF(H490&lt;'PlayerGrades+'!$AC$5,"A",IF(H490&lt;'PlayerGrades+'!$AC$4,"A+",IF(H490&lt;'PlayerGrades+'!$AC$3,"S-",IF(H490&lt;'PlayerGrades+'!$AC$2,"S","S+"))))))))))))))))))))</f>
        <v>C-</v>
      </c>
      <c r="J490" s="937">
        <f t="shared" si="4"/>
        <v>0.06749156355</v>
      </c>
      <c r="K490" s="937" t="str">
        <f>IF(J490&lt;'PlayerGrades+'!$AD$21,"F-",IF(J490&lt;'PlayerGrades+'!$AD$20,"F",IF(J490&lt;'PlayerGrades+'!$AD$19,"F+",IF(J490&lt;'PlayerGrades+'!$AD$18,"E-",IF(J490&lt;'PlayerGrades+'!$AD$17,"E",IF(J490&lt;'PlayerGrades+'!$AD$16,"E+",IF(J490&lt;'PlayerGrades+'!$AD$15,"D-",IF(J490&lt;'PlayerGrades+'!$AD$14,"D",IF(J490&lt;'PlayerGrades+'!$AD$13,"D+",IF(J490&lt;'PlayerGrades+'!$AD$12,"C-",IF(J490&lt;'PlayerGrades+'!$AD$11,"C",IF(J490&lt;'PlayerGrades+'!$AD$10,"C+",IF(J490&lt;'PlayerGrades+'!$AD$9,"B-",IF(J490&lt;'PlayerGrades+'!$AD$8,"B",IF(J490&lt;'PlayerGrades+'!$AD$7,"B+",IF(J490&lt;'PlayerGrades+'!$AD$6,"A-",IF(J490&lt;'PlayerGrades+'!$AD$5,"A",IF(J490&lt;'PlayerGrades+'!$AD$4,"A+",IF(J490&lt;'PlayerGrades+'!$AD$3,"S-",IF(J490&lt;'PlayerGrades+'!$AD$2,"S","S+"))))))))))))))))))))</f>
        <v>A-</v>
      </c>
      <c r="L490" s="677">
        <f t="shared" si="5"/>
        <v>0.2699662542</v>
      </c>
      <c r="M490" s="938" t="str">
        <f>IF(L490&lt;'PlayerGrades+'!$AE$21,"F-",IF(L490&lt;'PlayerGrades+'!$AE$20,"F",IF(L490&lt;'PlayerGrades+'!$AE$19,"F+",IF(L490&lt;'PlayerGrades+'!$AE$18,"E-",IF(L490&lt;'PlayerGrades+'!$AE$17,"E",IF(L490&lt;'PlayerGrades+'!$AE$16,"E+",IF(L490&lt;'PlayerGrades+'!$AE$15,"D-",IF(L490&lt;'PlayerGrades+'!$AE$14,"D",IF(L490&lt;'PlayerGrades+'!$AE$13,"D+",IF(L490&lt;'PlayerGrades+'!$AE$12,"C-",IF(L490&lt;'PlayerGrades+'!$AE$11,"C",IF(L490&lt;'PlayerGrades+'!$AE$10,"C+",IF(L490&lt;'PlayerGrades+'!$AE$9,"B-",IF(L490&lt;'PlayerGrades+'!$AE$8,"B",IF(L490&lt;'PlayerGrades+'!$AE$7,"B+",IF(L490&lt;'PlayerGrades+'!$AE$6,"A-",IF(L490&lt;'PlayerGrades+'!$AE$5,"A",IF(L490&lt;'PlayerGrades+'!$AE$4,"A+",IF(L490&lt;'PlayerGrades+'!$AE$3,"S-",IF(L490&lt;'PlayerGrades+'!$AE$2,"S","S+"))))))))))))))))))))</f>
        <v>F</v>
      </c>
      <c r="N490" s="937">
        <f t="shared" si="6"/>
        <v>0.06749156355</v>
      </c>
      <c r="O490" s="937" t="str">
        <f>IF(N490&lt;'PlayerGrades+'!$AF$21,"F-",IF(N490&lt;'PlayerGrades+'!$AF$20,"F",IF(N490&lt;'PlayerGrades+'!$AF$19,"F+",IF(N490&lt;'PlayerGrades+'!$AF$18,"E-",IF(N490&lt;'PlayerGrades+'!$AF$17,"E",IF(N490&lt;'PlayerGrades+'!$AF$16,"E+",IF(N490&lt;'PlayerGrades+'!$AF$15,"D-",IF(N490&lt;'PlayerGrades+'!$AF$14,"D",IF(N490&lt;'PlayerGrades+'!$AF$13,"D+",IF(N490&lt;'PlayerGrades+'!$AF$12,"C-",IF(N490&lt;'PlayerGrades+'!$AF$11,"C",IF(N490&lt;'PlayerGrades+'!$AF$10,"C+",IF(N490&lt;'PlayerGrades+'!$AF$9,"B-",IF(N490&lt;'PlayerGrades+'!$AF$8,"B",IF(N490&lt;'PlayerGrades+'!$AF$7,"B+",IF(N490&lt;'PlayerGrades+'!$AF$6,"A-",IF(N490&lt;'PlayerGrades+'!$AF$5,"A",IF(N490&lt;'PlayerGrades+'!$AF$4,"A+",IF(N490&lt;'PlayerGrades+'!$AF$3,"S-",IF(N490&lt;'PlayerGrades+'!$AF$2,"S","S+"))))))))))))))))))))</f>
        <v>C-</v>
      </c>
      <c r="P490" s="937">
        <f t="shared" si="7"/>
        <v>0.03374578178</v>
      </c>
      <c r="Q490" s="937" t="str">
        <f>IF(P490&lt;'PlayerGrades+'!$AG$21,"F-",IF(P490&lt;'PlayerGrades+'!$AG$20,"F",IF(P490&lt;'PlayerGrades+'!$AG$19,"F+",IF(P490&lt;'PlayerGrades+'!$AG$18,"E-",IF(P490&lt;'PlayerGrades+'!$AG$17,"E",IF(P490&lt;'PlayerGrades+'!$AG$16,"E+",IF(P490&lt;'PlayerGrades+'!$AG$15,"D-",IF(P490&lt;'PlayerGrades+'!$AG$14,"D",IF(P490&lt;'PlayerGrades+'!$AG$13,"D+",IF(P490&lt;'PlayerGrades+'!$AG$12,"C-",IF(P490&lt;'PlayerGrades+'!$AG$11,"C",IF(P490&lt;'PlayerGrades+'!$AG$10,"C+",IF(P490&lt;'PlayerGrades+'!$AG$9,"B-",IF(P490&lt;'PlayerGrades+'!$AG$8,"B",IF(P490&lt;'PlayerGrades+'!$AG$7,"B+",IF(P490&lt;'PlayerGrades+'!$AG$6,"A-",IF(P490&lt;'PlayerGrades+'!$AG$5,"A",IF(P490&lt;'PlayerGrades+'!$AG$4,"A+",IF(P490&lt;'PlayerGrades+'!$AG$3,"S-",IF(P490&lt;'PlayerGrades+'!$AG$2,"S","S+"))))))))))))))))))))</f>
        <v>B+</v>
      </c>
      <c r="R490" s="937">
        <f t="shared" si="8"/>
        <v>0.5399325084</v>
      </c>
      <c r="S490" s="937" t="str">
        <f>IF(R490&lt;'PlayerGrades+'!$AH$21,"F-",IF(R490&lt;'PlayerGrades+'!$AH$20,"F",IF(R490&lt;'PlayerGrades+'!$AH$19,"F+",IF(R490&lt;'PlayerGrades+'!$AH$18,"E-",IF(R490&lt;'PlayerGrades+'!$AH$17,"E",IF(R490&lt;'PlayerGrades+'!$AH$16,"E+",IF(R490&lt;'PlayerGrades+'!$AH$15,"D-",IF(R490&lt;'PlayerGrades+'!$AH$14,"D",IF(R490&lt;'PlayerGrades+'!$AH$13,"D+",IF(R490&lt;'PlayerGrades+'!$AH$12,"C-",IF(R490&lt;'PlayerGrades+'!$AH$11,"C",IF(R490&lt;'PlayerGrades+'!$AH$10,"C+",IF(R490&lt;'PlayerGrades+'!$AH$9,"B-",IF(R490&lt;'PlayerGrades+'!$AH$8,"B",IF(R490&lt;'PlayerGrades+'!$AH$7,"B+",IF(R490&lt;'PlayerGrades+'!$AH$6,"A-",IF(R490&lt;'PlayerGrades+'!$AH$5,"A",IF(R490&lt;'PlayerGrades+'!$AH$4,"A+",IF(R490&lt;'PlayerGrades+'!$AH$3,"S-",IF(R490&lt;'PlayerGrades+'!$AH$2,"S","S+"))))))))))))))))))))</f>
        <v>C+</v>
      </c>
      <c r="T490" s="937">
        <f t="shared" si="9"/>
        <v>1.101237345</v>
      </c>
      <c r="U490" s="937" t="str">
        <f>IF(T490&lt;'PlayerGrades+'!$AI$21,"F-",IF(T490&lt;'PlayerGrades+'!$AI$20,"F",IF(T490&lt;'PlayerGrades+'!$AI$19,"F+",IF(T490&lt;'PlayerGrades+'!$AI$18,"E-",IF(T490&lt;'PlayerGrades+'!$AI$17,"E",IF(T490&lt;'PlayerGrades+'!$AI$16,"E+",IF(T490&lt;'PlayerGrades+'!$AI$15,"D-",IF(T490&lt;'PlayerGrades+'!$AI$14,"D",IF(T490&lt;'PlayerGrades+'!$AI$13,"D+",IF(T490&lt;'PlayerGrades+'!$AI$12,"C-",IF(T490&lt;'PlayerGrades+'!$AI$11,"C",IF(T490&lt;'PlayerGrades+'!$AI$10,"C+",IF(T490&lt;'PlayerGrades+'!$AI$9,"B-",IF(T490&lt;'PlayerGrades+'!$AI$8,"B",IF(T490&lt;'PlayerGrades+'!$AI$7,"B+",IF(T490&lt;'PlayerGrades+'!$AI$6,"A-",IF(T490&lt;'PlayerGrades+'!$AI$5,"A",IF(T490&lt;'PlayerGrades+'!$AI$4,"A+",IF(T490&lt;'PlayerGrades+'!$AI$3,"S-",IF(T490&lt;'PlayerGrades+'!$AI$2,"S","S+"))))))))))))))))))))</f>
        <v>D</v>
      </c>
      <c r="V490" s="939">
        <v>1.0</v>
      </c>
      <c r="W490" s="939">
        <v>1.0</v>
      </c>
      <c r="X490" s="939">
        <v>0.0</v>
      </c>
      <c r="Y490" s="939">
        <v>5.0</v>
      </c>
      <c r="Z490" s="939">
        <v>21.0</v>
      </c>
      <c r="AA490" s="939">
        <v>56.0</v>
      </c>
      <c r="AB490" s="939">
        <v>36.0</v>
      </c>
      <c r="AC490" s="939">
        <v>20.0</v>
      </c>
      <c r="AD490" s="939">
        <v>6.0</v>
      </c>
      <c r="AE490" s="939">
        <v>9.0</v>
      </c>
      <c r="AF490" s="939">
        <v>1.0</v>
      </c>
      <c r="AG490" s="939">
        <v>1573.0</v>
      </c>
      <c r="AH490" s="939">
        <v>1778.0</v>
      </c>
      <c r="AI490" s="939">
        <v>43.0</v>
      </c>
      <c r="AJ490" s="939">
        <v>1088.0</v>
      </c>
      <c r="AK490" s="939">
        <v>0.0</v>
      </c>
      <c r="AL490" s="939">
        <v>2.0</v>
      </c>
      <c r="AM490" s="939">
        <v>0.0</v>
      </c>
      <c r="AN490" s="939">
        <v>0.0</v>
      </c>
      <c r="AO490" s="939">
        <v>0.0</v>
      </c>
      <c r="AP490" s="939">
        <v>1.0</v>
      </c>
      <c r="AQ490" s="939">
        <v>0.0</v>
      </c>
      <c r="AR490" s="939">
        <v>8.0</v>
      </c>
      <c r="AS490" s="939">
        <v>2.0</v>
      </c>
      <c r="AT490" s="939">
        <v>0.0</v>
      </c>
      <c r="AU490" s="939">
        <v>0.0</v>
      </c>
      <c r="AV490" s="939">
        <v>0.0</v>
      </c>
      <c r="AW490" s="939">
        <v>0.0</v>
      </c>
      <c r="AX490" s="939">
        <v>0.0</v>
      </c>
      <c r="AY490" s="939">
        <v>0.0</v>
      </c>
      <c r="AZ490" s="939">
        <v>0.0</v>
      </c>
      <c r="BA490" s="939">
        <v>0.0</v>
      </c>
      <c r="BB490" s="939">
        <v>3.0</v>
      </c>
      <c r="BC490" s="939">
        <v>0.0</v>
      </c>
      <c r="BD490" s="939">
        <v>10.0</v>
      </c>
      <c r="BE490" s="939">
        <v>3.0</v>
      </c>
      <c r="BF490" s="939">
        <v>1.0</v>
      </c>
      <c r="BG490" s="940">
        <v>1.0</v>
      </c>
    </row>
    <row r="491">
      <c r="A491" s="935" t="s">
        <v>145</v>
      </c>
      <c r="B491" s="16" t="str">
        <f>IF(C491&lt;'PlayerGrades+'!$Y$44,"F-",IF(C491&lt;'PlayerGrades+'!$Y$43,"F",IF(C491&lt;'PlayerGrades+'!$Y$42,"F+",IF(C491&lt;'PlayerGrades+'!$Y$41,"E-",IF(C491&lt;'PlayerGrades+'!$Y$40,"E",IF(C491&lt;'PlayerGrades+'!$Y$39,"E+",IF(C491&lt;'PlayerGrades+'!$Y$38,"D-",IF(C491&lt;'PlayerGrades+'!$Y$37,"D",IF(C491&lt;'PlayerGrades+'!$Y$36,"D+",IF(C491&lt;'PlayerGrades+'!$Y$35,"C-",IF(C491&lt;'PlayerGrades+'!$Y$34,"C",IF(C491&lt;'PlayerGrades+'!$Y$33,"C+",IF(C491&lt;'PlayerGrades+'!$Y$32,"B-",IF(C491&lt;'PlayerGrades+'!$Y$31,"B",IF(C491&lt;'PlayerGrades+'!$Y$30,"B+",IF(C491&lt;'PlayerGrades+'!$Y$29,"A-",IF(C491&lt;'PlayerGrades+'!$Y$28,"A",IF(C491&lt;'PlayerGrades+'!$Y$27,"A+",IF(C491&lt;'PlayerGrades+'!$Y$26,"S-",IF(C491&lt;'PlayerGrades+'!$Y$25,"S","S+"))))))))))))))))))))</f>
        <v>B-</v>
      </c>
      <c r="C491" s="936">
        <f>('PlayerGrades+'!$Y$47*(VLOOKUP(E491, 'PlayerGrades+'!$X$3:$Y$23, 2, FALSE)))+('PlayerGrades+'!$Y$48*(VLOOKUP(G491, 'PlayerGrades+'!$X$3:$Y$23, 2, FALSE)))+('PlayerGrades+'!$Y$49*(VLOOKUP(I491, 'PlayerGrades+'!$X$3:$Y$23, 2, FALSE)))+('PlayerGrades+'!$Y$50*(VLOOKUP(K491, 'PlayerGrades+'!$X$3:$Y$23, 2, FALSE)))+('PlayerGrades+'!$Y$51*(VLOOKUP(M491, 'PlayerGrades+'!$X$3:$Y$23, 2, FALSE)))+('PlayerGrades+'!$Y$52*(VLOOKUP(O491, 'PlayerGrades+'!$X$3:$Y$23, 2, FALSE)))+('PlayerGrades+'!$Y$53*(VLOOKUP(Q491, 'PlayerGrades+'!$X$3:$Y$23, 2, FALSE)))+('PlayerGrades+'!$Y$54*(VLOOKUP(S491, 'PlayerGrades+'!$X$3:$Y$23, 2, FALSE)))+('PlayerGrades+'!$Y$55*(VLOOKUP(U491, 'PlayerGrades+'!$X$3:$Y$23, 2, FALSE)))</f>
        <v>21.75</v>
      </c>
      <c r="D491" s="937">
        <f t="shared" si="1"/>
        <v>0.06749156355</v>
      </c>
      <c r="E491" s="937" t="str">
        <f>IF(D491&lt;'PlayerGrades+'!$AA$21,"F-",IF(D491&lt;'PlayerGrades+'!$AA$20,"F",IF(D491&lt;'PlayerGrades+'!$AA$19,"F+",IF(D491&lt;'PlayerGrades+'!$AA$18,"E-",IF(D491&lt;'PlayerGrades+'!$AA$17,"E",IF(D491&lt;'PlayerGrades+'!$AA$16,"E+",IF(D491&lt;'PlayerGrades+'!$AA$15,"D-",IF(D491&lt;'PlayerGrades+'!$AA$14,"D",IF(D491&lt;'PlayerGrades+'!$AA$13,"D+",IF(D491&lt;'PlayerGrades+'!$AA$12,"C-",IF(D491&lt;'PlayerGrades+'!$AA$11,"C",IF(D491&lt;'PlayerGrades+'!$AA$10,"C+",IF(D491&lt;'PlayerGrades+'!$AA$9,"B-",IF(D491&lt;'PlayerGrades+'!$AA$8,"B",IF(D491&lt;'PlayerGrades+'!$AA$7,"B+",IF(D491&lt;'PlayerGrades+'!$AA$6,"A-",IF(D491&lt;'PlayerGrades+'!$AA$5,"A",IF(D491&lt;'PlayerGrades+'!$AA$4,"A+",IF(D491&lt;'PlayerGrades+'!$AA$3,"S-",IF(D491&lt;'PlayerGrades+'!$AA$2,"S","S+"))))))))))))))))))))</f>
        <v>B</v>
      </c>
      <c r="F491" s="937">
        <f t="shared" si="2"/>
        <v>0.3374578178</v>
      </c>
      <c r="G491" s="937" t="str">
        <f>IF(F491&lt;'PlayerGrades+'!$AB$21,"F-",IF(F491&lt;'PlayerGrades+'!$AB$20,"F",IF(F491&lt;'PlayerGrades+'!$AB$19,"F+",IF(F491&lt;'PlayerGrades+'!$AB$18,"E-",IF(F491&lt;'PlayerGrades+'!$AB$17,"E",IF(F491&lt;'PlayerGrades+'!$AB$16,"E+",IF(F491&lt;'PlayerGrades+'!$AB$15,"D-",IF(F491&lt;'PlayerGrades+'!$AB$14,"D",IF(F491&lt;'PlayerGrades+'!$AB$13,"D+",IF(F491&lt;'PlayerGrades+'!$AB$12,"C-",IF(F491&lt;'PlayerGrades+'!$AB$11,"C",IF(F491&lt;'PlayerGrades+'!$AB$10,"C+",IF(F491&lt;'PlayerGrades+'!$AB$9,"B-",IF(F491&lt;'PlayerGrades+'!$AB$8,"B",IF(F491&lt;'PlayerGrades+'!$AB$7,"B+",IF(F491&lt;'PlayerGrades+'!$AB$6,"A-",IF(F491&lt;'PlayerGrades+'!$AB$5,"A",IF(F491&lt;'PlayerGrades+'!$AB$4,"A+",IF(F491&lt;'PlayerGrades+'!$AB$3,"S-",IF(F491&lt;'PlayerGrades+'!$AB$2,"S","S+"))))))))))))))))))))</f>
        <v>A-</v>
      </c>
      <c r="H491" s="937">
        <f t="shared" si="3"/>
        <v>0.03374578178</v>
      </c>
      <c r="I491" s="937" t="str">
        <f>IF(H491&lt;'PlayerGrades+'!$AC$21,"F-",IF(H491&lt;'PlayerGrades+'!$AC$20,"F",IF(H491&lt;'PlayerGrades+'!$AC$19,"F+",IF(H491&lt;'PlayerGrades+'!$AC$18,"E-",IF(H491&lt;'PlayerGrades+'!$AC$17,"E",IF(H491&lt;'PlayerGrades+'!$AC$16,"E+",IF(H491&lt;'PlayerGrades+'!$AC$15,"D-",IF(H491&lt;'PlayerGrades+'!$AC$14,"D",IF(H491&lt;'PlayerGrades+'!$AC$13,"D+",IF(H491&lt;'PlayerGrades+'!$AC$12,"C-",IF(H491&lt;'PlayerGrades+'!$AC$11,"C",IF(H491&lt;'PlayerGrades+'!$AC$10,"C+",IF(H491&lt;'PlayerGrades+'!$AC$9,"B-",IF(H491&lt;'PlayerGrades+'!$AC$8,"B",IF(H491&lt;'PlayerGrades+'!$AC$7,"B+",IF(H491&lt;'PlayerGrades+'!$AC$6,"A-",IF(H491&lt;'PlayerGrades+'!$AC$5,"A",IF(H491&lt;'PlayerGrades+'!$AC$4,"A+",IF(H491&lt;'PlayerGrades+'!$AC$3,"S-",IF(H491&lt;'PlayerGrades+'!$AC$2,"S","S+"))))))))))))))))))))</f>
        <v>F</v>
      </c>
      <c r="J491" s="937">
        <f t="shared" si="4"/>
        <v>0.03374578178</v>
      </c>
      <c r="K491" s="937" t="str">
        <f>IF(J491&lt;'PlayerGrades+'!$AD$21,"F-",IF(J491&lt;'PlayerGrades+'!$AD$20,"F",IF(J491&lt;'PlayerGrades+'!$AD$19,"F+",IF(J491&lt;'PlayerGrades+'!$AD$18,"E-",IF(J491&lt;'PlayerGrades+'!$AD$17,"E",IF(J491&lt;'PlayerGrades+'!$AD$16,"E+",IF(J491&lt;'PlayerGrades+'!$AD$15,"D-",IF(J491&lt;'PlayerGrades+'!$AD$14,"D",IF(J491&lt;'PlayerGrades+'!$AD$13,"D+",IF(J491&lt;'PlayerGrades+'!$AD$12,"C-",IF(J491&lt;'PlayerGrades+'!$AD$11,"C",IF(J491&lt;'PlayerGrades+'!$AD$10,"C+",IF(J491&lt;'PlayerGrades+'!$AD$9,"B-",IF(J491&lt;'PlayerGrades+'!$AD$8,"B",IF(J491&lt;'PlayerGrades+'!$AD$7,"B+",IF(J491&lt;'PlayerGrades+'!$AD$6,"A-",IF(J491&lt;'PlayerGrades+'!$AD$5,"A",IF(J491&lt;'PlayerGrades+'!$AD$4,"A+",IF(J491&lt;'PlayerGrades+'!$AD$3,"S-",IF(J491&lt;'PlayerGrades+'!$AD$2,"S","S+"))))))))))))))))))))</f>
        <v>C</v>
      </c>
      <c r="L491" s="677">
        <f t="shared" si="5"/>
        <v>0.6749156355</v>
      </c>
      <c r="M491" s="938" t="str">
        <f>IF(L491&lt;'PlayerGrades+'!$AE$21,"F-",IF(L491&lt;'PlayerGrades+'!$AE$20,"F",IF(L491&lt;'PlayerGrades+'!$AE$19,"F+",IF(L491&lt;'PlayerGrades+'!$AE$18,"E-",IF(L491&lt;'PlayerGrades+'!$AE$17,"E",IF(L491&lt;'PlayerGrades+'!$AE$16,"E+",IF(L491&lt;'PlayerGrades+'!$AE$15,"D-",IF(L491&lt;'PlayerGrades+'!$AE$14,"D",IF(L491&lt;'PlayerGrades+'!$AE$13,"D+",IF(L491&lt;'PlayerGrades+'!$AE$12,"C-",IF(L491&lt;'PlayerGrades+'!$AE$11,"C",IF(L491&lt;'PlayerGrades+'!$AE$10,"C+",IF(L491&lt;'PlayerGrades+'!$AE$9,"B-",IF(L491&lt;'PlayerGrades+'!$AE$8,"B",IF(L491&lt;'PlayerGrades+'!$AE$7,"B+",IF(L491&lt;'PlayerGrades+'!$AE$6,"A-",IF(L491&lt;'PlayerGrades+'!$AE$5,"A",IF(L491&lt;'PlayerGrades+'!$AE$4,"A+",IF(L491&lt;'PlayerGrades+'!$AE$3,"S-",IF(L491&lt;'PlayerGrades+'!$AE$2,"S","S+"))))))))))))))))))))</f>
        <v>S</v>
      </c>
      <c r="N491" s="937">
        <f t="shared" si="6"/>
        <v>0.03374578178</v>
      </c>
      <c r="O491" s="937" t="str">
        <f>IF(N491&lt;'PlayerGrades+'!$AF$21,"F-",IF(N491&lt;'PlayerGrades+'!$AF$20,"F",IF(N491&lt;'PlayerGrades+'!$AF$19,"F+",IF(N491&lt;'PlayerGrades+'!$AF$18,"E-",IF(N491&lt;'PlayerGrades+'!$AF$17,"E",IF(N491&lt;'PlayerGrades+'!$AF$16,"E+",IF(N491&lt;'PlayerGrades+'!$AF$15,"D-",IF(N491&lt;'PlayerGrades+'!$AF$14,"D",IF(N491&lt;'PlayerGrades+'!$AF$13,"D+",IF(N491&lt;'PlayerGrades+'!$AF$12,"C-",IF(N491&lt;'PlayerGrades+'!$AF$11,"C",IF(N491&lt;'PlayerGrades+'!$AF$10,"C+",IF(N491&lt;'PlayerGrades+'!$AF$9,"B-",IF(N491&lt;'PlayerGrades+'!$AF$8,"B",IF(N491&lt;'PlayerGrades+'!$AF$7,"B+",IF(N491&lt;'PlayerGrades+'!$AF$6,"A-",IF(N491&lt;'PlayerGrades+'!$AF$5,"A",IF(N491&lt;'PlayerGrades+'!$AF$4,"A+",IF(N491&lt;'PlayerGrades+'!$AF$3,"S-",IF(N491&lt;'PlayerGrades+'!$AF$2,"S","S+"))))))))))))))))))))</f>
        <v>F+</v>
      </c>
      <c r="P491" s="937">
        <f t="shared" si="7"/>
        <v>0.03374578178</v>
      </c>
      <c r="Q491" s="937" t="str">
        <f>IF(P491&lt;'PlayerGrades+'!$AG$21,"F-",IF(P491&lt;'PlayerGrades+'!$AG$20,"F",IF(P491&lt;'PlayerGrades+'!$AG$19,"F+",IF(P491&lt;'PlayerGrades+'!$AG$18,"E-",IF(P491&lt;'PlayerGrades+'!$AG$17,"E",IF(P491&lt;'PlayerGrades+'!$AG$16,"E+",IF(P491&lt;'PlayerGrades+'!$AG$15,"D-",IF(P491&lt;'PlayerGrades+'!$AG$14,"D",IF(P491&lt;'PlayerGrades+'!$AG$13,"D+",IF(P491&lt;'PlayerGrades+'!$AG$12,"C-",IF(P491&lt;'PlayerGrades+'!$AG$11,"C",IF(P491&lt;'PlayerGrades+'!$AG$10,"C+",IF(P491&lt;'PlayerGrades+'!$AG$9,"B-",IF(P491&lt;'PlayerGrades+'!$AG$8,"B",IF(P491&lt;'PlayerGrades+'!$AG$7,"B+",IF(P491&lt;'PlayerGrades+'!$AG$6,"A-",IF(P491&lt;'PlayerGrades+'!$AG$5,"A",IF(P491&lt;'PlayerGrades+'!$AG$4,"A+",IF(P491&lt;'PlayerGrades+'!$AG$3,"S-",IF(P491&lt;'PlayerGrades+'!$AG$2,"S","S+"))))))))))))))))))))</f>
        <v>B+</v>
      </c>
      <c r="R491" s="937">
        <f t="shared" si="8"/>
        <v>0.8436445444</v>
      </c>
      <c r="S491" s="937" t="str">
        <f>IF(R491&lt;'PlayerGrades+'!$AH$21,"F-",IF(R491&lt;'PlayerGrades+'!$AH$20,"F",IF(R491&lt;'PlayerGrades+'!$AH$19,"F+",IF(R491&lt;'PlayerGrades+'!$AH$18,"E-",IF(R491&lt;'PlayerGrades+'!$AH$17,"E",IF(R491&lt;'PlayerGrades+'!$AH$16,"E+",IF(R491&lt;'PlayerGrades+'!$AH$15,"D-",IF(R491&lt;'PlayerGrades+'!$AH$14,"D",IF(R491&lt;'PlayerGrades+'!$AH$13,"D+",IF(R491&lt;'PlayerGrades+'!$AH$12,"C-",IF(R491&lt;'PlayerGrades+'!$AH$11,"C",IF(R491&lt;'PlayerGrades+'!$AH$10,"C+",IF(R491&lt;'PlayerGrades+'!$AH$9,"B-",IF(R491&lt;'PlayerGrades+'!$AH$8,"B",IF(R491&lt;'PlayerGrades+'!$AH$7,"B+",IF(R491&lt;'PlayerGrades+'!$AH$6,"A-",IF(R491&lt;'PlayerGrades+'!$AH$5,"A",IF(R491&lt;'PlayerGrades+'!$AH$4,"A+",IF(R491&lt;'PlayerGrades+'!$AH$3,"S-",IF(R491&lt;'PlayerGrades+'!$AH$2,"S","S+"))))))))))))))))))))</f>
        <v>S+</v>
      </c>
      <c r="T491" s="937">
        <f t="shared" si="9"/>
        <v>0.6749156355</v>
      </c>
      <c r="U491" s="937" t="str">
        <f>IF(T491&lt;'PlayerGrades+'!$AI$21,"F-",IF(T491&lt;'PlayerGrades+'!$AI$20,"F",IF(T491&lt;'PlayerGrades+'!$AI$19,"F+",IF(T491&lt;'PlayerGrades+'!$AI$18,"E-",IF(T491&lt;'PlayerGrades+'!$AI$17,"E",IF(T491&lt;'PlayerGrades+'!$AI$16,"E+",IF(T491&lt;'PlayerGrades+'!$AI$15,"D-",IF(T491&lt;'PlayerGrades+'!$AI$14,"D",IF(T491&lt;'PlayerGrades+'!$AI$13,"D+",IF(T491&lt;'PlayerGrades+'!$AI$12,"C-",IF(T491&lt;'PlayerGrades+'!$AI$11,"C",IF(T491&lt;'PlayerGrades+'!$AI$10,"C+",IF(T491&lt;'PlayerGrades+'!$AI$9,"B-",IF(T491&lt;'PlayerGrades+'!$AI$8,"B",IF(T491&lt;'PlayerGrades+'!$AI$7,"B+",IF(T491&lt;'PlayerGrades+'!$AI$6,"A-",IF(T491&lt;'PlayerGrades+'!$AI$5,"A",IF(T491&lt;'PlayerGrades+'!$AI$4,"A+",IF(T491&lt;'PlayerGrades+'!$AI$3,"S-",IF(T491&lt;'PlayerGrades+'!$AI$2,"S","S+"))))))))))))))))))))</f>
        <v>F-</v>
      </c>
      <c r="V491" s="941">
        <v>1.0</v>
      </c>
      <c r="W491" s="941">
        <v>1.0</v>
      </c>
      <c r="X491" s="941">
        <v>0.0</v>
      </c>
      <c r="Y491" s="941">
        <v>0.0</v>
      </c>
      <c r="Z491" s="941">
        <v>2.0</v>
      </c>
      <c r="AA491" s="941">
        <v>117.0</v>
      </c>
      <c r="AB491" s="941">
        <v>107.0</v>
      </c>
      <c r="AC491" s="941">
        <v>10.0</v>
      </c>
      <c r="AD491" s="941">
        <v>7.0</v>
      </c>
      <c r="AE491" s="941">
        <v>5.0</v>
      </c>
      <c r="AF491" s="941">
        <v>2.0</v>
      </c>
      <c r="AG491" s="941">
        <v>1366.0</v>
      </c>
      <c r="AH491" s="941">
        <v>1778.0</v>
      </c>
      <c r="AI491" s="941">
        <v>12.0</v>
      </c>
      <c r="AJ491" s="941">
        <v>22.0</v>
      </c>
      <c r="AK491" s="941">
        <v>0.0</v>
      </c>
      <c r="AL491" s="941">
        <v>1.0</v>
      </c>
      <c r="AM491" s="941">
        <v>0.0</v>
      </c>
      <c r="AN491" s="941">
        <v>0.0</v>
      </c>
      <c r="AO491" s="941">
        <v>0.0</v>
      </c>
      <c r="AP491" s="941">
        <v>1.0</v>
      </c>
      <c r="AQ491" s="941">
        <v>0.0</v>
      </c>
      <c r="AR491" s="941">
        <v>20.0</v>
      </c>
      <c r="AS491" s="941">
        <v>1.0</v>
      </c>
      <c r="AT491" s="941">
        <v>0.0</v>
      </c>
      <c r="AU491" s="941">
        <v>0.0</v>
      </c>
      <c r="AV491" s="941">
        <v>0.0</v>
      </c>
      <c r="AW491" s="941">
        <v>0.0</v>
      </c>
      <c r="AX491" s="941">
        <v>0.0</v>
      </c>
      <c r="AY491" s="941">
        <v>0.0</v>
      </c>
      <c r="AZ491" s="941">
        <v>0.0</v>
      </c>
      <c r="BA491" s="941">
        <v>0.0</v>
      </c>
      <c r="BB491" s="941">
        <v>1.0</v>
      </c>
      <c r="BC491" s="941">
        <v>0.0</v>
      </c>
      <c r="BD491" s="941">
        <v>18.0</v>
      </c>
      <c r="BE491" s="941">
        <v>20.0</v>
      </c>
      <c r="BF491" s="941">
        <v>0.0</v>
      </c>
      <c r="BG491" s="942">
        <v>1.0</v>
      </c>
    </row>
    <row r="492">
      <c r="A492" s="935" t="s">
        <v>418</v>
      </c>
      <c r="B492" s="16" t="str">
        <f>IF(C492&lt;'PlayerGrades+'!$Y$44,"F-",IF(C492&lt;'PlayerGrades+'!$Y$43,"F",IF(C492&lt;'PlayerGrades+'!$Y$42,"F+",IF(C492&lt;'PlayerGrades+'!$Y$41,"E-",IF(C492&lt;'PlayerGrades+'!$Y$40,"E",IF(C492&lt;'PlayerGrades+'!$Y$39,"E+",IF(C492&lt;'PlayerGrades+'!$Y$38,"D-",IF(C492&lt;'PlayerGrades+'!$Y$37,"D",IF(C492&lt;'PlayerGrades+'!$Y$36,"D+",IF(C492&lt;'PlayerGrades+'!$Y$35,"C-",IF(C492&lt;'PlayerGrades+'!$Y$34,"C",IF(C492&lt;'PlayerGrades+'!$Y$33,"C+",IF(C492&lt;'PlayerGrades+'!$Y$32,"B-",IF(C492&lt;'PlayerGrades+'!$Y$31,"B",IF(C492&lt;'PlayerGrades+'!$Y$30,"B+",IF(C492&lt;'PlayerGrades+'!$Y$29,"A-",IF(C492&lt;'PlayerGrades+'!$Y$28,"A",IF(C492&lt;'PlayerGrades+'!$Y$27,"A+",IF(C492&lt;'PlayerGrades+'!$Y$26,"S-",IF(C492&lt;'PlayerGrades+'!$Y$25,"S","S+"))))))))))))))))))))</f>
        <v>S+</v>
      </c>
      <c r="C492" s="936">
        <f>('PlayerGrades+'!$Y$47*(VLOOKUP(E492, 'PlayerGrades+'!$X$3:$Y$23, 2, FALSE)))+('PlayerGrades+'!$Y$48*(VLOOKUP(G492, 'PlayerGrades+'!$X$3:$Y$23, 2, FALSE)))+('PlayerGrades+'!$Y$49*(VLOOKUP(I492, 'PlayerGrades+'!$X$3:$Y$23, 2, FALSE)))+('PlayerGrades+'!$Y$50*(VLOOKUP(K492, 'PlayerGrades+'!$X$3:$Y$23, 2, FALSE)))+('PlayerGrades+'!$Y$51*(VLOOKUP(M492, 'PlayerGrades+'!$X$3:$Y$23, 2, FALSE)))+('PlayerGrades+'!$Y$52*(VLOOKUP(O492, 'PlayerGrades+'!$X$3:$Y$23, 2, FALSE)))+('PlayerGrades+'!$Y$53*(VLOOKUP(Q492, 'PlayerGrades+'!$X$3:$Y$23, 2, FALSE)))+('PlayerGrades+'!$Y$54*(VLOOKUP(S492, 'PlayerGrades+'!$X$3:$Y$23, 2, FALSE)))+('PlayerGrades+'!$Y$55*(VLOOKUP(U492, 'PlayerGrades+'!$X$3:$Y$23, 2, FALSE)))</f>
        <v>33.15</v>
      </c>
      <c r="D492" s="937">
        <f t="shared" si="1"/>
        <v>0.03374578178</v>
      </c>
      <c r="E492" s="937" t="str">
        <f>IF(D492&lt;'PlayerGrades+'!$AA$21,"F-",IF(D492&lt;'PlayerGrades+'!$AA$20,"F",IF(D492&lt;'PlayerGrades+'!$AA$19,"F+",IF(D492&lt;'PlayerGrades+'!$AA$18,"E-",IF(D492&lt;'PlayerGrades+'!$AA$17,"E",IF(D492&lt;'PlayerGrades+'!$AA$16,"E+",IF(D492&lt;'PlayerGrades+'!$AA$15,"D-",IF(D492&lt;'PlayerGrades+'!$AA$14,"D",IF(D492&lt;'PlayerGrades+'!$AA$13,"D+",IF(D492&lt;'PlayerGrades+'!$AA$12,"C-",IF(D492&lt;'PlayerGrades+'!$AA$11,"C",IF(D492&lt;'PlayerGrades+'!$AA$10,"C+",IF(D492&lt;'PlayerGrades+'!$AA$9,"B-",IF(D492&lt;'PlayerGrades+'!$AA$8,"B",IF(D492&lt;'PlayerGrades+'!$AA$7,"B+",IF(D492&lt;'PlayerGrades+'!$AA$6,"A-",IF(D492&lt;'PlayerGrades+'!$AA$5,"A",IF(D492&lt;'PlayerGrades+'!$AA$4,"A+",IF(D492&lt;'PlayerGrades+'!$AA$3,"S-",IF(D492&lt;'PlayerGrades+'!$AA$2,"S","S+"))))))))))))))))))))</f>
        <v>C-</v>
      </c>
      <c r="F492" s="937">
        <f t="shared" si="2"/>
        <v>1.653543307</v>
      </c>
      <c r="G492" s="937" t="str">
        <f>IF(F492&lt;'PlayerGrades+'!$AB$21,"F-",IF(F492&lt;'PlayerGrades+'!$AB$20,"F",IF(F492&lt;'PlayerGrades+'!$AB$19,"F+",IF(F492&lt;'PlayerGrades+'!$AB$18,"E-",IF(F492&lt;'PlayerGrades+'!$AB$17,"E",IF(F492&lt;'PlayerGrades+'!$AB$16,"E+",IF(F492&lt;'PlayerGrades+'!$AB$15,"D-",IF(F492&lt;'PlayerGrades+'!$AB$14,"D",IF(F492&lt;'PlayerGrades+'!$AB$13,"D+",IF(F492&lt;'PlayerGrades+'!$AB$12,"C-",IF(F492&lt;'PlayerGrades+'!$AB$11,"C",IF(F492&lt;'PlayerGrades+'!$AB$10,"C+",IF(F492&lt;'PlayerGrades+'!$AB$9,"B-",IF(F492&lt;'PlayerGrades+'!$AB$8,"B",IF(F492&lt;'PlayerGrades+'!$AB$7,"B+",IF(F492&lt;'PlayerGrades+'!$AB$6,"A-",IF(F492&lt;'PlayerGrades+'!$AB$5,"A",IF(F492&lt;'PlayerGrades+'!$AB$4,"A+",IF(F492&lt;'PlayerGrades+'!$AB$3,"S-",IF(F492&lt;'PlayerGrades+'!$AB$2,"S","S+"))))))))))))))))))))</f>
        <v>S+</v>
      </c>
      <c r="H492" s="937">
        <f t="shared" si="3"/>
        <v>0.2024746907</v>
      </c>
      <c r="I492" s="937" t="str">
        <f>IF(H492&lt;'PlayerGrades+'!$AC$21,"F-",IF(H492&lt;'PlayerGrades+'!$AC$20,"F",IF(H492&lt;'PlayerGrades+'!$AC$19,"F+",IF(H492&lt;'PlayerGrades+'!$AC$18,"E-",IF(H492&lt;'PlayerGrades+'!$AC$17,"E",IF(H492&lt;'PlayerGrades+'!$AC$16,"E+",IF(H492&lt;'PlayerGrades+'!$AC$15,"D-",IF(H492&lt;'PlayerGrades+'!$AC$14,"D",IF(H492&lt;'PlayerGrades+'!$AC$13,"D+",IF(H492&lt;'PlayerGrades+'!$AC$12,"C-",IF(H492&lt;'PlayerGrades+'!$AC$11,"C",IF(H492&lt;'PlayerGrades+'!$AC$10,"C+",IF(H492&lt;'PlayerGrades+'!$AC$9,"B-",IF(H492&lt;'PlayerGrades+'!$AC$8,"B",IF(H492&lt;'PlayerGrades+'!$AC$7,"B+",IF(H492&lt;'PlayerGrades+'!$AC$6,"A-",IF(H492&lt;'PlayerGrades+'!$AC$5,"A",IF(H492&lt;'PlayerGrades+'!$AC$4,"A+",IF(H492&lt;'PlayerGrades+'!$AC$3,"S-",IF(H492&lt;'PlayerGrades+'!$AC$2,"S","S+"))))))))))))))))))))</f>
        <v>S</v>
      </c>
      <c r="J492" s="937">
        <f t="shared" si="4"/>
        <v>0.1687289089</v>
      </c>
      <c r="K492" s="937" t="str">
        <f>IF(J492&lt;'PlayerGrades+'!$AD$21,"F-",IF(J492&lt;'PlayerGrades+'!$AD$20,"F",IF(J492&lt;'PlayerGrades+'!$AD$19,"F+",IF(J492&lt;'PlayerGrades+'!$AD$18,"E-",IF(J492&lt;'PlayerGrades+'!$AD$17,"E",IF(J492&lt;'PlayerGrades+'!$AD$16,"E+",IF(J492&lt;'PlayerGrades+'!$AD$15,"D-",IF(J492&lt;'PlayerGrades+'!$AD$14,"D",IF(J492&lt;'PlayerGrades+'!$AD$13,"D+",IF(J492&lt;'PlayerGrades+'!$AD$12,"C-",IF(J492&lt;'PlayerGrades+'!$AD$11,"C",IF(J492&lt;'PlayerGrades+'!$AD$10,"C+",IF(J492&lt;'PlayerGrades+'!$AD$9,"B-",IF(J492&lt;'PlayerGrades+'!$AD$8,"B",IF(J492&lt;'PlayerGrades+'!$AD$7,"B+",IF(J492&lt;'PlayerGrades+'!$AD$6,"A-",IF(J492&lt;'PlayerGrades+'!$AD$5,"A",IF(J492&lt;'PlayerGrades+'!$AD$4,"A+",IF(J492&lt;'PlayerGrades+'!$AD$3,"S-",IF(J492&lt;'PlayerGrades+'!$AD$2,"S","S+"))))))))))))))))))))</f>
        <v>S+</v>
      </c>
      <c r="L492" s="677">
        <f t="shared" si="5"/>
        <v>0.8098987627</v>
      </c>
      <c r="M492" s="938" t="str">
        <f>IF(L492&lt;'PlayerGrades+'!$AE$21,"F-",IF(L492&lt;'PlayerGrades+'!$AE$20,"F",IF(L492&lt;'PlayerGrades+'!$AE$19,"F+",IF(L492&lt;'PlayerGrades+'!$AE$18,"E-",IF(L492&lt;'PlayerGrades+'!$AE$17,"E",IF(L492&lt;'PlayerGrades+'!$AE$16,"E+",IF(L492&lt;'PlayerGrades+'!$AE$15,"D-",IF(L492&lt;'PlayerGrades+'!$AE$14,"D",IF(L492&lt;'PlayerGrades+'!$AE$13,"D+",IF(L492&lt;'PlayerGrades+'!$AE$12,"C-",IF(L492&lt;'PlayerGrades+'!$AE$11,"C",IF(L492&lt;'PlayerGrades+'!$AE$10,"C+",IF(L492&lt;'PlayerGrades+'!$AE$9,"B-",IF(L492&lt;'PlayerGrades+'!$AE$8,"B",IF(L492&lt;'PlayerGrades+'!$AE$7,"B+",IF(L492&lt;'PlayerGrades+'!$AE$6,"A-",IF(L492&lt;'PlayerGrades+'!$AE$5,"A",IF(L492&lt;'PlayerGrades+'!$AE$4,"A+",IF(L492&lt;'PlayerGrades+'!$AE$3,"S-",IF(L492&lt;'PlayerGrades+'!$AE$2,"S","S+"))))))))))))))))))))</f>
        <v>S+</v>
      </c>
      <c r="N492" s="937">
        <f t="shared" si="6"/>
        <v>0.2699662542</v>
      </c>
      <c r="O492" s="937" t="str">
        <f>IF(N492&lt;'PlayerGrades+'!$AF$21,"F-",IF(N492&lt;'PlayerGrades+'!$AF$20,"F",IF(N492&lt;'PlayerGrades+'!$AF$19,"F+",IF(N492&lt;'PlayerGrades+'!$AF$18,"E-",IF(N492&lt;'PlayerGrades+'!$AF$17,"E",IF(N492&lt;'PlayerGrades+'!$AF$16,"E+",IF(N492&lt;'PlayerGrades+'!$AF$15,"D-",IF(N492&lt;'PlayerGrades+'!$AF$14,"D",IF(N492&lt;'PlayerGrades+'!$AF$13,"D+",IF(N492&lt;'PlayerGrades+'!$AF$12,"C-",IF(N492&lt;'PlayerGrades+'!$AF$11,"C",IF(N492&lt;'PlayerGrades+'!$AF$10,"C+",IF(N492&lt;'PlayerGrades+'!$AF$9,"B-",IF(N492&lt;'PlayerGrades+'!$AF$8,"B",IF(N492&lt;'PlayerGrades+'!$AF$7,"B+",IF(N492&lt;'PlayerGrades+'!$AF$6,"A-",IF(N492&lt;'PlayerGrades+'!$AF$5,"A",IF(N492&lt;'PlayerGrades+'!$AF$4,"A+",IF(N492&lt;'PlayerGrades+'!$AF$3,"S-",IF(N492&lt;'PlayerGrades+'!$AF$2,"S","S+"))))))))))))))))))))</f>
        <v>S+</v>
      </c>
      <c r="P492" s="937">
        <f t="shared" si="7"/>
        <v>0.1687289089</v>
      </c>
      <c r="Q492" s="937" t="str">
        <f>IF(P492&lt;'PlayerGrades+'!$AG$21,"F-",IF(P492&lt;'PlayerGrades+'!$AG$20,"F",IF(P492&lt;'PlayerGrades+'!$AG$19,"F+",IF(P492&lt;'PlayerGrades+'!$AG$18,"E-",IF(P492&lt;'PlayerGrades+'!$AG$17,"E",IF(P492&lt;'PlayerGrades+'!$AG$16,"E+",IF(P492&lt;'PlayerGrades+'!$AG$15,"D-",IF(P492&lt;'PlayerGrades+'!$AG$14,"D",IF(P492&lt;'PlayerGrades+'!$AG$13,"D+",IF(P492&lt;'PlayerGrades+'!$AG$12,"C-",IF(P492&lt;'PlayerGrades+'!$AG$11,"C",IF(P492&lt;'PlayerGrades+'!$AG$10,"C+",IF(P492&lt;'PlayerGrades+'!$AG$9,"B-",IF(P492&lt;'PlayerGrades+'!$AG$8,"B",IF(P492&lt;'PlayerGrades+'!$AG$7,"B+",IF(P492&lt;'PlayerGrades+'!$AG$6,"A-",IF(P492&lt;'PlayerGrades+'!$AG$5,"A",IF(P492&lt;'PlayerGrades+'!$AG$4,"A+",IF(P492&lt;'PlayerGrades+'!$AG$3,"S-",IF(P492&lt;'PlayerGrades+'!$AG$2,"S","S+"))))))))))))))))))))</f>
        <v>S+</v>
      </c>
      <c r="R492" s="937">
        <f t="shared" si="8"/>
        <v>0.607424072</v>
      </c>
      <c r="S492" s="937" t="str">
        <f>IF(R492&lt;'PlayerGrades+'!$AH$21,"F-",IF(R492&lt;'PlayerGrades+'!$AH$20,"F",IF(R492&lt;'PlayerGrades+'!$AH$19,"F+",IF(R492&lt;'PlayerGrades+'!$AH$18,"E-",IF(R492&lt;'PlayerGrades+'!$AH$17,"E",IF(R492&lt;'PlayerGrades+'!$AH$16,"E+",IF(R492&lt;'PlayerGrades+'!$AH$15,"D-",IF(R492&lt;'PlayerGrades+'!$AH$14,"D",IF(R492&lt;'PlayerGrades+'!$AH$13,"D+",IF(R492&lt;'PlayerGrades+'!$AH$12,"C-",IF(R492&lt;'PlayerGrades+'!$AH$11,"C",IF(R492&lt;'PlayerGrades+'!$AH$10,"C+",IF(R492&lt;'PlayerGrades+'!$AH$9,"B-",IF(R492&lt;'PlayerGrades+'!$AH$8,"B",IF(R492&lt;'PlayerGrades+'!$AH$7,"B+",IF(R492&lt;'PlayerGrades+'!$AH$6,"A-",IF(R492&lt;'PlayerGrades+'!$AH$5,"A",IF(R492&lt;'PlayerGrades+'!$AH$4,"A+",IF(R492&lt;'PlayerGrades+'!$AH$3,"S-",IF(R492&lt;'PlayerGrades+'!$AH$2,"S","S+"))))))))))))))))))))</f>
        <v>A-</v>
      </c>
      <c r="T492" s="937">
        <f t="shared" si="9"/>
        <v>1.438695163</v>
      </c>
      <c r="U492" s="937" t="str">
        <f>IF(T492&lt;'PlayerGrades+'!$AI$21,"F-",IF(T492&lt;'PlayerGrades+'!$AI$20,"F",IF(T492&lt;'PlayerGrades+'!$AI$19,"F+",IF(T492&lt;'PlayerGrades+'!$AI$18,"E-",IF(T492&lt;'PlayerGrades+'!$AI$17,"E",IF(T492&lt;'PlayerGrades+'!$AI$16,"E+",IF(T492&lt;'PlayerGrades+'!$AI$15,"D-",IF(T492&lt;'PlayerGrades+'!$AI$14,"D",IF(T492&lt;'PlayerGrades+'!$AI$13,"D+",IF(T492&lt;'PlayerGrades+'!$AI$12,"C-",IF(T492&lt;'PlayerGrades+'!$AI$11,"C",IF(T492&lt;'PlayerGrades+'!$AI$10,"C+",IF(T492&lt;'PlayerGrades+'!$AI$9,"B-",IF(T492&lt;'PlayerGrades+'!$AI$8,"B",IF(T492&lt;'PlayerGrades+'!$AI$7,"B+",IF(T492&lt;'PlayerGrades+'!$AI$6,"A-",IF(T492&lt;'PlayerGrades+'!$AI$5,"A",IF(T492&lt;'PlayerGrades+'!$AI$4,"A+",IF(T492&lt;'PlayerGrades+'!$AI$3,"S-",IF(T492&lt;'PlayerGrades+'!$AI$2,"S","S+"))))))))))))))))))))</f>
        <v>B+</v>
      </c>
      <c r="V492" s="941">
        <v>1.0</v>
      </c>
      <c r="W492" s="941">
        <v>1.0</v>
      </c>
      <c r="X492" s="941">
        <v>0.0</v>
      </c>
      <c r="Y492" s="941">
        <v>0.0</v>
      </c>
      <c r="Z492" s="941">
        <v>1.0</v>
      </c>
      <c r="AA492" s="941">
        <v>122.0</v>
      </c>
      <c r="AB492" s="941">
        <v>73.0</v>
      </c>
      <c r="AC492" s="941">
        <v>49.0</v>
      </c>
      <c r="AD492" s="941">
        <v>6.0</v>
      </c>
      <c r="AE492" s="941">
        <v>7.0</v>
      </c>
      <c r="AF492" s="941">
        <v>3.0</v>
      </c>
      <c r="AG492" s="941">
        <v>1465.0</v>
      </c>
      <c r="AH492" s="941">
        <v>1778.0</v>
      </c>
      <c r="AI492" s="941">
        <v>20.0</v>
      </c>
      <c r="AJ492" s="941">
        <v>15.0</v>
      </c>
      <c r="AK492" s="941">
        <v>0.0</v>
      </c>
      <c r="AL492" s="941">
        <v>5.0</v>
      </c>
      <c r="AM492" s="941">
        <v>0.0</v>
      </c>
      <c r="AN492" s="941">
        <v>0.0</v>
      </c>
      <c r="AO492" s="941">
        <v>0.0</v>
      </c>
      <c r="AP492" s="941">
        <v>5.0</v>
      </c>
      <c r="AQ492" s="941">
        <v>0.0</v>
      </c>
      <c r="AR492" s="941">
        <v>24.0</v>
      </c>
      <c r="AS492" s="941">
        <v>8.0</v>
      </c>
      <c r="AT492" s="941">
        <v>1.0</v>
      </c>
      <c r="AU492" s="941">
        <v>0.0</v>
      </c>
      <c r="AV492" s="941">
        <v>0.0</v>
      </c>
      <c r="AW492" s="941">
        <v>0.0</v>
      </c>
      <c r="AX492" s="941">
        <v>0.0</v>
      </c>
      <c r="AY492" s="941">
        <v>0.0</v>
      </c>
      <c r="AZ492" s="941">
        <v>0.0</v>
      </c>
      <c r="BA492" s="941">
        <v>0.0</v>
      </c>
      <c r="BB492" s="941">
        <v>6.0</v>
      </c>
      <c r="BC492" s="941">
        <v>0.0</v>
      </c>
      <c r="BD492" s="941">
        <v>12.0</v>
      </c>
      <c r="BE492" s="941">
        <v>13.0</v>
      </c>
      <c r="BF492" s="941">
        <v>1.0</v>
      </c>
      <c r="BG492" s="942">
        <v>1.0</v>
      </c>
    </row>
    <row r="493">
      <c r="A493" s="935" t="s">
        <v>147</v>
      </c>
      <c r="B493" s="16" t="str">
        <f>IF(C493&lt;'PlayerGrades+'!$Y$44,"F-",IF(C493&lt;'PlayerGrades+'!$Y$43,"F",IF(C493&lt;'PlayerGrades+'!$Y$42,"F+",IF(C493&lt;'PlayerGrades+'!$Y$41,"E-",IF(C493&lt;'PlayerGrades+'!$Y$40,"E",IF(C493&lt;'PlayerGrades+'!$Y$39,"E+",IF(C493&lt;'PlayerGrades+'!$Y$38,"D-",IF(C493&lt;'PlayerGrades+'!$Y$37,"D",IF(C493&lt;'PlayerGrades+'!$Y$36,"D+",IF(C493&lt;'PlayerGrades+'!$Y$35,"C-",IF(C493&lt;'PlayerGrades+'!$Y$34,"C",IF(C493&lt;'PlayerGrades+'!$Y$33,"C+",IF(C493&lt;'PlayerGrades+'!$Y$32,"B-",IF(C493&lt;'PlayerGrades+'!$Y$31,"B",IF(C493&lt;'PlayerGrades+'!$Y$30,"B+",IF(C493&lt;'PlayerGrades+'!$Y$29,"A-",IF(C493&lt;'PlayerGrades+'!$Y$28,"A",IF(C493&lt;'PlayerGrades+'!$Y$27,"A+",IF(C493&lt;'PlayerGrades+'!$Y$26,"S-",IF(C493&lt;'PlayerGrades+'!$Y$25,"S","S+"))))))))))))))))))))</f>
        <v>E-</v>
      </c>
      <c r="C493" s="936">
        <f>('PlayerGrades+'!$Y$47*(VLOOKUP(E493, 'PlayerGrades+'!$X$3:$Y$23, 2, FALSE)))+('PlayerGrades+'!$Y$48*(VLOOKUP(G493, 'PlayerGrades+'!$X$3:$Y$23, 2, FALSE)))+('PlayerGrades+'!$Y$49*(VLOOKUP(I493, 'PlayerGrades+'!$X$3:$Y$23, 2, FALSE)))+('PlayerGrades+'!$Y$50*(VLOOKUP(K493, 'PlayerGrades+'!$X$3:$Y$23, 2, FALSE)))+('PlayerGrades+'!$Y$51*(VLOOKUP(M493, 'PlayerGrades+'!$X$3:$Y$23, 2, FALSE)))+('PlayerGrades+'!$Y$52*(VLOOKUP(O493, 'PlayerGrades+'!$X$3:$Y$23, 2, FALSE)))+('PlayerGrades+'!$Y$53*(VLOOKUP(Q493, 'PlayerGrades+'!$X$3:$Y$23, 2, FALSE)))+('PlayerGrades+'!$Y$54*(VLOOKUP(S493, 'PlayerGrades+'!$X$3:$Y$23, 2, FALSE)))+('PlayerGrades+'!$Y$55*(VLOOKUP(U493, 'PlayerGrades+'!$X$3:$Y$23, 2, FALSE)))</f>
        <v>11.95</v>
      </c>
      <c r="D493" s="937">
        <f t="shared" si="1"/>
        <v>0</v>
      </c>
      <c r="E493" s="937" t="str">
        <f>IF(D493&lt;'PlayerGrades+'!$AA$21,"F-",IF(D493&lt;'PlayerGrades+'!$AA$20,"F",IF(D493&lt;'PlayerGrades+'!$AA$19,"F+",IF(D493&lt;'PlayerGrades+'!$AA$18,"E-",IF(D493&lt;'PlayerGrades+'!$AA$17,"E",IF(D493&lt;'PlayerGrades+'!$AA$16,"E+",IF(D493&lt;'PlayerGrades+'!$AA$15,"D-",IF(D493&lt;'PlayerGrades+'!$AA$14,"D",IF(D493&lt;'PlayerGrades+'!$AA$13,"D+",IF(D493&lt;'PlayerGrades+'!$AA$12,"C-",IF(D493&lt;'PlayerGrades+'!$AA$11,"C",IF(D493&lt;'PlayerGrades+'!$AA$10,"C+",IF(D493&lt;'PlayerGrades+'!$AA$9,"B-",IF(D493&lt;'PlayerGrades+'!$AA$8,"B",IF(D493&lt;'PlayerGrades+'!$AA$7,"B+",IF(D493&lt;'PlayerGrades+'!$AA$6,"A-",IF(D493&lt;'PlayerGrades+'!$AA$5,"A",IF(D493&lt;'PlayerGrades+'!$AA$4,"A+",IF(D493&lt;'PlayerGrades+'!$AA$3,"S-",IF(D493&lt;'PlayerGrades+'!$AA$2,"S","S+"))))))))))))))))))))</f>
        <v>F-</v>
      </c>
      <c r="F493" s="937">
        <f t="shared" si="2"/>
        <v>-1.046119235</v>
      </c>
      <c r="G493" s="937" t="str">
        <f>IF(F493&lt;'PlayerGrades+'!$AB$21,"F-",IF(F493&lt;'PlayerGrades+'!$AB$20,"F",IF(F493&lt;'PlayerGrades+'!$AB$19,"F+",IF(F493&lt;'PlayerGrades+'!$AB$18,"E-",IF(F493&lt;'PlayerGrades+'!$AB$17,"E",IF(F493&lt;'PlayerGrades+'!$AB$16,"E+",IF(F493&lt;'PlayerGrades+'!$AB$15,"D-",IF(F493&lt;'PlayerGrades+'!$AB$14,"D",IF(F493&lt;'PlayerGrades+'!$AB$13,"D+",IF(F493&lt;'PlayerGrades+'!$AB$12,"C-",IF(F493&lt;'PlayerGrades+'!$AB$11,"C",IF(F493&lt;'PlayerGrades+'!$AB$10,"C+",IF(F493&lt;'PlayerGrades+'!$AB$9,"B-",IF(F493&lt;'PlayerGrades+'!$AB$8,"B",IF(F493&lt;'PlayerGrades+'!$AB$7,"B+",IF(F493&lt;'PlayerGrades+'!$AB$6,"A-",IF(F493&lt;'PlayerGrades+'!$AB$5,"A",IF(F493&lt;'PlayerGrades+'!$AB$4,"A+",IF(F493&lt;'PlayerGrades+'!$AB$3,"S-",IF(F493&lt;'PlayerGrades+'!$AB$2,"S","S+"))))))))))))))))))))</f>
        <v>F</v>
      </c>
      <c r="H493" s="937">
        <f t="shared" si="3"/>
        <v>0.06749156355</v>
      </c>
      <c r="I493" s="937" t="str">
        <f>IF(H493&lt;'PlayerGrades+'!$AC$21,"F-",IF(H493&lt;'PlayerGrades+'!$AC$20,"F",IF(H493&lt;'PlayerGrades+'!$AC$19,"F+",IF(H493&lt;'PlayerGrades+'!$AC$18,"E-",IF(H493&lt;'PlayerGrades+'!$AC$17,"E",IF(H493&lt;'PlayerGrades+'!$AC$16,"E+",IF(H493&lt;'PlayerGrades+'!$AC$15,"D-",IF(H493&lt;'PlayerGrades+'!$AC$14,"D",IF(H493&lt;'PlayerGrades+'!$AC$13,"D+",IF(H493&lt;'PlayerGrades+'!$AC$12,"C-",IF(H493&lt;'PlayerGrades+'!$AC$11,"C",IF(H493&lt;'PlayerGrades+'!$AC$10,"C+",IF(H493&lt;'PlayerGrades+'!$AC$9,"B-",IF(H493&lt;'PlayerGrades+'!$AC$8,"B",IF(H493&lt;'PlayerGrades+'!$AC$7,"B+",IF(H493&lt;'PlayerGrades+'!$AC$6,"A-",IF(H493&lt;'PlayerGrades+'!$AC$5,"A",IF(H493&lt;'PlayerGrades+'!$AC$4,"A+",IF(H493&lt;'PlayerGrades+'!$AC$3,"S-",IF(H493&lt;'PlayerGrades+'!$AC$2,"S","S+"))))))))))))))))))))</f>
        <v>E</v>
      </c>
      <c r="J493" s="937">
        <f t="shared" si="4"/>
        <v>0</v>
      </c>
      <c r="K493" s="937" t="str">
        <f>IF(J493&lt;'PlayerGrades+'!$AD$21,"F-",IF(J493&lt;'PlayerGrades+'!$AD$20,"F",IF(J493&lt;'PlayerGrades+'!$AD$19,"F+",IF(J493&lt;'PlayerGrades+'!$AD$18,"E-",IF(J493&lt;'PlayerGrades+'!$AD$17,"E",IF(J493&lt;'PlayerGrades+'!$AD$16,"E+",IF(J493&lt;'PlayerGrades+'!$AD$15,"D-",IF(J493&lt;'PlayerGrades+'!$AD$14,"D",IF(J493&lt;'PlayerGrades+'!$AD$13,"D+",IF(J493&lt;'PlayerGrades+'!$AD$12,"C-",IF(J493&lt;'PlayerGrades+'!$AD$11,"C",IF(J493&lt;'PlayerGrades+'!$AD$10,"C+",IF(J493&lt;'PlayerGrades+'!$AD$9,"B-",IF(J493&lt;'PlayerGrades+'!$AD$8,"B",IF(J493&lt;'PlayerGrades+'!$AD$7,"B+",IF(J493&lt;'PlayerGrades+'!$AD$6,"A-",IF(J493&lt;'PlayerGrades+'!$AD$5,"A",IF(J493&lt;'PlayerGrades+'!$AD$4,"A+",IF(J493&lt;'PlayerGrades+'!$AD$3,"S-",IF(J493&lt;'PlayerGrades+'!$AD$2,"S","S+"))))))))))))))))))))</f>
        <v>F-</v>
      </c>
      <c r="L493" s="677">
        <f t="shared" si="5"/>
        <v>0.2024746907</v>
      </c>
      <c r="M493" s="938" t="str">
        <f>IF(L493&lt;'PlayerGrades+'!$AE$21,"F-",IF(L493&lt;'PlayerGrades+'!$AE$20,"F",IF(L493&lt;'PlayerGrades+'!$AE$19,"F+",IF(L493&lt;'PlayerGrades+'!$AE$18,"E-",IF(L493&lt;'PlayerGrades+'!$AE$17,"E",IF(L493&lt;'PlayerGrades+'!$AE$16,"E+",IF(L493&lt;'PlayerGrades+'!$AE$15,"D-",IF(L493&lt;'PlayerGrades+'!$AE$14,"D",IF(L493&lt;'PlayerGrades+'!$AE$13,"D+",IF(L493&lt;'PlayerGrades+'!$AE$12,"C-",IF(L493&lt;'PlayerGrades+'!$AE$11,"C",IF(L493&lt;'PlayerGrades+'!$AE$10,"C+",IF(L493&lt;'PlayerGrades+'!$AE$9,"B-",IF(L493&lt;'PlayerGrades+'!$AE$8,"B",IF(L493&lt;'PlayerGrades+'!$AE$7,"B+",IF(L493&lt;'PlayerGrades+'!$AE$6,"A-",IF(L493&lt;'PlayerGrades+'!$AE$5,"A",IF(L493&lt;'PlayerGrades+'!$AE$4,"A+",IF(L493&lt;'PlayerGrades+'!$AE$3,"S-",IF(L493&lt;'PlayerGrades+'!$AE$2,"S","S+"))))))))))))))))))))</f>
        <v>F</v>
      </c>
      <c r="N493" s="937">
        <f t="shared" si="6"/>
        <v>0.06749156355</v>
      </c>
      <c r="O493" s="937" t="str">
        <f>IF(N493&lt;'PlayerGrades+'!$AF$21,"F-",IF(N493&lt;'PlayerGrades+'!$AF$20,"F",IF(N493&lt;'PlayerGrades+'!$AF$19,"F+",IF(N493&lt;'PlayerGrades+'!$AF$18,"E-",IF(N493&lt;'PlayerGrades+'!$AF$17,"E",IF(N493&lt;'PlayerGrades+'!$AF$16,"E+",IF(N493&lt;'PlayerGrades+'!$AF$15,"D-",IF(N493&lt;'PlayerGrades+'!$AF$14,"D",IF(N493&lt;'PlayerGrades+'!$AF$13,"D+",IF(N493&lt;'PlayerGrades+'!$AF$12,"C-",IF(N493&lt;'PlayerGrades+'!$AF$11,"C",IF(N493&lt;'PlayerGrades+'!$AF$10,"C+",IF(N493&lt;'PlayerGrades+'!$AF$9,"B-",IF(N493&lt;'PlayerGrades+'!$AF$8,"B",IF(N493&lt;'PlayerGrades+'!$AF$7,"B+",IF(N493&lt;'PlayerGrades+'!$AF$6,"A-",IF(N493&lt;'PlayerGrades+'!$AF$5,"A",IF(N493&lt;'PlayerGrades+'!$AF$4,"A+",IF(N493&lt;'PlayerGrades+'!$AF$3,"S-",IF(N493&lt;'PlayerGrades+'!$AF$2,"S","S+"))))))))))))))))))))</f>
        <v>C-</v>
      </c>
      <c r="P493" s="937">
        <f t="shared" si="7"/>
        <v>0</v>
      </c>
      <c r="Q493" s="937" t="str">
        <f>IF(P493&lt;'PlayerGrades+'!$AG$21,"F-",IF(P493&lt;'PlayerGrades+'!$AG$20,"F",IF(P493&lt;'PlayerGrades+'!$AG$19,"F+",IF(P493&lt;'PlayerGrades+'!$AG$18,"E-",IF(P493&lt;'PlayerGrades+'!$AG$17,"E",IF(P493&lt;'PlayerGrades+'!$AG$16,"E+",IF(P493&lt;'PlayerGrades+'!$AG$15,"D-",IF(P493&lt;'PlayerGrades+'!$AG$14,"D",IF(P493&lt;'PlayerGrades+'!$AG$13,"D+",IF(P493&lt;'PlayerGrades+'!$AG$12,"C-",IF(P493&lt;'PlayerGrades+'!$AG$11,"C",IF(P493&lt;'PlayerGrades+'!$AG$10,"C+",IF(P493&lt;'PlayerGrades+'!$AG$9,"B-",IF(P493&lt;'PlayerGrades+'!$AG$8,"B",IF(P493&lt;'PlayerGrades+'!$AG$7,"B+",IF(P493&lt;'PlayerGrades+'!$AG$6,"A-",IF(P493&lt;'PlayerGrades+'!$AG$5,"A",IF(P493&lt;'PlayerGrades+'!$AG$4,"A+",IF(P493&lt;'PlayerGrades+'!$AG$3,"S-",IF(P493&lt;'PlayerGrades+'!$AG$2,"S","S+"))))))))))))))))))))</f>
        <v>F</v>
      </c>
      <c r="R493" s="937">
        <f t="shared" si="8"/>
        <v>0.6749156355</v>
      </c>
      <c r="S493" s="937" t="str">
        <f>IF(R493&lt;'PlayerGrades+'!$AH$21,"F-",IF(R493&lt;'PlayerGrades+'!$AH$20,"F",IF(R493&lt;'PlayerGrades+'!$AH$19,"F+",IF(R493&lt;'PlayerGrades+'!$AH$18,"E-",IF(R493&lt;'PlayerGrades+'!$AH$17,"E",IF(R493&lt;'PlayerGrades+'!$AH$16,"E+",IF(R493&lt;'PlayerGrades+'!$AH$15,"D-",IF(R493&lt;'PlayerGrades+'!$AH$14,"D",IF(R493&lt;'PlayerGrades+'!$AH$13,"D+",IF(R493&lt;'PlayerGrades+'!$AH$12,"C-",IF(R493&lt;'PlayerGrades+'!$AH$11,"C",IF(R493&lt;'PlayerGrades+'!$AH$10,"C+",IF(R493&lt;'PlayerGrades+'!$AH$9,"B-",IF(R493&lt;'PlayerGrades+'!$AH$8,"B",IF(R493&lt;'PlayerGrades+'!$AH$7,"B+",IF(R493&lt;'PlayerGrades+'!$AH$6,"A-",IF(R493&lt;'PlayerGrades+'!$AH$5,"A",IF(R493&lt;'PlayerGrades+'!$AH$4,"A+",IF(R493&lt;'PlayerGrades+'!$AH$3,"S-",IF(R493&lt;'PlayerGrades+'!$AH$2,"S","S+"))))))))))))))))))))</f>
        <v>S-</v>
      </c>
      <c r="T493" s="937">
        <f t="shared" si="9"/>
        <v>0.303712036</v>
      </c>
      <c r="U493" s="937" t="str">
        <f>IF(T493&lt;'PlayerGrades+'!$AI$21,"F-",IF(T493&lt;'PlayerGrades+'!$AI$20,"F",IF(T493&lt;'PlayerGrades+'!$AI$19,"F+",IF(T493&lt;'PlayerGrades+'!$AI$18,"E-",IF(T493&lt;'PlayerGrades+'!$AI$17,"E",IF(T493&lt;'PlayerGrades+'!$AI$16,"E+",IF(T493&lt;'PlayerGrades+'!$AI$15,"D-",IF(T493&lt;'PlayerGrades+'!$AI$14,"D",IF(T493&lt;'PlayerGrades+'!$AI$13,"D+",IF(T493&lt;'PlayerGrades+'!$AI$12,"C-",IF(T493&lt;'PlayerGrades+'!$AI$11,"C",IF(T493&lt;'PlayerGrades+'!$AI$10,"C+",IF(T493&lt;'PlayerGrades+'!$AI$9,"B-",IF(T493&lt;'PlayerGrades+'!$AI$8,"B",IF(T493&lt;'PlayerGrades+'!$AI$7,"B+",IF(T493&lt;'PlayerGrades+'!$AI$6,"A-",IF(T493&lt;'PlayerGrades+'!$AI$5,"A",IF(T493&lt;'PlayerGrades+'!$AI$4,"A+",IF(T493&lt;'PlayerGrades+'!$AI$3,"S-",IF(T493&lt;'PlayerGrades+'!$AI$2,"S","S+"))))))))))))))))))))</f>
        <v>F-</v>
      </c>
      <c r="V493" s="941">
        <v>1.0</v>
      </c>
      <c r="W493" s="941">
        <v>1.0</v>
      </c>
      <c r="X493" s="941">
        <v>0.0</v>
      </c>
      <c r="Y493" s="941">
        <v>0.0</v>
      </c>
      <c r="Z493" s="941">
        <v>0.0</v>
      </c>
      <c r="AA493" s="941">
        <v>80.0</v>
      </c>
      <c r="AB493" s="941">
        <v>111.0</v>
      </c>
      <c r="AC493" s="941">
        <v>-31.0</v>
      </c>
      <c r="AD493" s="941">
        <v>14.0</v>
      </c>
      <c r="AE493" s="941">
        <v>4.0</v>
      </c>
      <c r="AF493" s="941">
        <v>2.0</v>
      </c>
      <c r="AG493" s="941">
        <v>1347.0</v>
      </c>
      <c r="AH493" s="941">
        <v>1778.0</v>
      </c>
      <c r="AI493" s="941">
        <v>12.0</v>
      </c>
      <c r="AJ493" s="941">
        <v>10.0</v>
      </c>
      <c r="AK493" s="941">
        <v>0.0</v>
      </c>
      <c r="AL493" s="941">
        <v>0.0</v>
      </c>
      <c r="AM493" s="941">
        <v>0.0</v>
      </c>
      <c r="AN493" s="941">
        <v>0.0</v>
      </c>
      <c r="AO493" s="941">
        <v>0.0</v>
      </c>
      <c r="AP493" s="941">
        <v>0.0</v>
      </c>
      <c r="AQ493" s="941">
        <v>0.0</v>
      </c>
      <c r="AR493" s="941">
        <v>6.0</v>
      </c>
      <c r="AS493" s="941">
        <v>2.0</v>
      </c>
      <c r="AT493" s="941">
        <v>0.0</v>
      </c>
      <c r="AU493" s="941">
        <v>0.0</v>
      </c>
      <c r="AV493" s="941">
        <v>0.0</v>
      </c>
      <c r="AW493" s="941">
        <v>0.0</v>
      </c>
      <c r="AX493" s="941">
        <v>0.0</v>
      </c>
      <c r="AY493" s="941">
        <v>0.0</v>
      </c>
      <c r="AZ493" s="941">
        <v>0.0</v>
      </c>
      <c r="BA493" s="941">
        <v>0.0</v>
      </c>
      <c r="BB493" s="941">
        <v>2.0</v>
      </c>
      <c r="BC493" s="941">
        <v>0.0</v>
      </c>
      <c r="BD493" s="941">
        <v>6.0</v>
      </c>
      <c r="BE493" s="941">
        <v>9.0</v>
      </c>
      <c r="BF493" s="941">
        <v>0.0</v>
      </c>
      <c r="BG493" s="942">
        <v>1.0</v>
      </c>
    </row>
    <row r="494">
      <c r="A494" s="935" t="s">
        <v>129</v>
      </c>
      <c r="B494" s="16" t="str">
        <f>IF(C494&lt;'PlayerGrades+'!$Y$44,"F-",IF(C494&lt;'PlayerGrades+'!$Y$43,"F",IF(C494&lt;'PlayerGrades+'!$Y$42,"F+",IF(C494&lt;'PlayerGrades+'!$Y$41,"E-",IF(C494&lt;'PlayerGrades+'!$Y$40,"E",IF(C494&lt;'PlayerGrades+'!$Y$39,"E+",IF(C494&lt;'PlayerGrades+'!$Y$38,"D-",IF(C494&lt;'PlayerGrades+'!$Y$37,"D",IF(C494&lt;'PlayerGrades+'!$Y$36,"D+",IF(C494&lt;'PlayerGrades+'!$Y$35,"C-",IF(C494&lt;'PlayerGrades+'!$Y$34,"C",IF(C494&lt;'PlayerGrades+'!$Y$33,"C+",IF(C494&lt;'PlayerGrades+'!$Y$32,"B-",IF(C494&lt;'PlayerGrades+'!$Y$31,"B",IF(C494&lt;'PlayerGrades+'!$Y$30,"B+",IF(C494&lt;'PlayerGrades+'!$Y$29,"A-",IF(C494&lt;'PlayerGrades+'!$Y$28,"A",IF(C494&lt;'PlayerGrades+'!$Y$27,"A+",IF(C494&lt;'PlayerGrades+'!$Y$26,"S-",IF(C494&lt;'PlayerGrades+'!$Y$25,"S","S+"))))))))))))))))))))</f>
        <v>A+</v>
      </c>
      <c r="C494" s="936">
        <f>('PlayerGrades+'!$Y$47*(VLOOKUP(E494, 'PlayerGrades+'!$X$3:$Y$23, 2, FALSE)))+('PlayerGrades+'!$Y$48*(VLOOKUP(G494, 'PlayerGrades+'!$X$3:$Y$23, 2, FALSE)))+('PlayerGrades+'!$Y$49*(VLOOKUP(I494, 'PlayerGrades+'!$X$3:$Y$23, 2, FALSE)))+('PlayerGrades+'!$Y$50*(VLOOKUP(K494, 'PlayerGrades+'!$X$3:$Y$23, 2, FALSE)))+('PlayerGrades+'!$Y$51*(VLOOKUP(M494, 'PlayerGrades+'!$X$3:$Y$23, 2, FALSE)))+('PlayerGrades+'!$Y$52*(VLOOKUP(O494, 'PlayerGrades+'!$X$3:$Y$23, 2, FALSE)))+('PlayerGrades+'!$Y$53*(VLOOKUP(Q494, 'PlayerGrades+'!$X$3:$Y$23, 2, FALSE)))+('PlayerGrades+'!$Y$54*(VLOOKUP(S494, 'PlayerGrades+'!$X$3:$Y$23, 2, FALSE)))+('PlayerGrades+'!$Y$55*(VLOOKUP(U494, 'PlayerGrades+'!$X$3:$Y$23, 2, FALSE)))</f>
        <v>28.5</v>
      </c>
      <c r="D494" s="937">
        <f t="shared" si="1"/>
        <v>0.2362204724</v>
      </c>
      <c r="E494" s="937" t="str">
        <f>IF(D494&lt;'PlayerGrades+'!$AA$21,"F-",IF(D494&lt;'PlayerGrades+'!$AA$20,"F",IF(D494&lt;'PlayerGrades+'!$AA$19,"F+",IF(D494&lt;'PlayerGrades+'!$AA$18,"E-",IF(D494&lt;'PlayerGrades+'!$AA$17,"E",IF(D494&lt;'PlayerGrades+'!$AA$16,"E+",IF(D494&lt;'PlayerGrades+'!$AA$15,"D-",IF(D494&lt;'PlayerGrades+'!$AA$14,"D",IF(D494&lt;'PlayerGrades+'!$AA$13,"D+",IF(D494&lt;'PlayerGrades+'!$AA$12,"C-",IF(D494&lt;'PlayerGrades+'!$AA$11,"C",IF(D494&lt;'PlayerGrades+'!$AA$10,"C+",IF(D494&lt;'PlayerGrades+'!$AA$9,"B-",IF(D494&lt;'PlayerGrades+'!$AA$8,"B",IF(D494&lt;'PlayerGrades+'!$AA$7,"B+",IF(D494&lt;'PlayerGrades+'!$AA$6,"A-",IF(D494&lt;'PlayerGrades+'!$AA$5,"A",IF(D494&lt;'PlayerGrades+'!$AA$4,"A+",IF(D494&lt;'PlayerGrades+'!$AA$3,"S-",IF(D494&lt;'PlayerGrades+'!$AA$2,"S","S+"))))))))))))))))))))</f>
        <v>A-</v>
      </c>
      <c r="F494" s="937">
        <f t="shared" si="2"/>
        <v>0.3712035996</v>
      </c>
      <c r="G494" s="937" t="str">
        <f>IF(F494&lt;'PlayerGrades+'!$AB$21,"F-",IF(F494&lt;'PlayerGrades+'!$AB$20,"F",IF(F494&lt;'PlayerGrades+'!$AB$19,"F+",IF(F494&lt;'PlayerGrades+'!$AB$18,"E-",IF(F494&lt;'PlayerGrades+'!$AB$17,"E",IF(F494&lt;'PlayerGrades+'!$AB$16,"E+",IF(F494&lt;'PlayerGrades+'!$AB$15,"D-",IF(F494&lt;'PlayerGrades+'!$AB$14,"D",IF(F494&lt;'PlayerGrades+'!$AB$13,"D+",IF(F494&lt;'PlayerGrades+'!$AB$12,"C-",IF(F494&lt;'PlayerGrades+'!$AB$11,"C",IF(F494&lt;'PlayerGrades+'!$AB$10,"C+",IF(F494&lt;'PlayerGrades+'!$AB$9,"B-",IF(F494&lt;'PlayerGrades+'!$AB$8,"B",IF(F494&lt;'PlayerGrades+'!$AB$7,"B+",IF(F494&lt;'PlayerGrades+'!$AB$6,"A-",IF(F494&lt;'PlayerGrades+'!$AB$5,"A",IF(F494&lt;'PlayerGrades+'!$AB$4,"A+",IF(F494&lt;'PlayerGrades+'!$AB$3,"S-",IF(F494&lt;'PlayerGrades+'!$AB$2,"S","S+"))))))))))))))))))))</f>
        <v>A</v>
      </c>
      <c r="H494" s="937">
        <f t="shared" si="3"/>
        <v>0</v>
      </c>
      <c r="I494" s="937" t="str">
        <f>IF(H494&lt;'PlayerGrades+'!$AC$21,"F-",IF(H494&lt;'PlayerGrades+'!$AC$20,"F",IF(H494&lt;'PlayerGrades+'!$AC$19,"F+",IF(H494&lt;'PlayerGrades+'!$AC$18,"E-",IF(H494&lt;'PlayerGrades+'!$AC$17,"E",IF(H494&lt;'PlayerGrades+'!$AC$16,"E+",IF(H494&lt;'PlayerGrades+'!$AC$15,"D-",IF(H494&lt;'PlayerGrades+'!$AC$14,"D",IF(H494&lt;'PlayerGrades+'!$AC$13,"D+",IF(H494&lt;'PlayerGrades+'!$AC$12,"C-",IF(H494&lt;'PlayerGrades+'!$AC$11,"C",IF(H494&lt;'PlayerGrades+'!$AC$10,"C+",IF(H494&lt;'PlayerGrades+'!$AC$9,"B-",IF(H494&lt;'PlayerGrades+'!$AC$8,"B",IF(H494&lt;'PlayerGrades+'!$AC$7,"B+",IF(H494&lt;'PlayerGrades+'!$AC$6,"A-",IF(H494&lt;'PlayerGrades+'!$AC$5,"A",IF(H494&lt;'PlayerGrades+'!$AC$4,"A+",IF(H494&lt;'PlayerGrades+'!$AC$3,"S-",IF(H494&lt;'PlayerGrades+'!$AC$2,"S","S+"))))))))))))))))))))</f>
        <v>F-</v>
      </c>
      <c r="J494" s="937">
        <f t="shared" si="4"/>
        <v>0.06749156355</v>
      </c>
      <c r="K494" s="937" t="str">
        <f>IF(J494&lt;'PlayerGrades+'!$AD$21,"F-",IF(J494&lt;'PlayerGrades+'!$AD$20,"F",IF(J494&lt;'PlayerGrades+'!$AD$19,"F+",IF(J494&lt;'PlayerGrades+'!$AD$18,"E-",IF(J494&lt;'PlayerGrades+'!$AD$17,"E",IF(J494&lt;'PlayerGrades+'!$AD$16,"E+",IF(J494&lt;'PlayerGrades+'!$AD$15,"D-",IF(J494&lt;'PlayerGrades+'!$AD$14,"D",IF(J494&lt;'PlayerGrades+'!$AD$13,"D+",IF(J494&lt;'PlayerGrades+'!$AD$12,"C-",IF(J494&lt;'PlayerGrades+'!$AD$11,"C",IF(J494&lt;'PlayerGrades+'!$AD$10,"C+",IF(J494&lt;'PlayerGrades+'!$AD$9,"B-",IF(J494&lt;'PlayerGrades+'!$AD$8,"B",IF(J494&lt;'PlayerGrades+'!$AD$7,"B+",IF(J494&lt;'PlayerGrades+'!$AD$6,"A-",IF(J494&lt;'PlayerGrades+'!$AD$5,"A",IF(J494&lt;'PlayerGrades+'!$AD$4,"A+",IF(J494&lt;'PlayerGrades+'!$AD$3,"S-",IF(J494&lt;'PlayerGrades+'!$AD$2,"S","S+"))))))))))))))))))))</f>
        <v>A-</v>
      </c>
      <c r="L494" s="677">
        <f t="shared" si="5"/>
        <v>0.5399325084</v>
      </c>
      <c r="M494" s="938" t="str">
        <f>IF(L494&lt;'PlayerGrades+'!$AE$21,"F-",IF(L494&lt;'PlayerGrades+'!$AE$20,"F",IF(L494&lt;'PlayerGrades+'!$AE$19,"F+",IF(L494&lt;'PlayerGrades+'!$AE$18,"E-",IF(L494&lt;'PlayerGrades+'!$AE$17,"E",IF(L494&lt;'PlayerGrades+'!$AE$16,"E+",IF(L494&lt;'PlayerGrades+'!$AE$15,"D-",IF(L494&lt;'PlayerGrades+'!$AE$14,"D",IF(L494&lt;'PlayerGrades+'!$AE$13,"D+",IF(L494&lt;'PlayerGrades+'!$AE$12,"C-",IF(L494&lt;'PlayerGrades+'!$AE$11,"C",IF(L494&lt;'PlayerGrades+'!$AE$10,"C+",IF(L494&lt;'PlayerGrades+'!$AE$9,"B-",IF(L494&lt;'PlayerGrades+'!$AE$8,"B",IF(L494&lt;'PlayerGrades+'!$AE$7,"B+",IF(L494&lt;'PlayerGrades+'!$AE$6,"A-",IF(L494&lt;'PlayerGrades+'!$AE$5,"A",IF(L494&lt;'PlayerGrades+'!$AE$4,"A+",IF(L494&lt;'PlayerGrades+'!$AE$3,"S-",IF(L494&lt;'PlayerGrades+'!$AE$2,"S","S+"))))))))))))))))))))</f>
        <v>A-</v>
      </c>
      <c r="N494" s="937">
        <f t="shared" si="6"/>
        <v>0.1349831271</v>
      </c>
      <c r="O494" s="937" t="str">
        <f>IF(N494&lt;'PlayerGrades+'!$AF$21,"F-",IF(N494&lt;'PlayerGrades+'!$AF$20,"F",IF(N494&lt;'PlayerGrades+'!$AF$19,"F+",IF(N494&lt;'PlayerGrades+'!$AF$18,"E-",IF(N494&lt;'PlayerGrades+'!$AF$17,"E",IF(N494&lt;'PlayerGrades+'!$AF$16,"E+",IF(N494&lt;'PlayerGrades+'!$AF$15,"D-",IF(N494&lt;'PlayerGrades+'!$AF$14,"D",IF(N494&lt;'PlayerGrades+'!$AF$13,"D+",IF(N494&lt;'PlayerGrades+'!$AF$12,"C-",IF(N494&lt;'PlayerGrades+'!$AF$11,"C",IF(N494&lt;'PlayerGrades+'!$AF$10,"C+",IF(N494&lt;'PlayerGrades+'!$AF$9,"B-",IF(N494&lt;'PlayerGrades+'!$AF$8,"B",IF(N494&lt;'PlayerGrades+'!$AF$7,"B+",IF(N494&lt;'PlayerGrades+'!$AF$6,"A-",IF(N494&lt;'PlayerGrades+'!$AF$5,"A",IF(N494&lt;'PlayerGrades+'!$AF$4,"A+",IF(N494&lt;'PlayerGrades+'!$AF$3,"S-",IF(N494&lt;'PlayerGrades+'!$AF$2,"S","S+"))))))))))))))))))))</f>
        <v>S</v>
      </c>
      <c r="P494" s="937">
        <f t="shared" si="7"/>
        <v>0.03374578178</v>
      </c>
      <c r="Q494" s="937" t="str">
        <f>IF(P494&lt;'PlayerGrades+'!$AG$21,"F-",IF(P494&lt;'PlayerGrades+'!$AG$20,"F",IF(P494&lt;'PlayerGrades+'!$AG$19,"F+",IF(P494&lt;'PlayerGrades+'!$AG$18,"E-",IF(P494&lt;'PlayerGrades+'!$AG$17,"E",IF(P494&lt;'PlayerGrades+'!$AG$16,"E+",IF(P494&lt;'PlayerGrades+'!$AG$15,"D-",IF(P494&lt;'PlayerGrades+'!$AG$14,"D",IF(P494&lt;'PlayerGrades+'!$AG$13,"D+",IF(P494&lt;'PlayerGrades+'!$AG$12,"C-",IF(P494&lt;'PlayerGrades+'!$AG$11,"C",IF(P494&lt;'PlayerGrades+'!$AG$10,"C+",IF(P494&lt;'PlayerGrades+'!$AG$9,"B-",IF(P494&lt;'PlayerGrades+'!$AG$8,"B",IF(P494&lt;'PlayerGrades+'!$AG$7,"B+",IF(P494&lt;'PlayerGrades+'!$AG$6,"A-",IF(P494&lt;'PlayerGrades+'!$AG$5,"A",IF(P494&lt;'PlayerGrades+'!$AG$4,"A+",IF(P494&lt;'PlayerGrades+'!$AG$3,"S-",IF(P494&lt;'PlayerGrades+'!$AG$2,"S","S+"))))))))))))))))))))</f>
        <v>B+</v>
      </c>
      <c r="R494" s="937">
        <f t="shared" si="8"/>
        <v>0.7761529809</v>
      </c>
      <c r="S494" s="937" t="str">
        <f>IF(R494&lt;'PlayerGrades+'!$AH$21,"F-",IF(R494&lt;'PlayerGrades+'!$AH$20,"F",IF(R494&lt;'PlayerGrades+'!$AH$19,"F+",IF(R494&lt;'PlayerGrades+'!$AH$18,"E-",IF(R494&lt;'PlayerGrades+'!$AH$17,"E",IF(R494&lt;'PlayerGrades+'!$AH$16,"E+",IF(R494&lt;'PlayerGrades+'!$AH$15,"D-",IF(R494&lt;'PlayerGrades+'!$AH$14,"D",IF(R494&lt;'PlayerGrades+'!$AH$13,"D+",IF(R494&lt;'PlayerGrades+'!$AH$12,"C-",IF(R494&lt;'PlayerGrades+'!$AH$11,"C",IF(R494&lt;'PlayerGrades+'!$AH$10,"C+",IF(R494&lt;'PlayerGrades+'!$AH$9,"B-",IF(R494&lt;'PlayerGrades+'!$AH$8,"B",IF(R494&lt;'PlayerGrades+'!$AH$7,"B+",IF(R494&lt;'PlayerGrades+'!$AH$6,"A-",IF(R494&lt;'PlayerGrades+'!$AH$5,"A",IF(R494&lt;'PlayerGrades+'!$AH$4,"A+",IF(R494&lt;'PlayerGrades+'!$AH$3,"S-",IF(R494&lt;'PlayerGrades+'!$AH$2,"S","S+"))))))))))))))))))))</f>
        <v>S+</v>
      </c>
      <c r="T494" s="937">
        <f t="shared" si="9"/>
        <v>1.472440945</v>
      </c>
      <c r="U494" s="937" t="str">
        <f>IF(T494&lt;'PlayerGrades+'!$AI$21,"F-",IF(T494&lt;'PlayerGrades+'!$AI$20,"F",IF(T494&lt;'PlayerGrades+'!$AI$19,"F+",IF(T494&lt;'PlayerGrades+'!$AI$18,"E-",IF(T494&lt;'PlayerGrades+'!$AI$17,"E",IF(T494&lt;'PlayerGrades+'!$AI$16,"E+",IF(T494&lt;'PlayerGrades+'!$AI$15,"D-",IF(T494&lt;'PlayerGrades+'!$AI$14,"D",IF(T494&lt;'PlayerGrades+'!$AI$13,"D+",IF(T494&lt;'PlayerGrades+'!$AI$12,"C-",IF(T494&lt;'PlayerGrades+'!$AI$11,"C",IF(T494&lt;'PlayerGrades+'!$AI$10,"C+",IF(T494&lt;'PlayerGrades+'!$AI$9,"B-",IF(T494&lt;'PlayerGrades+'!$AI$8,"B",IF(T494&lt;'PlayerGrades+'!$AI$7,"B+",IF(T494&lt;'PlayerGrades+'!$AI$6,"A-",IF(T494&lt;'PlayerGrades+'!$AI$5,"A",IF(T494&lt;'PlayerGrades+'!$AI$4,"A+",IF(T494&lt;'PlayerGrades+'!$AI$3,"S-",IF(T494&lt;'PlayerGrades+'!$AI$2,"S","S+"))))))))))))))))))))</f>
        <v>A-</v>
      </c>
      <c r="V494" s="941">
        <v>1.0</v>
      </c>
      <c r="W494" s="941">
        <v>0.0</v>
      </c>
      <c r="X494" s="941">
        <v>1.0</v>
      </c>
      <c r="Y494" s="941">
        <v>2.0</v>
      </c>
      <c r="Z494" s="941">
        <v>5.0</v>
      </c>
      <c r="AA494" s="941">
        <v>101.0</v>
      </c>
      <c r="AB494" s="941">
        <v>90.0</v>
      </c>
      <c r="AC494" s="941">
        <v>11.0</v>
      </c>
      <c r="AD494" s="941">
        <v>7.0</v>
      </c>
      <c r="AE494" s="941">
        <v>5.0</v>
      </c>
      <c r="AF494" s="941">
        <v>2.0</v>
      </c>
      <c r="AG494" s="941">
        <v>1419.0</v>
      </c>
      <c r="AH494" s="941">
        <v>1778.0</v>
      </c>
      <c r="AI494" s="941">
        <v>15.0</v>
      </c>
      <c r="AJ494" s="941">
        <v>175.0</v>
      </c>
      <c r="AK494" s="941">
        <v>0.0</v>
      </c>
      <c r="AL494" s="941">
        <v>2.0</v>
      </c>
      <c r="AM494" s="941">
        <v>0.0</v>
      </c>
      <c r="AN494" s="941">
        <v>0.0</v>
      </c>
      <c r="AO494" s="941">
        <v>0.0</v>
      </c>
      <c r="AP494" s="941">
        <v>1.0</v>
      </c>
      <c r="AQ494" s="941">
        <v>0.0</v>
      </c>
      <c r="AR494" s="941">
        <v>16.0</v>
      </c>
      <c r="AS494" s="941">
        <v>4.0</v>
      </c>
      <c r="AT494" s="941">
        <v>0.0</v>
      </c>
      <c r="AU494" s="941">
        <v>0.0</v>
      </c>
      <c r="AV494" s="941">
        <v>0.0</v>
      </c>
      <c r="AW494" s="941">
        <v>0.0</v>
      </c>
      <c r="AX494" s="941">
        <v>0.0</v>
      </c>
      <c r="AY494" s="941">
        <v>0.0</v>
      </c>
      <c r="AZ494" s="941">
        <v>0.0</v>
      </c>
      <c r="BA494" s="941">
        <v>0.0</v>
      </c>
      <c r="BB494" s="941">
        <v>0.0</v>
      </c>
      <c r="BC494" s="941">
        <v>0.0</v>
      </c>
      <c r="BD494" s="941">
        <v>16.0</v>
      </c>
      <c r="BE494" s="941">
        <v>14.0</v>
      </c>
      <c r="BF494" s="941">
        <v>1.0</v>
      </c>
      <c r="BG494" s="942">
        <v>0.0</v>
      </c>
    </row>
    <row r="495">
      <c r="A495" s="935" t="s">
        <v>151</v>
      </c>
      <c r="B495" s="16" t="str">
        <f>IF(C495&lt;'PlayerGrades+'!$Y$44,"F-",IF(C495&lt;'PlayerGrades+'!$Y$43,"F",IF(C495&lt;'PlayerGrades+'!$Y$42,"F+",IF(C495&lt;'PlayerGrades+'!$Y$41,"E-",IF(C495&lt;'PlayerGrades+'!$Y$40,"E",IF(C495&lt;'PlayerGrades+'!$Y$39,"E+",IF(C495&lt;'PlayerGrades+'!$Y$38,"D-",IF(C495&lt;'PlayerGrades+'!$Y$37,"D",IF(C495&lt;'PlayerGrades+'!$Y$36,"D+",IF(C495&lt;'PlayerGrades+'!$Y$35,"C-",IF(C495&lt;'PlayerGrades+'!$Y$34,"C",IF(C495&lt;'PlayerGrades+'!$Y$33,"C+",IF(C495&lt;'PlayerGrades+'!$Y$32,"B-",IF(C495&lt;'PlayerGrades+'!$Y$31,"B",IF(C495&lt;'PlayerGrades+'!$Y$30,"B+",IF(C495&lt;'PlayerGrades+'!$Y$29,"A-",IF(C495&lt;'PlayerGrades+'!$Y$28,"A",IF(C495&lt;'PlayerGrades+'!$Y$27,"A+",IF(C495&lt;'PlayerGrades+'!$Y$26,"S-",IF(C495&lt;'PlayerGrades+'!$Y$25,"S","S+"))))))))))))))))))))</f>
        <v>E-</v>
      </c>
      <c r="C495" s="936">
        <f>('PlayerGrades+'!$Y$47*(VLOOKUP(E495, 'PlayerGrades+'!$X$3:$Y$23, 2, FALSE)))+('PlayerGrades+'!$Y$48*(VLOOKUP(G495, 'PlayerGrades+'!$X$3:$Y$23, 2, FALSE)))+('PlayerGrades+'!$Y$49*(VLOOKUP(I495, 'PlayerGrades+'!$X$3:$Y$23, 2, FALSE)))+('PlayerGrades+'!$Y$50*(VLOOKUP(K495, 'PlayerGrades+'!$X$3:$Y$23, 2, FALSE)))+('PlayerGrades+'!$Y$51*(VLOOKUP(M495, 'PlayerGrades+'!$X$3:$Y$23, 2, FALSE)))+('PlayerGrades+'!$Y$52*(VLOOKUP(O495, 'PlayerGrades+'!$X$3:$Y$23, 2, FALSE)))+('PlayerGrades+'!$Y$53*(VLOOKUP(Q495, 'PlayerGrades+'!$X$3:$Y$23, 2, FALSE)))+('PlayerGrades+'!$Y$54*(VLOOKUP(S495, 'PlayerGrades+'!$X$3:$Y$23, 2, FALSE)))+('PlayerGrades+'!$Y$55*(VLOOKUP(U495, 'PlayerGrades+'!$X$3:$Y$23, 2, FALSE)))</f>
        <v>11.5</v>
      </c>
      <c r="D495" s="937">
        <f t="shared" si="1"/>
        <v>0.03374578178</v>
      </c>
      <c r="E495" s="937" t="str">
        <f>IF(D495&lt;'PlayerGrades+'!$AA$21,"F-",IF(D495&lt;'PlayerGrades+'!$AA$20,"F",IF(D495&lt;'PlayerGrades+'!$AA$19,"F+",IF(D495&lt;'PlayerGrades+'!$AA$18,"E-",IF(D495&lt;'PlayerGrades+'!$AA$17,"E",IF(D495&lt;'PlayerGrades+'!$AA$16,"E+",IF(D495&lt;'PlayerGrades+'!$AA$15,"D-",IF(D495&lt;'PlayerGrades+'!$AA$14,"D",IF(D495&lt;'PlayerGrades+'!$AA$13,"D+",IF(D495&lt;'PlayerGrades+'!$AA$12,"C-",IF(D495&lt;'PlayerGrades+'!$AA$11,"C",IF(D495&lt;'PlayerGrades+'!$AA$10,"C+",IF(D495&lt;'PlayerGrades+'!$AA$9,"B-",IF(D495&lt;'PlayerGrades+'!$AA$8,"B",IF(D495&lt;'PlayerGrades+'!$AA$7,"B+",IF(D495&lt;'PlayerGrades+'!$AA$6,"A-",IF(D495&lt;'PlayerGrades+'!$AA$5,"A",IF(D495&lt;'PlayerGrades+'!$AA$4,"A+",IF(D495&lt;'PlayerGrades+'!$AA$3,"S-",IF(D495&lt;'PlayerGrades+'!$AA$2,"S","S+"))))))))))))))))))))</f>
        <v>C-</v>
      </c>
      <c r="F495" s="937">
        <f t="shared" si="2"/>
        <v>-0.4724409449</v>
      </c>
      <c r="G495" s="937" t="str">
        <f>IF(F495&lt;'PlayerGrades+'!$AB$21,"F-",IF(F495&lt;'PlayerGrades+'!$AB$20,"F",IF(F495&lt;'PlayerGrades+'!$AB$19,"F+",IF(F495&lt;'PlayerGrades+'!$AB$18,"E-",IF(F495&lt;'PlayerGrades+'!$AB$17,"E",IF(F495&lt;'PlayerGrades+'!$AB$16,"E+",IF(F495&lt;'PlayerGrades+'!$AB$15,"D-",IF(F495&lt;'PlayerGrades+'!$AB$14,"D",IF(F495&lt;'PlayerGrades+'!$AB$13,"D+",IF(F495&lt;'PlayerGrades+'!$AB$12,"C-",IF(F495&lt;'PlayerGrades+'!$AB$11,"C",IF(F495&lt;'PlayerGrades+'!$AB$10,"C+",IF(F495&lt;'PlayerGrades+'!$AB$9,"B-",IF(F495&lt;'PlayerGrades+'!$AB$8,"B",IF(F495&lt;'PlayerGrades+'!$AB$7,"B+",IF(F495&lt;'PlayerGrades+'!$AB$6,"A-",IF(F495&lt;'PlayerGrades+'!$AB$5,"A",IF(F495&lt;'PlayerGrades+'!$AB$4,"A+",IF(F495&lt;'PlayerGrades+'!$AB$3,"S-",IF(F495&lt;'PlayerGrades+'!$AB$2,"S","S+"))))))))))))))))))))</f>
        <v>D</v>
      </c>
      <c r="H495" s="937">
        <f t="shared" si="3"/>
        <v>0</v>
      </c>
      <c r="I495" s="937" t="str">
        <f>IF(H495&lt;'PlayerGrades+'!$AC$21,"F-",IF(H495&lt;'PlayerGrades+'!$AC$20,"F",IF(H495&lt;'PlayerGrades+'!$AC$19,"F+",IF(H495&lt;'PlayerGrades+'!$AC$18,"E-",IF(H495&lt;'PlayerGrades+'!$AC$17,"E",IF(H495&lt;'PlayerGrades+'!$AC$16,"E+",IF(H495&lt;'PlayerGrades+'!$AC$15,"D-",IF(H495&lt;'PlayerGrades+'!$AC$14,"D",IF(H495&lt;'PlayerGrades+'!$AC$13,"D+",IF(H495&lt;'PlayerGrades+'!$AC$12,"C-",IF(H495&lt;'PlayerGrades+'!$AC$11,"C",IF(H495&lt;'PlayerGrades+'!$AC$10,"C+",IF(H495&lt;'PlayerGrades+'!$AC$9,"B-",IF(H495&lt;'PlayerGrades+'!$AC$8,"B",IF(H495&lt;'PlayerGrades+'!$AC$7,"B+",IF(H495&lt;'PlayerGrades+'!$AC$6,"A-",IF(H495&lt;'PlayerGrades+'!$AC$5,"A",IF(H495&lt;'PlayerGrades+'!$AC$4,"A+",IF(H495&lt;'PlayerGrades+'!$AC$3,"S-",IF(H495&lt;'PlayerGrades+'!$AC$2,"S","S+"))))))))))))))))))))</f>
        <v>F-</v>
      </c>
      <c r="J495" s="937">
        <f t="shared" si="4"/>
        <v>0.03374578178</v>
      </c>
      <c r="K495" s="937" t="str">
        <f>IF(J495&lt;'PlayerGrades+'!$AD$21,"F-",IF(J495&lt;'PlayerGrades+'!$AD$20,"F",IF(J495&lt;'PlayerGrades+'!$AD$19,"F+",IF(J495&lt;'PlayerGrades+'!$AD$18,"E-",IF(J495&lt;'PlayerGrades+'!$AD$17,"E",IF(J495&lt;'PlayerGrades+'!$AD$16,"E+",IF(J495&lt;'PlayerGrades+'!$AD$15,"D-",IF(J495&lt;'PlayerGrades+'!$AD$14,"D",IF(J495&lt;'PlayerGrades+'!$AD$13,"D+",IF(J495&lt;'PlayerGrades+'!$AD$12,"C-",IF(J495&lt;'PlayerGrades+'!$AD$11,"C",IF(J495&lt;'PlayerGrades+'!$AD$10,"C+",IF(J495&lt;'PlayerGrades+'!$AD$9,"B-",IF(J495&lt;'PlayerGrades+'!$AD$8,"B",IF(J495&lt;'PlayerGrades+'!$AD$7,"B+",IF(J495&lt;'PlayerGrades+'!$AD$6,"A-",IF(J495&lt;'PlayerGrades+'!$AD$5,"A",IF(J495&lt;'PlayerGrades+'!$AD$4,"A+",IF(J495&lt;'PlayerGrades+'!$AD$3,"S-",IF(J495&lt;'PlayerGrades+'!$AD$2,"S","S+"))))))))))))))))))))</f>
        <v>C</v>
      </c>
      <c r="L495" s="677">
        <f t="shared" si="5"/>
        <v>0.303712036</v>
      </c>
      <c r="M495" s="938" t="str">
        <f>IF(L495&lt;'PlayerGrades+'!$AE$21,"F-",IF(L495&lt;'PlayerGrades+'!$AE$20,"F",IF(L495&lt;'PlayerGrades+'!$AE$19,"F+",IF(L495&lt;'PlayerGrades+'!$AE$18,"E-",IF(L495&lt;'PlayerGrades+'!$AE$17,"E",IF(L495&lt;'PlayerGrades+'!$AE$16,"E+",IF(L495&lt;'PlayerGrades+'!$AE$15,"D-",IF(L495&lt;'PlayerGrades+'!$AE$14,"D",IF(L495&lt;'PlayerGrades+'!$AE$13,"D+",IF(L495&lt;'PlayerGrades+'!$AE$12,"C-",IF(L495&lt;'PlayerGrades+'!$AE$11,"C",IF(L495&lt;'PlayerGrades+'!$AE$10,"C+",IF(L495&lt;'PlayerGrades+'!$AE$9,"B-",IF(L495&lt;'PlayerGrades+'!$AE$8,"B",IF(L495&lt;'PlayerGrades+'!$AE$7,"B+",IF(L495&lt;'PlayerGrades+'!$AE$6,"A-",IF(L495&lt;'PlayerGrades+'!$AE$5,"A",IF(L495&lt;'PlayerGrades+'!$AE$4,"A+",IF(L495&lt;'PlayerGrades+'!$AE$3,"S-",IF(L495&lt;'PlayerGrades+'!$AE$2,"S","S+"))))))))))))))))))))</f>
        <v>E-</v>
      </c>
      <c r="N495" s="937">
        <f t="shared" si="6"/>
        <v>0</v>
      </c>
      <c r="O495" s="937" t="str">
        <f>IF(N495&lt;'PlayerGrades+'!$AF$21,"F-",IF(N495&lt;'PlayerGrades+'!$AF$20,"F",IF(N495&lt;'PlayerGrades+'!$AF$19,"F+",IF(N495&lt;'PlayerGrades+'!$AF$18,"E-",IF(N495&lt;'PlayerGrades+'!$AF$17,"E",IF(N495&lt;'PlayerGrades+'!$AF$16,"E+",IF(N495&lt;'PlayerGrades+'!$AF$15,"D-",IF(N495&lt;'PlayerGrades+'!$AF$14,"D",IF(N495&lt;'PlayerGrades+'!$AF$13,"D+",IF(N495&lt;'PlayerGrades+'!$AF$12,"C-",IF(N495&lt;'PlayerGrades+'!$AF$11,"C",IF(N495&lt;'PlayerGrades+'!$AF$10,"C+",IF(N495&lt;'PlayerGrades+'!$AF$9,"B-",IF(N495&lt;'PlayerGrades+'!$AF$8,"B",IF(N495&lt;'PlayerGrades+'!$AF$7,"B+",IF(N495&lt;'PlayerGrades+'!$AF$6,"A-",IF(N495&lt;'PlayerGrades+'!$AF$5,"A",IF(N495&lt;'PlayerGrades+'!$AF$4,"A+",IF(N495&lt;'PlayerGrades+'!$AF$3,"S-",IF(N495&lt;'PlayerGrades+'!$AF$2,"S","S+"))))))))))))))))))))</f>
        <v>F-</v>
      </c>
      <c r="P495" s="937">
        <f t="shared" si="7"/>
        <v>0.03374578178</v>
      </c>
      <c r="Q495" s="937" t="str">
        <f>IF(P495&lt;'PlayerGrades+'!$AG$21,"F-",IF(P495&lt;'PlayerGrades+'!$AG$20,"F",IF(P495&lt;'PlayerGrades+'!$AG$19,"F+",IF(P495&lt;'PlayerGrades+'!$AG$18,"E-",IF(P495&lt;'PlayerGrades+'!$AG$17,"E",IF(P495&lt;'PlayerGrades+'!$AG$16,"E+",IF(P495&lt;'PlayerGrades+'!$AG$15,"D-",IF(P495&lt;'PlayerGrades+'!$AG$14,"D",IF(P495&lt;'PlayerGrades+'!$AG$13,"D+",IF(P495&lt;'PlayerGrades+'!$AG$12,"C-",IF(P495&lt;'PlayerGrades+'!$AG$11,"C",IF(P495&lt;'PlayerGrades+'!$AG$10,"C+",IF(P495&lt;'PlayerGrades+'!$AG$9,"B-",IF(P495&lt;'PlayerGrades+'!$AG$8,"B",IF(P495&lt;'PlayerGrades+'!$AG$7,"B+",IF(P495&lt;'PlayerGrades+'!$AG$6,"A-",IF(P495&lt;'PlayerGrades+'!$AG$5,"A",IF(P495&lt;'PlayerGrades+'!$AG$4,"A+",IF(P495&lt;'PlayerGrades+'!$AG$3,"S-",IF(P495&lt;'PlayerGrades+'!$AG$2,"S","S+"))))))))))))))))))))</f>
        <v>B+</v>
      </c>
      <c r="R495" s="937">
        <f t="shared" si="8"/>
        <v>0.3374578178</v>
      </c>
      <c r="S495" s="937" t="str">
        <f>IF(R495&lt;'PlayerGrades+'!$AH$21,"F-",IF(R495&lt;'PlayerGrades+'!$AH$20,"F",IF(R495&lt;'PlayerGrades+'!$AH$19,"F+",IF(R495&lt;'PlayerGrades+'!$AH$18,"E-",IF(R495&lt;'PlayerGrades+'!$AH$17,"E",IF(R495&lt;'PlayerGrades+'!$AH$16,"E+",IF(R495&lt;'PlayerGrades+'!$AH$15,"D-",IF(R495&lt;'PlayerGrades+'!$AH$14,"D",IF(R495&lt;'PlayerGrades+'!$AH$13,"D+",IF(R495&lt;'PlayerGrades+'!$AH$12,"C-",IF(R495&lt;'PlayerGrades+'!$AH$11,"C",IF(R495&lt;'PlayerGrades+'!$AH$10,"C+",IF(R495&lt;'PlayerGrades+'!$AH$9,"B-",IF(R495&lt;'PlayerGrades+'!$AH$8,"B",IF(R495&lt;'PlayerGrades+'!$AH$7,"B+",IF(R495&lt;'PlayerGrades+'!$AH$6,"A-",IF(R495&lt;'PlayerGrades+'!$AH$5,"A",IF(R495&lt;'PlayerGrades+'!$AH$4,"A+",IF(R495&lt;'PlayerGrades+'!$AH$3,"S-",IF(R495&lt;'PlayerGrades+'!$AH$2,"S","S+"))))))))))))))))))))</f>
        <v>F</v>
      </c>
      <c r="T495" s="937">
        <f t="shared" si="9"/>
        <v>1.404949381</v>
      </c>
      <c r="U495" s="937" t="str">
        <f>IF(T495&lt;'PlayerGrades+'!$AI$21,"F-",IF(T495&lt;'PlayerGrades+'!$AI$20,"F",IF(T495&lt;'PlayerGrades+'!$AI$19,"F+",IF(T495&lt;'PlayerGrades+'!$AI$18,"E-",IF(T495&lt;'PlayerGrades+'!$AI$17,"E",IF(T495&lt;'PlayerGrades+'!$AI$16,"E+",IF(T495&lt;'PlayerGrades+'!$AI$15,"D-",IF(T495&lt;'PlayerGrades+'!$AI$14,"D",IF(T495&lt;'PlayerGrades+'!$AI$13,"D+",IF(T495&lt;'PlayerGrades+'!$AI$12,"C-",IF(T495&lt;'PlayerGrades+'!$AI$11,"C",IF(T495&lt;'PlayerGrades+'!$AI$10,"C+",IF(T495&lt;'PlayerGrades+'!$AI$9,"B-",IF(T495&lt;'PlayerGrades+'!$AI$8,"B",IF(T495&lt;'PlayerGrades+'!$AI$7,"B+",IF(T495&lt;'PlayerGrades+'!$AI$6,"A-",IF(T495&lt;'PlayerGrades+'!$AI$5,"A",IF(T495&lt;'PlayerGrades+'!$AI$4,"A+",IF(T495&lt;'PlayerGrades+'!$AI$3,"S-",IF(T495&lt;'PlayerGrades+'!$AI$2,"S","S+"))))))))))))))))))))</f>
        <v>B</v>
      </c>
      <c r="V495" s="941">
        <v>1.0</v>
      </c>
      <c r="W495" s="941">
        <v>0.0</v>
      </c>
      <c r="X495" s="941">
        <v>1.0</v>
      </c>
      <c r="Y495" s="941">
        <v>0.0</v>
      </c>
      <c r="Z495" s="941">
        <v>1.0</v>
      </c>
      <c r="AA495" s="941">
        <v>73.0</v>
      </c>
      <c r="AB495" s="941">
        <v>87.0</v>
      </c>
      <c r="AC495" s="941">
        <v>-14.0</v>
      </c>
      <c r="AD495" s="941">
        <v>5.0</v>
      </c>
      <c r="AE495" s="941">
        <v>5.0</v>
      </c>
      <c r="AF495" s="941">
        <v>2.0</v>
      </c>
      <c r="AG495" s="941">
        <v>1423.0</v>
      </c>
      <c r="AH495" s="941">
        <v>1778.0</v>
      </c>
      <c r="AI495" s="941">
        <v>16.0</v>
      </c>
      <c r="AJ495" s="941">
        <v>1.0</v>
      </c>
      <c r="AK495" s="941">
        <v>0.0</v>
      </c>
      <c r="AL495" s="941">
        <v>1.0</v>
      </c>
      <c r="AM495" s="941">
        <v>0.0</v>
      </c>
      <c r="AN495" s="941">
        <v>0.0</v>
      </c>
      <c r="AO495" s="941">
        <v>0.0</v>
      </c>
      <c r="AP495" s="941">
        <v>1.0</v>
      </c>
      <c r="AQ495" s="941">
        <v>0.0</v>
      </c>
      <c r="AR495" s="941">
        <v>9.0</v>
      </c>
      <c r="AS495" s="941">
        <v>0.0</v>
      </c>
      <c r="AT495" s="941">
        <v>0.0</v>
      </c>
      <c r="AU495" s="941">
        <v>0.0</v>
      </c>
      <c r="AV495" s="941">
        <v>0.0</v>
      </c>
      <c r="AW495" s="941">
        <v>0.0</v>
      </c>
      <c r="AX495" s="941">
        <v>0.0</v>
      </c>
      <c r="AY495" s="941">
        <v>0.0</v>
      </c>
      <c r="AZ495" s="941">
        <v>0.0</v>
      </c>
      <c r="BA495" s="941">
        <v>0.0</v>
      </c>
      <c r="BB495" s="941">
        <v>0.0</v>
      </c>
      <c r="BC495" s="941">
        <v>0.0</v>
      </c>
      <c r="BD495" s="941">
        <v>5.0</v>
      </c>
      <c r="BE495" s="941">
        <v>12.0</v>
      </c>
      <c r="BF495" s="941">
        <v>1.0</v>
      </c>
      <c r="BG495" s="942">
        <v>0.0</v>
      </c>
    </row>
    <row r="496">
      <c r="A496" s="935" t="s">
        <v>118</v>
      </c>
      <c r="B496" s="16" t="str">
        <f>IF(C496&lt;'PlayerGrades+'!$Y$44,"F-",IF(C496&lt;'PlayerGrades+'!$Y$43,"F",IF(C496&lt;'PlayerGrades+'!$Y$42,"F+",IF(C496&lt;'PlayerGrades+'!$Y$41,"E-",IF(C496&lt;'PlayerGrades+'!$Y$40,"E",IF(C496&lt;'PlayerGrades+'!$Y$39,"E+",IF(C496&lt;'PlayerGrades+'!$Y$38,"D-",IF(C496&lt;'PlayerGrades+'!$Y$37,"D",IF(C496&lt;'PlayerGrades+'!$Y$36,"D+",IF(C496&lt;'PlayerGrades+'!$Y$35,"C-",IF(C496&lt;'PlayerGrades+'!$Y$34,"C",IF(C496&lt;'PlayerGrades+'!$Y$33,"C+",IF(C496&lt;'PlayerGrades+'!$Y$32,"B-",IF(C496&lt;'PlayerGrades+'!$Y$31,"B",IF(C496&lt;'PlayerGrades+'!$Y$30,"B+",IF(C496&lt;'PlayerGrades+'!$Y$29,"A-",IF(C496&lt;'PlayerGrades+'!$Y$28,"A",IF(C496&lt;'PlayerGrades+'!$Y$27,"A+",IF(C496&lt;'PlayerGrades+'!$Y$26,"S-",IF(C496&lt;'PlayerGrades+'!$Y$25,"S","S+"))))))))))))))))))))</f>
        <v>F+</v>
      </c>
      <c r="C496" s="936">
        <f>('PlayerGrades+'!$Y$47*(VLOOKUP(E496, 'PlayerGrades+'!$X$3:$Y$23, 2, FALSE)))+('PlayerGrades+'!$Y$48*(VLOOKUP(G496, 'PlayerGrades+'!$X$3:$Y$23, 2, FALSE)))+('PlayerGrades+'!$Y$49*(VLOOKUP(I496, 'PlayerGrades+'!$X$3:$Y$23, 2, FALSE)))+('PlayerGrades+'!$Y$50*(VLOOKUP(K496, 'PlayerGrades+'!$X$3:$Y$23, 2, FALSE)))+('PlayerGrades+'!$Y$51*(VLOOKUP(M496, 'PlayerGrades+'!$X$3:$Y$23, 2, FALSE)))+('PlayerGrades+'!$Y$52*(VLOOKUP(O496, 'PlayerGrades+'!$X$3:$Y$23, 2, FALSE)))+('PlayerGrades+'!$Y$53*(VLOOKUP(Q496, 'PlayerGrades+'!$X$3:$Y$23, 2, FALSE)))+('PlayerGrades+'!$Y$54*(VLOOKUP(S496, 'PlayerGrades+'!$X$3:$Y$23, 2, FALSE)))+('PlayerGrades+'!$Y$55*(VLOOKUP(U496, 'PlayerGrades+'!$X$3:$Y$23, 2, FALSE)))</f>
        <v>10.65</v>
      </c>
      <c r="D496" s="937">
        <f t="shared" si="1"/>
        <v>0.1687289089</v>
      </c>
      <c r="E496" s="937" t="str">
        <f>IF(D496&lt;'PlayerGrades+'!$AA$21,"F-",IF(D496&lt;'PlayerGrades+'!$AA$20,"F",IF(D496&lt;'PlayerGrades+'!$AA$19,"F+",IF(D496&lt;'PlayerGrades+'!$AA$18,"E-",IF(D496&lt;'PlayerGrades+'!$AA$17,"E",IF(D496&lt;'PlayerGrades+'!$AA$16,"E+",IF(D496&lt;'PlayerGrades+'!$AA$15,"D-",IF(D496&lt;'PlayerGrades+'!$AA$14,"D",IF(D496&lt;'PlayerGrades+'!$AA$13,"D+",IF(D496&lt;'PlayerGrades+'!$AA$12,"C-",IF(D496&lt;'PlayerGrades+'!$AA$11,"C",IF(D496&lt;'PlayerGrades+'!$AA$10,"C+",IF(D496&lt;'PlayerGrades+'!$AA$9,"B-",IF(D496&lt;'PlayerGrades+'!$AA$8,"B",IF(D496&lt;'PlayerGrades+'!$AA$7,"B+",IF(D496&lt;'PlayerGrades+'!$AA$6,"A-",IF(D496&lt;'PlayerGrades+'!$AA$5,"A",IF(D496&lt;'PlayerGrades+'!$AA$4,"A+",IF(D496&lt;'PlayerGrades+'!$AA$3,"S-",IF(D496&lt;'PlayerGrades+'!$AA$2,"S","S+"))))))))))))))))))))</f>
        <v>B+</v>
      </c>
      <c r="F496" s="937">
        <f t="shared" si="2"/>
        <v>-1.316085489</v>
      </c>
      <c r="G496" s="937" t="str">
        <f>IF(F496&lt;'PlayerGrades+'!$AB$21,"F-",IF(F496&lt;'PlayerGrades+'!$AB$20,"F",IF(F496&lt;'PlayerGrades+'!$AB$19,"F+",IF(F496&lt;'PlayerGrades+'!$AB$18,"E-",IF(F496&lt;'PlayerGrades+'!$AB$17,"E",IF(F496&lt;'PlayerGrades+'!$AB$16,"E+",IF(F496&lt;'PlayerGrades+'!$AB$15,"D-",IF(F496&lt;'PlayerGrades+'!$AB$14,"D",IF(F496&lt;'PlayerGrades+'!$AB$13,"D+",IF(F496&lt;'PlayerGrades+'!$AB$12,"C-",IF(F496&lt;'PlayerGrades+'!$AB$11,"C",IF(F496&lt;'PlayerGrades+'!$AB$10,"C+",IF(F496&lt;'PlayerGrades+'!$AB$9,"B-",IF(F496&lt;'PlayerGrades+'!$AB$8,"B",IF(F496&lt;'PlayerGrades+'!$AB$7,"B+",IF(F496&lt;'PlayerGrades+'!$AB$6,"A-",IF(F496&lt;'PlayerGrades+'!$AB$5,"A",IF(F496&lt;'PlayerGrades+'!$AB$4,"A+",IF(F496&lt;'PlayerGrades+'!$AB$3,"S-",IF(F496&lt;'PlayerGrades+'!$AB$2,"S","S+"))))))))))))))))))))</f>
        <v>F-</v>
      </c>
      <c r="H496" s="937">
        <f t="shared" si="3"/>
        <v>0</v>
      </c>
      <c r="I496" s="937" t="str">
        <f>IF(H496&lt;'PlayerGrades+'!$AC$21,"F-",IF(H496&lt;'PlayerGrades+'!$AC$20,"F",IF(H496&lt;'PlayerGrades+'!$AC$19,"F+",IF(H496&lt;'PlayerGrades+'!$AC$18,"E-",IF(H496&lt;'PlayerGrades+'!$AC$17,"E",IF(H496&lt;'PlayerGrades+'!$AC$16,"E+",IF(H496&lt;'PlayerGrades+'!$AC$15,"D-",IF(H496&lt;'PlayerGrades+'!$AC$14,"D",IF(H496&lt;'PlayerGrades+'!$AC$13,"D+",IF(H496&lt;'PlayerGrades+'!$AC$12,"C-",IF(H496&lt;'PlayerGrades+'!$AC$11,"C",IF(H496&lt;'PlayerGrades+'!$AC$10,"C+",IF(H496&lt;'PlayerGrades+'!$AC$9,"B-",IF(H496&lt;'PlayerGrades+'!$AC$8,"B",IF(H496&lt;'PlayerGrades+'!$AC$7,"B+",IF(H496&lt;'PlayerGrades+'!$AC$6,"A-",IF(H496&lt;'PlayerGrades+'!$AC$5,"A",IF(H496&lt;'PlayerGrades+'!$AC$4,"A+",IF(H496&lt;'PlayerGrades+'!$AC$3,"S-",IF(H496&lt;'PlayerGrades+'!$AC$2,"S","S+"))))))))))))))))))))</f>
        <v>F-</v>
      </c>
      <c r="J496" s="937">
        <f t="shared" si="4"/>
        <v>0</v>
      </c>
      <c r="K496" s="937" t="str">
        <f>IF(J496&lt;'PlayerGrades+'!$AD$21,"F-",IF(J496&lt;'PlayerGrades+'!$AD$20,"F",IF(J496&lt;'PlayerGrades+'!$AD$19,"F+",IF(J496&lt;'PlayerGrades+'!$AD$18,"E-",IF(J496&lt;'PlayerGrades+'!$AD$17,"E",IF(J496&lt;'PlayerGrades+'!$AD$16,"E+",IF(J496&lt;'PlayerGrades+'!$AD$15,"D-",IF(J496&lt;'PlayerGrades+'!$AD$14,"D",IF(J496&lt;'PlayerGrades+'!$AD$13,"D+",IF(J496&lt;'PlayerGrades+'!$AD$12,"C-",IF(J496&lt;'PlayerGrades+'!$AD$11,"C",IF(J496&lt;'PlayerGrades+'!$AD$10,"C+",IF(J496&lt;'PlayerGrades+'!$AD$9,"B-",IF(J496&lt;'PlayerGrades+'!$AD$8,"B",IF(J496&lt;'PlayerGrades+'!$AD$7,"B+",IF(J496&lt;'PlayerGrades+'!$AD$6,"A-",IF(J496&lt;'PlayerGrades+'!$AD$5,"A",IF(J496&lt;'PlayerGrades+'!$AD$4,"A+",IF(J496&lt;'PlayerGrades+'!$AD$3,"S-",IF(J496&lt;'PlayerGrades+'!$AD$2,"S","S+"))))))))))))))))))))</f>
        <v>F-</v>
      </c>
      <c r="L496" s="677">
        <f t="shared" si="5"/>
        <v>0.2699662542</v>
      </c>
      <c r="M496" s="938" t="str">
        <f>IF(L496&lt;'PlayerGrades+'!$AE$21,"F-",IF(L496&lt;'PlayerGrades+'!$AE$20,"F",IF(L496&lt;'PlayerGrades+'!$AE$19,"F+",IF(L496&lt;'PlayerGrades+'!$AE$18,"E-",IF(L496&lt;'PlayerGrades+'!$AE$17,"E",IF(L496&lt;'PlayerGrades+'!$AE$16,"E+",IF(L496&lt;'PlayerGrades+'!$AE$15,"D-",IF(L496&lt;'PlayerGrades+'!$AE$14,"D",IF(L496&lt;'PlayerGrades+'!$AE$13,"D+",IF(L496&lt;'PlayerGrades+'!$AE$12,"C-",IF(L496&lt;'PlayerGrades+'!$AE$11,"C",IF(L496&lt;'PlayerGrades+'!$AE$10,"C+",IF(L496&lt;'PlayerGrades+'!$AE$9,"B-",IF(L496&lt;'PlayerGrades+'!$AE$8,"B",IF(L496&lt;'PlayerGrades+'!$AE$7,"B+",IF(L496&lt;'PlayerGrades+'!$AE$6,"A-",IF(L496&lt;'PlayerGrades+'!$AE$5,"A",IF(L496&lt;'PlayerGrades+'!$AE$4,"A+",IF(L496&lt;'PlayerGrades+'!$AE$3,"S-",IF(L496&lt;'PlayerGrades+'!$AE$2,"S","S+"))))))))))))))))))))</f>
        <v>F</v>
      </c>
      <c r="N496" s="937">
        <f t="shared" si="6"/>
        <v>0.06749156355</v>
      </c>
      <c r="O496" s="937" t="str">
        <f>IF(N496&lt;'PlayerGrades+'!$AF$21,"F-",IF(N496&lt;'PlayerGrades+'!$AF$20,"F",IF(N496&lt;'PlayerGrades+'!$AF$19,"F+",IF(N496&lt;'PlayerGrades+'!$AF$18,"E-",IF(N496&lt;'PlayerGrades+'!$AF$17,"E",IF(N496&lt;'PlayerGrades+'!$AF$16,"E+",IF(N496&lt;'PlayerGrades+'!$AF$15,"D-",IF(N496&lt;'PlayerGrades+'!$AF$14,"D",IF(N496&lt;'PlayerGrades+'!$AF$13,"D+",IF(N496&lt;'PlayerGrades+'!$AF$12,"C-",IF(N496&lt;'PlayerGrades+'!$AF$11,"C",IF(N496&lt;'PlayerGrades+'!$AF$10,"C+",IF(N496&lt;'PlayerGrades+'!$AF$9,"B-",IF(N496&lt;'PlayerGrades+'!$AF$8,"B",IF(N496&lt;'PlayerGrades+'!$AF$7,"B+",IF(N496&lt;'PlayerGrades+'!$AF$6,"A-",IF(N496&lt;'PlayerGrades+'!$AF$5,"A",IF(N496&lt;'PlayerGrades+'!$AF$4,"A+",IF(N496&lt;'PlayerGrades+'!$AF$3,"S-",IF(N496&lt;'PlayerGrades+'!$AF$2,"S","S+"))))))))))))))))))))</f>
        <v>C-</v>
      </c>
      <c r="P496" s="937">
        <f t="shared" si="7"/>
        <v>0</v>
      </c>
      <c r="Q496" s="937" t="str">
        <f>IF(P496&lt;'PlayerGrades+'!$AG$21,"F-",IF(P496&lt;'PlayerGrades+'!$AG$20,"F",IF(P496&lt;'PlayerGrades+'!$AG$19,"F+",IF(P496&lt;'PlayerGrades+'!$AG$18,"E-",IF(P496&lt;'PlayerGrades+'!$AG$17,"E",IF(P496&lt;'PlayerGrades+'!$AG$16,"E+",IF(P496&lt;'PlayerGrades+'!$AG$15,"D-",IF(P496&lt;'PlayerGrades+'!$AG$14,"D",IF(P496&lt;'PlayerGrades+'!$AG$13,"D+",IF(P496&lt;'PlayerGrades+'!$AG$12,"C-",IF(P496&lt;'PlayerGrades+'!$AG$11,"C",IF(P496&lt;'PlayerGrades+'!$AG$10,"C+",IF(P496&lt;'PlayerGrades+'!$AG$9,"B-",IF(P496&lt;'PlayerGrades+'!$AG$8,"B",IF(P496&lt;'PlayerGrades+'!$AG$7,"B+",IF(P496&lt;'PlayerGrades+'!$AG$6,"A-",IF(P496&lt;'PlayerGrades+'!$AG$5,"A",IF(P496&lt;'PlayerGrades+'!$AG$4,"A+",IF(P496&lt;'PlayerGrades+'!$AG$3,"S-",IF(P496&lt;'PlayerGrades+'!$AG$2,"S","S+"))))))))))))))))))))</f>
        <v>F</v>
      </c>
      <c r="R496" s="937">
        <f t="shared" si="8"/>
        <v>0.3374578178</v>
      </c>
      <c r="S496" s="937" t="str">
        <f>IF(R496&lt;'PlayerGrades+'!$AH$21,"F-",IF(R496&lt;'PlayerGrades+'!$AH$20,"F",IF(R496&lt;'PlayerGrades+'!$AH$19,"F+",IF(R496&lt;'PlayerGrades+'!$AH$18,"E-",IF(R496&lt;'PlayerGrades+'!$AH$17,"E",IF(R496&lt;'PlayerGrades+'!$AH$16,"E+",IF(R496&lt;'PlayerGrades+'!$AH$15,"D-",IF(R496&lt;'PlayerGrades+'!$AH$14,"D",IF(R496&lt;'PlayerGrades+'!$AH$13,"D+",IF(R496&lt;'PlayerGrades+'!$AH$12,"C-",IF(R496&lt;'PlayerGrades+'!$AH$11,"C",IF(R496&lt;'PlayerGrades+'!$AH$10,"C+",IF(R496&lt;'PlayerGrades+'!$AH$9,"B-",IF(R496&lt;'PlayerGrades+'!$AH$8,"B",IF(R496&lt;'PlayerGrades+'!$AH$7,"B+",IF(R496&lt;'PlayerGrades+'!$AH$6,"A-",IF(R496&lt;'PlayerGrades+'!$AH$5,"A",IF(R496&lt;'PlayerGrades+'!$AH$4,"A+",IF(R496&lt;'PlayerGrades+'!$AH$3,"S-",IF(R496&lt;'PlayerGrades+'!$AH$2,"S","S+"))))))))))))))))))))</f>
        <v>F</v>
      </c>
      <c r="T496" s="937">
        <f t="shared" si="9"/>
        <v>1.337457818</v>
      </c>
      <c r="U496" s="937" t="str">
        <f>IF(T496&lt;'PlayerGrades+'!$AI$21,"F-",IF(T496&lt;'PlayerGrades+'!$AI$20,"F",IF(T496&lt;'PlayerGrades+'!$AI$19,"F+",IF(T496&lt;'PlayerGrades+'!$AI$18,"E-",IF(T496&lt;'PlayerGrades+'!$AI$17,"E",IF(T496&lt;'PlayerGrades+'!$AI$16,"E+",IF(T496&lt;'PlayerGrades+'!$AI$15,"D-",IF(T496&lt;'PlayerGrades+'!$AI$14,"D",IF(T496&lt;'PlayerGrades+'!$AI$13,"D+",IF(T496&lt;'PlayerGrades+'!$AI$12,"C-",IF(T496&lt;'PlayerGrades+'!$AI$11,"C",IF(T496&lt;'PlayerGrades+'!$AI$10,"C+",IF(T496&lt;'PlayerGrades+'!$AI$9,"B-",IF(T496&lt;'PlayerGrades+'!$AI$8,"B",IF(T496&lt;'PlayerGrades+'!$AI$7,"B+",IF(T496&lt;'PlayerGrades+'!$AI$6,"A-",IF(T496&lt;'PlayerGrades+'!$AI$5,"A",IF(T496&lt;'PlayerGrades+'!$AI$4,"A+",IF(T496&lt;'PlayerGrades+'!$AI$3,"S-",IF(T496&lt;'PlayerGrades+'!$AI$2,"S","S+"))))))))))))))))))))</f>
        <v>B-</v>
      </c>
      <c r="V496" s="941">
        <v>1.0</v>
      </c>
      <c r="W496" s="941">
        <v>0.0</v>
      </c>
      <c r="X496" s="941">
        <v>1.0</v>
      </c>
      <c r="Y496" s="941">
        <v>0.0</v>
      </c>
      <c r="Z496" s="941">
        <v>5.0</v>
      </c>
      <c r="AA496" s="941">
        <v>74.0</v>
      </c>
      <c r="AB496" s="941">
        <v>113.0</v>
      </c>
      <c r="AC496" s="941">
        <v>-39.0</v>
      </c>
      <c r="AD496" s="941">
        <v>3.0</v>
      </c>
      <c r="AE496" s="941">
        <v>4.0</v>
      </c>
      <c r="AF496" s="941">
        <v>2.0</v>
      </c>
      <c r="AG496" s="941">
        <v>1350.0</v>
      </c>
      <c r="AH496" s="941">
        <v>1778.0</v>
      </c>
      <c r="AI496" s="941">
        <v>11.0</v>
      </c>
      <c r="AJ496" s="941">
        <v>157.0</v>
      </c>
      <c r="AK496" s="941">
        <v>0.0</v>
      </c>
      <c r="AL496" s="941">
        <v>0.0</v>
      </c>
      <c r="AM496" s="941">
        <v>0.0</v>
      </c>
      <c r="AN496" s="941">
        <v>0.0</v>
      </c>
      <c r="AO496" s="941">
        <v>0.0</v>
      </c>
      <c r="AP496" s="941">
        <v>0.0</v>
      </c>
      <c r="AQ496" s="941">
        <v>0.0</v>
      </c>
      <c r="AR496" s="941">
        <v>8.0</v>
      </c>
      <c r="AS496" s="941">
        <v>2.0</v>
      </c>
      <c r="AT496" s="941">
        <v>0.0</v>
      </c>
      <c r="AU496" s="941">
        <v>0.0</v>
      </c>
      <c r="AV496" s="941">
        <v>0.0</v>
      </c>
      <c r="AW496" s="941">
        <v>0.0</v>
      </c>
      <c r="AX496" s="941">
        <v>0.0</v>
      </c>
      <c r="AY496" s="941">
        <v>0.0</v>
      </c>
      <c r="AZ496" s="941">
        <v>0.0</v>
      </c>
      <c r="BA496" s="941">
        <v>0.0</v>
      </c>
      <c r="BB496" s="941">
        <v>0.0</v>
      </c>
      <c r="BC496" s="941">
        <v>0.0</v>
      </c>
      <c r="BD496" s="941">
        <v>7.0</v>
      </c>
      <c r="BE496" s="941">
        <v>10.0</v>
      </c>
      <c r="BF496" s="941">
        <v>1.0</v>
      </c>
      <c r="BG496" s="942">
        <v>0.0</v>
      </c>
    </row>
    <row r="497">
      <c r="A497" s="943" t="s">
        <v>140</v>
      </c>
      <c r="B497" s="16" t="str">
        <f>IF(C497&lt;'PlayerGrades+'!$Y$44,"F-",IF(C497&lt;'PlayerGrades+'!$Y$43,"F",IF(C497&lt;'PlayerGrades+'!$Y$42,"F+",IF(C497&lt;'PlayerGrades+'!$Y$41,"E-",IF(C497&lt;'PlayerGrades+'!$Y$40,"E",IF(C497&lt;'PlayerGrades+'!$Y$39,"E+",IF(C497&lt;'PlayerGrades+'!$Y$38,"D-",IF(C497&lt;'PlayerGrades+'!$Y$37,"D",IF(C497&lt;'PlayerGrades+'!$Y$36,"D+",IF(C497&lt;'PlayerGrades+'!$Y$35,"C-",IF(C497&lt;'PlayerGrades+'!$Y$34,"C",IF(C497&lt;'PlayerGrades+'!$Y$33,"C+",IF(C497&lt;'PlayerGrades+'!$Y$32,"B-",IF(C497&lt;'PlayerGrades+'!$Y$31,"B",IF(C497&lt;'PlayerGrades+'!$Y$30,"B+",IF(C497&lt;'PlayerGrades+'!$Y$29,"A-",IF(C497&lt;'PlayerGrades+'!$Y$28,"A",IF(C497&lt;'PlayerGrades+'!$Y$27,"A+",IF(C497&lt;'PlayerGrades+'!$Y$26,"S-",IF(C497&lt;'PlayerGrades+'!$Y$25,"S","S+"))))))))))))))))))))</f>
        <v>F+</v>
      </c>
      <c r="C497" s="936">
        <f>('PlayerGrades+'!$Y$47*(VLOOKUP(E497, 'PlayerGrades+'!$X$3:$Y$23, 2, FALSE)))+('PlayerGrades+'!$Y$48*(VLOOKUP(G497, 'PlayerGrades+'!$X$3:$Y$23, 2, FALSE)))+('PlayerGrades+'!$Y$49*(VLOOKUP(I497, 'PlayerGrades+'!$X$3:$Y$23, 2, FALSE)))+('PlayerGrades+'!$Y$50*(VLOOKUP(K497, 'PlayerGrades+'!$X$3:$Y$23, 2, FALSE)))+('PlayerGrades+'!$Y$51*(VLOOKUP(M497, 'PlayerGrades+'!$X$3:$Y$23, 2, FALSE)))+('PlayerGrades+'!$Y$52*(VLOOKUP(O497, 'PlayerGrades+'!$X$3:$Y$23, 2, FALSE)))+('PlayerGrades+'!$Y$53*(VLOOKUP(Q497, 'PlayerGrades+'!$X$3:$Y$23, 2, FALSE)))+('PlayerGrades+'!$Y$54*(VLOOKUP(S497, 'PlayerGrades+'!$X$3:$Y$23, 2, FALSE)))+('PlayerGrades+'!$Y$55*(VLOOKUP(U497, 'PlayerGrades+'!$X$3:$Y$23, 2, FALSE)))</f>
        <v>10.4</v>
      </c>
      <c r="D497" s="937">
        <f t="shared" si="1"/>
        <v>0.03374578178</v>
      </c>
      <c r="E497" s="937" t="str">
        <f>IF(D497&lt;'PlayerGrades+'!$AA$21,"F-",IF(D497&lt;'PlayerGrades+'!$AA$20,"F",IF(D497&lt;'PlayerGrades+'!$AA$19,"F+",IF(D497&lt;'PlayerGrades+'!$AA$18,"E-",IF(D497&lt;'PlayerGrades+'!$AA$17,"E",IF(D497&lt;'PlayerGrades+'!$AA$16,"E+",IF(D497&lt;'PlayerGrades+'!$AA$15,"D-",IF(D497&lt;'PlayerGrades+'!$AA$14,"D",IF(D497&lt;'PlayerGrades+'!$AA$13,"D+",IF(D497&lt;'PlayerGrades+'!$AA$12,"C-",IF(D497&lt;'PlayerGrades+'!$AA$11,"C",IF(D497&lt;'PlayerGrades+'!$AA$10,"C+",IF(D497&lt;'PlayerGrades+'!$AA$9,"B-",IF(D497&lt;'PlayerGrades+'!$AA$8,"B",IF(D497&lt;'PlayerGrades+'!$AA$7,"B+",IF(D497&lt;'PlayerGrades+'!$AA$6,"A-",IF(D497&lt;'PlayerGrades+'!$AA$5,"A",IF(D497&lt;'PlayerGrades+'!$AA$4,"A+",IF(D497&lt;'PlayerGrades+'!$AA$3,"S-",IF(D497&lt;'PlayerGrades+'!$AA$2,"S","S+"))))))))))))))))))))</f>
        <v>C-</v>
      </c>
      <c r="F497" s="937">
        <f t="shared" si="2"/>
        <v>-1.349831271</v>
      </c>
      <c r="G497" s="937" t="str">
        <f>IF(F497&lt;'PlayerGrades+'!$AB$21,"F-",IF(F497&lt;'PlayerGrades+'!$AB$20,"F",IF(F497&lt;'PlayerGrades+'!$AB$19,"F+",IF(F497&lt;'PlayerGrades+'!$AB$18,"E-",IF(F497&lt;'PlayerGrades+'!$AB$17,"E",IF(F497&lt;'PlayerGrades+'!$AB$16,"E+",IF(F497&lt;'PlayerGrades+'!$AB$15,"D-",IF(F497&lt;'PlayerGrades+'!$AB$14,"D",IF(F497&lt;'PlayerGrades+'!$AB$13,"D+",IF(F497&lt;'PlayerGrades+'!$AB$12,"C-",IF(F497&lt;'PlayerGrades+'!$AB$11,"C",IF(F497&lt;'PlayerGrades+'!$AB$10,"C+",IF(F497&lt;'PlayerGrades+'!$AB$9,"B-",IF(F497&lt;'PlayerGrades+'!$AB$8,"B",IF(F497&lt;'PlayerGrades+'!$AB$7,"B+",IF(F497&lt;'PlayerGrades+'!$AB$6,"A-",IF(F497&lt;'PlayerGrades+'!$AB$5,"A",IF(F497&lt;'PlayerGrades+'!$AB$4,"A+",IF(F497&lt;'PlayerGrades+'!$AB$3,"S-",IF(F497&lt;'PlayerGrades+'!$AB$2,"S","S+"))))))))))))))))))))</f>
        <v>F-</v>
      </c>
      <c r="H497" s="937">
        <f t="shared" si="3"/>
        <v>0.03374578178</v>
      </c>
      <c r="I497" s="937" t="str">
        <f>IF(H497&lt;'PlayerGrades+'!$AC$21,"F-",IF(H497&lt;'PlayerGrades+'!$AC$20,"F",IF(H497&lt;'PlayerGrades+'!$AC$19,"F+",IF(H497&lt;'PlayerGrades+'!$AC$18,"E-",IF(H497&lt;'PlayerGrades+'!$AC$17,"E",IF(H497&lt;'PlayerGrades+'!$AC$16,"E+",IF(H497&lt;'PlayerGrades+'!$AC$15,"D-",IF(H497&lt;'PlayerGrades+'!$AC$14,"D",IF(H497&lt;'PlayerGrades+'!$AC$13,"D+",IF(H497&lt;'PlayerGrades+'!$AC$12,"C-",IF(H497&lt;'PlayerGrades+'!$AC$11,"C",IF(H497&lt;'PlayerGrades+'!$AC$10,"C+",IF(H497&lt;'PlayerGrades+'!$AC$9,"B-",IF(H497&lt;'PlayerGrades+'!$AC$8,"B",IF(H497&lt;'PlayerGrades+'!$AC$7,"B+",IF(H497&lt;'PlayerGrades+'!$AC$6,"A-",IF(H497&lt;'PlayerGrades+'!$AC$5,"A",IF(H497&lt;'PlayerGrades+'!$AC$4,"A+",IF(H497&lt;'PlayerGrades+'!$AC$3,"S-",IF(H497&lt;'PlayerGrades+'!$AC$2,"S","S+"))))))))))))))))))))</f>
        <v>F</v>
      </c>
      <c r="J497" s="937">
        <f t="shared" si="4"/>
        <v>0</v>
      </c>
      <c r="K497" s="937" t="str">
        <f>IF(J497&lt;'PlayerGrades+'!$AD$21,"F-",IF(J497&lt;'PlayerGrades+'!$AD$20,"F",IF(J497&lt;'PlayerGrades+'!$AD$19,"F+",IF(J497&lt;'PlayerGrades+'!$AD$18,"E-",IF(J497&lt;'PlayerGrades+'!$AD$17,"E",IF(J497&lt;'PlayerGrades+'!$AD$16,"E+",IF(J497&lt;'PlayerGrades+'!$AD$15,"D-",IF(J497&lt;'PlayerGrades+'!$AD$14,"D",IF(J497&lt;'PlayerGrades+'!$AD$13,"D+",IF(J497&lt;'PlayerGrades+'!$AD$12,"C-",IF(J497&lt;'PlayerGrades+'!$AD$11,"C",IF(J497&lt;'PlayerGrades+'!$AD$10,"C+",IF(J497&lt;'PlayerGrades+'!$AD$9,"B-",IF(J497&lt;'PlayerGrades+'!$AD$8,"B",IF(J497&lt;'PlayerGrades+'!$AD$7,"B+",IF(J497&lt;'PlayerGrades+'!$AD$6,"A-",IF(J497&lt;'PlayerGrades+'!$AD$5,"A",IF(J497&lt;'PlayerGrades+'!$AD$4,"A+",IF(J497&lt;'PlayerGrades+'!$AD$3,"S-",IF(J497&lt;'PlayerGrades+'!$AD$2,"S","S+"))))))))))))))))))))</f>
        <v>F-</v>
      </c>
      <c r="L497" s="677">
        <f t="shared" si="5"/>
        <v>0.3712035996</v>
      </c>
      <c r="M497" s="938" t="str">
        <f>IF(L497&lt;'PlayerGrades+'!$AE$21,"F-",IF(L497&lt;'PlayerGrades+'!$AE$20,"F",IF(L497&lt;'PlayerGrades+'!$AE$19,"F+",IF(L497&lt;'PlayerGrades+'!$AE$18,"E-",IF(L497&lt;'PlayerGrades+'!$AE$17,"E",IF(L497&lt;'PlayerGrades+'!$AE$16,"E+",IF(L497&lt;'PlayerGrades+'!$AE$15,"D-",IF(L497&lt;'PlayerGrades+'!$AE$14,"D",IF(L497&lt;'PlayerGrades+'!$AE$13,"D+",IF(L497&lt;'PlayerGrades+'!$AE$12,"C-",IF(L497&lt;'PlayerGrades+'!$AE$11,"C",IF(L497&lt;'PlayerGrades+'!$AE$10,"C+",IF(L497&lt;'PlayerGrades+'!$AE$9,"B-",IF(L497&lt;'PlayerGrades+'!$AE$8,"B",IF(L497&lt;'PlayerGrades+'!$AE$7,"B+",IF(L497&lt;'PlayerGrades+'!$AE$6,"A-",IF(L497&lt;'PlayerGrades+'!$AE$5,"A",IF(L497&lt;'PlayerGrades+'!$AE$4,"A+",IF(L497&lt;'PlayerGrades+'!$AE$3,"S-",IF(L497&lt;'PlayerGrades+'!$AE$2,"S","S+"))))))))))))))))))))</f>
        <v>C-</v>
      </c>
      <c r="N497" s="937">
        <f t="shared" si="6"/>
        <v>0.03374578178</v>
      </c>
      <c r="O497" s="937" t="str">
        <f>IF(N497&lt;'PlayerGrades+'!$AF$21,"F-",IF(N497&lt;'PlayerGrades+'!$AF$20,"F",IF(N497&lt;'PlayerGrades+'!$AF$19,"F+",IF(N497&lt;'PlayerGrades+'!$AF$18,"E-",IF(N497&lt;'PlayerGrades+'!$AF$17,"E",IF(N497&lt;'PlayerGrades+'!$AF$16,"E+",IF(N497&lt;'PlayerGrades+'!$AF$15,"D-",IF(N497&lt;'PlayerGrades+'!$AF$14,"D",IF(N497&lt;'PlayerGrades+'!$AF$13,"D+",IF(N497&lt;'PlayerGrades+'!$AF$12,"C-",IF(N497&lt;'PlayerGrades+'!$AF$11,"C",IF(N497&lt;'PlayerGrades+'!$AF$10,"C+",IF(N497&lt;'PlayerGrades+'!$AF$9,"B-",IF(N497&lt;'PlayerGrades+'!$AF$8,"B",IF(N497&lt;'PlayerGrades+'!$AF$7,"B+",IF(N497&lt;'PlayerGrades+'!$AF$6,"A-",IF(N497&lt;'PlayerGrades+'!$AF$5,"A",IF(N497&lt;'PlayerGrades+'!$AF$4,"A+",IF(N497&lt;'PlayerGrades+'!$AF$3,"S-",IF(N497&lt;'PlayerGrades+'!$AF$2,"S","S+"))))))))))))))))))))</f>
        <v>F+</v>
      </c>
      <c r="P497" s="937">
        <f t="shared" si="7"/>
        <v>0</v>
      </c>
      <c r="Q497" s="937" t="str">
        <f>IF(P497&lt;'PlayerGrades+'!$AG$21,"F-",IF(P497&lt;'PlayerGrades+'!$AG$20,"F",IF(P497&lt;'PlayerGrades+'!$AG$19,"F+",IF(P497&lt;'PlayerGrades+'!$AG$18,"E-",IF(P497&lt;'PlayerGrades+'!$AG$17,"E",IF(P497&lt;'PlayerGrades+'!$AG$16,"E+",IF(P497&lt;'PlayerGrades+'!$AG$15,"D-",IF(P497&lt;'PlayerGrades+'!$AG$14,"D",IF(P497&lt;'PlayerGrades+'!$AG$13,"D+",IF(P497&lt;'PlayerGrades+'!$AG$12,"C-",IF(P497&lt;'PlayerGrades+'!$AG$11,"C",IF(P497&lt;'PlayerGrades+'!$AG$10,"C+",IF(P497&lt;'PlayerGrades+'!$AG$9,"B-",IF(P497&lt;'PlayerGrades+'!$AG$8,"B",IF(P497&lt;'PlayerGrades+'!$AG$7,"B+",IF(P497&lt;'PlayerGrades+'!$AG$6,"A-",IF(P497&lt;'PlayerGrades+'!$AG$5,"A",IF(P497&lt;'PlayerGrades+'!$AG$4,"A+",IF(P497&lt;'PlayerGrades+'!$AG$3,"S-",IF(P497&lt;'PlayerGrades+'!$AG$2,"S","S+"))))))))))))))))))))</f>
        <v>F</v>
      </c>
      <c r="R497" s="937">
        <f t="shared" si="8"/>
        <v>0.4049493813</v>
      </c>
      <c r="S497" s="937" t="str">
        <f>IF(R497&lt;'PlayerGrades+'!$AH$21,"F-",IF(R497&lt;'PlayerGrades+'!$AH$20,"F",IF(R497&lt;'PlayerGrades+'!$AH$19,"F+",IF(R497&lt;'PlayerGrades+'!$AH$18,"E-",IF(R497&lt;'PlayerGrades+'!$AH$17,"E",IF(R497&lt;'PlayerGrades+'!$AH$16,"E+",IF(R497&lt;'PlayerGrades+'!$AH$15,"D-",IF(R497&lt;'PlayerGrades+'!$AH$14,"D",IF(R497&lt;'PlayerGrades+'!$AH$13,"D+",IF(R497&lt;'PlayerGrades+'!$AH$12,"C-",IF(R497&lt;'PlayerGrades+'!$AH$11,"C",IF(R497&lt;'PlayerGrades+'!$AH$10,"C+",IF(R497&lt;'PlayerGrades+'!$AH$9,"B-",IF(R497&lt;'PlayerGrades+'!$AH$8,"B",IF(R497&lt;'PlayerGrades+'!$AH$7,"B+",IF(R497&lt;'PlayerGrades+'!$AH$6,"A-",IF(R497&lt;'PlayerGrades+'!$AH$5,"A",IF(R497&lt;'PlayerGrades+'!$AH$4,"A+",IF(R497&lt;'PlayerGrades+'!$AH$3,"S-",IF(R497&lt;'PlayerGrades+'!$AH$2,"S","S+"))))))))))))))))))))</f>
        <v>F+</v>
      </c>
      <c r="T497" s="937">
        <f t="shared" si="9"/>
        <v>2.168728909</v>
      </c>
      <c r="U497" s="937" t="str">
        <f>IF(T497&lt;'PlayerGrades+'!$AI$21,"F-",IF(T497&lt;'PlayerGrades+'!$AI$20,"F",IF(T497&lt;'PlayerGrades+'!$AI$19,"F+",IF(T497&lt;'PlayerGrades+'!$AI$18,"E-",IF(T497&lt;'PlayerGrades+'!$AI$17,"E",IF(T497&lt;'PlayerGrades+'!$AI$16,"E+",IF(T497&lt;'PlayerGrades+'!$AI$15,"D-",IF(T497&lt;'PlayerGrades+'!$AI$14,"D",IF(T497&lt;'PlayerGrades+'!$AI$13,"D+",IF(T497&lt;'PlayerGrades+'!$AI$12,"C-",IF(T497&lt;'PlayerGrades+'!$AI$11,"C",IF(T497&lt;'PlayerGrades+'!$AI$10,"C+",IF(T497&lt;'PlayerGrades+'!$AI$9,"B-",IF(T497&lt;'PlayerGrades+'!$AI$8,"B",IF(T497&lt;'PlayerGrades+'!$AI$7,"B+",IF(T497&lt;'PlayerGrades+'!$AI$6,"A-",IF(T497&lt;'PlayerGrades+'!$AI$5,"A",IF(T497&lt;'PlayerGrades+'!$AI$4,"A+",IF(T497&lt;'PlayerGrades+'!$AI$3,"S-",IF(T497&lt;'PlayerGrades+'!$AI$2,"S","S+"))))))))))))))))))))</f>
        <v>S+</v>
      </c>
      <c r="V497" s="944">
        <v>1.0</v>
      </c>
      <c r="W497" s="944">
        <v>0.0</v>
      </c>
      <c r="X497" s="944">
        <v>1.0</v>
      </c>
      <c r="Y497" s="944">
        <v>0.0</v>
      </c>
      <c r="Z497" s="944">
        <v>1.0</v>
      </c>
      <c r="AA497" s="944">
        <v>64.0</v>
      </c>
      <c r="AB497" s="944">
        <v>104.0</v>
      </c>
      <c r="AC497" s="944">
        <v>-40.0</v>
      </c>
      <c r="AD497" s="944">
        <v>7.0</v>
      </c>
      <c r="AE497" s="944">
        <v>4.0</v>
      </c>
      <c r="AF497" s="944">
        <v>3.0</v>
      </c>
      <c r="AG497" s="944">
        <v>1374.0</v>
      </c>
      <c r="AH497" s="944">
        <v>1778.0</v>
      </c>
      <c r="AI497" s="944">
        <v>13.0</v>
      </c>
      <c r="AJ497" s="944">
        <v>89.0</v>
      </c>
      <c r="AK497" s="944">
        <v>0.0</v>
      </c>
      <c r="AL497" s="944">
        <v>0.0</v>
      </c>
      <c r="AM497" s="944">
        <v>0.0</v>
      </c>
      <c r="AN497" s="944">
        <v>0.0</v>
      </c>
      <c r="AO497" s="944">
        <v>0.0</v>
      </c>
      <c r="AP497" s="944">
        <v>0.0</v>
      </c>
      <c r="AQ497" s="944">
        <v>0.0</v>
      </c>
      <c r="AR497" s="944">
        <v>11.0</v>
      </c>
      <c r="AS497" s="944">
        <v>1.0</v>
      </c>
      <c r="AT497" s="944">
        <v>0.0</v>
      </c>
      <c r="AU497" s="944">
        <v>0.0</v>
      </c>
      <c r="AV497" s="944">
        <v>0.0</v>
      </c>
      <c r="AW497" s="944">
        <v>0.0</v>
      </c>
      <c r="AX497" s="944">
        <v>0.0</v>
      </c>
      <c r="AY497" s="944">
        <v>0.0</v>
      </c>
      <c r="AZ497" s="944">
        <v>0.0</v>
      </c>
      <c r="BA497" s="944">
        <v>0.0</v>
      </c>
      <c r="BB497" s="944">
        <v>1.0</v>
      </c>
      <c r="BC497" s="944">
        <v>0.0</v>
      </c>
      <c r="BD497" s="944">
        <v>5.0</v>
      </c>
      <c r="BE497" s="944">
        <v>5.0</v>
      </c>
      <c r="BF497" s="944">
        <v>2.0</v>
      </c>
      <c r="BG497" s="945">
        <v>0.0</v>
      </c>
    </row>
    <row r="498">
      <c r="A498" s="946" t="s">
        <v>119</v>
      </c>
      <c r="B498" s="16" t="str">
        <f>IF(C498&lt;'PlayerGrades+'!$Y$44,"F-",IF(C498&lt;'PlayerGrades+'!$Y$43,"F",IF(C498&lt;'PlayerGrades+'!$Y$42,"F+",IF(C498&lt;'PlayerGrades+'!$Y$41,"E-",IF(C498&lt;'PlayerGrades+'!$Y$40,"E",IF(C498&lt;'PlayerGrades+'!$Y$39,"E+",IF(C498&lt;'PlayerGrades+'!$Y$38,"D-",IF(C498&lt;'PlayerGrades+'!$Y$37,"D",IF(C498&lt;'PlayerGrades+'!$Y$36,"D+",IF(C498&lt;'PlayerGrades+'!$Y$35,"C-",IF(C498&lt;'PlayerGrades+'!$Y$34,"C",IF(C498&lt;'PlayerGrades+'!$Y$33,"C+",IF(C498&lt;'PlayerGrades+'!$Y$32,"B-",IF(C498&lt;'PlayerGrades+'!$Y$31,"B",IF(C498&lt;'PlayerGrades+'!$Y$30,"B+",IF(C498&lt;'PlayerGrades+'!$Y$29,"A-",IF(C498&lt;'PlayerGrades+'!$Y$28,"A",IF(C498&lt;'PlayerGrades+'!$Y$27,"A+",IF(C498&lt;'PlayerGrades+'!$Y$26,"S-",IF(C498&lt;'PlayerGrades+'!$Y$25,"S","S+"))))))))))))))))))))</f>
        <v>E+</v>
      </c>
      <c r="C498" s="936">
        <f>('PlayerGrades+'!$Y$47*(VLOOKUP(E498, 'PlayerGrades+'!$X$3:$Y$23, 2, FALSE)))+('PlayerGrades+'!$Y$48*(VLOOKUP(G498, 'PlayerGrades+'!$X$3:$Y$23, 2, FALSE)))+('PlayerGrades+'!$Y$49*(VLOOKUP(I498, 'PlayerGrades+'!$X$3:$Y$23, 2, FALSE)))+('PlayerGrades+'!$Y$50*(VLOOKUP(K498, 'PlayerGrades+'!$X$3:$Y$23, 2, FALSE)))+('PlayerGrades+'!$Y$51*(VLOOKUP(M498, 'PlayerGrades+'!$X$3:$Y$23, 2, FALSE)))+('PlayerGrades+'!$Y$52*(VLOOKUP(O498, 'PlayerGrades+'!$X$3:$Y$23, 2, FALSE)))+('PlayerGrades+'!$Y$53*(VLOOKUP(Q498, 'PlayerGrades+'!$X$3:$Y$23, 2, FALSE)))+('PlayerGrades+'!$Y$54*(VLOOKUP(S498, 'PlayerGrades+'!$X$3:$Y$23, 2, FALSE)))+('PlayerGrades+'!$Y$55*(VLOOKUP(U498, 'PlayerGrades+'!$X$3:$Y$23, 2, FALSE)))</f>
        <v>13.7</v>
      </c>
      <c r="D498" s="937">
        <f t="shared" si="1"/>
        <v>0.3820135296</v>
      </c>
      <c r="E498" s="937" t="str">
        <f>IF(D498&lt;'PlayerGrades+'!$AA$21,"F-",IF(D498&lt;'PlayerGrades+'!$AA$20,"F",IF(D498&lt;'PlayerGrades+'!$AA$19,"F+",IF(D498&lt;'PlayerGrades+'!$AA$18,"E-",IF(D498&lt;'PlayerGrades+'!$AA$17,"E",IF(D498&lt;'PlayerGrades+'!$AA$16,"E+",IF(D498&lt;'PlayerGrades+'!$AA$15,"D-",IF(D498&lt;'PlayerGrades+'!$AA$14,"D",IF(D498&lt;'PlayerGrades+'!$AA$13,"D+",IF(D498&lt;'PlayerGrades+'!$AA$12,"C-",IF(D498&lt;'PlayerGrades+'!$AA$11,"C",IF(D498&lt;'PlayerGrades+'!$AA$10,"C+",IF(D498&lt;'PlayerGrades+'!$AA$9,"B-",IF(D498&lt;'PlayerGrades+'!$AA$8,"B",IF(D498&lt;'PlayerGrades+'!$AA$7,"B+",IF(D498&lt;'PlayerGrades+'!$AA$6,"A-",IF(D498&lt;'PlayerGrades+'!$AA$5,"A",IF(D498&lt;'PlayerGrades+'!$AA$4,"A+",IF(D498&lt;'PlayerGrades+'!$AA$3,"S-",IF(D498&lt;'PlayerGrades+'!$AA$2,"S","S+"))))))))))))))))))))</f>
        <v>A+</v>
      </c>
      <c r="F498" s="937">
        <f t="shared" si="2"/>
        <v>-0.5968961401</v>
      </c>
      <c r="G498" s="937" t="str">
        <f>IF(F498&lt;'PlayerGrades+'!$AB$21,"F-",IF(F498&lt;'PlayerGrades+'!$AB$20,"F",IF(F498&lt;'PlayerGrades+'!$AB$19,"F+",IF(F498&lt;'PlayerGrades+'!$AB$18,"E-",IF(F498&lt;'PlayerGrades+'!$AB$17,"E",IF(F498&lt;'PlayerGrades+'!$AB$16,"E+",IF(F498&lt;'PlayerGrades+'!$AB$15,"D-",IF(F498&lt;'PlayerGrades+'!$AB$14,"D",IF(F498&lt;'PlayerGrades+'!$AB$13,"D+",IF(F498&lt;'PlayerGrades+'!$AB$12,"C-",IF(F498&lt;'PlayerGrades+'!$AB$11,"C",IF(F498&lt;'PlayerGrades+'!$AB$10,"C+",IF(F498&lt;'PlayerGrades+'!$AB$9,"B-",IF(F498&lt;'PlayerGrades+'!$AB$8,"B",IF(F498&lt;'PlayerGrades+'!$AB$7,"B+",IF(F498&lt;'PlayerGrades+'!$AB$6,"A-",IF(F498&lt;'PlayerGrades+'!$AB$5,"A",IF(F498&lt;'PlayerGrades+'!$AB$4,"A+",IF(F498&lt;'PlayerGrades+'!$AB$3,"S-",IF(F498&lt;'PlayerGrades+'!$AB$2,"S","S+"))))))))))))))))))))</f>
        <v>D</v>
      </c>
      <c r="H498" s="937">
        <f t="shared" si="3"/>
        <v>0</v>
      </c>
      <c r="I498" s="937" t="str">
        <f>IF(H498&lt;'PlayerGrades+'!$AC$21,"F-",IF(H498&lt;'PlayerGrades+'!$AC$20,"F",IF(H498&lt;'PlayerGrades+'!$AC$19,"F+",IF(H498&lt;'PlayerGrades+'!$AC$18,"E-",IF(H498&lt;'PlayerGrades+'!$AC$17,"E",IF(H498&lt;'PlayerGrades+'!$AC$16,"E+",IF(H498&lt;'PlayerGrades+'!$AC$15,"D-",IF(H498&lt;'PlayerGrades+'!$AC$14,"D",IF(H498&lt;'PlayerGrades+'!$AC$13,"D+",IF(H498&lt;'PlayerGrades+'!$AC$12,"C-",IF(H498&lt;'PlayerGrades+'!$AC$11,"C",IF(H498&lt;'PlayerGrades+'!$AC$10,"C+",IF(H498&lt;'PlayerGrades+'!$AC$9,"B-",IF(H498&lt;'PlayerGrades+'!$AC$8,"B",IF(H498&lt;'PlayerGrades+'!$AC$7,"B+",IF(H498&lt;'PlayerGrades+'!$AC$6,"A-",IF(H498&lt;'PlayerGrades+'!$AC$5,"A",IF(H498&lt;'PlayerGrades+'!$AC$4,"A+",IF(H498&lt;'PlayerGrades+'!$AC$3,"S-",IF(H498&lt;'PlayerGrades+'!$AC$2,"S","S+"))))))))))))))))))))</f>
        <v>F-</v>
      </c>
      <c r="J498" s="937">
        <f t="shared" si="4"/>
        <v>0.0238758456</v>
      </c>
      <c r="K498" s="937" t="str">
        <f>IF(J498&lt;'PlayerGrades+'!$AD$21,"F-",IF(J498&lt;'PlayerGrades+'!$AD$20,"F",IF(J498&lt;'PlayerGrades+'!$AD$19,"F+",IF(J498&lt;'PlayerGrades+'!$AD$18,"E-",IF(J498&lt;'PlayerGrades+'!$AD$17,"E",IF(J498&lt;'PlayerGrades+'!$AD$16,"E+",IF(J498&lt;'PlayerGrades+'!$AD$15,"D-",IF(J498&lt;'PlayerGrades+'!$AD$14,"D",IF(J498&lt;'PlayerGrades+'!$AD$13,"D+",IF(J498&lt;'PlayerGrades+'!$AD$12,"C-",IF(J498&lt;'PlayerGrades+'!$AD$11,"C",IF(J498&lt;'PlayerGrades+'!$AD$10,"C+",IF(J498&lt;'PlayerGrades+'!$AD$9,"B-",IF(J498&lt;'PlayerGrades+'!$AD$8,"B",IF(J498&lt;'PlayerGrades+'!$AD$7,"B+",IF(J498&lt;'PlayerGrades+'!$AD$6,"A-",IF(J498&lt;'PlayerGrades+'!$AD$5,"A",IF(J498&lt;'PlayerGrades+'!$AD$4,"A+",IF(J498&lt;'PlayerGrades+'!$AD$3,"S-",IF(J498&lt;'PlayerGrades+'!$AD$2,"S","S+"))))))))))))))))))))</f>
        <v>D</v>
      </c>
      <c r="L498" s="677">
        <f t="shared" si="5"/>
        <v>0.3103859928</v>
      </c>
      <c r="M498" s="938" t="str">
        <f>IF(L498&lt;'PlayerGrades+'!$AE$21,"F-",IF(L498&lt;'PlayerGrades+'!$AE$20,"F",IF(L498&lt;'PlayerGrades+'!$AE$19,"F+",IF(L498&lt;'PlayerGrades+'!$AE$18,"E-",IF(L498&lt;'PlayerGrades+'!$AE$17,"E",IF(L498&lt;'PlayerGrades+'!$AE$16,"E+",IF(L498&lt;'PlayerGrades+'!$AE$15,"D-",IF(L498&lt;'PlayerGrades+'!$AE$14,"D",IF(L498&lt;'PlayerGrades+'!$AE$13,"D+",IF(L498&lt;'PlayerGrades+'!$AE$12,"C-",IF(L498&lt;'PlayerGrades+'!$AE$11,"C",IF(L498&lt;'PlayerGrades+'!$AE$10,"C+",IF(L498&lt;'PlayerGrades+'!$AE$9,"B-",IF(L498&lt;'PlayerGrades+'!$AE$8,"B",IF(L498&lt;'PlayerGrades+'!$AE$7,"B+",IF(L498&lt;'PlayerGrades+'!$AE$6,"A-",IF(L498&lt;'PlayerGrades+'!$AE$5,"A",IF(L498&lt;'PlayerGrades+'!$AE$4,"A+",IF(L498&lt;'PlayerGrades+'!$AE$3,"S-",IF(L498&lt;'PlayerGrades+'!$AE$2,"S","S+"))))))))))))))))))))</f>
        <v>E-</v>
      </c>
      <c r="N498" s="937">
        <f t="shared" si="6"/>
        <v>0</v>
      </c>
      <c r="O498" s="937" t="str">
        <f>IF(N498&lt;'PlayerGrades+'!$AF$21,"F-",IF(N498&lt;'PlayerGrades+'!$AF$20,"F",IF(N498&lt;'PlayerGrades+'!$AF$19,"F+",IF(N498&lt;'PlayerGrades+'!$AF$18,"E-",IF(N498&lt;'PlayerGrades+'!$AF$17,"E",IF(N498&lt;'PlayerGrades+'!$AF$16,"E+",IF(N498&lt;'PlayerGrades+'!$AF$15,"D-",IF(N498&lt;'PlayerGrades+'!$AF$14,"D",IF(N498&lt;'PlayerGrades+'!$AF$13,"D+",IF(N498&lt;'PlayerGrades+'!$AF$12,"C-",IF(N498&lt;'PlayerGrades+'!$AF$11,"C",IF(N498&lt;'PlayerGrades+'!$AF$10,"C+",IF(N498&lt;'PlayerGrades+'!$AF$9,"B-",IF(N498&lt;'PlayerGrades+'!$AF$8,"B",IF(N498&lt;'PlayerGrades+'!$AF$7,"B+",IF(N498&lt;'PlayerGrades+'!$AF$6,"A-",IF(N498&lt;'PlayerGrades+'!$AF$5,"A",IF(N498&lt;'PlayerGrades+'!$AF$4,"A+",IF(N498&lt;'PlayerGrades+'!$AF$3,"S-",IF(N498&lt;'PlayerGrades+'!$AF$2,"S","S+"))))))))))))))))))))</f>
        <v>F-</v>
      </c>
      <c r="P498" s="937">
        <f t="shared" si="7"/>
        <v>0</v>
      </c>
      <c r="Q498" s="937" t="str">
        <f>IF(P498&lt;'PlayerGrades+'!$AG$21,"F-",IF(P498&lt;'PlayerGrades+'!$AG$20,"F",IF(P498&lt;'PlayerGrades+'!$AG$19,"F+",IF(P498&lt;'PlayerGrades+'!$AG$18,"E-",IF(P498&lt;'PlayerGrades+'!$AG$17,"E",IF(P498&lt;'PlayerGrades+'!$AG$16,"E+",IF(P498&lt;'PlayerGrades+'!$AG$15,"D-",IF(P498&lt;'PlayerGrades+'!$AG$14,"D",IF(P498&lt;'PlayerGrades+'!$AG$13,"D+",IF(P498&lt;'PlayerGrades+'!$AG$12,"C-",IF(P498&lt;'PlayerGrades+'!$AG$11,"C",IF(P498&lt;'PlayerGrades+'!$AG$10,"C+",IF(P498&lt;'PlayerGrades+'!$AG$9,"B-",IF(P498&lt;'PlayerGrades+'!$AG$8,"B",IF(P498&lt;'PlayerGrades+'!$AG$7,"B+",IF(P498&lt;'PlayerGrades+'!$AG$6,"A-",IF(P498&lt;'PlayerGrades+'!$AG$5,"A",IF(P498&lt;'PlayerGrades+'!$AG$4,"A+",IF(P498&lt;'PlayerGrades+'!$AG$3,"S-",IF(P498&lt;'PlayerGrades+'!$AG$2,"S","S+"))))))))))))))))))))</f>
        <v>F</v>
      </c>
      <c r="R498" s="937">
        <f t="shared" si="8"/>
        <v>0.6207719857</v>
      </c>
      <c r="S498" s="937" t="str">
        <f>IF(R498&lt;'PlayerGrades+'!$AH$21,"F-",IF(R498&lt;'PlayerGrades+'!$AH$20,"F",IF(R498&lt;'PlayerGrades+'!$AH$19,"F+",IF(R498&lt;'PlayerGrades+'!$AH$18,"E-",IF(R498&lt;'PlayerGrades+'!$AH$17,"E",IF(R498&lt;'PlayerGrades+'!$AH$16,"E+",IF(R498&lt;'PlayerGrades+'!$AH$15,"D-",IF(R498&lt;'PlayerGrades+'!$AH$14,"D",IF(R498&lt;'PlayerGrades+'!$AH$13,"D+",IF(R498&lt;'PlayerGrades+'!$AH$12,"C-",IF(R498&lt;'PlayerGrades+'!$AH$11,"C",IF(R498&lt;'PlayerGrades+'!$AH$10,"C+",IF(R498&lt;'PlayerGrades+'!$AH$9,"B-",IF(R498&lt;'PlayerGrades+'!$AH$8,"B",IF(R498&lt;'PlayerGrades+'!$AH$7,"B+",IF(R498&lt;'PlayerGrades+'!$AH$6,"A-",IF(R498&lt;'PlayerGrades+'!$AH$5,"A",IF(R498&lt;'PlayerGrades+'!$AH$4,"A+",IF(R498&lt;'PlayerGrades+'!$AH$3,"S-",IF(R498&lt;'PlayerGrades+'!$AH$2,"S","S+"))))))))))))))))))))</f>
        <v>A-</v>
      </c>
      <c r="T498" s="937">
        <f t="shared" si="9"/>
        <v>0.3342618384</v>
      </c>
      <c r="U498" s="937" t="str">
        <f>IF(T498&lt;'PlayerGrades+'!$AI$21,"F-",IF(T498&lt;'PlayerGrades+'!$AI$20,"F",IF(T498&lt;'PlayerGrades+'!$AI$19,"F+",IF(T498&lt;'PlayerGrades+'!$AI$18,"E-",IF(T498&lt;'PlayerGrades+'!$AI$17,"E",IF(T498&lt;'PlayerGrades+'!$AI$16,"E+",IF(T498&lt;'PlayerGrades+'!$AI$15,"D-",IF(T498&lt;'PlayerGrades+'!$AI$14,"D",IF(T498&lt;'PlayerGrades+'!$AI$13,"D+",IF(T498&lt;'PlayerGrades+'!$AI$12,"C-",IF(T498&lt;'PlayerGrades+'!$AI$11,"C",IF(T498&lt;'PlayerGrades+'!$AI$10,"C+",IF(T498&lt;'PlayerGrades+'!$AI$9,"B-",IF(T498&lt;'PlayerGrades+'!$AI$8,"B",IF(T498&lt;'PlayerGrades+'!$AI$7,"B+",IF(T498&lt;'PlayerGrades+'!$AI$6,"A-",IF(T498&lt;'PlayerGrades+'!$AI$5,"A",IF(T498&lt;'PlayerGrades+'!$AI$4,"A+",IF(T498&lt;'PlayerGrades+'!$AI$3,"S-",IF(T498&lt;'PlayerGrades+'!$AI$2,"S","S+"))))))))))))))))))))</f>
        <v>F-</v>
      </c>
      <c r="V498" s="939">
        <v>1.0</v>
      </c>
      <c r="W498" s="939">
        <v>1.0</v>
      </c>
      <c r="X498" s="939">
        <v>0.0</v>
      </c>
      <c r="Y498" s="939">
        <v>4.0</v>
      </c>
      <c r="Z498" s="939">
        <v>12.0</v>
      </c>
      <c r="AA498" s="939">
        <v>96.0</v>
      </c>
      <c r="AB498" s="939">
        <v>121.0</v>
      </c>
      <c r="AC498" s="939">
        <v>-25.0</v>
      </c>
      <c r="AD498" s="939">
        <v>6.0</v>
      </c>
      <c r="AE498" s="939">
        <v>5.0</v>
      </c>
      <c r="AF498" s="939">
        <v>3.0</v>
      </c>
      <c r="AG498" s="939">
        <v>2029.0</v>
      </c>
      <c r="AH498" s="939">
        <v>2513.0</v>
      </c>
      <c r="AI498" s="939">
        <v>16.0</v>
      </c>
      <c r="AJ498" s="939">
        <v>434.0</v>
      </c>
      <c r="AK498" s="939">
        <v>0.0</v>
      </c>
      <c r="AL498" s="939">
        <v>1.0</v>
      </c>
      <c r="AM498" s="939">
        <v>0.0</v>
      </c>
      <c r="AN498" s="939">
        <v>0.0</v>
      </c>
      <c r="AO498" s="939">
        <v>0.0</v>
      </c>
      <c r="AP498" s="939">
        <v>0.0</v>
      </c>
      <c r="AQ498" s="939">
        <v>0.0</v>
      </c>
      <c r="AR498" s="939">
        <v>13.0</v>
      </c>
      <c r="AS498" s="939">
        <v>0.0</v>
      </c>
      <c r="AT498" s="939">
        <v>0.0</v>
      </c>
      <c r="AU498" s="939">
        <v>0.0</v>
      </c>
      <c r="AV498" s="939">
        <v>0.0</v>
      </c>
      <c r="AW498" s="939">
        <v>0.0</v>
      </c>
      <c r="AX498" s="939">
        <v>0.0</v>
      </c>
      <c r="AY498" s="939">
        <v>0.0</v>
      </c>
      <c r="AZ498" s="939">
        <v>0.0</v>
      </c>
      <c r="BA498" s="939">
        <v>0.0</v>
      </c>
      <c r="BB498" s="939">
        <v>0.0</v>
      </c>
      <c r="BC498" s="939">
        <v>0.0</v>
      </c>
      <c r="BD498" s="939">
        <v>20.0</v>
      </c>
      <c r="BE498" s="939">
        <v>14.0</v>
      </c>
      <c r="BF498" s="939">
        <v>0.0</v>
      </c>
      <c r="BG498" s="940">
        <v>0.0</v>
      </c>
    </row>
    <row r="499">
      <c r="A499" s="935" t="s">
        <v>152</v>
      </c>
      <c r="B499" s="16" t="str">
        <f>IF(C499&lt;'PlayerGrades+'!$Y$44,"F-",IF(C499&lt;'PlayerGrades+'!$Y$43,"F",IF(C499&lt;'PlayerGrades+'!$Y$42,"F+",IF(C499&lt;'PlayerGrades+'!$Y$41,"E-",IF(C499&lt;'PlayerGrades+'!$Y$40,"E",IF(C499&lt;'PlayerGrades+'!$Y$39,"E+",IF(C499&lt;'PlayerGrades+'!$Y$38,"D-",IF(C499&lt;'PlayerGrades+'!$Y$37,"D",IF(C499&lt;'PlayerGrades+'!$Y$36,"D+",IF(C499&lt;'PlayerGrades+'!$Y$35,"C-",IF(C499&lt;'PlayerGrades+'!$Y$34,"C",IF(C499&lt;'PlayerGrades+'!$Y$33,"C+",IF(C499&lt;'PlayerGrades+'!$Y$32,"B-",IF(C499&lt;'PlayerGrades+'!$Y$31,"B",IF(C499&lt;'PlayerGrades+'!$Y$30,"B+",IF(C499&lt;'PlayerGrades+'!$Y$29,"A-",IF(C499&lt;'PlayerGrades+'!$Y$28,"A",IF(C499&lt;'PlayerGrades+'!$Y$27,"A+",IF(C499&lt;'PlayerGrades+'!$Y$26,"S-",IF(C499&lt;'PlayerGrades+'!$Y$25,"S","S+"))))))))))))))))))))</f>
        <v>E-</v>
      </c>
      <c r="C499" s="936">
        <f>('PlayerGrades+'!$Y$47*(VLOOKUP(E499, 'PlayerGrades+'!$X$3:$Y$23, 2, FALSE)))+('PlayerGrades+'!$Y$48*(VLOOKUP(G499, 'PlayerGrades+'!$X$3:$Y$23, 2, FALSE)))+('PlayerGrades+'!$Y$49*(VLOOKUP(I499, 'PlayerGrades+'!$X$3:$Y$23, 2, FALSE)))+('PlayerGrades+'!$Y$50*(VLOOKUP(K499, 'PlayerGrades+'!$X$3:$Y$23, 2, FALSE)))+('PlayerGrades+'!$Y$51*(VLOOKUP(M499, 'PlayerGrades+'!$X$3:$Y$23, 2, FALSE)))+('PlayerGrades+'!$Y$52*(VLOOKUP(O499, 'PlayerGrades+'!$X$3:$Y$23, 2, FALSE)))+('PlayerGrades+'!$Y$53*(VLOOKUP(Q499, 'PlayerGrades+'!$X$3:$Y$23, 2, FALSE)))+('PlayerGrades+'!$Y$54*(VLOOKUP(S499, 'PlayerGrades+'!$X$3:$Y$23, 2, FALSE)))+('PlayerGrades+'!$Y$55*(VLOOKUP(U499, 'PlayerGrades+'!$X$3:$Y$23, 2, FALSE)))</f>
        <v>11.1</v>
      </c>
      <c r="D499" s="937">
        <f t="shared" si="1"/>
        <v>0.04775169121</v>
      </c>
      <c r="E499" s="937" t="str">
        <f>IF(D499&lt;'PlayerGrades+'!$AA$21,"F-",IF(D499&lt;'PlayerGrades+'!$AA$20,"F",IF(D499&lt;'PlayerGrades+'!$AA$19,"F+",IF(D499&lt;'PlayerGrades+'!$AA$18,"E-",IF(D499&lt;'PlayerGrades+'!$AA$17,"E",IF(D499&lt;'PlayerGrades+'!$AA$16,"E+",IF(D499&lt;'PlayerGrades+'!$AA$15,"D-",IF(D499&lt;'PlayerGrades+'!$AA$14,"D",IF(D499&lt;'PlayerGrades+'!$AA$13,"D+",IF(D499&lt;'PlayerGrades+'!$AA$12,"C-",IF(D499&lt;'PlayerGrades+'!$AA$11,"C",IF(D499&lt;'PlayerGrades+'!$AA$10,"C+",IF(D499&lt;'PlayerGrades+'!$AA$9,"B-",IF(D499&lt;'PlayerGrades+'!$AA$8,"B",IF(D499&lt;'PlayerGrades+'!$AA$7,"B+",IF(D499&lt;'PlayerGrades+'!$AA$6,"A-",IF(D499&lt;'PlayerGrades+'!$AA$5,"A",IF(D499&lt;'PlayerGrades+'!$AA$4,"A+",IF(D499&lt;'PlayerGrades+'!$AA$3,"S-",IF(D499&lt;'PlayerGrades+'!$AA$2,"S","S+"))))))))))))))))))))</f>
        <v>C+</v>
      </c>
      <c r="F499" s="937">
        <f t="shared" si="2"/>
        <v>-0.4058893752</v>
      </c>
      <c r="G499" s="937" t="str">
        <f>IF(F499&lt;'PlayerGrades+'!$AB$21,"F-",IF(F499&lt;'PlayerGrades+'!$AB$20,"F",IF(F499&lt;'PlayerGrades+'!$AB$19,"F+",IF(F499&lt;'PlayerGrades+'!$AB$18,"E-",IF(F499&lt;'PlayerGrades+'!$AB$17,"E",IF(F499&lt;'PlayerGrades+'!$AB$16,"E+",IF(F499&lt;'PlayerGrades+'!$AB$15,"D-",IF(F499&lt;'PlayerGrades+'!$AB$14,"D",IF(F499&lt;'PlayerGrades+'!$AB$13,"D+",IF(F499&lt;'PlayerGrades+'!$AB$12,"C-",IF(F499&lt;'PlayerGrades+'!$AB$11,"C",IF(F499&lt;'PlayerGrades+'!$AB$10,"C+",IF(F499&lt;'PlayerGrades+'!$AB$9,"B-",IF(F499&lt;'PlayerGrades+'!$AB$8,"B",IF(F499&lt;'PlayerGrades+'!$AB$7,"B+",IF(F499&lt;'PlayerGrades+'!$AB$6,"A-",IF(F499&lt;'PlayerGrades+'!$AB$5,"A",IF(F499&lt;'PlayerGrades+'!$AB$4,"A+",IF(F499&lt;'PlayerGrades+'!$AB$3,"S-",IF(F499&lt;'PlayerGrades+'!$AB$2,"S","S+"))))))))))))))))))))</f>
        <v>D+</v>
      </c>
      <c r="H499" s="937">
        <f t="shared" si="3"/>
        <v>0.0238758456</v>
      </c>
      <c r="I499" s="937" t="str">
        <f>IF(H499&lt;'PlayerGrades+'!$AC$21,"F-",IF(H499&lt;'PlayerGrades+'!$AC$20,"F",IF(H499&lt;'PlayerGrades+'!$AC$19,"F+",IF(H499&lt;'PlayerGrades+'!$AC$18,"E-",IF(H499&lt;'PlayerGrades+'!$AC$17,"E",IF(H499&lt;'PlayerGrades+'!$AC$16,"E+",IF(H499&lt;'PlayerGrades+'!$AC$15,"D-",IF(H499&lt;'PlayerGrades+'!$AC$14,"D",IF(H499&lt;'PlayerGrades+'!$AC$13,"D+",IF(H499&lt;'PlayerGrades+'!$AC$12,"C-",IF(H499&lt;'PlayerGrades+'!$AC$11,"C",IF(H499&lt;'PlayerGrades+'!$AC$10,"C+",IF(H499&lt;'PlayerGrades+'!$AC$9,"B-",IF(H499&lt;'PlayerGrades+'!$AC$8,"B",IF(H499&lt;'PlayerGrades+'!$AC$7,"B+",IF(H499&lt;'PlayerGrades+'!$AC$6,"A-",IF(H499&lt;'PlayerGrades+'!$AC$5,"A",IF(H499&lt;'PlayerGrades+'!$AC$4,"A+",IF(H499&lt;'PlayerGrades+'!$AC$3,"S-",IF(H499&lt;'PlayerGrades+'!$AC$2,"S","S+"))))))))))))))))))))</f>
        <v>F-</v>
      </c>
      <c r="J499" s="937">
        <f t="shared" si="4"/>
        <v>0</v>
      </c>
      <c r="K499" s="937" t="str">
        <f>IF(J499&lt;'PlayerGrades+'!$AD$21,"F-",IF(J499&lt;'PlayerGrades+'!$AD$20,"F",IF(J499&lt;'PlayerGrades+'!$AD$19,"F+",IF(J499&lt;'PlayerGrades+'!$AD$18,"E-",IF(J499&lt;'PlayerGrades+'!$AD$17,"E",IF(J499&lt;'PlayerGrades+'!$AD$16,"E+",IF(J499&lt;'PlayerGrades+'!$AD$15,"D-",IF(J499&lt;'PlayerGrades+'!$AD$14,"D",IF(J499&lt;'PlayerGrades+'!$AD$13,"D+",IF(J499&lt;'PlayerGrades+'!$AD$12,"C-",IF(J499&lt;'PlayerGrades+'!$AD$11,"C",IF(J499&lt;'PlayerGrades+'!$AD$10,"C+",IF(J499&lt;'PlayerGrades+'!$AD$9,"B-",IF(J499&lt;'PlayerGrades+'!$AD$8,"B",IF(J499&lt;'PlayerGrades+'!$AD$7,"B+",IF(J499&lt;'PlayerGrades+'!$AD$6,"A-",IF(J499&lt;'PlayerGrades+'!$AD$5,"A",IF(J499&lt;'PlayerGrades+'!$AD$4,"A+",IF(J499&lt;'PlayerGrades+'!$AD$3,"S-",IF(J499&lt;'PlayerGrades+'!$AD$2,"S","S+"))))))))))))))))))))</f>
        <v>F-</v>
      </c>
      <c r="L499" s="677">
        <f t="shared" si="5"/>
        <v>0.3103859928</v>
      </c>
      <c r="M499" s="938" t="str">
        <f>IF(L499&lt;'PlayerGrades+'!$AE$21,"F-",IF(L499&lt;'PlayerGrades+'!$AE$20,"F",IF(L499&lt;'PlayerGrades+'!$AE$19,"F+",IF(L499&lt;'PlayerGrades+'!$AE$18,"E-",IF(L499&lt;'PlayerGrades+'!$AE$17,"E",IF(L499&lt;'PlayerGrades+'!$AE$16,"E+",IF(L499&lt;'PlayerGrades+'!$AE$15,"D-",IF(L499&lt;'PlayerGrades+'!$AE$14,"D",IF(L499&lt;'PlayerGrades+'!$AE$13,"D+",IF(L499&lt;'PlayerGrades+'!$AE$12,"C-",IF(L499&lt;'PlayerGrades+'!$AE$11,"C",IF(L499&lt;'PlayerGrades+'!$AE$10,"C+",IF(L499&lt;'PlayerGrades+'!$AE$9,"B-",IF(L499&lt;'PlayerGrades+'!$AE$8,"B",IF(L499&lt;'PlayerGrades+'!$AE$7,"B+",IF(L499&lt;'PlayerGrades+'!$AE$6,"A-",IF(L499&lt;'PlayerGrades+'!$AE$5,"A",IF(L499&lt;'PlayerGrades+'!$AE$4,"A+",IF(L499&lt;'PlayerGrades+'!$AE$3,"S-",IF(L499&lt;'PlayerGrades+'!$AE$2,"S","S+"))))))))))))))))))))</f>
        <v>E-</v>
      </c>
      <c r="N499" s="937">
        <f t="shared" si="6"/>
        <v>0</v>
      </c>
      <c r="O499" s="937" t="str">
        <f>IF(N499&lt;'PlayerGrades+'!$AF$21,"F-",IF(N499&lt;'PlayerGrades+'!$AF$20,"F",IF(N499&lt;'PlayerGrades+'!$AF$19,"F+",IF(N499&lt;'PlayerGrades+'!$AF$18,"E-",IF(N499&lt;'PlayerGrades+'!$AF$17,"E",IF(N499&lt;'PlayerGrades+'!$AF$16,"E+",IF(N499&lt;'PlayerGrades+'!$AF$15,"D-",IF(N499&lt;'PlayerGrades+'!$AF$14,"D",IF(N499&lt;'PlayerGrades+'!$AF$13,"D+",IF(N499&lt;'PlayerGrades+'!$AF$12,"C-",IF(N499&lt;'PlayerGrades+'!$AF$11,"C",IF(N499&lt;'PlayerGrades+'!$AF$10,"C+",IF(N499&lt;'PlayerGrades+'!$AF$9,"B-",IF(N499&lt;'PlayerGrades+'!$AF$8,"B",IF(N499&lt;'PlayerGrades+'!$AF$7,"B+",IF(N499&lt;'PlayerGrades+'!$AF$6,"A-",IF(N499&lt;'PlayerGrades+'!$AF$5,"A",IF(N499&lt;'PlayerGrades+'!$AF$4,"A+",IF(N499&lt;'PlayerGrades+'!$AF$3,"S-",IF(N499&lt;'PlayerGrades+'!$AF$2,"S","S+"))))))))))))))))))))</f>
        <v>F-</v>
      </c>
      <c r="P499" s="937">
        <f t="shared" si="7"/>
        <v>0</v>
      </c>
      <c r="Q499" s="937" t="str">
        <f>IF(P499&lt;'PlayerGrades+'!$AG$21,"F-",IF(P499&lt;'PlayerGrades+'!$AG$20,"F",IF(P499&lt;'PlayerGrades+'!$AG$19,"F+",IF(P499&lt;'PlayerGrades+'!$AG$18,"E-",IF(P499&lt;'PlayerGrades+'!$AG$17,"E",IF(P499&lt;'PlayerGrades+'!$AG$16,"E+",IF(P499&lt;'PlayerGrades+'!$AG$15,"D-",IF(P499&lt;'PlayerGrades+'!$AG$14,"D",IF(P499&lt;'PlayerGrades+'!$AG$13,"D+",IF(P499&lt;'PlayerGrades+'!$AG$12,"C-",IF(P499&lt;'PlayerGrades+'!$AG$11,"C",IF(P499&lt;'PlayerGrades+'!$AG$10,"C+",IF(P499&lt;'PlayerGrades+'!$AG$9,"B-",IF(P499&lt;'PlayerGrades+'!$AG$8,"B",IF(P499&lt;'PlayerGrades+'!$AG$7,"B+",IF(P499&lt;'PlayerGrades+'!$AG$6,"A-",IF(P499&lt;'PlayerGrades+'!$AG$5,"A",IF(P499&lt;'PlayerGrades+'!$AG$4,"A+",IF(P499&lt;'PlayerGrades+'!$AG$3,"S-",IF(P499&lt;'PlayerGrades+'!$AG$2,"S","S+"))))))))))))))))))))</f>
        <v>F</v>
      </c>
      <c r="R499" s="937">
        <f t="shared" si="8"/>
        <v>0.5013927577</v>
      </c>
      <c r="S499" s="937" t="str">
        <f>IF(R499&lt;'PlayerGrades+'!$AH$21,"F-",IF(R499&lt;'PlayerGrades+'!$AH$20,"F",IF(R499&lt;'PlayerGrades+'!$AH$19,"F+",IF(R499&lt;'PlayerGrades+'!$AH$18,"E-",IF(R499&lt;'PlayerGrades+'!$AH$17,"E",IF(R499&lt;'PlayerGrades+'!$AH$16,"E+",IF(R499&lt;'PlayerGrades+'!$AH$15,"D-",IF(R499&lt;'PlayerGrades+'!$AH$14,"D",IF(R499&lt;'PlayerGrades+'!$AH$13,"D+",IF(R499&lt;'PlayerGrades+'!$AH$12,"C-",IF(R499&lt;'PlayerGrades+'!$AH$11,"C",IF(R499&lt;'PlayerGrades+'!$AH$10,"C+",IF(R499&lt;'PlayerGrades+'!$AH$9,"B-",IF(R499&lt;'PlayerGrades+'!$AH$8,"B",IF(R499&lt;'PlayerGrades+'!$AH$7,"B+",IF(R499&lt;'PlayerGrades+'!$AH$6,"A-",IF(R499&lt;'PlayerGrades+'!$AH$5,"A",IF(R499&lt;'PlayerGrades+'!$AH$4,"A+",IF(R499&lt;'PlayerGrades+'!$AH$3,"S-",IF(R499&lt;'PlayerGrades+'!$AH$2,"S","S+"))))))))))))))))))))</f>
        <v>D-</v>
      </c>
      <c r="T499" s="937">
        <f t="shared" si="9"/>
        <v>1.358137684</v>
      </c>
      <c r="U499" s="937" t="str">
        <f>IF(T499&lt;'PlayerGrades+'!$AI$21,"F-",IF(T499&lt;'PlayerGrades+'!$AI$20,"F",IF(T499&lt;'PlayerGrades+'!$AI$19,"F+",IF(T499&lt;'PlayerGrades+'!$AI$18,"E-",IF(T499&lt;'PlayerGrades+'!$AI$17,"E",IF(T499&lt;'PlayerGrades+'!$AI$16,"E+",IF(T499&lt;'PlayerGrades+'!$AI$15,"D-",IF(T499&lt;'PlayerGrades+'!$AI$14,"D",IF(T499&lt;'PlayerGrades+'!$AI$13,"D+",IF(T499&lt;'PlayerGrades+'!$AI$12,"C-",IF(T499&lt;'PlayerGrades+'!$AI$11,"C",IF(T499&lt;'PlayerGrades+'!$AI$10,"C+",IF(T499&lt;'PlayerGrades+'!$AI$9,"B-",IF(T499&lt;'PlayerGrades+'!$AI$8,"B",IF(T499&lt;'PlayerGrades+'!$AI$7,"B+",IF(T499&lt;'PlayerGrades+'!$AI$6,"A-",IF(T499&lt;'PlayerGrades+'!$AI$5,"A",IF(T499&lt;'PlayerGrades+'!$AI$4,"A+",IF(T499&lt;'PlayerGrades+'!$AI$3,"S-",IF(T499&lt;'PlayerGrades+'!$AI$2,"S","S+"))))))))))))))))))))</f>
        <v>B</v>
      </c>
      <c r="V499" s="941">
        <v>1.0</v>
      </c>
      <c r="W499" s="941">
        <v>1.0</v>
      </c>
      <c r="X499" s="941">
        <v>0.0</v>
      </c>
      <c r="Y499" s="941">
        <v>1.0</v>
      </c>
      <c r="Z499" s="941">
        <v>1.0</v>
      </c>
      <c r="AA499" s="941">
        <v>106.0</v>
      </c>
      <c r="AB499" s="941">
        <v>123.0</v>
      </c>
      <c r="AC499" s="941">
        <v>-17.0</v>
      </c>
      <c r="AD499" s="941">
        <v>6.0</v>
      </c>
      <c r="AE499" s="941">
        <v>4.0</v>
      </c>
      <c r="AF499" s="941">
        <v>0.0</v>
      </c>
      <c r="AG499" s="941">
        <v>2015.0</v>
      </c>
      <c r="AH499" s="941">
        <v>2513.0</v>
      </c>
      <c r="AI499" s="941">
        <v>16.0</v>
      </c>
      <c r="AJ499" s="941">
        <v>10.0</v>
      </c>
      <c r="AK499" s="941">
        <v>0.0</v>
      </c>
      <c r="AL499" s="941">
        <v>0.0</v>
      </c>
      <c r="AM499" s="941">
        <v>0.0</v>
      </c>
      <c r="AN499" s="941">
        <v>0.0</v>
      </c>
      <c r="AO499" s="941">
        <v>0.0</v>
      </c>
      <c r="AP499" s="941">
        <v>0.0</v>
      </c>
      <c r="AQ499" s="941">
        <v>0.0</v>
      </c>
      <c r="AR499" s="941">
        <v>13.0</v>
      </c>
      <c r="AS499" s="941">
        <v>0.0</v>
      </c>
      <c r="AT499" s="941">
        <v>0.0</v>
      </c>
      <c r="AU499" s="941">
        <v>0.0</v>
      </c>
      <c r="AV499" s="941">
        <v>0.0</v>
      </c>
      <c r="AW499" s="941">
        <v>0.0</v>
      </c>
      <c r="AX499" s="941">
        <v>0.0</v>
      </c>
      <c r="AY499" s="941">
        <v>0.0</v>
      </c>
      <c r="AZ499" s="941">
        <v>0.0</v>
      </c>
      <c r="BA499" s="941">
        <v>0.0</v>
      </c>
      <c r="BB499" s="941">
        <v>1.0</v>
      </c>
      <c r="BC499" s="941">
        <v>0.0</v>
      </c>
      <c r="BD499" s="941">
        <v>15.0</v>
      </c>
      <c r="BE499" s="941">
        <v>15.0</v>
      </c>
      <c r="BF499" s="941">
        <v>1.0</v>
      </c>
      <c r="BG499" s="942">
        <v>0.0</v>
      </c>
    </row>
    <row r="500">
      <c r="A500" s="935" t="s">
        <v>130</v>
      </c>
      <c r="B500" s="16" t="str">
        <f>IF(C500&lt;'PlayerGrades+'!$Y$44,"F-",IF(C500&lt;'PlayerGrades+'!$Y$43,"F",IF(C500&lt;'PlayerGrades+'!$Y$42,"F+",IF(C500&lt;'PlayerGrades+'!$Y$41,"E-",IF(C500&lt;'PlayerGrades+'!$Y$40,"E",IF(C500&lt;'PlayerGrades+'!$Y$39,"E+",IF(C500&lt;'PlayerGrades+'!$Y$38,"D-",IF(C500&lt;'PlayerGrades+'!$Y$37,"D",IF(C500&lt;'PlayerGrades+'!$Y$36,"D+",IF(C500&lt;'PlayerGrades+'!$Y$35,"C-",IF(C500&lt;'PlayerGrades+'!$Y$34,"C",IF(C500&lt;'PlayerGrades+'!$Y$33,"C+",IF(C500&lt;'PlayerGrades+'!$Y$32,"B-",IF(C500&lt;'PlayerGrades+'!$Y$31,"B",IF(C500&lt;'PlayerGrades+'!$Y$30,"B+",IF(C500&lt;'PlayerGrades+'!$Y$29,"A-",IF(C500&lt;'PlayerGrades+'!$Y$28,"A",IF(C500&lt;'PlayerGrades+'!$Y$27,"A+",IF(C500&lt;'PlayerGrades+'!$Y$26,"S-",IF(C500&lt;'PlayerGrades+'!$Y$25,"S","S+"))))))))))))))))))))</f>
        <v>D-</v>
      </c>
      <c r="C500" s="936">
        <f>('PlayerGrades+'!$Y$47*(VLOOKUP(E500, 'PlayerGrades+'!$X$3:$Y$23, 2, FALSE)))+('PlayerGrades+'!$Y$48*(VLOOKUP(G500, 'PlayerGrades+'!$X$3:$Y$23, 2, FALSE)))+('PlayerGrades+'!$Y$49*(VLOOKUP(I500, 'PlayerGrades+'!$X$3:$Y$23, 2, FALSE)))+('PlayerGrades+'!$Y$50*(VLOOKUP(K500, 'PlayerGrades+'!$X$3:$Y$23, 2, FALSE)))+('PlayerGrades+'!$Y$51*(VLOOKUP(M500, 'PlayerGrades+'!$X$3:$Y$23, 2, FALSE)))+('PlayerGrades+'!$Y$52*(VLOOKUP(O500, 'PlayerGrades+'!$X$3:$Y$23, 2, FALSE)))+('PlayerGrades+'!$Y$53*(VLOOKUP(Q500, 'PlayerGrades+'!$X$3:$Y$23, 2, FALSE)))+('PlayerGrades+'!$Y$54*(VLOOKUP(S500, 'PlayerGrades+'!$X$3:$Y$23, 2, FALSE)))+('PlayerGrades+'!$Y$55*(VLOOKUP(U500, 'PlayerGrades+'!$X$3:$Y$23, 2, FALSE)))</f>
        <v>14.3</v>
      </c>
      <c r="D500" s="937">
        <f t="shared" si="1"/>
        <v>0</v>
      </c>
      <c r="E500" s="937" t="str">
        <f>IF(D500&lt;'PlayerGrades+'!$AA$21,"F-",IF(D500&lt;'PlayerGrades+'!$AA$20,"F",IF(D500&lt;'PlayerGrades+'!$AA$19,"F+",IF(D500&lt;'PlayerGrades+'!$AA$18,"E-",IF(D500&lt;'PlayerGrades+'!$AA$17,"E",IF(D500&lt;'PlayerGrades+'!$AA$16,"E+",IF(D500&lt;'PlayerGrades+'!$AA$15,"D-",IF(D500&lt;'PlayerGrades+'!$AA$14,"D",IF(D500&lt;'PlayerGrades+'!$AA$13,"D+",IF(D500&lt;'PlayerGrades+'!$AA$12,"C-",IF(D500&lt;'PlayerGrades+'!$AA$11,"C",IF(D500&lt;'PlayerGrades+'!$AA$10,"C+",IF(D500&lt;'PlayerGrades+'!$AA$9,"B-",IF(D500&lt;'PlayerGrades+'!$AA$8,"B",IF(D500&lt;'PlayerGrades+'!$AA$7,"B+",IF(D500&lt;'PlayerGrades+'!$AA$6,"A-",IF(D500&lt;'PlayerGrades+'!$AA$5,"A",IF(D500&lt;'PlayerGrades+'!$AA$4,"A+",IF(D500&lt;'PlayerGrades+'!$AA$3,"S-",IF(D500&lt;'PlayerGrades+'!$AA$2,"S","S+"))))))))))))))))))))</f>
        <v>F-</v>
      </c>
      <c r="F500" s="937">
        <f t="shared" si="2"/>
        <v>0.358137684</v>
      </c>
      <c r="G500" s="937" t="str">
        <f>IF(F500&lt;'PlayerGrades+'!$AB$21,"F-",IF(F500&lt;'PlayerGrades+'!$AB$20,"F",IF(F500&lt;'PlayerGrades+'!$AB$19,"F+",IF(F500&lt;'PlayerGrades+'!$AB$18,"E-",IF(F500&lt;'PlayerGrades+'!$AB$17,"E",IF(F500&lt;'PlayerGrades+'!$AB$16,"E+",IF(F500&lt;'PlayerGrades+'!$AB$15,"D-",IF(F500&lt;'PlayerGrades+'!$AB$14,"D",IF(F500&lt;'PlayerGrades+'!$AB$13,"D+",IF(F500&lt;'PlayerGrades+'!$AB$12,"C-",IF(F500&lt;'PlayerGrades+'!$AB$11,"C",IF(F500&lt;'PlayerGrades+'!$AB$10,"C+",IF(F500&lt;'PlayerGrades+'!$AB$9,"B-",IF(F500&lt;'PlayerGrades+'!$AB$8,"B",IF(F500&lt;'PlayerGrades+'!$AB$7,"B+",IF(F500&lt;'PlayerGrades+'!$AB$6,"A-",IF(F500&lt;'PlayerGrades+'!$AB$5,"A",IF(F500&lt;'PlayerGrades+'!$AB$4,"A+",IF(F500&lt;'PlayerGrades+'!$AB$3,"S-",IF(F500&lt;'PlayerGrades+'!$AB$2,"S","S+"))))))))))))))))))))</f>
        <v>A-</v>
      </c>
      <c r="H500" s="937">
        <f t="shared" si="3"/>
        <v>0</v>
      </c>
      <c r="I500" s="937" t="str">
        <f>IF(H500&lt;'PlayerGrades+'!$AC$21,"F-",IF(H500&lt;'PlayerGrades+'!$AC$20,"F",IF(H500&lt;'PlayerGrades+'!$AC$19,"F+",IF(H500&lt;'PlayerGrades+'!$AC$18,"E-",IF(H500&lt;'PlayerGrades+'!$AC$17,"E",IF(H500&lt;'PlayerGrades+'!$AC$16,"E+",IF(H500&lt;'PlayerGrades+'!$AC$15,"D-",IF(H500&lt;'PlayerGrades+'!$AC$14,"D",IF(H500&lt;'PlayerGrades+'!$AC$13,"D+",IF(H500&lt;'PlayerGrades+'!$AC$12,"C-",IF(H500&lt;'PlayerGrades+'!$AC$11,"C",IF(H500&lt;'PlayerGrades+'!$AC$10,"C+",IF(H500&lt;'PlayerGrades+'!$AC$9,"B-",IF(H500&lt;'PlayerGrades+'!$AC$8,"B",IF(H500&lt;'PlayerGrades+'!$AC$7,"B+",IF(H500&lt;'PlayerGrades+'!$AC$6,"A-",IF(H500&lt;'PlayerGrades+'!$AC$5,"A",IF(H500&lt;'PlayerGrades+'!$AC$4,"A+",IF(H500&lt;'PlayerGrades+'!$AC$3,"S-",IF(H500&lt;'PlayerGrades+'!$AC$2,"S","S+"))))))))))))))))))))</f>
        <v>F-</v>
      </c>
      <c r="J500" s="937">
        <f t="shared" si="4"/>
        <v>0.07162753681</v>
      </c>
      <c r="K500" s="937" t="str">
        <f>IF(J500&lt;'PlayerGrades+'!$AD$21,"F-",IF(J500&lt;'PlayerGrades+'!$AD$20,"F",IF(J500&lt;'PlayerGrades+'!$AD$19,"F+",IF(J500&lt;'PlayerGrades+'!$AD$18,"E-",IF(J500&lt;'PlayerGrades+'!$AD$17,"E",IF(J500&lt;'PlayerGrades+'!$AD$16,"E+",IF(J500&lt;'PlayerGrades+'!$AD$15,"D-",IF(J500&lt;'PlayerGrades+'!$AD$14,"D",IF(J500&lt;'PlayerGrades+'!$AD$13,"D+",IF(J500&lt;'PlayerGrades+'!$AD$12,"C-",IF(J500&lt;'PlayerGrades+'!$AD$11,"C",IF(J500&lt;'PlayerGrades+'!$AD$10,"C+",IF(J500&lt;'PlayerGrades+'!$AD$9,"B-",IF(J500&lt;'PlayerGrades+'!$AD$8,"B",IF(J500&lt;'PlayerGrades+'!$AD$7,"B+",IF(J500&lt;'PlayerGrades+'!$AD$6,"A-",IF(J500&lt;'PlayerGrades+'!$AD$5,"A",IF(J500&lt;'PlayerGrades+'!$AD$4,"A+",IF(J500&lt;'PlayerGrades+'!$AD$3,"S-",IF(J500&lt;'PlayerGrades+'!$AD$2,"S","S+"))))))))))))))))))))</f>
        <v>A</v>
      </c>
      <c r="L500" s="677">
        <f t="shared" si="5"/>
        <v>0.1432550736</v>
      </c>
      <c r="M500" s="938" t="str">
        <f>IF(L500&lt;'PlayerGrades+'!$AE$21,"F-",IF(L500&lt;'PlayerGrades+'!$AE$20,"F",IF(L500&lt;'PlayerGrades+'!$AE$19,"F+",IF(L500&lt;'PlayerGrades+'!$AE$18,"E-",IF(L500&lt;'PlayerGrades+'!$AE$17,"E",IF(L500&lt;'PlayerGrades+'!$AE$16,"E+",IF(L500&lt;'PlayerGrades+'!$AE$15,"D-",IF(L500&lt;'PlayerGrades+'!$AE$14,"D",IF(L500&lt;'PlayerGrades+'!$AE$13,"D+",IF(L500&lt;'PlayerGrades+'!$AE$12,"C-",IF(L500&lt;'PlayerGrades+'!$AE$11,"C",IF(L500&lt;'PlayerGrades+'!$AE$10,"C+",IF(L500&lt;'PlayerGrades+'!$AE$9,"B-",IF(L500&lt;'PlayerGrades+'!$AE$8,"B",IF(L500&lt;'PlayerGrades+'!$AE$7,"B+",IF(L500&lt;'PlayerGrades+'!$AE$6,"A-",IF(L500&lt;'PlayerGrades+'!$AE$5,"A",IF(L500&lt;'PlayerGrades+'!$AE$4,"A+",IF(L500&lt;'PlayerGrades+'!$AE$3,"S-",IF(L500&lt;'PlayerGrades+'!$AE$2,"S","S+"))))))))))))))))))))</f>
        <v>F-</v>
      </c>
      <c r="N500" s="937">
        <f t="shared" si="6"/>
        <v>0</v>
      </c>
      <c r="O500" s="937" t="str">
        <f>IF(N500&lt;'PlayerGrades+'!$AF$21,"F-",IF(N500&lt;'PlayerGrades+'!$AF$20,"F",IF(N500&lt;'PlayerGrades+'!$AF$19,"F+",IF(N500&lt;'PlayerGrades+'!$AF$18,"E-",IF(N500&lt;'PlayerGrades+'!$AF$17,"E",IF(N500&lt;'PlayerGrades+'!$AF$16,"E+",IF(N500&lt;'PlayerGrades+'!$AF$15,"D-",IF(N500&lt;'PlayerGrades+'!$AF$14,"D",IF(N500&lt;'PlayerGrades+'!$AF$13,"D+",IF(N500&lt;'PlayerGrades+'!$AF$12,"C-",IF(N500&lt;'PlayerGrades+'!$AF$11,"C",IF(N500&lt;'PlayerGrades+'!$AF$10,"C+",IF(N500&lt;'PlayerGrades+'!$AF$9,"B-",IF(N500&lt;'PlayerGrades+'!$AF$8,"B",IF(N500&lt;'PlayerGrades+'!$AF$7,"B+",IF(N500&lt;'PlayerGrades+'!$AF$6,"A-",IF(N500&lt;'PlayerGrades+'!$AF$5,"A",IF(N500&lt;'PlayerGrades+'!$AF$4,"A+",IF(N500&lt;'PlayerGrades+'!$AF$3,"S-",IF(N500&lt;'PlayerGrades+'!$AF$2,"S","S+"))))))))))))))))))))</f>
        <v>F-</v>
      </c>
      <c r="P500" s="937">
        <f t="shared" si="7"/>
        <v>0.07162753681</v>
      </c>
      <c r="Q500" s="937" t="str">
        <f>IF(P500&lt;'PlayerGrades+'!$AG$21,"F-",IF(P500&lt;'PlayerGrades+'!$AG$20,"F",IF(P500&lt;'PlayerGrades+'!$AG$19,"F+",IF(P500&lt;'PlayerGrades+'!$AG$18,"E-",IF(P500&lt;'PlayerGrades+'!$AG$17,"E",IF(P500&lt;'PlayerGrades+'!$AG$16,"E+",IF(P500&lt;'PlayerGrades+'!$AG$15,"D-",IF(P500&lt;'PlayerGrades+'!$AG$14,"D",IF(P500&lt;'PlayerGrades+'!$AG$13,"D+",IF(P500&lt;'PlayerGrades+'!$AG$12,"C-",IF(P500&lt;'PlayerGrades+'!$AG$11,"C",IF(P500&lt;'PlayerGrades+'!$AG$10,"C+",IF(P500&lt;'PlayerGrades+'!$AG$9,"B-",IF(P500&lt;'PlayerGrades+'!$AG$8,"B",IF(P500&lt;'PlayerGrades+'!$AG$7,"B+",IF(P500&lt;'PlayerGrades+'!$AG$6,"A-",IF(P500&lt;'PlayerGrades+'!$AG$5,"A",IF(P500&lt;'PlayerGrades+'!$AG$4,"A+",IF(P500&lt;'PlayerGrades+'!$AG$3,"S-",IF(P500&lt;'PlayerGrades+'!$AG$2,"S","S+"))))))))))))))))))))</f>
        <v>S-</v>
      </c>
      <c r="R500" s="937">
        <f t="shared" si="8"/>
        <v>0.5968961401</v>
      </c>
      <c r="S500" s="937" t="str">
        <f>IF(R500&lt;'PlayerGrades+'!$AH$21,"F-",IF(R500&lt;'PlayerGrades+'!$AH$20,"F",IF(R500&lt;'PlayerGrades+'!$AH$19,"F+",IF(R500&lt;'PlayerGrades+'!$AH$18,"E-",IF(R500&lt;'PlayerGrades+'!$AH$17,"E",IF(R500&lt;'PlayerGrades+'!$AH$16,"E+",IF(R500&lt;'PlayerGrades+'!$AH$15,"D-",IF(R500&lt;'PlayerGrades+'!$AH$14,"D",IF(R500&lt;'PlayerGrades+'!$AH$13,"D+",IF(R500&lt;'PlayerGrades+'!$AH$12,"C-",IF(R500&lt;'PlayerGrades+'!$AH$11,"C",IF(R500&lt;'PlayerGrades+'!$AH$10,"C+",IF(R500&lt;'PlayerGrades+'!$AH$9,"B-",IF(R500&lt;'PlayerGrades+'!$AH$8,"B",IF(R500&lt;'PlayerGrades+'!$AH$7,"B+",IF(R500&lt;'PlayerGrades+'!$AH$6,"A-",IF(R500&lt;'PlayerGrades+'!$AH$5,"A",IF(R500&lt;'PlayerGrades+'!$AH$4,"A+",IF(R500&lt;'PlayerGrades+'!$AH$3,"S-",IF(R500&lt;'PlayerGrades+'!$AH$2,"S","S+"))))))))))))))))))))</f>
        <v>A-</v>
      </c>
      <c r="T500" s="937">
        <f t="shared" si="9"/>
        <v>0.2865101472</v>
      </c>
      <c r="U500" s="937" t="str">
        <f>IF(T500&lt;'PlayerGrades+'!$AI$21,"F-",IF(T500&lt;'PlayerGrades+'!$AI$20,"F",IF(T500&lt;'PlayerGrades+'!$AI$19,"F+",IF(T500&lt;'PlayerGrades+'!$AI$18,"E-",IF(T500&lt;'PlayerGrades+'!$AI$17,"E",IF(T500&lt;'PlayerGrades+'!$AI$16,"E+",IF(T500&lt;'PlayerGrades+'!$AI$15,"D-",IF(T500&lt;'PlayerGrades+'!$AI$14,"D",IF(T500&lt;'PlayerGrades+'!$AI$13,"D+",IF(T500&lt;'PlayerGrades+'!$AI$12,"C-",IF(T500&lt;'PlayerGrades+'!$AI$11,"C",IF(T500&lt;'PlayerGrades+'!$AI$10,"C+",IF(T500&lt;'PlayerGrades+'!$AI$9,"B-",IF(T500&lt;'PlayerGrades+'!$AI$8,"B",IF(T500&lt;'PlayerGrades+'!$AI$7,"B+",IF(T500&lt;'PlayerGrades+'!$AI$6,"A-",IF(T500&lt;'PlayerGrades+'!$AI$5,"A",IF(T500&lt;'PlayerGrades+'!$AI$4,"A+",IF(T500&lt;'PlayerGrades+'!$AI$3,"S-",IF(T500&lt;'PlayerGrades+'!$AI$2,"S","S+"))))))))))))))))))))</f>
        <v>F-</v>
      </c>
      <c r="V500" s="941">
        <v>1.0</v>
      </c>
      <c r="W500" s="941">
        <v>1.0</v>
      </c>
      <c r="X500" s="941">
        <v>0.0</v>
      </c>
      <c r="Y500" s="941">
        <v>0.0</v>
      </c>
      <c r="Z500" s="941">
        <v>0.0</v>
      </c>
      <c r="AA500" s="941">
        <v>102.0</v>
      </c>
      <c r="AB500" s="941">
        <v>87.0</v>
      </c>
      <c r="AC500" s="941">
        <v>15.0</v>
      </c>
      <c r="AD500" s="941">
        <v>11.0</v>
      </c>
      <c r="AE500" s="941">
        <v>8.0</v>
      </c>
      <c r="AF500" s="941">
        <v>5.0</v>
      </c>
      <c r="AG500" s="941">
        <v>2127.0</v>
      </c>
      <c r="AH500" s="941">
        <v>2513.0</v>
      </c>
      <c r="AI500" s="941">
        <v>24.0</v>
      </c>
      <c r="AJ500" s="941">
        <v>5.0</v>
      </c>
      <c r="AK500" s="941">
        <v>0.0</v>
      </c>
      <c r="AL500" s="941">
        <v>3.0</v>
      </c>
      <c r="AM500" s="941">
        <v>0.0</v>
      </c>
      <c r="AN500" s="941">
        <v>0.0</v>
      </c>
      <c r="AO500" s="941">
        <v>0.0</v>
      </c>
      <c r="AP500" s="941">
        <v>3.0</v>
      </c>
      <c r="AQ500" s="941">
        <v>0.0</v>
      </c>
      <c r="AR500" s="941">
        <v>6.0</v>
      </c>
      <c r="AS500" s="941">
        <v>0.0</v>
      </c>
      <c r="AT500" s="941">
        <v>0.0</v>
      </c>
      <c r="AU500" s="941">
        <v>0.0</v>
      </c>
      <c r="AV500" s="941">
        <v>0.0</v>
      </c>
      <c r="AW500" s="941">
        <v>0.0</v>
      </c>
      <c r="AX500" s="941">
        <v>0.0</v>
      </c>
      <c r="AY500" s="941">
        <v>0.0</v>
      </c>
      <c r="AZ500" s="941">
        <v>0.0</v>
      </c>
      <c r="BA500" s="941">
        <v>0.0</v>
      </c>
      <c r="BB500" s="941">
        <v>0.0</v>
      </c>
      <c r="BC500" s="941">
        <v>0.0</v>
      </c>
      <c r="BD500" s="941">
        <v>14.0</v>
      </c>
      <c r="BE500" s="941">
        <v>12.0</v>
      </c>
      <c r="BF500" s="941">
        <v>0.0</v>
      </c>
      <c r="BG500" s="942">
        <v>0.0</v>
      </c>
    </row>
    <row r="501">
      <c r="A501" s="935" t="s">
        <v>141</v>
      </c>
      <c r="B501" s="16" t="str">
        <f>IF(C501&lt;'PlayerGrades+'!$Y$44,"F-",IF(C501&lt;'PlayerGrades+'!$Y$43,"F",IF(C501&lt;'PlayerGrades+'!$Y$42,"F+",IF(C501&lt;'PlayerGrades+'!$Y$41,"E-",IF(C501&lt;'PlayerGrades+'!$Y$40,"E",IF(C501&lt;'PlayerGrades+'!$Y$39,"E+",IF(C501&lt;'PlayerGrades+'!$Y$38,"D-",IF(C501&lt;'PlayerGrades+'!$Y$37,"D",IF(C501&lt;'PlayerGrades+'!$Y$36,"D+",IF(C501&lt;'PlayerGrades+'!$Y$35,"C-",IF(C501&lt;'PlayerGrades+'!$Y$34,"C",IF(C501&lt;'PlayerGrades+'!$Y$33,"C+",IF(C501&lt;'PlayerGrades+'!$Y$32,"B-",IF(C501&lt;'PlayerGrades+'!$Y$31,"B",IF(C501&lt;'PlayerGrades+'!$Y$30,"B+",IF(C501&lt;'PlayerGrades+'!$Y$29,"A-",IF(C501&lt;'PlayerGrades+'!$Y$28,"A",IF(C501&lt;'PlayerGrades+'!$Y$27,"A+",IF(C501&lt;'PlayerGrades+'!$Y$26,"S-",IF(C501&lt;'PlayerGrades+'!$Y$25,"S","S+"))))))))))))))))))))</f>
        <v>E-</v>
      </c>
      <c r="C501" s="936">
        <f>('PlayerGrades+'!$Y$47*(VLOOKUP(E501, 'PlayerGrades+'!$X$3:$Y$23, 2, FALSE)))+('PlayerGrades+'!$Y$48*(VLOOKUP(G501, 'PlayerGrades+'!$X$3:$Y$23, 2, FALSE)))+('PlayerGrades+'!$Y$49*(VLOOKUP(I501, 'PlayerGrades+'!$X$3:$Y$23, 2, FALSE)))+('PlayerGrades+'!$Y$50*(VLOOKUP(K501, 'PlayerGrades+'!$X$3:$Y$23, 2, FALSE)))+('PlayerGrades+'!$Y$51*(VLOOKUP(M501, 'PlayerGrades+'!$X$3:$Y$23, 2, FALSE)))+('PlayerGrades+'!$Y$52*(VLOOKUP(O501, 'PlayerGrades+'!$X$3:$Y$23, 2, FALSE)))+('PlayerGrades+'!$Y$53*(VLOOKUP(Q501, 'PlayerGrades+'!$X$3:$Y$23, 2, FALSE)))+('PlayerGrades+'!$Y$54*(VLOOKUP(S501, 'PlayerGrades+'!$X$3:$Y$23, 2, FALSE)))+('PlayerGrades+'!$Y$55*(VLOOKUP(U501, 'PlayerGrades+'!$X$3:$Y$23, 2, FALSE)))</f>
        <v>11.3</v>
      </c>
      <c r="D501" s="937">
        <f t="shared" si="1"/>
        <v>0</v>
      </c>
      <c r="E501" s="937" t="str">
        <f>IF(D501&lt;'PlayerGrades+'!$AA$21,"F-",IF(D501&lt;'PlayerGrades+'!$AA$20,"F",IF(D501&lt;'PlayerGrades+'!$AA$19,"F+",IF(D501&lt;'PlayerGrades+'!$AA$18,"E-",IF(D501&lt;'PlayerGrades+'!$AA$17,"E",IF(D501&lt;'PlayerGrades+'!$AA$16,"E+",IF(D501&lt;'PlayerGrades+'!$AA$15,"D-",IF(D501&lt;'PlayerGrades+'!$AA$14,"D",IF(D501&lt;'PlayerGrades+'!$AA$13,"D+",IF(D501&lt;'PlayerGrades+'!$AA$12,"C-",IF(D501&lt;'PlayerGrades+'!$AA$11,"C",IF(D501&lt;'PlayerGrades+'!$AA$10,"C+",IF(D501&lt;'PlayerGrades+'!$AA$9,"B-",IF(D501&lt;'PlayerGrades+'!$AA$8,"B",IF(D501&lt;'PlayerGrades+'!$AA$7,"B+",IF(D501&lt;'PlayerGrades+'!$AA$6,"A-",IF(D501&lt;'PlayerGrades+'!$AA$5,"A",IF(D501&lt;'PlayerGrades+'!$AA$4,"A+",IF(D501&lt;'PlayerGrades+'!$AA$3,"S-",IF(D501&lt;'PlayerGrades+'!$AA$2,"S","S+"))))))))))))))))))))</f>
        <v>F-</v>
      </c>
      <c r="F501" s="937">
        <f t="shared" si="2"/>
        <v>-0.5491444489</v>
      </c>
      <c r="G501" s="937" t="str">
        <f>IF(F501&lt;'PlayerGrades+'!$AB$21,"F-",IF(F501&lt;'PlayerGrades+'!$AB$20,"F",IF(F501&lt;'PlayerGrades+'!$AB$19,"F+",IF(F501&lt;'PlayerGrades+'!$AB$18,"E-",IF(F501&lt;'PlayerGrades+'!$AB$17,"E",IF(F501&lt;'PlayerGrades+'!$AB$16,"E+",IF(F501&lt;'PlayerGrades+'!$AB$15,"D-",IF(F501&lt;'PlayerGrades+'!$AB$14,"D",IF(F501&lt;'PlayerGrades+'!$AB$13,"D+",IF(F501&lt;'PlayerGrades+'!$AB$12,"C-",IF(F501&lt;'PlayerGrades+'!$AB$11,"C",IF(F501&lt;'PlayerGrades+'!$AB$10,"C+",IF(F501&lt;'PlayerGrades+'!$AB$9,"B-",IF(F501&lt;'PlayerGrades+'!$AB$8,"B",IF(F501&lt;'PlayerGrades+'!$AB$7,"B+",IF(F501&lt;'PlayerGrades+'!$AB$6,"A-",IF(F501&lt;'PlayerGrades+'!$AB$5,"A",IF(F501&lt;'PlayerGrades+'!$AB$4,"A+",IF(F501&lt;'PlayerGrades+'!$AB$3,"S-",IF(F501&lt;'PlayerGrades+'!$AB$2,"S","S+"))))))))))))))))))))</f>
        <v>D</v>
      </c>
      <c r="H501" s="937">
        <f t="shared" si="3"/>
        <v>0</v>
      </c>
      <c r="I501" s="937" t="str">
        <f>IF(H501&lt;'PlayerGrades+'!$AC$21,"F-",IF(H501&lt;'PlayerGrades+'!$AC$20,"F",IF(H501&lt;'PlayerGrades+'!$AC$19,"F+",IF(H501&lt;'PlayerGrades+'!$AC$18,"E-",IF(H501&lt;'PlayerGrades+'!$AC$17,"E",IF(H501&lt;'PlayerGrades+'!$AC$16,"E+",IF(H501&lt;'PlayerGrades+'!$AC$15,"D-",IF(H501&lt;'PlayerGrades+'!$AC$14,"D",IF(H501&lt;'PlayerGrades+'!$AC$13,"D+",IF(H501&lt;'PlayerGrades+'!$AC$12,"C-",IF(H501&lt;'PlayerGrades+'!$AC$11,"C",IF(H501&lt;'PlayerGrades+'!$AC$10,"C+",IF(H501&lt;'PlayerGrades+'!$AC$9,"B-",IF(H501&lt;'PlayerGrades+'!$AC$8,"B",IF(H501&lt;'PlayerGrades+'!$AC$7,"B+",IF(H501&lt;'PlayerGrades+'!$AC$6,"A-",IF(H501&lt;'PlayerGrades+'!$AC$5,"A",IF(H501&lt;'PlayerGrades+'!$AC$4,"A+",IF(H501&lt;'PlayerGrades+'!$AC$3,"S-",IF(H501&lt;'PlayerGrades+'!$AC$2,"S","S+"))))))))))))))))))))</f>
        <v>F-</v>
      </c>
      <c r="J501" s="937">
        <f t="shared" si="4"/>
        <v>0.0238758456</v>
      </c>
      <c r="K501" s="937" t="str">
        <f>IF(J501&lt;'PlayerGrades+'!$AD$21,"F-",IF(J501&lt;'PlayerGrades+'!$AD$20,"F",IF(J501&lt;'PlayerGrades+'!$AD$19,"F+",IF(J501&lt;'PlayerGrades+'!$AD$18,"E-",IF(J501&lt;'PlayerGrades+'!$AD$17,"E",IF(J501&lt;'PlayerGrades+'!$AD$16,"E+",IF(J501&lt;'PlayerGrades+'!$AD$15,"D-",IF(J501&lt;'PlayerGrades+'!$AD$14,"D",IF(J501&lt;'PlayerGrades+'!$AD$13,"D+",IF(J501&lt;'PlayerGrades+'!$AD$12,"C-",IF(J501&lt;'PlayerGrades+'!$AD$11,"C",IF(J501&lt;'PlayerGrades+'!$AD$10,"C+",IF(J501&lt;'PlayerGrades+'!$AD$9,"B-",IF(J501&lt;'PlayerGrades+'!$AD$8,"B",IF(J501&lt;'PlayerGrades+'!$AD$7,"B+",IF(J501&lt;'PlayerGrades+'!$AD$6,"A-",IF(J501&lt;'PlayerGrades+'!$AD$5,"A",IF(J501&lt;'PlayerGrades+'!$AD$4,"A+",IF(J501&lt;'PlayerGrades+'!$AD$3,"S-",IF(J501&lt;'PlayerGrades+'!$AD$2,"S","S+"))))))))))))))))))))</f>
        <v>D</v>
      </c>
      <c r="L501" s="677">
        <f t="shared" si="5"/>
        <v>0.2626343016</v>
      </c>
      <c r="M501" s="938" t="str">
        <f>IF(L501&lt;'PlayerGrades+'!$AE$21,"F-",IF(L501&lt;'PlayerGrades+'!$AE$20,"F",IF(L501&lt;'PlayerGrades+'!$AE$19,"F+",IF(L501&lt;'PlayerGrades+'!$AE$18,"E-",IF(L501&lt;'PlayerGrades+'!$AE$17,"E",IF(L501&lt;'PlayerGrades+'!$AE$16,"E+",IF(L501&lt;'PlayerGrades+'!$AE$15,"D-",IF(L501&lt;'PlayerGrades+'!$AE$14,"D",IF(L501&lt;'PlayerGrades+'!$AE$13,"D+",IF(L501&lt;'PlayerGrades+'!$AE$12,"C-",IF(L501&lt;'PlayerGrades+'!$AE$11,"C",IF(L501&lt;'PlayerGrades+'!$AE$10,"C+",IF(L501&lt;'PlayerGrades+'!$AE$9,"B-",IF(L501&lt;'PlayerGrades+'!$AE$8,"B",IF(L501&lt;'PlayerGrades+'!$AE$7,"B+",IF(L501&lt;'PlayerGrades+'!$AE$6,"A-",IF(L501&lt;'PlayerGrades+'!$AE$5,"A",IF(L501&lt;'PlayerGrades+'!$AE$4,"A+",IF(L501&lt;'PlayerGrades+'!$AE$3,"S-",IF(L501&lt;'PlayerGrades+'!$AE$2,"S","S+"))))))))))))))))))))</f>
        <v>F</v>
      </c>
      <c r="N501" s="937">
        <f t="shared" si="6"/>
        <v>0.04775169121</v>
      </c>
      <c r="O501" s="937" t="str">
        <f>IF(N501&lt;'PlayerGrades+'!$AF$21,"F-",IF(N501&lt;'PlayerGrades+'!$AF$20,"F",IF(N501&lt;'PlayerGrades+'!$AF$19,"F+",IF(N501&lt;'PlayerGrades+'!$AF$18,"E-",IF(N501&lt;'PlayerGrades+'!$AF$17,"E",IF(N501&lt;'PlayerGrades+'!$AF$16,"E+",IF(N501&lt;'PlayerGrades+'!$AF$15,"D-",IF(N501&lt;'PlayerGrades+'!$AF$14,"D",IF(N501&lt;'PlayerGrades+'!$AF$13,"D+",IF(N501&lt;'PlayerGrades+'!$AF$12,"C-",IF(N501&lt;'PlayerGrades+'!$AF$11,"C",IF(N501&lt;'PlayerGrades+'!$AF$10,"C+",IF(N501&lt;'PlayerGrades+'!$AF$9,"B-",IF(N501&lt;'PlayerGrades+'!$AF$8,"B",IF(N501&lt;'PlayerGrades+'!$AF$7,"B+",IF(N501&lt;'PlayerGrades+'!$AF$6,"A-",IF(N501&lt;'PlayerGrades+'!$AF$5,"A",IF(N501&lt;'PlayerGrades+'!$AF$4,"A+",IF(N501&lt;'PlayerGrades+'!$AF$3,"S-",IF(N501&lt;'PlayerGrades+'!$AF$2,"S","S+"))))))))))))))))))))</f>
        <v>D-</v>
      </c>
      <c r="P501" s="937">
        <f t="shared" si="7"/>
        <v>0.0238758456</v>
      </c>
      <c r="Q501" s="937" t="str">
        <f>IF(P501&lt;'PlayerGrades+'!$AG$21,"F-",IF(P501&lt;'PlayerGrades+'!$AG$20,"F",IF(P501&lt;'PlayerGrades+'!$AG$19,"F+",IF(P501&lt;'PlayerGrades+'!$AG$18,"E-",IF(P501&lt;'PlayerGrades+'!$AG$17,"E",IF(P501&lt;'PlayerGrades+'!$AG$16,"E+",IF(P501&lt;'PlayerGrades+'!$AG$15,"D-",IF(P501&lt;'PlayerGrades+'!$AG$14,"D",IF(P501&lt;'PlayerGrades+'!$AG$13,"D+",IF(P501&lt;'PlayerGrades+'!$AG$12,"C-",IF(P501&lt;'PlayerGrades+'!$AG$11,"C",IF(P501&lt;'PlayerGrades+'!$AG$10,"C+",IF(P501&lt;'PlayerGrades+'!$AG$9,"B-",IF(P501&lt;'PlayerGrades+'!$AG$8,"B",IF(P501&lt;'PlayerGrades+'!$AG$7,"B+",IF(P501&lt;'PlayerGrades+'!$AG$6,"A-",IF(P501&lt;'PlayerGrades+'!$AG$5,"A",IF(P501&lt;'PlayerGrades+'!$AG$4,"A+",IF(P501&lt;'PlayerGrades+'!$AG$3,"S-",IF(P501&lt;'PlayerGrades+'!$AG$2,"S","S+"))))))))))))))))))))</f>
        <v>B-</v>
      </c>
      <c r="R501" s="937">
        <f t="shared" si="8"/>
        <v>0.4775169121</v>
      </c>
      <c r="S501" s="937" t="str">
        <f>IF(R501&lt;'PlayerGrades+'!$AH$21,"F-",IF(R501&lt;'PlayerGrades+'!$AH$20,"F",IF(R501&lt;'PlayerGrades+'!$AH$19,"F+",IF(R501&lt;'PlayerGrades+'!$AH$18,"E-",IF(R501&lt;'PlayerGrades+'!$AH$17,"E",IF(R501&lt;'PlayerGrades+'!$AH$16,"E+",IF(R501&lt;'PlayerGrades+'!$AH$15,"D-",IF(R501&lt;'PlayerGrades+'!$AH$14,"D",IF(R501&lt;'PlayerGrades+'!$AH$13,"D+",IF(R501&lt;'PlayerGrades+'!$AH$12,"C-",IF(R501&lt;'PlayerGrades+'!$AH$11,"C",IF(R501&lt;'PlayerGrades+'!$AH$10,"C+",IF(R501&lt;'PlayerGrades+'!$AH$9,"B-",IF(R501&lt;'PlayerGrades+'!$AH$8,"B",IF(R501&lt;'PlayerGrades+'!$AH$7,"B+",IF(R501&lt;'PlayerGrades+'!$AH$6,"A-",IF(R501&lt;'PlayerGrades+'!$AH$5,"A",IF(R501&lt;'PlayerGrades+'!$AH$4,"A+",IF(R501&lt;'PlayerGrades+'!$AH$3,"S-",IF(R501&lt;'PlayerGrades+'!$AH$2,"S","S+"))))))))))))))))))))</f>
        <v>E+</v>
      </c>
      <c r="T501" s="937">
        <f t="shared" si="9"/>
        <v>1.286510147</v>
      </c>
      <c r="U501" s="937" t="str">
        <f>IF(T501&lt;'PlayerGrades+'!$AI$21,"F-",IF(T501&lt;'PlayerGrades+'!$AI$20,"F",IF(T501&lt;'PlayerGrades+'!$AI$19,"F+",IF(T501&lt;'PlayerGrades+'!$AI$18,"E-",IF(T501&lt;'PlayerGrades+'!$AI$17,"E",IF(T501&lt;'PlayerGrades+'!$AI$16,"E+",IF(T501&lt;'PlayerGrades+'!$AI$15,"D-",IF(T501&lt;'PlayerGrades+'!$AI$14,"D",IF(T501&lt;'PlayerGrades+'!$AI$13,"D+",IF(T501&lt;'PlayerGrades+'!$AI$12,"C-",IF(T501&lt;'PlayerGrades+'!$AI$11,"C",IF(T501&lt;'PlayerGrades+'!$AI$10,"C+",IF(T501&lt;'PlayerGrades+'!$AI$9,"B-",IF(T501&lt;'PlayerGrades+'!$AI$8,"B",IF(T501&lt;'PlayerGrades+'!$AI$7,"B+",IF(T501&lt;'PlayerGrades+'!$AI$6,"A-",IF(T501&lt;'PlayerGrades+'!$AI$5,"A",IF(T501&lt;'PlayerGrades+'!$AI$4,"A+",IF(T501&lt;'PlayerGrades+'!$AI$3,"S-",IF(T501&lt;'PlayerGrades+'!$AI$2,"S","S+"))))))))))))))))))))</f>
        <v>C</v>
      </c>
      <c r="V501" s="941">
        <v>1.0</v>
      </c>
      <c r="W501" s="941">
        <v>1.0</v>
      </c>
      <c r="X501" s="941">
        <v>0.0</v>
      </c>
      <c r="Y501" s="941">
        <v>0.0</v>
      </c>
      <c r="Z501" s="941">
        <v>0.0</v>
      </c>
      <c r="AA501" s="941">
        <v>98.0</v>
      </c>
      <c r="AB501" s="941">
        <v>121.0</v>
      </c>
      <c r="AC501" s="941">
        <v>-23.0</v>
      </c>
      <c r="AD501" s="941">
        <v>12.0</v>
      </c>
      <c r="AE501" s="941">
        <v>5.0</v>
      </c>
      <c r="AF501" s="941">
        <v>1.0</v>
      </c>
      <c r="AG501" s="941">
        <v>2030.0</v>
      </c>
      <c r="AH501" s="941">
        <v>2513.0</v>
      </c>
      <c r="AI501" s="941">
        <v>16.0</v>
      </c>
      <c r="AJ501" s="941">
        <v>3.0</v>
      </c>
      <c r="AK501" s="941">
        <v>0.0</v>
      </c>
      <c r="AL501" s="941">
        <v>1.0</v>
      </c>
      <c r="AM501" s="941">
        <v>0.0</v>
      </c>
      <c r="AN501" s="941">
        <v>0.0</v>
      </c>
      <c r="AO501" s="941">
        <v>0.0</v>
      </c>
      <c r="AP501" s="941">
        <v>1.0</v>
      </c>
      <c r="AQ501" s="941">
        <v>0.0</v>
      </c>
      <c r="AR501" s="941">
        <v>11.0</v>
      </c>
      <c r="AS501" s="941">
        <v>2.0</v>
      </c>
      <c r="AT501" s="941">
        <v>0.0</v>
      </c>
      <c r="AU501" s="941">
        <v>0.0</v>
      </c>
      <c r="AV501" s="941">
        <v>0.0</v>
      </c>
      <c r="AW501" s="941">
        <v>0.0</v>
      </c>
      <c r="AX501" s="941">
        <v>0.0</v>
      </c>
      <c r="AY501" s="941">
        <v>0.0</v>
      </c>
      <c r="AZ501" s="941">
        <v>0.0</v>
      </c>
      <c r="BA501" s="941">
        <v>0.0</v>
      </c>
      <c r="BB501" s="941">
        <v>0.0</v>
      </c>
      <c r="BC501" s="941">
        <v>0.0</v>
      </c>
      <c r="BD501" s="941">
        <v>8.0</v>
      </c>
      <c r="BE501" s="941">
        <v>12.0</v>
      </c>
      <c r="BF501" s="941">
        <v>1.0</v>
      </c>
      <c r="BG501" s="942">
        <v>0.0</v>
      </c>
    </row>
    <row r="502">
      <c r="A502" s="935" t="s">
        <v>149</v>
      </c>
      <c r="B502" s="16" t="str">
        <f>IF(C502&lt;'PlayerGrades+'!$Y$44,"F-",IF(C502&lt;'PlayerGrades+'!$Y$43,"F",IF(C502&lt;'PlayerGrades+'!$Y$42,"F+",IF(C502&lt;'PlayerGrades+'!$Y$41,"E-",IF(C502&lt;'PlayerGrades+'!$Y$40,"E",IF(C502&lt;'PlayerGrades+'!$Y$39,"E+",IF(C502&lt;'PlayerGrades+'!$Y$38,"D-",IF(C502&lt;'PlayerGrades+'!$Y$37,"D",IF(C502&lt;'PlayerGrades+'!$Y$36,"D+",IF(C502&lt;'PlayerGrades+'!$Y$35,"C-",IF(C502&lt;'PlayerGrades+'!$Y$34,"C",IF(C502&lt;'PlayerGrades+'!$Y$33,"C+",IF(C502&lt;'PlayerGrades+'!$Y$32,"B-",IF(C502&lt;'PlayerGrades+'!$Y$31,"B",IF(C502&lt;'PlayerGrades+'!$Y$30,"B+",IF(C502&lt;'PlayerGrades+'!$Y$29,"A-",IF(C502&lt;'PlayerGrades+'!$Y$28,"A",IF(C502&lt;'PlayerGrades+'!$Y$27,"A+",IF(C502&lt;'PlayerGrades+'!$Y$26,"S-",IF(C502&lt;'PlayerGrades+'!$Y$25,"S","S+"))))))))))))))))))))</f>
        <v>D-</v>
      </c>
      <c r="C502" s="936">
        <f>('PlayerGrades+'!$Y$47*(VLOOKUP(E502, 'PlayerGrades+'!$X$3:$Y$23, 2, FALSE)))+('PlayerGrades+'!$Y$48*(VLOOKUP(G502, 'PlayerGrades+'!$X$3:$Y$23, 2, FALSE)))+('PlayerGrades+'!$Y$49*(VLOOKUP(I502, 'PlayerGrades+'!$X$3:$Y$23, 2, FALSE)))+('PlayerGrades+'!$Y$50*(VLOOKUP(K502, 'PlayerGrades+'!$X$3:$Y$23, 2, FALSE)))+('PlayerGrades+'!$Y$51*(VLOOKUP(M502, 'PlayerGrades+'!$X$3:$Y$23, 2, FALSE)))+('PlayerGrades+'!$Y$52*(VLOOKUP(O502, 'PlayerGrades+'!$X$3:$Y$23, 2, FALSE)))+('PlayerGrades+'!$Y$53*(VLOOKUP(Q502, 'PlayerGrades+'!$X$3:$Y$23, 2, FALSE)))+('PlayerGrades+'!$Y$54*(VLOOKUP(S502, 'PlayerGrades+'!$X$3:$Y$23, 2, FALSE)))+('PlayerGrades+'!$Y$55*(VLOOKUP(U502, 'PlayerGrades+'!$X$3:$Y$23, 2, FALSE)))</f>
        <v>14.2</v>
      </c>
      <c r="D502" s="937">
        <f t="shared" si="1"/>
        <v>0.9072821329</v>
      </c>
      <c r="E502" s="937" t="str">
        <f>IF(D502&lt;'PlayerGrades+'!$AA$21,"F-",IF(D502&lt;'PlayerGrades+'!$AA$20,"F",IF(D502&lt;'PlayerGrades+'!$AA$19,"F+",IF(D502&lt;'PlayerGrades+'!$AA$18,"E-",IF(D502&lt;'PlayerGrades+'!$AA$17,"E",IF(D502&lt;'PlayerGrades+'!$AA$16,"E+",IF(D502&lt;'PlayerGrades+'!$AA$15,"D-",IF(D502&lt;'PlayerGrades+'!$AA$14,"D",IF(D502&lt;'PlayerGrades+'!$AA$13,"D+",IF(D502&lt;'PlayerGrades+'!$AA$12,"C-",IF(D502&lt;'PlayerGrades+'!$AA$11,"C",IF(D502&lt;'PlayerGrades+'!$AA$10,"C+",IF(D502&lt;'PlayerGrades+'!$AA$9,"B-",IF(D502&lt;'PlayerGrades+'!$AA$8,"B",IF(D502&lt;'PlayerGrades+'!$AA$7,"B+",IF(D502&lt;'PlayerGrades+'!$AA$6,"A-",IF(D502&lt;'PlayerGrades+'!$AA$5,"A",IF(D502&lt;'PlayerGrades+'!$AA$4,"A+",IF(D502&lt;'PlayerGrades+'!$AA$3,"S-",IF(D502&lt;'PlayerGrades+'!$AA$2,"S","S+"))))))))))))))))))))</f>
        <v>S+</v>
      </c>
      <c r="F502" s="937">
        <f t="shared" si="2"/>
        <v>0.6207719857</v>
      </c>
      <c r="G502" s="937" t="str">
        <f>IF(F502&lt;'PlayerGrades+'!$AB$21,"F-",IF(F502&lt;'PlayerGrades+'!$AB$20,"F",IF(F502&lt;'PlayerGrades+'!$AB$19,"F+",IF(F502&lt;'PlayerGrades+'!$AB$18,"E-",IF(F502&lt;'PlayerGrades+'!$AB$17,"E",IF(F502&lt;'PlayerGrades+'!$AB$16,"E+",IF(F502&lt;'PlayerGrades+'!$AB$15,"D-",IF(F502&lt;'PlayerGrades+'!$AB$14,"D",IF(F502&lt;'PlayerGrades+'!$AB$13,"D+",IF(F502&lt;'PlayerGrades+'!$AB$12,"C-",IF(F502&lt;'PlayerGrades+'!$AB$11,"C",IF(F502&lt;'PlayerGrades+'!$AB$10,"C+",IF(F502&lt;'PlayerGrades+'!$AB$9,"B-",IF(F502&lt;'PlayerGrades+'!$AB$8,"B",IF(F502&lt;'PlayerGrades+'!$AB$7,"B+",IF(F502&lt;'PlayerGrades+'!$AB$6,"A-",IF(F502&lt;'PlayerGrades+'!$AB$5,"A",IF(F502&lt;'PlayerGrades+'!$AB$4,"A+",IF(F502&lt;'PlayerGrades+'!$AB$3,"S-",IF(F502&lt;'PlayerGrades+'!$AB$2,"S","S+"))))))))))))))))))))</f>
        <v>S-</v>
      </c>
      <c r="H502" s="937">
        <f t="shared" si="3"/>
        <v>0.04775169121</v>
      </c>
      <c r="I502" s="937" t="str">
        <f>IF(H502&lt;'PlayerGrades+'!$AC$21,"F-",IF(H502&lt;'PlayerGrades+'!$AC$20,"F",IF(H502&lt;'PlayerGrades+'!$AC$19,"F+",IF(H502&lt;'PlayerGrades+'!$AC$18,"E-",IF(H502&lt;'PlayerGrades+'!$AC$17,"E",IF(H502&lt;'PlayerGrades+'!$AC$16,"E+",IF(H502&lt;'PlayerGrades+'!$AC$15,"D-",IF(H502&lt;'PlayerGrades+'!$AC$14,"D",IF(H502&lt;'PlayerGrades+'!$AC$13,"D+",IF(H502&lt;'PlayerGrades+'!$AC$12,"C-",IF(H502&lt;'PlayerGrades+'!$AC$11,"C",IF(H502&lt;'PlayerGrades+'!$AC$10,"C+",IF(H502&lt;'PlayerGrades+'!$AC$9,"B-",IF(H502&lt;'PlayerGrades+'!$AC$8,"B",IF(H502&lt;'PlayerGrades+'!$AC$7,"B+",IF(H502&lt;'PlayerGrades+'!$AC$6,"A-",IF(H502&lt;'PlayerGrades+'!$AC$5,"A",IF(H502&lt;'PlayerGrades+'!$AC$4,"A+",IF(H502&lt;'PlayerGrades+'!$AC$3,"S-",IF(H502&lt;'PlayerGrades+'!$AC$2,"S","S+"))))))))))))))))))))</f>
        <v>F</v>
      </c>
      <c r="J502" s="937">
        <f t="shared" si="4"/>
        <v>0.119379228</v>
      </c>
      <c r="K502" s="937" t="str">
        <f>IF(J502&lt;'PlayerGrades+'!$AD$21,"F-",IF(J502&lt;'PlayerGrades+'!$AD$20,"F",IF(J502&lt;'PlayerGrades+'!$AD$19,"F+",IF(J502&lt;'PlayerGrades+'!$AD$18,"E-",IF(J502&lt;'PlayerGrades+'!$AD$17,"E",IF(J502&lt;'PlayerGrades+'!$AD$16,"E+",IF(J502&lt;'PlayerGrades+'!$AD$15,"D-",IF(J502&lt;'PlayerGrades+'!$AD$14,"D",IF(J502&lt;'PlayerGrades+'!$AD$13,"D+",IF(J502&lt;'PlayerGrades+'!$AD$12,"C-",IF(J502&lt;'PlayerGrades+'!$AD$11,"C",IF(J502&lt;'PlayerGrades+'!$AD$10,"C+",IF(J502&lt;'PlayerGrades+'!$AD$9,"B-",IF(J502&lt;'PlayerGrades+'!$AD$8,"B",IF(J502&lt;'PlayerGrades+'!$AD$7,"B+",IF(J502&lt;'PlayerGrades+'!$AD$6,"A-",IF(J502&lt;'PlayerGrades+'!$AD$5,"A",IF(J502&lt;'PlayerGrades+'!$AD$4,"A+",IF(J502&lt;'PlayerGrades+'!$AD$3,"S-",IF(J502&lt;'PlayerGrades+'!$AD$2,"S","S+"))))))))))))))))))))</f>
        <v>S+</v>
      </c>
      <c r="L502" s="677">
        <f t="shared" si="5"/>
        <v>0.119379228</v>
      </c>
      <c r="M502" s="938" t="str">
        <f>IF(L502&lt;'PlayerGrades+'!$AE$21,"F-",IF(L502&lt;'PlayerGrades+'!$AE$20,"F",IF(L502&lt;'PlayerGrades+'!$AE$19,"F+",IF(L502&lt;'PlayerGrades+'!$AE$18,"E-",IF(L502&lt;'PlayerGrades+'!$AE$17,"E",IF(L502&lt;'PlayerGrades+'!$AE$16,"E+",IF(L502&lt;'PlayerGrades+'!$AE$15,"D-",IF(L502&lt;'PlayerGrades+'!$AE$14,"D",IF(L502&lt;'PlayerGrades+'!$AE$13,"D+",IF(L502&lt;'PlayerGrades+'!$AE$12,"C-",IF(L502&lt;'PlayerGrades+'!$AE$11,"C",IF(L502&lt;'PlayerGrades+'!$AE$10,"C+",IF(L502&lt;'PlayerGrades+'!$AE$9,"B-",IF(L502&lt;'PlayerGrades+'!$AE$8,"B",IF(L502&lt;'PlayerGrades+'!$AE$7,"B+",IF(L502&lt;'PlayerGrades+'!$AE$6,"A-",IF(L502&lt;'PlayerGrades+'!$AE$5,"A",IF(L502&lt;'PlayerGrades+'!$AE$4,"A+",IF(L502&lt;'PlayerGrades+'!$AE$3,"S-",IF(L502&lt;'PlayerGrades+'!$AE$2,"S","S+"))))))))))))))))))))</f>
        <v>F-</v>
      </c>
      <c r="N502" s="937">
        <f t="shared" si="6"/>
        <v>0</v>
      </c>
      <c r="O502" s="937" t="str">
        <f>IF(N502&lt;'PlayerGrades+'!$AF$21,"F-",IF(N502&lt;'PlayerGrades+'!$AF$20,"F",IF(N502&lt;'PlayerGrades+'!$AF$19,"F+",IF(N502&lt;'PlayerGrades+'!$AF$18,"E-",IF(N502&lt;'PlayerGrades+'!$AF$17,"E",IF(N502&lt;'PlayerGrades+'!$AF$16,"E+",IF(N502&lt;'PlayerGrades+'!$AF$15,"D-",IF(N502&lt;'PlayerGrades+'!$AF$14,"D",IF(N502&lt;'PlayerGrades+'!$AF$13,"D+",IF(N502&lt;'PlayerGrades+'!$AF$12,"C-",IF(N502&lt;'PlayerGrades+'!$AF$11,"C",IF(N502&lt;'PlayerGrades+'!$AF$10,"C+",IF(N502&lt;'PlayerGrades+'!$AF$9,"B-",IF(N502&lt;'PlayerGrades+'!$AF$8,"B",IF(N502&lt;'PlayerGrades+'!$AF$7,"B+",IF(N502&lt;'PlayerGrades+'!$AF$6,"A-",IF(N502&lt;'PlayerGrades+'!$AF$5,"A",IF(N502&lt;'PlayerGrades+'!$AF$4,"A+",IF(N502&lt;'PlayerGrades+'!$AF$3,"S-",IF(N502&lt;'PlayerGrades+'!$AF$2,"S","S+"))))))))))))))))))))</f>
        <v>F-</v>
      </c>
      <c r="P502" s="937">
        <f t="shared" si="7"/>
        <v>0</v>
      </c>
      <c r="Q502" s="937" t="str">
        <f>IF(P502&lt;'PlayerGrades+'!$AG$21,"F-",IF(P502&lt;'PlayerGrades+'!$AG$20,"F",IF(P502&lt;'PlayerGrades+'!$AG$19,"F+",IF(P502&lt;'PlayerGrades+'!$AG$18,"E-",IF(P502&lt;'PlayerGrades+'!$AG$17,"E",IF(P502&lt;'PlayerGrades+'!$AG$16,"E+",IF(P502&lt;'PlayerGrades+'!$AG$15,"D-",IF(P502&lt;'PlayerGrades+'!$AG$14,"D",IF(P502&lt;'PlayerGrades+'!$AG$13,"D+",IF(P502&lt;'PlayerGrades+'!$AG$12,"C-",IF(P502&lt;'PlayerGrades+'!$AG$11,"C",IF(P502&lt;'PlayerGrades+'!$AG$10,"C+",IF(P502&lt;'PlayerGrades+'!$AG$9,"B-",IF(P502&lt;'PlayerGrades+'!$AG$8,"B",IF(P502&lt;'PlayerGrades+'!$AG$7,"B+",IF(P502&lt;'PlayerGrades+'!$AG$6,"A-",IF(P502&lt;'PlayerGrades+'!$AG$5,"A",IF(P502&lt;'PlayerGrades+'!$AG$4,"A+",IF(P502&lt;'PlayerGrades+'!$AG$3,"S-",IF(P502&lt;'PlayerGrades+'!$AG$2,"S","S+"))))))))))))))))))))</f>
        <v>F</v>
      </c>
      <c r="R502" s="937">
        <f t="shared" si="8"/>
        <v>0.2865101472</v>
      </c>
      <c r="S502" s="937" t="str">
        <f>IF(R502&lt;'PlayerGrades+'!$AH$21,"F-",IF(R502&lt;'PlayerGrades+'!$AH$20,"F",IF(R502&lt;'PlayerGrades+'!$AH$19,"F+",IF(R502&lt;'PlayerGrades+'!$AH$18,"E-",IF(R502&lt;'PlayerGrades+'!$AH$17,"E",IF(R502&lt;'PlayerGrades+'!$AH$16,"E+",IF(R502&lt;'PlayerGrades+'!$AH$15,"D-",IF(R502&lt;'PlayerGrades+'!$AH$14,"D",IF(R502&lt;'PlayerGrades+'!$AH$13,"D+",IF(R502&lt;'PlayerGrades+'!$AH$12,"C-",IF(R502&lt;'PlayerGrades+'!$AH$11,"C",IF(R502&lt;'PlayerGrades+'!$AH$10,"C+",IF(R502&lt;'PlayerGrades+'!$AH$9,"B-",IF(R502&lt;'PlayerGrades+'!$AH$8,"B",IF(R502&lt;'PlayerGrades+'!$AH$7,"B+",IF(R502&lt;'PlayerGrades+'!$AH$6,"A-",IF(R502&lt;'PlayerGrades+'!$AH$5,"A",IF(R502&lt;'PlayerGrades+'!$AH$4,"A+",IF(R502&lt;'PlayerGrades+'!$AH$3,"S-",IF(R502&lt;'PlayerGrades+'!$AH$2,"S","S+"))))))))))))))))))))</f>
        <v>F-</v>
      </c>
      <c r="T502" s="937">
        <f t="shared" si="9"/>
        <v>0.1910067648</v>
      </c>
      <c r="U502" s="937" t="str">
        <f>IF(T502&lt;'PlayerGrades+'!$AI$21,"F-",IF(T502&lt;'PlayerGrades+'!$AI$20,"F",IF(T502&lt;'PlayerGrades+'!$AI$19,"F+",IF(T502&lt;'PlayerGrades+'!$AI$18,"E-",IF(T502&lt;'PlayerGrades+'!$AI$17,"E",IF(T502&lt;'PlayerGrades+'!$AI$16,"E+",IF(T502&lt;'PlayerGrades+'!$AI$15,"D-",IF(T502&lt;'PlayerGrades+'!$AI$14,"D",IF(T502&lt;'PlayerGrades+'!$AI$13,"D+",IF(T502&lt;'PlayerGrades+'!$AI$12,"C-",IF(T502&lt;'PlayerGrades+'!$AI$11,"C",IF(T502&lt;'PlayerGrades+'!$AI$10,"C+",IF(T502&lt;'PlayerGrades+'!$AI$9,"B-",IF(T502&lt;'PlayerGrades+'!$AI$8,"B",IF(T502&lt;'PlayerGrades+'!$AI$7,"B+",IF(T502&lt;'PlayerGrades+'!$AI$6,"A-",IF(T502&lt;'PlayerGrades+'!$AI$5,"A",IF(T502&lt;'PlayerGrades+'!$AI$4,"A+",IF(T502&lt;'PlayerGrades+'!$AI$3,"S-",IF(T502&lt;'PlayerGrades+'!$AI$2,"S","S+"))))))))))))))))))))</f>
        <v>F-</v>
      </c>
      <c r="V502" s="941">
        <v>1.0</v>
      </c>
      <c r="W502" s="941">
        <v>0.0</v>
      </c>
      <c r="X502" s="941">
        <v>1.0</v>
      </c>
      <c r="Y502" s="941">
        <v>4.0</v>
      </c>
      <c r="Z502" s="941">
        <v>34.0</v>
      </c>
      <c r="AA502" s="941">
        <v>66.0</v>
      </c>
      <c r="AB502" s="941">
        <v>40.0</v>
      </c>
      <c r="AC502" s="941">
        <v>26.0</v>
      </c>
      <c r="AD502" s="941">
        <v>1.0</v>
      </c>
      <c r="AE502" s="941">
        <v>8.0</v>
      </c>
      <c r="AF502" s="941">
        <v>0.0</v>
      </c>
      <c r="AG502" s="941">
        <v>2265.0</v>
      </c>
      <c r="AH502" s="941">
        <v>2513.0</v>
      </c>
      <c r="AI502" s="941">
        <v>56.0</v>
      </c>
      <c r="AJ502" s="941">
        <v>1737.0</v>
      </c>
      <c r="AK502" s="941">
        <v>0.0</v>
      </c>
      <c r="AL502" s="941">
        <v>5.0</v>
      </c>
      <c r="AM502" s="941">
        <v>0.0</v>
      </c>
      <c r="AN502" s="941">
        <v>0.0</v>
      </c>
      <c r="AO502" s="941">
        <v>0.0</v>
      </c>
      <c r="AP502" s="941">
        <v>0.0</v>
      </c>
      <c r="AQ502" s="941">
        <v>0.0</v>
      </c>
      <c r="AR502" s="941">
        <v>5.0</v>
      </c>
      <c r="AS502" s="941">
        <v>0.0</v>
      </c>
      <c r="AT502" s="941">
        <v>0.0</v>
      </c>
      <c r="AU502" s="941">
        <v>0.0</v>
      </c>
      <c r="AV502" s="941">
        <v>0.0</v>
      </c>
      <c r="AW502" s="941">
        <v>0.0</v>
      </c>
      <c r="AX502" s="941">
        <v>0.0</v>
      </c>
      <c r="AY502" s="941">
        <v>0.0</v>
      </c>
      <c r="AZ502" s="941">
        <v>0.0</v>
      </c>
      <c r="BA502" s="941">
        <v>0.0</v>
      </c>
      <c r="BB502" s="941">
        <v>2.0</v>
      </c>
      <c r="BC502" s="941">
        <v>0.0</v>
      </c>
      <c r="BD502" s="941">
        <v>11.0</v>
      </c>
      <c r="BE502" s="941">
        <v>8.0</v>
      </c>
      <c r="BF502" s="941">
        <v>0.0</v>
      </c>
      <c r="BG502" s="942">
        <v>1.0</v>
      </c>
    </row>
    <row r="503">
      <c r="A503" s="935" t="s">
        <v>420</v>
      </c>
      <c r="B503" s="16" t="str">
        <f>IF(C503&lt;'PlayerGrades+'!$Y$44,"F-",IF(C503&lt;'PlayerGrades+'!$Y$43,"F",IF(C503&lt;'PlayerGrades+'!$Y$42,"F+",IF(C503&lt;'PlayerGrades+'!$Y$41,"E-",IF(C503&lt;'PlayerGrades+'!$Y$40,"E",IF(C503&lt;'PlayerGrades+'!$Y$39,"E+",IF(C503&lt;'PlayerGrades+'!$Y$38,"D-",IF(C503&lt;'PlayerGrades+'!$Y$37,"D",IF(C503&lt;'PlayerGrades+'!$Y$36,"D+",IF(C503&lt;'PlayerGrades+'!$Y$35,"C-",IF(C503&lt;'PlayerGrades+'!$Y$34,"C",IF(C503&lt;'PlayerGrades+'!$Y$33,"C+",IF(C503&lt;'PlayerGrades+'!$Y$32,"B-",IF(C503&lt;'PlayerGrades+'!$Y$31,"B",IF(C503&lt;'PlayerGrades+'!$Y$30,"B+",IF(C503&lt;'PlayerGrades+'!$Y$29,"A-",IF(C503&lt;'PlayerGrades+'!$Y$28,"A",IF(C503&lt;'PlayerGrades+'!$Y$27,"A+",IF(C503&lt;'PlayerGrades+'!$Y$26,"S-",IF(C503&lt;'PlayerGrades+'!$Y$25,"S","S+"))))))))))))))))))))</f>
        <v>C+</v>
      </c>
      <c r="C503" s="936">
        <f>('PlayerGrades+'!$Y$47*(VLOOKUP(E503, 'PlayerGrades+'!$X$3:$Y$23, 2, FALSE)))+('PlayerGrades+'!$Y$48*(VLOOKUP(G503, 'PlayerGrades+'!$X$3:$Y$23, 2, FALSE)))+('PlayerGrades+'!$Y$49*(VLOOKUP(I503, 'PlayerGrades+'!$X$3:$Y$23, 2, FALSE)))+('PlayerGrades+'!$Y$50*(VLOOKUP(K503, 'PlayerGrades+'!$X$3:$Y$23, 2, FALSE)))+('PlayerGrades+'!$Y$51*(VLOOKUP(M503, 'PlayerGrades+'!$X$3:$Y$23, 2, FALSE)))+('PlayerGrades+'!$Y$52*(VLOOKUP(O503, 'PlayerGrades+'!$X$3:$Y$23, 2, FALSE)))+('PlayerGrades+'!$Y$53*(VLOOKUP(Q503, 'PlayerGrades+'!$X$3:$Y$23, 2, FALSE)))+('PlayerGrades+'!$Y$54*(VLOOKUP(S503, 'PlayerGrades+'!$X$3:$Y$23, 2, FALSE)))+('PlayerGrades+'!$Y$55*(VLOOKUP(U503, 'PlayerGrades+'!$X$3:$Y$23, 2, FALSE)))</f>
        <v>21</v>
      </c>
      <c r="D503" s="937">
        <f t="shared" si="1"/>
        <v>0.0238758456</v>
      </c>
      <c r="E503" s="937" t="str">
        <f>IF(D503&lt;'PlayerGrades+'!$AA$21,"F-",IF(D503&lt;'PlayerGrades+'!$AA$20,"F",IF(D503&lt;'PlayerGrades+'!$AA$19,"F+",IF(D503&lt;'PlayerGrades+'!$AA$18,"E-",IF(D503&lt;'PlayerGrades+'!$AA$17,"E",IF(D503&lt;'PlayerGrades+'!$AA$16,"E+",IF(D503&lt;'PlayerGrades+'!$AA$15,"D-",IF(D503&lt;'PlayerGrades+'!$AA$14,"D",IF(D503&lt;'PlayerGrades+'!$AA$13,"D+",IF(D503&lt;'PlayerGrades+'!$AA$12,"C-",IF(D503&lt;'PlayerGrades+'!$AA$11,"C",IF(D503&lt;'PlayerGrades+'!$AA$10,"C+",IF(D503&lt;'PlayerGrades+'!$AA$9,"B-",IF(D503&lt;'PlayerGrades+'!$AA$8,"B",IF(D503&lt;'PlayerGrades+'!$AA$7,"B+",IF(D503&lt;'PlayerGrades+'!$AA$6,"A-",IF(D503&lt;'PlayerGrades+'!$AA$5,"A",IF(D503&lt;'PlayerGrades+'!$AA$4,"A+",IF(D503&lt;'PlayerGrades+'!$AA$3,"S-",IF(D503&lt;'PlayerGrades+'!$AA$2,"S","S+"))))))))))))))))))))</f>
        <v>E+</v>
      </c>
      <c r="F503" s="937">
        <f t="shared" si="2"/>
        <v>0.119379228</v>
      </c>
      <c r="G503" s="937" t="str">
        <f>IF(F503&lt;'PlayerGrades+'!$AB$21,"F-",IF(F503&lt;'PlayerGrades+'!$AB$20,"F",IF(F503&lt;'PlayerGrades+'!$AB$19,"F+",IF(F503&lt;'PlayerGrades+'!$AB$18,"E-",IF(F503&lt;'PlayerGrades+'!$AB$17,"E",IF(F503&lt;'PlayerGrades+'!$AB$16,"E+",IF(F503&lt;'PlayerGrades+'!$AB$15,"D-",IF(F503&lt;'PlayerGrades+'!$AB$14,"D",IF(F503&lt;'PlayerGrades+'!$AB$13,"D+",IF(F503&lt;'PlayerGrades+'!$AB$12,"C-",IF(F503&lt;'PlayerGrades+'!$AB$11,"C",IF(F503&lt;'PlayerGrades+'!$AB$10,"C+",IF(F503&lt;'PlayerGrades+'!$AB$9,"B-",IF(F503&lt;'PlayerGrades+'!$AB$8,"B",IF(F503&lt;'PlayerGrades+'!$AB$7,"B+",IF(F503&lt;'PlayerGrades+'!$AB$6,"A-",IF(F503&lt;'PlayerGrades+'!$AB$5,"A",IF(F503&lt;'PlayerGrades+'!$AB$4,"A+",IF(F503&lt;'PlayerGrades+'!$AB$3,"S-",IF(F503&lt;'PlayerGrades+'!$AB$2,"S","S+"))))))))))))))))))))</f>
        <v>B+</v>
      </c>
      <c r="H503" s="937">
        <f t="shared" si="3"/>
        <v>0.0238758456</v>
      </c>
      <c r="I503" s="937" t="str">
        <f>IF(H503&lt;'PlayerGrades+'!$AC$21,"F-",IF(H503&lt;'PlayerGrades+'!$AC$20,"F",IF(H503&lt;'PlayerGrades+'!$AC$19,"F+",IF(H503&lt;'PlayerGrades+'!$AC$18,"E-",IF(H503&lt;'PlayerGrades+'!$AC$17,"E",IF(H503&lt;'PlayerGrades+'!$AC$16,"E+",IF(H503&lt;'PlayerGrades+'!$AC$15,"D-",IF(H503&lt;'PlayerGrades+'!$AC$14,"D",IF(H503&lt;'PlayerGrades+'!$AC$13,"D+",IF(H503&lt;'PlayerGrades+'!$AC$12,"C-",IF(H503&lt;'PlayerGrades+'!$AC$11,"C",IF(H503&lt;'PlayerGrades+'!$AC$10,"C+",IF(H503&lt;'PlayerGrades+'!$AC$9,"B-",IF(H503&lt;'PlayerGrades+'!$AC$8,"B",IF(H503&lt;'PlayerGrades+'!$AC$7,"B+",IF(H503&lt;'PlayerGrades+'!$AC$6,"A-",IF(H503&lt;'PlayerGrades+'!$AC$5,"A",IF(H503&lt;'PlayerGrades+'!$AC$4,"A+",IF(H503&lt;'PlayerGrades+'!$AC$3,"S-",IF(H503&lt;'PlayerGrades+'!$AC$2,"S","S+"))))))))))))))))))))</f>
        <v>F-</v>
      </c>
      <c r="J503" s="937">
        <f t="shared" si="4"/>
        <v>0.0238758456</v>
      </c>
      <c r="K503" s="937" t="str">
        <f>IF(J503&lt;'PlayerGrades+'!$AD$21,"F-",IF(J503&lt;'PlayerGrades+'!$AD$20,"F",IF(J503&lt;'PlayerGrades+'!$AD$19,"F+",IF(J503&lt;'PlayerGrades+'!$AD$18,"E-",IF(J503&lt;'PlayerGrades+'!$AD$17,"E",IF(J503&lt;'PlayerGrades+'!$AD$16,"E+",IF(J503&lt;'PlayerGrades+'!$AD$15,"D-",IF(J503&lt;'PlayerGrades+'!$AD$14,"D",IF(J503&lt;'PlayerGrades+'!$AD$13,"D+",IF(J503&lt;'PlayerGrades+'!$AD$12,"C-",IF(J503&lt;'PlayerGrades+'!$AD$11,"C",IF(J503&lt;'PlayerGrades+'!$AD$10,"C+",IF(J503&lt;'PlayerGrades+'!$AD$9,"B-",IF(J503&lt;'PlayerGrades+'!$AD$8,"B",IF(J503&lt;'PlayerGrades+'!$AD$7,"B+",IF(J503&lt;'PlayerGrades+'!$AD$6,"A-",IF(J503&lt;'PlayerGrades+'!$AD$5,"A",IF(J503&lt;'PlayerGrades+'!$AD$4,"A+",IF(J503&lt;'PlayerGrades+'!$AD$3,"S-",IF(J503&lt;'PlayerGrades+'!$AD$2,"S","S+"))))))))))))))))))))</f>
        <v>D</v>
      </c>
      <c r="L503" s="677">
        <f t="shared" si="5"/>
        <v>0.4536410665</v>
      </c>
      <c r="M503" s="938" t="str">
        <f>IF(L503&lt;'PlayerGrades+'!$AE$21,"F-",IF(L503&lt;'PlayerGrades+'!$AE$20,"F",IF(L503&lt;'PlayerGrades+'!$AE$19,"F+",IF(L503&lt;'PlayerGrades+'!$AE$18,"E-",IF(L503&lt;'PlayerGrades+'!$AE$17,"E",IF(L503&lt;'PlayerGrades+'!$AE$16,"E+",IF(L503&lt;'PlayerGrades+'!$AE$15,"D-",IF(L503&lt;'PlayerGrades+'!$AE$14,"D",IF(L503&lt;'PlayerGrades+'!$AE$13,"D+",IF(L503&lt;'PlayerGrades+'!$AE$12,"C-",IF(L503&lt;'PlayerGrades+'!$AE$11,"C",IF(L503&lt;'PlayerGrades+'!$AE$10,"C+",IF(L503&lt;'PlayerGrades+'!$AE$9,"B-",IF(L503&lt;'PlayerGrades+'!$AE$8,"B",IF(L503&lt;'PlayerGrades+'!$AE$7,"B+",IF(L503&lt;'PlayerGrades+'!$AE$6,"A-",IF(L503&lt;'PlayerGrades+'!$AE$5,"A",IF(L503&lt;'PlayerGrades+'!$AE$4,"A+",IF(L503&lt;'PlayerGrades+'!$AE$3,"S-",IF(L503&lt;'PlayerGrades+'!$AE$2,"S","S+"))))))))))))))))))))</f>
        <v>B+</v>
      </c>
      <c r="N503" s="937">
        <f t="shared" si="6"/>
        <v>0.1432550736</v>
      </c>
      <c r="O503" s="937" t="str">
        <f>IF(N503&lt;'PlayerGrades+'!$AF$21,"F-",IF(N503&lt;'PlayerGrades+'!$AF$20,"F",IF(N503&lt;'PlayerGrades+'!$AF$19,"F+",IF(N503&lt;'PlayerGrades+'!$AF$18,"E-",IF(N503&lt;'PlayerGrades+'!$AF$17,"E",IF(N503&lt;'PlayerGrades+'!$AF$16,"E+",IF(N503&lt;'PlayerGrades+'!$AF$15,"D-",IF(N503&lt;'PlayerGrades+'!$AF$14,"D",IF(N503&lt;'PlayerGrades+'!$AF$13,"D+",IF(N503&lt;'PlayerGrades+'!$AF$12,"C-",IF(N503&lt;'PlayerGrades+'!$AF$11,"C",IF(N503&lt;'PlayerGrades+'!$AF$10,"C+",IF(N503&lt;'PlayerGrades+'!$AF$9,"B-",IF(N503&lt;'PlayerGrades+'!$AF$8,"B",IF(N503&lt;'PlayerGrades+'!$AF$7,"B+",IF(N503&lt;'PlayerGrades+'!$AF$6,"A-",IF(N503&lt;'PlayerGrades+'!$AF$5,"A",IF(N503&lt;'PlayerGrades+'!$AF$4,"A+",IF(N503&lt;'PlayerGrades+'!$AF$3,"S-",IF(N503&lt;'PlayerGrades+'!$AF$2,"S","S+"))))))))))))))))))))</f>
        <v>S</v>
      </c>
      <c r="P503" s="937">
        <f t="shared" si="7"/>
        <v>0</v>
      </c>
      <c r="Q503" s="937" t="str">
        <f>IF(P503&lt;'PlayerGrades+'!$AG$21,"F-",IF(P503&lt;'PlayerGrades+'!$AG$20,"F",IF(P503&lt;'PlayerGrades+'!$AG$19,"F+",IF(P503&lt;'PlayerGrades+'!$AG$18,"E-",IF(P503&lt;'PlayerGrades+'!$AG$17,"E",IF(P503&lt;'PlayerGrades+'!$AG$16,"E+",IF(P503&lt;'PlayerGrades+'!$AG$15,"D-",IF(P503&lt;'PlayerGrades+'!$AG$14,"D",IF(P503&lt;'PlayerGrades+'!$AG$13,"D+",IF(P503&lt;'PlayerGrades+'!$AG$12,"C-",IF(P503&lt;'PlayerGrades+'!$AG$11,"C",IF(P503&lt;'PlayerGrades+'!$AG$10,"C+",IF(P503&lt;'PlayerGrades+'!$AG$9,"B-",IF(P503&lt;'PlayerGrades+'!$AG$8,"B",IF(P503&lt;'PlayerGrades+'!$AG$7,"B+",IF(P503&lt;'PlayerGrades+'!$AG$6,"A-",IF(P503&lt;'PlayerGrades+'!$AG$5,"A",IF(P503&lt;'PlayerGrades+'!$AG$4,"A+",IF(P503&lt;'PlayerGrades+'!$AG$3,"S-",IF(P503&lt;'PlayerGrades+'!$AG$2,"S","S+"))))))))))))))))))))</f>
        <v>F</v>
      </c>
      <c r="R503" s="937">
        <f t="shared" si="8"/>
        <v>0.5252686033</v>
      </c>
      <c r="S503" s="937" t="str">
        <f>IF(R503&lt;'PlayerGrades+'!$AH$21,"F-",IF(R503&lt;'PlayerGrades+'!$AH$20,"F",IF(R503&lt;'PlayerGrades+'!$AH$19,"F+",IF(R503&lt;'PlayerGrades+'!$AH$18,"E-",IF(R503&lt;'PlayerGrades+'!$AH$17,"E",IF(R503&lt;'PlayerGrades+'!$AH$16,"E+",IF(R503&lt;'PlayerGrades+'!$AH$15,"D-",IF(R503&lt;'PlayerGrades+'!$AH$14,"D",IF(R503&lt;'PlayerGrades+'!$AH$13,"D+",IF(R503&lt;'PlayerGrades+'!$AH$12,"C-",IF(R503&lt;'PlayerGrades+'!$AH$11,"C",IF(R503&lt;'PlayerGrades+'!$AH$10,"C+",IF(R503&lt;'PlayerGrades+'!$AH$9,"B-",IF(R503&lt;'PlayerGrades+'!$AH$8,"B",IF(R503&lt;'PlayerGrades+'!$AH$7,"B+",IF(R503&lt;'PlayerGrades+'!$AH$6,"A-",IF(R503&lt;'PlayerGrades+'!$AH$5,"A",IF(R503&lt;'PlayerGrades+'!$AH$4,"A+",IF(R503&lt;'PlayerGrades+'!$AH$3,"S-",IF(R503&lt;'PlayerGrades+'!$AH$2,"S","S+"))))))))))))))))))))</f>
        <v>C</v>
      </c>
      <c r="T503" s="937">
        <f t="shared" si="9"/>
        <v>1.358137684</v>
      </c>
      <c r="U503" s="937" t="str">
        <f>IF(T503&lt;'PlayerGrades+'!$AI$21,"F-",IF(T503&lt;'PlayerGrades+'!$AI$20,"F",IF(T503&lt;'PlayerGrades+'!$AI$19,"F+",IF(T503&lt;'PlayerGrades+'!$AI$18,"E-",IF(T503&lt;'PlayerGrades+'!$AI$17,"E",IF(T503&lt;'PlayerGrades+'!$AI$16,"E+",IF(T503&lt;'PlayerGrades+'!$AI$15,"D-",IF(T503&lt;'PlayerGrades+'!$AI$14,"D",IF(T503&lt;'PlayerGrades+'!$AI$13,"D+",IF(T503&lt;'PlayerGrades+'!$AI$12,"C-",IF(T503&lt;'PlayerGrades+'!$AI$11,"C",IF(T503&lt;'PlayerGrades+'!$AI$10,"C+",IF(T503&lt;'PlayerGrades+'!$AI$9,"B-",IF(T503&lt;'PlayerGrades+'!$AI$8,"B",IF(T503&lt;'PlayerGrades+'!$AI$7,"B+",IF(T503&lt;'PlayerGrades+'!$AI$6,"A-",IF(T503&lt;'PlayerGrades+'!$AI$5,"A",IF(T503&lt;'PlayerGrades+'!$AI$4,"A+",IF(T503&lt;'PlayerGrades+'!$AI$3,"S-",IF(T503&lt;'PlayerGrades+'!$AI$2,"S","S+"))))))))))))))))))))</f>
        <v>B</v>
      </c>
      <c r="V503" s="941">
        <v>1.0</v>
      </c>
      <c r="W503" s="941">
        <v>0.0</v>
      </c>
      <c r="X503" s="941">
        <v>1.0</v>
      </c>
      <c r="Y503" s="941">
        <v>0.0</v>
      </c>
      <c r="Z503" s="941">
        <v>1.0</v>
      </c>
      <c r="AA503" s="941">
        <v>125.0</v>
      </c>
      <c r="AB503" s="941">
        <v>120.0</v>
      </c>
      <c r="AC503" s="941">
        <v>5.0</v>
      </c>
      <c r="AD503" s="941">
        <v>10.0</v>
      </c>
      <c r="AE503" s="941">
        <v>5.0</v>
      </c>
      <c r="AF503" s="941">
        <v>2.0</v>
      </c>
      <c r="AG503" s="941">
        <v>2041.0</v>
      </c>
      <c r="AH503" s="941">
        <v>2513.0</v>
      </c>
      <c r="AI503" s="941">
        <v>17.0</v>
      </c>
      <c r="AJ503" s="941">
        <v>31.0</v>
      </c>
      <c r="AK503" s="941">
        <v>0.0</v>
      </c>
      <c r="AL503" s="941">
        <v>1.0</v>
      </c>
      <c r="AM503" s="941">
        <v>0.0</v>
      </c>
      <c r="AN503" s="941">
        <v>0.0</v>
      </c>
      <c r="AO503" s="941">
        <v>0.0</v>
      </c>
      <c r="AP503" s="941">
        <v>0.0</v>
      </c>
      <c r="AQ503" s="941">
        <v>0.0</v>
      </c>
      <c r="AR503" s="941">
        <v>19.0</v>
      </c>
      <c r="AS503" s="941">
        <v>6.0</v>
      </c>
      <c r="AT503" s="941">
        <v>0.0</v>
      </c>
      <c r="AU503" s="941">
        <v>0.0</v>
      </c>
      <c r="AV503" s="941">
        <v>0.0</v>
      </c>
      <c r="AW503" s="941">
        <v>0.0</v>
      </c>
      <c r="AX503" s="941">
        <v>0.0</v>
      </c>
      <c r="AY503" s="941">
        <v>0.0</v>
      </c>
      <c r="AZ503" s="941">
        <v>0.0</v>
      </c>
      <c r="BA503" s="941">
        <v>0.0</v>
      </c>
      <c r="BB503" s="941">
        <v>1.0</v>
      </c>
      <c r="BC503" s="941">
        <v>0.0</v>
      </c>
      <c r="BD503" s="941">
        <v>12.0</v>
      </c>
      <c r="BE503" s="941">
        <v>15.0</v>
      </c>
      <c r="BF503" s="941">
        <v>1.0</v>
      </c>
      <c r="BG503" s="942">
        <v>1.0</v>
      </c>
    </row>
    <row r="504">
      <c r="A504" s="935" t="s">
        <v>392</v>
      </c>
      <c r="B504" s="16" t="str">
        <f>IF(C504&lt;'PlayerGrades+'!$Y$44,"F-",IF(C504&lt;'PlayerGrades+'!$Y$43,"F",IF(C504&lt;'PlayerGrades+'!$Y$42,"F+",IF(C504&lt;'PlayerGrades+'!$Y$41,"E-",IF(C504&lt;'PlayerGrades+'!$Y$40,"E",IF(C504&lt;'PlayerGrades+'!$Y$39,"E+",IF(C504&lt;'PlayerGrades+'!$Y$38,"D-",IF(C504&lt;'PlayerGrades+'!$Y$37,"D",IF(C504&lt;'PlayerGrades+'!$Y$36,"D+",IF(C504&lt;'PlayerGrades+'!$Y$35,"C-",IF(C504&lt;'PlayerGrades+'!$Y$34,"C",IF(C504&lt;'PlayerGrades+'!$Y$33,"C+",IF(C504&lt;'PlayerGrades+'!$Y$32,"B-",IF(C504&lt;'PlayerGrades+'!$Y$31,"B",IF(C504&lt;'PlayerGrades+'!$Y$30,"B+",IF(C504&lt;'PlayerGrades+'!$Y$29,"A-",IF(C504&lt;'PlayerGrades+'!$Y$28,"A",IF(C504&lt;'PlayerGrades+'!$Y$27,"A+",IF(C504&lt;'PlayerGrades+'!$Y$26,"S-",IF(C504&lt;'PlayerGrades+'!$Y$25,"S","S+"))))))))))))))))))))</f>
        <v>F-</v>
      </c>
      <c r="C504" s="936">
        <f>('PlayerGrades+'!$Y$47*(VLOOKUP(E504, 'PlayerGrades+'!$X$3:$Y$23, 2, FALSE)))+('PlayerGrades+'!$Y$48*(VLOOKUP(G504, 'PlayerGrades+'!$X$3:$Y$23, 2, FALSE)))+('PlayerGrades+'!$Y$49*(VLOOKUP(I504, 'PlayerGrades+'!$X$3:$Y$23, 2, FALSE)))+('PlayerGrades+'!$Y$50*(VLOOKUP(K504, 'PlayerGrades+'!$X$3:$Y$23, 2, FALSE)))+('PlayerGrades+'!$Y$51*(VLOOKUP(M504, 'PlayerGrades+'!$X$3:$Y$23, 2, FALSE)))+('PlayerGrades+'!$Y$52*(VLOOKUP(O504, 'PlayerGrades+'!$X$3:$Y$23, 2, FALSE)))+('PlayerGrades+'!$Y$53*(VLOOKUP(Q504, 'PlayerGrades+'!$X$3:$Y$23, 2, FALSE)))+('PlayerGrades+'!$Y$54*(VLOOKUP(S504, 'PlayerGrades+'!$X$3:$Y$23, 2, FALSE)))+('PlayerGrades+'!$Y$55*(VLOOKUP(U504, 'PlayerGrades+'!$X$3:$Y$23, 2, FALSE)))</f>
        <v>5.95</v>
      </c>
      <c r="D504" s="937">
        <f t="shared" si="1"/>
        <v>0</v>
      </c>
      <c r="E504" s="937" t="str">
        <f>IF(D504&lt;'PlayerGrades+'!$AA$21,"F-",IF(D504&lt;'PlayerGrades+'!$AA$20,"F",IF(D504&lt;'PlayerGrades+'!$AA$19,"F+",IF(D504&lt;'PlayerGrades+'!$AA$18,"E-",IF(D504&lt;'PlayerGrades+'!$AA$17,"E",IF(D504&lt;'PlayerGrades+'!$AA$16,"E+",IF(D504&lt;'PlayerGrades+'!$AA$15,"D-",IF(D504&lt;'PlayerGrades+'!$AA$14,"D",IF(D504&lt;'PlayerGrades+'!$AA$13,"D+",IF(D504&lt;'PlayerGrades+'!$AA$12,"C-",IF(D504&lt;'PlayerGrades+'!$AA$11,"C",IF(D504&lt;'PlayerGrades+'!$AA$10,"C+",IF(D504&lt;'PlayerGrades+'!$AA$9,"B-",IF(D504&lt;'PlayerGrades+'!$AA$8,"B",IF(D504&lt;'PlayerGrades+'!$AA$7,"B+",IF(D504&lt;'PlayerGrades+'!$AA$6,"A-",IF(D504&lt;'PlayerGrades+'!$AA$5,"A",IF(D504&lt;'PlayerGrades+'!$AA$4,"A+",IF(D504&lt;'PlayerGrades+'!$AA$3,"S-",IF(D504&lt;'PlayerGrades+'!$AA$2,"S","S+"))))))))))))))))))))</f>
        <v>F-</v>
      </c>
      <c r="F504" s="937">
        <f t="shared" si="2"/>
        <v>-1.313171508</v>
      </c>
      <c r="G504" s="937" t="str">
        <f>IF(F504&lt;'PlayerGrades+'!$AB$21,"F-",IF(F504&lt;'PlayerGrades+'!$AB$20,"F",IF(F504&lt;'PlayerGrades+'!$AB$19,"F+",IF(F504&lt;'PlayerGrades+'!$AB$18,"E-",IF(F504&lt;'PlayerGrades+'!$AB$17,"E",IF(F504&lt;'PlayerGrades+'!$AB$16,"E+",IF(F504&lt;'PlayerGrades+'!$AB$15,"D-",IF(F504&lt;'PlayerGrades+'!$AB$14,"D",IF(F504&lt;'PlayerGrades+'!$AB$13,"D+",IF(F504&lt;'PlayerGrades+'!$AB$12,"C-",IF(F504&lt;'PlayerGrades+'!$AB$11,"C",IF(F504&lt;'PlayerGrades+'!$AB$10,"C+",IF(F504&lt;'PlayerGrades+'!$AB$9,"B-",IF(F504&lt;'PlayerGrades+'!$AB$8,"B",IF(F504&lt;'PlayerGrades+'!$AB$7,"B+",IF(F504&lt;'PlayerGrades+'!$AB$6,"A-",IF(F504&lt;'PlayerGrades+'!$AB$5,"A",IF(F504&lt;'PlayerGrades+'!$AB$4,"A+",IF(F504&lt;'PlayerGrades+'!$AB$3,"S-",IF(F504&lt;'PlayerGrades+'!$AB$2,"S","S+"))))))))))))))))))))</f>
        <v>F-</v>
      </c>
      <c r="H504" s="937">
        <f t="shared" si="3"/>
        <v>0.0238758456</v>
      </c>
      <c r="I504" s="937" t="str">
        <f>IF(H504&lt;'PlayerGrades+'!$AC$21,"F-",IF(H504&lt;'PlayerGrades+'!$AC$20,"F",IF(H504&lt;'PlayerGrades+'!$AC$19,"F+",IF(H504&lt;'PlayerGrades+'!$AC$18,"E-",IF(H504&lt;'PlayerGrades+'!$AC$17,"E",IF(H504&lt;'PlayerGrades+'!$AC$16,"E+",IF(H504&lt;'PlayerGrades+'!$AC$15,"D-",IF(H504&lt;'PlayerGrades+'!$AC$14,"D",IF(H504&lt;'PlayerGrades+'!$AC$13,"D+",IF(H504&lt;'PlayerGrades+'!$AC$12,"C-",IF(H504&lt;'PlayerGrades+'!$AC$11,"C",IF(H504&lt;'PlayerGrades+'!$AC$10,"C+",IF(H504&lt;'PlayerGrades+'!$AC$9,"B-",IF(H504&lt;'PlayerGrades+'!$AC$8,"B",IF(H504&lt;'PlayerGrades+'!$AC$7,"B+",IF(H504&lt;'PlayerGrades+'!$AC$6,"A-",IF(H504&lt;'PlayerGrades+'!$AC$5,"A",IF(H504&lt;'PlayerGrades+'!$AC$4,"A+",IF(H504&lt;'PlayerGrades+'!$AC$3,"S-",IF(H504&lt;'PlayerGrades+'!$AC$2,"S","S+"))))))))))))))))))))</f>
        <v>F-</v>
      </c>
      <c r="J504" s="937">
        <f t="shared" si="4"/>
        <v>0</v>
      </c>
      <c r="K504" s="937" t="str">
        <f>IF(J504&lt;'PlayerGrades+'!$AD$21,"F-",IF(J504&lt;'PlayerGrades+'!$AD$20,"F",IF(J504&lt;'PlayerGrades+'!$AD$19,"F+",IF(J504&lt;'PlayerGrades+'!$AD$18,"E-",IF(J504&lt;'PlayerGrades+'!$AD$17,"E",IF(J504&lt;'PlayerGrades+'!$AD$16,"E+",IF(J504&lt;'PlayerGrades+'!$AD$15,"D-",IF(J504&lt;'PlayerGrades+'!$AD$14,"D",IF(J504&lt;'PlayerGrades+'!$AD$13,"D+",IF(J504&lt;'PlayerGrades+'!$AD$12,"C-",IF(J504&lt;'PlayerGrades+'!$AD$11,"C",IF(J504&lt;'PlayerGrades+'!$AD$10,"C+",IF(J504&lt;'PlayerGrades+'!$AD$9,"B-",IF(J504&lt;'PlayerGrades+'!$AD$8,"B",IF(J504&lt;'PlayerGrades+'!$AD$7,"B+",IF(J504&lt;'PlayerGrades+'!$AD$6,"A-",IF(J504&lt;'PlayerGrades+'!$AD$5,"A",IF(J504&lt;'PlayerGrades+'!$AD$4,"A+",IF(J504&lt;'PlayerGrades+'!$AD$3,"S-",IF(J504&lt;'PlayerGrades+'!$AD$2,"S","S+"))))))))))))))))))))</f>
        <v>F-</v>
      </c>
      <c r="L504" s="677">
        <f t="shared" si="5"/>
        <v>0.1910067648</v>
      </c>
      <c r="M504" s="938" t="str">
        <f>IF(L504&lt;'PlayerGrades+'!$AE$21,"F-",IF(L504&lt;'PlayerGrades+'!$AE$20,"F",IF(L504&lt;'PlayerGrades+'!$AE$19,"F+",IF(L504&lt;'PlayerGrades+'!$AE$18,"E-",IF(L504&lt;'PlayerGrades+'!$AE$17,"E",IF(L504&lt;'PlayerGrades+'!$AE$16,"E+",IF(L504&lt;'PlayerGrades+'!$AE$15,"D-",IF(L504&lt;'PlayerGrades+'!$AE$14,"D",IF(L504&lt;'PlayerGrades+'!$AE$13,"D+",IF(L504&lt;'PlayerGrades+'!$AE$12,"C-",IF(L504&lt;'PlayerGrades+'!$AE$11,"C",IF(L504&lt;'PlayerGrades+'!$AE$10,"C+",IF(L504&lt;'PlayerGrades+'!$AE$9,"B-",IF(L504&lt;'PlayerGrades+'!$AE$8,"B",IF(L504&lt;'PlayerGrades+'!$AE$7,"B+",IF(L504&lt;'PlayerGrades+'!$AE$6,"A-",IF(L504&lt;'PlayerGrades+'!$AE$5,"A",IF(L504&lt;'PlayerGrades+'!$AE$4,"A+",IF(L504&lt;'PlayerGrades+'!$AE$3,"S-",IF(L504&lt;'PlayerGrades+'!$AE$2,"S","S+"))))))))))))))))))))</f>
        <v>F</v>
      </c>
      <c r="N504" s="937">
        <f t="shared" si="6"/>
        <v>0</v>
      </c>
      <c r="O504" s="937" t="str">
        <f>IF(N504&lt;'PlayerGrades+'!$AF$21,"F-",IF(N504&lt;'PlayerGrades+'!$AF$20,"F",IF(N504&lt;'PlayerGrades+'!$AF$19,"F+",IF(N504&lt;'PlayerGrades+'!$AF$18,"E-",IF(N504&lt;'PlayerGrades+'!$AF$17,"E",IF(N504&lt;'PlayerGrades+'!$AF$16,"E+",IF(N504&lt;'PlayerGrades+'!$AF$15,"D-",IF(N504&lt;'PlayerGrades+'!$AF$14,"D",IF(N504&lt;'PlayerGrades+'!$AF$13,"D+",IF(N504&lt;'PlayerGrades+'!$AF$12,"C-",IF(N504&lt;'PlayerGrades+'!$AF$11,"C",IF(N504&lt;'PlayerGrades+'!$AF$10,"C+",IF(N504&lt;'PlayerGrades+'!$AF$9,"B-",IF(N504&lt;'PlayerGrades+'!$AF$8,"B",IF(N504&lt;'PlayerGrades+'!$AF$7,"B+",IF(N504&lt;'PlayerGrades+'!$AF$6,"A-",IF(N504&lt;'PlayerGrades+'!$AF$5,"A",IF(N504&lt;'PlayerGrades+'!$AF$4,"A+",IF(N504&lt;'PlayerGrades+'!$AF$3,"S-",IF(N504&lt;'PlayerGrades+'!$AF$2,"S","S+"))))))))))))))))))))</f>
        <v>F-</v>
      </c>
      <c r="P504" s="937">
        <f t="shared" si="7"/>
        <v>0</v>
      </c>
      <c r="Q504" s="937" t="str">
        <f>IF(P504&lt;'PlayerGrades+'!$AG$21,"F-",IF(P504&lt;'PlayerGrades+'!$AG$20,"F",IF(P504&lt;'PlayerGrades+'!$AG$19,"F+",IF(P504&lt;'PlayerGrades+'!$AG$18,"E-",IF(P504&lt;'PlayerGrades+'!$AG$17,"E",IF(P504&lt;'PlayerGrades+'!$AG$16,"E+",IF(P504&lt;'PlayerGrades+'!$AG$15,"D-",IF(P504&lt;'PlayerGrades+'!$AG$14,"D",IF(P504&lt;'PlayerGrades+'!$AG$13,"D+",IF(P504&lt;'PlayerGrades+'!$AG$12,"C-",IF(P504&lt;'PlayerGrades+'!$AG$11,"C",IF(P504&lt;'PlayerGrades+'!$AG$10,"C+",IF(P504&lt;'PlayerGrades+'!$AG$9,"B-",IF(P504&lt;'PlayerGrades+'!$AG$8,"B",IF(P504&lt;'PlayerGrades+'!$AG$7,"B+",IF(P504&lt;'PlayerGrades+'!$AG$6,"A-",IF(P504&lt;'PlayerGrades+'!$AG$5,"A",IF(P504&lt;'PlayerGrades+'!$AG$4,"A+",IF(P504&lt;'PlayerGrades+'!$AG$3,"S-",IF(P504&lt;'PlayerGrades+'!$AG$2,"S","S+"))))))))))))))))))))</f>
        <v>F</v>
      </c>
      <c r="R504" s="937">
        <f t="shared" si="8"/>
        <v>0.3342618384</v>
      </c>
      <c r="S504" s="937" t="str">
        <f>IF(R504&lt;'PlayerGrades+'!$AH$21,"F-",IF(R504&lt;'PlayerGrades+'!$AH$20,"F",IF(R504&lt;'PlayerGrades+'!$AH$19,"F+",IF(R504&lt;'PlayerGrades+'!$AH$18,"E-",IF(R504&lt;'PlayerGrades+'!$AH$17,"E",IF(R504&lt;'PlayerGrades+'!$AH$16,"E+",IF(R504&lt;'PlayerGrades+'!$AH$15,"D-",IF(R504&lt;'PlayerGrades+'!$AH$14,"D",IF(R504&lt;'PlayerGrades+'!$AH$13,"D+",IF(R504&lt;'PlayerGrades+'!$AH$12,"C-",IF(R504&lt;'PlayerGrades+'!$AH$11,"C",IF(R504&lt;'PlayerGrades+'!$AH$10,"C+",IF(R504&lt;'PlayerGrades+'!$AH$9,"B-",IF(R504&lt;'PlayerGrades+'!$AH$8,"B",IF(R504&lt;'PlayerGrades+'!$AH$7,"B+",IF(R504&lt;'PlayerGrades+'!$AH$6,"A-",IF(R504&lt;'PlayerGrades+'!$AH$5,"A",IF(R504&lt;'PlayerGrades+'!$AH$4,"A+",IF(R504&lt;'PlayerGrades+'!$AH$3,"S-",IF(R504&lt;'PlayerGrades+'!$AH$2,"S","S+"))))))))))))))))))))</f>
        <v>F</v>
      </c>
      <c r="T504" s="937">
        <f t="shared" si="9"/>
        <v>2.262634302</v>
      </c>
      <c r="U504" s="937" t="str">
        <f>IF(T504&lt;'PlayerGrades+'!$AI$21,"F-",IF(T504&lt;'PlayerGrades+'!$AI$20,"F",IF(T504&lt;'PlayerGrades+'!$AI$19,"F+",IF(T504&lt;'PlayerGrades+'!$AI$18,"E-",IF(T504&lt;'PlayerGrades+'!$AI$17,"E",IF(T504&lt;'PlayerGrades+'!$AI$16,"E+",IF(T504&lt;'PlayerGrades+'!$AI$15,"D-",IF(T504&lt;'PlayerGrades+'!$AI$14,"D",IF(T504&lt;'PlayerGrades+'!$AI$13,"D+",IF(T504&lt;'PlayerGrades+'!$AI$12,"C-",IF(T504&lt;'PlayerGrades+'!$AI$11,"C",IF(T504&lt;'PlayerGrades+'!$AI$10,"C+",IF(T504&lt;'PlayerGrades+'!$AI$9,"B-",IF(T504&lt;'PlayerGrades+'!$AI$8,"B",IF(T504&lt;'PlayerGrades+'!$AI$7,"B+",IF(T504&lt;'PlayerGrades+'!$AI$6,"A-",IF(T504&lt;'PlayerGrades+'!$AI$5,"A",IF(T504&lt;'PlayerGrades+'!$AI$4,"A+",IF(T504&lt;'PlayerGrades+'!$AI$3,"S-",IF(T504&lt;'PlayerGrades+'!$AI$2,"S","S+"))))))))))))))))))))</f>
        <v>S+</v>
      </c>
      <c r="V504" s="941">
        <v>1.0</v>
      </c>
      <c r="W504" s="941">
        <v>0.0</v>
      </c>
      <c r="X504" s="941">
        <v>1.0</v>
      </c>
      <c r="Y504" s="941">
        <v>0.0</v>
      </c>
      <c r="Z504" s="941">
        <v>0.0</v>
      </c>
      <c r="AA504" s="941">
        <v>90.0</v>
      </c>
      <c r="AB504" s="941">
        <v>145.0</v>
      </c>
      <c r="AC504" s="941">
        <v>-55.0</v>
      </c>
      <c r="AD504" s="941">
        <v>7.0</v>
      </c>
      <c r="AE504" s="941">
        <v>4.0</v>
      </c>
      <c r="AF504" s="941">
        <v>2.0</v>
      </c>
      <c r="AG504" s="941">
        <v>1954.0</v>
      </c>
      <c r="AH504" s="941">
        <v>2513.0</v>
      </c>
      <c r="AI504" s="941">
        <v>13.0</v>
      </c>
      <c r="AJ504" s="941">
        <v>5.0</v>
      </c>
      <c r="AK504" s="941">
        <v>0.0</v>
      </c>
      <c r="AL504" s="941">
        <v>0.0</v>
      </c>
      <c r="AM504" s="941">
        <v>0.0</v>
      </c>
      <c r="AN504" s="941">
        <v>0.0</v>
      </c>
      <c r="AO504" s="941">
        <v>0.0</v>
      </c>
      <c r="AP504" s="941">
        <v>0.0</v>
      </c>
      <c r="AQ504" s="941">
        <v>0.0</v>
      </c>
      <c r="AR504" s="941">
        <v>8.0</v>
      </c>
      <c r="AS504" s="941">
        <v>0.0</v>
      </c>
      <c r="AT504" s="941">
        <v>0.0</v>
      </c>
      <c r="AU504" s="941">
        <v>0.0</v>
      </c>
      <c r="AV504" s="941">
        <v>0.0</v>
      </c>
      <c r="AW504" s="941">
        <v>0.0</v>
      </c>
      <c r="AX504" s="941">
        <v>0.0</v>
      </c>
      <c r="AY504" s="941">
        <v>0.0</v>
      </c>
      <c r="AZ504" s="941">
        <v>0.0</v>
      </c>
      <c r="BA504" s="941">
        <v>0.0</v>
      </c>
      <c r="BB504" s="941">
        <v>1.0</v>
      </c>
      <c r="BC504" s="941">
        <v>0.0</v>
      </c>
      <c r="BD504" s="941">
        <v>7.0</v>
      </c>
      <c r="BE504" s="941">
        <v>11.0</v>
      </c>
      <c r="BF504" s="941">
        <v>2.0</v>
      </c>
      <c r="BG504" s="942">
        <v>1.0</v>
      </c>
    </row>
    <row r="505">
      <c r="A505" s="943" t="s">
        <v>418</v>
      </c>
      <c r="B505" s="16" t="str">
        <f>IF(C505&lt;'PlayerGrades+'!$Y$44,"F-",IF(C505&lt;'PlayerGrades+'!$Y$43,"F",IF(C505&lt;'PlayerGrades+'!$Y$42,"F+",IF(C505&lt;'PlayerGrades+'!$Y$41,"E-",IF(C505&lt;'PlayerGrades+'!$Y$40,"E",IF(C505&lt;'PlayerGrades+'!$Y$39,"E+",IF(C505&lt;'PlayerGrades+'!$Y$38,"D-",IF(C505&lt;'PlayerGrades+'!$Y$37,"D",IF(C505&lt;'PlayerGrades+'!$Y$36,"D+",IF(C505&lt;'PlayerGrades+'!$Y$35,"C-",IF(C505&lt;'PlayerGrades+'!$Y$34,"C",IF(C505&lt;'PlayerGrades+'!$Y$33,"C+",IF(C505&lt;'PlayerGrades+'!$Y$32,"B-",IF(C505&lt;'PlayerGrades+'!$Y$31,"B",IF(C505&lt;'PlayerGrades+'!$Y$30,"B+",IF(C505&lt;'PlayerGrades+'!$Y$29,"A-",IF(C505&lt;'PlayerGrades+'!$Y$28,"A",IF(C505&lt;'PlayerGrades+'!$Y$27,"A+",IF(C505&lt;'PlayerGrades+'!$Y$26,"S-",IF(C505&lt;'PlayerGrades+'!$Y$25,"S","S+"))))))))))))))))))))</f>
        <v>A</v>
      </c>
      <c r="C505" s="936">
        <f>('PlayerGrades+'!$Y$47*(VLOOKUP(E505, 'PlayerGrades+'!$X$3:$Y$23, 2, FALSE)))+('PlayerGrades+'!$Y$48*(VLOOKUP(G505, 'PlayerGrades+'!$X$3:$Y$23, 2, FALSE)))+('PlayerGrades+'!$Y$49*(VLOOKUP(I505, 'PlayerGrades+'!$X$3:$Y$23, 2, FALSE)))+('PlayerGrades+'!$Y$50*(VLOOKUP(K505, 'PlayerGrades+'!$X$3:$Y$23, 2, FALSE)))+('PlayerGrades+'!$Y$51*(VLOOKUP(M505, 'PlayerGrades+'!$X$3:$Y$23, 2, FALSE)))+('PlayerGrades+'!$Y$52*(VLOOKUP(O505, 'PlayerGrades+'!$X$3:$Y$23, 2, FALSE)))+('PlayerGrades+'!$Y$53*(VLOOKUP(Q505, 'PlayerGrades+'!$X$3:$Y$23, 2, FALSE)))+('PlayerGrades+'!$Y$54*(VLOOKUP(S505, 'PlayerGrades+'!$X$3:$Y$23, 2, FALSE)))+('PlayerGrades+'!$Y$55*(VLOOKUP(U505, 'PlayerGrades+'!$X$3:$Y$23, 2, FALSE)))</f>
        <v>26.05</v>
      </c>
      <c r="D505" s="937">
        <f t="shared" si="1"/>
        <v>0.0238758456</v>
      </c>
      <c r="E505" s="937" t="str">
        <f>IF(D505&lt;'PlayerGrades+'!$AA$21,"F-",IF(D505&lt;'PlayerGrades+'!$AA$20,"F",IF(D505&lt;'PlayerGrades+'!$AA$19,"F+",IF(D505&lt;'PlayerGrades+'!$AA$18,"E-",IF(D505&lt;'PlayerGrades+'!$AA$17,"E",IF(D505&lt;'PlayerGrades+'!$AA$16,"E+",IF(D505&lt;'PlayerGrades+'!$AA$15,"D-",IF(D505&lt;'PlayerGrades+'!$AA$14,"D",IF(D505&lt;'PlayerGrades+'!$AA$13,"D+",IF(D505&lt;'PlayerGrades+'!$AA$12,"C-",IF(D505&lt;'PlayerGrades+'!$AA$11,"C",IF(D505&lt;'PlayerGrades+'!$AA$10,"C+",IF(D505&lt;'PlayerGrades+'!$AA$9,"B-",IF(D505&lt;'PlayerGrades+'!$AA$8,"B",IF(D505&lt;'PlayerGrades+'!$AA$7,"B+",IF(D505&lt;'PlayerGrades+'!$AA$6,"A-",IF(D505&lt;'PlayerGrades+'!$AA$5,"A",IF(D505&lt;'PlayerGrades+'!$AA$4,"A+",IF(D505&lt;'PlayerGrades+'!$AA$3,"S-",IF(D505&lt;'PlayerGrades+'!$AA$2,"S","S+"))))))))))))))))))))</f>
        <v>E+</v>
      </c>
      <c r="F505" s="937">
        <f t="shared" si="2"/>
        <v>0.8595304417</v>
      </c>
      <c r="G505" s="937" t="str">
        <f>IF(F505&lt;'PlayerGrades+'!$AB$21,"F-",IF(F505&lt;'PlayerGrades+'!$AB$20,"F",IF(F505&lt;'PlayerGrades+'!$AB$19,"F+",IF(F505&lt;'PlayerGrades+'!$AB$18,"E-",IF(F505&lt;'PlayerGrades+'!$AB$17,"E",IF(F505&lt;'PlayerGrades+'!$AB$16,"E+",IF(F505&lt;'PlayerGrades+'!$AB$15,"D-",IF(F505&lt;'PlayerGrades+'!$AB$14,"D",IF(F505&lt;'PlayerGrades+'!$AB$13,"D+",IF(F505&lt;'PlayerGrades+'!$AB$12,"C-",IF(F505&lt;'PlayerGrades+'!$AB$11,"C",IF(F505&lt;'PlayerGrades+'!$AB$10,"C+",IF(F505&lt;'PlayerGrades+'!$AB$9,"B-",IF(F505&lt;'PlayerGrades+'!$AB$8,"B",IF(F505&lt;'PlayerGrades+'!$AB$7,"B+",IF(F505&lt;'PlayerGrades+'!$AB$6,"A-",IF(F505&lt;'PlayerGrades+'!$AB$5,"A",IF(F505&lt;'PlayerGrades+'!$AB$4,"A+",IF(F505&lt;'PlayerGrades+'!$AB$3,"S-",IF(F505&lt;'PlayerGrades+'!$AB$2,"S","S+"))))))))))))))))))))</f>
        <v>S</v>
      </c>
      <c r="H505" s="937">
        <f t="shared" si="3"/>
        <v>0.07162753681</v>
      </c>
      <c r="I505" s="937" t="str">
        <f>IF(H505&lt;'PlayerGrades+'!$AC$21,"F-",IF(H505&lt;'PlayerGrades+'!$AC$20,"F",IF(H505&lt;'PlayerGrades+'!$AC$19,"F+",IF(H505&lt;'PlayerGrades+'!$AC$18,"E-",IF(H505&lt;'PlayerGrades+'!$AC$17,"E",IF(H505&lt;'PlayerGrades+'!$AC$16,"E+",IF(H505&lt;'PlayerGrades+'!$AC$15,"D-",IF(H505&lt;'PlayerGrades+'!$AC$14,"D",IF(H505&lt;'PlayerGrades+'!$AC$13,"D+",IF(H505&lt;'PlayerGrades+'!$AC$12,"C-",IF(H505&lt;'PlayerGrades+'!$AC$11,"C",IF(H505&lt;'PlayerGrades+'!$AC$10,"C+",IF(H505&lt;'PlayerGrades+'!$AC$9,"B-",IF(H505&lt;'PlayerGrades+'!$AC$8,"B",IF(H505&lt;'PlayerGrades+'!$AC$7,"B+",IF(H505&lt;'PlayerGrades+'!$AC$6,"A-",IF(H505&lt;'PlayerGrades+'!$AC$5,"A",IF(H505&lt;'PlayerGrades+'!$AC$4,"A+",IF(H505&lt;'PlayerGrades+'!$AC$3,"S-",IF(H505&lt;'PlayerGrades+'!$AC$2,"S","S+"))))))))))))))))))))</f>
        <v>E</v>
      </c>
      <c r="J505" s="937">
        <f t="shared" si="4"/>
        <v>0.09550338241</v>
      </c>
      <c r="K505" s="937" t="str">
        <f>IF(J505&lt;'PlayerGrades+'!$AD$21,"F-",IF(J505&lt;'PlayerGrades+'!$AD$20,"F",IF(J505&lt;'PlayerGrades+'!$AD$19,"F+",IF(J505&lt;'PlayerGrades+'!$AD$18,"E-",IF(J505&lt;'PlayerGrades+'!$AD$17,"E",IF(J505&lt;'PlayerGrades+'!$AD$16,"E+",IF(J505&lt;'PlayerGrades+'!$AD$15,"D-",IF(J505&lt;'PlayerGrades+'!$AD$14,"D",IF(J505&lt;'PlayerGrades+'!$AD$13,"D+",IF(J505&lt;'PlayerGrades+'!$AD$12,"C-",IF(J505&lt;'PlayerGrades+'!$AD$11,"C",IF(J505&lt;'PlayerGrades+'!$AD$10,"C+",IF(J505&lt;'PlayerGrades+'!$AD$9,"B-",IF(J505&lt;'PlayerGrades+'!$AD$8,"B",IF(J505&lt;'PlayerGrades+'!$AD$7,"B+",IF(J505&lt;'PlayerGrades+'!$AD$6,"A-",IF(J505&lt;'PlayerGrades+'!$AD$5,"A",IF(J505&lt;'PlayerGrades+'!$AD$4,"A+",IF(J505&lt;'PlayerGrades+'!$AD$3,"S-",IF(J505&lt;'PlayerGrades+'!$AD$2,"S","S+"))))))))))))))))))))</f>
        <v>S</v>
      </c>
      <c r="L505" s="677">
        <f t="shared" si="5"/>
        <v>0.5491444489</v>
      </c>
      <c r="M505" s="938" t="str">
        <f>IF(L505&lt;'PlayerGrades+'!$AE$21,"F-",IF(L505&lt;'PlayerGrades+'!$AE$20,"F",IF(L505&lt;'PlayerGrades+'!$AE$19,"F+",IF(L505&lt;'PlayerGrades+'!$AE$18,"E-",IF(L505&lt;'PlayerGrades+'!$AE$17,"E",IF(L505&lt;'PlayerGrades+'!$AE$16,"E+",IF(L505&lt;'PlayerGrades+'!$AE$15,"D-",IF(L505&lt;'PlayerGrades+'!$AE$14,"D",IF(L505&lt;'PlayerGrades+'!$AE$13,"D+",IF(L505&lt;'PlayerGrades+'!$AE$12,"C-",IF(L505&lt;'PlayerGrades+'!$AE$11,"C",IF(L505&lt;'PlayerGrades+'!$AE$10,"C+",IF(L505&lt;'PlayerGrades+'!$AE$9,"B-",IF(L505&lt;'PlayerGrades+'!$AE$8,"B",IF(L505&lt;'PlayerGrades+'!$AE$7,"B+",IF(L505&lt;'PlayerGrades+'!$AE$6,"A-",IF(L505&lt;'PlayerGrades+'!$AE$5,"A",IF(L505&lt;'PlayerGrades+'!$AE$4,"A+",IF(L505&lt;'PlayerGrades+'!$AE$3,"S-",IF(L505&lt;'PlayerGrades+'!$AE$2,"S","S+"))))))))))))))))))))</f>
        <v>A</v>
      </c>
      <c r="N505" s="937">
        <f t="shared" si="6"/>
        <v>0.09550338241</v>
      </c>
      <c r="O505" s="937" t="str">
        <f>IF(N505&lt;'PlayerGrades+'!$AF$21,"F-",IF(N505&lt;'PlayerGrades+'!$AF$20,"F",IF(N505&lt;'PlayerGrades+'!$AF$19,"F+",IF(N505&lt;'PlayerGrades+'!$AF$18,"E-",IF(N505&lt;'PlayerGrades+'!$AF$17,"E",IF(N505&lt;'PlayerGrades+'!$AF$16,"E+",IF(N505&lt;'PlayerGrades+'!$AF$15,"D-",IF(N505&lt;'PlayerGrades+'!$AF$14,"D",IF(N505&lt;'PlayerGrades+'!$AF$13,"D+",IF(N505&lt;'PlayerGrades+'!$AF$12,"C-",IF(N505&lt;'PlayerGrades+'!$AF$11,"C",IF(N505&lt;'PlayerGrades+'!$AF$10,"C+",IF(N505&lt;'PlayerGrades+'!$AF$9,"B-",IF(N505&lt;'PlayerGrades+'!$AF$8,"B",IF(N505&lt;'PlayerGrades+'!$AF$7,"B+",IF(N505&lt;'PlayerGrades+'!$AF$6,"A-",IF(N505&lt;'PlayerGrades+'!$AF$5,"A",IF(N505&lt;'PlayerGrades+'!$AF$4,"A+",IF(N505&lt;'PlayerGrades+'!$AF$3,"S-",IF(N505&lt;'PlayerGrades+'!$AF$2,"S","S+"))))))))))))))))))))</f>
        <v>A-</v>
      </c>
      <c r="P505" s="937">
        <f t="shared" si="7"/>
        <v>0.09550338241</v>
      </c>
      <c r="Q505" s="937" t="str">
        <f>IF(P505&lt;'PlayerGrades+'!$AG$21,"F-",IF(P505&lt;'PlayerGrades+'!$AG$20,"F",IF(P505&lt;'PlayerGrades+'!$AG$19,"F+",IF(P505&lt;'PlayerGrades+'!$AG$18,"E-",IF(P505&lt;'PlayerGrades+'!$AG$17,"E",IF(P505&lt;'PlayerGrades+'!$AG$16,"E+",IF(P505&lt;'PlayerGrades+'!$AG$15,"D-",IF(P505&lt;'PlayerGrades+'!$AG$14,"D",IF(P505&lt;'PlayerGrades+'!$AG$13,"D+",IF(P505&lt;'PlayerGrades+'!$AG$12,"C-",IF(P505&lt;'PlayerGrades+'!$AG$11,"C",IF(P505&lt;'PlayerGrades+'!$AG$10,"C+",IF(P505&lt;'PlayerGrades+'!$AG$9,"B-",IF(P505&lt;'PlayerGrades+'!$AG$8,"B",IF(P505&lt;'PlayerGrades+'!$AG$7,"B+",IF(P505&lt;'PlayerGrades+'!$AG$6,"A-",IF(P505&lt;'PlayerGrades+'!$AG$5,"A",IF(P505&lt;'PlayerGrades+'!$AG$4,"A+",IF(P505&lt;'PlayerGrades+'!$AG$3,"S-",IF(P505&lt;'PlayerGrades+'!$AG$2,"S","S+"))))))))))))))))))))</f>
        <v>S+</v>
      </c>
      <c r="R505" s="937">
        <f t="shared" si="8"/>
        <v>0.5252686033</v>
      </c>
      <c r="S505" s="937" t="str">
        <f>IF(R505&lt;'PlayerGrades+'!$AH$21,"F-",IF(R505&lt;'PlayerGrades+'!$AH$20,"F",IF(R505&lt;'PlayerGrades+'!$AH$19,"F+",IF(R505&lt;'PlayerGrades+'!$AH$18,"E-",IF(R505&lt;'PlayerGrades+'!$AH$17,"E",IF(R505&lt;'PlayerGrades+'!$AH$16,"E+",IF(R505&lt;'PlayerGrades+'!$AH$15,"D-",IF(R505&lt;'PlayerGrades+'!$AH$14,"D",IF(R505&lt;'PlayerGrades+'!$AH$13,"D+",IF(R505&lt;'PlayerGrades+'!$AH$12,"C-",IF(R505&lt;'PlayerGrades+'!$AH$11,"C",IF(R505&lt;'PlayerGrades+'!$AH$10,"C+",IF(R505&lt;'PlayerGrades+'!$AH$9,"B-",IF(R505&lt;'PlayerGrades+'!$AH$8,"B",IF(R505&lt;'PlayerGrades+'!$AH$7,"B+",IF(R505&lt;'PlayerGrades+'!$AH$6,"A-",IF(R505&lt;'PlayerGrades+'!$AH$5,"A",IF(R505&lt;'PlayerGrades+'!$AH$4,"A+",IF(R505&lt;'PlayerGrades+'!$AH$3,"S-",IF(R505&lt;'PlayerGrades+'!$AH$2,"S","S+"))))))))))))))))))))</f>
        <v>C</v>
      </c>
      <c r="T505" s="937">
        <f t="shared" si="9"/>
        <v>4.501392758</v>
      </c>
      <c r="U505" s="937" t="str">
        <f>IF(T505&lt;'PlayerGrades+'!$AI$21,"F-",IF(T505&lt;'PlayerGrades+'!$AI$20,"F",IF(T505&lt;'PlayerGrades+'!$AI$19,"F+",IF(T505&lt;'PlayerGrades+'!$AI$18,"E-",IF(T505&lt;'PlayerGrades+'!$AI$17,"E",IF(T505&lt;'PlayerGrades+'!$AI$16,"E+",IF(T505&lt;'PlayerGrades+'!$AI$15,"D-",IF(T505&lt;'PlayerGrades+'!$AI$14,"D",IF(T505&lt;'PlayerGrades+'!$AI$13,"D+",IF(T505&lt;'PlayerGrades+'!$AI$12,"C-",IF(T505&lt;'PlayerGrades+'!$AI$11,"C",IF(T505&lt;'PlayerGrades+'!$AI$10,"C+",IF(T505&lt;'PlayerGrades+'!$AI$9,"B-",IF(T505&lt;'PlayerGrades+'!$AI$8,"B",IF(T505&lt;'PlayerGrades+'!$AI$7,"B+",IF(T505&lt;'PlayerGrades+'!$AI$6,"A-",IF(T505&lt;'PlayerGrades+'!$AI$5,"A",IF(T505&lt;'PlayerGrades+'!$AI$4,"A+",IF(T505&lt;'PlayerGrades+'!$AI$3,"S-",IF(T505&lt;'PlayerGrades+'!$AI$2,"S","S+"))))))))))))))))))))</f>
        <v>S+</v>
      </c>
      <c r="V505" s="944">
        <v>1.0</v>
      </c>
      <c r="W505" s="944">
        <v>0.0</v>
      </c>
      <c r="X505" s="944">
        <v>1.0</v>
      </c>
      <c r="Y505" s="944">
        <v>0.0</v>
      </c>
      <c r="Z505" s="944">
        <v>1.0</v>
      </c>
      <c r="AA505" s="944">
        <v>155.0</v>
      </c>
      <c r="AB505" s="944">
        <v>119.0</v>
      </c>
      <c r="AC505" s="944">
        <v>36.0</v>
      </c>
      <c r="AD505" s="944">
        <v>6.0</v>
      </c>
      <c r="AE505" s="944">
        <v>8.0</v>
      </c>
      <c r="AF505" s="944">
        <v>3.0</v>
      </c>
      <c r="AG505" s="944">
        <v>2041.0</v>
      </c>
      <c r="AH505" s="944">
        <v>2513.0</v>
      </c>
      <c r="AI505" s="944">
        <v>17.0</v>
      </c>
      <c r="AJ505" s="944">
        <v>19.0</v>
      </c>
      <c r="AK505" s="944">
        <v>0.0</v>
      </c>
      <c r="AL505" s="944">
        <v>4.0</v>
      </c>
      <c r="AM505" s="944">
        <v>0.0</v>
      </c>
      <c r="AN505" s="944">
        <v>0.0</v>
      </c>
      <c r="AO505" s="944">
        <v>0.0</v>
      </c>
      <c r="AP505" s="944">
        <v>4.0</v>
      </c>
      <c r="AQ505" s="944">
        <v>0.0</v>
      </c>
      <c r="AR505" s="944">
        <v>23.0</v>
      </c>
      <c r="AS505" s="944">
        <v>4.0</v>
      </c>
      <c r="AT505" s="944">
        <v>0.0</v>
      </c>
      <c r="AU505" s="944">
        <v>0.0</v>
      </c>
      <c r="AV505" s="944">
        <v>0.0</v>
      </c>
      <c r="AW505" s="944">
        <v>0.0</v>
      </c>
      <c r="AX505" s="944">
        <v>0.0</v>
      </c>
      <c r="AY505" s="944">
        <v>0.0</v>
      </c>
      <c r="AZ505" s="944">
        <v>0.0</v>
      </c>
      <c r="BA505" s="944">
        <v>0.0</v>
      </c>
      <c r="BB505" s="944">
        <v>3.0</v>
      </c>
      <c r="BC505" s="944">
        <v>0.0</v>
      </c>
      <c r="BD505" s="944">
        <v>16.0</v>
      </c>
      <c r="BE505" s="944">
        <v>21.0</v>
      </c>
      <c r="BF505" s="944">
        <v>4.0</v>
      </c>
      <c r="BG505" s="945">
        <v>1.0</v>
      </c>
    </row>
    <row r="506">
      <c r="A506" s="946" t="s">
        <v>123</v>
      </c>
      <c r="B506" s="16" t="str">
        <f>IF(C506&lt;'PlayerGrades+'!$Y$44,"F-",IF(C506&lt;'PlayerGrades+'!$Y$43,"F",IF(C506&lt;'PlayerGrades+'!$Y$42,"F+",IF(C506&lt;'PlayerGrades+'!$Y$41,"E-",IF(C506&lt;'PlayerGrades+'!$Y$40,"E",IF(C506&lt;'PlayerGrades+'!$Y$39,"E+",IF(C506&lt;'PlayerGrades+'!$Y$38,"D-",IF(C506&lt;'PlayerGrades+'!$Y$37,"D",IF(C506&lt;'PlayerGrades+'!$Y$36,"D+",IF(C506&lt;'PlayerGrades+'!$Y$35,"C-",IF(C506&lt;'PlayerGrades+'!$Y$34,"C",IF(C506&lt;'PlayerGrades+'!$Y$33,"C+",IF(C506&lt;'PlayerGrades+'!$Y$32,"B-",IF(C506&lt;'PlayerGrades+'!$Y$31,"B",IF(C506&lt;'PlayerGrades+'!$Y$30,"B+",IF(C506&lt;'PlayerGrades+'!$Y$29,"A-",IF(C506&lt;'PlayerGrades+'!$Y$28,"A",IF(C506&lt;'PlayerGrades+'!$Y$27,"A+",IF(C506&lt;'PlayerGrades+'!$Y$26,"S-",IF(C506&lt;'PlayerGrades+'!$Y$25,"S","S+"))))))))))))))))))))</f>
        <v>C+</v>
      </c>
      <c r="C506" s="936">
        <f>('PlayerGrades+'!$Y$47*(VLOOKUP(E506, 'PlayerGrades+'!$X$3:$Y$23, 2, FALSE)))+('PlayerGrades+'!$Y$48*(VLOOKUP(G506, 'PlayerGrades+'!$X$3:$Y$23, 2, FALSE)))+('PlayerGrades+'!$Y$49*(VLOOKUP(I506, 'PlayerGrades+'!$X$3:$Y$23, 2, FALSE)))+('PlayerGrades+'!$Y$50*(VLOOKUP(K506, 'PlayerGrades+'!$X$3:$Y$23, 2, FALSE)))+('PlayerGrades+'!$Y$51*(VLOOKUP(M506, 'PlayerGrades+'!$X$3:$Y$23, 2, FALSE)))+('PlayerGrades+'!$Y$52*(VLOOKUP(O506, 'PlayerGrades+'!$X$3:$Y$23, 2, FALSE)))+('PlayerGrades+'!$Y$53*(VLOOKUP(Q506, 'PlayerGrades+'!$X$3:$Y$23, 2, FALSE)))+('PlayerGrades+'!$Y$54*(VLOOKUP(S506, 'PlayerGrades+'!$X$3:$Y$23, 2, FALSE)))+('PlayerGrades+'!$Y$55*(VLOOKUP(U506, 'PlayerGrades+'!$X$3:$Y$23, 2, FALSE)))</f>
        <v>20.95</v>
      </c>
      <c r="D506" s="937">
        <f t="shared" si="1"/>
        <v>0.7748797164</v>
      </c>
      <c r="E506" s="937" t="str">
        <f>IF(D506&lt;'PlayerGrades+'!$AA$21,"F-",IF(D506&lt;'PlayerGrades+'!$AA$20,"F",IF(D506&lt;'PlayerGrades+'!$AA$19,"F+",IF(D506&lt;'PlayerGrades+'!$AA$18,"E-",IF(D506&lt;'PlayerGrades+'!$AA$17,"E",IF(D506&lt;'PlayerGrades+'!$AA$16,"E+",IF(D506&lt;'PlayerGrades+'!$AA$15,"D-",IF(D506&lt;'PlayerGrades+'!$AA$14,"D",IF(D506&lt;'PlayerGrades+'!$AA$13,"D+",IF(D506&lt;'PlayerGrades+'!$AA$12,"C-",IF(D506&lt;'PlayerGrades+'!$AA$11,"C",IF(D506&lt;'PlayerGrades+'!$AA$10,"C+",IF(D506&lt;'PlayerGrades+'!$AA$9,"B-",IF(D506&lt;'PlayerGrades+'!$AA$8,"B",IF(D506&lt;'PlayerGrades+'!$AA$7,"B+",IF(D506&lt;'PlayerGrades+'!$AA$6,"A-",IF(D506&lt;'PlayerGrades+'!$AA$5,"A",IF(D506&lt;'PlayerGrades+'!$AA$4,"A+",IF(D506&lt;'PlayerGrades+'!$AA$3,"S-",IF(D506&lt;'PlayerGrades+'!$AA$2,"S","S+"))))))))))))))))))))</f>
        <v>S</v>
      </c>
      <c r="F506" s="937">
        <f t="shared" si="2"/>
        <v>0.8204608762</v>
      </c>
      <c r="G506" s="937" t="str">
        <f>IF(F506&lt;'PlayerGrades+'!$AB$21,"F-",IF(F506&lt;'PlayerGrades+'!$AB$20,"F",IF(F506&lt;'PlayerGrades+'!$AB$19,"F+",IF(F506&lt;'PlayerGrades+'!$AB$18,"E-",IF(F506&lt;'PlayerGrades+'!$AB$17,"E",IF(F506&lt;'PlayerGrades+'!$AB$16,"E+",IF(F506&lt;'PlayerGrades+'!$AB$15,"D-",IF(F506&lt;'PlayerGrades+'!$AB$14,"D",IF(F506&lt;'PlayerGrades+'!$AB$13,"D+",IF(F506&lt;'PlayerGrades+'!$AB$12,"C-",IF(F506&lt;'PlayerGrades+'!$AB$11,"C",IF(F506&lt;'PlayerGrades+'!$AB$10,"C+",IF(F506&lt;'PlayerGrades+'!$AB$9,"B-",IF(F506&lt;'PlayerGrades+'!$AB$8,"B",IF(F506&lt;'PlayerGrades+'!$AB$7,"B+",IF(F506&lt;'PlayerGrades+'!$AB$6,"A-",IF(F506&lt;'PlayerGrades+'!$AB$5,"A",IF(F506&lt;'PlayerGrades+'!$AB$4,"A+",IF(F506&lt;'PlayerGrades+'!$AB$3,"S-",IF(F506&lt;'PlayerGrades+'!$AB$2,"S","S+"))))))))))))))))))))</f>
        <v>S</v>
      </c>
      <c r="H506" s="937">
        <f t="shared" si="3"/>
        <v>0.04558115979</v>
      </c>
      <c r="I506" s="937" t="str">
        <f>IF(H506&lt;'PlayerGrades+'!$AC$21,"F-",IF(H506&lt;'PlayerGrades+'!$AC$20,"F",IF(H506&lt;'PlayerGrades+'!$AC$19,"F+",IF(H506&lt;'PlayerGrades+'!$AC$18,"E-",IF(H506&lt;'PlayerGrades+'!$AC$17,"E",IF(H506&lt;'PlayerGrades+'!$AC$16,"E+",IF(H506&lt;'PlayerGrades+'!$AC$15,"D-",IF(H506&lt;'PlayerGrades+'!$AC$14,"D",IF(H506&lt;'PlayerGrades+'!$AC$13,"D+",IF(H506&lt;'PlayerGrades+'!$AC$12,"C-",IF(H506&lt;'PlayerGrades+'!$AC$11,"C",IF(H506&lt;'PlayerGrades+'!$AC$10,"C+",IF(H506&lt;'PlayerGrades+'!$AC$9,"B-",IF(H506&lt;'PlayerGrades+'!$AC$8,"B",IF(H506&lt;'PlayerGrades+'!$AC$7,"B+",IF(H506&lt;'PlayerGrades+'!$AC$6,"A-",IF(H506&lt;'PlayerGrades+'!$AC$5,"A",IF(H506&lt;'PlayerGrades+'!$AC$4,"A+",IF(H506&lt;'PlayerGrades+'!$AC$3,"S-",IF(H506&lt;'PlayerGrades+'!$AC$2,"S","S+"))))))))))))))))))))</f>
        <v>F</v>
      </c>
      <c r="J506" s="937">
        <f t="shared" si="4"/>
        <v>0.1063560395</v>
      </c>
      <c r="K506" s="937" t="str">
        <f>IF(J506&lt;'PlayerGrades+'!$AD$21,"F-",IF(J506&lt;'PlayerGrades+'!$AD$20,"F",IF(J506&lt;'PlayerGrades+'!$AD$19,"F+",IF(J506&lt;'PlayerGrades+'!$AD$18,"E-",IF(J506&lt;'PlayerGrades+'!$AD$17,"E",IF(J506&lt;'PlayerGrades+'!$AD$16,"E+",IF(J506&lt;'PlayerGrades+'!$AD$15,"D-",IF(J506&lt;'PlayerGrades+'!$AD$14,"D",IF(J506&lt;'PlayerGrades+'!$AD$13,"D+",IF(J506&lt;'PlayerGrades+'!$AD$12,"C-",IF(J506&lt;'PlayerGrades+'!$AD$11,"C",IF(J506&lt;'PlayerGrades+'!$AD$10,"C+",IF(J506&lt;'PlayerGrades+'!$AD$9,"B-",IF(J506&lt;'PlayerGrades+'!$AD$8,"B",IF(J506&lt;'PlayerGrades+'!$AD$7,"B+",IF(J506&lt;'PlayerGrades+'!$AD$6,"A-",IF(J506&lt;'PlayerGrades+'!$AD$5,"A",IF(J506&lt;'PlayerGrades+'!$AD$4,"A+",IF(J506&lt;'PlayerGrades+'!$AD$3,"S-",IF(J506&lt;'PlayerGrades+'!$AD$2,"S","S+"))))))))))))))))))))</f>
        <v>S+</v>
      </c>
      <c r="L506" s="677">
        <f t="shared" si="5"/>
        <v>0.3494555584</v>
      </c>
      <c r="M506" s="938" t="str">
        <f>IF(L506&lt;'PlayerGrades+'!$AE$21,"F-",IF(L506&lt;'PlayerGrades+'!$AE$20,"F",IF(L506&lt;'PlayerGrades+'!$AE$19,"F+",IF(L506&lt;'PlayerGrades+'!$AE$18,"E-",IF(L506&lt;'PlayerGrades+'!$AE$17,"E",IF(L506&lt;'PlayerGrades+'!$AE$16,"E+",IF(L506&lt;'PlayerGrades+'!$AE$15,"D-",IF(L506&lt;'PlayerGrades+'!$AE$14,"D",IF(L506&lt;'PlayerGrades+'!$AE$13,"D+",IF(L506&lt;'PlayerGrades+'!$AE$12,"C-",IF(L506&lt;'PlayerGrades+'!$AE$11,"C",IF(L506&lt;'PlayerGrades+'!$AE$10,"C+",IF(L506&lt;'PlayerGrades+'!$AE$9,"B-",IF(L506&lt;'PlayerGrades+'!$AE$8,"B",IF(L506&lt;'PlayerGrades+'!$AE$7,"B+",IF(L506&lt;'PlayerGrades+'!$AE$6,"A-",IF(L506&lt;'PlayerGrades+'!$AE$5,"A",IF(L506&lt;'PlayerGrades+'!$AE$4,"A+",IF(L506&lt;'PlayerGrades+'!$AE$3,"S-",IF(L506&lt;'PlayerGrades+'!$AE$2,"S","S+"))))))))))))))))))))</f>
        <v>D</v>
      </c>
      <c r="N506" s="937">
        <f t="shared" si="6"/>
        <v>0.03038743986</v>
      </c>
      <c r="O506" s="937" t="str">
        <f>IF(N506&lt;'PlayerGrades+'!$AF$21,"F-",IF(N506&lt;'PlayerGrades+'!$AF$20,"F",IF(N506&lt;'PlayerGrades+'!$AF$19,"F+",IF(N506&lt;'PlayerGrades+'!$AF$18,"E-",IF(N506&lt;'PlayerGrades+'!$AF$17,"E",IF(N506&lt;'PlayerGrades+'!$AF$16,"E+",IF(N506&lt;'PlayerGrades+'!$AF$15,"D-",IF(N506&lt;'PlayerGrades+'!$AF$14,"D",IF(N506&lt;'PlayerGrades+'!$AF$13,"D+",IF(N506&lt;'PlayerGrades+'!$AF$12,"C-",IF(N506&lt;'PlayerGrades+'!$AF$11,"C",IF(N506&lt;'PlayerGrades+'!$AF$10,"C+",IF(N506&lt;'PlayerGrades+'!$AF$9,"B-",IF(N506&lt;'PlayerGrades+'!$AF$8,"B",IF(N506&lt;'PlayerGrades+'!$AF$7,"B+",IF(N506&lt;'PlayerGrades+'!$AF$6,"A-",IF(N506&lt;'PlayerGrades+'!$AF$5,"A",IF(N506&lt;'PlayerGrades+'!$AF$4,"A+",IF(N506&lt;'PlayerGrades+'!$AF$3,"S-",IF(N506&lt;'PlayerGrades+'!$AF$2,"S","S+"))))))))))))))))))))</f>
        <v>F</v>
      </c>
      <c r="P506" s="937">
        <f t="shared" si="7"/>
        <v>0</v>
      </c>
      <c r="Q506" s="937" t="str">
        <f>IF(P506&lt;'PlayerGrades+'!$AG$21,"F-",IF(P506&lt;'PlayerGrades+'!$AG$20,"F",IF(P506&lt;'PlayerGrades+'!$AG$19,"F+",IF(P506&lt;'PlayerGrades+'!$AG$18,"E-",IF(P506&lt;'PlayerGrades+'!$AG$17,"E",IF(P506&lt;'PlayerGrades+'!$AG$16,"E+",IF(P506&lt;'PlayerGrades+'!$AG$15,"D-",IF(P506&lt;'PlayerGrades+'!$AG$14,"D",IF(P506&lt;'PlayerGrades+'!$AG$13,"D+",IF(P506&lt;'PlayerGrades+'!$AG$12,"C-",IF(P506&lt;'PlayerGrades+'!$AG$11,"C",IF(P506&lt;'PlayerGrades+'!$AG$10,"C+",IF(P506&lt;'PlayerGrades+'!$AG$9,"B-",IF(P506&lt;'PlayerGrades+'!$AG$8,"B",IF(P506&lt;'PlayerGrades+'!$AG$7,"B+",IF(P506&lt;'PlayerGrades+'!$AG$6,"A-",IF(P506&lt;'PlayerGrades+'!$AG$5,"A",IF(P506&lt;'PlayerGrades+'!$AG$4,"A+",IF(P506&lt;'PlayerGrades+'!$AG$3,"S-",IF(P506&lt;'PlayerGrades+'!$AG$2,"S","S+"))))))))))))))))))))</f>
        <v>F</v>
      </c>
      <c r="R506" s="937">
        <f t="shared" si="8"/>
        <v>0.5469739174</v>
      </c>
      <c r="S506" s="937" t="str">
        <f>IF(R506&lt;'PlayerGrades+'!$AH$21,"F-",IF(R506&lt;'PlayerGrades+'!$AH$20,"F",IF(R506&lt;'PlayerGrades+'!$AH$19,"F+",IF(R506&lt;'PlayerGrades+'!$AH$18,"E-",IF(R506&lt;'PlayerGrades+'!$AH$17,"E",IF(R506&lt;'PlayerGrades+'!$AH$16,"E+",IF(R506&lt;'PlayerGrades+'!$AH$15,"D-",IF(R506&lt;'PlayerGrades+'!$AH$14,"D",IF(R506&lt;'PlayerGrades+'!$AH$13,"D+",IF(R506&lt;'PlayerGrades+'!$AH$12,"C-",IF(R506&lt;'PlayerGrades+'!$AH$11,"C",IF(R506&lt;'PlayerGrades+'!$AH$10,"C+",IF(R506&lt;'PlayerGrades+'!$AH$9,"B-",IF(R506&lt;'PlayerGrades+'!$AH$8,"B",IF(R506&lt;'PlayerGrades+'!$AH$7,"B+",IF(R506&lt;'PlayerGrades+'!$AH$6,"A-",IF(R506&lt;'PlayerGrades+'!$AH$5,"A",IF(R506&lt;'PlayerGrades+'!$AH$4,"A+",IF(R506&lt;'PlayerGrades+'!$AH$3,"S-",IF(R506&lt;'PlayerGrades+'!$AH$2,"S","S+"))))))))))))))))))))</f>
        <v>B-</v>
      </c>
      <c r="T506" s="937">
        <f t="shared" si="9"/>
        <v>2.243099519</v>
      </c>
      <c r="U506" s="937" t="str">
        <f>IF(T506&lt;'PlayerGrades+'!$AI$21,"F-",IF(T506&lt;'PlayerGrades+'!$AI$20,"F",IF(T506&lt;'PlayerGrades+'!$AI$19,"F+",IF(T506&lt;'PlayerGrades+'!$AI$18,"E-",IF(T506&lt;'PlayerGrades+'!$AI$17,"E",IF(T506&lt;'PlayerGrades+'!$AI$16,"E+",IF(T506&lt;'PlayerGrades+'!$AI$15,"D-",IF(T506&lt;'PlayerGrades+'!$AI$14,"D",IF(T506&lt;'PlayerGrades+'!$AI$13,"D+",IF(T506&lt;'PlayerGrades+'!$AI$12,"C-",IF(T506&lt;'PlayerGrades+'!$AI$11,"C",IF(T506&lt;'PlayerGrades+'!$AI$10,"C+",IF(T506&lt;'PlayerGrades+'!$AI$9,"B-",IF(T506&lt;'PlayerGrades+'!$AI$8,"B",IF(T506&lt;'PlayerGrades+'!$AI$7,"B+",IF(T506&lt;'PlayerGrades+'!$AI$6,"A-",IF(T506&lt;'PlayerGrades+'!$AI$5,"A",IF(T506&lt;'PlayerGrades+'!$AI$4,"A+",IF(T506&lt;'PlayerGrades+'!$AI$3,"S-",IF(T506&lt;'PlayerGrades+'!$AI$2,"S","S+"))))))))))))))))))))</f>
        <v>S+</v>
      </c>
      <c r="V506" s="939">
        <v>1.0</v>
      </c>
      <c r="W506" s="939">
        <v>1.0</v>
      </c>
      <c r="X506" s="939">
        <v>0.0</v>
      </c>
      <c r="Y506" s="939">
        <v>4.0</v>
      </c>
      <c r="Z506" s="939">
        <v>47.0</v>
      </c>
      <c r="AA506" s="939">
        <v>170.0</v>
      </c>
      <c r="AB506" s="939">
        <v>116.0</v>
      </c>
      <c r="AC506" s="939">
        <v>54.0</v>
      </c>
      <c r="AD506" s="939">
        <v>4.0</v>
      </c>
      <c r="AE506" s="939">
        <v>9.0</v>
      </c>
      <c r="AF506" s="939">
        <v>4.0</v>
      </c>
      <c r="AG506" s="939">
        <v>3482.0</v>
      </c>
      <c r="AH506" s="939">
        <v>3949.0</v>
      </c>
      <c r="AI506" s="939">
        <v>30.0</v>
      </c>
      <c r="AJ506" s="939">
        <v>1898.0</v>
      </c>
      <c r="AK506" s="939">
        <v>0.0</v>
      </c>
      <c r="AL506" s="939">
        <v>7.0</v>
      </c>
      <c r="AM506" s="939">
        <v>0.0</v>
      </c>
      <c r="AN506" s="939">
        <v>0.0</v>
      </c>
      <c r="AO506" s="939">
        <v>0.0</v>
      </c>
      <c r="AP506" s="939">
        <v>0.0</v>
      </c>
      <c r="AQ506" s="939">
        <v>0.0</v>
      </c>
      <c r="AR506" s="939">
        <v>23.0</v>
      </c>
      <c r="AS506" s="939">
        <v>2.0</v>
      </c>
      <c r="AT506" s="939">
        <v>0.0</v>
      </c>
      <c r="AU506" s="939">
        <v>0.0</v>
      </c>
      <c r="AV506" s="939">
        <v>0.0</v>
      </c>
      <c r="AW506" s="939">
        <v>0.0</v>
      </c>
      <c r="AX506" s="939">
        <v>0.0</v>
      </c>
      <c r="AY506" s="939">
        <v>0.0</v>
      </c>
      <c r="AZ506" s="939">
        <v>0.0</v>
      </c>
      <c r="BA506" s="939">
        <v>0.0</v>
      </c>
      <c r="BB506" s="939">
        <v>3.0</v>
      </c>
      <c r="BC506" s="939">
        <v>0.0</v>
      </c>
      <c r="BD506" s="939">
        <v>32.0</v>
      </c>
      <c r="BE506" s="939">
        <v>16.0</v>
      </c>
      <c r="BF506" s="939">
        <v>2.0</v>
      </c>
      <c r="BG506" s="940">
        <v>1.0</v>
      </c>
    </row>
    <row r="507">
      <c r="A507" s="935" t="s">
        <v>156</v>
      </c>
      <c r="B507" s="16" t="str">
        <f>IF(C507&lt;'PlayerGrades+'!$Y$44,"F-",IF(C507&lt;'PlayerGrades+'!$Y$43,"F",IF(C507&lt;'PlayerGrades+'!$Y$42,"F+",IF(C507&lt;'PlayerGrades+'!$Y$41,"E-",IF(C507&lt;'PlayerGrades+'!$Y$40,"E",IF(C507&lt;'PlayerGrades+'!$Y$39,"E+",IF(C507&lt;'PlayerGrades+'!$Y$38,"D-",IF(C507&lt;'PlayerGrades+'!$Y$37,"D",IF(C507&lt;'PlayerGrades+'!$Y$36,"D+",IF(C507&lt;'PlayerGrades+'!$Y$35,"C-",IF(C507&lt;'PlayerGrades+'!$Y$34,"C",IF(C507&lt;'PlayerGrades+'!$Y$33,"C+",IF(C507&lt;'PlayerGrades+'!$Y$32,"B-",IF(C507&lt;'PlayerGrades+'!$Y$31,"B",IF(C507&lt;'PlayerGrades+'!$Y$30,"B+",IF(C507&lt;'PlayerGrades+'!$Y$29,"A-",IF(C507&lt;'PlayerGrades+'!$Y$28,"A",IF(C507&lt;'PlayerGrades+'!$Y$27,"A+",IF(C507&lt;'PlayerGrades+'!$Y$26,"S-",IF(C507&lt;'PlayerGrades+'!$Y$25,"S","S+"))))))))))))))))))))</f>
        <v>E-</v>
      </c>
      <c r="C507" s="936">
        <f>('PlayerGrades+'!$Y$47*(VLOOKUP(E507, 'PlayerGrades+'!$X$3:$Y$23, 2, FALSE)))+('PlayerGrades+'!$Y$48*(VLOOKUP(G507, 'PlayerGrades+'!$X$3:$Y$23, 2, FALSE)))+('PlayerGrades+'!$Y$49*(VLOOKUP(I507, 'PlayerGrades+'!$X$3:$Y$23, 2, FALSE)))+('PlayerGrades+'!$Y$50*(VLOOKUP(K507, 'PlayerGrades+'!$X$3:$Y$23, 2, FALSE)))+('PlayerGrades+'!$Y$51*(VLOOKUP(M507, 'PlayerGrades+'!$X$3:$Y$23, 2, FALSE)))+('PlayerGrades+'!$Y$52*(VLOOKUP(O507, 'PlayerGrades+'!$X$3:$Y$23, 2, FALSE)))+('PlayerGrades+'!$Y$53*(VLOOKUP(Q507, 'PlayerGrades+'!$X$3:$Y$23, 2, FALSE)))+('PlayerGrades+'!$Y$54*(VLOOKUP(S507, 'PlayerGrades+'!$X$3:$Y$23, 2, FALSE)))+('PlayerGrades+'!$Y$55*(VLOOKUP(U507, 'PlayerGrades+'!$X$3:$Y$23, 2, FALSE)))</f>
        <v>12.5</v>
      </c>
      <c r="D507" s="937">
        <f t="shared" si="1"/>
        <v>0.04558115979</v>
      </c>
      <c r="E507" s="937" t="str">
        <f>IF(D507&lt;'PlayerGrades+'!$AA$21,"F-",IF(D507&lt;'PlayerGrades+'!$AA$20,"F",IF(D507&lt;'PlayerGrades+'!$AA$19,"F+",IF(D507&lt;'PlayerGrades+'!$AA$18,"E-",IF(D507&lt;'PlayerGrades+'!$AA$17,"E",IF(D507&lt;'PlayerGrades+'!$AA$16,"E+",IF(D507&lt;'PlayerGrades+'!$AA$15,"D-",IF(D507&lt;'PlayerGrades+'!$AA$14,"D",IF(D507&lt;'PlayerGrades+'!$AA$13,"D+",IF(D507&lt;'PlayerGrades+'!$AA$12,"C-",IF(D507&lt;'PlayerGrades+'!$AA$11,"C",IF(D507&lt;'PlayerGrades+'!$AA$10,"C+",IF(D507&lt;'PlayerGrades+'!$AA$9,"B-",IF(D507&lt;'PlayerGrades+'!$AA$8,"B",IF(D507&lt;'PlayerGrades+'!$AA$7,"B+",IF(D507&lt;'PlayerGrades+'!$AA$6,"A-",IF(D507&lt;'PlayerGrades+'!$AA$5,"A",IF(D507&lt;'PlayerGrades+'!$AA$4,"A+",IF(D507&lt;'PlayerGrades+'!$AA$3,"S-",IF(D507&lt;'PlayerGrades+'!$AA$2,"S","S+"))))))))))))))))))))</f>
        <v>C+</v>
      </c>
      <c r="F507" s="937">
        <f t="shared" si="2"/>
        <v>-0.5925550772</v>
      </c>
      <c r="G507" s="937" t="str">
        <f>IF(F507&lt;'PlayerGrades+'!$AB$21,"F-",IF(F507&lt;'PlayerGrades+'!$AB$20,"F",IF(F507&lt;'PlayerGrades+'!$AB$19,"F+",IF(F507&lt;'PlayerGrades+'!$AB$18,"E-",IF(F507&lt;'PlayerGrades+'!$AB$17,"E",IF(F507&lt;'PlayerGrades+'!$AB$16,"E+",IF(F507&lt;'PlayerGrades+'!$AB$15,"D-",IF(F507&lt;'PlayerGrades+'!$AB$14,"D",IF(F507&lt;'PlayerGrades+'!$AB$13,"D+",IF(F507&lt;'PlayerGrades+'!$AB$12,"C-",IF(F507&lt;'PlayerGrades+'!$AB$11,"C",IF(F507&lt;'PlayerGrades+'!$AB$10,"C+",IF(F507&lt;'PlayerGrades+'!$AB$9,"B-",IF(F507&lt;'PlayerGrades+'!$AB$8,"B",IF(F507&lt;'PlayerGrades+'!$AB$7,"B+",IF(F507&lt;'PlayerGrades+'!$AB$6,"A-",IF(F507&lt;'PlayerGrades+'!$AB$5,"A",IF(F507&lt;'PlayerGrades+'!$AB$4,"A+",IF(F507&lt;'PlayerGrades+'!$AB$3,"S-",IF(F507&lt;'PlayerGrades+'!$AB$2,"S","S+"))))))))))))))))))))</f>
        <v>D</v>
      </c>
      <c r="H507" s="937">
        <f t="shared" si="3"/>
        <v>0.1367434794</v>
      </c>
      <c r="I507" s="937" t="str">
        <f>IF(H507&lt;'PlayerGrades+'!$AC$21,"F-",IF(H507&lt;'PlayerGrades+'!$AC$20,"F",IF(H507&lt;'PlayerGrades+'!$AC$19,"F+",IF(H507&lt;'PlayerGrades+'!$AC$18,"E-",IF(H507&lt;'PlayerGrades+'!$AC$17,"E",IF(H507&lt;'PlayerGrades+'!$AC$16,"E+",IF(H507&lt;'PlayerGrades+'!$AC$15,"D-",IF(H507&lt;'PlayerGrades+'!$AC$14,"D",IF(H507&lt;'PlayerGrades+'!$AC$13,"D+",IF(H507&lt;'PlayerGrades+'!$AC$12,"C-",IF(H507&lt;'PlayerGrades+'!$AC$11,"C",IF(H507&lt;'PlayerGrades+'!$AC$10,"C+",IF(H507&lt;'PlayerGrades+'!$AC$9,"B-",IF(H507&lt;'PlayerGrades+'!$AC$8,"B",IF(H507&lt;'PlayerGrades+'!$AC$7,"B+",IF(H507&lt;'PlayerGrades+'!$AC$6,"A-",IF(H507&lt;'PlayerGrades+'!$AC$5,"A",IF(H507&lt;'PlayerGrades+'!$AC$4,"A+",IF(H507&lt;'PlayerGrades+'!$AC$3,"S-",IF(H507&lt;'PlayerGrades+'!$AC$2,"S","S+"))))))))))))))))))))</f>
        <v>B+</v>
      </c>
      <c r="J507" s="937">
        <f t="shared" si="4"/>
        <v>0.01519371993</v>
      </c>
      <c r="K507" s="937" t="str">
        <f>IF(J507&lt;'PlayerGrades+'!$AD$21,"F-",IF(J507&lt;'PlayerGrades+'!$AD$20,"F",IF(J507&lt;'PlayerGrades+'!$AD$19,"F+",IF(J507&lt;'PlayerGrades+'!$AD$18,"E-",IF(J507&lt;'PlayerGrades+'!$AD$17,"E",IF(J507&lt;'PlayerGrades+'!$AD$16,"E+",IF(J507&lt;'PlayerGrades+'!$AD$15,"D-",IF(J507&lt;'PlayerGrades+'!$AD$14,"D",IF(J507&lt;'PlayerGrades+'!$AD$13,"D+",IF(J507&lt;'PlayerGrades+'!$AD$12,"C-",IF(J507&lt;'PlayerGrades+'!$AD$11,"C",IF(J507&lt;'PlayerGrades+'!$AD$10,"C+",IF(J507&lt;'PlayerGrades+'!$AD$9,"B-",IF(J507&lt;'PlayerGrades+'!$AD$8,"B",IF(J507&lt;'PlayerGrades+'!$AD$7,"B+",IF(J507&lt;'PlayerGrades+'!$AD$6,"A-",IF(J507&lt;'PlayerGrades+'!$AD$5,"A",IF(J507&lt;'PlayerGrades+'!$AD$4,"A+",IF(J507&lt;'PlayerGrades+'!$AD$3,"S-",IF(J507&lt;'PlayerGrades+'!$AD$2,"S","S+"))))))))))))))))))))</f>
        <v>E</v>
      </c>
      <c r="L507" s="677">
        <f t="shared" si="5"/>
        <v>0.2734869587</v>
      </c>
      <c r="M507" s="938" t="str">
        <f>IF(L507&lt;'PlayerGrades+'!$AE$21,"F-",IF(L507&lt;'PlayerGrades+'!$AE$20,"F",IF(L507&lt;'PlayerGrades+'!$AE$19,"F+",IF(L507&lt;'PlayerGrades+'!$AE$18,"E-",IF(L507&lt;'PlayerGrades+'!$AE$17,"E",IF(L507&lt;'PlayerGrades+'!$AE$16,"E+",IF(L507&lt;'PlayerGrades+'!$AE$15,"D-",IF(L507&lt;'PlayerGrades+'!$AE$14,"D",IF(L507&lt;'PlayerGrades+'!$AE$13,"D+",IF(L507&lt;'PlayerGrades+'!$AE$12,"C-",IF(L507&lt;'PlayerGrades+'!$AE$11,"C",IF(L507&lt;'PlayerGrades+'!$AE$10,"C+",IF(L507&lt;'PlayerGrades+'!$AE$9,"B-",IF(L507&lt;'PlayerGrades+'!$AE$8,"B",IF(L507&lt;'PlayerGrades+'!$AE$7,"B+",IF(L507&lt;'PlayerGrades+'!$AE$6,"A-",IF(L507&lt;'PlayerGrades+'!$AE$5,"A",IF(L507&lt;'PlayerGrades+'!$AE$4,"A+",IF(L507&lt;'PlayerGrades+'!$AE$3,"S-",IF(L507&lt;'PlayerGrades+'!$AE$2,"S","S+"))))))))))))))))))))</f>
        <v>F+</v>
      </c>
      <c r="N507" s="937">
        <f t="shared" si="6"/>
        <v>0.03038743986</v>
      </c>
      <c r="O507" s="937" t="str">
        <f>IF(N507&lt;'PlayerGrades+'!$AF$21,"F-",IF(N507&lt;'PlayerGrades+'!$AF$20,"F",IF(N507&lt;'PlayerGrades+'!$AF$19,"F+",IF(N507&lt;'PlayerGrades+'!$AF$18,"E-",IF(N507&lt;'PlayerGrades+'!$AF$17,"E",IF(N507&lt;'PlayerGrades+'!$AF$16,"E+",IF(N507&lt;'PlayerGrades+'!$AF$15,"D-",IF(N507&lt;'PlayerGrades+'!$AF$14,"D",IF(N507&lt;'PlayerGrades+'!$AF$13,"D+",IF(N507&lt;'PlayerGrades+'!$AF$12,"C-",IF(N507&lt;'PlayerGrades+'!$AF$11,"C",IF(N507&lt;'PlayerGrades+'!$AF$10,"C+",IF(N507&lt;'PlayerGrades+'!$AF$9,"B-",IF(N507&lt;'PlayerGrades+'!$AF$8,"B",IF(N507&lt;'PlayerGrades+'!$AF$7,"B+",IF(N507&lt;'PlayerGrades+'!$AF$6,"A-",IF(N507&lt;'PlayerGrades+'!$AF$5,"A",IF(N507&lt;'PlayerGrades+'!$AF$4,"A+",IF(N507&lt;'PlayerGrades+'!$AF$3,"S-",IF(N507&lt;'PlayerGrades+'!$AF$2,"S","S+"))))))))))))))))))))</f>
        <v>F</v>
      </c>
      <c r="P507" s="937">
        <f t="shared" si="7"/>
        <v>0.01519371993</v>
      </c>
      <c r="Q507" s="937" t="str">
        <f>IF(P507&lt;'PlayerGrades+'!$AG$21,"F-",IF(P507&lt;'PlayerGrades+'!$AG$20,"F",IF(P507&lt;'PlayerGrades+'!$AG$19,"F+",IF(P507&lt;'PlayerGrades+'!$AG$18,"E-",IF(P507&lt;'PlayerGrades+'!$AG$17,"E",IF(P507&lt;'PlayerGrades+'!$AG$16,"E+",IF(P507&lt;'PlayerGrades+'!$AG$15,"D-",IF(P507&lt;'PlayerGrades+'!$AG$14,"D",IF(P507&lt;'PlayerGrades+'!$AG$13,"D+",IF(P507&lt;'PlayerGrades+'!$AG$12,"C-",IF(P507&lt;'PlayerGrades+'!$AG$11,"C",IF(P507&lt;'PlayerGrades+'!$AG$10,"C+",IF(P507&lt;'PlayerGrades+'!$AG$9,"B-",IF(P507&lt;'PlayerGrades+'!$AG$8,"B",IF(P507&lt;'PlayerGrades+'!$AG$7,"B+",IF(P507&lt;'PlayerGrades+'!$AG$6,"A-",IF(P507&lt;'PlayerGrades+'!$AG$5,"A",IF(P507&lt;'PlayerGrades+'!$AG$4,"A+",IF(P507&lt;'PlayerGrades+'!$AG$3,"S-",IF(P507&lt;'PlayerGrades+'!$AG$2,"S","S+"))))))))))))))))))))</f>
        <v>E+</v>
      </c>
      <c r="R507" s="937">
        <f t="shared" si="8"/>
        <v>0.4406178779</v>
      </c>
      <c r="S507" s="937" t="str">
        <f>IF(R507&lt;'PlayerGrades+'!$AH$21,"F-",IF(R507&lt;'PlayerGrades+'!$AH$20,"F",IF(R507&lt;'PlayerGrades+'!$AH$19,"F+",IF(R507&lt;'PlayerGrades+'!$AH$18,"E-",IF(R507&lt;'PlayerGrades+'!$AH$17,"E",IF(R507&lt;'PlayerGrades+'!$AH$16,"E+",IF(R507&lt;'PlayerGrades+'!$AH$15,"D-",IF(R507&lt;'PlayerGrades+'!$AH$14,"D",IF(R507&lt;'PlayerGrades+'!$AH$13,"D+",IF(R507&lt;'PlayerGrades+'!$AH$12,"C-",IF(R507&lt;'PlayerGrades+'!$AH$11,"C",IF(R507&lt;'PlayerGrades+'!$AH$10,"C+",IF(R507&lt;'PlayerGrades+'!$AH$9,"B-",IF(R507&lt;'PlayerGrades+'!$AH$8,"B",IF(R507&lt;'PlayerGrades+'!$AH$7,"B+",IF(R507&lt;'PlayerGrades+'!$AH$6,"A-",IF(R507&lt;'PlayerGrades+'!$AH$5,"A",IF(R507&lt;'PlayerGrades+'!$AH$4,"A+",IF(R507&lt;'PlayerGrades+'!$AH$3,"S-",IF(R507&lt;'PlayerGrades+'!$AH$2,"S","S+"))))))))))))))))))))</f>
        <v>E-</v>
      </c>
      <c r="T507" s="937">
        <f t="shared" si="9"/>
        <v>0.2734869587</v>
      </c>
      <c r="U507" s="937" t="str">
        <f>IF(T507&lt;'PlayerGrades+'!$AI$21,"F-",IF(T507&lt;'PlayerGrades+'!$AI$20,"F",IF(T507&lt;'PlayerGrades+'!$AI$19,"F+",IF(T507&lt;'PlayerGrades+'!$AI$18,"E-",IF(T507&lt;'PlayerGrades+'!$AI$17,"E",IF(T507&lt;'PlayerGrades+'!$AI$16,"E+",IF(T507&lt;'PlayerGrades+'!$AI$15,"D-",IF(T507&lt;'PlayerGrades+'!$AI$14,"D",IF(T507&lt;'PlayerGrades+'!$AI$13,"D+",IF(T507&lt;'PlayerGrades+'!$AI$12,"C-",IF(T507&lt;'PlayerGrades+'!$AI$11,"C",IF(T507&lt;'PlayerGrades+'!$AI$10,"C+",IF(T507&lt;'PlayerGrades+'!$AI$9,"B-",IF(T507&lt;'PlayerGrades+'!$AI$8,"B",IF(T507&lt;'PlayerGrades+'!$AI$7,"B+",IF(T507&lt;'PlayerGrades+'!$AI$6,"A-",IF(T507&lt;'PlayerGrades+'!$AI$5,"A",IF(T507&lt;'PlayerGrades+'!$AI$4,"A+",IF(T507&lt;'PlayerGrades+'!$AI$3,"S-",IF(T507&lt;'PlayerGrades+'!$AI$2,"S","S+"))))))))))))))))))))</f>
        <v>F-</v>
      </c>
      <c r="V507" s="941">
        <v>1.0</v>
      </c>
      <c r="W507" s="941">
        <v>1.0</v>
      </c>
      <c r="X507" s="941">
        <v>0.0</v>
      </c>
      <c r="Y507" s="941">
        <v>1.0</v>
      </c>
      <c r="Z507" s="941">
        <v>2.0</v>
      </c>
      <c r="AA507" s="941">
        <v>184.0</v>
      </c>
      <c r="AB507" s="941">
        <v>223.0</v>
      </c>
      <c r="AC507" s="941">
        <v>-39.0</v>
      </c>
      <c r="AD507" s="941">
        <v>13.0</v>
      </c>
      <c r="AE507" s="941">
        <v>5.0</v>
      </c>
      <c r="AF507" s="941">
        <v>2.0</v>
      </c>
      <c r="AG507" s="941">
        <v>3160.0</v>
      </c>
      <c r="AH507" s="941">
        <v>3949.0</v>
      </c>
      <c r="AI507" s="941">
        <v>14.0</v>
      </c>
      <c r="AJ507" s="941">
        <v>15.0</v>
      </c>
      <c r="AK507" s="941">
        <v>0.0</v>
      </c>
      <c r="AL507" s="941">
        <v>1.0</v>
      </c>
      <c r="AM507" s="941">
        <v>0.0</v>
      </c>
      <c r="AN507" s="941">
        <v>0.0</v>
      </c>
      <c r="AO507" s="941">
        <v>0.0</v>
      </c>
      <c r="AP507" s="941">
        <v>1.0</v>
      </c>
      <c r="AQ507" s="941">
        <v>0.0</v>
      </c>
      <c r="AR507" s="941">
        <v>18.0</v>
      </c>
      <c r="AS507" s="941">
        <v>2.0</v>
      </c>
      <c r="AT507" s="941">
        <v>1.0</v>
      </c>
      <c r="AU507" s="941">
        <v>0.0</v>
      </c>
      <c r="AV507" s="941">
        <v>0.0</v>
      </c>
      <c r="AW507" s="941">
        <v>0.0</v>
      </c>
      <c r="AX507" s="941">
        <v>0.0</v>
      </c>
      <c r="AY507" s="941">
        <v>0.0</v>
      </c>
      <c r="AZ507" s="941">
        <v>0.0</v>
      </c>
      <c r="BA507" s="941">
        <v>0.0</v>
      </c>
      <c r="BB507" s="941">
        <v>9.0</v>
      </c>
      <c r="BC507" s="941">
        <v>0.0</v>
      </c>
      <c r="BD507" s="941">
        <v>16.0</v>
      </c>
      <c r="BE507" s="941">
        <v>18.0</v>
      </c>
      <c r="BF507" s="941">
        <v>0.0</v>
      </c>
      <c r="BG507" s="942">
        <v>1.0</v>
      </c>
    </row>
    <row r="508">
      <c r="A508" s="935" t="s">
        <v>419</v>
      </c>
      <c r="B508" s="16" t="str">
        <f>IF(C508&lt;'PlayerGrades+'!$Y$44,"F-",IF(C508&lt;'PlayerGrades+'!$Y$43,"F",IF(C508&lt;'PlayerGrades+'!$Y$42,"F+",IF(C508&lt;'PlayerGrades+'!$Y$41,"E-",IF(C508&lt;'PlayerGrades+'!$Y$40,"E",IF(C508&lt;'PlayerGrades+'!$Y$39,"E+",IF(C508&lt;'PlayerGrades+'!$Y$38,"D-",IF(C508&lt;'PlayerGrades+'!$Y$37,"D",IF(C508&lt;'PlayerGrades+'!$Y$36,"D+",IF(C508&lt;'PlayerGrades+'!$Y$35,"C-",IF(C508&lt;'PlayerGrades+'!$Y$34,"C",IF(C508&lt;'PlayerGrades+'!$Y$33,"C+",IF(C508&lt;'PlayerGrades+'!$Y$32,"B-",IF(C508&lt;'PlayerGrades+'!$Y$31,"B",IF(C508&lt;'PlayerGrades+'!$Y$30,"B+",IF(C508&lt;'PlayerGrades+'!$Y$29,"A-",IF(C508&lt;'PlayerGrades+'!$Y$28,"A",IF(C508&lt;'PlayerGrades+'!$Y$27,"A+",IF(C508&lt;'PlayerGrades+'!$Y$26,"S-",IF(C508&lt;'PlayerGrades+'!$Y$25,"S","S+"))))))))))))))))))))</f>
        <v>A</v>
      </c>
      <c r="C508" s="936">
        <f>('PlayerGrades+'!$Y$47*(VLOOKUP(E508, 'PlayerGrades+'!$X$3:$Y$23, 2, FALSE)))+('PlayerGrades+'!$Y$48*(VLOOKUP(G508, 'PlayerGrades+'!$X$3:$Y$23, 2, FALSE)))+('PlayerGrades+'!$Y$49*(VLOOKUP(I508, 'PlayerGrades+'!$X$3:$Y$23, 2, FALSE)))+('PlayerGrades+'!$Y$50*(VLOOKUP(K508, 'PlayerGrades+'!$X$3:$Y$23, 2, FALSE)))+('PlayerGrades+'!$Y$51*(VLOOKUP(M508, 'PlayerGrades+'!$X$3:$Y$23, 2, FALSE)))+('PlayerGrades+'!$Y$52*(VLOOKUP(O508, 'PlayerGrades+'!$X$3:$Y$23, 2, FALSE)))+('PlayerGrades+'!$Y$53*(VLOOKUP(Q508, 'PlayerGrades+'!$X$3:$Y$23, 2, FALSE)))+('PlayerGrades+'!$Y$54*(VLOOKUP(S508, 'PlayerGrades+'!$X$3:$Y$23, 2, FALSE)))+('PlayerGrades+'!$Y$55*(VLOOKUP(U508, 'PlayerGrades+'!$X$3:$Y$23, 2, FALSE)))</f>
        <v>26</v>
      </c>
      <c r="D508" s="937">
        <f t="shared" si="1"/>
        <v>0.01519371993</v>
      </c>
      <c r="E508" s="937" t="str">
        <f>IF(D508&lt;'PlayerGrades+'!$AA$21,"F-",IF(D508&lt;'PlayerGrades+'!$AA$20,"F",IF(D508&lt;'PlayerGrades+'!$AA$19,"F+",IF(D508&lt;'PlayerGrades+'!$AA$18,"E-",IF(D508&lt;'PlayerGrades+'!$AA$17,"E",IF(D508&lt;'PlayerGrades+'!$AA$16,"E+",IF(D508&lt;'PlayerGrades+'!$AA$15,"D-",IF(D508&lt;'PlayerGrades+'!$AA$14,"D",IF(D508&lt;'PlayerGrades+'!$AA$13,"D+",IF(D508&lt;'PlayerGrades+'!$AA$12,"C-",IF(D508&lt;'PlayerGrades+'!$AA$11,"C",IF(D508&lt;'PlayerGrades+'!$AA$10,"C+",IF(D508&lt;'PlayerGrades+'!$AA$9,"B-",IF(D508&lt;'PlayerGrades+'!$AA$8,"B",IF(D508&lt;'PlayerGrades+'!$AA$7,"B+",IF(D508&lt;'PlayerGrades+'!$AA$6,"A-",IF(D508&lt;'PlayerGrades+'!$AA$5,"A",IF(D508&lt;'PlayerGrades+'!$AA$4,"A+",IF(D508&lt;'PlayerGrades+'!$AA$3,"S-",IF(D508&lt;'PlayerGrades+'!$AA$2,"S","S+"))))))))))))))))))))</f>
        <v>F</v>
      </c>
      <c r="F508" s="937">
        <f t="shared" si="2"/>
        <v>-0.1367434794</v>
      </c>
      <c r="G508" s="937" t="str">
        <f>IF(F508&lt;'PlayerGrades+'!$AB$21,"F-",IF(F508&lt;'PlayerGrades+'!$AB$20,"F",IF(F508&lt;'PlayerGrades+'!$AB$19,"F+",IF(F508&lt;'PlayerGrades+'!$AB$18,"E-",IF(F508&lt;'PlayerGrades+'!$AB$17,"E",IF(F508&lt;'PlayerGrades+'!$AB$16,"E+",IF(F508&lt;'PlayerGrades+'!$AB$15,"D-",IF(F508&lt;'PlayerGrades+'!$AB$14,"D",IF(F508&lt;'PlayerGrades+'!$AB$13,"D+",IF(F508&lt;'PlayerGrades+'!$AB$12,"C-",IF(F508&lt;'PlayerGrades+'!$AB$11,"C",IF(F508&lt;'PlayerGrades+'!$AB$10,"C+",IF(F508&lt;'PlayerGrades+'!$AB$9,"B-",IF(F508&lt;'PlayerGrades+'!$AB$8,"B",IF(F508&lt;'PlayerGrades+'!$AB$7,"B+",IF(F508&lt;'PlayerGrades+'!$AB$6,"A-",IF(F508&lt;'PlayerGrades+'!$AB$5,"A",IF(F508&lt;'PlayerGrades+'!$AB$4,"A+",IF(F508&lt;'PlayerGrades+'!$AB$3,"S-",IF(F508&lt;'PlayerGrades+'!$AB$2,"S","S+"))))))))))))))))))))</f>
        <v>C+</v>
      </c>
      <c r="H508" s="937">
        <f t="shared" si="3"/>
        <v>0.3342618384</v>
      </c>
      <c r="I508" s="937" t="str">
        <f>IF(H508&lt;'PlayerGrades+'!$AC$21,"F-",IF(H508&lt;'PlayerGrades+'!$AC$20,"F",IF(H508&lt;'PlayerGrades+'!$AC$19,"F+",IF(H508&lt;'PlayerGrades+'!$AC$18,"E-",IF(H508&lt;'PlayerGrades+'!$AC$17,"E",IF(H508&lt;'PlayerGrades+'!$AC$16,"E+",IF(H508&lt;'PlayerGrades+'!$AC$15,"D-",IF(H508&lt;'PlayerGrades+'!$AC$14,"D",IF(H508&lt;'PlayerGrades+'!$AC$13,"D+",IF(H508&lt;'PlayerGrades+'!$AC$12,"C-",IF(H508&lt;'PlayerGrades+'!$AC$11,"C",IF(H508&lt;'PlayerGrades+'!$AC$10,"C+",IF(H508&lt;'PlayerGrades+'!$AC$9,"B-",IF(H508&lt;'PlayerGrades+'!$AC$8,"B",IF(H508&lt;'PlayerGrades+'!$AC$7,"B+",IF(H508&lt;'PlayerGrades+'!$AC$6,"A-",IF(H508&lt;'PlayerGrades+'!$AC$5,"A",IF(H508&lt;'PlayerGrades+'!$AC$4,"A+",IF(H508&lt;'PlayerGrades+'!$AC$3,"S-",IF(H508&lt;'PlayerGrades+'!$AC$2,"S","S+"))))))))))))))))))))</f>
        <v>S+</v>
      </c>
      <c r="J508" s="937">
        <f t="shared" si="4"/>
        <v>0.03038743986</v>
      </c>
      <c r="K508" s="937" t="str">
        <f>IF(J508&lt;'PlayerGrades+'!$AD$21,"F-",IF(J508&lt;'PlayerGrades+'!$AD$20,"F",IF(J508&lt;'PlayerGrades+'!$AD$19,"F+",IF(J508&lt;'PlayerGrades+'!$AD$18,"E-",IF(J508&lt;'PlayerGrades+'!$AD$17,"E",IF(J508&lt;'PlayerGrades+'!$AD$16,"E+",IF(J508&lt;'PlayerGrades+'!$AD$15,"D-",IF(J508&lt;'PlayerGrades+'!$AD$14,"D",IF(J508&lt;'PlayerGrades+'!$AD$13,"D+",IF(J508&lt;'PlayerGrades+'!$AD$12,"C-",IF(J508&lt;'PlayerGrades+'!$AD$11,"C",IF(J508&lt;'PlayerGrades+'!$AD$10,"C+",IF(J508&lt;'PlayerGrades+'!$AD$9,"B-",IF(J508&lt;'PlayerGrades+'!$AD$8,"B",IF(J508&lt;'PlayerGrades+'!$AD$7,"B+",IF(J508&lt;'PlayerGrades+'!$AD$6,"A-",IF(J508&lt;'PlayerGrades+'!$AD$5,"A",IF(J508&lt;'PlayerGrades+'!$AD$4,"A+",IF(J508&lt;'PlayerGrades+'!$AD$3,"S-",IF(J508&lt;'PlayerGrades+'!$AD$2,"S","S+"))))))))))))))))))))</f>
        <v>C</v>
      </c>
      <c r="L508" s="677">
        <f t="shared" si="5"/>
        <v>0.5317801975</v>
      </c>
      <c r="M508" s="938" t="str">
        <f>IF(L508&lt;'PlayerGrades+'!$AE$21,"F-",IF(L508&lt;'PlayerGrades+'!$AE$20,"F",IF(L508&lt;'PlayerGrades+'!$AE$19,"F+",IF(L508&lt;'PlayerGrades+'!$AE$18,"E-",IF(L508&lt;'PlayerGrades+'!$AE$17,"E",IF(L508&lt;'PlayerGrades+'!$AE$16,"E+",IF(L508&lt;'PlayerGrades+'!$AE$15,"D-",IF(L508&lt;'PlayerGrades+'!$AE$14,"D",IF(L508&lt;'PlayerGrades+'!$AE$13,"D+",IF(L508&lt;'PlayerGrades+'!$AE$12,"C-",IF(L508&lt;'PlayerGrades+'!$AE$11,"C",IF(L508&lt;'PlayerGrades+'!$AE$10,"C+",IF(L508&lt;'PlayerGrades+'!$AE$9,"B-",IF(L508&lt;'PlayerGrades+'!$AE$8,"B",IF(L508&lt;'PlayerGrades+'!$AE$7,"B+",IF(L508&lt;'PlayerGrades+'!$AE$6,"A-",IF(L508&lt;'PlayerGrades+'!$AE$5,"A",IF(L508&lt;'PlayerGrades+'!$AE$4,"A+",IF(L508&lt;'PlayerGrades+'!$AE$3,"S-",IF(L508&lt;'PlayerGrades+'!$AE$2,"S","S+"))))))))))))))))))))</f>
        <v>A-</v>
      </c>
      <c r="N508" s="937">
        <f t="shared" si="6"/>
        <v>0.1215497594</v>
      </c>
      <c r="O508" s="937" t="str">
        <f>IF(N508&lt;'PlayerGrades+'!$AF$21,"F-",IF(N508&lt;'PlayerGrades+'!$AF$20,"F",IF(N508&lt;'PlayerGrades+'!$AF$19,"F+",IF(N508&lt;'PlayerGrades+'!$AF$18,"E-",IF(N508&lt;'PlayerGrades+'!$AF$17,"E",IF(N508&lt;'PlayerGrades+'!$AF$16,"E+",IF(N508&lt;'PlayerGrades+'!$AF$15,"D-",IF(N508&lt;'PlayerGrades+'!$AF$14,"D",IF(N508&lt;'PlayerGrades+'!$AF$13,"D+",IF(N508&lt;'PlayerGrades+'!$AF$12,"C-",IF(N508&lt;'PlayerGrades+'!$AF$11,"C",IF(N508&lt;'PlayerGrades+'!$AF$10,"C+",IF(N508&lt;'PlayerGrades+'!$AF$9,"B-",IF(N508&lt;'PlayerGrades+'!$AF$8,"B",IF(N508&lt;'PlayerGrades+'!$AF$7,"B+",IF(N508&lt;'PlayerGrades+'!$AF$6,"A-",IF(N508&lt;'PlayerGrades+'!$AF$5,"A",IF(N508&lt;'PlayerGrades+'!$AF$4,"A+",IF(N508&lt;'PlayerGrades+'!$AF$3,"S-",IF(N508&lt;'PlayerGrades+'!$AF$2,"S","S+"))))))))))))))))))))</f>
        <v>S-</v>
      </c>
      <c r="P508" s="937">
        <f t="shared" si="7"/>
        <v>0.01519371993</v>
      </c>
      <c r="Q508" s="937" t="str">
        <f>IF(P508&lt;'PlayerGrades+'!$AG$21,"F-",IF(P508&lt;'PlayerGrades+'!$AG$20,"F",IF(P508&lt;'PlayerGrades+'!$AG$19,"F+",IF(P508&lt;'PlayerGrades+'!$AG$18,"E-",IF(P508&lt;'PlayerGrades+'!$AG$17,"E",IF(P508&lt;'PlayerGrades+'!$AG$16,"E+",IF(P508&lt;'PlayerGrades+'!$AG$15,"D-",IF(P508&lt;'PlayerGrades+'!$AG$14,"D",IF(P508&lt;'PlayerGrades+'!$AG$13,"D+",IF(P508&lt;'PlayerGrades+'!$AG$12,"C-",IF(P508&lt;'PlayerGrades+'!$AG$11,"C",IF(P508&lt;'PlayerGrades+'!$AG$10,"C+",IF(P508&lt;'PlayerGrades+'!$AG$9,"B-",IF(P508&lt;'PlayerGrades+'!$AG$8,"B",IF(P508&lt;'PlayerGrades+'!$AG$7,"B+",IF(P508&lt;'PlayerGrades+'!$AG$6,"A-",IF(P508&lt;'PlayerGrades+'!$AG$5,"A",IF(P508&lt;'PlayerGrades+'!$AG$4,"A+",IF(P508&lt;'PlayerGrades+'!$AG$3,"S-",IF(P508&lt;'PlayerGrades+'!$AG$2,"S","S+"))))))))))))))))))))</f>
        <v>E+</v>
      </c>
      <c r="R508" s="937">
        <f t="shared" si="8"/>
        <v>0.5925550772</v>
      </c>
      <c r="S508" s="937" t="str">
        <f>IF(R508&lt;'PlayerGrades+'!$AH$21,"F-",IF(R508&lt;'PlayerGrades+'!$AH$20,"F",IF(R508&lt;'PlayerGrades+'!$AH$19,"F+",IF(R508&lt;'PlayerGrades+'!$AH$18,"E-",IF(R508&lt;'PlayerGrades+'!$AH$17,"E",IF(R508&lt;'PlayerGrades+'!$AH$16,"E+",IF(R508&lt;'PlayerGrades+'!$AH$15,"D-",IF(R508&lt;'PlayerGrades+'!$AH$14,"D",IF(R508&lt;'PlayerGrades+'!$AH$13,"D+",IF(R508&lt;'PlayerGrades+'!$AH$12,"C-",IF(R508&lt;'PlayerGrades+'!$AH$11,"C",IF(R508&lt;'PlayerGrades+'!$AH$10,"C+",IF(R508&lt;'PlayerGrades+'!$AH$9,"B-",IF(R508&lt;'PlayerGrades+'!$AH$8,"B",IF(R508&lt;'PlayerGrades+'!$AH$7,"B+",IF(R508&lt;'PlayerGrades+'!$AH$6,"A-",IF(R508&lt;'PlayerGrades+'!$AH$5,"A",IF(R508&lt;'PlayerGrades+'!$AH$4,"A+",IF(R508&lt;'PlayerGrades+'!$AH$3,"S-",IF(R508&lt;'PlayerGrades+'!$AH$2,"S","S+"))))))))))))))))))))</f>
        <v>A-</v>
      </c>
      <c r="T508" s="937">
        <f t="shared" si="9"/>
        <v>2.546973917</v>
      </c>
      <c r="U508" s="937" t="str">
        <f>IF(T508&lt;'PlayerGrades+'!$AI$21,"F-",IF(T508&lt;'PlayerGrades+'!$AI$20,"F",IF(T508&lt;'PlayerGrades+'!$AI$19,"F+",IF(T508&lt;'PlayerGrades+'!$AI$18,"E-",IF(T508&lt;'PlayerGrades+'!$AI$17,"E",IF(T508&lt;'PlayerGrades+'!$AI$16,"E+",IF(T508&lt;'PlayerGrades+'!$AI$15,"D-",IF(T508&lt;'PlayerGrades+'!$AI$14,"D",IF(T508&lt;'PlayerGrades+'!$AI$13,"D+",IF(T508&lt;'PlayerGrades+'!$AI$12,"C-",IF(T508&lt;'PlayerGrades+'!$AI$11,"C",IF(T508&lt;'PlayerGrades+'!$AI$10,"C+",IF(T508&lt;'PlayerGrades+'!$AI$9,"B-",IF(T508&lt;'PlayerGrades+'!$AI$8,"B",IF(T508&lt;'PlayerGrades+'!$AI$7,"B+",IF(T508&lt;'PlayerGrades+'!$AI$6,"A-",IF(T508&lt;'PlayerGrades+'!$AI$5,"A",IF(T508&lt;'PlayerGrades+'!$AI$4,"A+",IF(T508&lt;'PlayerGrades+'!$AI$3,"S-",IF(T508&lt;'PlayerGrades+'!$AI$2,"S","S+"))))))))))))))))))))</f>
        <v>S+</v>
      </c>
      <c r="V508" s="941">
        <v>1.0</v>
      </c>
      <c r="W508" s="941">
        <v>1.0</v>
      </c>
      <c r="X508" s="941">
        <v>0.0</v>
      </c>
      <c r="Y508" s="941">
        <v>0.0</v>
      </c>
      <c r="Z508" s="941">
        <v>1.0</v>
      </c>
      <c r="AA508" s="941">
        <v>242.0</v>
      </c>
      <c r="AB508" s="941">
        <v>251.0</v>
      </c>
      <c r="AC508" s="941">
        <v>-9.0</v>
      </c>
      <c r="AD508" s="941">
        <v>19.0</v>
      </c>
      <c r="AE508" s="941">
        <v>7.0</v>
      </c>
      <c r="AF508" s="941">
        <v>1.0</v>
      </c>
      <c r="AG508" s="941">
        <v>3077.0</v>
      </c>
      <c r="AH508" s="941">
        <v>3949.0</v>
      </c>
      <c r="AI508" s="941">
        <v>12.0</v>
      </c>
      <c r="AJ508" s="941">
        <v>25.0</v>
      </c>
      <c r="AK508" s="941">
        <v>0.0</v>
      </c>
      <c r="AL508" s="941">
        <v>2.0</v>
      </c>
      <c r="AM508" s="941">
        <v>0.0</v>
      </c>
      <c r="AN508" s="941">
        <v>0.0</v>
      </c>
      <c r="AO508" s="941">
        <v>0.0</v>
      </c>
      <c r="AP508" s="941">
        <v>1.0</v>
      </c>
      <c r="AQ508" s="941">
        <v>0.0</v>
      </c>
      <c r="AR508" s="941">
        <v>35.0</v>
      </c>
      <c r="AS508" s="941">
        <v>8.0</v>
      </c>
      <c r="AT508" s="941">
        <v>2.0</v>
      </c>
      <c r="AU508" s="941">
        <v>0.0</v>
      </c>
      <c r="AV508" s="941">
        <v>0.0</v>
      </c>
      <c r="AW508" s="941">
        <v>0.0</v>
      </c>
      <c r="AX508" s="941">
        <v>0.0</v>
      </c>
      <c r="AY508" s="941">
        <v>0.0</v>
      </c>
      <c r="AZ508" s="941">
        <v>0.0</v>
      </c>
      <c r="BA508" s="941">
        <v>0.0</v>
      </c>
      <c r="BB508" s="941">
        <v>22.0</v>
      </c>
      <c r="BC508" s="941">
        <v>0.0</v>
      </c>
      <c r="BD508" s="941">
        <v>20.0</v>
      </c>
      <c r="BE508" s="941">
        <v>36.0</v>
      </c>
      <c r="BF508" s="941">
        <v>2.0</v>
      </c>
      <c r="BG508" s="942">
        <v>1.0</v>
      </c>
    </row>
    <row r="509">
      <c r="A509" s="935" t="s">
        <v>145</v>
      </c>
      <c r="B509" s="16" t="str">
        <f>IF(C509&lt;'PlayerGrades+'!$Y$44,"F-",IF(C509&lt;'PlayerGrades+'!$Y$43,"F",IF(C509&lt;'PlayerGrades+'!$Y$42,"F+",IF(C509&lt;'PlayerGrades+'!$Y$41,"E-",IF(C509&lt;'PlayerGrades+'!$Y$40,"E",IF(C509&lt;'PlayerGrades+'!$Y$39,"E+",IF(C509&lt;'PlayerGrades+'!$Y$38,"D-",IF(C509&lt;'PlayerGrades+'!$Y$37,"D",IF(C509&lt;'PlayerGrades+'!$Y$36,"D+",IF(C509&lt;'PlayerGrades+'!$Y$35,"C-",IF(C509&lt;'PlayerGrades+'!$Y$34,"C",IF(C509&lt;'PlayerGrades+'!$Y$33,"C+",IF(C509&lt;'PlayerGrades+'!$Y$32,"B-",IF(C509&lt;'PlayerGrades+'!$Y$31,"B",IF(C509&lt;'PlayerGrades+'!$Y$30,"B+",IF(C509&lt;'PlayerGrades+'!$Y$29,"A-",IF(C509&lt;'PlayerGrades+'!$Y$28,"A",IF(C509&lt;'PlayerGrades+'!$Y$27,"A+",IF(C509&lt;'PlayerGrades+'!$Y$26,"S-",IF(C509&lt;'PlayerGrades+'!$Y$25,"S","S+"))))))))))))))))))))</f>
        <v>A+</v>
      </c>
      <c r="C509" s="936">
        <f>('PlayerGrades+'!$Y$47*(VLOOKUP(E509, 'PlayerGrades+'!$X$3:$Y$23, 2, FALSE)))+('PlayerGrades+'!$Y$48*(VLOOKUP(G509, 'PlayerGrades+'!$X$3:$Y$23, 2, FALSE)))+('PlayerGrades+'!$Y$49*(VLOOKUP(I509, 'PlayerGrades+'!$X$3:$Y$23, 2, FALSE)))+('PlayerGrades+'!$Y$50*(VLOOKUP(K509, 'PlayerGrades+'!$X$3:$Y$23, 2, FALSE)))+('PlayerGrades+'!$Y$51*(VLOOKUP(M509, 'PlayerGrades+'!$X$3:$Y$23, 2, FALSE)))+('PlayerGrades+'!$Y$52*(VLOOKUP(O509, 'PlayerGrades+'!$X$3:$Y$23, 2, FALSE)))+('PlayerGrades+'!$Y$53*(VLOOKUP(Q509, 'PlayerGrades+'!$X$3:$Y$23, 2, FALSE)))+('PlayerGrades+'!$Y$54*(VLOOKUP(S509, 'PlayerGrades+'!$X$3:$Y$23, 2, FALSE)))+('PlayerGrades+'!$Y$55*(VLOOKUP(U509, 'PlayerGrades+'!$X$3:$Y$23, 2, FALSE)))</f>
        <v>29.5</v>
      </c>
      <c r="D509" s="937">
        <f t="shared" si="1"/>
        <v>0.03091986601</v>
      </c>
      <c r="E509" s="937" t="str">
        <f>IF(D509&lt;'PlayerGrades+'!$AA$21,"F-",IF(D509&lt;'PlayerGrades+'!$AA$20,"F",IF(D509&lt;'PlayerGrades+'!$AA$19,"F+",IF(D509&lt;'PlayerGrades+'!$AA$18,"E-",IF(D509&lt;'PlayerGrades+'!$AA$17,"E",IF(D509&lt;'PlayerGrades+'!$AA$16,"E+",IF(D509&lt;'PlayerGrades+'!$AA$15,"D-",IF(D509&lt;'PlayerGrades+'!$AA$14,"D",IF(D509&lt;'PlayerGrades+'!$AA$13,"D+",IF(D509&lt;'PlayerGrades+'!$AA$12,"C-",IF(D509&lt;'PlayerGrades+'!$AA$11,"C",IF(D509&lt;'PlayerGrades+'!$AA$10,"C+",IF(D509&lt;'PlayerGrades+'!$AA$9,"B-",IF(D509&lt;'PlayerGrades+'!$AA$8,"B",IF(D509&lt;'PlayerGrades+'!$AA$7,"B+",IF(D509&lt;'PlayerGrades+'!$AA$6,"A-",IF(D509&lt;'PlayerGrades+'!$AA$5,"A",IF(D509&lt;'PlayerGrades+'!$AA$4,"A+",IF(D509&lt;'PlayerGrades+'!$AA$3,"S-",IF(D509&lt;'PlayerGrades+'!$AA$2,"S","S+"))))))))))))))))))))</f>
        <v>D</v>
      </c>
      <c r="F509" s="937">
        <f t="shared" si="2"/>
        <v>0.1545993301</v>
      </c>
      <c r="G509" s="937" t="str">
        <f>IF(F509&lt;'PlayerGrades+'!$AB$21,"F-",IF(F509&lt;'PlayerGrades+'!$AB$20,"F",IF(F509&lt;'PlayerGrades+'!$AB$19,"F+",IF(F509&lt;'PlayerGrades+'!$AB$18,"E-",IF(F509&lt;'PlayerGrades+'!$AB$17,"E",IF(F509&lt;'PlayerGrades+'!$AB$16,"E+",IF(F509&lt;'PlayerGrades+'!$AB$15,"D-",IF(F509&lt;'PlayerGrades+'!$AB$14,"D",IF(F509&lt;'PlayerGrades+'!$AB$13,"D+",IF(F509&lt;'PlayerGrades+'!$AB$12,"C-",IF(F509&lt;'PlayerGrades+'!$AB$11,"C",IF(F509&lt;'PlayerGrades+'!$AB$10,"C+",IF(F509&lt;'PlayerGrades+'!$AB$9,"B-",IF(F509&lt;'PlayerGrades+'!$AB$8,"B",IF(F509&lt;'PlayerGrades+'!$AB$7,"B+",IF(F509&lt;'PlayerGrades+'!$AB$6,"A-",IF(F509&lt;'PlayerGrades+'!$AB$5,"A",IF(F509&lt;'PlayerGrades+'!$AB$4,"A+",IF(F509&lt;'PlayerGrades+'!$AB$3,"S-",IF(F509&lt;'PlayerGrades+'!$AB$2,"S","S+"))))))))))))))))))))</f>
        <v>B+</v>
      </c>
      <c r="H509" s="937">
        <f t="shared" si="3"/>
        <v>0.5101777892</v>
      </c>
      <c r="I509" s="937" t="str">
        <f>IF(H509&lt;'PlayerGrades+'!$AC$21,"F-",IF(H509&lt;'PlayerGrades+'!$AC$20,"F",IF(H509&lt;'PlayerGrades+'!$AC$19,"F+",IF(H509&lt;'PlayerGrades+'!$AC$18,"E-",IF(H509&lt;'PlayerGrades+'!$AC$17,"E",IF(H509&lt;'PlayerGrades+'!$AC$16,"E+",IF(H509&lt;'PlayerGrades+'!$AC$15,"D-",IF(H509&lt;'PlayerGrades+'!$AC$14,"D",IF(H509&lt;'PlayerGrades+'!$AC$13,"D+",IF(H509&lt;'PlayerGrades+'!$AC$12,"C-",IF(H509&lt;'PlayerGrades+'!$AC$11,"C",IF(H509&lt;'PlayerGrades+'!$AC$10,"C+",IF(H509&lt;'PlayerGrades+'!$AC$9,"B-",IF(H509&lt;'PlayerGrades+'!$AC$8,"B",IF(H509&lt;'PlayerGrades+'!$AC$7,"B+",IF(H509&lt;'PlayerGrades+'!$AC$6,"A-",IF(H509&lt;'PlayerGrades+'!$AC$5,"A",IF(H509&lt;'PlayerGrades+'!$AC$4,"A+",IF(H509&lt;'PlayerGrades+'!$AC$3,"S-",IF(H509&lt;'PlayerGrades+'!$AC$2,"S","S+"))))))))))))))))))))</f>
        <v>S+</v>
      </c>
      <c r="J509" s="937">
        <f t="shared" si="4"/>
        <v>0.04637979902</v>
      </c>
      <c r="K509" s="937" t="str">
        <f>IF(J509&lt;'PlayerGrades+'!$AD$21,"F-",IF(J509&lt;'PlayerGrades+'!$AD$20,"F",IF(J509&lt;'PlayerGrades+'!$AD$19,"F+",IF(J509&lt;'PlayerGrades+'!$AD$18,"E-",IF(J509&lt;'PlayerGrades+'!$AD$17,"E",IF(J509&lt;'PlayerGrades+'!$AD$16,"E+",IF(J509&lt;'PlayerGrades+'!$AD$15,"D-",IF(J509&lt;'PlayerGrades+'!$AD$14,"D",IF(J509&lt;'PlayerGrades+'!$AD$13,"D+",IF(J509&lt;'PlayerGrades+'!$AD$12,"C-",IF(J509&lt;'PlayerGrades+'!$AD$11,"C",IF(J509&lt;'PlayerGrades+'!$AD$10,"C+",IF(J509&lt;'PlayerGrades+'!$AD$9,"B-",IF(J509&lt;'PlayerGrades+'!$AD$8,"B",IF(J509&lt;'PlayerGrades+'!$AD$7,"B+",IF(J509&lt;'PlayerGrades+'!$AD$6,"A-",IF(J509&lt;'PlayerGrades+'!$AD$5,"A",IF(J509&lt;'PlayerGrades+'!$AD$4,"A+",IF(J509&lt;'PlayerGrades+'!$AD$3,"S-",IF(J509&lt;'PlayerGrades+'!$AD$2,"S","S+"))))))))))))))))))))</f>
        <v>B-</v>
      </c>
      <c r="L509" s="677">
        <f t="shared" si="5"/>
        <v>0.5720175213</v>
      </c>
      <c r="M509" s="938" t="str">
        <f>IF(L509&lt;'PlayerGrades+'!$AE$21,"F-",IF(L509&lt;'PlayerGrades+'!$AE$20,"F",IF(L509&lt;'PlayerGrades+'!$AE$19,"F+",IF(L509&lt;'PlayerGrades+'!$AE$18,"E-",IF(L509&lt;'PlayerGrades+'!$AE$17,"E",IF(L509&lt;'PlayerGrades+'!$AE$16,"E+",IF(L509&lt;'PlayerGrades+'!$AE$15,"D-",IF(L509&lt;'PlayerGrades+'!$AE$14,"D",IF(L509&lt;'PlayerGrades+'!$AE$13,"D+",IF(L509&lt;'PlayerGrades+'!$AE$12,"C-",IF(L509&lt;'PlayerGrades+'!$AE$11,"C",IF(L509&lt;'PlayerGrades+'!$AE$10,"C+",IF(L509&lt;'PlayerGrades+'!$AE$9,"B-",IF(L509&lt;'PlayerGrades+'!$AE$8,"B",IF(L509&lt;'PlayerGrades+'!$AE$7,"B+",IF(L509&lt;'PlayerGrades+'!$AE$6,"A-",IF(L509&lt;'PlayerGrades+'!$AE$5,"A",IF(L509&lt;'PlayerGrades+'!$AE$4,"A+",IF(L509&lt;'PlayerGrades+'!$AE$3,"S-",IF(L509&lt;'PlayerGrades+'!$AE$2,"S","S+"))))))))))))))))))))</f>
        <v>A</v>
      </c>
      <c r="N509" s="937">
        <f t="shared" si="6"/>
        <v>0.108219531</v>
      </c>
      <c r="O509" s="937" t="str">
        <f>IF(N509&lt;'PlayerGrades+'!$AF$21,"F-",IF(N509&lt;'PlayerGrades+'!$AF$20,"F",IF(N509&lt;'PlayerGrades+'!$AF$19,"F+",IF(N509&lt;'PlayerGrades+'!$AF$18,"E-",IF(N509&lt;'PlayerGrades+'!$AF$17,"E",IF(N509&lt;'PlayerGrades+'!$AF$16,"E+",IF(N509&lt;'PlayerGrades+'!$AF$15,"D-",IF(N509&lt;'PlayerGrades+'!$AF$14,"D",IF(N509&lt;'PlayerGrades+'!$AF$13,"D+",IF(N509&lt;'PlayerGrades+'!$AF$12,"C-",IF(N509&lt;'PlayerGrades+'!$AF$11,"C",IF(N509&lt;'PlayerGrades+'!$AF$10,"C+",IF(N509&lt;'PlayerGrades+'!$AF$9,"B-",IF(N509&lt;'PlayerGrades+'!$AF$8,"B",IF(N509&lt;'PlayerGrades+'!$AF$7,"B+",IF(N509&lt;'PlayerGrades+'!$AF$6,"A-",IF(N509&lt;'PlayerGrades+'!$AF$5,"A",IF(N509&lt;'PlayerGrades+'!$AF$4,"A+",IF(N509&lt;'PlayerGrades+'!$AF$3,"S-",IF(N509&lt;'PlayerGrades+'!$AF$2,"S","S+"))))))))))))))))))))</f>
        <v>S-</v>
      </c>
      <c r="P509" s="937">
        <f t="shared" si="7"/>
        <v>0.04637979902</v>
      </c>
      <c r="Q509" s="937" t="str">
        <f>IF(P509&lt;'PlayerGrades+'!$AG$21,"F-",IF(P509&lt;'PlayerGrades+'!$AG$20,"F",IF(P509&lt;'PlayerGrades+'!$AG$19,"F+",IF(P509&lt;'PlayerGrades+'!$AG$18,"E-",IF(P509&lt;'PlayerGrades+'!$AG$17,"E",IF(P509&lt;'PlayerGrades+'!$AG$16,"E+",IF(P509&lt;'PlayerGrades+'!$AG$15,"D-",IF(P509&lt;'PlayerGrades+'!$AG$14,"D",IF(P509&lt;'PlayerGrades+'!$AG$13,"D+",IF(P509&lt;'PlayerGrades+'!$AG$12,"C-",IF(P509&lt;'PlayerGrades+'!$AG$11,"C",IF(P509&lt;'PlayerGrades+'!$AG$10,"C+",IF(P509&lt;'PlayerGrades+'!$AG$9,"B-",IF(P509&lt;'PlayerGrades+'!$AG$8,"B",IF(P509&lt;'PlayerGrades+'!$AG$7,"B+",IF(P509&lt;'PlayerGrades+'!$AG$6,"A-",IF(P509&lt;'PlayerGrades+'!$AG$5,"A",IF(P509&lt;'PlayerGrades+'!$AG$4,"A+",IF(P509&lt;'PlayerGrades+'!$AG$3,"S-",IF(P509&lt;'PlayerGrades+'!$AG$2,"S","S+"))))))))))))))))))))</f>
        <v>A</v>
      </c>
      <c r="R509" s="937">
        <f t="shared" si="8"/>
        <v>0.7111569183</v>
      </c>
      <c r="S509" s="937" t="str">
        <f>IF(R509&lt;'PlayerGrades+'!$AH$21,"F-",IF(R509&lt;'PlayerGrades+'!$AH$20,"F",IF(R509&lt;'PlayerGrades+'!$AH$19,"F+",IF(R509&lt;'PlayerGrades+'!$AH$18,"E-",IF(R509&lt;'PlayerGrades+'!$AH$17,"E",IF(R509&lt;'PlayerGrades+'!$AH$16,"E+",IF(R509&lt;'PlayerGrades+'!$AH$15,"D-",IF(R509&lt;'PlayerGrades+'!$AH$14,"D",IF(R509&lt;'PlayerGrades+'!$AH$13,"D+",IF(R509&lt;'PlayerGrades+'!$AH$12,"C-",IF(R509&lt;'PlayerGrades+'!$AH$11,"C",IF(R509&lt;'PlayerGrades+'!$AH$10,"C+",IF(R509&lt;'PlayerGrades+'!$AH$9,"B-",IF(R509&lt;'PlayerGrades+'!$AH$8,"B",IF(R509&lt;'PlayerGrades+'!$AH$7,"B+",IF(R509&lt;'PlayerGrades+'!$AH$6,"A-",IF(R509&lt;'PlayerGrades+'!$AH$5,"A",IF(R509&lt;'PlayerGrades+'!$AH$4,"A+",IF(R509&lt;'PlayerGrades+'!$AH$3,"S-",IF(R509&lt;'PlayerGrades+'!$AH$2,"S","S+"))))))))))))))))))))</f>
        <v>S-</v>
      </c>
      <c r="T509" s="937">
        <f t="shared" si="9"/>
        <v>1.417418191</v>
      </c>
      <c r="U509" s="937" t="str">
        <f>IF(T509&lt;'PlayerGrades+'!$AI$21,"F-",IF(T509&lt;'PlayerGrades+'!$AI$20,"F",IF(T509&lt;'PlayerGrades+'!$AI$19,"F+",IF(T509&lt;'PlayerGrades+'!$AI$18,"E-",IF(T509&lt;'PlayerGrades+'!$AI$17,"E",IF(T509&lt;'PlayerGrades+'!$AI$16,"E+",IF(T509&lt;'PlayerGrades+'!$AI$15,"D-",IF(T509&lt;'PlayerGrades+'!$AI$14,"D",IF(T509&lt;'PlayerGrades+'!$AI$13,"D+",IF(T509&lt;'PlayerGrades+'!$AI$12,"C-",IF(T509&lt;'PlayerGrades+'!$AI$11,"C",IF(T509&lt;'PlayerGrades+'!$AI$10,"C+",IF(T509&lt;'PlayerGrades+'!$AI$9,"B-",IF(T509&lt;'PlayerGrades+'!$AI$8,"B",IF(T509&lt;'PlayerGrades+'!$AI$7,"B+",IF(T509&lt;'PlayerGrades+'!$AI$6,"A-",IF(T509&lt;'PlayerGrades+'!$AI$5,"A",IF(T509&lt;'PlayerGrades+'!$AI$4,"A+",IF(T509&lt;'PlayerGrades+'!$AI$3,"S-",IF(T509&lt;'PlayerGrades+'!$AI$2,"S","S+"))))))))))))))))))))</f>
        <v>B</v>
      </c>
      <c r="V509" s="941">
        <v>1.0</v>
      </c>
      <c r="W509" s="941">
        <v>1.0</v>
      </c>
      <c r="X509" s="941">
        <v>0.0</v>
      </c>
      <c r="Y509" s="941">
        <v>0.0</v>
      </c>
      <c r="Z509" s="941">
        <v>2.0</v>
      </c>
      <c r="AA509" s="941">
        <v>238.0</v>
      </c>
      <c r="AB509" s="941">
        <v>228.0</v>
      </c>
      <c r="AC509" s="941">
        <v>10.0</v>
      </c>
      <c r="AD509" s="941">
        <v>22.0</v>
      </c>
      <c r="AE509" s="941">
        <v>8.0</v>
      </c>
      <c r="AF509" s="941">
        <v>0.0</v>
      </c>
      <c r="AG509" s="941">
        <v>3069.0</v>
      </c>
      <c r="AH509" s="941">
        <v>3881.0</v>
      </c>
      <c r="AI509" s="941">
        <v>13.0</v>
      </c>
      <c r="AJ509" s="941">
        <v>44.0</v>
      </c>
      <c r="AK509" s="941">
        <v>0.0</v>
      </c>
      <c r="AL509" s="941">
        <v>3.0</v>
      </c>
      <c r="AM509" s="941">
        <v>0.0</v>
      </c>
      <c r="AN509" s="941">
        <v>0.0</v>
      </c>
      <c r="AO509" s="941">
        <v>0.0</v>
      </c>
      <c r="AP509" s="941">
        <v>3.0</v>
      </c>
      <c r="AQ509" s="941">
        <v>0.0</v>
      </c>
      <c r="AR509" s="941">
        <v>37.0</v>
      </c>
      <c r="AS509" s="941">
        <v>7.0</v>
      </c>
      <c r="AT509" s="941">
        <v>1.0</v>
      </c>
      <c r="AU509" s="941">
        <v>1.0</v>
      </c>
      <c r="AV509" s="941">
        <v>1.0</v>
      </c>
      <c r="AW509" s="941">
        <v>1.0</v>
      </c>
      <c r="AX509" s="941">
        <v>0.0</v>
      </c>
      <c r="AY509" s="941">
        <v>0.0</v>
      </c>
      <c r="AZ509" s="941">
        <v>0.0</v>
      </c>
      <c r="BA509" s="941">
        <v>0.0</v>
      </c>
      <c r="BB509" s="941">
        <v>33.0</v>
      </c>
      <c r="BC509" s="941">
        <v>0.0</v>
      </c>
      <c r="BD509" s="941">
        <v>24.0</v>
      </c>
      <c r="BE509" s="941">
        <v>27.0</v>
      </c>
      <c r="BF509" s="941">
        <v>1.0</v>
      </c>
      <c r="BG509" s="942">
        <v>1.0</v>
      </c>
    </row>
    <row r="510">
      <c r="A510" s="935" t="s">
        <v>132</v>
      </c>
      <c r="B510" s="16" t="str">
        <f>IF(C510&lt;'PlayerGrades+'!$Y$44,"F-",IF(C510&lt;'PlayerGrades+'!$Y$43,"F",IF(C510&lt;'PlayerGrades+'!$Y$42,"F+",IF(C510&lt;'PlayerGrades+'!$Y$41,"E-",IF(C510&lt;'PlayerGrades+'!$Y$40,"E",IF(C510&lt;'PlayerGrades+'!$Y$39,"E+",IF(C510&lt;'PlayerGrades+'!$Y$38,"D-",IF(C510&lt;'PlayerGrades+'!$Y$37,"D",IF(C510&lt;'PlayerGrades+'!$Y$36,"D+",IF(C510&lt;'PlayerGrades+'!$Y$35,"C-",IF(C510&lt;'PlayerGrades+'!$Y$34,"C",IF(C510&lt;'PlayerGrades+'!$Y$33,"C+",IF(C510&lt;'PlayerGrades+'!$Y$32,"B-",IF(C510&lt;'PlayerGrades+'!$Y$31,"B",IF(C510&lt;'PlayerGrades+'!$Y$30,"B+",IF(C510&lt;'PlayerGrades+'!$Y$29,"A-",IF(C510&lt;'PlayerGrades+'!$Y$28,"A",IF(C510&lt;'PlayerGrades+'!$Y$27,"A+",IF(C510&lt;'PlayerGrades+'!$Y$26,"S-",IF(C510&lt;'PlayerGrades+'!$Y$25,"S","S+"))))))))))))))))))))</f>
        <v>C+</v>
      </c>
      <c r="C510" s="936">
        <f>('PlayerGrades+'!$Y$47*(VLOOKUP(E510, 'PlayerGrades+'!$X$3:$Y$23, 2, FALSE)))+('PlayerGrades+'!$Y$48*(VLOOKUP(G510, 'PlayerGrades+'!$X$3:$Y$23, 2, FALSE)))+('PlayerGrades+'!$Y$49*(VLOOKUP(I510, 'PlayerGrades+'!$X$3:$Y$23, 2, FALSE)))+('PlayerGrades+'!$Y$50*(VLOOKUP(K510, 'PlayerGrades+'!$X$3:$Y$23, 2, FALSE)))+('PlayerGrades+'!$Y$51*(VLOOKUP(M510, 'PlayerGrades+'!$X$3:$Y$23, 2, FALSE)))+('PlayerGrades+'!$Y$52*(VLOOKUP(O510, 'PlayerGrades+'!$X$3:$Y$23, 2, FALSE)))+('PlayerGrades+'!$Y$53*(VLOOKUP(Q510, 'PlayerGrades+'!$X$3:$Y$23, 2, FALSE)))+('PlayerGrades+'!$Y$54*(VLOOKUP(S510, 'PlayerGrades+'!$X$3:$Y$23, 2, FALSE)))+('PlayerGrades+'!$Y$55*(VLOOKUP(U510, 'PlayerGrades+'!$X$3:$Y$23, 2, FALSE)))</f>
        <v>20.65</v>
      </c>
      <c r="D510" s="937">
        <f t="shared" si="1"/>
        <v>0.3038743986</v>
      </c>
      <c r="E510" s="937" t="str">
        <f>IF(D510&lt;'PlayerGrades+'!$AA$21,"F-",IF(D510&lt;'PlayerGrades+'!$AA$20,"F",IF(D510&lt;'PlayerGrades+'!$AA$19,"F+",IF(D510&lt;'PlayerGrades+'!$AA$18,"E-",IF(D510&lt;'PlayerGrades+'!$AA$17,"E",IF(D510&lt;'PlayerGrades+'!$AA$16,"E+",IF(D510&lt;'PlayerGrades+'!$AA$15,"D-",IF(D510&lt;'PlayerGrades+'!$AA$14,"D",IF(D510&lt;'PlayerGrades+'!$AA$13,"D+",IF(D510&lt;'PlayerGrades+'!$AA$12,"C-",IF(D510&lt;'PlayerGrades+'!$AA$11,"C",IF(D510&lt;'PlayerGrades+'!$AA$10,"C+",IF(D510&lt;'PlayerGrades+'!$AA$9,"B-",IF(D510&lt;'PlayerGrades+'!$AA$8,"B",IF(D510&lt;'PlayerGrades+'!$AA$7,"B+",IF(D510&lt;'PlayerGrades+'!$AA$6,"A-",IF(D510&lt;'PlayerGrades+'!$AA$5,"A",IF(D510&lt;'PlayerGrades+'!$AA$4,"A+",IF(D510&lt;'PlayerGrades+'!$AA$3,"S-",IF(D510&lt;'PlayerGrades+'!$AA$2,"S","S+"))))))))))))))))))))</f>
        <v>A</v>
      </c>
      <c r="F510" s="937">
        <f t="shared" si="2"/>
        <v>0.06077487972</v>
      </c>
      <c r="G510" s="937" t="str">
        <f>IF(F510&lt;'PlayerGrades+'!$AB$21,"F-",IF(F510&lt;'PlayerGrades+'!$AB$20,"F",IF(F510&lt;'PlayerGrades+'!$AB$19,"F+",IF(F510&lt;'PlayerGrades+'!$AB$18,"E-",IF(F510&lt;'PlayerGrades+'!$AB$17,"E",IF(F510&lt;'PlayerGrades+'!$AB$16,"E+",IF(F510&lt;'PlayerGrades+'!$AB$15,"D-",IF(F510&lt;'PlayerGrades+'!$AB$14,"D",IF(F510&lt;'PlayerGrades+'!$AB$13,"D+",IF(F510&lt;'PlayerGrades+'!$AB$12,"C-",IF(F510&lt;'PlayerGrades+'!$AB$11,"C",IF(F510&lt;'PlayerGrades+'!$AB$10,"C+",IF(F510&lt;'PlayerGrades+'!$AB$9,"B-",IF(F510&lt;'PlayerGrades+'!$AB$8,"B",IF(F510&lt;'PlayerGrades+'!$AB$7,"B+",IF(F510&lt;'PlayerGrades+'!$AB$6,"A-",IF(F510&lt;'PlayerGrades+'!$AB$5,"A",IF(F510&lt;'PlayerGrades+'!$AB$4,"A+",IF(F510&lt;'PlayerGrades+'!$AB$3,"S-",IF(F510&lt;'PlayerGrades+'!$AB$2,"S","S+"))))))))))))))))))))</f>
        <v>B</v>
      </c>
      <c r="H510" s="937">
        <f t="shared" si="3"/>
        <v>0.1063560395</v>
      </c>
      <c r="I510" s="937" t="str">
        <f>IF(H510&lt;'PlayerGrades+'!$AC$21,"F-",IF(H510&lt;'PlayerGrades+'!$AC$20,"F",IF(H510&lt;'PlayerGrades+'!$AC$19,"F+",IF(H510&lt;'PlayerGrades+'!$AC$18,"E-",IF(H510&lt;'PlayerGrades+'!$AC$17,"E",IF(H510&lt;'PlayerGrades+'!$AC$16,"E+",IF(H510&lt;'PlayerGrades+'!$AC$15,"D-",IF(H510&lt;'PlayerGrades+'!$AC$14,"D",IF(H510&lt;'PlayerGrades+'!$AC$13,"D+",IF(H510&lt;'PlayerGrades+'!$AC$12,"C-",IF(H510&lt;'PlayerGrades+'!$AC$11,"C",IF(H510&lt;'PlayerGrades+'!$AC$10,"C+",IF(H510&lt;'PlayerGrades+'!$AC$9,"B-",IF(H510&lt;'PlayerGrades+'!$AC$8,"B",IF(H510&lt;'PlayerGrades+'!$AC$7,"B+",IF(H510&lt;'PlayerGrades+'!$AC$6,"A-",IF(H510&lt;'PlayerGrades+'!$AC$5,"A",IF(H510&lt;'PlayerGrades+'!$AC$4,"A+",IF(H510&lt;'PlayerGrades+'!$AC$3,"S-",IF(H510&lt;'PlayerGrades+'!$AC$2,"S","S+"))))))))))))))))))))</f>
        <v>C-</v>
      </c>
      <c r="J510" s="937">
        <f t="shared" si="4"/>
        <v>0.04558115979</v>
      </c>
      <c r="K510" s="937" t="str">
        <f>IF(J510&lt;'PlayerGrades+'!$AD$21,"F-",IF(J510&lt;'PlayerGrades+'!$AD$20,"F",IF(J510&lt;'PlayerGrades+'!$AD$19,"F+",IF(J510&lt;'PlayerGrades+'!$AD$18,"E-",IF(J510&lt;'PlayerGrades+'!$AD$17,"E",IF(J510&lt;'PlayerGrades+'!$AD$16,"E+",IF(J510&lt;'PlayerGrades+'!$AD$15,"D-",IF(J510&lt;'PlayerGrades+'!$AD$14,"D",IF(J510&lt;'PlayerGrades+'!$AD$13,"D+",IF(J510&lt;'PlayerGrades+'!$AD$12,"C-",IF(J510&lt;'PlayerGrades+'!$AD$11,"C",IF(J510&lt;'PlayerGrades+'!$AD$10,"C+",IF(J510&lt;'PlayerGrades+'!$AD$9,"B-",IF(J510&lt;'PlayerGrades+'!$AD$8,"B",IF(J510&lt;'PlayerGrades+'!$AD$7,"B+",IF(J510&lt;'PlayerGrades+'!$AD$6,"A-",IF(J510&lt;'PlayerGrades+'!$AD$5,"A",IF(J510&lt;'PlayerGrades+'!$AD$4,"A+",IF(J510&lt;'PlayerGrades+'!$AD$3,"S-",IF(J510&lt;'PlayerGrades+'!$AD$2,"S","S+"))))))))))))))))))))</f>
        <v>B-</v>
      </c>
      <c r="L510" s="677">
        <f t="shared" si="5"/>
        <v>0.3798429982</v>
      </c>
      <c r="M510" s="938" t="str">
        <f>IF(L510&lt;'PlayerGrades+'!$AE$21,"F-",IF(L510&lt;'PlayerGrades+'!$AE$20,"F",IF(L510&lt;'PlayerGrades+'!$AE$19,"F+",IF(L510&lt;'PlayerGrades+'!$AE$18,"E-",IF(L510&lt;'PlayerGrades+'!$AE$17,"E",IF(L510&lt;'PlayerGrades+'!$AE$16,"E+",IF(L510&lt;'PlayerGrades+'!$AE$15,"D-",IF(L510&lt;'PlayerGrades+'!$AE$14,"D",IF(L510&lt;'PlayerGrades+'!$AE$13,"D+",IF(L510&lt;'PlayerGrades+'!$AE$12,"C-",IF(L510&lt;'PlayerGrades+'!$AE$11,"C",IF(L510&lt;'PlayerGrades+'!$AE$10,"C+",IF(L510&lt;'PlayerGrades+'!$AE$9,"B-",IF(L510&lt;'PlayerGrades+'!$AE$8,"B",IF(L510&lt;'PlayerGrades+'!$AE$7,"B+",IF(L510&lt;'PlayerGrades+'!$AE$6,"A-",IF(L510&lt;'PlayerGrades+'!$AE$5,"A",IF(L510&lt;'PlayerGrades+'!$AE$4,"A+",IF(L510&lt;'PlayerGrades+'!$AE$3,"S-",IF(L510&lt;'PlayerGrades+'!$AE$2,"S","S+"))))))))))))))))))))</f>
        <v>C</v>
      </c>
      <c r="N510" s="937">
        <f t="shared" si="6"/>
        <v>0.06077487972</v>
      </c>
      <c r="O510" s="937" t="str">
        <f>IF(N510&lt;'PlayerGrades+'!$AF$21,"F-",IF(N510&lt;'PlayerGrades+'!$AF$20,"F",IF(N510&lt;'PlayerGrades+'!$AF$19,"F+",IF(N510&lt;'PlayerGrades+'!$AF$18,"E-",IF(N510&lt;'PlayerGrades+'!$AF$17,"E",IF(N510&lt;'PlayerGrades+'!$AF$16,"E+",IF(N510&lt;'PlayerGrades+'!$AF$15,"D-",IF(N510&lt;'PlayerGrades+'!$AF$14,"D",IF(N510&lt;'PlayerGrades+'!$AF$13,"D+",IF(N510&lt;'PlayerGrades+'!$AF$12,"C-",IF(N510&lt;'PlayerGrades+'!$AF$11,"C",IF(N510&lt;'PlayerGrades+'!$AF$10,"C+",IF(N510&lt;'PlayerGrades+'!$AF$9,"B-",IF(N510&lt;'PlayerGrades+'!$AF$8,"B",IF(N510&lt;'PlayerGrades+'!$AF$7,"B+",IF(N510&lt;'PlayerGrades+'!$AF$6,"A-",IF(N510&lt;'PlayerGrades+'!$AF$5,"A",IF(N510&lt;'PlayerGrades+'!$AF$4,"A+",IF(N510&lt;'PlayerGrades+'!$AF$3,"S-",IF(N510&lt;'PlayerGrades+'!$AF$2,"S","S+"))))))))))))))))))))</f>
        <v>D+</v>
      </c>
      <c r="P510" s="937">
        <f t="shared" si="7"/>
        <v>0.03038743986</v>
      </c>
      <c r="Q510" s="937" t="str">
        <f>IF(P510&lt;'PlayerGrades+'!$AG$21,"F-",IF(P510&lt;'PlayerGrades+'!$AG$20,"F",IF(P510&lt;'PlayerGrades+'!$AG$19,"F+",IF(P510&lt;'PlayerGrades+'!$AG$18,"E-",IF(P510&lt;'PlayerGrades+'!$AG$17,"E",IF(P510&lt;'PlayerGrades+'!$AG$16,"E+",IF(P510&lt;'PlayerGrades+'!$AG$15,"D-",IF(P510&lt;'PlayerGrades+'!$AG$14,"D",IF(P510&lt;'PlayerGrades+'!$AG$13,"D+",IF(P510&lt;'PlayerGrades+'!$AG$12,"C-",IF(P510&lt;'PlayerGrades+'!$AG$11,"C",IF(P510&lt;'PlayerGrades+'!$AG$10,"C+",IF(P510&lt;'PlayerGrades+'!$AG$9,"B-",IF(P510&lt;'PlayerGrades+'!$AG$8,"B",IF(P510&lt;'PlayerGrades+'!$AG$7,"B+",IF(P510&lt;'PlayerGrades+'!$AG$6,"A-",IF(P510&lt;'PlayerGrades+'!$AG$5,"A",IF(P510&lt;'PlayerGrades+'!$AG$4,"A+",IF(P510&lt;'PlayerGrades+'!$AG$3,"S-",IF(P510&lt;'PlayerGrades+'!$AG$2,"S","S+"))))))))))))))))))))</f>
        <v>B</v>
      </c>
      <c r="R510" s="937">
        <f t="shared" si="8"/>
        <v>0.4102304381</v>
      </c>
      <c r="S510" s="937" t="str">
        <f>IF(R510&lt;'PlayerGrades+'!$AH$21,"F-",IF(R510&lt;'PlayerGrades+'!$AH$20,"F",IF(R510&lt;'PlayerGrades+'!$AH$19,"F+",IF(R510&lt;'PlayerGrades+'!$AH$18,"E-",IF(R510&lt;'PlayerGrades+'!$AH$17,"E",IF(R510&lt;'PlayerGrades+'!$AH$16,"E+",IF(R510&lt;'PlayerGrades+'!$AH$15,"D-",IF(R510&lt;'PlayerGrades+'!$AH$14,"D",IF(R510&lt;'PlayerGrades+'!$AH$13,"D+",IF(R510&lt;'PlayerGrades+'!$AH$12,"C-",IF(R510&lt;'PlayerGrades+'!$AH$11,"C",IF(R510&lt;'PlayerGrades+'!$AH$10,"C+",IF(R510&lt;'PlayerGrades+'!$AH$9,"B-",IF(R510&lt;'PlayerGrades+'!$AH$8,"B",IF(R510&lt;'PlayerGrades+'!$AH$7,"B+",IF(R510&lt;'PlayerGrades+'!$AH$6,"A-",IF(R510&lt;'PlayerGrades+'!$AH$5,"A",IF(R510&lt;'PlayerGrades+'!$AH$4,"A+",IF(R510&lt;'PlayerGrades+'!$AH$3,"S-",IF(R510&lt;'PlayerGrades+'!$AH$2,"S","S+"))))))))))))))))))))</f>
        <v>F+</v>
      </c>
      <c r="T510" s="937">
        <f t="shared" si="9"/>
        <v>1.501392758</v>
      </c>
      <c r="U510" s="937" t="str">
        <f>IF(T510&lt;'PlayerGrades+'!$AI$21,"F-",IF(T510&lt;'PlayerGrades+'!$AI$20,"F",IF(T510&lt;'PlayerGrades+'!$AI$19,"F+",IF(T510&lt;'PlayerGrades+'!$AI$18,"E-",IF(T510&lt;'PlayerGrades+'!$AI$17,"E",IF(T510&lt;'PlayerGrades+'!$AI$16,"E+",IF(T510&lt;'PlayerGrades+'!$AI$15,"D-",IF(T510&lt;'PlayerGrades+'!$AI$14,"D",IF(T510&lt;'PlayerGrades+'!$AI$13,"D+",IF(T510&lt;'PlayerGrades+'!$AI$12,"C-",IF(T510&lt;'PlayerGrades+'!$AI$11,"C",IF(T510&lt;'PlayerGrades+'!$AI$10,"C+",IF(T510&lt;'PlayerGrades+'!$AI$9,"B-",IF(T510&lt;'PlayerGrades+'!$AI$8,"B",IF(T510&lt;'PlayerGrades+'!$AI$7,"B+",IF(T510&lt;'PlayerGrades+'!$AI$6,"A-",IF(T510&lt;'PlayerGrades+'!$AI$5,"A",IF(T510&lt;'PlayerGrades+'!$AI$4,"A+",IF(T510&lt;'PlayerGrades+'!$AI$3,"S-",IF(T510&lt;'PlayerGrades+'!$AI$2,"S","S+"))))))))))))))))))))</f>
        <v>A</v>
      </c>
      <c r="V510" s="941">
        <v>1.0</v>
      </c>
      <c r="W510" s="941">
        <v>0.0</v>
      </c>
      <c r="X510" s="941">
        <v>1.0</v>
      </c>
      <c r="Y510" s="941">
        <v>2.0</v>
      </c>
      <c r="Z510" s="941">
        <v>18.0</v>
      </c>
      <c r="AA510" s="941">
        <v>173.0</v>
      </c>
      <c r="AB510" s="941">
        <v>169.0</v>
      </c>
      <c r="AC510" s="941">
        <v>4.0</v>
      </c>
      <c r="AD510" s="941">
        <v>10.0</v>
      </c>
      <c r="AE510" s="941">
        <v>5.0</v>
      </c>
      <c r="AF510" s="941">
        <v>8.0</v>
      </c>
      <c r="AG510" s="941">
        <v>3322.0</v>
      </c>
      <c r="AH510" s="941">
        <v>3949.0</v>
      </c>
      <c r="AI510" s="941">
        <v>19.0</v>
      </c>
      <c r="AJ510" s="941">
        <v>993.0</v>
      </c>
      <c r="AK510" s="941">
        <v>0.0</v>
      </c>
      <c r="AL510" s="941">
        <v>3.0</v>
      </c>
      <c r="AM510" s="941">
        <v>0.0</v>
      </c>
      <c r="AN510" s="941">
        <v>0.0</v>
      </c>
      <c r="AO510" s="941">
        <v>0.0</v>
      </c>
      <c r="AP510" s="941">
        <v>2.0</v>
      </c>
      <c r="AQ510" s="941">
        <v>0.0</v>
      </c>
      <c r="AR510" s="941">
        <v>25.0</v>
      </c>
      <c r="AS510" s="941">
        <v>4.0</v>
      </c>
      <c r="AT510" s="941">
        <v>1.0</v>
      </c>
      <c r="AU510" s="941">
        <v>0.0</v>
      </c>
      <c r="AV510" s="941">
        <v>0.0</v>
      </c>
      <c r="AW510" s="941">
        <v>0.0</v>
      </c>
      <c r="AX510" s="941">
        <v>0.0</v>
      </c>
      <c r="AY510" s="941">
        <v>0.0</v>
      </c>
      <c r="AZ510" s="941">
        <v>0.0</v>
      </c>
      <c r="BA510" s="941">
        <v>0.0</v>
      </c>
      <c r="BB510" s="941">
        <v>7.0</v>
      </c>
      <c r="BC510" s="941">
        <v>0.0</v>
      </c>
      <c r="BD510" s="941">
        <v>17.0</v>
      </c>
      <c r="BE510" s="941">
        <v>33.0</v>
      </c>
      <c r="BF510" s="941">
        <v>1.0</v>
      </c>
      <c r="BG510" s="942">
        <v>0.0</v>
      </c>
    </row>
    <row r="511">
      <c r="A511" s="935" t="s">
        <v>514</v>
      </c>
      <c r="B511" s="16" t="str">
        <f>IF(C511&lt;'PlayerGrades+'!$Y$44,"F-",IF(C511&lt;'PlayerGrades+'!$Y$43,"F",IF(C511&lt;'PlayerGrades+'!$Y$42,"F+",IF(C511&lt;'PlayerGrades+'!$Y$41,"E-",IF(C511&lt;'PlayerGrades+'!$Y$40,"E",IF(C511&lt;'PlayerGrades+'!$Y$39,"E+",IF(C511&lt;'PlayerGrades+'!$Y$38,"D-",IF(C511&lt;'PlayerGrades+'!$Y$37,"D",IF(C511&lt;'PlayerGrades+'!$Y$36,"D+",IF(C511&lt;'PlayerGrades+'!$Y$35,"C-",IF(C511&lt;'PlayerGrades+'!$Y$34,"C",IF(C511&lt;'PlayerGrades+'!$Y$33,"C+",IF(C511&lt;'PlayerGrades+'!$Y$32,"B-",IF(C511&lt;'PlayerGrades+'!$Y$31,"B",IF(C511&lt;'PlayerGrades+'!$Y$30,"B+",IF(C511&lt;'PlayerGrades+'!$Y$29,"A-",IF(C511&lt;'PlayerGrades+'!$Y$28,"A",IF(C511&lt;'PlayerGrades+'!$Y$27,"A+",IF(C511&lt;'PlayerGrades+'!$Y$26,"S-",IF(C511&lt;'PlayerGrades+'!$Y$25,"S","S+"))))))))))))))))))))</f>
        <v>D+</v>
      </c>
      <c r="C511" s="936">
        <f>('PlayerGrades+'!$Y$47*(VLOOKUP(E511, 'PlayerGrades+'!$X$3:$Y$23, 2, FALSE)))+('PlayerGrades+'!$Y$48*(VLOOKUP(G511, 'PlayerGrades+'!$X$3:$Y$23, 2, FALSE)))+('PlayerGrades+'!$Y$49*(VLOOKUP(I511, 'PlayerGrades+'!$X$3:$Y$23, 2, FALSE)))+('PlayerGrades+'!$Y$50*(VLOOKUP(K511, 'PlayerGrades+'!$X$3:$Y$23, 2, FALSE)))+('PlayerGrades+'!$Y$51*(VLOOKUP(M511, 'PlayerGrades+'!$X$3:$Y$23, 2, FALSE)))+('PlayerGrades+'!$Y$52*(VLOOKUP(O511, 'PlayerGrades+'!$X$3:$Y$23, 2, FALSE)))+('PlayerGrades+'!$Y$53*(VLOOKUP(Q511, 'PlayerGrades+'!$X$3:$Y$23, 2, FALSE)))+('PlayerGrades+'!$Y$54*(VLOOKUP(S511, 'PlayerGrades+'!$X$3:$Y$23, 2, FALSE)))+('PlayerGrades+'!$Y$55*(VLOOKUP(U511, 'PlayerGrades+'!$X$3:$Y$23, 2, FALSE)))</f>
        <v>17.4</v>
      </c>
      <c r="D511" s="937">
        <f t="shared" si="1"/>
        <v>0.01519371993</v>
      </c>
      <c r="E511" s="937" t="str">
        <f>IF(D511&lt;'PlayerGrades+'!$AA$21,"F-",IF(D511&lt;'PlayerGrades+'!$AA$20,"F",IF(D511&lt;'PlayerGrades+'!$AA$19,"F+",IF(D511&lt;'PlayerGrades+'!$AA$18,"E-",IF(D511&lt;'PlayerGrades+'!$AA$17,"E",IF(D511&lt;'PlayerGrades+'!$AA$16,"E+",IF(D511&lt;'PlayerGrades+'!$AA$15,"D-",IF(D511&lt;'PlayerGrades+'!$AA$14,"D",IF(D511&lt;'PlayerGrades+'!$AA$13,"D+",IF(D511&lt;'PlayerGrades+'!$AA$12,"C-",IF(D511&lt;'PlayerGrades+'!$AA$11,"C",IF(D511&lt;'PlayerGrades+'!$AA$10,"C+",IF(D511&lt;'PlayerGrades+'!$AA$9,"B-",IF(D511&lt;'PlayerGrades+'!$AA$8,"B",IF(D511&lt;'PlayerGrades+'!$AA$7,"B+",IF(D511&lt;'PlayerGrades+'!$AA$6,"A-",IF(D511&lt;'PlayerGrades+'!$AA$5,"A",IF(D511&lt;'PlayerGrades+'!$AA$4,"A+",IF(D511&lt;'PlayerGrades+'!$AA$3,"S-",IF(D511&lt;'PlayerGrades+'!$AA$2,"S","S+"))))))))))))))))))))</f>
        <v>F</v>
      </c>
      <c r="F511" s="937">
        <f t="shared" si="2"/>
        <v>-1.063560395</v>
      </c>
      <c r="G511" s="937" t="str">
        <f>IF(F511&lt;'PlayerGrades+'!$AB$21,"F-",IF(F511&lt;'PlayerGrades+'!$AB$20,"F",IF(F511&lt;'PlayerGrades+'!$AB$19,"F+",IF(F511&lt;'PlayerGrades+'!$AB$18,"E-",IF(F511&lt;'PlayerGrades+'!$AB$17,"E",IF(F511&lt;'PlayerGrades+'!$AB$16,"E+",IF(F511&lt;'PlayerGrades+'!$AB$15,"D-",IF(F511&lt;'PlayerGrades+'!$AB$14,"D",IF(F511&lt;'PlayerGrades+'!$AB$13,"D+",IF(F511&lt;'PlayerGrades+'!$AB$12,"C-",IF(F511&lt;'PlayerGrades+'!$AB$11,"C",IF(F511&lt;'PlayerGrades+'!$AB$10,"C+",IF(F511&lt;'PlayerGrades+'!$AB$9,"B-",IF(F511&lt;'PlayerGrades+'!$AB$8,"B",IF(F511&lt;'PlayerGrades+'!$AB$7,"B+",IF(F511&lt;'PlayerGrades+'!$AB$6,"A-",IF(F511&lt;'PlayerGrades+'!$AB$5,"A",IF(F511&lt;'PlayerGrades+'!$AB$4,"A+",IF(F511&lt;'PlayerGrades+'!$AB$3,"S-",IF(F511&lt;'PlayerGrades+'!$AB$2,"S","S+"))))))))))))))))))))</f>
        <v>F</v>
      </c>
      <c r="H511" s="937">
        <f t="shared" si="3"/>
        <v>0.06077487972</v>
      </c>
      <c r="I511" s="937" t="str">
        <f>IF(H511&lt;'PlayerGrades+'!$AC$21,"F-",IF(H511&lt;'PlayerGrades+'!$AC$20,"F",IF(H511&lt;'PlayerGrades+'!$AC$19,"F+",IF(H511&lt;'PlayerGrades+'!$AC$18,"E-",IF(H511&lt;'PlayerGrades+'!$AC$17,"E",IF(H511&lt;'PlayerGrades+'!$AC$16,"E+",IF(H511&lt;'PlayerGrades+'!$AC$15,"D-",IF(H511&lt;'PlayerGrades+'!$AC$14,"D",IF(H511&lt;'PlayerGrades+'!$AC$13,"D+",IF(H511&lt;'PlayerGrades+'!$AC$12,"C-",IF(H511&lt;'PlayerGrades+'!$AC$11,"C",IF(H511&lt;'PlayerGrades+'!$AC$10,"C+",IF(H511&lt;'PlayerGrades+'!$AC$9,"B-",IF(H511&lt;'PlayerGrades+'!$AC$8,"B",IF(H511&lt;'PlayerGrades+'!$AC$7,"B+",IF(H511&lt;'PlayerGrades+'!$AC$6,"A-",IF(H511&lt;'PlayerGrades+'!$AC$5,"A",IF(H511&lt;'PlayerGrades+'!$AC$4,"A+",IF(H511&lt;'PlayerGrades+'!$AC$3,"S-",IF(H511&lt;'PlayerGrades+'!$AC$2,"S","S+"))))))))))))))))))))</f>
        <v>E-</v>
      </c>
      <c r="J511" s="937">
        <f t="shared" si="4"/>
        <v>0.03038743986</v>
      </c>
      <c r="K511" s="937" t="str">
        <f>IF(J511&lt;'PlayerGrades+'!$AD$21,"F-",IF(J511&lt;'PlayerGrades+'!$AD$20,"F",IF(J511&lt;'PlayerGrades+'!$AD$19,"F+",IF(J511&lt;'PlayerGrades+'!$AD$18,"E-",IF(J511&lt;'PlayerGrades+'!$AD$17,"E",IF(J511&lt;'PlayerGrades+'!$AD$16,"E+",IF(J511&lt;'PlayerGrades+'!$AD$15,"D-",IF(J511&lt;'PlayerGrades+'!$AD$14,"D",IF(J511&lt;'PlayerGrades+'!$AD$13,"D+",IF(J511&lt;'PlayerGrades+'!$AD$12,"C-",IF(J511&lt;'PlayerGrades+'!$AD$11,"C",IF(J511&lt;'PlayerGrades+'!$AD$10,"C+",IF(J511&lt;'PlayerGrades+'!$AD$9,"B-",IF(J511&lt;'PlayerGrades+'!$AD$8,"B",IF(J511&lt;'PlayerGrades+'!$AD$7,"B+",IF(J511&lt;'PlayerGrades+'!$AD$6,"A-",IF(J511&lt;'PlayerGrades+'!$AD$5,"A",IF(J511&lt;'PlayerGrades+'!$AD$4,"A+",IF(J511&lt;'PlayerGrades+'!$AD$3,"S-",IF(J511&lt;'PlayerGrades+'!$AD$2,"S","S+"))))))))))))))))))))</f>
        <v>C</v>
      </c>
      <c r="L511" s="677">
        <f t="shared" si="5"/>
        <v>0.4710053178</v>
      </c>
      <c r="M511" s="938" t="str">
        <f>IF(L511&lt;'PlayerGrades+'!$AE$21,"F-",IF(L511&lt;'PlayerGrades+'!$AE$20,"F",IF(L511&lt;'PlayerGrades+'!$AE$19,"F+",IF(L511&lt;'PlayerGrades+'!$AE$18,"E-",IF(L511&lt;'PlayerGrades+'!$AE$17,"E",IF(L511&lt;'PlayerGrades+'!$AE$16,"E+",IF(L511&lt;'PlayerGrades+'!$AE$15,"D-",IF(L511&lt;'PlayerGrades+'!$AE$14,"D",IF(L511&lt;'PlayerGrades+'!$AE$13,"D+",IF(L511&lt;'PlayerGrades+'!$AE$12,"C-",IF(L511&lt;'PlayerGrades+'!$AE$11,"C",IF(L511&lt;'PlayerGrades+'!$AE$10,"C+",IF(L511&lt;'PlayerGrades+'!$AE$9,"B-",IF(L511&lt;'PlayerGrades+'!$AE$8,"B",IF(L511&lt;'PlayerGrades+'!$AE$7,"B+",IF(L511&lt;'PlayerGrades+'!$AE$6,"A-",IF(L511&lt;'PlayerGrades+'!$AE$5,"A",IF(L511&lt;'PlayerGrades+'!$AE$4,"A+",IF(L511&lt;'PlayerGrades+'!$AE$3,"S-",IF(L511&lt;'PlayerGrades+'!$AE$2,"S","S+"))))))))))))))))))))</f>
        <v>B+</v>
      </c>
      <c r="N511" s="937">
        <f t="shared" si="6"/>
        <v>0.1367434794</v>
      </c>
      <c r="O511" s="937" t="str">
        <f>IF(N511&lt;'PlayerGrades+'!$AF$21,"F-",IF(N511&lt;'PlayerGrades+'!$AF$20,"F",IF(N511&lt;'PlayerGrades+'!$AF$19,"F+",IF(N511&lt;'PlayerGrades+'!$AF$18,"E-",IF(N511&lt;'PlayerGrades+'!$AF$17,"E",IF(N511&lt;'PlayerGrades+'!$AF$16,"E+",IF(N511&lt;'PlayerGrades+'!$AF$15,"D-",IF(N511&lt;'PlayerGrades+'!$AF$14,"D",IF(N511&lt;'PlayerGrades+'!$AF$13,"D+",IF(N511&lt;'PlayerGrades+'!$AF$12,"C-",IF(N511&lt;'PlayerGrades+'!$AF$11,"C",IF(N511&lt;'PlayerGrades+'!$AF$10,"C+",IF(N511&lt;'PlayerGrades+'!$AF$9,"B-",IF(N511&lt;'PlayerGrades+'!$AF$8,"B",IF(N511&lt;'PlayerGrades+'!$AF$7,"B+",IF(N511&lt;'PlayerGrades+'!$AF$6,"A-",IF(N511&lt;'PlayerGrades+'!$AF$5,"A",IF(N511&lt;'PlayerGrades+'!$AF$4,"A+",IF(N511&lt;'PlayerGrades+'!$AF$3,"S-",IF(N511&lt;'PlayerGrades+'!$AF$2,"S","S+"))))))))))))))))))))</f>
        <v>S</v>
      </c>
      <c r="P511" s="937">
        <f t="shared" si="7"/>
        <v>0.03038743986</v>
      </c>
      <c r="Q511" s="937" t="str">
        <f>IF(P511&lt;'PlayerGrades+'!$AG$21,"F-",IF(P511&lt;'PlayerGrades+'!$AG$20,"F",IF(P511&lt;'PlayerGrades+'!$AG$19,"F+",IF(P511&lt;'PlayerGrades+'!$AG$18,"E-",IF(P511&lt;'PlayerGrades+'!$AG$17,"E",IF(P511&lt;'PlayerGrades+'!$AG$16,"E+",IF(P511&lt;'PlayerGrades+'!$AG$15,"D-",IF(P511&lt;'PlayerGrades+'!$AG$14,"D",IF(P511&lt;'PlayerGrades+'!$AG$13,"D+",IF(P511&lt;'PlayerGrades+'!$AG$12,"C-",IF(P511&lt;'PlayerGrades+'!$AG$11,"C",IF(P511&lt;'PlayerGrades+'!$AG$10,"C+",IF(P511&lt;'PlayerGrades+'!$AG$9,"B-",IF(P511&lt;'PlayerGrades+'!$AG$8,"B",IF(P511&lt;'PlayerGrades+'!$AG$7,"B+",IF(P511&lt;'PlayerGrades+'!$AG$6,"A-",IF(P511&lt;'PlayerGrades+'!$AG$5,"A",IF(P511&lt;'PlayerGrades+'!$AG$4,"A+",IF(P511&lt;'PlayerGrades+'!$AG$3,"S-",IF(P511&lt;'PlayerGrades+'!$AG$2,"S","S+"))))))))))))))))))))</f>
        <v>B</v>
      </c>
      <c r="R511" s="937">
        <f t="shared" si="8"/>
        <v>0.4406178779</v>
      </c>
      <c r="S511" s="937" t="str">
        <f>IF(R511&lt;'PlayerGrades+'!$AH$21,"F-",IF(R511&lt;'PlayerGrades+'!$AH$20,"F",IF(R511&lt;'PlayerGrades+'!$AH$19,"F+",IF(R511&lt;'PlayerGrades+'!$AH$18,"E-",IF(R511&lt;'PlayerGrades+'!$AH$17,"E",IF(R511&lt;'PlayerGrades+'!$AH$16,"E+",IF(R511&lt;'PlayerGrades+'!$AH$15,"D-",IF(R511&lt;'PlayerGrades+'!$AH$14,"D",IF(R511&lt;'PlayerGrades+'!$AH$13,"D+",IF(R511&lt;'PlayerGrades+'!$AH$12,"C-",IF(R511&lt;'PlayerGrades+'!$AH$11,"C",IF(R511&lt;'PlayerGrades+'!$AH$10,"C+",IF(R511&lt;'PlayerGrades+'!$AH$9,"B-",IF(R511&lt;'PlayerGrades+'!$AH$8,"B",IF(R511&lt;'PlayerGrades+'!$AH$7,"B+",IF(R511&lt;'PlayerGrades+'!$AH$6,"A-",IF(R511&lt;'PlayerGrades+'!$AH$5,"A",IF(R511&lt;'PlayerGrades+'!$AH$4,"A+",IF(R511&lt;'PlayerGrades+'!$AH$3,"S-",IF(R511&lt;'PlayerGrades+'!$AH$2,"S","S+"))))))))))))))))))))</f>
        <v>E-</v>
      </c>
      <c r="T511" s="937">
        <f t="shared" si="9"/>
        <v>1.440617878</v>
      </c>
      <c r="U511" s="937" t="str">
        <f>IF(T511&lt;'PlayerGrades+'!$AI$21,"F-",IF(T511&lt;'PlayerGrades+'!$AI$20,"F",IF(T511&lt;'PlayerGrades+'!$AI$19,"F+",IF(T511&lt;'PlayerGrades+'!$AI$18,"E-",IF(T511&lt;'PlayerGrades+'!$AI$17,"E",IF(T511&lt;'PlayerGrades+'!$AI$16,"E+",IF(T511&lt;'PlayerGrades+'!$AI$15,"D-",IF(T511&lt;'PlayerGrades+'!$AI$14,"D",IF(T511&lt;'PlayerGrades+'!$AI$13,"D+",IF(T511&lt;'PlayerGrades+'!$AI$12,"C-",IF(T511&lt;'PlayerGrades+'!$AI$11,"C",IF(T511&lt;'PlayerGrades+'!$AI$10,"C+",IF(T511&lt;'PlayerGrades+'!$AI$9,"B-",IF(T511&lt;'PlayerGrades+'!$AI$8,"B",IF(T511&lt;'PlayerGrades+'!$AI$7,"B+",IF(T511&lt;'PlayerGrades+'!$AI$6,"A-",IF(T511&lt;'PlayerGrades+'!$AI$5,"A",IF(T511&lt;'PlayerGrades+'!$AI$4,"A+",IF(T511&lt;'PlayerGrades+'!$AI$3,"S-",IF(T511&lt;'PlayerGrades+'!$AI$2,"S","S+"))))))))))))))))))))</f>
        <v>B+</v>
      </c>
      <c r="V511" s="941">
        <v>1.0</v>
      </c>
      <c r="W511" s="941">
        <v>0.0</v>
      </c>
      <c r="X511" s="941">
        <v>1.0</v>
      </c>
      <c r="Y511" s="941">
        <v>1.0</v>
      </c>
      <c r="Z511" s="941">
        <v>0.0</v>
      </c>
      <c r="AA511" s="941">
        <v>215.0</v>
      </c>
      <c r="AB511" s="941">
        <v>285.0</v>
      </c>
      <c r="AC511" s="941">
        <v>-70.0</v>
      </c>
      <c r="AD511" s="941">
        <v>15.0</v>
      </c>
      <c r="AE511" s="941">
        <v>6.0</v>
      </c>
      <c r="AF511" s="941">
        <v>7.0</v>
      </c>
      <c r="AG511" s="941">
        <v>2973.0</v>
      </c>
      <c r="AH511" s="941">
        <v>3949.0</v>
      </c>
      <c r="AI511" s="941">
        <v>10.0</v>
      </c>
      <c r="AJ511" s="941">
        <v>29.0</v>
      </c>
      <c r="AK511" s="941">
        <v>0.0</v>
      </c>
      <c r="AL511" s="941">
        <v>2.0</v>
      </c>
      <c r="AM511" s="941">
        <v>0.0</v>
      </c>
      <c r="AN511" s="941">
        <v>0.0</v>
      </c>
      <c r="AO511" s="941">
        <v>0.0</v>
      </c>
      <c r="AP511" s="941">
        <v>2.0</v>
      </c>
      <c r="AQ511" s="941">
        <v>0.0</v>
      </c>
      <c r="AR511" s="941">
        <v>31.0</v>
      </c>
      <c r="AS511" s="941">
        <v>9.0</v>
      </c>
      <c r="AT511" s="941">
        <v>1.0</v>
      </c>
      <c r="AU511" s="941">
        <v>0.0</v>
      </c>
      <c r="AV511" s="941">
        <v>0.0</v>
      </c>
      <c r="AW511" s="941">
        <v>0.0</v>
      </c>
      <c r="AX511" s="941">
        <v>0.0</v>
      </c>
      <c r="AY511" s="941">
        <v>0.0</v>
      </c>
      <c r="AZ511" s="941">
        <v>0.0</v>
      </c>
      <c r="BA511" s="941">
        <v>0.0</v>
      </c>
      <c r="BB511" s="941">
        <v>4.0</v>
      </c>
      <c r="BC511" s="941">
        <v>0.0</v>
      </c>
      <c r="BD511" s="941">
        <v>14.0</v>
      </c>
      <c r="BE511" s="941">
        <v>29.0</v>
      </c>
      <c r="BF511" s="941">
        <v>1.0</v>
      </c>
      <c r="BG511" s="942">
        <v>0.0</v>
      </c>
    </row>
    <row r="512">
      <c r="A512" s="935" t="s">
        <v>159</v>
      </c>
      <c r="B512" s="16" t="str">
        <f>IF(C512&lt;'PlayerGrades+'!$Y$44,"F-",IF(C512&lt;'PlayerGrades+'!$Y$43,"F",IF(C512&lt;'PlayerGrades+'!$Y$42,"F+",IF(C512&lt;'PlayerGrades+'!$Y$41,"E-",IF(C512&lt;'PlayerGrades+'!$Y$40,"E",IF(C512&lt;'PlayerGrades+'!$Y$39,"E+",IF(C512&lt;'PlayerGrades+'!$Y$38,"D-",IF(C512&lt;'PlayerGrades+'!$Y$37,"D",IF(C512&lt;'PlayerGrades+'!$Y$36,"D+",IF(C512&lt;'PlayerGrades+'!$Y$35,"C-",IF(C512&lt;'PlayerGrades+'!$Y$34,"C",IF(C512&lt;'PlayerGrades+'!$Y$33,"C+",IF(C512&lt;'PlayerGrades+'!$Y$32,"B-",IF(C512&lt;'PlayerGrades+'!$Y$31,"B",IF(C512&lt;'PlayerGrades+'!$Y$30,"B+",IF(C512&lt;'PlayerGrades+'!$Y$29,"A-",IF(C512&lt;'PlayerGrades+'!$Y$28,"A",IF(C512&lt;'PlayerGrades+'!$Y$27,"A+",IF(C512&lt;'PlayerGrades+'!$Y$26,"S-",IF(C512&lt;'PlayerGrades+'!$Y$25,"S","S+"))))))))))))))))))))</f>
        <v>F-</v>
      </c>
      <c r="C512" s="936">
        <f>('PlayerGrades+'!$Y$47*(VLOOKUP(E512, 'PlayerGrades+'!$X$3:$Y$23, 2, FALSE)))+('PlayerGrades+'!$Y$48*(VLOOKUP(G512, 'PlayerGrades+'!$X$3:$Y$23, 2, FALSE)))+('PlayerGrades+'!$Y$49*(VLOOKUP(I512, 'PlayerGrades+'!$X$3:$Y$23, 2, FALSE)))+('PlayerGrades+'!$Y$50*(VLOOKUP(K512, 'PlayerGrades+'!$X$3:$Y$23, 2, FALSE)))+('PlayerGrades+'!$Y$51*(VLOOKUP(M512, 'PlayerGrades+'!$X$3:$Y$23, 2, FALSE)))+('PlayerGrades+'!$Y$52*(VLOOKUP(O512, 'PlayerGrades+'!$X$3:$Y$23, 2, FALSE)))+('PlayerGrades+'!$Y$53*(VLOOKUP(Q512, 'PlayerGrades+'!$X$3:$Y$23, 2, FALSE)))+('PlayerGrades+'!$Y$54*(VLOOKUP(S512, 'PlayerGrades+'!$X$3:$Y$23, 2, FALSE)))+('PlayerGrades+'!$Y$55*(VLOOKUP(U512, 'PlayerGrades+'!$X$3:$Y$23, 2, FALSE)))</f>
        <v>5.6</v>
      </c>
      <c r="D512" s="937">
        <f t="shared" si="1"/>
        <v>0.03038743986</v>
      </c>
      <c r="E512" s="937" t="str">
        <f>IF(D512&lt;'PlayerGrades+'!$AA$21,"F-",IF(D512&lt;'PlayerGrades+'!$AA$20,"F",IF(D512&lt;'PlayerGrades+'!$AA$19,"F+",IF(D512&lt;'PlayerGrades+'!$AA$18,"E-",IF(D512&lt;'PlayerGrades+'!$AA$17,"E",IF(D512&lt;'PlayerGrades+'!$AA$16,"E+",IF(D512&lt;'PlayerGrades+'!$AA$15,"D-",IF(D512&lt;'PlayerGrades+'!$AA$14,"D",IF(D512&lt;'PlayerGrades+'!$AA$13,"D+",IF(D512&lt;'PlayerGrades+'!$AA$12,"C-",IF(D512&lt;'PlayerGrades+'!$AA$11,"C",IF(D512&lt;'PlayerGrades+'!$AA$10,"C+",IF(D512&lt;'PlayerGrades+'!$AA$9,"B-",IF(D512&lt;'PlayerGrades+'!$AA$8,"B",IF(D512&lt;'PlayerGrades+'!$AA$7,"B+",IF(D512&lt;'PlayerGrades+'!$AA$6,"A-",IF(D512&lt;'PlayerGrades+'!$AA$5,"A",IF(D512&lt;'PlayerGrades+'!$AA$4,"A+",IF(D512&lt;'PlayerGrades+'!$AA$3,"S-",IF(D512&lt;'PlayerGrades+'!$AA$2,"S","S+"))))))))))))))))))))</f>
        <v>D</v>
      </c>
      <c r="F512" s="937">
        <f t="shared" si="2"/>
        <v>-0.9723980755</v>
      </c>
      <c r="G512" s="937" t="str">
        <f>IF(F512&lt;'PlayerGrades+'!$AB$21,"F-",IF(F512&lt;'PlayerGrades+'!$AB$20,"F",IF(F512&lt;'PlayerGrades+'!$AB$19,"F+",IF(F512&lt;'PlayerGrades+'!$AB$18,"E-",IF(F512&lt;'PlayerGrades+'!$AB$17,"E",IF(F512&lt;'PlayerGrades+'!$AB$16,"E+",IF(F512&lt;'PlayerGrades+'!$AB$15,"D-",IF(F512&lt;'PlayerGrades+'!$AB$14,"D",IF(F512&lt;'PlayerGrades+'!$AB$13,"D+",IF(F512&lt;'PlayerGrades+'!$AB$12,"C-",IF(F512&lt;'PlayerGrades+'!$AB$11,"C",IF(F512&lt;'PlayerGrades+'!$AB$10,"C+",IF(F512&lt;'PlayerGrades+'!$AB$9,"B-",IF(F512&lt;'PlayerGrades+'!$AB$8,"B",IF(F512&lt;'PlayerGrades+'!$AB$7,"B+",IF(F512&lt;'PlayerGrades+'!$AB$6,"A-",IF(F512&lt;'PlayerGrades+'!$AB$5,"A",IF(F512&lt;'PlayerGrades+'!$AB$4,"A+",IF(F512&lt;'PlayerGrades+'!$AB$3,"S-",IF(F512&lt;'PlayerGrades+'!$AB$2,"S","S+"))))))))))))))))))))</f>
        <v>F+</v>
      </c>
      <c r="H512" s="937">
        <f t="shared" si="3"/>
        <v>0.03038743986</v>
      </c>
      <c r="I512" s="937" t="str">
        <f>IF(H512&lt;'PlayerGrades+'!$AC$21,"F-",IF(H512&lt;'PlayerGrades+'!$AC$20,"F",IF(H512&lt;'PlayerGrades+'!$AC$19,"F+",IF(H512&lt;'PlayerGrades+'!$AC$18,"E-",IF(H512&lt;'PlayerGrades+'!$AC$17,"E",IF(H512&lt;'PlayerGrades+'!$AC$16,"E+",IF(H512&lt;'PlayerGrades+'!$AC$15,"D-",IF(H512&lt;'PlayerGrades+'!$AC$14,"D",IF(H512&lt;'PlayerGrades+'!$AC$13,"D+",IF(H512&lt;'PlayerGrades+'!$AC$12,"C-",IF(H512&lt;'PlayerGrades+'!$AC$11,"C",IF(H512&lt;'PlayerGrades+'!$AC$10,"C+",IF(H512&lt;'PlayerGrades+'!$AC$9,"B-",IF(H512&lt;'PlayerGrades+'!$AC$8,"B",IF(H512&lt;'PlayerGrades+'!$AC$7,"B+",IF(H512&lt;'PlayerGrades+'!$AC$6,"A-",IF(H512&lt;'PlayerGrades+'!$AC$5,"A",IF(H512&lt;'PlayerGrades+'!$AC$4,"A+",IF(H512&lt;'PlayerGrades+'!$AC$3,"S-",IF(H512&lt;'PlayerGrades+'!$AC$2,"S","S+"))))))))))))))))))))</f>
        <v>F-</v>
      </c>
      <c r="J512" s="937">
        <f t="shared" si="4"/>
        <v>0</v>
      </c>
      <c r="K512" s="937" t="str">
        <f>IF(J512&lt;'PlayerGrades+'!$AD$21,"F-",IF(J512&lt;'PlayerGrades+'!$AD$20,"F",IF(J512&lt;'PlayerGrades+'!$AD$19,"F+",IF(J512&lt;'PlayerGrades+'!$AD$18,"E-",IF(J512&lt;'PlayerGrades+'!$AD$17,"E",IF(J512&lt;'PlayerGrades+'!$AD$16,"E+",IF(J512&lt;'PlayerGrades+'!$AD$15,"D-",IF(J512&lt;'PlayerGrades+'!$AD$14,"D",IF(J512&lt;'PlayerGrades+'!$AD$13,"D+",IF(J512&lt;'PlayerGrades+'!$AD$12,"C-",IF(J512&lt;'PlayerGrades+'!$AD$11,"C",IF(J512&lt;'PlayerGrades+'!$AD$10,"C+",IF(J512&lt;'PlayerGrades+'!$AD$9,"B-",IF(J512&lt;'PlayerGrades+'!$AD$8,"B",IF(J512&lt;'PlayerGrades+'!$AD$7,"B+",IF(J512&lt;'PlayerGrades+'!$AD$6,"A-",IF(J512&lt;'PlayerGrades+'!$AD$5,"A",IF(J512&lt;'PlayerGrades+'!$AD$4,"A+",IF(J512&lt;'PlayerGrades+'!$AD$3,"S-",IF(J512&lt;'PlayerGrades+'!$AD$2,"S","S+"))))))))))))))))))))</f>
        <v>F-</v>
      </c>
      <c r="L512" s="677">
        <f t="shared" si="5"/>
        <v>0.2279057989</v>
      </c>
      <c r="M512" s="938" t="str">
        <f>IF(L512&lt;'PlayerGrades+'!$AE$21,"F-",IF(L512&lt;'PlayerGrades+'!$AE$20,"F",IF(L512&lt;'PlayerGrades+'!$AE$19,"F+",IF(L512&lt;'PlayerGrades+'!$AE$18,"E-",IF(L512&lt;'PlayerGrades+'!$AE$17,"E",IF(L512&lt;'PlayerGrades+'!$AE$16,"E+",IF(L512&lt;'PlayerGrades+'!$AE$15,"D-",IF(L512&lt;'PlayerGrades+'!$AE$14,"D",IF(L512&lt;'PlayerGrades+'!$AE$13,"D+",IF(L512&lt;'PlayerGrades+'!$AE$12,"C-",IF(L512&lt;'PlayerGrades+'!$AE$11,"C",IF(L512&lt;'PlayerGrades+'!$AE$10,"C+",IF(L512&lt;'PlayerGrades+'!$AE$9,"B-",IF(L512&lt;'PlayerGrades+'!$AE$8,"B",IF(L512&lt;'PlayerGrades+'!$AE$7,"B+",IF(L512&lt;'PlayerGrades+'!$AE$6,"A-",IF(L512&lt;'PlayerGrades+'!$AE$5,"A",IF(L512&lt;'PlayerGrades+'!$AE$4,"A+",IF(L512&lt;'PlayerGrades+'!$AE$3,"S-",IF(L512&lt;'PlayerGrades+'!$AE$2,"S","S+"))))))))))))))))))))</f>
        <v>F</v>
      </c>
      <c r="N512" s="937">
        <f t="shared" si="6"/>
        <v>0</v>
      </c>
      <c r="O512" s="937" t="str">
        <f>IF(N512&lt;'PlayerGrades+'!$AF$21,"F-",IF(N512&lt;'PlayerGrades+'!$AF$20,"F",IF(N512&lt;'PlayerGrades+'!$AF$19,"F+",IF(N512&lt;'PlayerGrades+'!$AF$18,"E-",IF(N512&lt;'PlayerGrades+'!$AF$17,"E",IF(N512&lt;'PlayerGrades+'!$AF$16,"E+",IF(N512&lt;'PlayerGrades+'!$AF$15,"D-",IF(N512&lt;'PlayerGrades+'!$AF$14,"D",IF(N512&lt;'PlayerGrades+'!$AF$13,"D+",IF(N512&lt;'PlayerGrades+'!$AF$12,"C-",IF(N512&lt;'PlayerGrades+'!$AF$11,"C",IF(N512&lt;'PlayerGrades+'!$AF$10,"C+",IF(N512&lt;'PlayerGrades+'!$AF$9,"B-",IF(N512&lt;'PlayerGrades+'!$AF$8,"B",IF(N512&lt;'PlayerGrades+'!$AF$7,"B+",IF(N512&lt;'PlayerGrades+'!$AF$6,"A-",IF(N512&lt;'PlayerGrades+'!$AF$5,"A",IF(N512&lt;'PlayerGrades+'!$AF$4,"A+",IF(N512&lt;'PlayerGrades+'!$AF$3,"S-",IF(N512&lt;'PlayerGrades+'!$AF$2,"S","S+"))))))))))))))))))))</f>
        <v>F-</v>
      </c>
      <c r="P512" s="937">
        <f t="shared" si="7"/>
        <v>0</v>
      </c>
      <c r="Q512" s="937" t="str">
        <f>IF(P512&lt;'PlayerGrades+'!$AG$21,"F-",IF(P512&lt;'PlayerGrades+'!$AG$20,"F",IF(P512&lt;'PlayerGrades+'!$AG$19,"F+",IF(P512&lt;'PlayerGrades+'!$AG$18,"E-",IF(P512&lt;'PlayerGrades+'!$AG$17,"E",IF(P512&lt;'PlayerGrades+'!$AG$16,"E+",IF(P512&lt;'PlayerGrades+'!$AG$15,"D-",IF(P512&lt;'PlayerGrades+'!$AG$14,"D",IF(P512&lt;'PlayerGrades+'!$AG$13,"D+",IF(P512&lt;'PlayerGrades+'!$AG$12,"C-",IF(P512&lt;'PlayerGrades+'!$AG$11,"C",IF(P512&lt;'PlayerGrades+'!$AG$10,"C+",IF(P512&lt;'PlayerGrades+'!$AG$9,"B-",IF(P512&lt;'PlayerGrades+'!$AG$8,"B",IF(P512&lt;'PlayerGrades+'!$AG$7,"B+",IF(P512&lt;'PlayerGrades+'!$AG$6,"A-",IF(P512&lt;'PlayerGrades+'!$AG$5,"A",IF(P512&lt;'PlayerGrades+'!$AG$4,"A+",IF(P512&lt;'PlayerGrades+'!$AG$3,"S-",IF(P512&lt;'PlayerGrades+'!$AG$2,"S","S+"))))))))))))))))))))</f>
        <v>F</v>
      </c>
      <c r="R512" s="937">
        <f t="shared" si="8"/>
        <v>0.2582932388</v>
      </c>
      <c r="S512" s="937" t="str">
        <f>IF(R512&lt;'PlayerGrades+'!$AH$21,"F-",IF(R512&lt;'PlayerGrades+'!$AH$20,"F",IF(R512&lt;'PlayerGrades+'!$AH$19,"F+",IF(R512&lt;'PlayerGrades+'!$AH$18,"E-",IF(R512&lt;'PlayerGrades+'!$AH$17,"E",IF(R512&lt;'PlayerGrades+'!$AH$16,"E+",IF(R512&lt;'PlayerGrades+'!$AH$15,"D-",IF(R512&lt;'PlayerGrades+'!$AH$14,"D",IF(R512&lt;'PlayerGrades+'!$AH$13,"D+",IF(R512&lt;'PlayerGrades+'!$AH$12,"C-",IF(R512&lt;'PlayerGrades+'!$AH$11,"C",IF(R512&lt;'PlayerGrades+'!$AH$10,"C+",IF(R512&lt;'PlayerGrades+'!$AH$9,"B-",IF(R512&lt;'PlayerGrades+'!$AH$8,"B",IF(R512&lt;'PlayerGrades+'!$AH$7,"B+",IF(R512&lt;'PlayerGrades+'!$AH$6,"A-",IF(R512&lt;'PlayerGrades+'!$AH$5,"A",IF(R512&lt;'PlayerGrades+'!$AH$4,"A+",IF(R512&lt;'PlayerGrades+'!$AH$3,"S-",IF(R512&lt;'PlayerGrades+'!$AH$2,"S","S+"))))))))))))))))))))</f>
        <v>F-</v>
      </c>
      <c r="T512" s="937">
        <f t="shared" si="9"/>
        <v>0.425424158</v>
      </c>
      <c r="U512" s="937" t="str">
        <f>IF(T512&lt;'PlayerGrades+'!$AI$21,"F-",IF(T512&lt;'PlayerGrades+'!$AI$20,"F",IF(T512&lt;'PlayerGrades+'!$AI$19,"F+",IF(T512&lt;'PlayerGrades+'!$AI$18,"E-",IF(T512&lt;'PlayerGrades+'!$AI$17,"E",IF(T512&lt;'PlayerGrades+'!$AI$16,"E+",IF(T512&lt;'PlayerGrades+'!$AI$15,"D-",IF(T512&lt;'PlayerGrades+'!$AI$14,"D",IF(T512&lt;'PlayerGrades+'!$AI$13,"D+",IF(T512&lt;'PlayerGrades+'!$AI$12,"C-",IF(T512&lt;'PlayerGrades+'!$AI$11,"C",IF(T512&lt;'PlayerGrades+'!$AI$10,"C+",IF(T512&lt;'PlayerGrades+'!$AI$9,"B-",IF(T512&lt;'PlayerGrades+'!$AI$8,"B",IF(T512&lt;'PlayerGrades+'!$AI$7,"B+",IF(T512&lt;'PlayerGrades+'!$AI$6,"A-",IF(T512&lt;'PlayerGrades+'!$AI$5,"A",IF(T512&lt;'PlayerGrades+'!$AI$4,"A+",IF(T512&lt;'PlayerGrades+'!$AI$3,"S-",IF(T512&lt;'PlayerGrades+'!$AI$2,"S","S+"))))))))))))))))))))</f>
        <v>F-</v>
      </c>
      <c r="V512" s="941">
        <v>1.0</v>
      </c>
      <c r="W512" s="941">
        <v>0.0</v>
      </c>
      <c r="X512" s="941">
        <v>1.0</v>
      </c>
      <c r="Y512" s="941">
        <v>1.0</v>
      </c>
      <c r="Z512" s="941">
        <v>1.0</v>
      </c>
      <c r="AA512" s="941">
        <v>185.0</v>
      </c>
      <c r="AB512" s="941">
        <v>249.0</v>
      </c>
      <c r="AC512" s="941">
        <v>-64.0</v>
      </c>
      <c r="AD512" s="941">
        <v>3.0</v>
      </c>
      <c r="AE512" s="941">
        <v>4.0</v>
      </c>
      <c r="AF512" s="941">
        <v>0.0</v>
      </c>
      <c r="AG512" s="941">
        <v>3078.0</v>
      </c>
      <c r="AH512" s="941">
        <v>3949.0</v>
      </c>
      <c r="AI512" s="941">
        <v>12.0</v>
      </c>
      <c r="AJ512" s="941">
        <v>537.0</v>
      </c>
      <c r="AK512" s="941">
        <v>0.0</v>
      </c>
      <c r="AL512" s="941">
        <v>0.0</v>
      </c>
      <c r="AM512" s="941">
        <v>0.0</v>
      </c>
      <c r="AN512" s="941">
        <v>0.0</v>
      </c>
      <c r="AO512" s="941">
        <v>0.0</v>
      </c>
      <c r="AP512" s="941">
        <v>0.0</v>
      </c>
      <c r="AQ512" s="941">
        <v>0.0</v>
      </c>
      <c r="AR512" s="941">
        <v>15.0</v>
      </c>
      <c r="AS512" s="941">
        <v>0.0</v>
      </c>
      <c r="AT512" s="941">
        <v>0.0</v>
      </c>
      <c r="AU512" s="941">
        <v>0.0</v>
      </c>
      <c r="AV512" s="941">
        <v>0.0</v>
      </c>
      <c r="AW512" s="941">
        <v>0.0</v>
      </c>
      <c r="AX512" s="941">
        <v>0.0</v>
      </c>
      <c r="AY512" s="941">
        <v>0.0</v>
      </c>
      <c r="AZ512" s="941">
        <v>0.0</v>
      </c>
      <c r="BA512" s="941">
        <v>0.0</v>
      </c>
      <c r="BB512" s="941">
        <v>2.0</v>
      </c>
      <c r="BC512" s="941">
        <v>0.0</v>
      </c>
      <c r="BD512" s="941">
        <v>14.0</v>
      </c>
      <c r="BE512" s="941">
        <v>28.0</v>
      </c>
      <c r="BF512" s="941">
        <v>0.0</v>
      </c>
      <c r="BG512" s="942">
        <v>0.0</v>
      </c>
    </row>
    <row r="513">
      <c r="A513" s="943" t="s">
        <v>121</v>
      </c>
      <c r="B513" s="16" t="str">
        <f>IF(C513&lt;'PlayerGrades+'!$Y$44,"F-",IF(C513&lt;'PlayerGrades+'!$Y$43,"F",IF(C513&lt;'PlayerGrades+'!$Y$42,"F+",IF(C513&lt;'PlayerGrades+'!$Y$41,"E-",IF(C513&lt;'PlayerGrades+'!$Y$40,"E",IF(C513&lt;'PlayerGrades+'!$Y$39,"E+",IF(C513&lt;'PlayerGrades+'!$Y$38,"D-",IF(C513&lt;'PlayerGrades+'!$Y$37,"D",IF(C513&lt;'PlayerGrades+'!$Y$36,"D+",IF(C513&lt;'PlayerGrades+'!$Y$35,"C-",IF(C513&lt;'PlayerGrades+'!$Y$34,"C",IF(C513&lt;'PlayerGrades+'!$Y$33,"C+",IF(C513&lt;'PlayerGrades+'!$Y$32,"B-",IF(C513&lt;'PlayerGrades+'!$Y$31,"B",IF(C513&lt;'PlayerGrades+'!$Y$30,"B+",IF(C513&lt;'PlayerGrades+'!$Y$29,"A-",IF(C513&lt;'PlayerGrades+'!$Y$28,"A",IF(C513&lt;'PlayerGrades+'!$Y$27,"A+",IF(C513&lt;'PlayerGrades+'!$Y$26,"S-",IF(C513&lt;'PlayerGrades+'!$Y$25,"S","S+"))))))))))))))))))))</f>
        <v>B</v>
      </c>
      <c r="C513" s="936">
        <f>('PlayerGrades+'!$Y$47*(VLOOKUP(E513, 'PlayerGrades+'!$X$3:$Y$23, 2, FALSE)))+('PlayerGrades+'!$Y$48*(VLOOKUP(G513, 'PlayerGrades+'!$X$3:$Y$23, 2, FALSE)))+('PlayerGrades+'!$Y$49*(VLOOKUP(I513, 'PlayerGrades+'!$X$3:$Y$23, 2, FALSE)))+('PlayerGrades+'!$Y$50*(VLOOKUP(K513, 'PlayerGrades+'!$X$3:$Y$23, 2, FALSE)))+('PlayerGrades+'!$Y$51*(VLOOKUP(M513, 'PlayerGrades+'!$X$3:$Y$23, 2, FALSE)))+('PlayerGrades+'!$Y$52*(VLOOKUP(O513, 'PlayerGrades+'!$X$3:$Y$23, 2, FALSE)))+('PlayerGrades+'!$Y$53*(VLOOKUP(Q513, 'PlayerGrades+'!$X$3:$Y$23, 2, FALSE)))+('PlayerGrades+'!$Y$54*(VLOOKUP(S513, 'PlayerGrades+'!$X$3:$Y$23, 2, FALSE)))+('PlayerGrades+'!$Y$55*(VLOOKUP(U513, 'PlayerGrades+'!$X$3:$Y$23, 2, FALSE)))</f>
        <v>22.65</v>
      </c>
      <c r="D513" s="937">
        <f t="shared" si="1"/>
        <v>0.01519371993</v>
      </c>
      <c r="E513" s="937" t="str">
        <f>IF(D513&lt;'PlayerGrades+'!$AA$21,"F-",IF(D513&lt;'PlayerGrades+'!$AA$20,"F",IF(D513&lt;'PlayerGrades+'!$AA$19,"F+",IF(D513&lt;'PlayerGrades+'!$AA$18,"E-",IF(D513&lt;'PlayerGrades+'!$AA$17,"E",IF(D513&lt;'PlayerGrades+'!$AA$16,"E+",IF(D513&lt;'PlayerGrades+'!$AA$15,"D-",IF(D513&lt;'PlayerGrades+'!$AA$14,"D",IF(D513&lt;'PlayerGrades+'!$AA$13,"D+",IF(D513&lt;'PlayerGrades+'!$AA$12,"C-",IF(D513&lt;'PlayerGrades+'!$AA$11,"C",IF(D513&lt;'PlayerGrades+'!$AA$10,"C+",IF(D513&lt;'PlayerGrades+'!$AA$9,"B-",IF(D513&lt;'PlayerGrades+'!$AA$8,"B",IF(D513&lt;'PlayerGrades+'!$AA$7,"B+",IF(D513&lt;'PlayerGrades+'!$AA$6,"A-",IF(D513&lt;'PlayerGrades+'!$AA$5,"A",IF(D513&lt;'PlayerGrades+'!$AA$4,"A+",IF(D513&lt;'PlayerGrades+'!$AA$3,"S-",IF(D513&lt;'PlayerGrades+'!$AA$2,"S","S+"))))))))))))))))))))</f>
        <v>F</v>
      </c>
      <c r="F513" s="937">
        <f t="shared" si="2"/>
        <v>1.002785515</v>
      </c>
      <c r="G513" s="937" t="str">
        <f>IF(F513&lt;'PlayerGrades+'!$AB$21,"F-",IF(F513&lt;'PlayerGrades+'!$AB$20,"F",IF(F513&lt;'PlayerGrades+'!$AB$19,"F+",IF(F513&lt;'PlayerGrades+'!$AB$18,"E-",IF(F513&lt;'PlayerGrades+'!$AB$17,"E",IF(F513&lt;'PlayerGrades+'!$AB$16,"E+",IF(F513&lt;'PlayerGrades+'!$AB$15,"D-",IF(F513&lt;'PlayerGrades+'!$AB$14,"D",IF(F513&lt;'PlayerGrades+'!$AB$13,"D+",IF(F513&lt;'PlayerGrades+'!$AB$12,"C-",IF(F513&lt;'PlayerGrades+'!$AB$11,"C",IF(F513&lt;'PlayerGrades+'!$AB$10,"C+",IF(F513&lt;'PlayerGrades+'!$AB$9,"B-",IF(F513&lt;'PlayerGrades+'!$AB$8,"B",IF(F513&lt;'PlayerGrades+'!$AB$7,"B+",IF(F513&lt;'PlayerGrades+'!$AB$6,"A-",IF(F513&lt;'PlayerGrades+'!$AB$5,"A",IF(F513&lt;'PlayerGrades+'!$AB$4,"A+",IF(F513&lt;'PlayerGrades+'!$AB$3,"S-",IF(F513&lt;'PlayerGrades+'!$AB$2,"S","S+"))))))))))))))))))))</f>
        <v>S+</v>
      </c>
      <c r="H513" s="937">
        <f t="shared" si="3"/>
        <v>0.2279057989</v>
      </c>
      <c r="I513" s="937" t="str">
        <f>IF(H513&lt;'PlayerGrades+'!$AC$21,"F-",IF(H513&lt;'PlayerGrades+'!$AC$20,"F",IF(H513&lt;'PlayerGrades+'!$AC$19,"F+",IF(H513&lt;'PlayerGrades+'!$AC$18,"E-",IF(H513&lt;'PlayerGrades+'!$AC$17,"E",IF(H513&lt;'PlayerGrades+'!$AC$16,"E+",IF(H513&lt;'PlayerGrades+'!$AC$15,"D-",IF(H513&lt;'PlayerGrades+'!$AC$14,"D",IF(H513&lt;'PlayerGrades+'!$AC$13,"D+",IF(H513&lt;'PlayerGrades+'!$AC$12,"C-",IF(H513&lt;'PlayerGrades+'!$AC$11,"C",IF(H513&lt;'PlayerGrades+'!$AC$10,"C+",IF(H513&lt;'PlayerGrades+'!$AC$9,"B-",IF(H513&lt;'PlayerGrades+'!$AC$8,"B",IF(H513&lt;'PlayerGrades+'!$AC$7,"B+",IF(H513&lt;'PlayerGrades+'!$AC$6,"A-",IF(H513&lt;'PlayerGrades+'!$AC$5,"A",IF(H513&lt;'PlayerGrades+'!$AC$4,"A+",IF(H513&lt;'PlayerGrades+'!$AC$3,"S-",IF(H513&lt;'PlayerGrades+'!$AC$2,"S","S+"))))))))))))))))))))</f>
        <v>S</v>
      </c>
      <c r="J513" s="937">
        <f t="shared" si="4"/>
        <v>0.1215497594</v>
      </c>
      <c r="K513" s="937" t="str">
        <f>IF(J513&lt;'PlayerGrades+'!$AD$21,"F-",IF(J513&lt;'PlayerGrades+'!$AD$20,"F",IF(J513&lt;'PlayerGrades+'!$AD$19,"F+",IF(J513&lt;'PlayerGrades+'!$AD$18,"E-",IF(J513&lt;'PlayerGrades+'!$AD$17,"E",IF(J513&lt;'PlayerGrades+'!$AD$16,"E+",IF(J513&lt;'PlayerGrades+'!$AD$15,"D-",IF(J513&lt;'PlayerGrades+'!$AD$14,"D",IF(J513&lt;'PlayerGrades+'!$AD$13,"D+",IF(J513&lt;'PlayerGrades+'!$AD$12,"C-",IF(J513&lt;'PlayerGrades+'!$AD$11,"C",IF(J513&lt;'PlayerGrades+'!$AD$10,"C+",IF(J513&lt;'PlayerGrades+'!$AD$9,"B-",IF(J513&lt;'PlayerGrades+'!$AD$8,"B",IF(J513&lt;'PlayerGrades+'!$AD$7,"B+",IF(J513&lt;'PlayerGrades+'!$AD$6,"A-",IF(J513&lt;'PlayerGrades+'!$AD$5,"A",IF(J513&lt;'PlayerGrades+'!$AD$4,"A+",IF(J513&lt;'PlayerGrades+'!$AD$3,"S-",IF(J513&lt;'PlayerGrades+'!$AD$2,"S","S+"))))))))))))))))))))</f>
        <v>S+</v>
      </c>
      <c r="L513" s="677">
        <f t="shared" si="5"/>
        <v>0.3798429982</v>
      </c>
      <c r="M513" s="938" t="str">
        <f>IF(L513&lt;'PlayerGrades+'!$AE$21,"F-",IF(L513&lt;'PlayerGrades+'!$AE$20,"F",IF(L513&lt;'PlayerGrades+'!$AE$19,"F+",IF(L513&lt;'PlayerGrades+'!$AE$18,"E-",IF(L513&lt;'PlayerGrades+'!$AE$17,"E",IF(L513&lt;'PlayerGrades+'!$AE$16,"E+",IF(L513&lt;'PlayerGrades+'!$AE$15,"D-",IF(L513&lt;'PlayerGrades+'!$AE$14,"D",IF(L513&lt;'PlayerGrades+'!$AE$13,"D+",IF(L513&lt;'PlayerGrades+'!$AE$12,"C-",IF(L513&lt;'PlayerGrades+'!$AE$11,"C",IF(L513&lt;'PlayerGrades+'!$AE$10,"C+",IF(L513&lt;'PlayerGrades+'!$AE$9,"B-",IF(L513&lt;'PlayerGrades+'!$AE$8,"B",IF(L513&lt;'PlayerGrades+'!$AE$7,"B+",IF(L513&lt;'PlayerGrades+'!$AE$6,"A-",IF(L513&lt;'PlayerGrades+'!$AE$5,"A",IF(L513&lt;'PlayerGrades+'!$AE$4,"A+",IF(L513&lt;'PlayerGrades+'!$AE$3,"S-",IF(L513&lt;'PlayerGrades+'!$AE$2,"S","S+"))))))))))))))))))))</f>
        <v>C</v>
      </c>
      <c r="N513" s="937">
        <f t="shared" si="6"/>
        <v>0.04558115979</v>
      </c>
      <c r="O513" s="937" t="str">
        <f>IF(N513&lt;'PlayerGrades+'!$AF$21,"F-",IF(N513&lt;'PlayerGrades+'!$AF$20,"F",IF(N513&lt;'PlayerGrades+'!$AF$19,"F+",IF(N513&lt;'PlayerGrades+'!$AF$18,"E-",IF(N513&lt;'PlayerGrades+'!$AF$17,"E",IF(N513&lt;'PlayerGrades+'!$AF$16,"E+",IF(N513&lt;'PlayerGrades+'!$AF$15,"D-",IF(N513&lt;'PlayerGrades+'!$AF$14,"D",IF(N513&lt;'PlayerGrades+'!$AF$13,"D+",IF(N513&lt;'PlayerGrades+'!$AF$12,"C-",IF(N513&lt;'PlayerGrades+'!$AF$11,"C",IF(N513&lt;'PlayerGrades+'!$AF$10,"C+",IF(N513&lt;'PlayerGrades+'!$AF$9,"B-",IF(N513&lt;'PlayerGrades+'!$AF$8,"B",IF(N513&lt;'PlayerGrades+'!$AF$7,"B+",IF(N513&lt;'PlayerGrades+'!$AF$6,"A-",IF(N513&lt;'PlayerGrades+'!$AF$5,"A",IF(N513&lt;'PlayerGrades+'!$AF$4,"A+",IF(N513&lt;'PlayerGrades+'!$AF$3,"S-",IF(N513&lt;'PlayerGrades+'!$AF$2,"S","S+"))))))))))))))))))))</f>
        <v>E+</v>
      </c>
      <c r="P513" s="937">
        <f t="shared" si="7"/>
        <v>0.1063560395</v>
      </c>
      <c r="Q513" s="937" t="str">
        <f>IF(P513&lt;'PlayerGrades+'!$AG$21,"F-",IF(P513&lt;'PlayerGrades+'!$AG$20,"F",IF(P513&lt;'PlayerGrades+'!$AG$19,"F+",IF(P513&lt;'PlayerGrades+'!$AG$18,"E-",IF(P513&lt;'PlayerGrades+'!$AG$17,"E",IF(P513&lt;'PlayerGrades+'!$AG$16,"E+",IF(P513&lt;'PlayerGrades+'!$AG$15,"D-",IF(P513&lt;'PlayerGrades+'!$AG$14,"D",IF(P513&lt;'PlayerGrades+'!$AG$13,"D+",IF(P513&lt;'PlayerGrades+'!$AG$12,"C-",IF(P513&lt;'PlayerGrades+'!$AG$11,"C",IF(P513&lt;'PlayerGrades+'!$AG$10,"C+",IF(P513&lt;'PlayerGrades+'!$AG$9,"B-",IF(P513&lt;'PlayerGrades+'!$AG$8,"B",IF(P513&lt;'PlayerGrades+'!$AG$7,"B+",IF(P513&lt;'PlayerGrades+'!$AG$6,"A-",IF(P513&lt;'PlayerGrades+'!$AG$5,"A",IF(P513&lt;'PlayerGrades+'!$AG$4,"A+",IF(P513&lt;'PlayerGrades+'!$AG$3,"S-",IF(P513&lt;'PlayerGrades+'!$AG$2,"S","S+"))))))))))))))))))))</f>
        <v>S+</v>
      </c>
      <c r="R513" s="937">
        <f t="shared" si="8"/>
        <v>0.4558115979</v>
      </c>
      <c r="S513" s="937" t="str">
        <f>IF(R513&lt;'PlayerGrades+'!$AH$21,"F-",IF(R513&lt;'PlayerGrades+'!$AH$20,"F",IF(R513&lt;'PlayerGrades+'!$AH$19,"F+",IF(R513&lt;'PlayerGrades+'!$AH$18,"E-",IF(R513&lt;'PlayerGrades+'!$AH$17,"E",IF(R513&lt;'PlayerGrades+'!$AH$16,"E+",IF(R513&lt;'PlayerGrades+'!$AH$15,"D-",IF(R513&lt;'PlayerGrades+'!$AH$14,"D",IF(R513&lt;'PlayerGrades+'!$AH$13,"D+",IF(R513&lt;'PlayerGrades+'!$AH$12,"C-",IF(R513&lt;'PlayerGrades+'!$AH$11,"C",IF(R513&lt;'PlayerGrades+'!$AH$10,"C+",IF(R513&lt;'PlayerGrades+'!$AH$9,"B-",IF(R513&lt;'PlayerGrades+'!$AH$8,"B",IF(R513&lt;'PlayerGrades+'!$AH$7,"B+",IF(R513&lt;'PlayerGrades+'!$AH$6,"A-",IF(R513&lt;'PlayerGrades+'!$AH$5,"A",IF(R513&lt;'PlayerGrades+'!$AH$4,"A+",IF(R513&lt;'PlayerGrades+'!$AH$3,"S-",IF(R513&lt;'PlayerGrades+'!$AH$2,"S","S+"))))))))))))))))))))</f>
        <v>E-</v>
      </c>
      <c r="T513" s="937">
        <f t="shared" si="9"/>
        <v>2.425424158</v>
      </c>
      <c r="U513" s="937" t="str">
        <f>IF(T513&lt;'PlayerGrades+'!$AI$21,"F-",IF(T513&lt;'PlayerGrades+'!$AI$20,"F",IF(T513&lt;'PlayerGrades+'!$AI$19,"F+",IF(T513&lt;'PlayerGrades+'!$AI$18,"E-",IF(T513&lt;'PlayerGrades+'!$AI$17,"E",IF(T513&lt;'PlayerGrades+'!$AI$16,"E+",IF(T513&lt;'PlayerGrades+'!$AI$15,"D-",IF(T513&lt;'PlayerGrades+'!$AI$14,"D",IF(T513&lt;'PlayerGrades+'!$AI$13,"D+",IF(T513&lt;'PlayerGrades+'!$AI$12,"C-",IF(T513&lt;'PlayerGrades+'!$AI$11,"C",IF(T513&lt;'PlayerGrades+'!$AI$10,"C+",IF(T513&lt;'PlayerGrades+'!$AI$9,"B-",IF(T513&lt;'PlayerGrades+'!$AI$8,"B",IF(T513&lt;'PlayerGrades+'!$AI$7,"B+",IF(T513&lt;'PlayerGrades+'!$AI$6,"A-",IF(T513&lt;'PlayerGrades+'!$AI$5,"A",IF(T513&lt;'PlayerGrades+'!$AI$4,"A+",IF(T513&lt;'PlayerGrades+'!$AI$3,"S-",IF(T513&lt;'PlayerGrades+'!$AI$2,"S","S+"))))))))))))))))))))</f>
        <v>S+</v>
      </c>
      <c r="V513" s="944">
        <v>1.0</v>
      </c>
      <c r="W513" s="944">
        <v>0.0</v>
      </c>
      <c r="X513" s="944">
        <v>1.0</v>
      </c>
      <c r="Y513" s="944">
        <v>0.0</v>
      </c>
      <c r="Z513" s="944">
        <v>1.0</v>
      </c>
      <c r="AA513" s="944">
        <v>226.0</v>
      </c>
      <c r="AB513" s="944">
        <v>160.0</v>
      </c>
      <c r="AC513" s="944">
        <v>66.0</v>
      </c>
      <c r="AD513" s="944">
        <v>11.0</v>
      </c>
      <c r="AE513" s="944">
        <v>9.0</v>
      </c>
      <c r="AF513" s="944">
        <v>4.0</v>
      </c>
      <c r="AG513" s="944">
        <v>3348.0</v>
      </c>
      <c r="AH513" s="944">
        <v>3949.0</v>
      </c>
      <c r="AI513" s="944">
        <v>20.0</v>
      </c>
      <c r="AJ513" s="944">
        <v>59.0</v>
      </c>
      <c r="AK513" s="944">
        <v>0.0</v>
      </c>
      <c r="AL513" s="944">
        <v>8.0</v>
      </c>
      <c r="AM513" s="944">
        <v>0.0</v>
      </c>
      <c r="AN513" s="944">
        <v>0.0</v>
      </c>
      <c r="AO513" s="944">
        <v>0.0</v>
      </c>
      <c r="AP513" s="944">
        <v>7.0</v>
      </c>
      <c r="AQ513" s="944">
        <v>0.0</v>
      </c>
      <c r="AR513" s="944">
        <v>25.0</v>
      </c>
      <c r="AS513" s="944">
        <v>3.0</v>
      </c>
      <c r="AT513" s="944">
        <v>1.0</v>
      </c>
      <c r="AU513" s="944">
        <v>1.0</v>
      </c>
      <c r="AV513" s="944">
        <v>0.0</v>
      </c>
      <c r="AW513" s="944">
        <v>0.0</v>
      </c>
      <c r="AX513" s="944">
        <v>0.0</v>
      </c>
      <c r="AY513" s="944">
        <v>0.0</v>
      </c>
      <c r="AZ513" s="944">
        <v>0.0</v>
      </c>
      <c r="BA513" s="944">
        <v>0.0</v>
      </c>
      <c r="BB513" s="944">
        <v>15.0</v>
      </c>
      <c r="BC513" s="944">
        <v>0.0</v>
      </c>
      <c r="BD513" s="944">
        <v>19.0</v>
      </c>
      <c r="BE513" s="944">
        <v>28.0</v>
      </c>
      <c r="BF513" s="944">
        <v>2.0</v>
      </c>
      <c r="BG513" s="945">
        <v>0.0</v>
      </c>
    </row>
    <row r="514">
      <c r="A514" s="946" t="s">
        <v>114</v>
      </c>
      <c r="B514" s="16" t="str">
        <f>IF(C514&lt;'PlayerGrades+'!$Y$44,"F-",IF(C514&lt;'PlayerGrades+'!$Y$43,"F",IF(C514&lt;'PlayerGrades+'!$Y$42,"F+",IF(C514&lt;'PlayerGrades+'!$Y$41,"E-",IF(C514&lt;'PlayerGrades+'!$Y$40,"E",IF(C514&lt;'PlayerGrades+'!$Y$39,"E+",IF(C514&lt;'PlayerGrades+'!$Y$38,"D-",IF(C514&lt;'PlayerGrades+'!$Y$37,"D",IF(C514&lt;'PlayerGrades+'!$Y$36,"D+",IF(C514&lt;'PlayerGrades+'!$Y$35,"C-",IF(C514&lt;'PlayerGrades+'!$Y$34,"C",IF(C514&lt;'PlayerGrades+'!$Y$33,"C+",IF(C514&lt;'PlayerGrades+'!$Y$32,"B-",IF(C514&lt;'PlayerGrades+'!$Y$31,"B",IF(C514&lt;'PlayerGrades+'!$Y$30,"B+",IF(C514&lt;'PlayerGrades+'!$Y$29,"A-",IF(C514&lt;'PlayerGrades+'!$Y$28,"A",IF(C514&lt;'PlayerGrades+'!$Y$27,"A+",IF(C514&lt;'PlayerGrades+'!$Y$26,"S-",IF(C514&lt;'PlayerGrades+'!$Y$25,"S","S+"))))))))))))))))))))</f>
        <v>D+</v>
      </c>
      <c r="C514" s="936">
        <f>('PlayerGrades+'!$Y$47*(VLOOKUP(E514, 'PlayerGrades+'!$X$3:$Y$23, 2, FALSE)))+('PlayerGrades+'!$Y$48*(VLOOKUP(G514, 'PlayerGrades+'!$X$3:$Y$23, 2, FALSE)))+('PlayerGrades+'!$Y$49*(VLOOKUP(I514, 'PlayerGrades+'!$X$3:$Y$23, 2, FALSE)))+('PlayerGrades+'!$Y$50*(VLOOKUP(K514, 'PlayerGrades+'!$X$3:$Y$23, 2, FALSE)))+('PlayerGrades+'!$Y$51*(VLOOKUP(M514, 'PlayerGrades+'!$X$3:$Y$23, 2, FALSE)))+('PlayerGrades+'!$Y$52*(VLOOKUP(O514, 'PlayerGrades+'!$X$3:$Y$23, 2, FALSE)))+('PlayerGrades+'!$Y$53*(VLOOKUP(Q514, 'PlayerGrades+'!$X$3:$Y$23, 2, FALSE)))+('PlayerGrades+'!$Y$54*(VLOOKUP(S514, 'PlayerGrades+'!$X$3:$Y$23, 2, FALSE)))+('PlayerGrades+'!$Y$55*(VLOOKUP(U514, 'PlayerGrades+'!$X$3:$Y$23, 2, FALSE)))</f>
        <v>18.05</v>
      </c>
      <c r="D514" s="937">
        <f t="shared" si="1"/>
        <v>0.7094133697</v>
      </c>
      <c r="E514" s="937" t="str">
        <f>IF(D514&lt;'PlayerGrades+'!$AA$21,"F-",IF(D514&lt;'PlayerGrades+'!$AA$20,"F",IF(D514&lt;'PlayerGrades+'!$AA$19,"F+",IF(D514&lt;'PlayerGrades+'!$AA$18,"E-",IF(D514&lt;'PlayerGrades+'!$AA$17,"E",IF(D514&lt;'PlayerGrades+'!$AA$16,"E+",IF(D514&lt;'PlayerGrades+'!$AA$15,"D-",IF(D514&lt;'PlayerGrades+'!$AA$14,"D",IF(D514&lt;'PlayerGrades+'!$AA$13,"D+",IF(D514&lt;'PlayerGrades+'!$AA$12,"C-",IF(D514&lt;'PlayerGrades+'!$AA$11,"C",IF(D514&lt;'PlayerGrades+'!$AA$10,"C+",IF(D514&lt;'PlayerGrades+'!$AA$9,"B-",IF(D514&lt;'PlayerGrades+'!$AA$8,"B",IF(D514&lt;'PlayerGrades+'!$AA$7,"B+",IF(D514&lt;'PlayerGrades+'!$AA$6,"A-",IF(D514&lt;'PlayerGrades+'!$AA$5,"A",IF(D514&lt;'PlayerGrades+'!$AA$4,"A+",IF(D514&lt;'PlayerGrades+'!$AA$3,"S-",IF(D514&lt;'PlayerGrades+'!$AA$2,"S","S+"))))))))))))))))))))</f>
        <v>S</v>
      </c>
      <c r="F514" s="937">
        <f t="shared" si="2"/>
        <v>0.6002728513</v>
      </c>
      <c r="G514" s="937" t="str">
        <f>IF(F514&lt;'PlayerGrades+'!$AB$21,"F-",IF(F514&lt;'PlayerGrades+'!$AB$20,"F",IF(F514&lt;'PlayerGrades+'!$AB$19,"F+",IF(F514&lt;'PlayerGrades+'!$AB$18,"E-",IF(F514&lt;'PlayerGrades+'!$AB$17,"E",IF(F514&lt;'PlayerGrades+'!$AB$16,"E+",IF(F514&lt;'PlayerGrades+'!$AB$15,"D-",IF(F514&lt;'PlayerGrades+'!$AB$14,"D",IF(F514&lt;'PlayerGrades+'!$AB$13,"D+",IF(F514&lt;'PlayerGrades+'!$AB$12,"C-",IF(F514&lt;'PlayerGrades+'!$AB$11,"C",IF(F514&lt;'PlayerGrades+'!$AB$10,"C+",IF(F514&lt;'PlayerGrades+'!$AB$9,"B-",IF(F514&lt;'PlayerGrades+'!$AB$8,"B",IF(F514&lt;'PlayerGrades+'!$AB$7,"B+",IF(F514&lt;'PlayerGrades+'!$AB$6,"A-",IF(F514&lt;'PlayerGrades+'!$AB$5,"A",IF(F514&lt;'PlayerGrades+'!$AB$4,"A+",IF(F514&lt;'PlayerGrades+'!$AB$3,"S-",IF(F514&lt;'PlayerGrades+'!$AB$2,"S","S+"))))))))))))))))))))</f>
        <v>S-</v>
      </c>
      <c r="H514" s="937">
        <f t="shared" si="3"/>
        <v>0.136425648</v>
      </c>
      <c r="I514" s="937" t="str">
        <f>IF(H514&lt;'PlayerGrades+'!$AC$21,"F-",IF(H514&lt;'PlayerGrades+'!$AC$20,"F",IF(H514&lt;'PlayerGrades+'!$AC$19,"F+",IF(H514&lt;'PlayerGrades+'!$AC$18,"E-",IF(H514&lt;'PlayerGrades+'!$AC$17,"E",IF(H514&lt;'PlayerGrades+'!$AC$16,"E+",IF(H514&lt;'PlayerGrades+'!$AC$15,"D-",IF(H514&lt;'PlayerGrades+'!$AC$14,"D",IF(H514&lt;'PlayerGrades+'!$AC$13,"D+",IF(H514&lt;'PlayerGrades+'!$AC$12,"C-",IF(H514&lt;'PlayerGrades+'!$AC$11,"C",IF(H514&lt;'PlayerGrades+'!$AC$10,"C+",IF(H514&lt;'PlayerGrades+'!$AC$9,"B-",IF(H514&lt;'PlayerGrades+'!$AC$8,"B",IF(H514&lt;'PlayerGrades+'!$AC$7,"B+",IF(H514&lt;'PlayerGrades+'!$AC$6,"A-",IF(H514&lt;'PlayerGrades+'!$AC$5,"A",IF(H514&lt;'PlayerGrades+'!$AC$4,"A+",IF(H514&lt;'PlayerGrades+'!$AC$3,"S-",IF(H514&lt;'PlayerGrades+'!$AC$2,"S","S+"))))))))))))))))))))</f>
        <v>B+</v>
      </c>
      <c r="J514" s="937">
        <f t="shared" si="4"/>
        <v>0.0272851296</v>
      </c>
      <c r="K514" s="937" t="str">
        <f>IF(J514&lt;'PlayerGrades+'!$AD$21,"F-",IF(J514&lt;'PlayerGrades+'!$AD$20,"F",IF(J514&lt;'PlayerGrades+'!$AD$19,"F+",IF(J514&lt;'PlayerGrades+'!$AD$18,"E-",IF(J514&lt;'PlayerGrades+'!$AD$17,"E",IF(J514&lt;'PlayerGrades+'!$AD$16,"E+",IF(J514&lt;'PlayerGrades+'!$AD$15,"D-",IF(J514&lt;'PlayerGrades+'!$AD$14,"D",IF(J514&lt;'PlayerGrades+'!$AD$13,"D+",IF(J514&lt;'PlayerGrades+'!$AD$12,"C-",IF(J514&lt;'PlayerGrades+'!$AD$11,"C",IF(J514&lt;'PlayerGrades+'!$AD$10,"C+",IF(J514&lt;'PlayerGrades+'!$AD$9,"B-",IF(J514&lt;'PlayerGrades+'!$AD$8,"B",IF(J514&lt;'PlayerGrades+'!$AD$7,"B+",IF(J514&lt;'PlayerGrades+'!$AD$6,"A-",IF(J514&lt;'PlayerGrades+'!$AD$5,"A",IF(J514&lt;'PlayerGrades+'!$AD$4,"A+",IF(J514&lt;'PlayerGrades+'!$AD$3,"S-",IF(J514&lt;'PlayerGrades+'!$AD$2,"S","S+"))))))))))))))))))))</f>
        <v>D+</v>
      </c>
      <c r="L514" s="677">
        <f t="shared" si="5"/>
        <v>0.2182810368</v>
      </c>
      <c r="M514" s="938" t="str">
        <f>IF(L514&lt;'PlayerGrades+'!$AE$21,"F-",IF(L514&lt;'PlayerGrades+'!$AE$20,"F",IF(L514&lt;'PlayerGrades+'!$AE$19,"F+",IF(L514&lt;'PlayerGrades+'!$AE$18,"E-",IF(L514&lt;'PlayerGrades+'!$AE$17,"E",IF(L514&lt;'PlayerGrades+'!$AE$16,"E+",IF(L514&lt;'PlayerGrades+'!$AE$15,"D-",IF(L514&lt;'PlayerGrades+'!$AE$14,"D",IF(L514&lt;'PlayerGrades+'!$AE$13,"D+",IF(L514&lt;'PlayerGrades+'!$AE$12,"C-",IF(L514&lt;'PlayerGrades+'!$AE$11,"C",IF(L514&lt;'PlayerGrades+'!$AE$10,"C+",IF(L514&lt;'PlayerGrades+'!$AE$9,"B-",IF(L514&lt;'PlayerGrades+'!$AE$8,"B",IF(L514&lt;'PlayerGrades+'!$AE$7,"B+",IF(L514&lt;'PlayerGrades+'!$AE$6,"A-",IF(L514&lt;'PlayerGrades+'!$AE$5,"A",IF(L514&lt;'PlayerGrades+'!$AE$4,"A+",IF(L514&lt;'PlayerGrades+'!$AE$3,"S-",IF(L514&lt;'PlayerGrades+'!$AE$2,"S","S+"))))))))))))))))))))</f>
        <v>F</v>
      </c>
      <c r="N514" s="937">
        <f t="shared" si="6"/>
        <v>0</v>
      </c>
      <c r="O514" s="937" t="str">
        <f>IF(N514&lt;'PlayerGrades+'!$AF$21,"F-",IF(N514&lt;'PlayerGrades+'!$AF$20,"F",IF(N514&lt;'PlayerGrades+'!$AF$19,"F+",IF(N514&lt;'PlayerGrades+'!$AF$18,"E-",IF(N514&lt;'PlayerGrades+'!$AF$17,"E",IF(N514&lt;'PlayerGrades+'!$AF$16,"E+",IF(N514&lt;'PlayerGrades+'!$AF$15,"D-",IF(N514&lt;'PlayerGrades+'!$AF$14,"D",IF(N514&lt;'PlayerGrades+'!$AF$13,"D+",IF(N514&lt;'PlayerGrades+'!$AF$12,"C-",IF(N514&lt;'PlayerGrades+'!$AF$11,"C",IF(N514&lt;'PlayerGrades+'!$AF$10,"C+",IF(N514&lt;'PlayerGrades+'!$AF$9,"B-",IF(N514&lt;'PlayerGrades+'!$AF$8,"B",IF(N514&lt;'PlayerGrades+'!$AF$7,"B+",IF(N514&lt;'PlayerGrades+'!$AF$6,"A-",IF(N514&lt;'PlayerGrades+'!$AF$5,"A",IF(N514&lt;'PlayerGrades+'!$AF$4,"A+",IF(N514&lt;'PlayerGrades+'!$AF$3,"S-",IF(N514&lt;'PlayerGrades+'!$AF$2,"S","S+"))))))))))))))))))))</f>
        <v>F-</v>
      </c>
      <c r="P514" s="937">
        <f t="shared" si="7"/>
        <v>0.0272851296</v>
      </c>
      <c r="Q514" s="937" t="str">
        <f>IF(P514&lt;'PlayerGrades+'!$AG$21,"F-",IF(P514&lt;'PlayerGrades+'!$AG$20,"F",IF(P514&lt;'PlayerGrades+'!$AG$19,"F+",IF(P514&lt;'PlayerGrades+'!$AG$18,"E-",IF(P514&lt;'PlayerGrades+'!$AG$17,"E",IF(P514&lt;'PlayerGrades+'!$AG$16,"E+",IF(P514&lt;'PlayerGrades+'!$AG$15,"D-",IF(P514&lt;'PlayerGrades+'!$AG$14,"D",IF(P514&lt;'PlayerGrades+'!$AG$13,"D+",IF(P514&lt;'PlayerGrades+'!$AG$12,"C-",IF(P514&lt;'PlayerGrades+'!$AG$11,"C",IF(P514&lt;'PlayerGrades+'!$AG$10,"C+",IF(P514&lt;'PlayerGrades+'!$AG$9,"B-",IF(P514&lt;'PlayerGrades+'!$AG$8,"B",IF(P514&lt;'PlayerGrades+'!$AG$7,"B+",IF(P514&lt;'PlayerGrades+'!$AG$6,"A-",IF(P514&lt;'PlayerGrades+'!$AG$5,"A",IF(P514&lt;'PlayerGrades+'!$AG$4,"A+",IF(P514&lt;'PlayerGrades+'!$AG$3,"S-",IF(P514&lt;'PlayerGrades+'!$AG$2,"S","S+"))))))))))))))))))))</f>
        <v>B</v>
      </c>
      <c r="R514" s="937">
        <f t="shared" si="8"/>
        <v>0.4911323329</v>
      </c>
      <c r="S514" s="937" t="str">
        <f>IF(R514&lt;'PlayerGrades+'!$AH$21,"F-",IF(R514&lt;'PlayerGrades+'!$AH$20,"F",IF(R514&lt;'PlayerGrades+'!$AH$19,"F+",IF(R514&lt;'PlayerGrades+'!$AH$18,"E-",IF(R514&lt;'PlayerGrades+'!$AH$17,"E",IF(R514&lt;'PlayerGrades+'!$AH$16,"E+",IF(R514&lt;'PlayerGrades+'!$AH$15,"D-",IF(R514&lt;'PlayerGrades+'!$AH$14,"D",IF(R514&lt;'PlayerGrades+'!$AH$13,"D+",IF(R514&lt;'PlayerGrades+'!$AH$12,"C-",IF(R514&lt;'PlayerGrades+'!$AH$11,"C",IF(R514&lt;'PlayerGrades+'!$AH$10,"C+",IF(R514&lt;'PlayerGrades+'!$AH$9,"B-",IF(R514&lt;'PlayerGrades+'!$AH$8,"B",IF(R514&lt;'PlayerGrades+'!$AH$7,"B+",IF(R514&lt;'PlayerGrades+'!$AH$6,"A-",IF(R514&lt;'PlayerGrades+'!$AH$5,"A",IF(R514&lt;'PlayerGrades+'!$AH$4,"A+",IF(R514&lt;'PlayerGrades+'!$AH$3,"S-",IF(R514&lt;'PlayerGrades+'!$AH$2,"S","S+"))))))))))))))))))))</f>
        <v>E+</v>
      </c>
      <c r="T514" s="937">
        <f t="shared" si="9"/>
        <v>0.1637107776</v>
      </c>
      <c r="U514" s="937" t="str">
        <f>IF(T514&lt;'PlayerGrades+'!$AI$21,"F-",IF(T514&lt;'PlayerGrades+'!$AI$20,"F",IF(T514&lt;'PlayerGrades+'!$AI$19,"F+",IF(T514&lt;'PlayerGrades+'!$AI$18,"E-",IF(T514&lt;'PlayerGrades+'!$AI$17,"E",IF(T514&lt;'PlayerGrades+'!$AI$16,"E+",IF(T514&lt;'PlayerGrades+'!$AI$15,"D-",IF(T514&lt;'PlayerGrades+'!$AI$14,"D",IF(T514&lt;'PlayerGrades+'!$AI$13,"D+",IF(T514&lt;'PlayerGrades+'!$AI$12,"C-",IF(T514&lt;'PlayerGrades+'!$AI$11,"C",IF(T514&lt;'PlayerGrades+'!$AI$10,"C+",IF(T514&lt;'PlayerGrades+'!$AI$9,"B-",IF(T514&lt;'PlayerGrades+'!$AI$8,"B",IF(T514&lt;'PlayerGrades+'!$AI$7,"B+",IF(T514&lt;'PlayerGrades+'!$AI$6,"A-",IF(T514&lt;'PlayerGrades+'!$AI$5,"A",IF(T514&lt;'PlayerGrades+'!$AI$4,"A+",IF(T514&lt;'PlayerGrades+'!$AI$3,"S-",IF(T514&lt;'PlayerGrades+'!$AI$2,"S","S+"))))))))))))))))))))</f>
        <v>F-</v>
      </c>
      <c r="V514" s="939">
        <v>1.0</v>
      </c>
      <c r="W514" s="939">
        <v>1.0</v>
      </c>
      <c r="X514" s="939">
        <v>0.0</v>
      </c>
      <c r="Y514" s="939">
        <v>2.0</v>
      </c>
      <c r="Z514" s="939">
        <v>24.0</v>
      </c>
      <c r="AA514" s="939">
        <v>71.0</v>
      </c>
      <c r="AB514" s="939">
        <v>49.0</v>
      </c>
      <c r="AC514" s="939">
        <v>22.0</v>
      </c>
      <c r="AD514" s="939">
        <v>2.0</v>
      </c>
      <c r="AE514" s="939">
        <v>5.0</v>
      </c>
      <c r="AF514" s="939">
        <v>1.0</v>
      </c>
      <c r="AG514" s="939">
        <v>1930.0</v>
      </c>
      <c r="AH514" s="939">
        <v>2199.0</v>
      </c>
      <c r="AI514" s="939">
        <v>39.0</v>
      </c>
      <c r="AJ514" s="939">
        <v>1312.0</v>
      </c>
      <c r="AK514" s="939">
        <v>0.0</v>
      </c>
      <c r="AL514" s="939">
        <v>1.0</v>
      </c>
      <c r="AM514" s="939">
        <v>0.0</v>
      </c>
      <c r="AN514" s="939">
        <v>0.0</v>
      </c>
      <c r="AO514" s="939">
        <v>0.0</v>
      </c>
      <c r="AP514" s="939">
        <v>1.0</v>
      </c>
      <c r="AQ514" s="939">
        <v>0.0</v>
      </c>
      <c r="AR514" s="939">
        <v>8.0</v>
      </c>
      <c r="AS514" s="939">
        <v>0.0</v>
      </c>
      <c r="AT514" s="939">
        <v>0.0</v>
      </c>
      <c r="AU514" s="939">
        <v>0.0</v>
      </c>
      <c r="AV514" s="939">
        <v>0.0</v>
      </c>
      <c r="AW514" s="939">
        <v>0.0</v>
      </c>
      <c r="AX514" s="939">
        <v>0.0</v>
      </c>
      <c r="AY514" s="939">
        <v>0.0</v>
      </c>
      <c r="AZ514" s="939">
        <v>0.0</v>
      </c>
      <c r="BA514" s="939">
        <v>0.0</v>
      </c>
      <c r="BB514" s="939">
        <v>5.0</v>
      </c>
      <c r="BC514" s="939">
        <v>0.0</v>
      </c>
      <c r="BD514" s="939">
        <v>16.0</v>
      </c>
      <c r="BE514" s="939">
        <v>6.0</v>
      </c>
      <c r="BF514" s="939">
        <v>0.0</v>
      </c>
      <c r="BG514" s="940">
        <v>1.0</v>
      </c>
    </row>
    <row r="515">
      <c r="A515" s="935" t="s">
        <v>147</v>
      </c>
      <c r="B515" s="16" t="str">
        <f>IF(C515&lt;'PlayerGrades+'!$Y$44,"F-",IF(C515&lt;'PlayerGrades+'!$Y$43,"F",IF(C515&lt;'PlayerGrades+'!$Y$42,"F+",IF(C515&lt;'PlayerGrades+'!$Y$41,"E-",IF(C515&lt;'PlayerGrades+'!$Y$40,"E",IF(C515&lt;'PlayerGrades+'!$Y$39,"E+",IF(C515&lt;'PlayerGrades+'!$Y$38,"D-",IF(C515&lt;'PlayerGrades+'!$Y$37,"D",IF(C515&lt;'PlayerGrades+'!$Y$36,"D+",IF(C515&lt;'PlayerGrades+'!$Y$35,"C-",IF(C515&lt;'PlayerGrades+'!$Y$34,"C",IF(C515&lt;'PlayerGrades+'!$Y$33,"C+",IF(C515&lt;'PlayerGrades+'!$Y$32,"B-",IF(C515&lt;'PlayerGrades+'!$Y$31,"B",IF(C515&lt;'PlayerGrades+'!$Y$30,"B+",IF(C515&lt;'PlayerGrades+'!$Y$29,"A-",IF(C515&lt;'PlayerGrades+'!$Y$28,"A",IF(C515&lt;'PlayerGrades+'!$Y$27,"A+",IF(C515&lt;'PlayerGrades+'!$Y$26,"S-",IF(C515&lt;'PlayerGrades+'!$Y$25,"S","S+"))))))))))))))))))))</f>
        <v>D</v>
      </c>
      <c r="C515" s="936">
        <f>('PlayerGrades+'!$Y$47*(VLOOKUP(E515, 'PlayerGrades+'!$X$3:$Y$23, 2, FALSE)))+('PlayerGrades+'!$Y$48*(VLOOKUP(G515, 'PlayerGrades+'!$X$3:$Y$23, 2, FALSE)))+('PlayerGrades+'!$Y$49*(VLOOKUP(I515, 'PlayerGrades+'!$X$3:$Y$23, 2, FALSE)))+('PlayerGrades+'!$Y$50*(VLOOKUP(K515, 'PlayerGrades+'!$X$3:$Y$23, 2, FALSE)))+('PlayerGrades+'!$Y$51*(VLOOKUP(M515, 'PlayerGrades+'!$X$3:$Y$23, 2, FALSE)))+('PlayerGrades+'!$Y$52*(VLOOKUP(O515, 'PlayerGrades+'!$X$3:$Y$23, 2, FALSE)))+('PlayerGrades+'!$Y$53*(VLOOKUP(Q515, 'PlayerGrades+'!$X$3:$Y$23, 2, FALSE)))+('PlayerGrades+'!$Y$54*(VLOOKUP(S515, 'PlayerGrades+'!$X$3:$Y$23, 2, FALSE)))+('PlayerGrades+'!$Y$55*(VLOOKUP(U515, 'PlayerGrades+'!$X$3:$Y$23, 2, FALSE)))</f>
        <v>16.5</v>
      </c>
      <c r="D515" s="937">
        <f t="shared" si="1"/>
        <v>0.05457025921</v>
      </c>
      <c r="E515" s="937" t="str">
        <f>IF(D515&lt;'PlayerGrades+'!$AA$21,"F-",IF(D515&lt;'PlayerGrades+'!$AA$20,"F",IF(D515&lt;'PlayerGrades+'!$AA$19,"F+",IF(D515&lt;'PlayerGrades+'!$AA$18,"E-",IF(D515&lt;'PlayerGrades+'!$AA$17,"E",IF(D515&lt;'PlayerGrades+'!$AA$16,"E+",IF(D515&lt;'PlayerGrades+'!$AA$15,"D-",IF(D515&lt;'PlayerGrades+'!$AA$14,"D",IF(D515&lt;'PlayerGrades+'!$AA$13,"D+",IF(D515&lt;'PlayerGrades+'!$AA$12,"C-",IF(D515&lt;'PlayerGrades+'!$AA$11,"C",IF(D515&lt;'PlayerGrades+'!$AA$10,"C+",IF(D515&lt;'PlayerGrades+'!$AA$9,"B-",IF(D515&lt;'PlayerGrades+'!$AA$8,"B",IF(D515&lt;'PlayerGrades+'!$AA$7,"B+",IF(D515&lt;'PlayerGrades+'!$AA$6,"A-",IF(D515&lt;'PlayerGrades+'!$AA$5,"A",IF(D515&lt;'PlayerGrades+'!$AA$4,"A+",IF(D515&lt;'PlayerGrades+'!$AA$3,"S-",IF(D515&lt;'PlayerGrades+'!$AA$2,"S","S+"))))))))))))))))))))</f>
        <v>B-</v>
      </c>
      <c r="F515" s="937">
        <f t="shared" si="2"/>
        <v>-0.5729877217</v>
      </c>
      <c r="G515" s="937" t="str">
        <f>IF(F515&lt;'PlayerGrades+'!$AB$21,"F-",IF(F515&lt;'PlayerGrades+'!$AB$20,"F",IF(F515&lt;'PlayerGrades+'!$AB$19,"F+",IF(F515&lt;'PlayerGrades+'!$AB$18,"E-",IF(F515&lt;'PlayerGrades+'!$AB$17,"E",IF(F515&lt;'PlayerGrades+'!$AB$16,"E+",IF(F515&lt;'PlayerGrades+'!$AB$15,"D-",IF(F515&lt;'PlayerGrades+'!$AB$14,"D",IF(F515&lt;'PlayerGrades+'!$AB$13,"D+",IF(F515&lt;'PlayerGrades+'!$AB$12,"C-",IF(F515&lt;'PlayerGrades+'!$AB$11,"C",IF(F515&lt;'PlayerGrades+'!$AB$10,"C+",IF(F515&lt;'PlayerGrades+'!$AB$9,"B-",IF(F515&lt;'PlayerGrades+'!$AB$8,"B",IF(F515&lt;'PlayerGrades+'!$AB$7,"B+",IF(F515&lt;'PlayerGrades+'!$AB$6,"A-",IF(F515&lt;'PlayerGrades+'!$AB$5,"A",IF(F515&lt;'PlayerGrades+'!$AB$4,"A+",IF(F515&lt;'PlayerGrades+'!$AB$3,"S-",IF(F515&lt;'PlayerGrades+'!$AB$2,"S","S+"))))))))))))))))))))</f>
        <v>D</v>
      </c>
      <c r="H515" s="937">
        <f t="shared" si="3"/>
        <v>0.1909959072</v>
      </c>
      <c r="I515" s="937" t="str">
        <f>IF(H515&lt;'PlayerGrades+'!$AC$21,"F-",IF(H515&lt;'PlayerGrades+'!$AC$20,"F",IF(H515&lt;'PlayerGrades+'!$AC$19,"F+",IF(H515&lt;'PlayerGrades+'!$AC$18,"E-",IF(H515&lt;'PlayerGrades+'!$AC$17,"E",IF(H515&lt;'PlayerGrades+'!$AC$16,"E+",IF(H515&lt;'PlayerGrades+'!$AC$15,"D-",IF(H515&lt;'PlayerGrades+'!$AC$14,"D",IF(H515&lt;'PlayerGrades+'!$AC$13,"D+",IF(H515&lt;'PlayerGrades+'!$AC$12,"C-",IF(H515&lt;'PlayerGrades+'!$AC$11,"C",IF(H515&lt;'PlayerGrades+'!$AC$10,"C+",IF(H515&lt;'PlayerGrades+'!$AC$9,"B-",IF(H515&lt;'PlayerGrades+'!$AC$8,"B",IF(H515&lt;'PlayerGrades+'!$AC$7,"B+",IF(H515&lt;'PlayerGrades+'!$AC$6,"A-",IF(H515&lt;'PlayerGrades+'!$AC$5,"A",IF(H515&lt;'PlayerGrades+'!$AC$4,"A+",IF(H515&lt;'PlayerGrades+'!$AC$3,"S-",IF(H515&lt;'PlayerGrades+'!$AC$2,"S","S+"))))))))))))))))))))</f>
        <v>S</v>
      </c>
      <c r="J515" s="937">
        <f t="shared" si="4"/>
        <v>0.1091405184</v>
      </c>
      <c r="K515" s="937" t="str">
        <f>IF(J515&lt;'PlayerGrades+'!$AD$21,"F-",IF(J515&lt;'PlayerGrades+'!$AD$20,"F",IF(J515&lt;'PlayerGrades+'!$AD$19,"F+",IF(J515&lt;'PlayerGrades+'!$AD$18,"E-",IF(J515&lt;'PlayerGrades+'!$AD$17,"E",IF(J515&lt;'PlayerGrades+'!$AD$16,"E+",IF(J515&lt;'PlayerGrades+'!$AD$15,"D-",IF(J515&lt;'PlayerGrades+'!$AD$14,"D",IF(J515&lt;'PlayerGrades+'!$AD$13,"D+",IF(J515&lt;'PlayerGrades+'!$AD$12,"C-",IF(J515&lt;'PlayerGrades+'!$AD$11,"C",IF(J515&lt;'PlayerGrades+'!$AD$10,"C+",IF(J515&lt;'PlayerGrades+'!$AD$9,"B-",IF(J515&lt;'PlayerGrades+'!$AD$8,"B",IF(J515&lt;'PlayerGrades+'!$AD$7,"B+",IF(J515&lt;'PlayerGrades+'!$AD$6,"A-",IF(J515&lt;'PlayerGrades+'!$AD$5,"A",IF(J515&lt;'PlayerGrades+'!$AD$4,"A+",IF(J515&lt;'PlayerGrades+'!$AD$3,"S-",IF(J515&lt;'PlayerGrades+'!$AD$2,"S","S+"))))))))))))))))))))</f>
        <v>S+</v>
      </c>
      <c r="L515" s="677">
        <f t="shared" si="5"/>
        <v>0.3001364256</v>
      </c>
      <c r="M515" s="938" t="str">
        <f>IF(L515&lt;'PlayerGrades+'!$AE$21,"F-",IF(L515&lt;'PlayerGrades+'!$AE$20,"F",IF(L515&lt;'PlayerGrades+'!$AE$19,"F+",IF(L515&lt;'PlayerGrades+'!$AE$18,"E-",IF(L515&lt;'PlayerGrades+'!$AE$17,"E",IF(L515&lt;'PlayerGrades+'!$AE$16,"E+",IF(L515&lt;'PlayerGrades+'!$AE$15,"D-",IF(L515&lt;'PlayerGrades+'!$AE$14,"D",IF(L515&lt;'PlayerGrades+'!$AE$13,"D+",IF(L515&lt;'PlayerGrades+'!$AE$12,"C-",IF(L515&lt;'PlayerGrades+'!$AE$11,"C",IF(L515&lt;'PlayerGrades+'!$AE$10,"C+",IF(L515&lt;'PlayerGrades+'!$AE$9,"B-",IF(L515&lt;'PlayerGrades+'!$AE$8,"B",IF(L515&lt;'PlayerGrades+'!$AE$7,"B+",IF(L515&lt;'PlayerGrades+'!$AE$6,"A-",IF(L515&lt;'PlayerGrades+'!$AE$5,"A",IF(L515&lt;'PlayerGrades+'!$AE$4,"A+",IF(L515&lt;'PlayerGrades+'!$AE$3,"S-",IF(L515&lt;'PlayerGrades+'!$AE$2,"S","S+"))))))))))))))))))))</f>
        <v>E-</v>
      </c>
      <c r="N515" s="937">
        <f t="shared" si="6"/>
        <v>0</v>
      </c>
      <c r="O515" s="937" t="str">
        <f>IF(N515&lt;'PlayerGrades+'!$AF$21,"F-",IF(N515&lt;'PlayerGrades+'!$AF$20,"F",IF(N515&lt;'PlayerGrades+'!$AF$19,"F+",IF(N515&lt;'PlayerGrades+'!$AF$18,"E-",IF(N515&lt;'PlayerGrades+'!$AF$17,"E",IF(N515&lt;'PlayerGrades+'!$AF$16,"E+",IF(N515&lt;'PlayerGrades+'!$AF$15,"D-",IF(N515&lt;'PlayerGrades+'!$AF$14,"D",IF(N515&lt;'PlayerGrades+'!$AF$13,"D+",IF(N515&lt;'PlayerGrades+'!$AF$12,"C-",IF(N515&lt;'PlayerGrades+'!$AF$11,"C",IF(N515&lt;'PlayerGrades+'!$AF$10,"C+",IF(N515&lt;'PlayerGrades+'!$AF$9,"B-",IF(N515&lt;'PlayerGrades+'!$AF$8,"B",IF(N515&lt;'PlayerGrades+'!$AF$7,"B+",IF(N515&lt;'PlayerGrades+'!$AF$6,"A-",IF(N515&lt;'PlayerGrades+'!$AF$5,"A",IF(N515&lt;'PlayerGrades+'!$AF$4,"A+",IF(N515&lt;'PlayerGrades+'!$AF$3,"S-",IF(N515&lt;'PlayerGrades+'!$AF$2,"S","S+"))))))))))))))))))))</f>
        <v>F-</v>
      </c>
      <c r="P515" s="937">
        <f t="shared" si="7"/>
        <v>0.08185538881</v>
      </c>
      <c r="Q515" s="937" t="str">
        <f>IF(P515&lt;'PlayerGrades+'!$AG$21,"F-",IF(P515&lt;'PlayerGrades+'!$AG$20,"F",IF(P515&lt;'PlayerGrades+'!$AG$19,"F+",IF(P515&lt;'PlayerGrades+'!$AG$18,"E-",IF(P515&lt;'PlayerGrades+'!$AG$17,"E",IF(P515&lt;'PlayerGrades+'!$AG$16,"E+",IF(P515&lt;'PlayerGrades+'!$AG$15,"D-",IF(P515&lt;'PlayerGrades+'!$AG$14,"D",IF(P515&lt;'PlayerGrades+'!$AG$13,"D+",IF(P515&lt;'PlayerGrades+'!$AG$12,"C-",IF(P515&lt;'PlayerGrades+'!$AG$11,"C",IF(P515&lt;'PlayerGrades+'!$AG$10,"C+",IF(P515&lt;'PlayerGrades+'!$AG$9,"B-",IF(P515&lt;'PlayerGrades+'!$AG$8,"B",IF(P515&lt;'PlayerGrades+'!$AG$7,"B+",IF(P515&lt;'PlayerGrades+'!$AG$6,"A-",IF(P515&lt;'PlayerGrades+'!$AG$5,"A",IF(P515&lt;'PlayerGrades+'!$AG$4,"A+",IF(P515&lt;'PlayerGrades+'!$AG$3,"S-",IF(P515&lt;'PlayerGrades+'!$AG$2,"S","S+"))))))))))))))))))))</f>
        <v>S-</v>
      </c>
      <c r="R515" s="937">
        <f t="shared" si="8"/>
        <v>0.4365620737</v>
      </c>
      <c r="S515" s="937" t="str">
        <f>IF(R515&lt;'PlayerGrades+'!$AH$21,"F-",IF(R515&lt;'PlayerGrades+'!$AH$20,"F",IF(R515&lt;'PlayerGrades+'!$AH$19,"F+",IF(R515&lt;'PlayerGrades+'!$AH$18,"E-",IF(R515&lt;'PlayerGrades+'!$AH$17,"E",IF(R515&lt;'PlayerGrades+'!$AH$16,"E+",IF(R515&lt;'PlayerGrades+'!$AH$15,"D-",IF(R515&lt;'PlayerGrades+'!$AH$14,"D",IF(R515&lt;'PlayerGrades+'!$AH$13,"D+",IF(R515&lt;'PlayerGrades+'!$AH$12,"C-",IF(R515&lt;'PlayerGrades+'!$AH$11,"C",IF(R515&lt;'PlayerGrades+'!$AH$10,"C+",IF(R515&lt;'PlayerGrades+'!$AH$9,"B-",IF(R515&lt;'PlayerGrades+'!$AH$8,"B",IF(R515&lt;'PlayerGrades+'!$AH$7,"B+",IF(R515&lt;'PlayerGrades+'!$AH$6,"A-",IF(R515&lt;'PlayerGrades+'!$AH$5,"A",IF(R515&lt;'PlayerGrades+'!$AH$4,"A+",IF(R515&lt;'PlayerGrades+'!$AH$3,"S-",IF(R515&lt;'PlayerGrades+'!$AH$2,"S","S+"))))))))))))))))))))</f>
        <v>E-</v>
      </c>
      <c r="T515" s="937">
        <f t="shared" si="9"/>
        <v>0.3001364256</v>
      </c>
      <c r="U515" s="937" t="str">
        <f>IF(T515&lt;'PlayerGrades+'!$AI$21,"F-",IF(T515&lt;'PlayerGrades+'!$AI$20,"F",IF(T515&lt;'PlayerGrades+'!$AI$19,"F+",IF(T515&lt;'PlayerGrades+'!$AI$18,"E-",IF(T515&lt;'PlayerGrades+'!$AI$17,"E",IF(T515&lt;'PlayerGrades+'!$AI$16,"E+",IF(T515&lt;'PlayerGrades+'!$AI$15,"D-",IF(T515&lt;'PlayerGrades+'!$AI$14,"D",IF(T515&lt;'PlayerGrades+'!$AI$13,"D+",IF(T515&lt;'PlayerGrades+'!$AI$12,"C-",IF(T515&lt;'PlayerGrades+'!$AI$11,"C",IF(T515&lt;'PlayerGrades+'!$AI$10,"C+",IF(T515&lt;'PlayerGrades+'!$AI$9,"B-",IF(T515&lt;'PlayerGrades+'!$AI$8,"B",IF(T515&lt;'PlayerGrades+'!$AI$7,"B+",IF(T515&lt;'PlayerGrades+'!$AI$6,"A-",IF(T515&lt;'PlayerGrades+'!$AI$5,"A",IF(T515&lt;'PlayerGrades+'!$AI$4,"A+",IF(T515&lt;'PlayerGrades+'!$AI$3,"S-",IF(T515&lt;'PlayerGrades+'!$AI$2,"S","S+"))))))))))))))))))))</f>
        <v>F-</v>
      </c>
      <c r="V515" s="941">
        <v>1.0</v>
      </c>
      <c r="W515" s="941">
        <v>1.0</v>
      </c>
      <c r="X515" s="941">
        <v>0.0</v>
      </c>
      <c r="Y515" s="941">
        <v>2.0</v>
      </c>
      <c r="Z515" s="941">
        <v>0.0</v>
      </c>
      <c r="AA515" s="941">
        <v>94.0</v>
      </c>
      <c r="AB515" s="941">
        <v>115.0</v>
      </c>
      <c r="AC515" s="941">
        <v>-21.0</v>
      </c>
      <c r="AD515" s="941">
        <v>10.0</v>
      </c>
      <c r="AE515" s="941">
        <v>7.0</v>
      </c>
      <c r="AF515" s="941">
        <v>0.0</v>
      </c>
      <c r="AG515" s="941">
        <v>1733.0</v>
      </c>
      <c r="AH515" s="941">
        <v>2199.0</v>
      </c>
      <c r="AI515" s="941">
        <v>15.0</v>
      </c>
      <c r="AJ515" s="941">
        <v>6.0</v>
      </c>
      <c r="AK515" s="941">
        <v>0.0</v>
      </c>
      <c r="AL515" s="941">
        <v>4.0</v>
      </c>
      <c r="AM515" s="941">
        <v>0.0</v>
      </c>
      <c r="AN515" s="941">
        <v>0.0</v>
      </c>
      <c r="AO515" s="941">
        <v>0.0</v>
      </c>
      <c r="AP515" s="941">
        <v>3.0</v>
      </c>
      <c r="AQ515" s="941">
        <v>0.0</v>
      </c>
      <c r="AR515" s="941">
        <v>11.0</v>
      </c>
      <c r="AS515" s="941">
        <v>0.0</v>
      </c>
      <c r="AT515" s="941">
        <v>0.0</v>
      </c>
      <c r="AU515" s="941">
        <v>0.0</v>
      </c>
      <c r="AV515" s="941">
        <v>0.0</v>
      </c>
      <c r="AW515" s="941">
        <v>0.0</v>
      </c>
      <c r="AX515" s="941">
        <v>0.0</v>
      </c>
      <c r="AY515" s="941">
        <v>0.0</v>
      </c>
      <c r="AZ515" s="941">
        <v>0.0</v>
      </c>
      <c r="BA515" s="941">
        <v>0.0</v>
      </c>
      <c r="BB515" s="941">
        <v>7.0</v>
      </c>
      <c r="BC515" s="941">
        <v>0.0</v>
      </c>
      <c r="BD515" s="941">
        <v>6.0</v>
      </c>
      <c r="BE515" s="941">
        <v>11.0</v>
      </c>
      <c r="BF515" s="941">
        <v>0.0</v>
      </c>
      <c r="BG515" s="942">
        <v>1.0</v>
      </c>
    </row>
    <row r="516">
      <c r="A516" s="935" t="s">
        <v>132</v>
      </c>
      <c r="B516" s="16" t="str">
        <f>IF(C516&lt;'PlayerGrades+'!$Y$44,"F-",IF(C516&lt;'PlayerGrades+'!$Y$43,"F",IF(C516&lt;'PlayerGrades+'!$Y$42,"F+",IF(C516&lt;'PlayerGrades+'!$Y$41,"E-",IF(C516&lt;'PlayerGrades+'!$Y$40,"E",IF(C516&lt;'PlayerGrades+'!$Y$39,"E+",IF(C516&lt;'PlayerGrades+'!$Y$38,"D-",IF(C516&lt;'PlayerGrades+'!$Y$37,"D",IF(C516&lt;'PlayerGrades+'!$Y$36,"D+",IF(C516&lt;'PlayerGrades+'!$Y$35,"C-",IF(C516&lt;'PlayerGrades+'!$Y$34,"C",IF(C516&lt;'PlayerGrades+'!$Y$33,"C+",IF(C516&lt;'PlayerGrades+'!$Y$32,"B-",IF(C516&lt;'PlayerGrades+'!$Y$31,"B",IF(C516&lt;'PlayerGrades+'!$Y$30,"B+",IF(C516&lt;'PlayerGrades+'!$Y$29,"A-",IF(C516&lt;'PlayerGrades+'!$Y$28,"A",IF(C516&lt;'PlayerGrades+'!$Y$27,"A+",IF(C516&lt;'PlayerGrades+'!$Y$26,"S-",IF(C516&lt;'PlayerGrades+'!$Y$25,"S","S+"))))))))))))))))))))</f>
        <v>A</v>
      </c>
      <c r="C516" s="936">
        <f>('PlayerGrades+'!$Y$47*(VLOOKUP(E516, 'PlayerGrades+'!$X$3:$Y$23, 2, FALSE)))+('PlayerGrades+'!$Y$48*(VLOOKUP(G516, 'PlayerGrades+'!$X$3:$Y$23, 2, FALSE)))+('PlayerGrades+'!$Y$49*(VLOOKUP(I516, 'PlayerGrades+'!$X$3:$Y$23, 2, FALSE)))+('PlayerGrades+'!$Y$50*(VLOOKUP(K516, 'PlayerGrades+'!$X$3:$Y$23, 2, FALSE)))+('PlayerGrades+'!$Y$51*(VLOOKUP(M516, 'PlayerGrades+'!$X$3:$Y$23, 2, FALSE)))+('PlayerGrades+'!$Y$52*(VLOOKUP(O516, 'PlayerGrades+'!$X$3:$Y$23, 2, FALSE)))+('PlayerGrades+'!$Y$53*(VLOOKUP(Q516, 'PlayerGrades+'!$X$3:$Y$23, 2, FALSE)))+('PlayerGrades+'!$Y$54*(VLOOKUP(S516, 'PlayerGrades+'!$X$3:$Y$23, 2, FALSE)))+('PlayerGrades+'!$Y$55*(VLOOKUP(U516, 'PlayerGrades+'!$X$3:$Y$23, 2, FALSE)))</f>
        <v>27.55</v>
      </c>
      <c r="D516" s="937">
        <f t="shared" si="1"/>
        <v>0.05457025921</v>
      </c>
      <c r="E516" s="937" t="str">
        <f>IF(D516&lt;'PlayerGrades+'!$AA$21,"F-",IF(D516&lt;'PlayerGrades+'!$AA$20,"F",IF(D516&lt;'PlayerGrades+'!$AA$19,"F+",IF(D516&lt;'PlayerGrades+'!$AA$18,"E-",IF(D516&lt;'PlayerGrades+'!$AA$17,"E",IF(D516&lt;'PlayerGrades+'!$AA$16,"E+",IF(D516&lt;'PlayerGrades+'!$AA$15,"D-",IF(D516&lt;'PlayerGrades+'!$AA$14,"D",IF(D516&lt;'PlayerGrades+'!$AA$13,"D+",IF(D516&lt;'PlayerGrades+'!$AA$12,"C-",IF(D516&lt;'PlayerGrades+'!$AA$11,"C",IF(D516&lt;'PlayerGrades+'!$AA$10,"C+",IF(D516&lt;'PlayerGrades+'!$AA$9,"B-",IF(D516&lt;'PlayerGrades+'!$AA$8,"B",IF(D516&lt;'PlayerGrades+'!$AA$7,"B+",IF(D516&lt;'PlayerGrades+'!$AA$6,"A-",IF(D516&lt;'PlayerGrades+'!$AA$5,"A",IF(D516&lt;'PlayerGrades+'!$AA$4,"A+",IF(D516&lt;'PlayerGrades+'!$AA$3,"S-",IF(D516&lt;'PlayerGrades+'!$AA$2,"S","S+"))))))))))))))))))))</f>
        <v>B-</v>
      </c>
      <c r="F516" s="937">
        <f t="shared" si="2"/>
        <v>0.1091405184</v>
      </c>
      <c r="G516" s="937" t="str">
        <f>IF(F516&lt;'PlayerGrades+'!$AB$21,"F-",IF(F516&lt;'PlayerGrades+'!$AB$20,"F",IF(F516&lt;'PlayerGrades+'!$AB$19,"F+",IF(F516&lt;'PlayerGrades+'!$AB$18,"E-",IF(F516&lt;'PlayerGrades+'!$AB$17,"E",IF(F516&lt;'PlayerGrades+'!$AB$16,"E+",IF(F516&lt;'PlayerGrades+'!$AB$15,"D-",IF(F516&lt;'PlayerGrades+'!$AB$14,"D",IF(F516&lt;'PlayerGrades+'!$AB$13,"D+",IF(F516&lt;'PlayerGrades+'!$AB$12,"C-",IF(F516&lt;'PlayerGrades+'!$AB$11,"C",IF(F516&lt;'PlayerGrades+'!$AB$10,"C+",IF(F516&lt;'PlayerGrades+'!$AB$9,"B-",IF(F516&lt;'PlayerGrades+'!$AB$8,"B",IF(F516&lt;'PlayerGrades+'!$AB$7,"B+",IF(F516&lt;'PlayerGrades+'!$AB$6,"A-",IF(F516&lt;'PlayerGrades+'!$AB$5,"A",IF(F516&lt;'PlayerGrades+'!$AB$4,"A+",IF(F516&lt;'PlayerGrades+'!$AB$3,"S-",IF(F516&lt;'PlayerGrades+'!$AB$2,"S","S+"))))))))))))))))))))</f>
        <v>B+</v>
      </c>
      <c r="H516" s="937">
        <f t="shared" si="3"/>
        <v>0.2182810368</v>
      </c>
      <c r="I516" s="937" t="str">
        <f>IF(H516&lt;'PlayerGrades+'!$AC$21,"F-",IF(H516&lt;'PlayerGrades+'!$AC$20,"F",IF(H516&lt;'PlayerGrades+'!$AC$19,"F+",IF(H516&lt;'PlayerGrades+'!$AC$18,"E-",IF(H516&lt;'PlayerGrades+'!$AC$17,"E",IF(H516&lt;'PlayerGrades+'!$AC$16,"E+",IF(H516&lt;'PlayerGrades+'!$AC$15,"D-",IF(H516&lt;'PlayerGrades+'!$AC$14,"D",IF(H516&lt;'PlayerGrades+'!$AC$13,"D+",IF(H516&lt;'PlayerGrades+'!$AC$12,"C-",IF(H516&lt;'PlayerGrades+'!$AC$11,"C",IF(H516&lt;'PlayerGrades+'!$AC$10,"C+",IF(H516&lt;'PlayerGrades+'!$AC$9,"B-",IF(H516&lt;'PlayerGrades+'!$AC$8,"B",IF(H516&lt;'PlayerGrades+'!$AC$7,"B+",IF(H516&lt;'PlayerGrades+'!$AC$6,"A-",IF(H516&lt;'PlayerGrades+'!$AC$5,"A",IF(H516&lt;'PlayerGrades+'!$AC$4,"A+",IF(H516&lt;'PlayerGrades+'!$AC$3,"S-",IF(H516&lt;'PlayerGrades+'!$AC$2,"S","S+"))))))))))))))))))))</f>
        <v>S</v>
      </c>
      <c r="J516" s="937">
        <f t="shared" si="4"/>
        <v>0.05457025921</v>
      </c>
      <c r="K516" s="937" t="str">
        <f>IF(J516&lt;'PlayerGrades+'!$AD$21,"F-",IF(J516&lt;'PlayerGrades+'!$AD$20,"F",IF(J516&lt;'PlayerGrades+'!$AD$19,"F+",IF(J516&lt;'PlayerGrades+'!$AD$18,"E-",IF(J516&lt;'PlayerGrades+'!$AD$17,"E",IF(J516&lt;'PlayerGrades+'!$AD$16,"E+",IF(J516&lt;'PlayerGrades+'!$AD$15,"D-",IF(J516&lt;'PlayerGrades+'!$AD$14,"D",IF(J516&lt;'PlayerGrades+'!$AD$13,"D+",IF(J516&lt;'PlayerGrades+'!$AD$12,"C-",IF(J516&lt;'PlayerGrades+'!$AD$11,"C",IF(J516&lt;'PlayerGrades+'!$AD$10,"C+",IF(J516&lt;'PlayerGrades+'!$AD$9,"B-",IF(J516&lt;'PlayerGrades+'!$AD$8,"B",IF(J516&lt;'PlayerGrades+'!$AD$7,"B+",IF(J516&lt;'PlayerGrades+'!$AD$6,"A-",IF(J516&lt;'PlayerGrades+'!$AD$5,"A",IF(J516&lt;'PlayerGrades+'!$AD$4,"A+",IF(J516&lt;'PlayerGrades+'!$AD$3,"S-",IF(J516&lt;'PlayerGrades+'!$AD$2,"S","S+"))))))))))))))))))))</f>
        <v>B+</v>
      </c>
      <c r="L516" s="677">
        <f t="shared" si="5"/>
        <v>0.5184174625</v>
      </c>
      <c r="M516" s="938" t="str">
        <f>IF(L516&lt;'PlayerGrades+'!$AE$21,"F-",IF(L516&lt;'PlayerGrades+'!$AE$20,"F",IF(L516&lt;'PlayerGrades+'!$AE$19,"F+",IF(L516&lt;'PlayerGrades+'!$AE$18,"E-",IF(L516&lt;'PlayerGrades+'!$AE$17,"E",IF(L516&lt;'PlayerGrades+'!$AE$16,"E+",IF(L516&lt;'PlayerGrades+'!$AE$15,"D-",IF(L516&lt;'PlayerGrades+'!$AE$14,"D",IF(L516&lt;'PlayerGrades+'!$AE$13,"D+",IF(L516&lt;'PlayerGrades+'!$AE$12,"C-",IF(L516&lt;'PlayerGrades+'!$AE$11,"C",IF(L516&lt;'PlayerGrades+'!$AE$10,"C+",IF(L516&lt;'PlayerGrades+'!$AE$9,"B-",IF(L516&lt;'PlayerGrades+'!$AE$8,"B",IF(L516&lt;'PlayerGrades+'!$AE$7,"B+",IF(L516&lt;'PlayerGrades+'!$AE$6,"A-",IF(L516&lt;'PlayerGrades+'!$AE$5,"A",IF(L516&lt;'PlayerGrades+'!$AE$4,"A+",IF(L516&lt;'PlayerGrades+'!$AE$3,"S-",IF(L516&lt;'PlayerGrades+'!$AE$2,"S","S+"))))))))))))))))))))</f>
        <v>A-</v>
      </c>
      <c r="N516" s="937">
        <f t="shared" si="6"/>
        <v>0.1091405184</v>
      </c>
      <c r="O516" s="937" t="str">
        <f>IF(N516&lt;'PlayerGrades+'!$AF$21,"F-",IF(N516&lt;'PlayerGrades+'!$AF$20,"F",IF(N516&lt;'PlayerGrades+'!$AF$19,"F+",IF(N516&lt;'PlayerGrades+'!$AF$18,"E-",IF(N516&lt;'PlayerGrades+'!$AF$17,"E",IF(N516&lt;'PlayerGrades+'!$AF$16,"E+",IF(N516&lt;'PlayerGrades+'!$AF$15,"D-",IF(N516&lt;'PlayerGrades+'!$AF$14,"D",IF(N516&lt;'PlayerGrades+'!$AF$13,"D+",IF(N516&lt;'PlayerGrades+'!$AF$12,"C-",IF(N516&lt;'PlayerGrades+'!$AF$11,"C",IF(N516&lt;'PlayerGrades+'!$AF$10,"C+",IF(N516&lt;'PlayerGrades+'!$AF$9,"B-",IF(N516&lt;'PlayerGrades+'!$AF$8,"B",IF(N516&lt;'PlayerGrades+'!$AF$7,"B+",IF(N516&lt;'PlayerGrades+'!$AF$6,"A-",IF(N516&lt;'PlayerGrades+'!$AF$5,"A",IF(N516&lt;'PlayerGrades+'!$AF$4,"A+",IF(N516&lt;'PlayerGrades+'!$AF$3,"S-",IF(N516&lt;'PlayerGrades+'!$AF$2,"S","S+"))))))))))))))))))))</f>
        <v>S-</v>
      </c>
      <c r="P516" s="937">
        <f t="shared" si="7"/>
        <v>0.05457025921</v>
      </c>
      <c r="Q516" s="937" t="str">
        <f>IF(P516&lt;'PlayerGrades+'!$AG$21,"F-",IF(P516&lt;'PlayerGrades+'!$AG$20,"F",IF(P516&lt;'PlayerGrades+'!$AG$19,"F+",IF(P516&lt;'PlayerGrades+'!$AG$18,"E-",IF(P516&lt;'PlayerGrades+'!$AG$17,"E",IF(P516&lt;'PlayerGrades+'!$AG$16,"E+",IF(P516&lt;'PlayerGrades+'!$AG$15,"D-",IF(P516&lt;'PlayerGrades+'!$AG$14,"D",IF(P516&lt;'PlayerGrades+'!$AG$13,"D+",IF(P516&lt;'PlayerGrades+'!$AG$12,"C-",IF(P516&lt;'PlayerGrades+'!$AG$11,"C",IF(P516&lt;'PlayerGrades+'!$AG$10,"C+",IF(P516&lt;'PlayerGrades+'!$AG$9,"B-",IF(P516&lt;'PlayerGrades+'!$AG$8,"B",IF(P516&lt;'PlayerGrades+'!$AG$7,"B+",IF(P516&lt;'PlayerGrades+'!$AG$6,"A-",IF(P516&lt;'PlayerGrades+'!$AG$5,"A",IF(P516&lt;'PlayerGrades+'!$AG$4,"A+",IF(P516&lt;'PlayerGrades+'!$AG$3,"S-",IF(P516&lt;'PlayerGrades+'!$AG$2,"S","S+"))))))))))))))))))))</f>
        <v>A</v>
      </c>
      <c r="R516" s="937">
        <f t="shared" si="8"/>
        <v>0.4911323329</v>
      </c>
      <c r="S516" s="937" t="str">
        <f>IF(R516&lt;'PlayerGrades+'!$AH$21,"F-",IF(R516&lt;'PlayerGrades+'!$AH$20,"F",IF(R516&lt;'PlayerGrades+'!$AH$19,"F+",IF(R516&lt;'PlayerGrades+'!$AH$18,"E-",IF(R516&lt;'PlayerGrades+'!$AH$17,"E",IF(R516&lt;'PlayerGrades+'!$AH$16,"E+",IF(R516&lt;'PlayerGrades+'!$AH$15,"D-",IF(R516&lt;'PlayerGrades+'!$AH$14,"D",IF(R516&lt;'PlayerGrades+'!$AH$13,"D+",IF(R516&lt;'PlayerGrades+'!$AH$12,"C-",IF(R516&lt;'PlayerGrades+'!$AH$11,"C",IF(R516&lt;'PlayerGrades+'!$AH$10,"C+",IF(R516&lt;'PlayerGrades+'!$AH$9,"B-",IF(R516&lt;'PlayerGrades+'!$AH$8,"B",IF(R516&lt;'PlayerGrades+'!$AH$7,"B+",IF(R516&lt;'PlayerGrades+'!$AH$6,"A-",IF(R516&lt;'PlayerGrades+'!$AH$5,"A",IF(R516&lt;'PlayerGrades+'!$AH$4,"A+",IF(R516&lt;'PlayerGrades+'!$AH$3,"S-",IF(R516&lt;'PlayerGrades+'!$AH$2,"S","S+"))))))))))))))))))))</f>
        <v>E+</v>
      </c>
      <c r="T516" s="937">
        <f t="shared" si="9"/>
        <v>1.600272851</v>
      </c>
      <c r="U516" s="937" t="str">
        <f>IF(T516&lt;'PlayerGrades+'!$AI$21,"F-",IF(T516&lt;'PlayerGrades+'!$AI$20,"F",IF(T516&lt;'PlayerGrades+'!$AI$19,"F+",IF(T516&lt;'PlayerGrades+'!$AI$18,"E-",IF(T516&lt;'PlayerGrades+'!$AI$17,"E",IF(T516&lt;'PlayerGrades+'!$AI$16,"E+",IF(T516&lt;'PlayerGrades+'!$AI$15,"D-",IF(T516&lt;'PlayerGrades+'!$AI$14,"D",IF(T516&lt;'PlayerGrades+'!$AI$13,"D+",IF(T516&lt;'PlayerGrades+'!$AI$12,"C-",IF(T516&lt;'PlayerGrades+'!$AI$11,"C",IF(T516&lt;'PlayerGrades+'!$AI$10,"C+",IF(T516&lt;'PlayerGrades+'!$AI$9,"B-",IF(T516&lt;'PlayerGrades+'!$AI$8,"B",IF(T516&lt;'PlayerGrades+'!$AI$7,"B+",IF(T516&lt;'PlayerGrades+'!$AI$6,"A-",IF(T516&lt;'PlayerGrades+'!$AI$5,"A",IF(T516&lt;'PlayerGrades+'!$AI$4,"A+",IF(T516&lt;'PlayerGrades+'!$AI$3,"S-",IF(T516&lt;'PlayerGrades+'!$AI$2,"S","S+"))))))))))))))))))))</f>
        <v>S-</v>
      </c>
      <c r="V516" s="941">
        <v>1.0</v>
      </c>
      <c r="W516" s="941">
        <v>1.0</v>
      </c>
      <c r="X516" s="941">
        <v>0.0</v>
      </c>
      <c r="Y516" s="941">
        <v>1.0</v>
      </c>
      <c r="Z516" s="941">
        <v>1.0</v>
      </c>
      <c r="AA516" s="941">
        <v>119.0</v>
      </c>
      <c r="AB516" s="941">
        <v>115.0</v>
      </c>
      <c r="AC516" s="941">
        <v>4.0</v>
      </c>
      <c r="AD516" s="941">
        <v>5.0</v>
      </c>
      <c r="AE516" s="941">
        <v>5.0</v>
      </c>
      <c r="AF516" s="941">
        <v>2.0</v>
      </c>
      <c r="AG516" s="941">
        <v>1731.0</v>
      </c>
      <c r="AH516" s="941">
        <v>2199.0</v>
      </c>
      <c r="AI516" s="941">
        <v>15.0</v>
      </c>
      <c r="AJ516" s="941">
        <v>21.0</v>
      </c>
      <c r="AK516" s="941">
        <v>0.0</v>
      </c>
      <c r="AL516" s="941">
        <v>2.0</v>
      </c>
      <c r="AM516" s="941">
        <v>0.0</v>
      </c>
      <c r="AN516" s="941">
        <v>0.0</v>
      </c>
      <c r="AO516" s="941">
        <v>0.0</v>
      </c>
      <c r="AP516" s="941">
        <v>2.0</v>
      </c>
      <c r="AQ516" s="941">
        <v>0.0</v>
      </c>
      <c r="AR516" s="941">
        <v>19.0</v>
      </c>
      <c r="AS516" s="941">
        <v>4.0</v>
      </c>
      <c r="AT516" s="941">
        <v>0.0</v>
      </c>
      <c r="AU516" s="941">
        <v>0.0</v>
      </c>
      <c r="AV516" s="941">
        <v>0.0</v>
      </c>
      <c r="AW516" s="941">
        <v>0.0</v>
      </c>
      <c r="AX516" s="941">
        <v>0.0</v>
      </c>
      <c r="AY516" s="941">
        <v>0.0</v>
      </c>
      <c r="AZ516" s="941">
        <v>0.0</v>
      </c>
      <c r="BA516" s="941">
        <v>0.0</v>
      </c>
      <c r="BB516" s="941">
        <v>8.0</v>
      </c>
      <c r="BC516" s="941">
        <v>0.0</v>
      </c>
      <c r="BD516" s="941">
        <v>13.0</v>
      </c>
      <c r="BE516" s="941">
        <v>22.0</v>
      </c>
      <c r="BF516" s="941">
        <v>1.0</v>
      </c>
      <c r="BG516" s="942">
        <v>1.0</v>
      </c>
    </row>
    <row r="517">
      <c r="A517" s="935" t="s">
        <v>136</v>
      </c>
      <c r="B517" s="16" t="str">
        <f>IF(C517&lt;'PlayerGrades+'!$Y$44,"F-",IF(C517&lt;'PlayerGrades+'!$Y$43,"F",IF(C517&lt;'PlayerGrades+'!$Y$42,"F+",IF(C517&lt;'PlayerGrades+'!$Y$41,"E-",IF(C517&lt;'PlayerGrades+'!$Y$40,"E",IF(C517&lt;'PlayerGrades+'!$Y$39,"E+",IF(C517&lt;'PlayerGrades+'!$Y$38,"D-",IF(C517&lt;'PlayerGrades+'!$Y$37,"D",IF(C517&lt;'PlayerGrades+'!$Y$36,"D+",IF(C517&lt;'PlayerGrades+'!$Y$35,"C-",IF(C517&lt;'PlayerGrades+'!$Y$34,"C",IF(C517&lt;'PlayerGrades+'!$Y$33,"C+",IF(C517&lt;'PlayerGrades+'!$Y$32,"B-",IF(C517&lt;'PlayerGrades+'!$Y$31,"B",IF(C517&lt;'PlayerGrades+'!$Y$30,"B+",IF(C517&lt;'PlayerGrades+'!$Y$29,"A-",IF(C517&lt;'PlayerGrades+'!$Y$28,"A",IF(C517&lt;'PlayerGrades+'!$Y$27,"A+",IF(C517&lt;'PlayerGrades+'!$Y$26,"S-",IF(C517&lt;'PlayerGrades+'!$Y$25,"S","S+"))))))))))))))))))))</f>
        <v>B+</v>
      </c>
      <c r="C517" s="936">
        <f>('PlayerGrades+'!$Y$47*(VLOOKUP(E517, 'PlayerGrades+'!$X$3:$Y$23, 2, FALSE)))+('PlayerGrades+'!$Y$48*(VLOOKUP(G517, 'PlayerGrades+'!$X$3:$Y$23, 2, FALSE)))+('PlayerGrades+'!$Y$49*(VLOOKUP(I517, 'PlayerGrades+'!$X$3:$Y$23, 2, FALSE)))+('PlayerGrades+'!$Y$50*(VLOOKUP(K517, 'PlayerGrades+'!$X$3:$Y$23, 2, FALSE)))+('PlayerGrades+'!$Y$51*(VLOOKUP(M517, 'PlayerGrades+'!$X$3:$Y$23, 2, FALSE)))+('PlayerGrades+'!$Y$52*(VLOOKUP(O517, 'PlayerGrades+'!$X$3:$Y$23, 2, FALSE)))+('PlayerGrades+'!$Y$53*(VLOOKUP(Q517, 'PlayerGrades+'!$X$3:$Y$23, 2, FALSE)))+('PlayerGrades+'!$Y$54*(VLOOKUP(S517, 'PlayerGrades+'!$X$3:$Y$23, 2, FALSE)))+('PlayerGrades+'!$Y$55*(VLOOKUP(U517, 'PlayerGrades+'!$X$3:$Y$23, 2, FALSE)))</f>
        <v>24.15</v>
      </c>
      <c r="D517" s="937">
        <f t="shared" si="1"/>
        <v>0</v>
      </c>
      <c r="E517" s="937" t="str">
        <f>IF(D517&lt;'PlayerGrades+'!$AA$21,"F-",IF(D517&lt;'PlayerGrades+'!$AA$20,"F",IF(D517&lt;'PlayerGrades+'!$AA$19,"F+",IF(D517&lt;'PlayerGrades+'!$AA$18,"E-",IF(D517&lt;'PlayerGrades+'!$AA$17,"E",IF(D517&lt;'PlayerGrades+'!$AA$16,"E+",IF(D517&lt;'PlayerGrades+'!$AA$15,"D-",IF(D517&lt;'PlayerGrades+'!$AA$14,"D",IF(D517&lt;'PlayerGrades+'!$AA$13,"D+",IF(D517&lt;'PlayerGrades+'!$AA$12,"C-",IF(D517&lt;'PlayerGrades+'!$AA$11,"C",IF(D517&lt;'PlayerGrades+'!$AA$10,"C+",IF(D517&lt;'PlayerGrades+'!$AA$9,"B-",IF(D517&lt;'PlayerGrades+'!$AA$8,"B",IF(D517&lt;'PlayerGrades+'!$AA$7,"B+",IF(D517&lt;'PlayerGrades+'!$AA$6,"A-",IF(D517&lt;'PlayerGrades+'!$AA$5,"A",IF(D517&lt;'PlayerGrades+'!$AA$4,"A+",IF(D517&lt;'PlayerGrades+'!$AA$3,"S-",IF(D517&lt;'PlayerGrades+'!$AA$2,"S","S+"))))))))))))))))))))</f>
        <v>F-</v>
      </c>
      <c r="F517" s="937">
        <f t="shared" si="2"/>
        <v>-0.272851296</v>
      </c>
      <c r="G517" s="937" t="str">
        <f>IF(F517&lt;'PlayerGrades+'!$AB$21,"F-",IF(F517&lt;'PlayerGrades+'!$AB$20,"F",IF(F517&lt;'PlayerGrades+'!$AB$19,"F+",IF(F517&lt;'PlayerGrades+'!$AB$18,"E-",IF(F517&lt;'PlayerGrades+'!$AB$17,"E",IF(F517&lt;'PlayerGrades+'!$AB$16,"E+",IF(F517&lt;'PlayerGrades+'!$AB$15,"D-",IF(F517&lt;'PlayerGrades+'!$AB$14,"D",IF(F517&lt;'PlayerGrades+'!$AB$13,"D+",IF(F517&lt;'PlayerGrades+'!$AB$12,"C-",IF(F517&lt;'PlayerGrades+'!$AB$11,"C",IF(F517&lt;'PlayerGrades+'!$AB$10,"C+",IF(F517&lt;'PlayerGrades+'!$AB$9,"B-",IF(F517&lt;'PlayerGrades+'!$AB$8,"B",IF(F517&lt;'PlayerGrades+'!$AB$7,"B+",IF(F517&lt;'PlayerGrades+'!$AB$6,"A-",IF(F517&lt;'PlayerGrades+'!$AB$5,"A",IF(F517&lt;'PlayerGrades+'!$AB$4,"A+",IF(F517&lt;'PlayerGrades+'!$AB$3,"S-",IF(F517&lt;'PlayerGrades+'!$AB$2,"S","S+"))))))))))))))))))))</f>
        <v>C</v>
      </c>
      <c r="H517" s="937">
        <f t="shared" si="3"/>
        <v>0.1637107776</v>
      </c>
      <c r="I517" s="937" t="str">
        <f>IF(H517&lt;'PlayerGrades+'!$AC$21,"F-",IF(H517&lt;'PlayerGrades+'!$AC$20,"F",IF(H517&lt;'PlayerGrades+'!$AC$19,"F+",IF(H517&lt;'PlayerGrades+'!$AC$18,"E-",IF(H517&lt;'PlayerGrades+'!$AC$17,"E",IF(H517&lt;'PlayerGrades+'!$AC$16,"E+",IF(H517&lt;'PlayerGrades+'!$AC$15,"D-",IF(H517&lt;'PlayerGrades+'!$AC$14,"D",IF(H517&lt;'PlayerGrades+'!$AC$13,"D+",IF(H517&lt;'PlayerGrades+'!$AC$12,"C-",IF(H517&lt;'PlayerGrades+'!$AC$11,"C",IF(H517&lt;'PlayerGrades+'!$AC$10,"C+",IF(H517&lt;'PlayerGrades+'!$AC$9,"B-",IF(H517&lt;'PlayerGrades+'!$AC$8,"B",IF(H517&lt;'PlayerGrades+'!$AC$7,"B+",IF(H517&lt;'PlayerGrades+'!$AC$6,"A-",IF(H517&lt;'PlayerGrades+'!$AC$5,"A",IF(H517&lt;'PlayerGrades+'!$AC$4,"A+",IF(H517&lt;'PlayerGrades+'!$AC$3,"S-",IF(H517&lt;'PlayerGrades+'!$AC$2,"S","S+"))))))))))))))))))))</f>
        <v>A+</v>
      </c>
      <c r="J517" s="937">
        <f t="shared" si="4"/>
        <v>0.0272851296</v>
      </c>
      <c r="K517" s="937" t="str">
        <f>IF(J517&lt;'PlayerGrades+'!$AD$21,"F-",IF(J517&lt;'PlayerGrades+'!$AD$20,"F",IF(J517&lt;'PlayerGrades+'!$AD$19,"F+",IF(J517&lt;'PlayerGrades+'!$AD$18,"E-",IF(J517&lt;'PlayerGrades+'!$AD$17,"E",IF(J517&lt;'PlayerGrades+'!$AD$16,"E+",IF(J517&lt;'PlayerGrades+'!$AD$15,"D-",IF(J517&lt;'PlayerGrades+'!$AD$14,"D",IF(J517&lt;'PlayerGrades+'!$AD$13,"D+",IF(J517&lt;'PlayerGrades+'!$AD$12,"C-",IF(J517&lt;'PlayerGrades+'!$AD$11,"C",IF(J517&lt;'PlayerGrades+'!$AD$10,"C+",IF(J517&lt;'PlayerGrades+'!$AD$9,"B-",IF(J517&lt;'PlayerGrades+'!$AD$8,"B",IF(J517&lt;'PlayerGrades+'!$AD$7,"B+",IF(J517&lt;'PlayerGrades+'!$AD$6,"A-",IF(J517&lt;'PlayerGrades+'!$AD$5,"A",IF(J517&lt;'PlayerGrades+'!$AD$4,"A+",IF(J517&lt;'PlayerGrades+'!$AD$3,"S-",IF(J517&lt;'PlayerGrades+'!$AD$2,"S","S+"))))))))))))))))))))</f>
        <v>D+</v>
      </c>
      <c r="L517" s="677">
        <f t="shared" si="5"/>
        <v>0.9276944065</v>
      </c>
      <c r="M517" s="938" t="str">
        <f>IF(L517&lt;'PlayerGrades+'!$AE$21,"F-",IF(L517&lt;'PlayerGrades+'!$AE$20,"F",IF(L517&lt;'PlayerGrades+'!$AE$19,"F+",IF(L517&lt;'PlayerGrades+'!$AE$18,"E-",IF(L517&lt;'PlayerGrades+'!$AE$17,"E",IF(L517&lt;'PlayerGrades+'!$AE$16,"E+",IF(L517&lt;'PlayerGrades+'!$AE$15,"D-",IF(L517&lt;'PlayerGrades+'!$AE$14,"D",IF(L517&lt;'PlayerGrades+'!$AE$13,"D+",IF(L517&lt;'PlayerGrades+'!$AE$12,"C-",IF(L517&lt;'PlayerGrades+'!$AE$11,"C",IF(L517&lt;'PlayerGrades+'!$AE$10,"C+",IF(L517&lt;'PlayerGrades+'!$AE$9,"B-",IF(L517&lt;'PlayerGrades+'!$AE$8,"B",IF(L517&lt;'PlayerGrades+'!$AE$7,"B+",IF(L517&lt;'PlayerGrades+'!$AE$6,"A-",IF(L517&lt;'PlayerGrades+'!$AE$5,"A",IF(L517&lt;'PlayerGrades+'!$AE$4,"A+",IF(L517&lt;'PlayerGrades+'!$AE$3,"S-",IF(L517&lt;'PlayerGrades+'!$AE$2,"S","S+"))))))))))))))))))))</f>
        <v>S+</v>
      </c>
      <c r="N517" s="937">
        <f t="shared" si="6"/>
        <v>0.2182810368</v>
      </c>
      <c r="O517" s="937" t="str">
        <f>IF(N517&lt;'PlayerGrades+'!$AF$21,"F-",IF(N517&lt;'PlayerGrades+'!$AF$20,"F",IF(N517&lt;'PlayerGrades+'!$AF$19,"F+",IF(N517&lt;'PlayerGrades+'!$AF$18,"E-",IF(N517&lt;'PlayerGrades+'!$AF$17,"E",IF(N517&lt;'PlayerGrades+'!$AF$16,"E+",IF(N517&lt;'PlayerGrades+'!$AF$15,"D-",IF(N517&lt;'PlayerGrades+'!$AF$14,"D",IF(N517&lt;'PlayerGrades+'!$AF$13,"D+",IF(N517&lt;'PlayerGrades+'!$AF$12,"C-",IF(N517&lt;'PlayerGrades+'!$AF$11,"C",IF(N517&lt;'PlayerGrades+'!$AF$10,"C+",IF(N517&lt;'PlayerGrades+'!$AF$9,"B-",IF(N517&lt;'PlayerGrades+'!$AF$8,"B",IF(N517&lt;'PlayerGrades+'!$AF$7,"B+",IF(N517&lt;'PlayerGrades+'!$AF$6,"A-",IF(N517&lt;'PlayerGrades+'!$AF$5,"A",IF(N517&lt;'PlayerGrades+'!$AF$4,"A+",IF(N517&lt;'PlayerGrades+'!$AF$3,"S-",IF(N517&lt;'PlayerGrades+'!$AF$2,"S","S+"))))))))))))))))))))</f>
        <v>S+</v>
      </c>
      <c r="P517" s="937">
        <f t="shared" si="7"/>
        <v>0.0272851296</v>
      </c>
      <c r="Q517" s="937" t="str">
        <f>IF(P517&lt;'PlayerGrades+'!$AG$21,"F-",IF(P517&lt;'PlayerGrades+'!$AG$20,"F",IF(P517&lt;'PlayerGrades+'!$AG$19,"F+",IF(P517&lt;'PlayerGrades+'!$AG$18,"E-",IF(P517&lt;'PlayerGrades+'!$AG$17,"E",IF(P517&lt;'PlayerGrades+'!$AG$16,"E+",IF(P517&lt;'PlayerGrades+'!$AG$15,"D-",IF(P517&lt;'PlayerGrades+'!$AG$14,"D",IF(P517&lt;'PlayerGrades+'!$AG$13,"D+",IF(P517&lt;'PlayerGrades+'!$AG$12,"C-",IF(P517&lt;'PlayerGrades+'!$AG$11,"C",IF(P517&lt;'PlayerGrades+'!$AG$10,"C+",IF(P517&lt;'PlayerGrades+'!$AG$9,"B-",IF(P517&lt;'PlayerGrades+'!$AG$8,"B",IF(P517&lt;'PlayerGrades+'!$AG$7,"B+",IF(P517&lt;'PlayerGrades+'!$AG$6,"A-",IF(P517&lt;'PlayerGrades+'!$AG$5,"A",IF(P517&lt;'PlayerGrades+'!$AG$4,"A+",IF(P517&lt;'PlayerGrades+'!$AG$3,"S-",IF(P517&lt;'PlayerGrades+'!$AG$2,"S","S+"))))))))))))))))))))</f>
        <v>B</v>
      </c>
      <c r="R517" s="937">
        <f t="shared" si="8"/>
        <v>0.4638472033</v>
      </c>
      <c r="S517" s="937" t="str">
        <f>IF(R517&lt;'PlayerGrades+'!$AH$21,"F-",IF(R517&lt;'PlayerGrades+'!$AH$20,"F",IF(R517&lt;'PlayerGrades+'!$AH$19,"F+",IF(R517&lt;'PlayerGrades+'!$AH$18,"E-",IF(R517&lt;'PlayerGrades+'!$AH$17,"E",IF(R517&lt;'PlayerGrades+'!$AH$16,"E+",IF(R517&lt;'PlayerGrades+'!$AH$15,"D-",IF(R517&lt;'PlayerGrades+'!$AH$14,"D",IF(R517&lt;'PlayerGrades+'!$AH$13,"D+",IF(R517&lt;'PlayerGrades+'!$AH$12,"C-",IF(R517&lt;'PlayerGrades+'!$AH$11,"C",IF(R517&lt;'PlayerGrades+'!$AH$10,"C+",IF(R517&lt;'PlayerGrades+'!$AH$9,"B-",IF(R517&lt;'PlayerGrades+'!$AH$8,"B",IF(R517&lt;'PlayerGrades+'!$AH$7,"B+",IF(R517&lt;'PlayerGrades+'!$AH$6,"A-",IF(R517&lt;'PlayerGrades+'!$AH$5,"A",IF(R517&lt;'PlayerGrades+'!$AH$4,"A+",IF(R517&lt;'PlayerGrades+'!$AH$3,"S-",IF(R517&lt;'PlayerGrades+'!$AH$2,"S","S+"))))))))))))))))))))</f>
        <v>E-</v>
      </c>
      <c r="T517" s="937">
        <f t="shared" si="9"/>
        <v>2.491132333</v>
      </c>
      <c r="U517" s="937" t="str">
        <f>IF(T517&lt;'PlayerGrades+'!$AI$21,"F-",IF(T517&lt;'PlayerGrades+'!$AI$20,"F",IF(T517&lt;'PlayerGrades+'!$AI$19,"F+",IF(T517&lt;'PlayerGrades+'!$AI$18,"E-",IF(T517&lt;'PlayerGrades+'!$AI$17,"E",IF(T517&lt;'PlayerGrades+'!$AI$16,"E+",IF(T517&lt;'PlayerGrades+'!$AI$15,"D-",IF(T517&lt;'PlayerGrades+'!$AI$14,"D",IF(T517&lt;'PlayerGrades+'!$AI$13,"D+",IF(T517&lt;'PlayerGrades+'!$AI$12,"C-",IF(T517&lt;'PlayerGrades+'!$AI$11,"C",IF(T517&lt;'PlayerGrades+'!$AI$10,"C+",IF(T517&lt;'PlayerGrades+'!$AI$9,"B-",IF(T517&lt;'PlayerGrades+'!$AI$8,"B",IF(T517&lt;'PlayerGrades+'!$AI$7,"B+",IF(T517&lt;'PlayerGrades+'!$AI$6,"A-",IF(T517&lt;'PlayerGrades+'!$AI$5,"A",IF(T517&lt;'PlayerGrades+'!$AI$4,"A+",IF(T517&lt;'PlayerGrades+'!$AI$3,"S-",IF(T517&lt;'PlayerGrades+'!$AI$2,"S","S+"))))))))))))))))))))</f>
        <v>S+</v>
      </c>
      <c r="V517" s="941">
        <v>1.0</v>
      </c>
      <c r="W517" s="941">
        <v>1.0</v>
      </c>
      <c r="X517" s="941">
        <v>0.0</v>
      </c>
      <c r="Y517" s="941">
        <v>0.0</v>
      </c>
      <c r="Z517" s="941">
        <v>0.0</v>
      </c>
      <c r="AA517" s="941">
        <v>148.0</v>
      </c>
      <c r="AB517" s="941">
        <v>158.0</v>
      </c>
      <c r="AC517" s="941">
        <v>-10.0</v>
      </c>
      <c r="AD517" s="941">
        <v>6.0</v>
      </c>
      <c r="AE517" s="941">
        <v>6.0</v>
      </c>
      <c r="AF517" s="941">
        <v>1.0</v>
      </c>
      <c r="AG517" s="941">
        <v>1602.0</v>
      </c>
      <c r="AH517" s="941">
        <v>2199.0</v>
      </c>
      <c r="AI517" s="941">
        <v>10.0</v>
      </c>
      <c r="AJ517" s="941">
        <v>15.0</v>
      </c>
      <c r="AK517" s="941">
        <v>0.0</v>
      </c>
      <c r="AL517" s="941">
        <v>1.0</v>
      </c>
      <c r="AM517" s="941">
        <v>0.0</v>
      </c>
      <c r="AN517" s="941">
        <v>0.0</v>
      </c>
      <c r="AO517" s="941">
        <v>0.0</v>
      </c>
      <c r="AP517" s="941">
        <v>1.0</v>
      </c>
      <c r="AQ517" s="941">
        <v>0.0</v>
      </c>
      <c r="AR517" s="941">
        <v>34.0</v>
      </c>
      <c r="AS517" s="941">
        <v>8.0</v>
      </c>
      <c r="AT517" s="941">
        <v>1.0</v>
      </c>
      <c r="AU517" s="941">
        <v>0.0</v>
      </c>
      <c r="AV517" s="941">
        <v>0.0</v>
      </c>
      <c r="AW517" s="941">
        <v>0.0</v>
      </c>
      <c r="AX517" s="941">
        <v>0.0</v>
      </c>
      <c r="AY517" s="941">
        <v>0.0</v>
      </c>
      <c r="AZ517" s="941">
        <v>0.0</v>
      </c>
      <c r="BA517" s="941">
        <v>0.0</v>
      </c>
      <c r="BB517" s="941">
        <v>6.0</v>
      </c>
      <c r="BC517" s="941">
        <v>0.0</v>
      </c>
      <c r="BD517" s="941">
        <v>11.0</v>
      </c>
      <c r="BE517" s="941">
        <v>18.0</v>
      </c>
      <c r="BF517" s="941">
        <v>2.0</v>
      </c>
      <c r="BG517" s="942">
        <v>1.0</v>
      </c>
    </row>
    <row r="518">
      <c r="A518" s="935" t="s">
        <v>123</v>
      </c>
      <c r="B518" s="16" t="str">
        <f>IF(C518&lt;'PlayerGrades+'!$Y$44,"F-",IF(C518&lt;'PlayerGrades+'!$Y$43,"F",IF(C518&lt;'PlayerGrades+'!$Y$42,"F+",IF(C518&lt;'PlayerGrades+'!$Y$41,"E-",IF(C518&lt;'PlayerGrades+'!$Y$40,"E",IF(C518&lt;'PlayerGrades+'!$Y$39,"E+",IF(C518&lt;'PlayerGrades+'!$Y$38,"D-",IF(C518&lt;'PlayerGrades+'!$Y$37,"D",IF(C518&lt;'PlayerGrades+'!$Y$36,"D+",IF(C518&lt;'PlayerGrades+'!$Y$35,"C-",IF(C518&lt;'PlayerGrades+'!$Y$34,"C",IF(C518&lt;'PlayerGrades+'!$Y$33,"C+",IF(C518&lt;'PlayerGrades+'!$Y$32,"B-",IF(C518&lt;'PlayerGrades+'!$Y$31,"B",IF(C518&lt;'PlayerGrades+'!$Y$30,"B+",IF(C518&lt;'PlayerGrades+'!$Y$29,"A-",IF(C518&lt;'PlayerGrades+'!$Y$28,"A",IF(C518&lt;'PlayerGrades+'!$Y$27,"A+",IF(C518&lt;'PlayerGrades+'!$Y$26,"S-",IF(C518&lt;'PlayerGrades+'!$Y$25,"S","S+"))))))))))))))))))))</f>
        <v>B-</v>
      </c>
      <c r="C518" s="936">
        <f>('PlayerGrades+'!$Y$47*(VLOOKUP(E518, 'PlayerGrades+'!$X$3:$Y$23, 2, FALSE)))+('PlayerGrades+'!$Y$48*(VLOOKUP(G518, 'PlayerGrades+'!$X$3:$Y$23, 2, FALSE)))+('PlayerGrades+'!$Y$49*(VLOOKUP(I518, 'PlayerGrades+'!$X$3:$Y$23, 2, FALSE)))+('PlayerGrades+'!$Y$50*(VLOOKUP(K518, 'PlayerGrades+'!$X$3:$Y$23, 2, FALSE)))+('PlayerGrades+'!$Y$51*(VLOOKUP(M518, 'PlayerGrades+'!$X$3:$Y$23, 2, FALSE)))+('PlayerGrades+'!$Y$52*(VLOOKUP(O518, 'PlayerGrades+'!$X$3:$Y$23, 2, FALSE)))+('PlayerGrades+'!$Y$53*(VLOOKUP(Q518, 'PlayerGrades+'!$X$3:$Y$23, 2, FALSE)))+('PlayerGrades+'!$Y$54*(VLOOKUP(S518, 'PlayerGrades+'!$X$3:$Y$23, 2, FALSE)))+('PlayerGrades+'!$Y$55*(VLOOKUP(U518, 'PlayerGrades+'!$X$3:$Y$23, 2, FALSE)))</f>
        <v>22</v>
      </c>
      <c r="D518" s="937">
        <f t="shared" si="1"/>
        <v>0.4092769441</v>
      </c>
      <c r="E518" s="937" t="str">
        <f>IF(D518&lt;'PlayerGrades+'!$AA$21,"F-",IF(D518&lt;'PlayerGrades+'!$AA$20,"F",IF(D518&lt;'PlayerGrades+'!$AA$19,"F+",IF(D518&lt;'PlayerGrades+'!$AA$18,"E-",IF(D518&lt;'PlayerGrades+'!$AA$17,"E",IF(D518&lt;'PlayerGrades+'!$AA$16,"E+",IF(D518&lt;'PlayerGrades+'!$AA$15,"D-",IF(D518&lt;'PlayerGrades+'!$AA$14,"D",IF(D518&lt;'PlayerGrades+'!$AA$13,"D+",IF(D518&lt;'PlayerGrades+'!$AA$12,"C-",IF(D518&lt;'PlayerGrades+'!$AA$11,"C",IF(D518&lt;'PlayerGrades+'!$AA$10,"C+",IF(D518&lt;'PlayerGrades+'!$AA$9,"B-",IF(D518&lt;'PlayerGrades+'!$AA$8,"B",IF(D518&lt;'PlayerGrades+'!$AA$7,"B+",IF(D518&lt;'PlayerGrades+'!$AA$6,"A-",IF(D518&lt;'PlayerGrades+'!$AA$5,"A",IF(D518&lt;'PlayerGrades+'!$AA$4,"A+",IF(D518&lt;'PlayerGrades+'!$AA$3,"S-",IF(D518&lt;'PlayerGrades+'!$AA$2,"S","S+"))))))))))))))))))))</f>
        <v>A+</v>
      </c>
      <c r="F518" s="937">
        <f t="shared" si="2"/>
        <v>0.6275579809</v>
      </c>
      <c r="G518" s="937" t="str">
        <f>IF(F518&lt;'PlayerGrades+'!$AB$21,"F-",IF(F518&lt;'PlayerGrades+'!$AB$20,"F",IF(F518&lt;'PlayerGrades+'!$AB$19,"F+",IF(F518&lt;'PlayerGrades+'!$AB$18,"E-",IF(F518&lt;'PlayerGrades+'!$AB$17,"E",IF(F518&lt;'PlayerGrades+'!$AB$16,"E+",IF(F518&lt;'PlayerGrades+'!$AB$15,"D-",IF(F518&lt;'PlayerGrades+'!$AB$14,"D",IF(F518&lt;'PlayerGrades+'!$AB$13,"D+",IF(F518&lt;'PlayerGrades+'!$AB$12,"C-",IF(F518&lt;'PlayerGrades+'!$AB$11,"C",IF(F518&lt;'PlayerGrades+'!$AB$10,"C+",IF(F518&lt;'PlayerGrades+'!$AB$9,"B-",IF(F518&lt;'PlayerGrades+'!$AB$8,"B",IF(F518&lt;'PlayerGrades+'!$AB$7,"B+",IF(F518&lt;'PlayerGrades+'!$AB$6,"A-",IF(F518&lt;'PlayerGrades+'!$AB$5,"A",IF(F518&lt;'PlayerGrades+'!$AB$4,"A+",IF(F518&lt;'PlayerGrades+'!$AB$3,"S-",IF(F518&lt;'PlayerGrades+'!$AB$2,"S","S+"))))))))))))))))))))</f>
        <v>S-</v>
      </c>
      <c r="H518" s="937">
        <f t="shared" si="3"/>
        <v>0.0272851296</v>
      </c>
      <c r="I518" s="937" t="str">
        <f>IF(H518&lt;'PlayerGrades+'!$AC$21,"F-",IF(H518&lt;'PlayerGrades+'!$AC$20,"F",IF(H518&lt;'PlayerGrades+'!$AC$19,"F+",IF(H518&lt;'PlayerGrades+'!$AC$18,"E-",IF(H518&lt;'PlayerGrades+'!$AC$17,"E",IF(H518&lt;'PlayerGrades+'!$AC$16,"E+",IF(H518&lt;'PlayerGrades+'!$AC$15,"D-",IF(H518&lt;'PlayerGrades+'!$AC$14,"D",IF(H518&lt;'PlayerGrades+'!$AC$13,"D+",IF(H518&lt;'PlayerGrades+'!$AC$12,"C-",IF(H518&lt;'PlayerGrades+'!$AC$11,"C",IF(H518&lt;'PlayerGrades+'!$AC$10,"C+",IF(H518&lt;'PlayerGrades+'!$AC$9,"B-",IF(H518&lt;'PlayerGrades+'!$AC$8,"B",IF(H518&lt;'PlayerGrades+'!$AC$7,"B+",IF(H518&lt;'PlayerGrades+'!$AC$6,"A-",IF(H518&lt;'PlayerGrades+'!$AC$5,"A",IF(H518&lt;'PlayerGrades+'!$AC$4,"A+",IF(H518&lt;'PlayerGrades+'!$AC$3,"S-",IF(H518&lt;'PlayerGrades+'!$AC$2,"S","S+"))))))))))))))))))))</f>
        <v>F-</v>
      </c>
      <c r="J518" s="937">
        <f t="shared" si="4"/>
        <v>0.08185538881</v>
      </c>
      <c r="K518" s="937" t="str">
        <f>IF(J518&lt;'PlayerGrades+'!$AD$21,"F-",IF(J518&lt;'PlayerGrades+'!$AD$20,"F",IF(J518&lt;'PlayerGrades+'!$AD$19,"F+",IF(J518&lt;'PlayerGrades+'!$AD$18,"E-",IF(J518&lt;'PlayerGrades+'!$AD$17,"E",IF(J518&lt;'PlayerGrades+'!$AD$16,"E+",IF(J518&lt;'PlayerGrades+'!$AD$15,"D-",IF(J518&lt;'PlayerGrades+'!$AD$14,"D",IF(J518&lt;'PlayerGrades+'!$AD$13,"D+",IF(J518&lt;'PlayerGrades+'!$AD$12,"C-",IF(J518&lt;'PlayerGrades+'!$AD$11,"C",IF(J518&lt;'PlayerGrades+'!$AD$10,"C+",IF(J518&lt;'PlayerGrades+'!$AD$9,"B-",IF(J518&lt;'PlayerGrades+'!$AD$8,"B",IF(J518&lt;'PlayerGrades+'!$AD$7,"B+",IF(J518&lt;'PlayerGrades+'!$AD$6,"A-",IF(J518&lt;'PlayerGrades+'!$AD$5,"A",IF(J518&lt;'PlayerGrades+'!$AD$4,"A+",IF(J518&lt;'PlayerGrades+'!$AD$3,"S-",IF(J518&lt;'PlayerGrades+'!$AD$2,"S","S+"))))))))))))))))))))</f>
        <v>A+</v>
      </c>
      <c r="L518" s="677">
        <f t="shared" si="5"/>
        <v>0.3547066849</v>
      </c>
      <c r="M518" s="938" t="str">
        <f>IF(L518&lt;'PlayerGrades+'!$AE$21,"F-",IF(L518&lt;'PlayerGrades+'!$AE$20,"F",IF(L518&lt;'PlayerGrades+'!$AE$19,"F+",IF(L518&lt;'PlayerGrades+'!$AE$18,"E-",IF(L518&lt;'PlayerGrades+'!$AE$17,"E",IF(L518&lt;'PlayerGrades+'!$AE$16,"E+",IF(L518&lt;'PlayerGrades+'!$AE$15,"D-",IF(L518&lt;'PlayerGrades+'!$AE$14,"D",IF(L518&lt;'PlayerGrades+'!$AE$13,"D+",IF(L518&lt;'PlayerGrades+'!$AE$12,"C-",IF(L518&lt;'PlayerGrades+'!$AE$11,"C",IF(L518&lt;'PlayerGrades+'!$AE$10,"C+",IF(L518&lt;'PlayerGrades+'!$AE$9,"B-",IF(L518&lt;'PlayerGrades+'!$AE$8,"B",IF(L518&lt;'PlayerGrades+'!$AE$7,"B+",IF(L518&lt;'PlayerGrades+'!$AE$6,"A-",IF(L518&lt;'PlayerGrades+'!$AE$5,"A",IF(L518&lt;'PlayerGrades+'!$AE$4,"A+",IF(L518&lt;'PlayerGrades+'!$AE$3,"S-",IF(L518&lt;'PlayerGrades+'!$AE$2,"S","S+"))))))))))))))))))))</f>
        <v>D</v>
      </c>
      <c r="N518" s="937">
        <f t="shared" si="6"/>
        <v>0.05457025921</v>
      </c>
      <c r="O518" s="937" t="str">
        <f>IF(N518&lt;'PlayerGrades+'!$AF$21,"F-",IF(N518&lt;'PlayerGrades+'!$AF$20,"F",IF(N518&lt;'PlayerGrades+'!$AF$19,"F+",IF(N518&lt;'PlayerGrades+'!$AF$18,"E-",IF(N518&lt;'PlayerGrades+'!$AF$17,"E",IF(N518&lt;'PlayerGrades+'!$AF$16,"E+",IF(N518&lt;'PlayerGrades+'!$AF$15,"D-",IF(N518&lt;'PlayerGrades+'!$AF$14,"D",IF(N518&lt;'PlayerGrades+'!$AF$13,"D+",IF(N518&lt;'PlayerGrades+'!$AF$12,"C-",IF(N518&lt;'PlayerGrades+'!$AF$11,"C",IF(N518&lt;'PlayerGrades+'!$AF$10,"C+",IF(N518&lt;'PlayerGrades+'!$AF$9,"B-",IF(N518&lt;'PlayerGrades+'!$AF$8,"B",IF(N518&lt;'PlayerGrades+'!$AF$7,"B+",IF(N518&lt;'PlayerGrades+'!$AF$6,"A-",IF(N518&lt;'PlayerGrades+'!$AF$5,"A",IF(N518&lt;'PlayerGrades+'!$AF$4,"A+",IF(N518&lt;'PlayerGrades+'!$AF$3,"S-",IF(N518&lt;'PlayerGrades+'!$AF$2,"S","S+"))))))))))))))))))))</f>
        <v>D</v>
      </c>
      <c r="P518" s="937">
        <f t="shared" si="7"/>
        <v>0.0272851296</v>
      </c>
      <c r="Q518" s="937" t="str">
        <f>IF(P518&lt;'PlayerGrades+'!$AG$21,"F-",IF(P518&lt;'PlayerGrades+'!$AG$20,"F",IF(P518&lt;'PlayerGrades+'!$AG$19,"F+",IF(P518&lt;'PlayerGrades+'!$AG$18,"E-",IF(P518&lt;'PlayerGrades+'!$AG$17,"E",IF(P518&lt;'PlayerGrades+'!$AG$16,"E+",IF(P518&lt;'PlayerGrades+'!$AG$15,"D-",IF(P518&lt;'PlayerGrades+'!$AG$14,"D",IF(P518&lt;'PlayerGrades+'!$AG$13,"D+",IF(P518&lt;'PlayerGrades+'!$AG$12,"C-",IF(P518&lt;'PlayerGrades+'!$AG$11,"C",IF(P518&lt;'PlayerGrades+'!$AG$10,"C+",IF(P518&lt;'PlayerGrades+'!$AG$9,"B-",IF(P518&lt;'PlayerGrades+'!$AG$8,"B",IF(P518&lt;'PlayerGrades+'!$AG$7,"B+",IF(P518&lt;'PlayerGrades+'!$AG$6,"A-",IF(P518&lt;'PlayerGrades+'!$AG$5,"A",IF(P518&lt;'PlayerGrades+'!$AG$4,"A+",IF(P518&lt;'PlayerGrades+'!$AG$3,"S-",IF(P518&lt;'PlayerGrades+'!$AG$2,"S","S+"))))))))))))))))))))</f>
        <v>B</v>
      </c>
      <c r="R518" s="937">
        <f t="shared" si="8"/>
        <v>0.5457025921</v>
      </c>
      <c r="S518" s="937" t="str">
        <f>IF(R518&lt;'PlayerGrades+'!$AH$21,"F-",IF(R518&lt;'PlayerGrades+'!$AH$20,"F",IF(R518&lt;'PlayerGrades+'!$AH$19,"F+",IF(R518&lt;'PlayerGrades+'!$AH$18,"E-",IF(R518&lt;'PlayerGrades+'!$AH$17,"E",IF(R518&lt;'PlayerGrades+'!$AH$16,"E+",IF(R518&lt;'PlayerGrades+'!$AH$15,"D-",IF(R518&lt;'PlayerGrades+'!$AH$14,"D",IF(R518&lt;'PlayerGrades+'!$AH$13,"D+",IF(R518&lt;'PlayerGrades+'!$AH$12,"C-",IF(R518&lt;'PlayerGrades+'!$AH$11,"C",IF(R518&lt;'PlayerGrades+'!$AH$10,"C+",IF(R518&lt;'PlayerGrades+'!$AH$9,"B-",IF(R518&lt;'PlayerGrades+'!$AH$8,"B",IF(R518&lt;'PlayerGrades+'!$AH$7,"B+",IF(R518&lt;'PlayerGrades+'!$AH$6,"A-",IF(R518&lt;'PlayerGrades+'!$AH$5,"A",IF(R518&lt;'PlayerGrades+'!$AH$4,"A+",IF(R518&lt;'PlayerGrades+'!$AH$3,"S-",IF(R518&lt;'PlayerGrades+'!$AH$2,"S","S+"))))))))))))))))))))</f>
        <v>B-</v>
      </c>
      <c r="T518" s="937">
        <f t="shared" si="9"/>
        <v>1.354706685</v>
      </c>
      <c r="U518" s="937" t="str">
        <f>IF(T518&lt;'PlayerGrades+'!$AI$21,"F-",IF(T518&lt;'PlayerGrades+'!$AI$20,"F",IF(T518&lt;'PlayerGrades+'!$AI$19,"F+",IF(T518&lt;'PlayerGrades+'!$AI$18,"E-",IF(T518&lt;'PlayerGrades+'!$AI$17,"E",IF(T518&lt;'PlayerGrades+'!$AI$16,"E+",IF(T518&lt;'PlayerGrades+'!$AI$15,"D-",IF(T518&lt;'PlayerGrades+'!$AI$14,"D",IF(T518&lt;'PlayerGrades+'!$AI$13,"D+",IF(T518&lt;'PlayerGrades+'!$AI$12,"C-",IF(T518&lt;'PlayerGrades+'!$AI$11,"C",IF(T518&lt;'PlayerGrades+'!$AI$10,"C+",IF(T518&lt;'PlayerGrades+'!$AI$9,"B-",IF(T518&lt;'PlayerGrades+'!$AI$8,"B",IF(T518&lt;'PlayerGrades+'!$AI$7,"B+",IF(T518&lt;'PlayerGrades+'!$AI$6,"A-",IF(T518&lt;'PlayerGrades+'!$AI$5,"A",IF(T518&lt;'PlayerGrades+'!$AI$4,"A+",IF(T518&lt;'PlayerGrades+'!$AI$3,"S-",IF(T518&lt;'PlayerGrades+'!$AI$2,"S","S+"))))))))))))))))))))</f>
        <v>B-</v>
      </c>
      <c r="V518" s="941">
        <v>1.0</v>
      </c>
      <c r="W518" s="941">
        <v>0.0</v>
      </c>
      <c r="X518" s="941">
        <v>1.0</v>
      </c>
      <c r="Y518" s="941">
        <v>2.0</v>
      </c>
      <c r="Z518" s="941">
        <v>13.0</v>
      </c>
      <c r="AA518" s="941">
        <v>106.0</v>
      </c>
      <c r="AB518" s="941">
        <v>83.0</v>
      </c>
      <c r="AC518" s="941">
        <v>23.0</v>
      </c>
      <c r="AD518" s="941">
        <v>5.0</v>
      </c>
      <c r="AE518" s="941">
        <v>6.0</v>
      </c>
      <c r="AF518" s="941">
        <v>1.0</v>
      </c>
      <c r="AG518" s="941">
        <v>1830.0</v>
      </c>
      <c r="AH518" s="941">
        <v>2199.0</v>
      </c>
      <c r="AI518" s="941">
        <v>22.0</v>
      </c>
      <c r="AJ518" s="941">
        <v>485.0</v>
      </c>
      <c r="AK518" s="941">
        <v>0.0</v>
      </c>
      <c r="AL518" s="941">
        <v>3.0</v>
      </c>
      <c r="AM518" s="941">
        <v>0.0</v>
      </c>
      <c r="AN518" s="941">
        <v>0.0</v>
      </c>
      <c r="AO518" s="941">
        <v>0.0</v>
      </c>
      <c r="AP518" s="941">
        <v>1.0</v>
      </c>
      <c r="AQ518" s="941">
        <v>0.0</v>
      </c>
      <c r="AR518" s="941">
        <v>13.0</v>
      </c>
      <c r="AS518" s="941">
        <v>2.0</v>
      </c>
      <c r="AT518" s="941">
        <v>1.0</v>
      </c>
      <c r="AU518" s="941">
        <v>1.0</v>
      </c>
      <c r="AV518" s="941">
        <v>0.0</v>
      </c>
      <c r="AW518" s="941">
        <v>0.0</v>
      </c>
      <c r="AX518" s="941">
        <v>0.0</v>
      </c>
      <c r="AY518" s="941">
        <v>0.0</v>
      </c>
      <c r="AZ518" s="941">
        <v>0.0</v>
      </c>
      <c r="BA518" s="941">
        <v>0.0</v>
      </c>
      <c r="BB518" s="941">
        <v>1.0</v>
      </c>
      <c r="BC518" s="941">
        <v>0.0</v>
      </c>
      <c r="BD518" s="941">
        <v>15.0</v>
      </c>
      <c r="BE518" s="941">
        <v>13.0</v>
      </c>
      <c r="BF518" s="941">
        <v>1.0</v>
      </c>
      <c r="BG518" s="942">
        <v>0.0</v>
      </c>
    </row>
    <row r="519">
      <c r="A519" s="935" t="s">
        <v>419</v>
      </c>
      <c r="B519" s="16" t="str">
        <f>IF(C519&lt;'PlayerGrades+'!$Y$44,"F-",IF(C519&lt;'PlayerGrades+'!$Y$43,"F",IF(C519&lt;'PlayerGrades+'!$Y$42,"F+",IF(C519&lt;'PlayerGrades+'!$Y$41,"E-",IF(C519&lt;'PlayerGrades+'!$Y$40,"E",IF(C519&lt;'PlayerGrades+'!$Y$39,"E+",IF(C519&lt;'PlayerGrades+'!$Y$38,"D-",IF(C519&lt;'PlayerGrades+'!$Y$37,"D",IF(C519&lt;'PlayerGrades+'!$Y$36,"D+",IF(C519&lt;'PlayerGrades+'!$Y$35,"C-",IF(C519&lt;'PlayerGrades+'!$Y$34,"C",IF(C519&lt;'PlayerGrades+'!$Y$33,"C+",IF(C519&lt;'PlayerGrades+'!$Y$32,"B-",IF(C519&lt;'PlayerGrades+'!$Y$31,"B",IF(C519&lt;'PlayerGrades+'!$Y$30,"B+",IF(C519&lt;'PlayerGrades+'!$Y$29,"A-",IF(C519&lt;'PlayerGrades+'!$Y$28,"A",IF(C519&lt;'PlayerGrades+'!$Y$27,"A+",IF(C519&lt;'PlayerGrades+'!$Y$26,"S-",IF(C519&lt;'PlayerGrades+'!$Y$25,"S","S+"))))))))))))))))))))</f>
        <v>C+</v>
      </c>
      <c r="C519" s="936">
        <f>('PlayerGrades+'!$Y$47*(VLOOKUP(E519, 'PlayerGrades+'!$X$3:$Y$23, 2, FALSE)))+('PlayerGrades+'!$Y$48*(VLOOKUP(G519, 'PlayerGrades+'!$X$3:$Y$23, 2, FALSE)))+('PlayerGrades+'!$Y$49*(VLOOKUP(I519, 'PlayerGrades+'!$X$3:$Y$23, 2, FALSE)))+('PlayerGrades+'!$Y$50*(VLOOKUP(K519, 'PlayerGrades+'!$X$3:$Y$23, 2, FALSE)))+('PlayerGrades+'!$Y$51*(VLOOKUP(M519, 'PlayerGrades+'!$X$3:$Y$23, 2, FALSE)))+('PlayerGrades+'!$Y$52*(VLOOKUP(O519, 'PlayerGrades+'!$X$3:$Y$23, 2, FALSE)))+('PlayerGrades+'!$Y$53*(VLOOKUP(Q519, 'PlayerGrades+'!$X$3:$Y$23, 2, FALSE)))+('PlayerGrades+'!$Y$54*(VLOOKUP(S519, 'PlayerGrades+'!$X$3:$Y$23, 2, FALSE)))+('PlayerGrades+'!$Y$55*(VLOOKUP(U519, 'PlayerGrades+'!$X$3:$Y$23, 2, FALSE)))</f>
        <v>21.45</v>
      </c>
      <c r="D519" s="937">
        <f t="shared" si="1"/>
        <v>0.0272851296</v>
      </c>
      <c r="E519" s="937" t="str">
        <f>IF(D519&lt;'PlayerGrades+'!$AA$21,"F-",IF(D519&lt;'PlayerGrades+'!$AA$20,"F",IF(D519&lt;'PlayerGrades+'!$AA$19,"F+",IF(D519&lt;'PlayerGrades+'!$AA$18,"E-",IF(D519&lt;'PlayerGrades+'!$AA$17,"E",IF(D519&lt;'PlayerGrades+'!$AA$16,"E+",IF(D519&lt;'PlayerGrades+'!$AA$15,"D-",IF(D519&lt;'PlayerGrades+'!$AA$14,"D",IF(D519&lt;'PlayerGrades+'!$AA$13,"D+",IF(D519&lt;'PlayerGrades+'!$AA$12,"C-",IF(D519&lt;'PlayerGrades+'!$AA$11,"C",IF(D519&lt;'PlayerGrades+'!$AA$10,"C+",IF(D519&lt;'PlayerGrades+'!$AA$9,"B-",IF(D519&lt;'PlayerGrades+'!$AA$8,"B",IF(D519&lt;'PlayerGrades+'!$AA$7,"B+",IF(D519&lt;'PlayerGrades+'!$AA$6,"A-",IF(D519&lt;'PlayerGrades+'!$AA$5,"A",IF(D519&lt;'PlayerGrades+'!$AA$4,"A+",IF(D519&lt;'PlayerGrades+'!$AA$3,"S-",IF(D519&lt;'PlayerGrades+'!$AA$2,"S","S+"))))))))))))))))))))</f>
        <v>D-</v>
      </c>
      <c r="F519" s="937">
        <f t="shared" si="2"/>
        <v>-0.3274215553</v>
      </c>
      <c r="G519" s="937" t="str">
        <f>IF(F519&lt;'PlayerGrades+'!$AB$21,"F-",IF(F519&lt;'PlayerGrades+'!$AB$20,"F",IF(F519&lt;'PlayerGrades+'!$AB$19,"F+",IF(F519&lt;'PlayerGrades+'!$AB$18,"E-",IF(F519&lt;'PlayerGrades+'!$AB$17,"E",IF(F519&lt;'PlayerGrades+'!$AB$16,"E+",IF(F519&lt;'PlayerGrades+'!$AB$15,"D-",IF(F519&lt;'PlayerGrades+'!$AB$14,"D",IF(F519&lt;'PlayerGrades+'!$AB$13,"D+",IF(F519&lt;'PlayerGrades+'!$AB$12,"C-",IF(F519&lt;'PlayerGrades+'!$AB$11,"C",IF(F519&lt;'PlayerGrades+'!$AB$10,"C+",IF(F519&lt;'PlayerGrades+'!$AB$9,"B-",IF(F519&lt;'PlayerGrades+'!$AB$8,"B",IF(F519&lt;'PlayerGrades+'!$AB$7,"B+",IF(F519&lt;'PlayerGrades+'!$AB$6,"A-",IF(F519&lt;'PlayerGrades+'!$AB$5,"A",IF(F519&lt;'PlayerGrades+'!$AB$4,"A+",IF(F519&lt;'PlayerGrades+'!$AB$3,"S-",IF(F519&lt;'PlayerGrades+'!$AB$2,"S","S+"))))))))))))))))))))</f>
        <v>C</v>
      </c>
      <c r="H519" s="937">
        <f t="shared" si="3"/>
        <v>0.08185538881</v>
      </c>
      <c r="I519" s="937" t="str">
        <f>IF(H519&lt;'PlayerGrades+'!$AC$21,"F-",IF(H519&lt;'PlayerGrades+'!$AC$20,"F",IF(H519&lt;'PlayerGrades+'!$AC$19,"F+",IF(H519&lt;'PlayerGrades+'!$AC$18,"E-",IF(H519&lt;'PlayerGrades+'!$AC$17,"E",IF(H519&lt;'PlayerGrades+'!$AC$16,"E+",IF(H519&lt;'PlayerGrades+'!$AC$15,"D-",IF(H519&lt;'PlayerGrades+'!$AC$14,"D",IF(H519&lt;'PlayerGrades+'!$AC$13,"D+",IF(H519&lt;'PlayerGrades+'!$AC$12,"C-",IF(H519&lt;'PlayerGrades+'!$AC$11,"C",IF(H519&lt;'PlayerGrades+'!$AC$10,"C+",IF(H519&lt;'PlayerGrades+'!$AC$9,"B-",IF(H519&lt;'PlayerGrades+'!$AC$8,"B",IF(H519&lt;'PlayerGrades+'!$AC$7,"B+",IF(H519&lt;'PlayerGrades+'!$AC$6,"A-",IF(H519&lt;'PlayerGrades+'!$AC$5,"A",IF(H519&lt;'PlayerGrades+'!$AC$4,"A+",IF(H519&lt;'PlayerGrades+'!$AC$3,"S-",IF(H519&lt;'PlayerGrades+'!$AC$2,"S","S+"))))))))))))))))))))</f>
        <v>D-</v>
      </c>
      <c r="J519" s="937">
        <f t="shared" si="4"/>
        <v>0.0272851296</v>
      </c>
      <c r="K519" s="937" t="str">
        <f>IF(J519&lt;'PlayerGrades+'!$AD$21,"F-",IF(J519&lt;'PlayerGrades+'!$AD$20,"F",IF(J519&lt;'PlayerGrades+'!$AD$19,"F+",IF(J519&lt;'PlayerGrades+'!$AD$18,"E-",IF(J519&lt;'PlayerGrades+'!$AD$17,"E",IF(J519&lt;'PlayerGrades+'!$AD$16,"E+",IF(J519&lt;'PlayerGrades+'!$AD$15,"D-",IF(J519&lt;'PlayerGrades+'!$AD$14,"D",IF(J519&lt;'PlayerGrades+'!$AD$13,"D+",IF(J519&lt;'PlayerGrades+'!$AD$12,"C-",IF(J519&lt;'PlayerGrades+'!$AD$11,"C",IF(J519&lt;'PlayerGrades+'!$AD$10,"C+",IF(J519&lt;'PlayerGrades+'!$AD$9,"B-",IF(J519&lt;'PlayerGrades+'!$AD$8,"B",IF(J519&lt;'PlayerGrades+'!$AD$7,"B+",IF(J519&lt;'PlayerGrades+'!$AD$6,"A-",IF(J519&lt;'PlayerGrades+'!$AD$5,"A",IF(J519&lt;'PlayerGrades+'!$AD$4,"A+",IF(J519&lt;'PlayerGrades+'!$AD$3,"S-",IF(J519&lt;'PlayerGrades+'!$AD$2,"S","S+"))))))))))))))))))))</f>
        <v>D+</v>
      </c>
      <c r="L519" s="677">
        <f t="shared" si="5"/>
        <v>0.5457025921</v>
      </c>
      <c r="M519" s="938" t="str">
        <f>IF(L519&lt;'PlayerGrades+'!$AE$21,"F-",IF(L519&lt;'PlayerGrades+'!$AE$20,"F",IF(L519&lt;'PlayerGrades+'!$AE$19,"F+",IF(L519&lt;'PlayerGrades+'!$AE$18,"E-",IF(L519&lt;'PlayerGrades+'!$AE$17,"E",IF(L519&lt;'PlayerGrades+'!$AE$16,"E+",IF(L519&lt;'PlayerGrades+'!$AE$15,"D-",IF(L519&lt;'PlayerGrades+'!$AE$14,"D",IF(L519&lt;'PlayerGrades+'!$AE$13,"D+",IF(L519&lt;'PlayerGrades+'!$AE$12,"C-",IF(L519&lt;'PlayerGrades+'!$AE$11,"C",IF(L519&lt;'PlayerGrades+'!$AE$10,"C+",IF(L519&lt;'PlayerGrades+'!$AE$9,"B-",IF(L519&lt;'PlayerGrades+'!$AE$8,"B",IF(L519&lt;'PlayerGrades+'!$AE$7,"B+",IF(L519&lt;'PlayerGrades+'!$AE$6,"A-",IF(L519&lt;'PlayerGrades+'!$AE$5,"A",IF(L519&lt;'PlayerGrades+'!$AE$4,"A+",IF(L519&lt;'PlayerGrades+'!$AE$3,"S-",IF(L519&lt;'PlayerGrades+'!$AE$2,"S","S+"))))))))))))))))))))</f>
        <v>A</v>
      </c>
      <c r="N519" s="937">
        <f t="shared" si="6"/>
        <v>0.1091405184</v>
      </c>
      <c r="O519" s="937" t="str">
        <f>IF(N519&lt;'PlayerGrades+'!$AF$21,"F-",IF(N519&lt;'PlayerGrades+'!$AF$20,"F",IF(N519&lt;'PlayerGrades+'!$AF$19,"F+",IF(N519&lt;'PlayerGrades+'!$AF$18,"E-",IF(N519&lt;'PlayerGrades+'!$AF$17,"E",IF(N519&lt;'PlayerGrades+'!$AF$16,"E+",IF(N519&lt;'PlayerGrades+'!$AF$15,"D-",IF(N519&lt;'PlayerGrades+'!$AF$14,"D",IF(N519&lt;'PlayerGrades+'!$AF$13,"D+",IF(N519&lt;'PlayerGrades+'!$AF$12,"C-",IF(N519&lt;'PlayerGrades+'!$AF$11,"C",IF(N519&lt;'PlayerGrades+'!$AF$10,"C+",IF(N519&lt;'PlayerGrades+'!$AF$9,"B-",IF(N519&lt;'PlayerGrades+'!$AF$8,"B",IF(N519&lt;'PlayerGrades+'!$AF$7,"B+",IF(N519&lt;'PlayerGrades+'!$AF$6,"A-",IF(N519&lt;'PlayerGrades+'!$AF$5,"A",IF(N519&lt;'PlayerGrades+'!$AF$4,"A+",IF(N519&lt;'PlayerGrades+'!$AF$3,"S-",IF(N519&lt;'PlayerGrades+'!$AF$2,"S","S+"))))))))))))))))))))</f>
        <v>S-</v>
      </c>
      <c r="P519" s="937">
        <f t="shared" si="7"/>
        <v>0.0272851296</v>
      </c>
      <c r="Q519" s="937" t="str">
        <f>IF(P519&lt;'PlayerGrades+'!$AG$21,"F-",IF(P519&lt;'PlayerGrades+'!$AG$20,"F",IF(P519&lt;'PlayerGrades+'!$AG$19,"F+",IF(P519&lt;'PlayerGrades+'!$AG$18,"E-",IF(P519&lt;'PlayerGrades+'!$AG$17,"E",IF(P519&lt;'PlayerGrades+'!$AG$16,"E+",IF(P519&lt;'PlayerGrades+'!$AG$15,"D-",IF(P519&lt;'PlayerGrades+'!$AG$14,"D",IF(P519&lt;'PlayerGrades+'!$AG$13,"D+",IF(P519&lt;'PlayerGrades+'!$AG$12,"C-",IF(P519&lt;'PlayerGrades+'!$AG$11,"C",IF(P519&lt;'PlayerGrades+'!$AG$10,"C+",IF(P519&lt;'PlayerGrades+'!$AG$9,"B-",IF(P519&lt;'PlayerGrades+'!$AG$8,"B",IF(P519&lt;'PlayerGrades+'!$AG$7,"B+",IF(P519&lt;'PlayerGrades+'!$AG$6,"A-",IF(P519&lt;'PlayerGrades+'!$AG$5,"A",IF(P519&lt;'PlayerGrades+'!$AG$4,"A+",IF(P519&lt;'PlayerGrades+'!$AG$3,"S-",IF(P519&lt;'PlayerGrades+'!$AG$2,"S","S+"))))))))))))))))))))</f>
        <v>B</v>
      </c>
      <c r="R519" s="937">
        <f t="shared" si="8"/>
        <v>0.4911323329</v>
      </c>
      <c r="S519" s="937" t="str">
        <f>IF(R519&lt;'PlayerGrades+'!$AH$21,"F-",IF(R519&lt;'PlayerGrades+'!$AH$20,"F",IF(R519&lt;'PlayerGrades+'!$AH$19,"F+",IF(R519&lt;'PlayerGrades+'!$AH$18,"E-",IF(R519&lt;'PlayerGrades+'!$AH$17,"E",IF(R519&lt;'PlayerGrades+'!$AH$16,"E+",IF(R519&lt;'PlayerGrades+'!$AH$15,"D-",IF(R519&lt;'PlayerGrades+'!$AH$14,"D",IF(R519&lt;'PlayerGrades+'!$AH$13,"D+",IF(R519&lt;'PlayerGrades+'!$AH$12,"C-",IF(R519&lt;'PlayerGrades+'!$AH$11,"C",IF(R519&lt;'PlayerGrades+'!$AH$10,"C+",IF(R519&lt;'PlayerGrades+'!$AH$9,"B-",IF(R519&lt;'PlayerGrades+'!$AH$8,"B",IF(R519&lt;'PlayerGrades+'!$AH$7,"B+",IF(R519&lt;'PlayerGrades+'!$AH$6,"A-",IF(R519&lt;'PlayerGrades+'!$AH$5,"A",IF(R519&lt;'PlayerGrades+'!$AH$4,"A+",IF(R519&lt;'PlayerGrades+'!$AH$3,"S-",IF(R519&lt;'PlayerGrades+'!$AH$2,"S","S+"))))))))))))))))))))</f>
        <v>E+</v>
      </c>
      <c r="T519" s="937">
        <f t="shared" si="9"/>
        <v>1.327421555</v>
      </c>
      <c r="U519" s="937" t="str">
        <f>IF(T519&lt;'PlayerGrades+'!$AI$21,"F-",IF(T519&lt;'PlayerGrades+'!$AI$20,"F",IF(T519&lt;'PlayerGrades+'!$AI$19,"F+",IF(T519&lt;'PlayerGrades+'!$AI$18,"E-",IF(T519&lt;'PlayerGrades+'!$AI$17,"E",IF(T519&lt;'PlayerGrades+'!$AI$16,"E+",IF(T519&lt;'PlayerGrades+'!$AI$15,"D-",IF(T519&lt;'PlayerGrades+'!$AI$14,"D",IF(T519&lt;'PlayerGrades+'!$AI$13,"D+",IF(T519&lt;'PlayerGrades+'!$AI$12,"C-",IF(T519&lt;'PlayerGrades+'!$AI$11,"C",IF(T519&lt;'PlayerGrades+'!$AI$10,"C+",IF(T519&lt;'PlayerGrades+'!$AI$9,"B-",IF(T519&lt;'PlayerGrades+'!$AI$8,"B",IF(T519&lt;'PlayerGrades+'!$AI$7,"B+",IF(T519&lt;'PlayerGrades+'!$AI$6,"A-",IF(T519&lt;'PlayerGrades+'!$AI$5,"A",IF(T519&lt;'PlayerGrades+'!$AI$4,"A+",IF(T519&lt;'PlayerGrades+'!$AI$3,"S-",IF(T519&lt;'PlayerGrades+'!$AI$2,"S","S+"))))))))))))))))))))</f>
        <v>B-</v>
      </c>
      <c r="V519" s="941">
        <v>1.0</v>
      </c>
      <c r="W519" s="941">
        <v>0.0</v>
      </c>
      <c r="X519" s="941">
        <v>1.0</v>
      </c>
      <c r="Y519" s="941">
        <v>1.0</v>
      </c>
      <c r="Z519" s="941">
        <v>0.0</v>
      </c>
      <c r="AA519" s="941">
        <v>112.0</v>
      </c>
      <c r="AB519" s="941">
        <v>124.0</v>
      </c>
      <c r="AC519" s="941">
        <v>-12.0</v>
      </c>
      <c r="AD519" s="941">
        <v>8.0</v>
      </c>
      <c r="AE519" s="941">
        <v>6.0</v>
      </c>
      <c r="AF519" s="941">
        <v>1.0</v>
      </c>
      <c r="AG519" s="941">
        <v>1704.0</v>
      </c>
      <c r="AH519" s="941">
        <v>2199.0</v>
      </c>
      <c r="AI519" s="941">
        <v>13.0</v>
      </c>
      <c r="AJ519" s="941">
        <v>26.0</v>
      </c>
      <c r="AK519" s="941">
        <v>0.0</v>
      </c>
      <c r="AL519" s="941">
        <v>1.0</v>
      </c>
      <c r="AM519" s="941">
        <v>0.0</v>
      </c>
      <c r="AN519" s="941">
        <v>0.0</v>
      </c>
      <c r="AO519" s="941">
        <v>0.0</v>
      </c>
      <c r="AP519" s="941">
        <v>1.0</v>
      </c>
      <c r="AQ519" s="941">
        <v>0.0</v>
      </c>
      <c r="AR519" s="941">
        <v>20.0</v>
      </c>
      <c r="AS519" s="941">
        <v>4.0</v>
      </c>
      <c r="AT519" s="941">
        <v>1.0</v>
      </c>
      <c r="AU519" s="941">
        <v>1.0</v>
      </c>
      <c r="AV519" s="941">
        <v>0.0</v>
      </c>
      <c r="AW519" s="941">
        <v>0.0</v>
      </c>
      <c r="AX519" s="941">
        <v>0.0</v>
      </c>
      <c r="AY519" s="941">
        <v>0.0</v>
      </c>
      <c r="AZ519" s="941">
        <v>0.0</v>
      </c>
      <c r="BA519" s="941">
        <v>0.0</v>
      </c>
      <c r="BB519" s="941">
        <v>3.0</v>
      </c>
      <c r="BC519" s="941">
        <v>0.0</v>
      </c>
      <c r="BD519" s="941">
        <v>10.0</v>
      </c>
      <c r="BE519" s="941">
        <v>12.0</v>
      </c>
      <c r="BF519" s="941">
        <v>1.0</v>
      </c>
      <c r="BG519" s="942">
        <v>0.0</v>
      </c>
    </row>
    <row r="520">
      <c r="A520" s="935" t="s">
        <v>145</v>
      </c>
      <c r="B520" s="16" t="str">
        <f>IF(C520&lt;'PlayerGrades+'!$Y$44,"F-",IF(C520&lt;'PlayerGrades+'!$Y$43,"F",IF(C520&lt;'PlayerGrades+'!$Y$42,"F+",IF(C520&lt;'PlayerGrades+'!$Y$41,"E-",IF(C520&lt;'PlayerGrades+'!$Y$40,"E",IF(C520&lt;'PlayerGrades+'!$Y$39,"E+",IF(C520&lt;'PlayerGrades+'!$Y$38,"D-",IF(C520&lt;'PlayerGrades+'!$Y$37,"D",IF(C520&lt;'PlayerGrades+'!$Y$36,"D+",IF(C520&lt;'PlayerGrades+'!$Y$35,"C-",IF(C520&lt;'PlayerGrades+'!$Y$34,"C",IF(C520&lt;'PlayerGrades+'!$Y$33,"C+",IF(C520&lt;'PlayerGrades+'!$Y$32,"B-",IF(C520&lt;'PlayerGrades+'!$Y$31,"B",IF(C520&lt;'PlayerGrades+'!$Y$30,"B+",IF(C520&lt;'PlayerGrades+'!$Y$29,"A-",IF(C520&lt;'PlayerGrades+'!$Y$28,"A",IF(C520&lt;'PlayerGrades+'!$Y$27,"A+",IF(C520&lt;'PlayerGrades+'!$Y$26,"S-",IF(C520&lt;'PlayerGrades+'!$Y$25,"S","S+"))))))))))))))))))))</f>
        <v>C-</v>
      </c>
      <c r="C520" s="936">
        <f>('PlayerGrades+'!$Y$47*(VLOOKUP(E520, 'PlayerGrades+'!$X$3:$Y$23, 2, FALSE)))+('PlayerGrades+'!$Y$48*(VLOOKUP(G520, 'PlayerGrades+'!$X$3:$Y$23, 2, FALSE)))+('PlayerGrades+'!$Y$49*(VLOOKUP(I520, 'PlayerGrades+'!$X$3:$Y$23, 2, FALSE)))+('PlayerGrades+'!$Y$50*(VLOOKUP(K520, 'PlayerGrades+'!$X$3:$Y$23, 2, FALSE)))+('PlayerGrades+'!$Y$51*(VLOOKUP(M520, 'PlayerGrades+'!$X$3:$Y$23, 2, FALSE)))+('PlayerGrades+'!$Y$52*(VLOOKUP(O520, 'PlayerGrades+'!$X$3:$Y$23, 2, FALSE)))+('PlayerGrades+'!$Y$53*(VLOOKUP(Q520, 'PlayerGrades+'!$X$3:$Y$23, 2, FALSE)))+('PlayerGrades+'!$Y$54*(VLOOKUP(S520, 'PlayerGrades+'!$X$3:$Y$23, 2, FALSE)))+('PlayerGrades+'!$Y$55*(VLOOKUP(U520, 'PlayerGrades+'!$X$3:$Y$23, 2, FALSE)))</f>
        <v>19</v>
      </c>
      <c r="D520" s="937">
        <f t="shared" si="1"/>
        <v>0.136425648</v>
      </c>
      <c r="E520" s="937" t="str">
        <f>IF(D520&lt;'PlayerGrades+'!$AA$21,"F-",IF(D520&lt;'PlayerGrades+'!$AA$20,"F",IF(D520&lt;'PlayerGrades+'!$AA$19,"F+",IF(D520&lt;'PlayerGrades+'!$AA$18,"E-",IF(D520&lt;'PlayerGrades+'!$AA$17,"E",IF(D520&lt;'PlayerGrades+'!$AA$16,"E+",IF(D520&lt;'PlayerGrades+'!$AA$15,"D-",IF(D520&lt;'PlayerGrades+'!$AA$14,"D",IF(D520&lt;'PlayerGrades+'!$AA$13,"D+",IF(D520&lt;'PlayerGrades+'!$AA$12,"C-",IF(D520&lt;'PlayerGrades+'!$AA$11,"C",IF(D520&lt;'PlayerGrades+'!$AA$10,"C+",IF(D520&lt;'PlayerGrades+'!$AA$9,"B-",IF(D520&lt;'PlayerGrades+'!$AA$8,"B",IF(D520&lt;'PlayerGrades+'!$AA$7,"B+",IF(D520&lt;'PlayerGrades+'!$AA$6,"A-",IF(D520&lt;'PlayerGrades+'!$AA$5,"A",IF(D520&lt;'PlayerGrades+'!$AA$4,"A+",IF(D520&lt;'PlayerGrades+'!$AA$3,"S-",IF(D520&lt;'PlayerGrades+'!$AA$2,"S","S+"))))))))))))))))))))</f>
        <v>B+</v>
      </c>
      <c r="F520" s="937">
        <f t="shared" si="2"/>
        <v>-0.3547066849</v>
      </c>
      <c r="G520" s="937" t="str">
        <f>IF(F520&lt;'PlayerGrades+'!$AB$21,"F-",IF(F520&lt;'PlayerGrades+'!$AB$20,"F",IF(F520&lt;'PlayerGrades+'!$AB$19,"F+",IF(F520&lt;'PlayerGrades+'!$AB$18,"E-",IF(F520&lt;'PlayerGrades+'!$AB$17,"E",IF(F520&lt;'PlayerGrades+'!$AB$16,"E+",IF(F520&lt;'PlayerGrades+'!$AB$15,"D-",IF(F520&lt;'PlayerGrades+'!$AB$14,"D",IF(F520&lt;'PlayerGrades+'!$AB$13,"D+",IF(F520&lt;'PlayerGrades+'!$AB$12,"C-",IF(F520&lt;'PlayerGrades+'!$AB$11,"C",IF(F520&lt;'PlayerGrades+'!$AB$10,"C+",IF(F520&lt;'PlayerGrades+'!$AB$9,"B-",IF(F520&lt;'PlayerGrades+'!$AB$8,"B",IF(F520&lt;'PlayerGrades+'!$AB$7,"B+",IF(F520&lt;'PlayerGrades+'!$AB$6,"A-",IF(F520&lt;'PlayerGrades+'!$AB$5,"A",IF(F520&lt;'PlayerGrades+'!$AB$4,"A+",IF(F520&lt;'PlayerGrades+'!$AB$3,"S-",IF(F520&lt;'PlayerGrades+'!$AB$2,"S","S+"))))))))))))))))))))</f>
        <v>C-</v>
      </c>
      <c r="H520" s="937">
        <f t="shared" si="3"/>
        <v>0.05457025921</v>
      </c>
      <c r="I520" s="937" t="str">
        <f>IF(H520&lt;'PlayerGrades+'!$AC$21,"F-",IF(H520&lt;'PlayerGrades+'!$AC$20,"F",IF(H520&lt;'PlayerGrades+'!$AC$19,"F+",IF(H520&lt;'PlayerGrades+'!$AC$18,"E-",IF(H520&lt;'PlayerGrades+'!$AC$17,"E",IF(H520&lt;'PlayerGrades+'!$AC$16,"E+",IF(H520&lt;'PlayerGrades+'!$AC$15,"D-",IF(H520&lt;'PlayerGrades+'!$AC$14,"D",IF(H520&lt;'PlayerGrades+'!$AC$13,"D+",IF(H520&lt;'PlayerGrades+'!$AC$12,"C-",IF(H520&lt;'PlayerGrades+'!$AC$11,"C",IF(H520&lt;'PlayerGrades+'!$AC$10,"C+",IF(H520&lt;'PlayerGrades+'!$AC$9,"B-",IF(H520&lt;'PlayerGrades+'!$AC$8,"B",IF(H520&lt;'PlayerGrades+'!$AC$7,"B+",IF(H520&lt;'PlayerGrades+'!$AC$6,"A-",IF(H520&lt;'PlayerGrades+'!$AC$5,"A",IF(H520&lt;'PlayerGrades+'!$AC$4,"A+",IF(H520&lt;'PlayerGrades+'!$AC$3,"S-",IF(H520&lt;'PlayerGrades+'!$AC$2,"S","S+"))))))))))))))))))))</f>
        <v>F+</v>
      </c>
      <c r="J520" s="937">
        <f t="shared" si="4"/>
        <v>0.0272851296</v>
      </c>
      <c r="K520" s="937" t="str">
        <f>IF(J520&lt;'PlayerGrades+'!$AD$21,"F-",IF(J520&lt;'PlayerGrades+'!$AD$20,"F",IF(J520&lt;'PlayerGrades+'!$AD$19,"F+",IF(J520&lt;'PlayerGrades+'!$AD$18,"E-",IF(J520&lt;'PlayerGrades+'!$AD$17,"E",IF(J520&lt;'PlayerGrades+'!$AD$16,"E+",IF(J520&lt;'PlayerGrades+'!$AD$15,"D-",IF(J520&lt;'PlayerGrades+'!$AD$14,"D",IF(J520&lt;'PlayerGrades+'!$AD$13,"D+",IF(J520&lt;'PlayerGrades+'!$AD$12,"C-",IF(J520&lt;'PlayerGrades+'!$AD$11,"C",IF(J520&lt;'PlayerGrades+'!$AD$10,"C+",IF(J520&lt;'PlayerGrades+'!$AD$9,"B-",IF(J520&lt;'PlayerGrades+'!$AD$8,"B",IF(J520&lt;'PlayerGrades+'!$AD$7,"B+",IF(J520&lt;'PlayerGrades+'!$AD$6,"A-",IF(J520&lt;'PlayerGrades+'!$AD$5,"A",IF(J520&lt;'PlayerGrades+'!$AD$4,"A+",IF(J520&lt;'PlayerGrades+'!$AD$3,"S-",IF(J520&lt;'PlayerGrades+'!$AD$2,"S","S+"))))))))))))))))))))</f>
        <v>D+</v>
      </c>
      <c r="L520" s="677">
        <f t="shared" si="5"/>
        <v>0.3274215553</v>
      </c>
      <c r="M520" s="938" t="str">
        <f>IF(L520&lt;'PlayerGrades+'!$AE$21,"F-",IF(L520&lt;'PlayerGrades+'!$AE$20,"F",IF(L520&lt;'PlayerGrades+'!$AE$19,"F+",IF(L520&lt;'PlayerGrades+'!$AE$18,"E-",IF(L520&lt;'PlayerGrades+'!$AE$17,"E",IF(L520&lt;'PlayerGrades+'!$AE$16,"E+",IF(L520&lt;'PlayerGrades+'!$AE$15,"D-",IF(L520&lt;'PlayerGrades+'!$AE$14,"D",IF(L520&lt;'PlayerGrades+'!$AE$13,"D+",IF(L520&lt;'PlayerGrades+'!$AE$12,"C-",IF(L520&lt;'PlayerGrades+'!$AE$11,"C",IF(L520&lt;'PlayerGrades+'!$AE$10,"C+",IF(L520&lt;'PlayerGrades+'!$AE$9,"B-",IF(L520&lt;'PlayerGrades+'!$AE$8,"B",IF(L520&lt;'PlayerGrades+'!$AE$7,"B+",IF(L520&lt;'PlayerGrades+'!$AE$6,"A-",IF(L520&lt;'PlayerGrades+'!$AE$5,"A",IF(L520&lt;'PlayerGrades+'!$AE$4,"A+",IF(L520&lt;'PlayerGrades+'!$AE$3,"S-",IF(L520&lt;'PlayerGrades+'!$AE$2,"S","S+"))))))))))))))))))))</f>
        <v>E+</v>
      </c>
      <c r="N520" s="937">
        <f t="shared" si="6"/>
        <v>0.0272851296</v>
      </c>
      <c r="O520" s="937" t="str">
        <f>IF(N520&lt;'PlayerGrades+'!$AF$21,"F-",IF(N520&lt;'PlayerGrades+'!$AF$20,"F",IF(N520&lt;'PlayerGrades+'!$AF$19,"F+",IF(N520&lt;'PlayerGrades+'!$AF$18,"E-",IF(N520&lt;'PlayerGrades+'!$AF$17,"E",IF(N520&lt;'PlayerGrades+'!$AF$16,"E+",IF(N520&lt;'PlayerGrades+'!$AF$15,"D-",IF(N520&lt;'PlayerGrades+'!$AF$14,"D",IF(N520&lt;'PlayerGrades+'!$AF$13,"D+",IF(N520&lt;'PlayerGrades+'!$AF$12,"C-",IF(N520&lt;'PlayerGrades+'!$AF$11,"C",IF(N520&lt;'PlayerGrades+'!$AF$10,"C+",IF(N520&lt;'PlayerGrades+'!$AF$9,"B-",IF(N520&lt;'PlayerGrades+'!$AF$8,"B",IF(N520&lt;'PlayerGrades+'!$AF$7,"B+",IF(N520&lt;'PlayerGrades+'!$AF$6,"A-",IF(N520&lt;'PlayerGrades+'!$AF$5,"A",IF(N520&lt;'PlayerGrades+'!$AF$4,"A+",IF(N520&lt;'PlayerGrades+'!$AF$3,"S-",IF(N520&lt;'PlayerGrades+'!$AF$2,"S","S+"))))))))))))))))))))</f>
        <v>F</v>
      </c>
      <c r="P520" s="937">
        <f t="shared" si="7"/>
        <v>0.0272851296</v>
      </c>
      <c r="Q520" s="937" t="str">
        <f>IF(P520&lt;'PlayerGrades+'!$AG$21,"F-",IF(P520&lt;'PlayerGrades+'!$AG$20,"F",IF(P520&lt;'PlayerGrades+'!$AG$19,"F+",IF(P520&lt;'PlayerGrades+'!$AG$18,"E-",IF(P520&lt;'PlayerGrades+'!$AG$17,"E",IF(P520&lt;'PlayerGrades+'!$AG$16,"E+",IF(P520&lt;'PlayerGrades+'!$AG$15,"D-",IF(P520&lt;'PlayerGrades+'!$AG$14,"D",IF(P520&lt;'PlayerGrades+'!$AG$13,"D+",IF(P520&lt;'PlayerGrades+'!$AG$12,"C-",IF(P520&lt;'PlayerGrades+'!$AG$11,"C",IF(P520&lt;'PlayerGrades+'!$AG$10,"C+",IF(P520&lt;'PlayerGrades+'!$AG$9,"B-",IF(P520&lt;'PlayerGrades+'!$AG$8,"B",IF(P520&lt;'PlayerGrades+'!$AG$7,"B+",IF(P520&lt;'PlayerGrades+'!$AG$6,"A-",IF(P520&lt;'PlayerGrades+'!$AG$5,"A",IF(P520&lt;'PlayerGrades+'!$AG$4,"A+",IF(P520&lt;'PlayerGrades+'!$AG$3,"S-",IF(P520&lt;'PlayerGrades+'!$AG$2,"S","S+"))))))))))))))))))))</f>
        <v>B</v>
      </c>
      <c r="R520" s="937">
        <f t="shared" si="8"/>
        <v>0.7366984993</v>
      </c>
      <c r="S520" s="937" t="str">
        <f>IF(R520&lt;'PlayerGrades+'!$AH$21,"F-",IF(R520&lt;'PlayerGrades+'!$AH$20,"F",IF(R520&lt;'PlayerGrades+'!$AH$19,"F+",IF(R520&lt;'PlayerGrades+'!$AH$18,"E-",IF(R520&lt;'PlayerGrades+'!$AH$17,"E",IF(R520&lt;'PlayerGrades+'!$AH$16,"E+",IF(R520&lt;'PlayerGrades+'!$AH$15,"D-",IF(R520&lt;'PlayerGrades+'!$AH$14,"D",IF(R520&lt;'PlayerGrades+'!$AH$13,"D+",IF(R520&lt;'PlayerGrades+'!$AH$12,"C-",IF(R520&lt;'PlayerGrades+'!$AH$11,"C",IF(R520&lt;'PlayerGrades+'!$AH$10,"C+",IF(R520&lt;'PlayerGrades+'!$AH$9,"B-",IF(R520&lt;'PlayerGrades+'!$AH$8,"B",IF(R520&lt;'PlayerGrades+'!$AH$7,"B+",IF(R520&lt;'PlayerGrades+'!$AH$6,"A-",IF(R520&lt;'PlayerGrades+'!$AH$5,"A",IF(R520&lt;'PlayerGrades+'!$AH$4,"A+",IF(R520&lt;'PlayerGrades+'!$AH$3,"S-",IF(R520&lt;'PlayerGrades+'!$AH$2,"S","S+"))))))))))))))))))))</f>
        <v>S</v>
      </c>
      <c r="T520" s="937">
        <f t="shared" si="9"/>
        <v>4.491132333</v>
      </c>
      <c r="U520" s="937" t="str">
        <f>IF(T520&lt;'PlayerGrades+'!$AI$21,"F-",IF(T520&lt;'PlayerGrades+'!$AI$20,"F",IF(T520&lt;'PlayerGrades+'!$AI$19,"F+",IF(T520&lt;'PlayerGrades+'!$AI$18,"E-",IF(T520&lt;'PlayerGrades+'!$AI$17,"E",IF(T520&lt;'PlayerGrades+'!$AI$16,"E+",IF(T520&lt;'PlayerGrades+'!$AI$15,"D-",IF(T520&lt;'PlayerGrades+'!$AI$14,"D",IF(T520&lt;'PlayerGrades+'!$AI$13,"D+",IF(T520&lt;'PlayerGrades+'!$AI$12,"C-",IF(T520&lt;'PlayerGrades+'!$AI$11,"C",IF(T520&lt;'PlayerGrades+'!$AI$10,"C+",IF(T520&lt;'PlayerGrades+'!$AI$9,"B-",IF(T520&lt;'PlayerGrades+'!$AI$8,"B",IF(T520&lt;'PlayerGrades+'!$AI$7,"B+",IF(T520&lt;'PlayerGrades+'!$AI$6,"A-",IF(T520&lt;'PlayerGrades+'!$AI$5,"A",IF(T520&lt;'PlayerGrades+'!$AI$4,"A+",IF(T520&lt;'PlayerGrades+'!$AI$3,"S-",IF(T520&lt;'PlayerGrades+'!$AI$2,"S","S+"))))))))))))))))))))</f>
        <v>S+</v>
      </c>
      <c r="V520" s="941">
        <v>1.0</v>
      </c>
      <c r="W520" s="941">
        <v>0.0</v>
      </c>
      <c r="X520" s="941">
        <v>1.0</v>
      </c>
      <c r="Y520" s="941">
        <v>1.0</v>
      </c>
      <c r="Z520" s="941">
        <v>4.0</v>
      </c>
      <c r="AA520" s="941">
        <v>106.0</v>
      </c>
      <c r="AB520" s="941">
        <v>119.0</v>
      </c>
      <c r="AC520" s="941">
        <v>-13.0</v>
      </c>
      <c r="AD520" s="941">
        <v>8.0</v>
      </c>
      <c r="AE520" s="941">
        <v>6.0</v>
      </c>
      <c r="AF520" s="941">
        <v>0.0</v>
      </c>
      <c r="AG520" s="941">
        <v>1727.0</v>
      </c>
      <c r="AH520" s="941">
        <v>2199.0</v>
      </c>
      <c r="AI520" s="941">
        <v>14.0</v>
      </c>
      <c r="AJ520" s="941">
        <v>30.0</v>
      </c>
      <c r="AK520" s="941">
        <v>0.0</v>
      </c>
      <c r="AL520" s="941">
        <v>1.0</v>
      </c>
      <c r="AM520" s="941">
        <v>0.0</v>
      </c>
      <c r="AN520" s="941">
        <v>0.0</v>
      </c>
      <c r="AO520" s="941">
        <v>0.0</v>
      </c>
      <c r="AP520" s="941">
        <v>1.0</v>
      </c>
      <c r="AQ520" s="941">
        <v>0.0</v>
      </c>
      <c r="AR520" s="941">
        <v>12.0</v>
      </c>
      <c r="AS520" s="941">
        <v>1.0</v>
      </c>
      <c r="AT520" s="941">
        <v>0.0</v>
      </c>
      <c r="AU520" s="941">
        <v>0.0</v>
      </c>
      <c r="AV520" s="941">
        <v>0.0</v>
      </c>
      <c r="AW520" s="941">
        <v>0.0</v>
      </c>
      <c r="AX520" s="941">
        <v>0.0</v>
      </c>
      <c r="AY520" s="941">
        <v>0.0</v>
      </c>
      <c r="AZ520" s="941">
        <v>0.0</v>
      </c>
      <c r="BA520" s="941">
        <v>0.0</v>
      </c>
      <c r="BB520" s="941">
        <v>2.0</v>
      </c>
      <c r="BC520" s="941">
        <v>0.0</v>
      </c>
      <c r="BD520" s="941">
        <v>19.0</v>
      </c>
      <c r="BE520" s="941">
        <v>18.0</v>
      </c>
      <c r="BF520" s="941">
        <v>4.0</v>
      </c>
      <c r="BG520" s="942">
        <v>0.0</v>
      </c>
    </row>
    <row r="521">
      <c r="A521" s="943" t="s">
        <v>156</v>
      </c>
      <c r="B521" s="16" t="str">
        <f>IF(C521&lt;'PlayerGrades+'!$Y$44,"F-",IF(C521&lt;'PlayerGrades+'!$Y$43,"F",IF(C521&lt;'PlayerGrades+'!$Y$42,"F+",IF(C521&lt;'PlayerGrades+'!$Y$41,"E-",IF(C521&lt;'PlayerGrades+'!$Y$40,"E",IF(C521&lt;'PlayerGrades+'!$Y$39,"E+",IF(C521&lt;'PlayerGrades+'!$Y$38,"D-",IF(C521&lt;'PlayerGrades+'!$Y$37,"D",IF(C521&lt;'PlayerGrades+'!$Y$36,"D+",IF(C521&lt;'PlayerGrades+'!$Y$35,"C-",IF(C521&lt;'PlayerGrades+'!$Y$34,"C",IF(C521&lt;'PlayerGrades+'!$Y$33,"C+",IF(C521&lt;'PlayerGrades+'!$Y$32,"B-",IF(C521&lt;'PlayerGrades+'!$Y$31,"B",IF(C521&lt;'PlayerGrades+'!$Y$30,"B+",IF(C521&lt;'PlayerGrades+'!$Y$29,"A-",IF(C521&lt;'PlayerGrades+'!$Y$28,"A",IF(C521&lt;'PlayerGrades+'!$Y$27,"A+",IF(C521&lt;'PlayerGrades+'!$Y$26,"S-",IF(C521&lt;'PlayerGrades+'!$Y$25,"S","S+"))))))))))))))))))))</f>
        <v>D-</v>
      </c>
      <c r="C521" s="936">
        <f>('PlayerGrades+'!$Y$47*(VLOOKUP(E521, 'PlayerGrades+'!$X$3:$Y$23, 2, FALSE)))+('PlayerGrades+'!$Y$48*(VLOOKUP(G521, 'PlayerGrades+'!$X$3:$Y$23, 2, FALSE)))+('PlayerGrades+'!$Y$49*(VLOOKUP(I521, 'PlayerGrades+'!$X$3:$Y$23, 2, FALSE)))+('PlayerGrades+'!$Y$50*(VLOOKUP(K521, 'PlayerGrades+'!$X$3:$Y$23, 2, FALSE)))+('PlayerGrades+'!$Y$51*(VLOOKUP(M521, 'PlayerGrades+'!$X$3:$Y$23, 2, FALSE)))+('PlayerGrades+'!$Y$52*(VLOOKUP(O521, 'PlayerGrades+'!$X$3:$Y$23, 2, FALSE)))+('PlayerGrades+'!$Y$53*(VLOOKUP(Q521, 'PlayerGrades+'!$X$3:$Y$23, 2, FALSE)))+('PlayerGrades+'!$Y$54*(VLOOKUP(S521, 'PlayerGrades+'!$X$3:$Y$23, 2, FALSE)))+('PlayerGrades+'!$Y$55*(VLOOKUP(U521, 'PlayerGrades+'!$X$3:$Y$23, 2, FALSE)))</f>
        <v>15</v>
      </c>
      <c r="D521" s="937">
        <f t="shared" si="1"/>
        <v>0</v>
      </c>
      <c r="E521" s="937" t="str">
        <f>IF(D521&lt;'PlayerGrades+'!$AA$21,"F-",IF(D521&lt;'PlayerGrades+'!$AA$20,"F",IF(D521&lt;'PlayerGrades+'!$AA$19,"F+",IF(D521&lt;'PlayerGrades+'!$AA$18,"E-",IF(D521&lt;'PlayerGrades+'!$AA$17,"E",IF(D521&lt;'PlayerGrades+'!$AA$16,"E+",IF(D521&lt;'PlayerGrades+'!$AA$15,"D-",IF(D521&lt;'PlayerGrades+'!$AA$14,"D",IF(D521&lt;'PlayerGrades+'!$AA$13,"D+",IF(D521&lt;'PlayerGrades+'!$AA$12,"C-",IF(D521&lt;'PlayerGrades+'!$AA$11,"C",IF(D521&lt;'PlayerGrades+'!$AA$10,"C+",IF(D521&lt;'PlayerGrades+'!$AA$9,"B-",IF(D521&lt;'PlayerGrades+'!$AA$8,"B",IF(D521&lt;'PlayerGrades+'!$AA$7,"B+",IF(D521&lt;'PlayerGrades+'!$AA$6,"A-",IF(D521&lt;'PlayerGrades+'!$AA$5,"A",IF(D521&lt;'PlayerGrades+'!$AA$4,"A+",IF(D521&lt;'PlayerGrades+'!$AA$3,"S-",IF(D521&lt;'PlayerGrades+'!$AA$2,"S","S+"))))))))))))))))))))</f>
        <v>F-</v>
      </c>
      <c r="F521" s="937">
        <f t="shared" si="2"/>
        <v>-0.5457025921</v>
      </c>
      <c r="G521" s="937" t="str">
        <f>IF(F521&lt;'PlayerGrades+'!$AB$21,"F-",IF(F521&lt;'PlayerGrades+'!$AB$20,"F",IF(F521&lt;'PlayerGrades+'!$AB$19,"F+",IF(F521&lt;'PlayerGrades+'!$AB$18,"E-",IF(F521&lt;'PlayerGrades+'!$AB$17,"E",IF(F521&lt;'PlayerGrades+'!$AB$16,"E+",IF(F521&lt;'PlayerGrades+'!$AB$15,"D-",IF(F521&lt;'PlayerGrades+'!$AB$14,"D",IF(F521&lt;'PlayerGrades+'!$AB$13,"D+",IF(F521&lt;'PlayerGrades+'!$AB$12,"C-",IF(F521&lt;'PlayerGrades+'!$AB$11,"C",IF(F521&lt;'PlayerGrades+'!$AB$10,"C+",IF(F521&lt;'PlayerGrades+'!$AB$9,"B-",IF(F521&lt;'PlayerGrades+'!$AB$8,"B",IF(F521&lt;'PlayerGrades+'!$AB$7,"B+",IF(F521&lt;'PlayerGrades+'!$AB$6,"A-",IF(F521&lt;'PlayerGrades+'!$AB$5,"A",IF(F521&lt;'PlayerGrades+'!$AB$4,"A+",IF(F521&lt;'PlayerGrades+'!$AB$3,"S-",IF(F521&lt;'PlayerGrades+'!$AB$2,"S","S+"))))))))))))))))))))</f>
        <v>D</v>
      </c>
      <c r="H521" s="937">
        <f t="shared" si="3"/>
        <v>0.1091405184</v>
      </c>
      <c r="I521" s="937" t="str">
        <f>IF(H521&lt;'PlayerGrades+'!$AC$21,"F-",IF(H521&lt;'PlayerGrades+'!$AC$20,"F",IF(H521&lt;'PlayerGrades+'!$AC$19,"F+",IF(H521&lt;'PlayerGrades+'!$AC$18,"E-",IF(H521&lt;'PlayerGrades+'!$AC$17,"E",IF(H521&lt;'PlayerGrades+'!$AC$16,"E+",IF(H521&lt;'PlayerGrades+'!$AC$15,"D-",IF(H521&lt;'PlayerGrades+'!$AC$14,"D",IF(H521&lt;'PlayerGrades+'!$AC$13,"D+",IF(H521&lt;'PlayerGrades+'!$AC$12,"C-",IF(H521&lt;'PlayerGrades+'!$AC$11,"C",IF(H521&lt;'PlayerGrades+'!$AC$10,"C+",IF(H521&lt;'PlayerGrades+'!$AC$9,"B-",IF(H521&lt;'PlayerGrades+'!$AC$8,"B",IF(H521&lt;'PlayerGrades+'!$AC$7,"B+",IF(H521&lt;'PlayerGrades+'!$AC$6,"A-",IF(H521&lt;'PlayerGrades+'!$AC$5,"A",IF(H521&lt;'PlayerGrades+'!$AC$4,"A+",IF(H521&lt;'PlayerGrades+'!$AC$3,"S-",IF(H521&lt;'PlayerGrades+'!$AC$2,"S","S+"))))))))))))))))))))</f>
        <v>C</v>
      </c>
      <c r="J521" s="937">
        <f t="shared" si="4"/>
        <v>0</v>
      </c>
      <c r="K521" s="937" t="str">
        <f>IF(J521&lt;'PlayerGrades+'!$AD$21,"F-",IF(J521&lt;'PlayerGrades+'!$AD$20,"F",IF(J521&lt;'PlayerGrades+'!$AD$19,"F+",IF(J521&lt;'PlayerGrades+'!$AD$18,"E-",IF(J521&lt;'PlayerGrades+'!$AD$17,"E",IF(J521&lt;'PlayerGrades+'!$AD$16,"E+",IF(J521&lt;'PlayerGrades+'!$AD$15,"D-",IF(J521&lt;'PlayerGrades+'!$AD$14,"D",IF(J521&lt;'PlayerGrades+'!$AD$13,"D+",IF(J521&lt;'PlayerGrades+'!$AD$12,"C-",IF(J521&lt;'PlayerGrades+'!$AD$11,"C",IF(J521&lt;'PlayerGrades+'!$AD$10,"C+",IF(J521&lt;'PlayerGrades+'!$AD$9,"B-",IF(J521&lt;'PlayerGrades+'!$AD$8,"B",IF(J521&lt;'PlayerGrades+'!$AD$7,"B+",IF(J521&lt;'PlayerGrades+'!$AD$6,"A-",IF(J521&lt;'PlayerGrades+'!$AD$5,"A",IF(J521&lt;'PlayerGrades+'!$AD$4,"A+",IF(J521&lt;'PlayerGrades+'!$AD$3,"S-",IF(J521&lt;'PlayerGrades+'!$AD$2,"S","S+"))))))))))))))))))))</f>
        <v>F-</v>
      </c>
      <c r="L521" s="677">
        <f t="shared" si="5"/>
        <v>0.3001364256</v>
      </c>
      <c r="M521" s="938" t="str">
        <f>IF(L521&lt;'PlayerGrades+'!$AE$21,"F-",IF(L521&lt;'PlayerGrades+'!$AE$20,"F",IF(L521&lt;'PlayerGrades+'!$AE$19,"F+",IF(L521&lt;'PlayerGrades+'!$AE$18,"E-",IF(L521&lt;'PlayerGrades+'!$AE$17,"E",IF(L521&lt;'PlayerGrades+'!$AE$16,"E+",IF(L521&lt;'PlayerGrades+'!$AE$15,"D-",IF(L521&lt;'PlayerGrades+'!$AE$14,"D",IF(L521&lt;'PlayerGrades+'!$AE$13,"D+",IF(L521&lt;'PlayerGrades+'!$AE$12,"C-",IF(L521&lt;'PlayerGrades+'!$AE$11,"C",IF(L521&lt;'PlayerGrades+'!$AE$10,"C+",IF(L521&lt;'PlayerGrades+'!$AE$9,"B-",IF(L521&lt;'PlayerGrades+'!$AE$8,"B",IF(L521&lt;'PlayerGrades+'!$AE$7,"B+",IF(L521&lt;'PlayerGrades+'!$AE$6,"A-",IF(L521&lt;'PlayerGrades+'!$AE$5,"A",IF(L521&lt;'PlayerGrades+'!$AE$4,"A+",IF(L521&lt;'PlayerGrades+'!$AE$3,"S-",IF(L521&lt;'PlayerGrades+'!$AE$2,"S","S+"))))))))))))))))))))</f>
        <v>E-</v>
      </c>
      <c r="N521" s="937">
        <f t="shared" si="6"/>
        <v>0.08185538881</v>
      </c>
      <c r="O521" s="937" t="str">
        <f>IF(N521&lt;'PlayerGrades+'!$AF$21,"F-",IF(N521&lt;'PlayerGrades+'!$AF$20,"F",IF(N521&lt;'PlayerGrades+'!$AF$19,"F+",IF(N521&lt;'PlayerGrades+'!$AF$18,"E-",IF(N521&lt;'PlayerGrades+'!$AF$17,"E",IF(N521&lt;'PlayerGrades+'!$AF$16,"E+",IF(N521&lt;'PlayerGrades+'!$AF$15,"D-",IF(N521&lt;'PlayerGrades+'!$AF$14,"D",IF(N521&lt;'PlayerGrades+'!$AF$13,"D+",IF(N521&lt;'PlayerGrades+'!$AF$12,"C-",IF(N521&lt;'PlayerGrades+'!$AF$11,"C",IF(N521&lt;'PlayerGrades+'!$AF$10,"C+",IF(N521&lt;'PlayerGrades+'!$AF$9,"B-",IF(N521&lt;'PlayerGrades+'!$AF$8,"B",IF(N521&lt;'PlayerGrades+'!$AF$7,"B+",IF(N521&lt;'PlayerGrades+'!$AF$6,"A-",IF(N521&lt;'PlayerGrades+'!$AF$5,"A",IF(N521&lt;'PlayerGrades+'!$AF$4,"A+",IF(N521&lt;'PlayerGrades+'!$AF$3,"S-",IF(N521&lt;'PlayerGrades+'!$AF$2,"S","S+"))))))))))))))))))))</f>
        <v>B</v>
      </c>
      <c r="P521" s="937">
        <f t="shared" si="7"/>
        <v>0</v>
      </c>
      <c r="Q521" s="937" t="str">
        <f>IF(P521&lt;'PlayerGrades+'!$AG$21,"F-",IF(P521&lt;'PlayerGrades+'!$AG$20,"F",IF(P521&lt;'PlayerGrades+'!$AG$19,"F+",IF(P521&lt;'PlayerGrades+'!$AG$18,"E-",IF(P521&lt;'PlayerGrades+'!$AG$17,"E",IF(P521&lt;'PlayerGrades+'!$AG$16,"E+",IF(P521&lt;'PlayerGrades+'!$AG$15,"D-",IF(P521&lt;'PlayerGrades+'!$AG$14,"D",IF(P521&lt;'PlayerGrades+'!$AG$13,"D+",IF(P521&lt;'PlayerGrades+'!$AG$12,"C-",IF(P521&lt;'PlayerGrades+'!$AG$11,"C",IF(P521&lt;'PlayerGrades+'!$AG$10,"C+",IF(P521&lt;'PlayerGrades+'!$AG$9,"B-",IF(P521&lt;'PlayerGrades+'!$AG$8,"B",IF(P521&lt;'PlayerGrades+'!$AG$7,"B+",IF(P521&lt;'PlayerGrades+'!$AG$6,"A-",IF(P521&lt;'PlayerGrades+'!$AG$5,"A",IF(P521&lt;'PlayerGrades+'!$AG$4,"A+",IF(P521&lt;'PlayerGrades+'!$AG$3,"S-",IF(P521&lt;'PlayerGrades+'!$AG$2,"S","S+"))))))))))))))))))))</f>
        <v>F</v>
      </c>
      <c r="R521" s="937">
        <f t="shared" si="8"/>
        <v>0.5729877217</v>
      </c>
      <c r="S521" s="937" t="str">
        <f>IF(R521&lt;'PlayerGrades+'!$AH$21,"F-",IF(R521&lt;'PlayerGrades+'!$AH$20,"F",IF(R521&lt;'PlayerGrades+'!$AH$19,"F+",IF(R521&lt;'PlayerGrades+'!$AH$18,"E-",IF(R521&lt;'PlayerGrades+'!$AH$17,"E",IF(R521&lt;'PlayerGrades+'!$AH$16,"E+",IF(R521&lt;'PlayerGrades+'!$AH$15,"D-",IF(R521&lt;'PlayerGrades+'!$AH$14,"D",IF(R521&lt;'PlayerGrades+'!$AH$13,"D+",IF(R521&lt;'PlayerGrades+'!$AH$12,"C-",IF(R521&lt;'PlayerGrades+'!$AH$11,"C",IF(R521&lt;'PlayerGrades+'!$AH$10,"C+",IF(R521&lt;'PlayerGrades+'!$AH$9,"B-",IF(R521&lt;'PlayerGrades+'!$AH$8,"B",IF(R521&lt;'PlayerGrades+'!$AH$7,"B+",IF(R521&lt;'PlayerGrades+'!$AH$6,"A-",IF(R521&lt;'PlayerGrades+'!$AH$5,"A",IF(R521&lt;'PlayerGrades+'!$AH$4,"A+",IF(R521&lt;'PlayerGrades+'!$AH$3,"S-",IF(R521&lt;'PlayerGrades+'!$AH$2,"S","S+"))))))))))))))))))))</f>
        <v>B</v>
      </c>
      <c r="T521" s="937">
        <f t="shared" si="9"/>
        <v>0.3819918145</v>
      </c>
      <c r="U521" s="937" t="str">
        <f>IF(T521&lt;'PlayerGrades+'!$AI$21,"F-",IF(T521&lt;'PlayerGrades+'!$AI$20,"F",IF(T521&lt;'PlayerGrades+'!$AI$19,"F+",IF(T521&lt;'PlayerGrades+'!$AI$18,"E-",IF(T521&lt;'PlayerGrades+'!$AI$17,"E",IF(T521&lt;'PlayerGrades+'!$AI$16,"E+",IF(T521&lt;'PlayerGrades+'!$AI$15,"D-",IF(T521&lt;'PlayerGrades+'!$AI$14,"D",IF(T521&lt;'PlayerGrades+'!$AI$13,"D+",IF(T521&lt;'PlayerGrades+'!$AI$12,"C-",IF(T521&lt;'PlayerGrades+'!$AI$11,"C",IF(T521&lt;'PlayerGrades+'!$AI$10,"C+",IF(T521&lt;'PlayerGrades+'!$AI$9,"B-",IF(T521&lt;'PlayerGrades+'!$AI$8,"B",IF(T521&lt;'PlayerGrades+'!$AI$7,"B+",IF(T521&lt;'PlayerGrades+'!$AI$6,"A-",IF(T521&lt;'PlayerGrades+'!$AI$5,"A",IF(T521&lt;'PlayerGrades+'!$AI$4,"A+",IF(T521&lt;'PlayerGrades+'!$AI$3,"S-",IF(T521&lt;'PlayerGrades+'!$AI$2,"S","S+"))))))))))))))))))))</f>
        <v>F-</v>
      </c>
      <c r="V521" s="944">
        <v>1.0</v>
      </c>
      <c r="W521" s="944">
        <v>0.0</v>
      </c>
      <c r="X521" s="944">
        <v>1.0</v>
      </c>
      <c r="Y521" s="944">
        <v>0.0</v>
      </c>
      <c r="Z521" s="944">
        <v>0.0</v>
      </c>
      <c r="AA521" s="944">
        <v>102.0</v>
      </c>
      <c r="AB521" s="944">
        <v>122.0</v>
      </c>
      <c r="AC521" s="944">
        <v>-20.0</v>
      </c>
      <c r="AD521" s="944">
        <v>7.0</v>
      </c>
      <c r="AE521" s="944">
        <v>4.0</v>
      </c>
      <c r="AF521" s="944">
        <v>2.0</v>
      </c>
      <c r="AG521" s="944">
        <v>1714.0</v>
      </c>
      <c r="AH521" s="944">
        <v>2199.0</v>
      </c>
      <c r="AI521" s="944">
        <v>14.0</v>
      </c>
      <c r="AJ521" s="944">
        <v>12.0</v>
      </c>
      <c r="AK521" s="944">
        <v>0.0</v>
      </c>
      <c r="AL521" s="944">
        <v>0.0</v>
      </c>
      <c r="AM521" s="944">
        <v>0.0</v>
      </c>
      <c r="AN521" s="944">
        <v>0.0</v>
      </c>
      <c r="AO521" s="944">
        <v>0.0</v>
      </c>
      <c r="AP521" s="944">
        <v>0.0</v>
      </c>
      <c r="AQ521" s="944">
        <v>0.0</v>
      </c>
      <c r="AR521" s="944">
        <v>11.0</v>
      </c>
      <c r="AS521" s="944">
        <v>3.0</v>
      </c>
      <c r="AT521" s="944">
        <v>1.0</v>
      </c>
      <c r="AU521" s="944">
        <v>0.0</v>
      </c>
      <c r="AV521" s="944">
        <v>0.0</v>
      </c>
      <c r="AW521" s="944">
        <v>0.0</v>
      </c>
      <c r="AX521" s="944">
        <v>0.0</v>
      </c>
      <c r="AY521" s="944">
        <v>0.0</v>
      </c>
      <c r="AZ521" s="944">
        <v>0.0</v>
      </c>
      <c r="BA521" s="944">
        <v>0.0</v>
      </c>
      <c r="BB521" s="944">
        <v>4.0</v>
      </c>
      <c r="BC521" s="944">
        <v>0.0</v>
      </c>
      <c r="BD521" s="944">
        <v>14.0</v>
      </c>
      <c r="BE521" s="944">
        <v>14.0</v>
      </c>
      <c r="BF521" s="944">
        <v>0.0</v>
      </c>
      <c r="BG521" s="945">
        <v>0.0</v>
      </c>
    </row>
    <row r="522">
      <c r="A522" s="946" t="s">
        <v>123</v>
      </c>
      <c r="B522" s="16" t="str">
        <f>IF(C522&lt;'PlayerGrades+'!$Y$44,"F-",IF(C522&lt;'PlayerGrades+'!$Y$43,"F",IF(C522&lt;'PlayerGrades+'!$Y$42,"F+",IF(C522&lt;'PlayerGrades+'!$Y$41,"E-",IF(C522&lt;'PlayerGrades+'!$Y$40,"E",IF(C522&lt;'PlayerGrades+'!$Y$39,"E+",IF(C522&lt;'PlayerGrades+'!$Y$38,"D-",IF(C522&lt;'PlayerGrades+'!$Y$37,"D",IF(C522&lt;'PlayerGrades+'!$Y$36,"D+",IF(C522&lt;'PlayerGrades+'!$Y$35,"C-",IF(C522&lt;'PlayerGrades+'!$Y$34,"C",IF(C522&lt;'PlayerGrades+'!$Y$33,"C+",IF(C522&lt;'PlayerGrades+'!$Y$32,"B-",IF(C522&lt;'PlayerGrades+'!$Y$31,"B",IF(C522&lt;'PlayerGrades+'!$Y$30,"B+",IF(C522&lt;'PlayerGrades+'!$Y$29,"A-",IF(C522&lt;'PlayerGrades+'!$Y$28,"A",IF(C522&lt;'PlayerGrades+'!$Y$27,"A+",IF(C522&lt;'PlayerGrades+'!$Y$26,"S-",IF(C522&lt;'PlayerGrades+'!$Y$25,"S","S+"))))))))))))))))))))</f>
        <v>D</v>
      </c>
      <c r="C522" s="936">
        <f>('PlayerGrades+'!$Y$47*(VLOOKUP(E522, 'PlayerGrades+'!$X$3:$Y$23, 2, FALSE)))+('PlayerGrades+'!$Y$48*(VLOOKUP(G522, 'PlayerGrades+'!$X$3:$Y$23, 2, FALSE)))+('PlayerGrades+'!$Y$49*(VLOOKUP(I522, 'PlayerGrades+'!$X$3:$Y$23, 2, FALSE)))+('PlayerGrades+'!$Y$50*(VLOOKUP(K522, 'PlayerGrades+'!$X$3:$Y$23, 2, FALSE)))+('PlayerGrades+'!$Y$51*(VLOOKUP(M522, 'PlayerGrades+'!$X$3:$Y$23, 2, FALSE)))+('PlayerGrades+'!$Y$52*(VLOOKUP(O522, 'PlayerGrades+'!$X$3:$Y$23, 2, FALSE)))+('PlayerGrades+'!$Y$53*(VLOOKUP(Q522, 'PlayerGrades+'!$X$3:$Y$23, 2, FALSE)))+('PlayerGrades+'!$Y$54*(VLOOKUP(S522, 'PlayerGrades+'!$X$3:$Y$23, 2, FALSE)))+('PlayerGrades+'!$Y$55*(VLOOKUP(U522, 'PlayerGrades+'!$X$3:$Y$23, 2, FALSE)))</f>
        <v>16.3</v>
      </c>
      <c r="D522" s="937">
        <f t="shared" si="1"/>
        <v>0.9009009009</v>
      </c>
      <c r="E522" s="937" t="str">
        <f>IF(D522&lt;'PlayerGrades+'!$AA$21,"F-",IF(D522&lt;'PlayerGrades+'!$AA$20,"F",IF(D522&lt;'PlayerGrades+'!$AA$19,"F+",IF(D522&lt;'PlayerGrades+'!$AA$18,"E-",IF(D522&lt;'PlayerGrades+'!$AA$17,"E",IF(D522&lt;'PlayerGrades+'!$AA$16,"E+",IF(D522&lt;'PlayerGrades+'!$AA$15,"D-",IF(D522&lt;'PlayerGrades+'!$AA$14,"D",IF(D522&lt;'PlayerGrades+'!$AA$13,"D+",IF(D522&lt;'PlayerGrades+'!$AA$12,"C-",IF(D522&lt;'PlayerGrades+'!$AA$11,"C",IF(D522&lt;'PlayerGrades+'!$AA$10,"C+",IF(D522&lt;'PlayerGrades+'!$AA$9,"B-",IF(D522&lt;'PlayerGrades+'!$AA$8,"B",IF(D522&lt;'PlayerGrades+'!$AA$7,"B+",IF(D522&lt;'PlayerGrades+'!$AA$6,"A-",IF(D522&lt;'PlayerGrades+'!$AA$5,"A",IF(D522&lt;'PlayerGrades+'!$AA$4,"A+",IF(D522&lt;'PlayerGrades+'!$AA$3,"S-",IF(D522&lt;'PlayerGrades+'!$AA$2,"S","S+"))))))))))))))))))))</f>
        <v>S+</v>
      </c>
      <c r="F522" s="937">
        <f t="shared" si="2"/>
        <v>0.4204204204</v>
      </c>
      <c r="G522" s="937" t="str">
        <f>IF(F522&lt;'PlayerGrades+'!$AB$21,"F-",IF(F522&lt;'PlayerGrades+'!$AB$20,"F",IF(F522&lt;'PlayerGrades+'!$AB$19,"F+",IF(F522&lt;'PlayerGrades+'!$AB$18,"E-",IF(F522&lt;'PlayerGrades+'!$AB$17,"E",IF(F522&lt;'PlayerGrades+'!$AB$16,"E+",IF(F522&lt;'PlayerGrades+'!$AB$15,"D-",IF(F522&lt;'PlayerGrades+'!$AB$14,"D",IF(F522&lt;'PlayerGrades+'!$AB$13,"D+",IF(F522&lt;'PlayerGrades+'!$AB$12,"C-",IF(F522&lt;'PlayerGrades+'!$AB$11,"C",IF(F522&lt;'PlayerGrades+'!$AB$10,"C+",IF(F522&lt;'PlayerGrades+'!$AB$9,"B-",IF(F522&lt;'PlayerGrades+'!$AB$8,"B",IF(F522&lt;'PlayerGrades+'!$AB$7,"B+",IF(F522&lt;'PlayerGrades+'!$AB$6,"A-",IF(F522&lt;'PlayerGrades+'!$AB$5,"A",IF(F522&lt;'PlayerGrades+'!$AB$4,"A+",IF(F522&lt;'PlayerGrades+'!$AB$3,"S-",IF(F522&lt;'PlayerGrades+'!$AB$2,"S","S+"))))))))))))))))))))</f>
        <v>A</v>
      </c>
      <c r="H522" s="937">
        <f t="shared" si="3"/>
        <v>0.06006006006</v>
      </c>
      <c r="I522" s="937" t="str">
        <f>IF(H522&lt;'PlayerGrades+'!$AC$21,"F-",IF(H522&lt;'PlayerGrades+'!$AC$20,"F",IF(H522&lt;'PlayerGrades+'!$AC$19,"F+",IF(H522&lt;'PlayerGrades+'!$AC$18,"E-",IF(H522&lt;'PlayerGrades+'!$AC$17,"E",IF(H522&lt;'PlayerGrades+'!$AC$16,"E+",IF(H522&lt;'PlayerGrades+'!$AC$15,"D-",IF(H522&lt;'PlayerGrades+'!$AC$14,"D",IF(H522&lt;'PlayerGrades+'!$AC$13,"D+",IF(H522&lt;'PlayerGrades+'!$AC$12,"C-",IF(H522&lt;'PlayerGrades+'!$AC$11,"C",IF(H522&lt;'PlayerGrades+'!$AC$10,"C+",IF(H522&lt;'PlayerGrades+'!$AC$9,"B-",IF(H522&lt;'PlayerGrades+'!$AC$8,"B",IF(H522&lt;'PlayerGrades+'!$AC$7,"B+",IF(H522&lt;'PlayerGrades+'!$AC$6,"A-",IF(H522&lt;'PlayerGrades+'!$AC$5,"A",IF(H522&lt;'PlayerGrades+'!$AC$4,"A+",IF(H522&lt;'PlayerGrades+'!$AC$3,"S-",IF(H522&lt;'PlayerGrades+'!$AC$2,"S","S+"))))))))))))))))))))</f>
        <v>E-</v>
      </c>
      <c r="J522" s="937">
        <f t="shared" si="4"/>
        <v>0</v>
      </c>
      <c r="K522" s="937" t="str">
        <f>IF(J522&lt;'PlayerGrades+'!$AD$21,"F-",IF(J522&lt;'PlayerGrades+'!$AD$20,"F",IF(J522&lt;'PlayerGrades+'!$AD$19,"F+",IF(J522&lt;'PlayerGrades+'!$AD$18,"E-",IF(J522&lt;'PlayerGrades+'!$AD$17,"E",IF(J522&lt;'PlayerGrades+'!$AD$16,"E+",IF(J522&lt;'PlayerGrades+'!$AD$15,"D-",IF(J522&lt;'PlayerGrades+'!$AD$14,"D",IF(J522&lt;'PlayerGrades+'!$AD$13,"D+",IF(J522&lt;'PlayerGrades+'!$AD$12,"C-",IF(J522&lt;'PlayerGrades+'!$AD$11,"C",IF(J522&lt;'PlayerGrades+'!$AD$10,"C+",IF(J522&lt;'PlayerGrades+'!$AD$9,"B-",IF(J522&lt;'PlayerGrades+'!$AD$8,"B",IF(J522&lt;'PlayerGrades+'!$AD$7,"B+",IF(J522&lt;'PlayerGrades+'!$AD$6,"A-",IF(J522&lt;'PlayerGrades+'!$AD$5,"A",IF(J522&lt;'PlayerGrades+'!$AD$4,"A+",IF(J522&lt;'PlayerGrades+'!$AD$3,"S-",IF(J522&lt;'PlayerGrades+'!$AD$2,"S","S+"))))))))))))))))))))</f>
        <v>F-</v>
      </c>
      <c r="L522" s="677">
        <f t="shared" si="5"/>
        <v>0.2402402402</v>
      </c>
      <c r="M522" s="938" t="str">
        <f>IF(L522&lt;'PlayerGrades+'!$AE$21,"F-",IF(L522&lt;'PlayerGrades+'!$AE$20,"F",IF(L522&lt;'PlayerGrades+'!$AE$19,"F+",IF(L522&lt;'PlayerGrades+'!$AE$18,"E-",IF(L522&lt;'PlayerGrades+'!$AE$17,"E",IF(L522&lt;'PlayerGrades+'!$AE$16,"E+",IF(L522&lt;'PlayerGrades+'!$AE$15,"D-",IF(L522&lt;'PlayerGrades+'!$AE$14,"D",IF(L522&lt;'PlayerGrades+'!$AE$13,"D+",IF(L522&lt;'PlayerGrades+'!$AE$12,"C-",IF(L522&lt;'PlayerGrades+'!$AE$11,"C",IF(L522&lt;'PlayerGrades+'!$AE$10,"C+",IF(L522&lt;'PlayerGrades+'!$AE$9,"B-",IF(L522&lt;'PlayerGrades+'!$AE$8,"B",IF(L522&lt;'PlayerGrades+'!$AE$7,"B+",IF(L522&lt;'PlayerGrades+'!$AE$6,"A-",IF(L522&lt;'PlayerGrades+'!$AE$5,"A",IF(L522&lt;'PlayerGrades+'!$AE$4,"A+",IF(L522&lt;'PlayerGrades+'!$AE$3,"S-",IF(L522&lt;'PlayerGrades+'!$AE$2,"S","S+"))))))))))))))))))))</f>
        <v>F</v>
      </c>
      <c r="N522" s="937">
        <f t="shared" si="6"/>
        <v>0.06006006006</v>
      </c>
      <c r="O522" s="937" t="str">
        <f>IF(N522&lt;'PlayerGrades+'!$AF$21,"F-",IF(N522&lt;'PlayerGrades+'!$AF$20,"F",IF(N522&lt;'PlayerGrades+'!$AF$19,"F+",IF(N522&lt;'PlayerGrades+'!$AF$18,"E-",IF(N522&lt;'PlayerGrades+'!$AF$17,"E",IF(N522&lt;'PlayerGrades+'!$AF$16,"E+",IF(N522&lt;'PlayerGrades+'!$AF$15,"D-",IF(N522&lt;'PlayerGrades+'!$AF$14,"D",IF(N522&lt;'PlayerGrades+'!$AF$13,"D+",IF(N522&lt;'PlayerGrades+'!$AF$12,"C-",IF(N522&lt;'PlayerGrades+'!$AF$11,"C",IF(N522&lt;'PlayerGrades+'!$AF$10,"C+",IF(N522&lt;'PlayerGrades+'!$AF$9,"B-",IF(N522&lt;'PlayerGrades+'!$AF$8,"B",IF(N522&lt;'PlayerGrades+'!$AF$7,"B+",IF(N522&lt;'PlayerGrades+'!$AF$6,"A-",IF(N522&lt;'PlayerGrades+'!$AF$5,"A",IF(N522&lt;'PlayerGrades+'!$AF$4,"A+",IF(N522&lt;'PlayerGrades+'!$AF$3,"S-",IF(N522&lt;'PlayerGrades+'!$AF$2,"S","S+"))))))))))))))))))))</f>
        <v>D+</v>
      </c>
      <c r="P522" s="937">
        <f t="shared" si="7"/>
        <v>0</v>
      </c>
      <c r="Q522" s="937" t="str">
        <f>IF(P522&lt;'PlayerGrades+'!$AG$21,"F-",IF(P522&lt;'PlayerGrades+'!$AG$20,"F",IF(P522&lt;'PlayerGrades+'!$AG$19,"F+",IF(P522&lt;'PlayerGrades+'!$AG$18,"E-",IF(P522&lt;'PlayerGrades+'!$AG$17,"E",IF(P522&lt;'PlayerGrades+'!$AG$16,"E+",IF(P522&lt;'PlayerGrades+'!$AG$15,"D-",IF(P522&lt;'PlayerGrades+'!$AG$14,"D",IF(P522&lt;'PlayerGrades+'!$AG$13,"D+",IF(P522&lt;'PlayerGrades+'!$AG$12,"C-",IF(P522&lt;'PlayerGrades+'!$AG$11,"C",IF(P522&lt;'PlayerGrades+'!$AG$10,"C+",IF(P522&lt;'PlayerGrades+'!$AG$9,"B-",IF(P522&lt;'PlayerGrades+'!$AG$8,"B",IF(P522&lt;'PlayerGrades+'!$AG$7,"B+",IF(P522&lt;'PlayerGrades+'!$AG$6,"A-",IF(P522&lt;'PlayerGrades+'!$AG$5,"A",IF(P522&lt;'PlayerGrades+'!$AG$4,"A+",IF(P522&lt;'PlayerGrades+'!$AG$3,"S-",IF(P522&lt;'PlayerGrades+'!$AG$2,"S","S+"))))))))))))))))))))</f>
        <v>F</v>
      </c>
      <c r="R522" s="937">
        <f t="shared" si="8"/>
        <v>0.4204204204</v>
      </c>
      <c r="S522" s="937" t="str">
        <f>IF(R522&lt;'PlayerGrades+'!$AH$21,"F-",IF(R522&lt;'PlayerGrades+'!$AH$20,"F",IF(R522&lt;'PlayerGrades+'!$AH$19,"F+",IF(R522&lt;'PlayerGrades+'!$AH$18,"E-",IF(R522&lt;'PlayerGrades+'!$AH$17,"E",IF(R522&lt;'PlayerGrades+'!$AH$16,"E+",IF(R522&lt;'PlayerGrades+'!$AH$15,"D-",IF(R522&lt;'PlayerGrades+'!$AH$14,"D",IF(R522&lt;'PlayerGrades+'!$AH$13,"D+",IF(R522&lt;'PlayerGrades+'!$AH$12,"C-",IF(R522&lt;'PlayerGrades+'!$AH$11,"C",IF(R522&lt;'PlayerGrades+'!$AH$10,"C+",IF(R522&lt;'PlayerGrades+'!$AH$9,"B-",IF(R522&lt;'PlayerGrades+'!$AH$8,"B",IF(R522&lt;'PlayerGrades+'!$AH$7,"B+",IF(R522&lt;'PlayerGrades+'!$AH$6,"A-",IF(R522&lt;'PlayerGrades+'!$AH$5,"A",IF(R522&lt;'PlayerGrades+'!$AH$4,"A+",IF(R522&lt;'PlayerGrades+'!$AH$3,"S-",IF(R522&lt;'PlayerGrades+'!$AH$2,"S","S+"))))))))))))))))))))</f>
        <v>F+</v>
      </c>
      <c r="T522" s="937">
        <f t="shared" si="9"/>
        <v>1.3003003</v>
      </c>
      <c r="U522" s="937" t="str">
        <f>IF(T522&lt;'PlayerGrades+'!$AI$21,"F-",IF(T522&lt;'PlayerGrades+'!$AI$20,"F",IF(T522&lt;'PlayerGrades+'!$AI$19,"F+",IF(T522&lt;'PlayerGrades+'!$AI$18,"E-",IF(T522&lt;'PlayerGrades+'!$AI$17,"E",IF(T522&lt;'PlayerGrades+'!$AI$16,"E+",IF(T522&lt;'PlayerGrades+'!$AI$15,"D-",IF(T522&lt;'PlayerGrades+'!$AI$14,"D",IF(T522&lt;'PlayerGrades+'!$AI$13,"D+",IF(T522&lt;'PlayerGrades+'!$AI$12,"C-",IF(T522&lt;'PlayerGrades+'!$AI$11,"C",IF(T522&lt;'PlayerGrades+'!$AI$10,"C+",IF(T522&lt;'PlayerGrades+'!$AI$9,"B-",IF(T522&lt;'PlayerGrades+'!$AI$8,"B",IF(T522&lt;'PlayerGrades+'!$AI$7,"B+",IF(T522&lt;'PlayerGrades+'!$AI$6,"A-",IF(T522&lt;'PlayerGrades+'!$AI$5,"A",IF(T522&lt;'PlayerGrades+'!$AI$4,"A+",IF(T522&lt;'PlayerGrades+'!$AI$3,"S-",IF(T522&lt;'PlayerGrades+'!$AI$2,"S","S+"))))))))))))))))))))</f>
        <v>C+</v>
      </c>
      <c r="V522" s="939">
        <v>1.0</v>
      </c>
      <c r="W522" s="939">
        <v>1.0</v>
      </c>
      <c r="X522" s="939">
        <v>0.0</v>
      </c>
      <c r="Y522" s="939">
        <v>5.0</v>
      </c>
      <c r="Z522" s="939">
        <v>10.0</v>
      </c>
      <c r="AA522" s="939">
        <v>39.0</v>
      </c>
      <c r="AB522" s="939">
        <v>32.0</v>
      </c>
      <c r="AC522" s="939">
        <v>7.0</v>
      </c>
      <c r="AD522" s="939">
        <v>1.0</v>
      </c>
      <c r="AE522" s="939">
        <v>4.0</v>
      </c>
      <c r="AF522" s="939">
        <v>0.0</v>
      </c>
      <c r="AG522" s="939">
        <v>825.0</v>
      </c>
      <c r="AH522" s="939">
        <v>999.0</v>
      </c>
      <c r="AI522" s="939">
        <v>25.0</v>
      </c>
      <c r="AJ522" s="939">
        <v>370.0</v>
      </c>
      <c r="AK522" s="939">
        <v>0.0</v>
      </c>
      <c r="AL522" s="939">
        <v>0.0</v>
      </c>
      <c r="AM522" s="939">
        <v>0.0</v>
      </c>
      <c r="AN522" s="939">
        <v>0.0</v>
      </c>
      <c r="AO522" s="939">
        <v>0.0</v>
      </c>
      <c r="AP522" s="939">
        <v>0.0</v>
      </c>
      <c r="AQ522" s="939">
        <v>0.0</v>
      </c>
      <c r="AR522" s="939">
        <v>4.0</v>
      </c>
      <c r="AS522" s="939">
        <v>1.0</v>
      </c>
      <c r="AT522" s="939">
        <v>0.0</v>
      </c>
      <c r="AU522" s="939">
        <v>0.0</v>
      </c>
      <c r="AV522" s="939">
        <v>0.0</v>
      </c>
      <c r="AW522" s="939">
        <v>0.0</v>
      </c>
      <c r="AX522" s="939">
        <v>0.0</v>
      </c>
      <c r="AY522" s="939">
        <v>0.0</v>
      </c>
      <c r="AZ522" s="939">
        <v>0.0</v>
      </c>
      <c r="BA522" s="939">
        <v>0.0</v>
      </c>
      <c r="BB522" s="939">
        <v>1.0</v>
      </c>
      <c r="BC522" s="939">
        <v>0.0</v>
      </c>
      <c r="BD522" s="939">
        <v>6.0</v>
      </c>
      <c r="BE522" s="939">
        <v>5.0</v>
      </c>
      <c r="BF522" s="939">
        <v>1.0</v>
      </c>
      <c r="BG522" s="940">
        <v>0.0</v>
      </c>
    </row>
    <row r="523">
      <c r="A523" s="935" t="s">
        <v>145</v>
      </c>
      <c r="B523" s="16" t="str">
        <f>IF(C523&lt;'PlayerGrades+'!$Y$44,"F-",IF(C523&lt;'PlayerGrades+'!$Y$43,"F",IF(C523&lt;'PlayerGrades+'!$Y$42,"F+",IF(C523&lt;'PlayerGrades+'!$Y$41,"E-",IF(C523&lt;'PlayerGrades+'!$Y$40,"E",IF(C523&lt;'PlayerGrades+'!$Y$39,"E+",IF(C523&lt;'PlayerGrades+'!$Y$38,"D-",IF(C523&lt;'PlayerGrades+'!$Y$37,"D",IF(C523&lt;'PlayerGrades+'!$Y$36,"D+",IF(C523&lt;'PlayerGrades+'!$Y$35,"C-",IF(C523&lt;'PlayerGrades+'!$Y$34,"C",IF(C523&lt;'PlayerGrades+'!$Y$33,"C+",IF(C523&lt;'PlayerGrades+'!$Y$32,"B-",IF(C523&lt;'PlayerGrades+'!$Y$31,"B",IF(C523&lt;'PlayerGrades+'!$Y$30,"B+",IF(C523&lt;'PlayerGrades+'!$Y$29,"A-",IF(C523&lt;'PlayerGrades+'!$Y$28,"A",IF(C523&lt;'PlayerGrades+'!$Y$27,"A+",IF(C523&lt;'PlayerGrades+'!$Y$26,"S-",IF(C523&lt;'PlayerGrades+'!$Y$25,"S","S+"))))))))))))))))))))</f>
        <v>C-</v>
      </c>
      <c r="C523" s="936">
        <f>('PlayerGrades+'!$Y$47*(VLOOKUP(E523, 'PlayerGrades+'!$X$3:$Y$23, 2, FALSE)))+('PlayerGrades+'!$Y$48*(VLOOKUP(G523, 'PlayerGrades+'!$X$3:$Y$23, 2, FALSE)))+('PlayerGrades+'!$Y$49*(VLOOKUP(I523, 'PlayerGrades+'!$X$3:$Y$23, 2, FALSE)))+('PlayerGrades+'!$Y$50*(VLOOKUP(K523, 'PlayerGrades+'!$X$3:$Y$23, 2, FALSE)))+('PlayerGrades+'!$Y$51*(VLOOKUP(M523, 'PlayerGrades+'!$X$3:$Y$23, 2, FALSE)))+('PlayerGrades+'!$Y$52*(VLOOKUP(O523, 'PlayerGrades+'!$X$3:$Y$23, 2, FALSE)))+('PlayerGrades+'!$Y$53*(VLOOKUP(Q523, 'PlayerGrades+'!$X$3:$Y$23, 2, FALSE)))+('PlayerGrades+'!$Y$54*(VLOOKUP(S523, 'PlayerGrades+'!$X$3:$Y$23, 2, FALSE)))+('PlayerGrades+'!$Y$55*(VLOOKUP(U523, 'PlayerGrades+'!$X$3:$Y$23, 2, FALSE)))</f>
        <v>18.8</v>
      </c>
      <c r="D523" s="937">
        <f t="shared" si="1"/>
        <v>0.06006006006</v>
      </c>
      <c r="E523" s="937" t="str">
        <f>IF(D523&lt;'PlayerGrades+'!$AA$21,"F-",IF(D523&lt;'PlayerGrades+'!$AA$20,"F",IF(D523&lt;'PlayerGrades+'!$AA$19,"F+",IF(D523&lt;'PlayerGrades+'!$AA$18,"E-",IF(D523&lt;'PlayerGrades+'!$AA$17,"E",IF(D523&lt;'PlayerGrades+'!$AA$16,"E+",IF(D523&lt;'PlayerGrades+'!$AA$15,"D-",IF(D523&lt;'PlayerGrades+'!$AA$14,"D",IF(D523&lt;'PlayerGrades+'!$AA$13,"D+",IF(D523&lt;'PlayerGrades+'!$AA$12,"C-",IF(D523&lt;'PlayerGrades+'!$AA$11,"C",IF(D523&lt;'PlayerGrades+'!$AA$10,"C+",IF(D523&lt;'PlayerGrades+'!$AA$9,"B-",IF(D523&lt;'PlayerGrades+'!$AA$8,"B",IF(D523&lt;'PlayerGrades+'!$AA$7,"B+",IF(D523&lt;'PlayerGrades+'!$AA$6,"A-",IF(D523&lt;'PlayerGrades+'!$AA$5,"A",IF(D523&lt;'PlayerGrades+'!$AA$4,"A+",IF(D523&lt;'PlayerGrades+'!$AA$3,"S-",IF(D523&lt;'PlayerGrades+'!$AA$2,"S","S+"))))))))))))))))))))</f>
        <v>B-</v>
      </c>
      <c r="F523" s="937">
        <f t="shared" si="2"/>
        <v>0.06006006006</v>
      </c>
      <c r="G523" s="937" t="str">
        <f>IF(F523&lt;'PlayerGrades+'!$AB$21,"F-",IF(F523&lt;'PlayerGrades+'!$AB$20,"F",IF(F523&lt;'PlayerGrades+'!$AB$19,"F+",IF(F523&lt;'PlayerGrades+'!$AB$18,"E-",IF(F523&lt;'PlayerGrades+'!$AB$17,"E",IF(F523&lt;'PlayerGrades+'!$AB$16,"E+",IF(F523&lt;'PlayerGrades+'!$AB$15,"D-",IF(F523&lt;'PlayerGrades+'!$AB$14,"D",IF(F523&lt;'PlayerGrades+'!$AB$13,"D+",IF(F523&lt;'PlayerGrades+'!$AB$12,"C-",IF(F523&lt;'PlayerGrades+'!$AB$11,"C",IF(F523&lt;'PlayerGrades+'!$AB$10,"C+",IF(F523&lt;'PlayerGrades+'!$AB$9,"B-",IF(F523&lt;'PlayerGrades+'!$AB$8,"B",IF(F523&lt;'PlayerGrades+'!$AB$7,"B+",IF(F523&lt;'PlayerGrades+'!$AB$6,"A-",IF(F523&lt;'PlayerGrades+'!$AB$5,"A",IF(F523&lt;'PlayerGrades+'!$AB$4,"A+",IF(F523&lt;'PlayerGrades+'!$AB$3,"S-",IF(F523&lt;'PlayerGrades+'!$AB$2,"S","S+"))))))))))))))))))))</f>
        <v>B</v>
      </c>
      <c r="H523" s="937">
        <f t="shared" si="3"/>
        <v>0.1201201201</v>
      </c>
      <c r="I523" s="937" t="str">
        <f>IF(H523&lt;'PlayerGrades+'!$AC$21,"F-",IF(H523&lt;'PlayerGrades+'!$AC$20,"F",IF(H523&lt;'PlayerGrades+'!$AC$19,"F+",IF(H523&lt;'PlayerGrades+'!$AC$18,"E-",IF(H523&lt;'PlayerGrades+'!$AC$17,"E",IF(H523&lt;'PlayerGrades+'!$AC$16,"E+",IF(H523&lt;'PlayerGrades+'!$AC$15,"D-",IF(H523&lt;'PlayerGrades+'!$AC$14,"D",IF(H523&lt;'PlayerGrades+'!$AC$13,"D+",IF(H523&lt;'PlayerGrades+'!$AC$12,"C-",IF(H523&lt;'PlayerGrades+'!$AC$11,"C",IF(H523&lt;'PlayerGrades+'!$AC$10,"C+",IF(H523&lt;'PlayerGrades+'!$AC$9,"B-",IF(H523&lt;'PlayerGrades+'!$AC$8,"B",IF(H523&lt;'PlayerGrades+'!$AC$7,"B+",IF(H523&lt;'PlayerGrades+'!$AC$6,"A-",IF(H523&lt;'PlayerGrades+'!$AC$5,"A",IF(H523&lt;'PlayerGrades+'!$AC$4,"A+",IF(H523&lt;'PlayerGrades+'!$AC$3,"S-",IF(H523&lt;'PlayerGrades+'!$AC$2,"S","S+"))))))))))))))))))))</f>
        <v>C+</v>
      </c>
      <c r="J523" s="937">
        <f t="shared" si="4"/>
        <v>0</v>
      </c>
      <c r="K523" s="937" t="str">
        <f>IF(J523&lt;'PlayerGrades+'!$AD$21,"F-",IF(J523&lt;'PlayerGrades+'!$AD$20,"F",IF(J523&lt;'PlayerGrades+'!$AD$19,"F+",IF(J523&lt;'PlayerGrades+'!$AD$18,"E-",IF(J523&lt;'PlayerGrades+'!$AD$17,"E",IF(J523&lt;'PlayerGrades+'!$AD$16,"E+",IF(J523&lt;'PlayerGrades+'!$AD$15,"D-",IF(J523&lt;'PlayerGrades+'!$AD$14,"D",IF(J523&lt;'PlayerGrades+'!$AD$13,"D+",IF(J523&lt;'PlayerGrades+'!$AD$12,"C-",IF(J523&lt;'PlayerGrades+'!$AD$11,"C",IF(J523&lt;'PlayerGrades+'!$AD$10,"C+",IF(J523&lt;'PlayerGrades+'!$AD$9,"B-",IF(J523&lt;'PlayerGrades+'!$AD$8,"B",IF(J523&lt;'PlayerGrades+'!$AD$7,"B+",IF(J523&lt;'PlayerGrades+'!$AD$6,"A-",IF(J523&lt;'PlayerGrades+'!$AD$5,"A",IF(J523&lt;'PlayerGrades+'!$AD$4,"A+",IF(J523&lt;'PlayerGrades+'!$AD$3,"S-",IF(J523&lt;'PlayerGrades+'!$AD$2,"S","S+"))))))))))))))))))))</f>
        <v>F-</v>
      </c>
      <c r="L523" s="677">
        <f t="shared" si="5"/>
        <v>0.4804804805</v>
      </c>
      <c r="M523" s="938" t="str">
        <f>IF(L523&lt;'PlayerGrades+'!$AE$21,"F-",IF(L523&lt;'PlayerGrades+'!$AE$20,"F",IF(L523&lt;'PlayerGrades+'!$AE$19,"F+",IF(L523&lt;'PlayerGrades+'!$AE$18,"E-",IF(L523&lt;'PlayerGrades+'!$AE$17,"E",IF(L523&lt;'PlayerGrades+'!$AE$16,"E+",IF(L523&lt;'PlayerGrades+'!$AE$15,"D-",IF(L523&lt;'PlayerGrades+'!$AE$14,"D",IF(L523&lt;'PlayerGrades+'!$AE$13,"D+",IF(L523&lt;'PlayerGrades+'!$AE$12,"C-",IF(L523&lt;'PlayerGrades+'!$AE$11,"C",IF(L523&lt;'PlayerGrades+'!$AE$10,"C+",IF(L523&lt;'PlayerGrades+'!$AE$9,"B-",IF(L523&lt;'PlayerGrades+'!$AE$8,"B",IF(L523&lt;'PlayerGrades+'!$AE$7,"B+",IF(L523&lt;'PlayerGrades+'!$AE$6,"A-",IF(L523&lt;'PlayerGrades+'!$AE$5,"A",IF(L523&lt;'PlayerGrades+'!$AE$4,"A+",IF(L523&lt;'PlayerGrades+'!$AE$3,"S-",IF(L523&lt;'PlayerGrades+'!$AE$2,"S","S+"))))))))))))))))))))</f>
        <v>B+</v>
      </c>
      <c r="N523" s="937">
        <f t="shared" si="6"/>
        <v>0.06006006006</v>
      </c>
      <c r="O523" s="937" t="str">
        <f>IF(N523&lt;'PlayerGrades+'!$AF$21,"F-",IF(N523&lt;'PlayerGrades+'!$AF$20,"F",IF(N523&lt;'PlayerGrades+'!$AF$19,"F+",IF(N523&lt;'PlayerGrades+'!$AF$18,"E-",IF(N523&lt;'PlayerGrades+'!$AF$17,"E",IF(N523&lt;'PlayerGrades+'!$AF$16,"E+",IF(N523&lt;'PlayerGrades+'!$AF$15,"D-",IF(N523&lt;'PlayerGrades+'!$AF$14,"D",IF(N523&lt;'PlayerGrades+'!$AF$13,"D+",IF(N523&lt;'PlayerGrades+'!$AF$12,"C-",IF(N523&lt;'PlayerGrades+'!$AF$11,"C",IF(N523&lt;'PlayerGrades+'!$AF$10,"C+",IF(N523&lt;'PlayerGrades+'!$AF$9,"B-",IF(N523&lt;'PlayerGrades+'!$AF$8,"B",IF(N523&lt;'PlayerGrades+'!$AF$7,"B+",IF(N523&lt;'PlayerGrades+'!$AF$6,"A-",IF(N523&lt;'PlayerGrades+'!$AF$5,"A",IF(N523&lt;'PlayerGrades+'!$AF$4,"A+",IF(N523&lt;'PlayerGrades+'!$AF$3,"S-",IF(N523&lt;'PlayerGrades+'!$AF$2,"S","S+"))))))))))))))))))))</f>
        <v>D+</v>
      </c>
      <c r="P523" s="937">
        <f t="shared" si="7"/>
        <v>0</v>
      </c>
      <c r="Q523" s="937" t="str">
        <f>IF(P523&lt;'PlayerGrades+'!$AG$21,"F-",IF(P523&lt;'PlayerGrades+'!$AG$20,"F",IF(P523&lt;'PlayerGrades+'!$AG$19,"F+",IF(P523&lt;'PlayerGrades+'!$AG$18,"E-",IF(P523&lt;'PlayerGrades+'!$AG$17,"E",IF(P523&lt;'PlayerGrades+'!$AG$16,"E+",IF(P523&lt;'PlayerGrades+'!$AG$15,"D-",IF(P523&lt;'PlayerGrades+'!$AG$14,"D",IF(P523&lt;'PlayerGrades+'!$AG$13,"D+",IF(P523&lt;'PlayerGrades+'!$AG$12,"C-",IF(P523&lt;'PlayerGrades+'!$AG$11,"C",IF(P523&lt;'PlayerGrades+'!$AG$10,"C+",IF(P523&lt;'PlayerGrades+'!$AG$9,"B-",IF(P523&lt;'PlayerGrades+'!$AG$8,"B",IF(P523&lt;'PlayerGrades+'!$AG$7,"B+",IF(P523&lt;'PlayerGrades+'!$AG$6,"A-",IF(P523&lt;'PlayerGrades+'!$AG$5,"A",IF(P523&lt;'PlayerGrades+'!$AG$4,"A+",IF(P523&lt;'PlayerGrades+'!$AG$3,"S-",IF(P523&lt;'PlayerGrades+'!$AG$2,"S","S+"))))))))))))))))))))</f>
        <v>F</v>
      </c>
      <c r="R523" s="937">
        <f t="shared" si="8"/>
        <v>0.3603603604</v>
      </c>
      <c r="S523" s="937" t="str">
        <f>IF(R523&lt;'PlayerGrades+'!$AH$21,"F-",IF(R523&lt;'PlayerGrades+'!$AH$20,"F",IF(R523&lt;'PlayerGrades+'!$AH$19,"F+",IF(R523&lt;'PlayerGrades+'!$AH$18,"E-",IF(R523&lt;'PlayerGrades+'!$AH$17,"E",IF(R523&lt;'PlayerGrades+'!$AH$16,"E+",IF(R523&lt;'PlayerGrades+'!$AH$15,"D-",IF(R523&lt;'PlayerGrades+'!$AH$14,"D",IF(R523&lt;'PlayerGrades+'!$AH$13,"D+",IF(R523&lt;'PlayerGrades+'!$AH$12,"C-",IF(R523&lt;'PlayerGrades+'!$AH$11,"C",IF(R523&lt;'PlayerGrades+'!$AH$10,"C+",IF(R523&lt;'PlayerGrades+'!$AH$9,"B-",IF(R523&lt;'PlayerGrades+'!$AH$8,"B",IF(R523&lt;'PlayerGrades+'!$AH$7,"B+",IF(R523&lt;'PlayerGrades+'!$AH$6,"A-",IF(R523&lt;'PlayerGrades+'!$AH$5,"A",IF(R523&lt;'PlayerGrades+'!$AH$4,"A+",IF(R523&lt;'PlayerGrades+'!$AH$3,"S-",IF(R523&lt;'PlayerGrades+'!$AH$2,"S","S+"))))))))))))))))))))</f>
        <v>F</v>
      </c>
      <c r="T523" s="937">
        <f t="shared" si="9"/>
        <v>2.3003003</v>
      </c>
      <c r="U523" s="937" t="str">
        <f>IF(T523&lt;'PlayerGrades+'!$AI$21,"F-",IF(T523&lt;'PlayerGrades+'!$AI$20,"F",IF(T523&lt;'PlayerGrades+'!$AI$19,"F+",IF(T523&lt;'PlayerGrades+'!$AI$18,"E-",IF(T523&lt;'PlayerGrades+'!$AI$17,"E",IF(T523&lt;'PlayerGrades+'!$AI$16,"E+",IF(T523&lt;'PlayerGrades+'!$AI$15,"D-",IF(T523&lt;'PlayerGrades+'!$AI$14,"D",IF(T523&lt;'PlayerGrades+'!$AI$13,"D+",IF(T523&lt;'PlayerGrades+'!$AI$12,"C-",IF(T523&lt;'PlayerGrades+'!$AI$11,"C",IF(T523&lt;'PlayerGrades+'!$AI$10,"C+",IF(T523&lt;'PlayerGrades+'!$AI$9,"B-",IF(T523&lt;'PlayerGrades+'!$AI$8,"B",IF(T523&lt;'PlayerGrades+'!$AI$7,"B+",IF(T523&lt;'PlayerGrades+'!$AI$6,"A-",IF(T523&lt;'PlayerGrades+'!$AI$5,"A",IF(T523&lt;'PlayerGrades+'!$AI$4,"A+",IF(T523&lt;'PlayerGrades+'!$AI$3,"S-",IF(T523&lt;'PlayerGrades+'!$AI$2,"S","S+"))))))))))))))))))))</f>
        <v>S+</v>
      </c>
      <c r="V523" s="941">
        <v>1.0</v>
      </c>
      <c r="W523" s="941">
        <v>1.0</v>
      </c>
      <c r="X523" s="941">
        <v>0.0</v>
      </c>
      <c r="Y523" s="941">
        <v>0.0</v>
      </c>
      <c r="Z523" s="941">
        <v>1.0</v>
      </c>
      <c r="AA523" s="941">
        <v>56.0</v>
      </c>
      <c r="AB523" s="941">
        <v>55.0</v>
      </c>
      <c r="AC523" s="941">
        <v>1.0</v>
      </c>
      <c r="AD523" s="941">
        <v>2.0</v>
      </c>
      <c r="AE523" s="941">
        <v>3.0</v>
      </c>
      <c r="AF523" s="941">
        <v>0.0</v>
      </c>
      <c r="AG523" s="941">
        <v>751.0</v>
      </c>
      <c r="AH523" s="941">
        <v>999.0</v>
      </c>
      <c r="AI523" s="941">
        <v>13.0</v>
      </c>
      <c r="AJ523" s="941">
        <v>33.0</v>
      </c>
      <c r="AK523" s="941">
        <v>0.0</v>
      </c>
      <c r="AL523" s="941">
        <v>0.0</v>
      </c>
      <c r="AM523" s="941">
        <v>0.0</v>
      </c>
      <c r="AN523" s="941">
        <v>0.0</v>
      </c>
      <c r="AO523" s="941">
        <v>0.0</v>
      </c>
      <c r="AP523" s="941">
        <v>0.0</v>
      </c>
      <c r="AQ523" s="941">
        <v>0.0</v>
      </c>
      <c r="AR523" s="941">
        <v>8.0</v>
      </c>
      <c r="AS523" s="941">
        <v>1.0</v>
      </c>
      <c r="AT523" s="941">
        <v>0.0</v>
      </c>
      <c r="AU523" s="941">
        <v>0.0</v>
      </c>
      <c r="AV523" s="941">
        <v>0.0</v>
      </c>
      <c r="AW523" s="941">
        <v>0.0</v>
      </c>
      <c r="AX523" s="941">
        <v>0.0</v>
      </c>
      <c r="AY523" s="941">
        <v>0.0</v>
      </c>
      <c r="AZ523" s="941">
        <v>0.0</v>
      </c>
      <c r="BA523" s="941">
        <v>0.0</v>
      </c>
      <c r="BB523" s="941">
        <v>2.0</v>
      </c>
      <c r="BC523" s="941">
        <v>0.0</v>
      </c>
      <c r="BD523" s="941">
        <v>4.0</v>
      </c>
      <c r="BE523" s="941">
        <v>5.0</v>
      </c>
      <c r="BF523" s="941">
        <v>2.0</v>
      </c>
      <c r="BG523" s="942">
        <v>0.0</v>
      </c>
    </row>
    <row r="524">
      <c r="A524" s="935" t="s">
        <v>419</v>
      </c>
      <c r="B524" s="16" t="str">
        <f>IF(C524&lt;'PlayerGrades+'!$Y$44,"F-",IF(C524&lt;'PlayerGrades+'!$Y$43,"F",IF(C524&lt;'PlayerGrades+'!$Y$42,"F+",IF(C524&lt;'PlayerGrades+'!$Y$41,"E-",IF(C524&lt;'PlayerGrades+'!$Y$40,"E",IF(C524&lt;'PlayerGrades+'!$Y$39,"E+",IF(C524&lt;'PlayerGrades+'!$Y$38,"D-",IF(C524&lt;'PlayerGrades+'!$Y$37,"D",IF(C524&lt;'PlayerGrades+'!$Y$36,"D+",IF(C524&lt;'PlayerGrades+'!$Y$35,"C-",IF(C524&lt;'PlayerGrades+'!$Y$34,"C",IF(C524&lt;'PlayerGrades+'!$Y$33,"C+",IF(C524&lt;'PlayerGrades+'!$Y$32,"B-",IF(C524&lt;'PlayerGrades+'!$Y$31,"B",IF(C524&lt;'PlayerGrades+'!$Y$30,"B+",IF(C524&lt;'PlayerGrades+'!$Y$29,"A-",IF(C524&lt;'PlayerGrades+'!$Y$28,"A",IF(C524&lt;'PlayerGrades+'!$Y$27,"A+",IF(C524&lt;'PlayerGrades+'!$Y$26,"S-",IF(C524&lt;'PlayerGrades+'!$Y$25,"S","S+"))))))))))))))))))))</f>
        <v>C-</v>
      </c>
      <c r="C524" s="936">
        <f>('PlayerGrades+'!$Y$47*(VLOOKUP(E524, 'PlayerGrades+'!$X$3:$Y$23, 2, FALSE)))+('PlayerGrades+'!$Y$48*(VLOOKUP(G524, 'PlayerGrades+'!$X$3:$Y$23, 2, FALSE)))+('PlayerGrades+'!$Y$49*(VLOOKUP(I524, 'PlayerGrades+'!$X$3:$Y$23, 2, FALSE)))+('PlayerGrades+'!$Y$50*(VLOOKUP(K524, 'PlayerGrades+'!$X$3:$Y$23, 2, FALSE)))+('PlayerGrades+'!$Y$51*(VLOOKUP(M524, 'PlayerGrades+'!$X$3:$Y$23, 2, FALSE)))+('PlayerGrades+'!$Y$52*(VLOOKUP(O524, 'PlayerGrades+'!$X$3:$Y$23, 2, FALSE)))+('PlayerGrades+'!$Y$53*(VLOOKUP(Q524, 'PlayerGrades+'!$X$3:$Y$23, 2, FALSE)))+('PlayerGrades+'!$Y$54*(VLOOKUP(S524, 'PlayerGrades+'!$X$3:$Y$23, 2, FALSE)))+('PlayerGrades+'!$Y$55*(VLOOKUP(U524, 'PlayerGrades+'!$X$3:$Y$23, 2, FALSE)))</f>
        <v>18.15</v>
      </c>
      <c r="D524" s="937">
        <f t="shared" si="1"/>
        <v>0</v>
      </c>
      <c r="E524" s="937" t="str">
        <f>IF(D524&lt;'PlayerGrades+'!$AA$21,"F-",IF(D524&lt;'PlayerGrades+'!$AA$20,"F",IF(D524&lt;'PlayerGrades+'!$AA$19,"F+",IF(D524&lt;'PlayerGrades+'!$AA$18,"E-",IF(D524&lt;'PlayerGrades+'!$AA$17,"E",IF(D524&lt;'PlayerGrades+'!$AA$16,"E+",IF(D524&lt;'PlayerGrades+'!$AA$15,"D-",IF(D524&lt;'PlayerGrades+'!$AA$14,"D",IF(D524&lt;'PlayerGrades+'!$AA$13,"D+",IF(D524&lt;'PlayerGrades+'!$AA$12,"C-",IF(D524&lt;'PlayerGrades+'!$AA$11,"C",IF(D524&lt;'PlayerGrades+'!$AA$10,"C+",IF(D524&lt;'PlayerGrades+'!$AA$9,"B-",IF(D524&lt;'PlayerGrades+'!$AA$8,"B",IF(D524&lt;'PlayerGrades+'!$AA$7,"B+",IF(D524&lt;'PlayerGrades+'!$AA$6,"A-",IF(D524&lt;'PlayerGrades+'!$AA$5,"A",IF(D524&lt;'PlayerGrades+'!$AA$4,"A+",IF(D524&lt;'PlayerGrades+'!$AA$3,"S-",IF(D524&lt;'PlayerGrades+'!$AA$2,"S","S+"))))))))))))))))))))</f>
        <v>F-</v>
      </c>
      <c r="F524" s="937">
        <f t="shared" si="2"/>
        <v>0.1201201201</v>
      </c>
      <c r="G524" s="937" t="str">
        <f>IF(F524&lt;'PlayerGrades+'!$AB$21,"F-",IF(F524&lt;'PlayerGrades+'!$AB$20,"F",IF(F524&lt;'PlayerGrades+'!$AB$19,"F+",IF(F524&lt;'PlayerGrades+'!$AB$18,"E-",IF(F524&lt;'PlayerGrades+'!$AB$17,"E",IF(F524&lt;'PlayerGrades+'!$AB$16,"E+",IF(F524&lt;'PlayerGrades+'!$AB$15,"D-",IF(F524&lt;'PlayerGrades+'!$AB$14,"D",IF(F524&lt;'PlayerGrades+'!$AB$13,"D+",IF(F524&lt;'PlayerGrades+'!$AB$12,"C-",IF(F524&lt;'PlayerGrades+'!$AB$11,"C",IF(F524&lt;'PlayerGrades+'!$AB$10,"C+",IF(F524&lt;'PlayerGrades+'!$AB$9,"B-",IF(F524&lt;'PlayerGrades+'!$AB$8,"B",IF(F524&lt;'PlayerGrades+'!$AB$7,"B+",IF(F524&lt;'PlayerGrades+'!$AB$6,"A-",IF(F524&lt;'PlayerGrades+'!$AB$5,"A",IF(F524&lt;'PlayerGrades+'!$AB$4,"A+",IF(F524&lt;'PlayerGrades+'!$AB$3,"S-",IF(F524&lt;'PlayerGrades+'!$AB$2,"S","S+"))))))))))))))))))))</f>
        <v>B+</v>
      </c>
      <c r="H524" s="937">
        <f t="shared" si="3"/>
        <v>0.3603603604</v>
      </c>
      <c r="I524" s="937" t="str">
        <f>IF(H524&lt;'PlayerGrades+'!$AC$21,"F-",IF(H524&lt;'PlayerGrades+'!$AC$20,"F",IF(H524&lt;'PlayerGrades+'!$AC$19,"F+",IF(H524&lt;'PlayerGrades+'!$AC$18,"E-",IF(H524&lt;'PlayerGrades+'!$AC$17,"E",IF(H524&lt;'PlayerGrades+'!$AC$16,"E+",IF(H524&lt;'PlayerGrades+'!$AC$15,"D-",IF(H524&lt;'PlayerGrades+'!$AC$14,"D",IF(H524&lt;'PlayerGrades+'!$AC$13,"D+",IF(H524&lt;'PlayerGrades+'!$AC$12,"C-",IF(H524&lt;'PlayerGrades+'!$AC$11,"C",IF(H524&lt;'PlayerGrades+'!$AC$10,"C+",IF(H524&lt;'PlayerGrades+'!$AC$9,"B-",IF(H524&lt;'PlayerGrades+'!$AC$8,"B",IF(H524&lt;'PlayerGrades+'!$AC$7,"B+",IF(H524&lt;'PlayerGrades+'!$AC$6,"A-",IF(H524&lt;'PlayerGrades+'!$AC$5,"A",IF(H524&lt;'PlayerGrades+'!$AC$4,"A+",IF(H524&lt;'PlayerGrades+'!$AC$3,"S-",IF(H524&lt;'PlayerGrades+'!$AC$2,"S","S+"))))))))))))))))))))</f>
        <v>S+</v>
      </c>
      <c r="J524" s="937">
        <f t="shared" si="4"/>
        <v>0.06006006006</v>
      </c>
      <c r="K524" s="937" t="str">
        <f>IF(J524&lt;'PlayerGrades+'!$AD$21,"F-",IF(J524&lt;'PlayerGrades+'!$AD$20,"F",IF(J524&lt;'PlayerGrades+'!$AD$19,"F+",IF(J524&lt;'PlayerGrades+'!$AD$18,"E-",IF(J524&lt;'PlayerGrades+'!$AD$17,"E",IF(J524&lt;'PlayerGrades+'!$AD$16,"E+",IF(J524&lt;'PlayerGrades+'!$AD$15,"D-",IF(J524&lt;'PlayerGrades+'!$AD$14,"D",IF(J524&lt;'PlayerGrades+'!$AD$13,"D+",IF(J524&lt;'PlayerGrades+'!$AD$12,"C-",IF(J524&lt;'PlayerGrades+'!$AD$11,"C",IF(J524&lt;'PlayerGrades+'!$AD$10,"C+",IF(J524&lt;'PlayerGrades+'!$AD$9,"B-",IF(J524&lt;'PlayerGrades+'!$AD$8,"B",IF(J524&lt;'PlayerGrades+'!$AD$7,"B+",IF(J524&lt;'PlayerGrades+'!$AD$6,"A-",IF(J524&lt;'PlayerGrades+'!$AD$5,"A",IF(J524&lt;'PlayerGrades+'!$AD$4,"A+",IF(J524&lt;'PlayerGrades+'!$AD$3,"S-",IF(J524&lt;'PlayerGrades+'!$AD$2,"S","S+"))))))))))))))))))))</f>
        <v>B+</v>
      </c>
      <c r="L524" s="677">
        <f t="shared" si="5"/>
        <v>0.3003003003</v>
      </c>
      <c r="M524" s="938" t="str">
        <f>IF(L524&lt;'PlayerGrades+'!$AE$21,"F-",IF(L524&lt;'PlayerGrades+'!$AE$20,"F",IF(L524&lt;'PlayerGrades+'!$AE$19,"F+",IF(L524&lt;'PlayerGrades+'!$AE$18,"E-",IF(L524&lt;'PlayerGrades+'!$AE$17,"E",IF(L524&lt;'PlayerGrades+'!$AE$16,"E+",IF(L524&lt;'PlayerGrades+'!$AE$15,"D-",IF(L524&lt;'PlayerGrades+'!$AE$14,"D",IF(L524&lt;'PlayerGrades+'!$AE$13,"D+",IF(L524&lt;'PlayerGrades+'!$AE$12,"C-",IF(L524&lt;'PlayerGrades+'!$AE$11,"C",IF(L524&lt;'PlayerGrades+'!$AE$10,"C+",IF(L524&lt;'PlayerGrades+'!$AE$9,"B-",IF(L524&lt;'PlayerGrades+'!$AE$8,"B",IF(L524&lt;'PlayerGrades+'!$AE$7,"B+",IF(L524&lt;'PlayerGrades+'!$AE$6,"A-",IF(L524&lt;'PlayerGrades+'!$AE$5,"A",IF(L524&lt;'PlayerGrades+'!$AE$4,"A+",IF(L524&lt;'PlayerGrades+'!$AE$3,"S-",IF(L524&lt;'PlayerGrades+'!$AE$2,"S","S+"))))))))))))))))))))</f>
        <v>E-</v>
      </c>
      <c r="N524" s="937">
        <f t="shared" si="6"/>
        <v>0.06006006006</v>
      </c>
      <c r="O524" s="937" t="str">
        <f>IF(N524&lt;'PlayerGrades+'!$AF$21,"F-",IF(N524&lt;'PlayerGrades+'!$AF$20,"F",IF(N524&lt;'PlayerGrades+'!$AF$19,"F+",IF(N524&lt;'PlayerGrades+'!$AF$18,"E-",IF(N524&lt;'PlayerGrades+'!$AF$17,"E",IF(N524&lt;'PlayerGrades+'!$AF$16,"E+",IF(N524&lt;'PlayerGrades+'!$AF$15,"D-",IF(N524&lt;'PlayerGrades+'!$AF$14,"D",IF(N524&lt;'PlayerGrades+'!$AF$13,"D+",IF(N524&lt;'PlayerGrades+'!$AF$12,"C-",IF(N524&lt;'PlayerGrades+'!$AF$11,"C",IF(N524&lt;'PlayerGrades+'!$AF$10,"C+",IF(N524&lt;'PlayerGrades+'!$AF$9,"B-",IF(N524&lt;'PlayerGrades+'!$AF$8,"B",IF(N524&lt;'PlayerGrades+'!$AF$7,"B+",IF(N524&lt;'PlayerGrades+'!$AF$6,"A-",IF(N524&lt;'PlayerGrades+'!$AF$5,"A",IF(N524&lt;'PlayerGrades+'!$AF$4,"A+",IF(N524&lt;'PlayerGrades+'!$AF$3,"S-",IF(N524&lt;'PlayerGrades+'!$AF$2,"S","S+"))))))))))))))))))))</f>
        <v>D+</v>
      </c>
      <c r="P524" s="937">
        <f t="shared" si="7"/>
        <v>0.06006006006</v>
      </c>
      <c r="Q524" s="937" t="str">
        <f>IF(P524&lt;'PlayerGrades+'!$AG$21,"F-",IF(P524&lt;'PlayerGrades+'!$AG$20,"F",IF(P524&lt;'PlayerGrades+'!$AG$19,"F+",IF(P524&lt;'PlayerGrades+'!$AG$18,"E-",IF(P524&lt;'PlayerGrades+'!$AG$17,"E",IF(P524&lt;'PlayerGrades+'!$AG$16,"E+",IF(P524&lt;'PlayerGrades+'!$AG$15,"D-",IF(P524&lt;'PlayerGrades+'!$AG$14,"D",IF(P524&lt;'PlayerGrades+'!$AG$13,"D+",IF(P524&lt;'PlayerGrades+'!$AG$12,"C-",IF(P524&lt;'PlayerGrades+'!$AG$11,"C",IF(P524&lt;'PlayerGrades+'!$AG$10,"C+",IF(P524&lt;'PlayerGrades+'!$AG$9,"B-",IF(P524&lt;'PlayerGrades+'!$AG$8,"B",IF(P524&lt;'PlayerGrades+'!$AG$7,"B+",IF(P524&lt;'PlayerGrades+'!$AG$6,"A-",IF(P524&lt;'PlayerGrades+'!$AG$5,"A",IF(P524&lt;'PlayerGrades+'!$AG$4,"A+",IF(P524&lt;'PlayerGrades+'!$AG$3,"S-",IF(P524&lt;'PlayerGrades+'!$AG$2,"S","S+"))))))))))))))))))))</f>
        <v>A</v>
      </c>
      <c r="R524" s="937">
        <f t="shared" si="8"/>
        <v>0.4804804805</v>
      </c>
      <c r="S524" s="937" t="str">
        <f>IF(R524&lt;'PlayerGrades+'!$AH$21,"F-",IF(R524&lt;'PlayerGrades+'!$AH$20,"F",IF(R524&lt;'PlayerGrades+'!$AH$19,"F+",IF(R524&lt;'PlayerGrades+'!$AH$18,"E-",IF(R524&lt;'PlayerGrades+'!$AH$17,"E",IF(R524&lt;'PlayerGrades+'!$AH$16,"E+",IF(R524&lt;'PlayerGrades+'!$AH$15,"D-",IF(R524&lt;'PlayerGrades+'!$AH$14,"D",IF(R524&lt;'PlayerGrades+'!$AH$13,"D+",IF(R524&lt;'PlayerGrades+'!$AH$12,"C-",IF(R524&lt;'PlayerGrades+'!$AH$11,"C",IF(R524&lt;'PlayerGrades+'!$AH$10,"C+",IF(R524&lt;'PlayerGrades+'!$AH$9,"B-",IF(R524&lt;'PlayerGrades+'!$AH$8,"B",IF(R524&lt;'PlayerGrades+'!$AH$7,"B+",IF(R524&lt;'PlayerGrades+'!$AH$6,"A-",IF(R524&lt;'PlayerGrades+'!$AH$5,"A",IF(R524&lt;'PlayerGrades+'!$AH$4,"A+",IF(R524&lt;'PlayerGrades+'!$AH$3,"S-",IF(R524&lt;'PlayerGrades+'!$AH$2,"S","S+"))))))))))))))))))))</f>
        <v>E+</v>
      </c>
      <c r="T524" s="937">
        <f t="shared" si="9"/>
        <v>0.3003003003</v>
      </c>
      <c r="U524" s="937" t="str">
        <f>IF(T524&lt;'PlayerGrades+'!$AI$21,"F-",IF(T524&lt;'PlayerGrades+'!$AI$20,"F",IF(T524&lt;'PlayerGrades+'!$AI$19,"F+",IF(T524&lt;'PlayerGrades+'!$AI$18,"E-",IF(T524&lt;'PlayerGrades+'!$AI$17,"E",IF(T524&lt;'PlayerGrades+'!$AI$16,"E+",IF(T524&lt;'PlayerGrades+'!$AI$15,"D-",IF(T524&lt;'PlayerGrades+'!$AI$14,"D",IF(T524&lt;'PlayerGrades+'!$AI$13,"D+",IF(T524&lt;'PlayerGrades+'!$AI$12,"C-",IF(T524&lt;'PlayerGrades+'!$AI$11,"C",IF(T524&lt;'PlayerGrades+'!$AI$10,"C+",IF(T524&lt;'PlayerGrades+'!$AI$9,"B-",IF(T524&lt;'PlayerGrades+'!$AI$8,"B",IF(T524&lt;'PlayerGrades+'!$AI$7,"B+",IF(T524&lt;'PlayerGrades+'!$AI$6,"A-",IF(T524&lt;'PlayerGrades+'!$AI$5,"A",IF(T524&lt;'PlayerGrades+'!$AI$4,"A+",IF(T524&lt;'PlayerGrades+'!$AI$3,"S-",IF(T524&lt;'PlayerGrades+'!$AI$2,"S","S+"))))))))))))))))))))</f>
        <v>F-</v>
      </c>
      <c r="V524" s="941">
        <v>1.0</v>
      </c>
      <c r="W524" s="941">
        <v>1.0</v>
      </c>
      <c r="X524" s="941">
        <v>0.0</v>
      </c>
      <c r="Y524" s="941">
        <v>0.0</v>
      </c>
      <c r="Z524" s="941">
        <v>0.0</v>
      </c>
      <c r="AA524" s="941">
        <v>50.0</v>
      </c>
      <c r="AB524" s="941">
        <v>48.0</v>
      </c>
      <c r="AC524" s="941">
        <v>2.0</v>
      </c>
      <c r="AD524" s="941">
        <v>6.0</v>
      </c>
      <c r="AE524" s="941">
        <v>6.0</v>
      </c>
      <c r="AF524" s="941">
        <v>1.0</v>
      </c>
      <c r="AG524" s="941">
        <v>776.0</v>
      </c>
      <c r="AH524" s="941">
        <v>999.0</v>
      </c>
      <c r="AI524" s="941">
        <v>16.0</v>
      </c>
      <c r="AJ524" s="941">
        <v>0.0</v>
      </c>
      <c r="AK524" s="941">
        <v>0.0</v>
      </c>
      <c r="AL524" s="941">
        <v>1.0</v>
      </c>
      <c r="AM524" s="941">
        <v>0.0</v>
      </c>
      <c r="AN524" s="941">
        <v>0.0</v>
      </c>
      <c r="AO524" s="941">
        <v>0.0</v>
      </c>
      <c r="AP524" s="941">
        <v>1.0</v>
      </c>
      <c r="AQ524" s="941">
        <v>0.0</v>
      </c>
      <c r="AR524" s="941">
        <v>5.0</v>
      </c>
      <c r="AS524" s="941">
        <v>1.0</v>
      </c>
      <c r="AT524" s="941">
        <v>0.0</v>
      </c>
      <c r="AU524" s="941">
        <v>0.0</v>
      </c>
      <c r="AV524" s="941">
        <v>0.0</v>
      </c>
      <c r="AW524" s="941">
        <v>0.0</v>
      </c>
      <c r="AX524" s="941">
        <v>0.0</v>
      </c>
      <c r="AY524" s="941">
        <v>0.0</v>
      </c>
      <c r="AZ524" s="941">
        <v>0.0</v>
      </c>
      <c r="BA524" s="941">
        <v>0.0</v>
      </c>
      <c r="BB524" s="941">
        <v>6.0</v>
      </c>
      <c r="BC524" s="941">
        <v>0.0</v>
      </c>
      <c r="BD524" s="941">
        <v>2.0</v>
      </c>
      <c r="BE524" s="941">
        <v>5.0</v>
      </c>
      <c r="BF524" s="941">
        <v>0.0</v>
      </c>
      <c r="BG524" s="942">
        <v>0.0</v>
      </c>
    </row>
    <row r="525">
      <c r="A525" s="935" t="s">
        <v>156</v>
      </c>
      <c r="B525" s="16" t="str">
        <f>IF(C525&lt;'PlayerGrades+'!$Y$44,"F-",IF(C525&lt;'PlayerGrades+'!$Y$43,"F",IF(C525&lt;'PlayerGrades+'!$Y$42,"F+",IF(C525&lt;'PlayerGrades+'!$Y$41,"E-",IF(C525&lt;'PlayerGrades+'!$Y$40,"E",IF(C525&lt;'PlayerGrades+'!$Y$39,"E+",IF(C525&lt;'PlayerGrades+'!$Y$38,"D-",IF(C525&lt;'PlayerGrades+'!$Y$37,"D",IF(C525&lt;'PlayerGrades+'!$Y$36,"D+",IF(C525&lt;'PlayerGrades+'!$Y$35,"C-",IF(C525&lt;'PlayerGrades+'!$Y$34,"C",IF(C525&lt;'PlayerGrades+'!$Y$33,"C+",IF(C525&lt;'PlayerGrades+'!$Y$32,"B-",IF(C525&lt;'PlayerGrades+'!$Y$31,"B",IF(C525&lt;'PlayerGrades+'!$Y$30,"B+",IF(C525&lt;'PlayerGrades+'!$Y$29,"A-",IF(C525&lt;'PlayerGrades+'!$Y$28,"A",IF(C525&lt;'PlayerGrades+'!$Y$27,"A+",IF(C525&lt;'PlayerGrades+'!$Y$26,"S-",IF(C525&lt;'PlayerGrades+'!$Y$25,"S","S+"))))))))))))))))))))</f>
        <v>D</v>
      </c>
      <c r="C525" s="936">
        <f>('PlayerGrades+'!$Y$47*(VLOOKUP(E525, 'PlayerGrades+'!$X$3:$Y$23, 2, FALSE)))+('PlayerGrades+'!$Y$48*(VLOOKUP(G525, 'PlayerGrades+'!$X$3:$Y$23, 2, FALSE)))+('PlayerGrades+'!$Y$49*(VLOOKUP(I525, 'PlayerGrades+'!$X$3:$Y$23, 2, FALSE)))+('PlayerGrades+'!$Y$50*(VLOOKUP(K525, 'PlayerGrades+'!$X$3:$Y$23, 2, FALSE)))+('PlayerGrades+'!$Y$51*(VLOOKUP(M525, 'PlayerGrades+'!$X$3:$Y$23, 2, FALSE)))+('PlayerGrades+'!$Y$52*(VLOOKUP(O525, 'PlayerGrades+'!$X$3:$Y$23, 2, FALSE)))+('PlayerGrades+'!$Y$53*(VLOOKUP(Q525, 'PlayerGrades+'!$X$3:$Y$23, 2, FALSE)))+('PlayerGrades+'!$Y$54*(VLOOKUP(S525, 'PlayerGrades+'!$X$3:$Y$23, 2, FALSE)))+('PlayerGrades+'!$Y$55*(VLOOKUP(U525, 'PlayerGrades+'!$X$3:$Y$23, 2, FALSE)))</f>
        <v>15.8</v>
      </c>
      <c r="D525" s="937">
        <f t="shared" si="1"/>
        <v>0</v>
      </c>
      <c r="E525" s="937" t="str">
        <f>IF(D525&lt;'PlayerGrades+'!$AA$21,"F-",IF(D525&lt;'PlayerGrades+'!$AA$20,"F",IF(D525&lt;'PlayerGrades+'!$AA$19,"F+",IF(D525&lt;'PlayerGrades+'!$AA$18,"E-",IF(D525&lt;'PlayerGrades+'!$AA$17,"E",IF(D525&lt;'PlayerGrades+'!$AA$16,"E+",IF(D525&lt;'PlayerGrades+'!$AA$15,"D-",IF(D525&lt;'PlayerGrades+'!$AA$14,"D",IF(D525&lt;'PlayerGrades+'!$AA$13,"D+",IF(D525&lt;'PlayerGrades+'!$AA$12,"C-",IF(D525&lt;'PlayerGrades+'!$AA$11,"C",IF(D525&lt;'PlayerGrades+'!$AA$10,"C+",IF(D525&lt;'PlayerGrades+'!$AA$9,"B-",IF(D525&lt;'PlayerGrades+'!$AA$8,"B",IF(D525&lt;'PlayerGrades+'!$AA$7,"B+",IF(D525&lt;'PlayerGrades+'!$AA$6,"A-",IF(D525&lt;'PlayerGrades+'!$AA$5,"A",IF(D525&lt;'PlayerGrades+'!$AA$4,"A+",IF(D525&lt;'PlayerGrades+'!$AA$3,"S-",IF(D525&lt;'PlayerGrades+'!$AA$2,"S","S+"))))))))))))))))))))</f>
        <v>F-</v>
      </c>
      <c r="F525" s="937">
        <f t="shared" si="2"/>
        <v>0.1201201201</v>
      </c>
      <c r="G525" s="937" t="str">
        <f>IF(F525&lt;'PlayerGrades+'!$AB$21,"F-",IF(F525&lt;'PlayerGrades+'!$AB$20,"F",IF(F525&lt;'PlayerGrades+'!$AB$19,"F+",IF(F525&lt;'PlayerGrades+'!$AB$18,"E-",IF(F525&lt;'PlayerGrades+'!$AB$17,"E",IF(F525&lt;'PlayerGrades+'!$AB$16,"E+",IF(F525&lt;'PlayerGrades+'!$AB$15,"D-",IF(F525&lt;'PlayerGrades+'!$AB$14,"D",IF(F525&lt;'PlayerGrades+'!$AB$13,"D+",IF(F525&lt;'PlayerGrades+'!$AB$12,"C-",IF(F525&lt;'PlayerGrades+'!$AB$11,"C",IF(F525&lt;'PlayerGrades+'!$AB$10,"C+",IF(F525&lt;'PlayerGrades+'!$AB$9,"B-",IF(F525&lt;'PlayerGrades+'!$AB$8,"B",IF(F525&lt;'PlayerGrades+'!$AB$7,"B+",IF(F525&lt;'PlayerGrades+'!$AB$6,"A-",IF(F525&lt;'PlayerGrades+'!$AB$5,"A",IF(F525&lt;'PlayerGrades+'!$AB$4,"A+",IF(F525&lt;'PlayerGrades+'!$AB$3,"S-",IF(F525&lt;'PlayerGrades+'!$AB$2,"S","S+"))))))))))))))))))))</f>
        <v>B+</v>
      </c>
      <c r="H525" s="937">
        <f t="shared" si="3"/>
        <v>0.1201201201</v>
      </c>
      <c r="I525" s="937" t="str">
        <f>IF(H525&lt;'PlayerGrades+'!$AC$21,"F-",IF(H525&lt;'PlayerGrades+'!$AC$20,"F",IF(H525&lt;'PlayerGrades+'!$AC$19,"F+",IF(H525&lt;'PlayerGrades+'!$AC$18,"E-",IF(H525&lt;'PlayerGrades+'!$AC$17,"E",IF(H525&lt;'PlayerGrades+'!$AC$16,"E+",IF(H525&lt;'PlayerGrades+'!$AC$15,"D-",IF(H525&lt;'PlayerGrades+'!$AC$14,"D",IF(H525&lt;'PlayerGrades+'!$AC$13,"D+",IF(H525&lt;'PlayerGrades+'!$AC$12,"C-",IF(H525&lt;'PlayerGrades+'!$AC$11,"C",IF(H525&lt;'PlayerGrades+'!$AC$10,"C+",IF(H525&lt;'PlayerGrades+'!$AC$9,"B-",IF(H525&lt;'PlayerGrades+'!$AC$8,"B",IF(H525&lt;'PlayerGrades+'!$AC$7,"B+",IF(H525&lt;'PlayerGrades+'!$AC$6,"A-",IF(H525&lt;'PlayerGrades+'!$AC$5,"A",IF(H525&lt;'PlayerGrades+'!$AC$4,"A+",IF(H525&lt;'PlayerGrades+'!$AC$3,"S-",IF(H525&lt;'PlayerGrades+'!$AC$2,"S","S+"))))))))))))))))))))</f>
        <v>C+</v>
      </c>
      <c r="J525" s="937">
        <f t="shared" si="4"/>
        <v>0.1201201201</v>
      </c>
      <c r="K525" s="937" t="str">
        <f>IF(J525&lt;'PlayerGrades+'!$AD$21,"F-",IF(J525&lt;'PlayerGrades+'!$AD$20,"F",IF(J525&lt;'PlayerGrades+'!$AD$19,"F+",IF(J525&lt;'PlayerGrades+'!$AD$18,"E-",IF(J525&lt;'PlayerGrades+'!$AD$17,"E",IF(J525&lt;'PlayerGrades+'!$AD$16,"E+",IF(J525&lt;'PlayerGrades+'!$AD$15,"D-",IF(J525&lt;'PlayerGrades+'!$AD$14,"D",IF(J525&lt;'PlayerGrades+'!$AD$13,"D+",IF(J525&lt;'PlayerGrades+'!$AD$12,"C-",IF(J525&lt;'PlayerGrades+'!$AD$11,"C",IF(J525&lt;'PlayerGrades+'!$AD$10,"C+",IF(J525&lt;'PlayerGrades+'!$AD$9,"B-",IF(J525&lt;'PlayerGrades+'!$AD$8,"B",IF(J525&lt;'PlayerGrades+'!$AD$7,"B+",IF(J525&lt;'PlayerGrades+'!$AD$6,"A-",IF(J525&lt;'PlayerGrades+'!$AD$5,"A",IF(J525&lt;'PlayerGrades+'!$AD$4,"A+",IF(J525&lt;'PlayerGrades+'!$AD$3,"S-",IF(J525&lt;'PlayerGrades+'!$AD$2,"S","S+"))))))))))))))))))))</f>
        <v>S+</v>
      </c>
      <c r="L525" s="677">
        <f t="shared" si="5"/>
        <v>0.2402402402</v>
      </c>
      <c r="M525" s="938" t="str">
        <f>IF(L525&lt;'PlayerGrades+'!$AE$21,"F-",IF(L525&lt;'PlayerGrades+'!$AE$20,"F",IF(L525&lt;'PlayerGrades+'!$AE$19,"F+",IF(L525&lt;'PlayerGrades+'!$AE$18,"E-",IF(L525&lt;'PlayerGrades+'!$AE$17,"E",IF(L525&lt;'PlayerGrades+'!$AE$16,"E+",IF(L525&lt;'PlayerGrades+'!$AE$15,"D-",IF(L525&lt;'PlayerGrades+'!$AE$14,"D",IF(L525&lt;'PlayerGrades+'!$AE$13,"D+",IF(L525&lt;'PlayerGrades+'!$AE$12,"C-",IF(L525&lt;'PlayerGrades+'!$AE$11,"C",IF(L525&lt;'PlayerGrades+'!$AE$10,"C+",IF(L525&lt;'PlayerGrades+'!$AE$9,"B-",IF(L525&lt;'PlayerGrades+'!$AE$8,"B",IF(L525&lt;'PlayerGrades+'!$AE$7,"B+",IF(L525&lt;'PlayerGrades+'!$AE$6,"A-",IF(L525&lt;'PlayerGrades+'!$AE$5,"A",IF(L525&lt;'PlayerGrades+'!$AE$4,"A+",IF(L525&lt;'PlayerGrades+'!$AE$3,"S-",IF(L525&lt;'PlayerGrades+'!$AE$2,"S","S+"))))))))))))))))))))</f>
        <v>F</v>
      </c>
      <c r="N525" s="937">
        <f t="shared" si="6"/>
        <v>0.06006006006</v>
      </c>
      <c r="O525" s="937" t="str">
        <f>IF(N525&lt;'PlayerGrades+'!$AF$21,"F-",IF(N525&lt;'PlayerGrades+'!$AF$20,"F",IF(N525&lt;'PlayerGrades+'!$AF$19,"F+",IF(N525&lt;'PlayerGrades+'!$AF$18,"E-",IF(N525&lt;'PlayerGrades+'!$AF$17,"E",IF(N525&lt;'PlayerGrades+'!$AF$16,"E+",IF(N525&lt;'PlayerGrades+'!$AF$15,"D-",IF(N525&lt;'PlayerGrades+'!$AF$14,"D",IF(N525&lt;'PlayerGrades+'!$AF$13,"D+",IF(N525&lt;'PlayerGrades+'!$AF$12,"C-",IF(N525&lt;'PlayerGrades+'!$AF$11,"C",IF(N525&lt;'PlayerGrades+'!$AF$10,"C+",IF(N525&lt;'PlayerGrades+'!$AF$9,"B-",IF(N525&lt;'PlayerGrades+'!$AF$8,"B",IF(N525&lt;'PlayerGrades+'!$AF$7,"B+",IF(N525&lt;'PlayerGrades+'!$AF$6,"A-",IF(N525&lt;'PlayerGrades+'!$AF$5,"A",IF(N525&lt;'PlayerGrades+'!$AF$4,"A+",IF(N525&lt;'PlayerGrades+'!$AF$3,"S-",IF(N525&lt;'PlayerGrades+'!$AF$2,"S","S+"))))))))))))))))))))</f>
        <v>D+</v>
      </c>
      <c r="P525" s="937">
        <f t="shared" si="7"/>
        <v>0.06006006006</v>
      </c>
      <c r="Q525" s="937" t="str">
        <f>IF(P525&lt;'PlayerGrades+'!$AG$21,"F-",IF(P525&lt;'PlayerGrades+'!$AG$20,"F",IF(P525&lt;'PlayerGrades+'!$AG$19,"F+",IF(P525&lt;'PlayerGrades+'!$AG$18,"E-",IF(P525&lt;'PlayerGrades+'!$AG$17,"E",IF(P525&lt;'PlayerGrades+'!$AG$16,"E+",IF(P525&lt;'PlayerGrades+'!$AG$15,"D-",IF(P525&lt;'PlayerGrades+'!$AG$14,"D",IF(P525&lt;'PlayerGrades+'!$AG$13,"D+",IF(P525&lt;'PlayerGrades+'!$AG$12,"C-",IF(P525&lt;'PlayerGrades+'!$AG$11,"C",IF(P525&lt;'PlayerGrades+'!$AG$10,"C+",IF(P525&lt;'PlayerGrades+'!$AG$9,"B-",IF(P525&lt;'PlayerGrades+'!$AG$8,"B",IF(P525&lt;'PlayerGrades+'!$AG$7,"B+",IF(P525&lt;'PlayerGrades+'!$AG$6,"A-",IF(P525&lt;'PlayerGrades+'!$AG$5,"A",IF(P525&lt;'PlayerGrades+'!$AG$4,"A+",IF(P525&lt;'PlayerGrades+'!$AG$3,"S-",IF(P525&lt;'PlayerGrades+'!$AG$2,"S","S+"))))))))))))))))))))</f>
        <v>A</v>
      </c>
      <c r="R525" s="937">
        <f t="shared" si="8"/>
        <v>0.4204204204</v>
      </c>
      <c r="S525" s="937" t="str">
        <f>IF(R525&lt;'PlayerGrades+'!$AH$21,"F-",IF(R525&lt;'PlayerGrades+'!$AH$20,"F",IF(R525&lt;'PlayerGrades+'!$AH$19,"F+",IF(R525&lt;'PlayerGrades+'!$AH$18,"E-",IF(R525&lt;'PlayerGrades+'!$AH$17,"E",IF(R525&lt;'PlayerGrades+'!$AH$16,"E+",IF(R525&lt;'PlayerGrades+'!$AH$15,"D-",IF(R525&lt;'PlayerGrades+'!$AH$14,"D",IF(R525&lt;'PlayerGrades+'!$AH$13,"D+",IF(R525&lt;'PlayerGrades+'!$AH$12,"C-",IF(R525&lt;'PlayerGrades+'!$AH$11,"C",IF(R525&lt;'PlayerGrades+'!$AH$10,"C+",IF(R525&lt;'PlayerGrades+'!$AH$9,"B-",IF(R525&lt;'PlayerGrades+'!$AH$8,"B",IF(R525&lt;'PlayerGrades+'!$AH$7,"B+",IF(R525&lt;'PlayerGrades+'!$AH$6,"A-",IF(R525&lt;'PlayerGrades+'!$AH$5,"A",IF(R525&lt;'PlayerGrades+'!$AH$4,"A+",IF(R525&lt;'PlayerGrades+'!$AH$3,"S-",IF(R525&lt;'PlayerGrades+'!$AH$2,"S","S+"))))))))))))))))))))</f>
        <v>F+</v>
      </c>
      <c r="T525" s="937">
        <f t="shared" si="9"/>
        <v>0.3603603604</v>
      </c>
      <c r="U525" s="937" t="str">
        <f>IF(T525&lt;'PlayerGrades+'!$AI$21,"F-",IF(T525&lt;'PlayerGrades+'!$AI$20,"F",IF(T525&lt;'PlayerGrades+'!$AI$19,"F+",IF(T525&lt;'PlayerGrades+'!$AI$18,"E-",IF(T525&lt;'PlayerGrades+'!$AI$17,"E",IF(T525&lt;'PlayerGrades+'!$AI$16,"E+",IF(T525&lt;'PlayerGrades+'!$AI$15,"D-",IF(T525&lt;'PlayerGrades+'!$AI$14,"D",IF(T525&lt;'PlayerGrades+'!$AI$13,"D+",IF(T525&lt;'PlayerGrades+'!$AI$12,"C-",IF(T525&lt;'PlayerGrades+'!$AI$11,"C",IF(T525&lt;'PlayerGrades+'!$AI$10,"C+",IF(T525&lt;'PlayerGrades+'!$AI$9,"B-",IF(T525&lt;'PlayerGrades+'!$AI$8,"B",IF(T525&lt;'PlayerGrades+'!$AI$7,"B+",IF(T525&lt;'PlayerGrades+'!$AI$6,"A-",IF(T525&lt;'PlayerGrades+'!$AI$5,"A",IF(T525&lt;'PlayerGrades+'!$AI$4,"A+",IF(T525&lt;'PlayerGrades+'!$AI$3,"S-",IF(T525&lt;'PlayerGrades+'!$AI$2,"S","S+"))))))))))))))))))))</f>
        <v>F-</v>
      </c>
      <c r="V525" s="941">
        <v>1.0</v>
      </c>
      <c r="W525" s="941">
        <v>1.0</v>
      </c>
      <c r="X525" s="941">
        <v>0.0</v>
      </c>
      <c r="Y525" s="941">
        <v>0.0</v>
      </c>
      <c r="Z525" s="941">
        <v>0.0</v>
      </c>
      <c r="AA525" s="941">
        <v>44.0</v>
      </c>
      <c r="AB525" s="941">
        <v>42.0</v>
      </c>
      <c r="AC525" s="941">
        <v>2.0</v>
      </c>
      <c r="AD525" s="941">
        <v>2.0</v>
      </c>
      <c r="AE525" s="941">
        <v>6.0</v>
      </c>
      <c r="AF525" s="941">
        <v>1.0</v>
      </c>
      <c r="AG525" s="941">
        <v>796.0</v>
      </c>
      <c r="AH525" s="941">
        <v>999.0</v>
      </c>
      <c r="AI525" s="941">
        <v>18.0</v>
      </c>
      <c r="AJ525" s="941">
        <v>3.0</v>
      </c>
      <c r="AK525" s="941">
        <v>0.0</v>
      </c>
      <c r="AL525" s="941">
        <v>2.0</v>
      </c>
      <c r="AM525" s="941">
        <v>0.0</v>
      </c>
      <c r="AN525" s="941">
        <v>0.0</v>
      </c>
      <c r="AO525" s="941">
        <v>0.0</v>
      </c>
      <c r="AP525" s="941">
        <v>1.0</v>
      </c>
      <c r="AQ525" s="941">
        <v>0.0</v>
      </c>
      <c r="AR525" s="941">
        <v>4.0</v>
      </c>
      <c r="AS525" s="941">
        <v>1.0</v>
      </c>
      <c r="AT525" s="941">
        <v>0.0</v>
      </c>
      <c r="AU525" s="941">
        <v>0.0</v>
      </c>
      <c r="AV525" s="941">
        <v>0.0</v>
      </c>
      <c r="AW525" s="941">
        <v>0.0</v>
      </c>
      <c r="AX525" s="941">
        <v>0.0</v>
      </c>
      <c r="AY525" s="941">
        <v>0.0</v>
      </c>
      <c r="AZ525" s="941">
        <v>0.0</v>
      </c>
      <c r="BA525" s="941">
        <v>0.0</v>
      </c>
      <c r="BB525" s="941">
        <v>2.0</v>
      </c>
      <c r="BC525" s="941">
        <v>0.0</v>
      </c>
      <c r="BD525" s="941">
        <v>5.0</v>
      </c>
      <c r="BE525" s="941">
        <v>6.0</v>
      </c>
      <c r="BF525" s="941">
        <v>0.0</v>
      </c>
      <c r="BG525" s="942">
        <v>0.0</v>
      </c>
    </row>
    <row r="526">
      <c r="A526" s="935" t="s">
        <v>149</v>
      </c>
      <c r="B526" s="16" t="str">
        <f>IF(C526&lt;'PlayerGrades+'!$Y$44,"F-",IF(C526&lt;'PlayerGrades+'!$Y$43,"F",IF(C526&lt;'PlayerGrades+'!$Y$42,"F+",IF(C526&lt;'PlayerGrades+'!$Y$41,"E-",IF(C526&lt;'PlayerGrades+'!$Y$40,"E",IF(C526&lt;'PlayerGrades+'!$Y$39,"E+",IF(C526&lt;'PlayerGrades+'!$Y$38,"D-",IF(C526&lt;'PlayerGrades+'!$Y$37,"D",IF(C526&lt;'PlayerGrades+'!$Y$36,"D+",IF(C526&lt;'PlayerGrades+'!$Y$35,"C-",IF(C526&lt;'PlayerGrades+'!$Y$34,"C",IF(C526&lt;'PlayerGrades+'!$Y$33,"C+",IF(C526&lt;'PlayerGrades+'!$Y$32,"B-",IF(C526&lt;'PlayerGrades+'!$Y$31,"B",IF(C526&lt;'PlayerGrades+'!$Y$30,"B+",IF(C526&lt;'PlayerGrades+'!$Y$29,"A-",IF(C526&lt;'PlayerGrades+'!$Y$28,"A",IF(C526&lt;'PlayerGrades+'!$Y$27,"A+",IF(C526&lt;'PlayerGrades+'!$Y$26,"S-",IF(C526&lt;'PlayerGrades+'!$Y$25,"S","S+"))))))))))))))))))))</f>
        <v>F</v>
      </c>
      <c r="C526" s="936">
        <f>('PlayerGrades+'!$Y$47*(VLOOKUP(E526, 'PlayerGrades+'!$X$3:$Y$23, 2, FALSE)))+('PlayerGrades+'!$Y$48*(VLOOKUP(G526, 'PlayerGrades+'!$X$3:$Y$23, 2, FALSE)))+('PlayerGrades+'!$Y$49*(VLOOKUP(I526, 'PlayerGrades+'!$X$3:$Y$23, 2, FALSE)))+('PlayerGrades+'!$Y$50*(VLOOKUP(K526, 'PlayerGrades+'!$X$3:$Y$23, 2, FALSE)))+('PlayerGrades+'!$Y$51*(VLOOKUP(M526, 'PlayerGrades+'!$X$3:$Y$23, 2, FALSE)))+('PlayerGrades+'!$Y$52*(VLOOKUP(O526, 'PlayerGrades+'!$X$3:$Y$23, 2, FALSE)))+('PlayerGrades+'!$Y$53*(VLOOKUP(Q526, 'PlayerGrades+'!$X$3:$Y$23, 2, FALSE)))+('PlayerGrades+'!$Y$54*(VLOOKUP(S526, 'PlayerGrades+'!$X$3:$Y$23, 2, FALSE)))+('PlayerGrades+'!$Y$55*(VLOOKUP(U526, 'PlayerGrades+'!$X$3:$Y$23, 2, FALSE)))</f>
        <v>9.25</v>
      </c>
      <c r="D526" s="937">
        <f t="shared" si="1"/>
        <v>0.310880829</v>
      </c>
      <c r="E526" s="937" t="str">
        <f>IF(D526&lt;'PlayerGrades+'!$AA$21,"F-",IF(D526&lt;'PlayerGrades+'!$AA$20,"F",IF(D526&lt;'PlayerGrades+'!$AA$19,"F+",IF(D526&lt;'PlayerGrades+'!$AA$18,"E-",IF(D526&lt;'PlayerGrades+'!$AA$17,"E",IF(D526&lt;'PlayerGrades+'!$AA$16,"E+",IF(D526&lt;'PlayerGrades+'!$AA$15,"D-",IF(D526&lt;'PlayerGrades+'!$AA$14,"D",IF(D526&lt;'PlayerGrades+'!$AA$13,"D+",IF(D526&lt;'PlayerGrades+'!$AA$12,"C-",IF(D526&lt;'PlayerGrades+'!$AA$11,"C",IF(D526&lt;'PlayerGrades+'!$AA$10,"C+",IF(D526&lt;'PlayerGrades+'!$AA$9,"B-",IF(D526&lt;'PlayerGrades+'!$AA$8,"B",IF(D526&lt;'PlayerGrades+'!$AA$7,"B+",IF(D526&lt;'PlayerGrades+'!$AA$6,"A-",IF(D526&lt;'PlayerGrades+'!$AA$5,"A",IF(D526&lt;'PlayerGrades+'!$AA$4,"A+",IF(D526&lt;'PlayerGrades+'!$AA$3,"S-",IF(D526&lt;'PlayerGrades+'!$AA$2,"S","S+"))))))))))))))))))))</f>
        <v>A</v>
      </c>
      <c r="F526" s="937">
        <f t="shared" si="2"/>
        <v>-0.4974093264</v>
      </c>
      <c r="G526" s="937" t="str">
        <f>IF(F526&lt;'PlayerGrades+'!$AB$21,"F-",IF(F526&lt;'PlayerGrades+'!$AB$20,"F",IF(F526&lt;'PlayerGrades+'!$AB$19,"F+",IF(F526&lt;'PlayerGrades+'!$AB$18,"E-",IF(F526&lt;'PlayerGrades+'!$AB$17,"E",IF(F526&lt;'PlayerGrades+'!$AB$16,"E+",IF(F526&lt;'PlayerGrades+'!$AB$15,"D-",IF(F526&lt;'PlayerGrades+'!$AB$14,"D",IF(F526&lt;'PlayerGrades+'!$AB$13,"D+",IF(F526&lt;'PlayerGrades+'!$AB$12,"C-",IF(F526&lt;'PlayerGrades+'!$AB$11,"C",IF(F526&lt;'PlayerGrades+'!$AB$10,"C+",IF(F526&lt;'PlayerGrades+'!$AB$9,"B-",IF(F526&lt;'PlayerGrades+'!$AB$8,"B",IF(F526&lt;'PlayerGrades+'!$AB$7,"B+",IF(F526&lt;'PlayerGrades+'!$AB$6,"A-",IF(F526&lt;'PlayerGrades+'!$AB$5,"A",IF(F526&lt;'PlayerGrades+'!$AB$4,"A+",IF(F526&lt;'PlayerGrades+'!$AB$3,"S-",IF(F526&lt;'PlayerGrades+'!$AB$2,"S","S+"))))))))))))))))))))</f>
        <v>D</v>
      </c>
      <c r="H526" s="937">
        <f t="shared" si="3"/>
        <v>0.0621761658</v>
      </c>
      <c r="I526" s="937" t="str">
        <f>IF(H526&lt;'PlayerGrades+'!$AC$21,"F-",IF(H526&lt;'PlayerGrades+'!$AC$20,"F",IF(H526&lt;'PlayerGrades+'!$AC$19,"F+",IF(H526&lt;'PlayerGrades+'!$AC$18,"E-",IF(H526&lt;'PlayerGrades+'!$AC$17,"E",IF(H526&lt;'PlayerGrades+'!$AC$16,"E+",IF(H526&lt;'PlayerGrades+'!$AC$15,"D-",IF(H526&lt;'PlayerGrades+'!$AC$14,"D",IF(H526&lt;'PlayerGrades+'!$AC$13,"D+",IF(H526&lt;'PlayerGrades+'!$AC$12,"C-",IF(H526&lt;'PlayerGrades+'!$AC$11,"C",IF(H526&lt;'PlayerGrades+'!$AC$10,"C+",IF(H526&lt;'PlayerGrades+'!$AC$9,"B-",IF(H526&lt;'PlayerGrades+'!$AC$8,"B",IF(H526&lt;'PlayerGrades+'!$AC$7,"B+",IF(H526&lt;'PlayerGrades+'!$AC$6,"A-",IF(H526&lt;'PlayerGrades+'!$AC$5,"A",IF(H526&lt;'PlayerGrades+'!$AC$4,"A+",IF(H526&lt;'PlayerGrades+'!$AC$3,"S-",IF(H526&lt;'PlayerGrades+'!$AC$2,"S","S+"))))))))))))))))))))</f>
        <v>E-</v>
      </c>
      <c r="J526" s="937">
        <f t="shared" si="4"/>
        <v>0</v>
      </c>
      <c r="K526" s="937" t="str">
        <f>IF(J526&lt;'PlayerGrades+'!$AD$21,"F-",IF(J526&lt;'PlayerGrades+'!$AD$20,"F",IF(J526&lt;'PlayerGrades+'!$AD$19,"F+",IF(J526&lt;'PlayerGrades+'!$AD$18,"E-",IF(J526&lt;'PlayerGrades+'!$AD$17,"E",IF(J526&lt;'PlayerGrades+'!$AD$16,"E+",IF(J526&lt;'PlayerGrades+'!$AD$15,"D-",IF(J526&lt;'PlayerGrades+'!$AD$14,"D",IF(J526&lt;'PlayerGrades+'!$AD$13,"D+",IF(J526&lt;'PlayerGrades+'!$AD$12,"C-",IF(J526&lt;'PlayerGrades+'!$AD$11,"C",IF(J526&lt;'PlayerGrades+'!$AD$10,"C+",IF(J526&lt;'PlayerGrades+'!$AD$9,"B-",IF(J526&lt;'PlayerGrades+'!$AD$8,"B",IF(J526&lt;'PlayerGrades+'!$AD$7,"B+",IF(J526&lt;'PlayerGrades+'!$AD$6,"A-",IF(J526&lt;'PlayerGrades+'!$AD$5,"A",IF(J526&lt;'PlayerGrades+'!$AD$4,"A+",IF(J526&lt;'PlayerGrades+'!$AD$3,"S-",IF(J526&lt;'PlayerGrades+'!$AD$2,"S","S+"))))))))))))))))))))</f>
        <v>F-</v>
      </c>
      <c r="L526" s="677">
        <f t="shared" si="5"/>
        <v>0.2487046632</v>
      </c>
      <c r="M526" s="938" t="str">
        <f>IF(L526&lt;'PlayerGrades+'!$AE$21,"F-",IF(L526&lt;'PlayerGrades+'!$AE$20,"F",IF(L526&lt;'PlayerGrades+'!$AE$19,"F+",IF(L526&lt;'PlayerGrades+'!$AE$18,"E-",IF(L526&lt;'PlayerGrades+'!$AE$17,"E",IF(L526&lt;'PlayerGrades+'!$AE$16,"E+",IF(L526&lt;'PlayerGrades+'!$AE$15,"D-",IF(L526&lt;'PlayerGrades+'!$AE$14,"D",IF(L526&lt;'PlayerGrades+'!$AE$13,"D+",IF(L526&lt;'PlayerGrades+'!$AE$12,"C-",IF(L526&lt;'PlayerGrades+'!$AE$11,"C",IF(L526&lt;'PlayerGrades+'!$AE$10,"C+",IF(L526&lt;'PlayerGrades+'!$AE$9,"B-",IF(L526&lt;'PlayerGrades+'!$AE$8,"B",IF(L526&lt;'PlayerGrades+'!$AE$7,"B+",IF(L526&lt;'PlayerGrades+'!$AE$6,"A-",IF(L526&lt;'PlayerGrades+'!$AE$5,"A",IF(L526&lt;'PlayerGrades+'!$AE$4,"A+",IF(L526&lt;'PlayerGrades+'!$AE$3,"S-",IF(L526&lt;'PlayerGrades+'!$AE$2,"S","S+"))))))))))))))))))))</f>
        <v>F</v>
      </c>
      <c r="N526" s="937">
        <f t="shared" si="6"/>
        <v>0</v>
      </c>
      <c r="O526" s="937" t="str">
        <f>IF(N526&lt;'PlayerGrades+'!$AF$21,"F-",IF(N526&lt;'PlayerGrades+'!$AF$20,"F",IF(N526&lt;'PlayerGrades+'!$AF$19,"F+",IF(N526&lt;'PlayerGrades+'!$AF$18,"E-",IF(N526&lt;'PlayerGrades+'!$AF$17,"E",IF(N526&lt;'PlayerGrades+'!$AF$16,"E+",IF(N526&lt;'PlayerGrades+'!$AF$15,"D-",IF(N526&lt;'PlayerGrades+'!$AF$14,"D",IF(N526&lt;'PlayerGrades+'!$AF$13,"D+",IF(N526&lt;'PlayerGrades+'!$AF$12,"C-",IF(N526&lt;'PlayerGrades+'!$AF$11,"C",IF(N526&lt;'PlayerGrades+'!$AF$10,"C+",IF(N526&lt;'PlayerGrades+'!$AF$9,"B-",IF(N526&lt;'PlayerGrades+'!$AF$8,"B",IF(N526&lt;'PlayerGrades+'!$AF$7,"B+",IF(N526&lt;'PlayerGrades+'!$AF$6,"A-",IF(N526&lt;'PlayerGrades+'!$AF$5,"A",IF(N526&lt;'PlayerGrades+'!$AF$4,"A+",IF(N526&lt;'PlayerGrades+'!$AF$3,"S-",IF(N526&lt;'PlayerGrades+'!$AF$2,"S","S+"))))))))))))))))))))</f>
        <v>F-</v>
      </c>
      <c r="P526" s="937">
        <f t="shared" si="7"/>
        <v>0</v>
      </c>
      <c r="Q526" s="937" t="str">
        <f>IF(P526&lt;'PlayerGrades+'!$AG$21,"F-",IF(P526&lt;'PlayerGrades+'!$AG$20,"F",IF(P526&lt;'PlayerGrades+'!$AG$19,"F+",IF(P526&lt;'PlayerGrades+'!$AG$18,"E-",IF(P526&lt;'PlayerGrades+'!$AG$17,"E",IF(P526&lt;'PlayerGrades+'!$AG$16,"E+",IF(P526&lt;'PlayerGrades+'!$AG$15,"D-",IF(P526&lt;'PlayerGrades+'!$AG$14,"D",IF(P526&lt;'PlayerGrades+'!$AG$13,"D+",IF(P526&lt;'PlayerGrades+'!$AG$12,"C-",IF(P526&lt;'PlayerGrades+'!$AG$11,"C",IF(P526&lt;'PlayerGrades+'!$AG$10,"C+",IF(P526&lt;'PlayerGrades+'!$AG$9,"B-",IF(P526&lt;'PlayerGrades+'!$AG$8,"B",IF(P526&lt;'PlayerGrades+'!$AG$7,"B+",IF(P526&lt;'PlayerGrades+'!$AG$6,"A-",IF(P526&lt;'PlayerGrades+'!$AG$5,"A",IF(P526&lt;'PlayerGrades+'!$AG$4,"A+",IF(P526&lt;'PlayerGrades+'!$AG$3,"S-",IF(P526&lt;'PlayerGrades+'!$AG$2,"S","S+"))))))))))))))))))))</f>
        <v>F</v>
      </c>
      <c r="R526" s="937">
        <f t="shared" si="8"/>
        <v>0.310880829</v>
      </c>
      <c r="S526" s="937" t="str">
        <f>IF(R526&lt;'PlayerGrades+'!$AH$21,"F-",IF(R526&lt;'PlayerGrades+'!$AH$20,"F",IF(R526&lt;'PlayerGrades+'!$AH$19,"F+",IF(R526&lt;'PlayerGrades+'!$AH$18,"E-",IF(R526&lt;'PlayerGrades+'!$AH$17,"E",IF(R526&lt;'PlayerGrades+'!$AH$16,"E+",IF(R526&lt;'PlayerGrades+'!$AH$15,"D-",IF(R526&lt;'PlayerGrades+'!$AH$14,"D",IF(R526&lt;'PlayerGrades+'!$AH$13,"D+",IF(R526&lt;'PlayerGrades+'!$AH$12,"C-",IF(R526&lt;'PlayerGrades+'!$AH$11,"C",IF(R526&lt;'PlayerGrades+'!$AH$10,"C+",IF(R526&lt;'PlayerGrades+'!$AH$9,"B-",IF(R526&lt;'PlayerGrades+'!$AH$8,"B",IF(R526&lt;'PlayerGrades+'!$AH$7,"B+",IF(R526&lt;'PlayerGrades+'!$AH$6,"A-",IF(R526&lt;'PlayerGrades+'!$AH$5,"A",IF(R526&lt;'PlayerGrades+'!$AH$4,"A+",IF(R526&lt;'PlayerGrades+'!$AH$3,"S-",IF(R526&lt;'PlayerGrades+'!$AH$2,"S","S+"))))))))))))))))))))</f>
        <v>F-</v>
      </c>
      <c r="T526" s="937">
        <f t="shared" si="9"/>
        <v>0.1865284974</v>
      </c>
      <c r="U526" s="937" t="str">
        <f>IF(T526&lt;'PlayerGrades+'!$AI$21,"F-",IF(T526&lt;'PlayerGrades+'!$AI$20,"F",IF(T526&lt;'PlayerGrades+'!$AI$19,"F+",IF(T526&lt;'PlayerGrades+'!$AI$18,"E-",IF(T526&lt;'PlayerGrades+'!$AI$17,"E",IF(T526&lt;'PlayerGrades+'!$AI$16,"E+",IF(T526&lt;'PlayerGrades+'!$AI$15,"D-",IF(T526&lt;'PlayerGrades+'!$AI$14,"D",IF(T526&lt;'PlayerGrades+'!$AI$13,"D+",IF(T526&lt;'PlayerGrades+'!$AI$12,"C-",IF(T526&lt;'PlayerGrades+'!$AI$11,"C",IF(T526&lt;'PlayerGrades+'!$AI$10,"C+",IF(T526&lt;'PlayerGrades+'!$AI$9,"B-",IF(T526&lt;'PlayerGrades+'!$AI$8,"B",IF(T526&lt;'PlayerGrades+'!$AI$7,"B+",IF(T526&lt;'PlayerGrades+'!$AI$6,"A-",IF(T526&lt;'PlayerGrades+'!$AI$5,"A",IF(T526&lt;'PlayerGrades+'!$AI$4,"A+",IF(T526&lt;'PlayerGrades+'!$AI$3,"S-",IF(T526&lt;'PlayerGrades+'!$AI$2,"S","S+"))))))))))))))))))))</f>
        <v>F-</v>
      </c>
      <c r="V526" s="941">
        <v>1.0</v>
      </c>
      <c r="W526" s="941">
        <v>0.0</v>
      </c>
      <c r="X526" s="941">
        <v>1.0</v>
      </c>
      <c r="Y526" s="941">
        <v>1.0</v>
      </c>
      <c r="Z526" s="941">
        <v>4.0</v>
      </c>
      <c r="AA526" s="941">
        <v>41.0</v>
      </c>
      <c r="AB526" s="941">
        <v>49.0</v>
      </c>
      <c r="AC526" s="941">
        <v>-8.0</v>
      </c>
      <c r="AD526" s="941">
        <v>1.0</v>
      </c>
      <c r="AE526" s="941">
        <v>2.0</v>
      </c>
      <c r="AF526" s="941">
        <v>0.0</v>
      </c>
      <c r="AG526" s="941">
        <v>738.0</v>
      </c>
      <c r="AH526" s="941">
        <v>965.0</v>
      </c>
      <c r="AI526" s="941">
        <v>15.0</v>
      </c>
      <c r="AJ526" s="941">
        <v>122.0</v>
      </c>
      <c r="AK526" s="941">
        <v>0.0</v>
      </c>
      <c r="AL526" s="941">
        <v>0.0</v>
      </c>
      <c r="AM526" s="941">
        <v>0.0</v>
      </c>
      <c r="AN526" s="941">
        <v>0.0</v>
      </c>
      <c r="AO526" s="941">
        <v>0.0</v>
      </c>
      <c r="AP526" s="941">
        <v>0.0</v>
      </c>
      <c r="AQ526" s="941">
        <v>0.0</v>
      </c>
      <c r="AR526" s="941">
        <v>4.0</v>
      </c>
      <c r="AS526" s="941">
        <v>0.0</v>
      </c>
      <c r="AT526" s="941">
        <v>0.0</v>
      </c>
      <c r="AU526" s="941">
        <v>0.0</v>
      </c>
      <c r="AV526" s="941">
        <v>0.0</v>
      </c>
      <c r="AW526" s="941">
        <v>0.0</v>
      </c>
      <c r="AX526" s="941">
        <v>0.0</v>
      </c>
      <c r="AY526" s="941">
        <v>0.0</v>
      </c>
      <c r="AZ526" s="941">
        <v>0.0</v>
      </c>
      <c r="BA526" s="941">
        <v>0.0</v>
      </c>
      <c r="BB526" s="941">
        <v>1.0</v>
      </c>
      <c r="BC526" s="941">
        <v>0.0</v>
      </c>
      <c r="BD526" s="941">
        <v>4.0</v>
      </c>
      <c r="BE526" s="941">
        <v>3.0</v>
      </c>
      <c r="BF526" s="941">
        <v>0.0</v>
      </c>
      <c r="BG526" s="942">
        <v>1.0</v>
      </c>
    </row>
    <row r="527">
      <c r="A527" s="935" t="s">
        <v>138</v>
      </c>
      <c r="B527" s="16" t="str">
        <f>IF(C527&lt;'PlayerGrades+'!$Y$44,"F-",IF(C527&lt;'PlayerGrades+'!$Y$43,"F",IF(C527&lt;'PlayerGrades+'!$Y$42,"F+",IF(C527&lt;'PlayerGrades+'!$Y$41,"E-",IF(C527&lt;'PlayerGrades+'!$Y$40,"E",IF(C527&lt;'PlayerGrades+'!$Y$39,"E+",IF(C527&lt;'PlayerGrades+'!$Y$38,"D-",IF(C527&lt;'PlayerGrades+'!$Y$37,"D",IF(C527&lt;'PlayerGrades+'!$Y$36,"D+",IF(C527&lt;'PlayerGrades+'!$Y$35,"C-",IF(C527&lt;'PlayerGrades+'!$Y$34,"C",IF(C527&lt;'PlayerGrades+'!$Y$33,"C+",IF(C527&lt;'PlayerGrades+'!$Y$32,"B-",IF(C527&lt;'PlayerGrades+'!$Y$31,"B",IF(C527&lt;'PlayerGrades+'!$Y$30,"B+",IF(C527&lt;'PlayerGrades+'!$Y$29,"A-",IF(C527&lt;'PlayerGrades+'!$Y$28,"A",IF(C527&lt;'PlayerGrades+'!$Y$27,"A+",IF(C527&lt;'PlayerGrades+'!$Y$26,"S-",IF(C527&lt;'PlayerGrades+'!$Y$25,"S","S+"))))))))))))))))))))</f>
        <v>B+</v>
      </c>
      <c r="C527" s="936">
        <f>('PlayerGrades+'!$Y$47*(VLOOKUP(E527, 'PlayerGrades+'!$X$3:$Y$23, 2, FALSE)))+('PlayerGrades+'!$Y$48*(VLOOKUP(G527, 'PlayerGrades+'!$X$3:$Y$23, 2, FALSE)))+('PlayerGrades+'!$Y$49*(VLOOKUP(I527, 'PlayerGrades+'!$X$3:$Y$23, 2, FALSE)))+('PlayerGrades+'!$Y$50*(VLOOKUP(K527, 'PlayerGrades+'!$X$3:$Y$23, 2, FALSE)))+('PlayerGrades+'!$Y$51*(VLOOKUP(M527, 'PlayerGrades+'!$X$3:$Y$23, 2, FALSE)))+('PlayerGrades+'!$Y$52*(VLOOKUP(O527, 'PlayerGrades+'!$X$3:$Y$23, 2, FALSE)))+('PlayerGrades+'!$Y$53*(VLOOKUP(Q527, 'PlayerGrades+'!$X$3:$Y$23, 2, FALSE)))+('PlayerGrades+'!$Y$54*(VLOOKUP(S527, 'PlayerGrades+'!$X$3:$Y$23, 2, FALSE)))+('PlayerGrades+'!$Y$55*(VLOOKUP(U527, 'PlayerGrades+'!$X$3:$Y$23, 2, FALSE)))</f>
        <v>23.8</v>
      </c>
      <c r="D527" s="937">
        <f t="shared" si="1"/>
        <v>0.1201201201</v>
      </c>
      <c r="E527" s="937" t="str">
        <f>IF(D527&lt;'PlayerGrades+'!$AA$21,"F-",IF(D527&lt;'PlayerGrades+'!$AA$20,"F",IF(D527&lt;'PlayerGrades+'!$AA$19,"F+",IF(D527&lt;'PlayerGrades+'!$AA$18,"E-",IF(D527&lt;'PlayerGrades+'!$AA$17,"E",IF(D527&lt;'PlayerGrades+'!$AA$16,"E+",IF(D527&lt;'PlayerGrades+'!$AA$15,"D-",IF(D527&lt;'PlayerGrades+'!$AA$14,"D",IF(D527&lt;'PlayerGrades+'!$AA$13,"D+",IF(D527&lt;'PlayerGrades+'!$AA$12,"C-",IF(D527&lt;'PlayerGrades+'!$AA$11,"C",IF(D527&lt;'PlayerGrades+'!$AA$10,"C+",IF(D527&lt;'PlayerGrades+'!$AA$9,"B-",IF(D527&lt;'PlayerGrades+'!$AA$8,"B",IF(D527&lt;'PlayerGrades+'!$AA$7,"B+",IF(D527&lt;'PlayerGrades+'!$AA$6,"A-",IF(D527&lt;'PlayerGrades+'!$AA$5,"A",IF(D527&lt;'PlayerGrades+'!$AA$4,"A+",IF(D527&lt;'PlayerGrades+'!$AA$3,"S-",IF(D527&lt;'PlayerGrades+'!$AA$2,"S","S+"))))))))))))))))))))</f>
        <v>B</v>
      </c>
      <c r="F527" s="937">
        <f t="shared" si="2"/>
        <v>-0.1801801802</v>
      </c>
      <c r="G527" s="937" t="str">
        <f>IF(F527&lt;'PlayerGrades+'!$AB$21,"F-",IF(F527&lt;'PlayerGrades+'!$AB$20,"F",IF(F527&lt;'PlayerGrades+'!$AB$19,"F+",IF(F527&lt;'PlayerGrades+'!$AB$18,"E-",IF(F527&lt;'PlayerGrades+'!$AB$17,"E",IF(F527&lt;'PlayerGrades+'!$AB$16,"E+",IF(F527&lt;'PlayerGrades+'!$AB$15,"D-",IF(F527&lt;'PlayerGrades+'!$AB$14,"D",IF(F527&lt;'PlayerGrades+'!$AB$13,"D+",IF(F527&lt;'PlayerGrades+'!$AB$12,"C-",IF(F527&lt;'PlayerGrades+'!$AB$11,"C",IF(F527&lt;'PlayerGrades+'!$AB$10,"C+",IF(F527&lt;'PlayerGrades+'!$AB$9,"B-",IF(F527&lt;'PlayerGrades+'!$AB$8,"B",IF(F527&lt;'PlayerGrades+'!$AB$7,"B+",IF(F527&lt;'PlayerGrades+'!$AB$6,"A-",IF(F527&lt;'PlayerGrades+'!$AB$5,"A",IF(F527&lt;'PlayerGrades+'!$AB$4,"A+",IF(F527&lt;'PlayerGrades+'!$AB$3,"S-",IF(F527&lt;'PlayerGrades+'!$AB$2,"S","S+"))))))))))))))))))))</f>
        <v>C+</v>
      </c>
      <c r="H527" s="937">
        <f t="shared" si="3"/>
        <v>0.1201201201</v>
      </c>
      <c r="I527" s="937" t="str">
        <f>IF(H527&lt;'PlayerGrades+'!$AC$21,"F-",IF(H527&lt;'PlayerGrades+'!$AC$20,"F",IF(H527&lt;'PlayerGrades+'!$AC$19,"F+",IF(H527&lt;'PlayerGrades+'!$AC$18,"E-",IF(H527&lt;'PlayerGrades+'!$AC$17,"E",IF(H527&lt;'PlayerGrades+'!$AC$16,"E+",IF(H527&lt;'PlayerGrades+'!$AC$15,"D-",IF(H527&lt;'PlayerGrades+'!$AC$14,"D",IF(H527&lt;'PlayerGrades+'!$AC$13,"D+",IF(H527&lt;'PlayerGrades+'!$AC$12,"C-",IF(H527&lt;'PlayerGrades+'!$AC$11,"C",IF(H527&lt;'PlayerGrades+'!$AC$10,"C+",IF(H527&lt;'PlayerGrades+'!$AC$9,"B-",IF(H527&lt;'PlayerGrades+'!$AC$8,"B",IF(H527&lt;'PlayerGrades+'!$AC$7,"B+",IF(H527&lt;'PlayerGrades+'!$AC$6,"A-",IF(H527&lt;'PlayerGrades+'!$AC$5,"A",IF(H527&lt;'PlayerGrades+'!$AC$4,"A+",IF(H527&lt;'PlayerGrades+'!$AC$3,"S-",IF(H527&lt;'PlayerGrades+'!$AC$2,"S","S+"))))))))))))))))))))</f>
        <v>C+</v>
      </c>
      <c r="J527" s="937">
        <f t="shared" si="4"/>
        <v>0.06006006006</v>
      </c>
      <c r="K527" s="937" t="str">
        <f>IF(J527&lt;'PlayerGrades+'!$AD$21,"F-",IF(J527&lt;'PlayerGrades+'!$AD$20,"F",IF(J527&lt;'PlayerGrades+'!$AD$19,"F+",IF(J527&lt;'PlayerGrades+'!$AD$18,"E-",IF(J527&lt;'PlayerGrades+'!$AD$17,"E",IF(J527&lt;'PlayerGrades+'!$AD$16,"E+",IF(J527&lt;'PlayerGrades+'!$AD$15,"D-",IF(J527&lt;'PlayerGrades+'!$AD$14,"D",IF(J527&lt;'PlayerGrades+'!$AD$13,"D+",IF(J527&lt;'PlayerGrades+'!$AD$12,"C-",IF(J527&lt;'PlayerGrades+'!$AD$11,"C",IF(J527&lt;'PlayerGrades+'!$AD$10,"C+",IF(J527&lt;'PlayerGrades+'!$AD$9,"B-",IF(J527&lt;'PlayerGrades+'!$AD$8,"B",IF(J527&lt;'PlayerGrades+'!$AD$7,"B+",IF(J527&lt;'PlayerGrades+'!$AD$6,"A-",IF(J527&lt;'PlayerGrades+'!$AD$5,"A",IF(J527&lt;'PlayerGrades+'!$AD$4,"A+",IF(J527&lt;'PlayerGrades+'!$AD$3,"S-",IF(J527&lt;'PlayerGrades+'!$AD$2,"S","S+"))))))))))))))))))))</f>
        <v>B+</v>
      </c>
      <c r="L527" s="677">
        <f t="shared" si="5"/>
        <v>0.4204204204</v>
      </c>
      <c r="M527" s="938" t="str">
        <f>IF(L527&lt;'PlayerGrades+'!$AE$21,"F-",IF(L527&lt;'PlayerGrades+'!$AE$20,"F",IF(L527&lt;'PlayerGrades+'!$AE$19,"F+",IF(L527&lt;'PlayerGrades+'!$AE$18,"E-",IF(L527&lt;'PlayerGrades+'!$AE$17,"E",IF(L527&lt;'PlayerGrades+'!$AE$16,"E+",IF(L527&lt;'PlayerGrades+'!$AE$15,"D-",IF(L527&lt;'PlayerGrades+'!$AE$14,"D",IF(L527&lt;'PlayerGrades+'!$AE$13,"D+",IF(L527&lt;'PlayerGrades+'!$AE$12,"C-",IF(L527&lt;'PlayerGrades+'!$AE$11,"C",IF(L527&lt;'PlayerGrades+'!$AE$10,"C+",IF(L527&lt;'PlayerGrades+'!$AE$9,"B-",IF(L527&lt;'PlayerGrades+'!$AE$8,"B",IF(L527&lt;'PlayerGrades+'!$AE$7,"B+",IF(L527&lt;'PlayerGrades+'!$AE$6,"A-",IF(L527&lt;'PlayerGrades+'!$AE$5,"A",IF(L527&lt;'PlayerGrades+'!$AE$4,"A+",IF(L527&lt;'PlayerGrades+'!$AE$3,"S-",IF(L527&lt;'PlayerGrades+'!$AE$2,"S","S+"))))))))))))))))))))</f>
        <v>C+</v>
      </c>
      <c r="N527" s="937">
        <f t="shared" si="6"/>
        <v>0.06006006006</v>
      </c>
      <c r="O527" s="937" t="str">
        <f>IF(N527&lt;'PlayerGrades+'!$AF$21,"F-",IF(N527&lt;'PlayerGrades+'!$AF$20,"F",IF(N527&lt;'PlayerGrades+'!$AF$19,"F+",IF(N527&lt;'PlayerGrades+'!$AF$18,"E-",IF(N527&lt;'PlayerGrades+'!$AF$17,"E",IF(N527&lt;'PlayerGrades+'!$AF$16,"E+",IF(N527&lt;'PlayerGrades+'!$AF$15,"D-",IF(N527&lt;'PlayerGrades+'!$AF$14,"D",IF(N527&lt;'PlayerGrades+'!$AF$13,"D+",IF(N527&lt;'PlayerGrades+'!$AF$12,"C-",IF(N527&lt;'PlayerGrades+'!$AF$11,"C",IF(N527&lt;'PlayerGrades+'!$AF$10,"C+",IF(N527&lt;'PlayerGrades+'!$AF$9,"B-",IF(N527&lt;'PlayerGrades+'!$AF$8,"B",IF(N527&lt;'PlayerGrades+'!$AF$7,"B+",IF(N527&lt;'PlayerGrades+'!$AF$6,"A-",IF(N527&lt;'PlayerGrades+'!$AF$5,"A",IF(N527&lt;'PlayerGrades+'!$AF$4,"A+",IF(N527&lt;'PlayerGrades+'!$AF$3,"S-",IF(N527&lt;'PlayerGrades+'!$AF$2,"S","S+"))))))))))))))))))))</f>
        <v>D+</v>
      </c>
      <c r="P527" s="937">
        <f t="shared" si="7"/>
        <v>0.06006006006</v>
      </c>
      <c r="Q527" s="937" t="str">
        <f>IF(P527&lt;'PlayerGrades+'!$AG$21,"F-",IF(P527&lt;'PlayerGrades+'!$AG$20,"F",IF(P527&lt;'PlayerGrades+'!$AG$19,"F+",IF(P527&lt;'PlayerGrades+'!$AG$18,"E-",IF(P527&lt;'PlayerGrades+'!$AG$17,"E",IF(P527&lt;'PlayerGrades+'!$AG$16,"E+",IF(P527&lt;'PlayerGrades+'!$AG$15,"D-",IF(P527&lt;'PlayerGrades+'!$AG$14,"D",IF(P527&lt;'PlayerGrades+'!$AG$13,"D+",IF(P527&lt;'PlayerGrades+'!$AG$12,"C-",IF(P527&lt;'PlayerGrades+'!$AG$11,"C",IF(P527&lt;'PlayerGrades+'!$AG$10,"C+",IF(P527&lt;'PlayerGrades+'!$AG$9,"B-",IF(P527&lt;'PlayerGrades+'!$AG$8,"B",IF(P527&lt;'PlayerGrades+'!$AG$7,"B+",IF(P527&lt;'PlayerGrades+'!$AG$6,"A-",IF(P527&lt;'PlayerGrades+'!$AG$5,"A",IF(P527&lt;'PlayerGrades+'!$AG$4,"A+",IF(P527&lt;'PlayerGrades+'!$AG$3,"S-",IF(P527&lt;'PlayerGrades+'!$AG$2,"S","S+"))))))))))))))))))))</f>
        <v>A</v>
      </c>
      <c r="R527" s="937">
        <f t="shared" si="8"/>
        <v>0.6006006006</v>
      </c>
      <c r="S527" s="937" t="str">
        <f>IF(R527&lt;'PlayerGrades+'!$AH$21,"F-",IF(R527&lt;'PlayerGrades+'!$AH$20,"F",IF(R527&lt;'PlayerGrades+'!$AH$19,"F+",IF(R527&lt;'PlayerGrades+'!$AH$18,"E-",IF(R527&lt;'PlayerGrades+'!$AH$17,"E",IF(R527&lt;'PlayerGrades+'!$AH$16,"E+",IF(R527&lt;'PlayerGrades+'!$AH$15,"D-",IF(R527&lt;'PlayerGrades+'!$AH$14,"D",IF(R527&lt;'PlayerGrades+'!$AH$13,"D+",IF(R527&lt;'PlayerGrades+'!$AH$12,"C-",IF(R527&lt;'PlayerGrades+'!$AH$11,"C",IF(R527&lt;'PlayerGrades+'!$AH$10,"C+",IF(R527&lt;'PlayerGrades+'!$AH$9,"B-",IF(R527&lt;'PlayerGrades+'!$AH$8,"B",IF(R527&lt;'PlayerGrades+'!$AH$7,"B+",IF(R527&lt;'PlayerGrades+'!$AH$6,"A-",IF(R527&lt;'PlayerGrades+'!$AH$5,"A",IF(R527&lt;'PlayerGrades+'!$AH$4,"A+",IF(R527&lt;'PlayerGrades+'!$AH$3,"S-",IF(R527&lt;'PlayerGrades+'!$AH$2,"S","S+"))))))))))))))))))))</f>
        <v>A-</v>
      </c>
      <c r="T527" s="937">
        <f t="shared" si="9"/>
        <v>1.48048048</v>
      </c>
      <c r="U527" s="937" t="str">
        <f>IF(T527&lt;'PlayerGrades+'!$AI$21,"F-",IF(T527&lt;'PlayerGrades+'!$AI$20,"F",IF(T527&lt;'PlayerGrades+'!$AI$19,"F+",IF(T527&lt;'PlayerGrades+'!$AI$18,"E-",IF(T527&lt;'PlayerGrades+'!$AI$17,"E",IF(T527&lt;'PlayerGrades+'!$AI$16,"E+",IF(T527&lt;'PlayerGrades+'!$AI$15,"D-",IF(T527&lt;'PlayerGrades+'!$AI$14,"D",IF(T527&lt;'PlayerGrades+'!$AI$13,"D+",IF(T527&lt;'PlayerGrades+'!$AI$12,"C-",IF(T527&lt;'PlayerGrades+'!$AI$11,"C",IF(T527&lt;'PlayerGrades+'!$AI$10,"C+",IF(T527&lt;'PlayerGrades+'!$AI$9,"B-",IF(T527&lt;'PlayerGrades+'!$AI$8,"B",IF(T527&lt;'PlayerGrades+'!$AI$7,"B+",IF(T527&lt;'PlayerGrades+'!$AI$6,"A-",IF(T527&lt;'PlayerGrades+'!$AI$5,"A",IF(T527&lt;'PlayerGrades+'!$AI$4,"A+",IF(T527&lt;'PlayerGrades+'!$AI$3,"S-",IF(T527&lt;'PlayerGrades+'!$AI$2,"S","S+"))))))))))))))))))))</f>
        <v>A-</v>
      </c>
      <c r="V527" s="941">
        <v>1.0</v>
      </c>
      <c r="W527" s="941">
        <v>0.0</v>
      </c>
      <c r="X527" s="941">
        <v>1.0</v>
      </c>
      <c r="Y527" s="941">
        <v>0.0</v>
      </c>
      <c r="Z527" s="941">
        <v>2.0</v>
      </c>
      <c r="AA527" s="941">
        <v>59.0</v>
      </c>
      <c r="AB527" s="941">
        <v>62.0</v>
      </c>
      <c r="AC527" s="941">
        <v>-3.0</v>
      </c>
      <c r="AD527" s="941">
        <v>1.0</v>
      </c>
      <c r="AE527" s="941">
        <v>5.0</v>
      </c>
      <c r="AF527" s="941">
        <v>0.0</v>
      </c>
      <c r="AG527" s="941">
        <v>734.0</v>
      </c>
      <c r="AH527" s="941">
        <v>999.0</v>
      </c>
      <c r="AI527" s="941">
        <v>11.0</v>
      </c>
      <c r="AJ527" s="941">
        <v>8.0</v>
      </c>
      <c r="AK527" s="941">
        <v>0.0</v>
      </c>
      <c r="AL527" s="941">
        <v>1.0</v>
      </c>
      <c r="AM527" s="941">
        <v>0.0</v>
      </c>
      <c r="AN527" s="941">
        <v>0.0</v>
      </c>
      <c r="AO527" s="941">
        <v>0.0</v>
      </c>
      <c r="AP527" s="941">
        <v>1.0</v>
      </c>
      <c r="AQ527" s="941">
        <v>0.0</v>
      </c>
      <c r="AR527" s="941">
        <v>7.0</v>
      </c>
      <c r="AS527" s="941">
        <v>1.0</v>
      </c>
      <c r="AT527" s="941">
        <v>1.0</v>
      </c>
      <c r="AU527" s="941">
        <v>0.0</v>
      </c>
      <c r="AV527" s="941">
        <v>0.0</v>
      </c>
      <c r="AW527" s="941">
        <v>0.0</v>
      </c>
      <c r="AX527" s="941">
        <v>0.0</v>
      </c>
      <c r="AY527" s="941">
        <v>0.0</v>
      </c>
      <c r="AZ527" s="941">
        <v>0.0</v>
      </c>
      <c r="BA527" s="941">
        <v>0.0</v>
      </c>
      <c r="BB527" s="941">
        <v>2.0</v>
      </c>
      <c r="BC527" s="941">
        <v>0.0</v>
      </c>
      <c r="BD527" s="941">
        <v>9.0</v>
      </c>
      <c r="BE527" s="941">
        <v>8.0</v>
      </c>
      <c r="BF527" s="941">
        <v>1.0</v>
      </c>
      <c r="BG527" s="942">
        <v>1.0</v>
      </c>
    </row>
    <row r="528">
      <c r="A528" s="935" t="s">
        <v>418</v>
      </c>
      <c r="B528" s="16" t="str">
        <f>IF(C528&lt;'PlayerGrades+'!$Y$44,"F-",IF(C528&lt;'PlayerGrades+'!$Y$43,"F",IF(C528&lt;'PlayerGrades+'!$Y$42,"F+",IF(C528&lt;'PlayerGrades+'!$Y$41,"E-",IF(C528&lt;'PlayerGrades+'!$Y$40,"E",IF(C528&lt;'PlayerGrades+'!$Y$39,"E+",IF(C528&lt;'PlayerGrades+'!$Y$38,"D-",IF(C528&lt;'PlayerGrades+'!$Y$37,"D",IF(C528&lt;'PlayerGrades+'!$Y$36,"D+",IF(C528&lt;'PlayerGrades+'!$Y$35,"C-",IF(C528&lt;'PlayerGrades+'!$Y$34,"C",IF(C528&lt;'PlayerGrades+'!$Y$33,"C+",IF(C528&lt;'PlayerGrades+'!$Y$32,"B-",IF(C528&lt;'PlayerGrades+'!$Y$31,"B",IF(C528&lt;'PlayerGrades+'!$Y$30,"B+",IF(C528&lt;'PlayerGrades+'!$Y$29,"A-",IF(C528&lt;'PlayerGrades+'!$Y$28,"A",IF(C528&lt;'PlayerGrades+'!$Y$27,"A+",IF(C528&lt;'PlayerGrades+'!$Y$26,"S-",IF(C528&lt;'PlayerGrades+'!$Y$25,"S","S+"))))))))))))))))))))</f>
        <v>C-</v>
      </c>
      <c r="C528" s="936">
        <f>('PlayerGrades+'!$Y$47*(VLOOKUP(E528, 'PlayerGrades+'!$X$3:$Y$23, 2, FALSE)))+('PlayerGrades+'!$Y$48*(VLOOKUP(G528, 'PlayerGrades+'!$X$3:$Y$23, 2, FALSE)))+('PlayerGrades+'!$Y$49*(VLOOKUP(I528, 'PlayerGrades+'!$X$3:$Y$23, 2, FALSE)))+('PlayerGrades+'!$Y$50*(VLOOKUP(K528, 'PlayerGrades+'!$X$3:$Y$23, 2, FALSE)))+('PlayerGrades+'!$Y$51*(VLOOKUP(M528, 'PlayerGrades+'!$X$3:$Y$23, 2, FALSE)))+('PlayerGrades+'!$Y$52*(VLOOKUP(O528, 'PlayerGrades+'!$X$3:$Y$23, 2, FALSE)))+('PlayerGrades+'!$Y$53*(VLOOKUP(Q528, 'PlayerGrades+'!$X$3:$Y$23, 2, FALSE)))+('PlayerGrades+'!$Y$54*(VLOOKUP(S528, 'PlayerGrades+'!$X$3:$Y$23, 2, FALSE)))+('PlayerGrades+'!$Y$55*(VLOOKUP(U528, 'PlayerGrades+'!$X$3:$Y$23, 2, FALSE)))</f>
        <v>19.05</v>
      </c>
      <c r="D528" s="937">
        <f t="shared" si="1"/>
        <v>0.4204204204</v>
      </c>
      <c r="E528" s="937" t="str">
        <f>IF(D528&lt;'PlayerGrades+'!$AA$21,"F-",IF(D528&lt;'PlayerGrades+'!$AA$20,"F",IF(D528&lt;'PlayerGrades+'!$AA$19,"F+",IF(D528&lt;'PlayerGrades+'!$AA$18,"E-",IF(D528&lt;'PlayerGrades+'!$AA$17,"E",IF(D528&lt;'PlayerGrades+'!$AA$16,"E+",IF(D528&lt;'PlayerGrades+'!$AA$15,"D-",IF(D528&lt;'PlayerGrades+'!$AA$14,"D",IF(D528&lt;'PlayerGrades+'!$AA$13,"D+",IF(D528&lt;'PlayerGrades+'!$AA$12,"C-",IF(D528&lt;'PlayerGrades+'!$AA$11,"C",IF(D528&lt;'PlayerGrades+'!$AA$10,"C+",IF(D528&lt;'PlayerGrades+'!$AA$9,"B-",IF(D528&lt;'PlayerGrades+'!$AA$8,"B",IF(D528&lt;'PlayerGrades+'!$AA$7,"B+",IF(D528&lt;'PlayerGrades+'!$AA$6,"A-",IF(D528&lt;'PlayerGrades+'!$AA$5,"A",IF(D528&lt;'PlayerGrades+'!$AA$4,"A+",IF(D528&lt;'PlayerGrades+'!$AA$3,"S-",IF(D528&lt;'PlayerGrades+'!$AA$2,"S","S+"))))))))))))))))))))</f>
        <v>A+</v>
      </c>
      <c r="F528" s="937">
        <f t="shared" si="2"/>
        <v>0.2402402402</v>
      </c>
      <c r="G528" s="937" t="str">
        <f>IF(F528&lt;'PlayerGrades+'!$AB$21,"F-",IF(F528&lt;'PlayerGrades+'!$AB$20,"F",IF(F528&lt;'PlayerGrades+'!$AB$19,"F+",IF(F528&lt;'PlayerGrades+'!$AB$18,"E-",IF(F528&lt;'PlayerGrades+'!$AB$17,"E",IF(F528&lt;'PlayerGrades+'!$AB$16,"E+",IF(F528&lt;'PlayerGrades+'!$AB$15,"D-",IF(F528&lt;'PlayerGrades+'!$AB$14,"D",IF(F528&lt;'PlayerGrades+'!$AB$13,"D+",IF(F528&lt;'PlayerGrades+'!$AB$12,"C-",IF(F528&lt;'PlayerGrades+'!$AB$11,"C",IF(F528&lt;'PlayerGrades+'!$AB$10,"C+",IF(F528&lt;'PlayerGrades+'!$AB$9,"B-",IF(F528&lt;'PlayerGrades+'!$AB$8,"B",IF(F528&lt;'PlayerGrades+'!$AB$7,"B+",IF(F528&lt;'PlayerGrades+'!$AB$6,"A-",IF(F528&lt;'PlayerGrades+'!$AB$5,"A",IF(F528&lt;'PlayerGrades+'!$AB$4,"A+",IF(F528&lt;'PlayerGrades+'!$AB$3,"S-",IF(F528&lt;'PlayerGrades+'!$AB$2,"S","S+"))))))))))))))))))))</f>
        <v>B+</v>
      </c>
      <c r="H528" s="937">
        <f t="shared" si="3"/>
        <v>0.1201201201</v>
      </c>
      <c r="I528" s="937" t="str">
        <f>IF(H528&lt;'PlayerGrades+'!$AC$21,"F-",IF(H528&lt;'PlayerGrades+'!$AC$20,"F",IF(H528&lt;'PlayerGrades+'!$AC$19,"F+",IF(H528&lt;'PlayerGrades+'!$AC$18,"E-",IF(H528&lt;'PlayerGrades+'!$AC$17,"E",IF(H528&lt;'PlayerGrades+'!$AC$16,"E+",IF(H528&lt;'PlayerGrades+'!$AC$15,"D-",IF(H528&lt;'PlayerGrades+'!$AC$14,"D",IF(H528&lt;'PlayerGrades+'!$AC$13,"D+",IF(H528&lt;'PlayerGrades+'!$AC$12,"C-",IF(H528&lt;'PlayerGrades+'!$AC$11,"C",IF(H528&lt;'PlayerGrades+'!$AC$10,"C+",IF(H528&lt;'PlayerGrades+'!$AC$9,"B-",IF(H528&lt;'PlayerGrades+'!$AC$8,"B",IF(H528&lt;'PlayerGrades+'!$AC$7,"B+",IF(H528&lt;'PlayerGrades+'!$AC$6,"A-",IF(H528&lt;'PlayerGrades+'!$AC$5,"A",IF(H528&lt;'PlayerGrades+'!$AC$4,"A+",IF(H528&lt;'PlayerGrades+'!$AC$3,"S-",IF(H528&lt;'PlayerGrades+'!$AC$2,"S","S+"))))))))))))))))))))</f>
        <v>C+</v>
      </c>
      <c r="J528" s="937">
        <f t="shared" si="4"/>
        <v>0.06006006006</v>
      </c>
      <c r="K528" s="937" t="str">
        <f>IF(J528&lt;'PlayerGrades+'!$AD$21,"F-",IF(J528&lt;'PlayerGrades+'!$AD$20,"F",IF(J528&lt;'PlayerGrades+'!$AD$19,"F+",IF(J528&lt;'PlayerGrades+'!$AD$18,"E-",IF(J528&lt;'PlayerGrades+'!$AD$17,"E",IF(J528&lt;'PlayerGrades+'!$AD$16,"E+",IF(J528&lt;'PlayerGrades+'!$AD$15,"D-",IF(J528&lt;'PlayerGrades+'!$AD$14,"D",IF(J528&lt;'PlayerGrades+'!$AD$13,"D+",IF(J528&lt;'PlayerGrades+'!$AD$12,"C-",IF(J528&lt;'PlayerGrades+'!$AD$11,"C",IF(J528&lt;'PlayerGrades+'!$AD$10,"C+",IF(J528&lt;'PlayerGrades+'!$AD$9,"B-",IF(J528&lt;'PlayerGrades+'!$AD$8,"B",IF(J528&lt;'PlayerGrades+'!$AD$7,"B+",IF(J528&lt;'PlayerGrades+'!$AD$6,"A-",IF(J528&lt;'PlayerGrades+'!$AD$5,"A",IF(J528&lt;'PlayerGrades+'!$AD$4,"A+",IF(J528&lt;'PlayerGrades+'!$AD$3,"S-",IF(J528&lt;'PlayerGrades+'!$AD$2,"S","S+"))))))))))))))))))))</f>
        <v>B+</v>
      </c>
      <c r="L528" s="677">
        <f t="shared" si="5"/>
        <v>0.3003003003</v>
      </c>
      <c r="M528" s="938" t="str">
        <f>IF(L528&lt;'PlayerGrades+'!$AE$21,"F-",IF(L528&lt;'PlayerGrades+'!$AE$20,"F",IF(L528&lt;'PlayerGrades+'!$AE$19,"F+",IF(L528&lt;'PlayerGrades+'!$AE$18,"E-",IF(L528&lt;'PlayerGrades+'!$AE$17,"E",IF(L528&lt;'PlayerGrades+'!$AE$16,"E+",IF(L528&lt;'PlayerGrades+'!$AE$15,"D-",IF(L528&lt;'PlayerGrades+'!$AE$14,"D",IF(L528&lt;'PlayerGrades+'!$AE$13,"D+",IF(L528&lt;'PlayerGrades+'!$AE$12,"C-",IF(L528&lt;'PlayerGrades+'!$AE$11,"C",IF(L528&lt;'PlayerGrades+'!$AE$10,"C+",IF(L528&lt;'PlayerGrades+'!$AE$9,"B-",IF(L528&lt;'PlayerGrades+'!$AE$8,"B",IF(L528&lt;'PlayerGrades+'!$AE$7,"B+",IF(L528&lt;'PlayerGrades+'!$AE$6,"A-",IF(L528&lt;'PlayerGrades+'!$AE$5,"A",IF(L528&lt;'PlayerGrades+'!$AE$4,"A+",IF(L528&lt;'PlayerGrades+'!$AE$3,"S-",IF(L528&lt;'PlayerGrades+'!$AE$2,"S","S+"))))))))))))))))))))</f>
        <v>E-</v>
      </c>
      <c r="N528" s="937">
        <f t="shared" si="6"/>
        <v>0.06006006006</v>
      </c>
      <c r="O528" s="937" t="str">
        <f>IF(N528&lt;'PlayerGrades+'!$AF$21,"F-",IF(N528&lt;'PlayerGrades+'!$AF$20,"F",IF(N528&lt;'PlayerGrades+'!$AF$19,"F+",IF(N528&lt;'PlayerGrades+'!$AF$18,"E-",IF(N528&lt;'PlayerGrades+'!$AF$17,"E",IF(N528&lt;'PlayerGrades+'!$AF$16,"E+",IF(N528&lt;'PlayerGrades+'!$AF$15,"D-",IF(N528&lt;'PlayerGrades+'!$AF$14,"D",IF(N528&lt;'PlayerGrades+'!$AF$13,"D+",IF(N528&lt;'PlayerGrades+'!$AF$12,"C-",IF(N528&lt;'PlayerGrades+'!$AF$11,"C",IF(N528&lt;'PlayerGrades+'!$AF$10,"C+",IF(N528&lt;'PlayerGrades+'!$AF$9,"B-",IF(N528&lt;'PlayerGrades+'!$AF$8,"B",IF(N528&lt;'PlayerGrades+'!$AF$7,"B+",IF(N528&lt;'PlayerGrades+'!$AF$6,"A-",IF(N528&lt;'PlayerGrades+'!$AF$5,"A",IF(N528&lt;'PlayerGrades+'!$AF$4,"A+",IF(N528&lt;'PlayerGrades+'!$AF$3,"S-",IF(N528&lt;'PlayerGrades+'!$AF$2,"S","S+"))))))))))))))))))))</f>
        <v>D+</v>
      </c>
      <c r="P528" s="937">
        <f t="shared" si="7"/>
        <v>0</v>
      </c>
      <c r="Q528" s="937" t="str">
        <f>IF(P528&lt;'PlayerGrades+'!$AG$21,"F-",IF(P528&lt;'PlayerGrades+'!$AG$20,"F",IF(P528&lt;'PlayerGrades+'!$AG$19,"F+",IF(P528&lt;'PlayerGrades+'!$AG$18,"E-",IF(P528&lt;'PlayerGrades+'!$AG$17,"E",IF(P528&lt;'PlayerGrades+'!$AG$16,"E+",IF(P528&lt;'PlayerGrades+'!$AG$15,"D-",IF(P528&lt;'PlayerGrades+'!$AG$14,"D",IF(P528&lt;'PlayerGrades+'!$AG$13,"D+",IF(P528&lt;'PlayerGrades+'!$AG$12,"C-",IF(P528&lt;'PlayerGrades+'!$AG$11,"C",IF(P528&lt;'PlayerGrades+'!$AG$10,"C+",IF(P528&lt;'PlayerGrades+'!$AG$9,"B-",IF(P528&lt;'PlayerGrades+'!$AG$8,"B",IF(P528&lt;'PlayerGrades+'!$AG$7,"B+",IF(P528&lt;'PlayerGrades+'!$AG$6,"A-",IF(P528&lt;'PlayerGrades+'!$AG$5,"A",IF(P528&lt;'PlayerGrades+'!$AG$4,"A+",IF(P528&lt;'PlayerGrades+'!$AG$3,"S-",IF(P528&lt;'PlayerGrades+'!$AG$2,"S","S+"))))))))))))))))))))</f>
        <v>F</v>
      </c>
      <c r="R528" s="937">
        <f t="shared" si="8"/>
        <v>0.4804804805</v>
      </c>
      <c r="S528" s="937" t="str">
        <f>IF(R528&lt;'PlayerGrades+'!$AH$21,"F-",IF(R528&lt;'PlayerGrades+'!$AH$20,"F",IF(R528&lt;'PlayerGrades+'!$AH$19,"F+",IF(R528&lt;'PlayerGrades+'!$AH$18,"E-",IF(R528&lt;'PlayerGrades+'!$AH$17,"E",IF(R528&lt;'PlayerGrades+'!$AH$16,"E+",IF(R528&lt;'PlayerGrades+'!$AH$15,"D-",IF(R528&lt;'PlayerGrades+'!$AH$14,"D",IF(R528&lt;'PlayerGrades+'!$AH$13,"D+",IF(R528&lt;'PlayerGrades+'!$AH$12,"C-",IF(R528&lt;'PlayerGrades+'!$AH$11,"C",IF(R528&lt;'PlayerGrades+'!$AH$10,"C+",IF(R528&lt;'PlayerGrades+'!$AH$9,"B-",IF(R528&lt;'PlayerGrades+'!$AH$8,"B",IF(R528&lt;'PlayerGrades+'!$AH$7,"B+",IF(R528&lt;'PlayerGrades+'!$AH$6,"A-",IF(R528&lt;'PlayerGrades+'!$AH$5,"A",IF(R528&lt;'PlayerGrades+'!$AH$4,"A+",IF(R528&lt;'PlayerGrades+'!$AH$3,"S-",IF(R528&lt;'PlayerGrades+'!$AH$2,"S","S+"))))))))))))))))))))</f>
        <v>E+</v>
      </c>
      <c r="T528" s="937">
        <f t="shared" si="9"/>
        <v>1.18018018</v>
      </c>
      <c r="U528" s="937" t="str">
        <f>IF(T528&lt;'PlayerGrades+'!$AI$21,"F-",IF(T528&lt;'PlayerGrades+'!$AI$20,"F",IF(T528&lt;'PlayerGrades+'!$AI$19,"F+",IF(T528&lt;'PlayerGrades+'!$AI$18,"E-",IF(T528&lt;'PlayerGrades+'!$AI$17,"E",IF(T528&lt;'PlayerGrades+'!$AI$16,"E+",IF(T528&lt;'PlayerGrades+'!$AI$15,"D-",IF(T528&lt;'PlayerGrades+'!$AI$14,"D",IF(T528&lt;'PlayerGrades+'!$AI$13,"D+",IF(T528&lt;'PlayerGrades+'!$AI$12,"C-",IF(T528&lt;'PlayerGrades+'!$AI$11,"C",IF(T528&lt;'PlayerGrades+'!$AI$10,"C+",IF(T528&lt;'PlayerGrades+'!$AI$9,"B-",IF(T528&lt;'PlayerGrades+'!$AI$8,"B",IF(T528&lt;'PlayerGrades+'!$AI$7,"B+",IF(T528&lt;'PlayerGrades+'!$AI$6,"A-",IF(T528&lt;'PlayerGrades+'!$AI$5,"A",IF(T528&lt;'PlayerGrades+'!$AI$4,"A+",IF(T528&lt;'PlayerGrades+'!$AI$3,"S-",IF(T528&lt;'PlayerGrades+'!$AI$2,"S","S+"))))))))))))))))))))</f>
        <v>D+</v>
      </c>
      <c r="V528" s="941">
        <v>1.0</v>
      </c>
      <c r="W528" s="941">
        <v>0.0</v>
      </c>
      <c r="X528" s="941">
        <v>1.0</v>
      </c>
      <c r="Y528" s="941">
        <v>0.0</v>
      </c>
      <c r="Z528" s="941">
        <v>7.0</v>
      </c>
      <c r="AA528" s="941">
        <v>39.0</v>
      </c>
      <c r="AB528" s="941">
        <v>35.0</v>
      </c>
      <c r="AC528" s="941">
        <v>4.0</v>
      </c>
      <c r="AD528" s="941">
        <v>3.0</v>
      </c>
      <c r="AE528" s="941">
        <v>11.0</v>
      </c>
      <c r="AF528" s="941">
        <v>0.0</v>
      </c>
      <c r="AG528" s="941">
        <v>811.0</v>
      </c>
      <c r="AH528" s="941">
        <v>999.0</v>
      </c>
      <c r="AI528" s="941">
        <v>23.0</v>
      </c>
      <c r="AJ528" s="941">
        <v>307.0</v>
      </c>
      <c r="AK528" s="941">
        <v>0.0</v>
      </c>
      <c r="AL528" s="941">
        <v>1.0</v>
      </c>
      <c r="AM528" s="941">
        <v>1.0</v>
      </c>
      <c r="AN528" s="941">
        <v>0.0</v>
      </c>
      <c r="AO528" s="941">
        <v>0.0</v>
      </c>
      <c r="AP528" s="941">
        <v>0.0</v>
      </c>
      <c r="AQ528" s="941">
        <v>0.0</v>
      </c>
      <c r="AR528" s="941">
        <v>5.0</v>
      </c>
      <c r="AS528" s="941">
        <v>1.0</v>
      </c>
      <c r="AT528" s="941">
        <v>0.0</v>
      </c>
      <c r="AU528" s="941">
        <v>0.0</v>
      </c>
      <c r="AV528" s="941">
        <v>0.0</v>
      </c>
      <c r="AW528" s="941">
        <v>0.0</v>
      </c>
      <c r="AX528" s="941">
        <v>0.0</v>
      </c>
      <c r="AY528" s="941">
        <v>0.0</v>
      </c>
      <c r="AZ528" s="941">
        <v>0.0</v>
      </c>
      <c r="BA528" s="941">
        <v>0.0</v>
      </c>
      <c r="BB528" s="941">
        <v>2.0</v>
      </c>
      <c r="BC528" s="941">
        <v>1.0</v>
      </c>
      <c r="BD528" s="941">
        <v>5.0</v>
      </c>
      <c r="BE528" s="941">
        <v>3.0</v>
      </c>
      <c r="BF528" s="941">
        <v>1.0</v>
      </c>
      <c r="BG528" s="942">
        <v>1.0</v>
      </c>
    </row>
    <row r="529">
      <c r="A529" s="943" t="s">
        <v>392</v>
      </c>
      <c r="B529" s="16" t="str">
        <f>IF(C529&lt;'PlayerGrades+'!$Y$44,"F-",IF(C529&lt;'PlayerGrades+'!$Y$43,"F",IF(C529&lt;'PlayerGrades+'!$Y$42,"F+",IF(C529&lt;'PlayerGrades+'!$Y$41,"E-",IF(C529&lt;'PlayerGrades+'!$Y$40,"E",IF(C529&lt;'PlayerGrades+'!$Y$39,"E+",IF(C529&lt;'PlayerGrades+'!$Y$38,"D-",IF(C529&lt;'PlayerGrades+'!$Y$37,"D",IF(C529&lt;'PlayerGrades+'!$Y$36,"D+",IF(C529&lt;'PlayerGrades+'!$Y$35,"C-",IF(C529&lt;'PlayerGrades+'!$Y$34,"C",IF(C529&lt;'PlayerGrades+'!$Y$33,"C+",IF(C529&lt;'PlayerGrades+'!$Y$32,"B-",IF(C529&lt;'PlayerGrades+'!$Y$31,"B",IF(C529&lt;'PlayerGrades+'!$Y$30,"B+",IF(C529&lt;'PlayerGrades+'!$Y$29,"A-",IF(C529&lt;'PlayerGrades+'!$Y$28,"A",IF(C529&lt;'PlayerGrades+'!$Y$27,"A+",IF(C529&lt;'PlayerGrades+'!$Y$26,"S-",IF(C529&lt;'PlayerGrades+'!$Y$25,"S","S+"))))))))))))))))))))</f>
        <v>F-</v>
      </c>
      <c r="C529" s="936">
        <f>('PlayerGrades+'!$Y$47*(VLOOKUP(E529, 'PlayerGrades+'!$X$3:$Y$23, 2, FALSE)))+('PlayerGrades+'!$Y$48*(VLOOKUP(G529, 'PlayerGrades+'!$X$3:$Y$23, 2, FALSE)))+('PlayerGrades+'!$Y$49*(VLOOKUP(I529, 'PlayerGrades+'!$X$3:$Y$23, 2, FALSE)))+('PlayerGrades+'!$Y$50*(VLOOKUP(K529, 'PlayerGrades+'!$X$3:$Y$23, 2, FALSE)))+('PlayerGrades+'!$Y$51*(VLOOKUP(M529, 'PlayerGrades+'!$X$3:$Y$23, 2, FALSE)))+('PlayerGrades+'!$Y$52*(VLOOKUP(O529, 'PlayerGrades+'!$X$3:$Y$23, 2, FALSE)))+('PlayerGrades+'!$Y$53*(VLOOKUP(Q529, 'PlayerGrades+'!$X$3:$Y$23, 2, FALSE)))+('PlayerGrades+'!$Y$54*(VLOOKUP(S529, 'PlayerGrades+'!$X$3:$Y$23, 2, FALSE)))+('PlayerGrades+'!$Y$55*(VLOOKUP(U529, 'PlayerGrades+'!$X$3:$Y$23, 2, FALSE)))</f>
        <v>5.35</v>
      </c>
      <c r="D529" s="937">
        <f t="shared" si="1"/>
        <v>0</v>
      </c>
      <c r="E529" s="937" t="str">
        <f>IF(D529&lt;'PlayerGrades+'!$AA$21,"F-",IF(D529&lt;'PlayerGrades+'!$AA$20,"F",IF(D529&lt;'PlayerGrades+'!$AA$19,"F+",IF(D529&lt;'PlayerGrades+'!$AA$18,"E-",IF(D529&lt;'PlayerGrades+'!$AA$17,"E",IF(D529&lt;'PlayerGrades+'!$AA$16,"E+",IF(D529&lt;'PlayerGrades+'!$AA$15,"D-",IF(D529&lt;'PlayerGrades+'!$AA$14,"D",IF(D529&lt;'PlayerGrades+'!$AA$13,"D+",IF(D529&lt;'PlayerGrades+'!$AA$12,"C-",IF(D529&lt;'PlayerGrades+'!$AA$11,"C",IF(D529&lt;'PlayerGrades+'!$AA$10,"C+",IF(D529&lt;'PlayerGrades+'!$AA$9,"B-",IF(D529&lt;'PlayerGrades+'!$AA$8,"B",IF(D529&lt;'PlayerGrades+'!$AA$7,"B+",IF(D529&lt;'PlayerGrades+'!$AA$6,"A-",IF(D529&lt;'PlayerGrades+'!$AA$5,"A",IF(D529&lt;'PlayerGrades+'!$AA$4,"A+",IF(D529&lt;'PlayerGrades+'!$AA$3,"S-",IF(D529&lt;'PlayerGrades+'!$AA$2,"S","S+"))))))))))))))))))))</f>
        <v>F-</v>
      </c>
      <c r="F529" s="937">
        <f t="shared" si="2"/>
        <v>-1.381381381</v>
      </c>
      <c r="G529" s="937" t="str">
        <f>IF(F529&lt;'PlayerGrades+'!$AB$21,"F-",IF(F529&lt;'PlayerGrades+'!$AB$20,"F",IF(F529&lt;'PlayerGrades+'!$AB$19,"F+",IF(F529&lt;'PlayerGrades+'!$AB$18,"E-",IF(F529&lt;'PlayerGrades+'!$AB$17,"E",IF(F529&lt;'PlayerGrades+'!$AB$16,"E+",IF(F529&lt;'PlayerGrades+'!$AB$15,"D-",IF(F529&lt;'PlayerGrades+'!$AB$14,"D",IF(F529&lt;'PlayerGrades+'!$AB$13,"D+",IF(F529&lt;'PlayerGrades+'!$AB$12,"C-",IF(F529&lt;'PlayerGrades+'!$AB$11,"C",IF(F529&lt;'PlayerGrades+'!$AB$10,"C+",IF(F529&lt;'PlayerGrades+'!$AB$9,"B-",IF(F529&lt;'PlayerGrades+'!$AB$8,"B",IF(F529&lt;'PlayerGrades+'!$AB$7,"B+",IF(F529&lt;'PlayerGrades+'!$AB$6,"A-",IF(F529&lt;'PlayerGrades+'!$AB$5,"A",IF(F529&lt;'PlayerGrades+'!$AB$4,"A+",IF(F529&lt;'PlayerGrades+'!$AB$3,"S-",IF(F529&lt;'PlayerGrades+'!$AB$2,"S","S+"))))))))))))))))))))</f>
        <v>F-</v>
      </c>
      <c r="H529" s="937">
        <f t="shared" si="3"/>
        <v>0.06006006006</v>
      </c>
      <c r="I529" s="937" t="str">
        <f>IF(H529&lt;'PlayerGrades+'!$AC$21,"F-",IF(H529&lt;'PlayerGrades+'!$AC$20,"F",IF(H529&lt;'PlayerGrades+'!$AC$19,"F+",IF(H529&lt;'PlayerGrades+'!$AC$18,"E-",IF(H529&lt;'PlayerGrades+'!$AC$17,"E",IF(H529&lt;'PlayerGrades+'!$AC$16,"E+",IF(H529&lt;'PlayerGrades+'!$AC$15,"D-",IF(H529&lt;'PlayerGrades+'!$AC$14,"D",IF(H529&lt;'PlayerGrades+'!$AC$13,"D+",IF(H529&lt;'PlayerGrades+'!$AC$12,"C-",IF(H529&lt;'PlayerGrades+'!$AC$11,"C",IF(H529&lt;'PlayerGrades+'!$AC$10,"C+",IF(H529&lt;'PlayerGrades+'!$AC$9,"B-",IF(H529&lt;'PlayerGrades+'!$AC$8,"B",IF(H529&lt;'PlayerGrades+'!$AC$7,"B+",IF(H529&lt;'PlayerGrades+'!$AC$6,"A-",IF(H529&lt;'PlayerGrades+'!$AC$5,"A",IF(H529&lt;'PlayerGrades+'!$AC$4,"A+",IF(H529&lt;'PlayerGrades+'!$AC$3,"S-",IF(H529&lt;'PlayerGrades+'!$AC$2,"S","S+"))))))))))))))))))))</f>
        <v>E-</v>
      </c>
      <c r="J529" s="937">
        <f t="shared" si="4"/>
        <v>0</v>
      </c>
      <c r="K529" s="937" t="str">
        <f>IF(J529&lt;'PlayerGrades+'!$AD$21,"F-",IF(J529&lt;'PlayerGrades+'!$AD$20,"F",IF(J529&lt;'PlayerGrades+'!$AD$19,"F+",IF(J529&lt;'PlayerGrades+'!$AD$18,"E-",IF(J529&lt;'PlayerGrades+'!$AD$17,"E",IF(J529&lt;'PlayerGrades+'!$AD$16,"E+",IF(J529&lt;'PlayerGrades+'!$AD$15,"D-",IF(J529&lt;'PlayerGrades+'!$AD$14,"D",IF(J529&lt;'PlayerGrades+'!$AD$13,"D+",IF(J529&lt;'PlayerGrades+'!$AD$12,"C-",IF(J529&lt;'PlayerGrades+'!$AD$11,"C",IF(J529&lt;'PlayerGrades+'!$AD$10,"C+",IF(J529&lt;'PlayerGrades+'!$AD$9,"B-",IF(J529&lt;'PlayerGrades+'!$AD$8,"B",IF(J529&lt;'PlayerGrades+'!$AD$7,"B+",IF(J529&lt;'PlayerGrades+'!$AD$6,"A-",IF(J529&lt;'PlayerGrades+'!$AD$5,"A",IF(J529&lt;'PlayerGrades+'!$AD$4,"A+",IF(J529&lt;'PlayerGrades+'!$AD$3,"S-",IF(J529&lt;'PlayerGrades+'!$AD$2,"S","S+"))))))))))))))))))))</f>
        <v>F-</v>
      </c>
      <c r="L529" s="677">
        <f t="shared" si="5"/>
        <v>0.1801801802</v>
      </c>
      <c r="M529" s="938" t="str">
        <f>IF(L529&lt;'PlayerGrades+'!$AE$21,"F-",IF(L529&lt;'PlayerGrades+'!$AE$20,"F",IF(L529&lt;'PlayerGrades+'!$AE$19,"F+",IF(L529&lt;'PlayerGrades+'!$AE$18,"E-",IF(L529&lt;'PlayerGrades+'!$AE$17,"E",IF(L529&lt;'PlayerGrades+'!$AE$16,"E+",IF(L529&lt;'PlayerGrades+'!$AE$15,"D-",IF(L529&lt;'PlayerGrades+'!$AE$14,"D",IF(L529&lt;'PlayerGrades+'!$AE$13,"D+",IF(L529&lt;'PlayerGrades+'!$AE$12,"C-",IF(L529&lt;'PlayerGrades+'!$AE$11,"C",IF(L529&lt;'PlayerGrades+'!$AE$10,"C+",IF(L529&lt;'PlayerGrades+'!$AE$9,"B-",IF(L529&lt;'PlayerGrades+'!$AE$8,"B",IF(L529&lt;'PlayerGrades+'!$AE$7,"B+",IF(L529&lt;'PlayerGrades+'!$AE$6,"A-",IF(L529&lt;'PlayerGrades+'!$AE$5,"A",IF(L529&lt;'PlayerGrades+'!$AE$4,"A+",IF(L529&lt;'PlayerGrades+'!$AE$3,"S-",IF(L529&lt;'PlayerGrades+'!$AE$2,"S","S+"))))))))))))))))))))</f>
        <v>F-</v>
      </c>
      <c r="N529" s="937">
        <f t="shared" si="6"/>
        <v>0</v>
      </c>
      <c r="O529" s="937" t="str">
        <f>IF(N529&lt;'PlayerGrades+'!$AF$21,"F-",IF(N529&lt;'PlayerGrades+'!$AF$20,"F",IF(N529&lt;'PlayerGrades+'!$AF$19,"F+",IF(N529&lt;'PlayerGrades+'!$AF$18,"E-",IF(N529&lt;'PlayerGrades+'!$AF$17,"E",IF(N529&lt;'PlayerGrades+'!$AF$16,"E+",IF(N529&lt;'PlayerGrades+'!$AF$15,"D-",IF(N529&lt;'PlayerGrades+'!$AF$14,"D",IF(N529&lt;'PlayerGrades+'!$AF$13,"D+",IF(N529&lt;'PlayerGrades+'!$AF$12,"C-",IF(N529&lt;'PlayerGrades+'!$AF$11,"C",IF(N529&lt;'PlayerGrades+'!$AF$10,"C+",IF(N529&lt;'PlayerGrades+'!$AF$9,"B-",IF(N529&lt;'PlayerGrades+'!$AF$8,"B",IF(N529&lt;'PlayerGrades+'!$AF$7,"B+",IF(N529&lt;'PlayerGrades+'!$AF$6,"A-",IF(N529&lt;'PlayerGrades+'!$AF$5,"A",IF(N529&lt;'PlayerGrades+'!$AF$4,"A+",IF(N529&lt;'PlayerGrades+'!$AF$3,"S-",IF(N529&lt;'PlayerGrades+'!$AF$2,"S","S+"))))))))))))))))))))</f>
        <v>F-</v>
      </c>
      <c r="P529" s="937">
        <f t="shared" si="7"/>
        <v>0</v>
      </c>
      <c r="Q529" s="937" t="str">
        <f>IF(P529&lt;'PlayerGrades+'!$AG$21,"F-",IF(P529&lt;'PlayerGrades+'!$AG$20,"F",IF(P529&lt;'PlayerGrades+'!$AG$19,"F+",IF(P529&lt;'PlayerGrades+'!$AG$18,"E-",IF(P529&lt;'PlayerGrades+'!$AG$17,"E",IF(P529&lt;'PlayerGrades+'!$AG$16,"E+",IF(P529&lt;'PlayerGrades+'!$AG$15,"D-",IF(P529&lt;'PlayerGrades+'!$AG$14,"D",IF(P529&lt;'PlayerGrades+'!$AG$13,"D+",IF(P529&lt;'PlayerGrades+'!$AG$12,"C-",IF(P529&lt;'PlayerGrades+'!$AG$11,"C",IF(P529&lt;'PlayerGrades+'!$AG$10,"C+",IF(P529&lt;'PlayerGrades+'!$AG$9,"B-",IF(P529&lt;'PlayerGrades+'!$AG$8,"B",IF(P529&lt;'PlayerGrades+'!$AG$7,"B+",IF(P529&lt;'PlayerGrades+'!$AG$6,"A-",IF(P529&lt;'PlayerGrades+'!$AG$5,"A",IF(P529&lt;'PlayerGrades+'!$AG$4,"A+",IF(P529&lt;'PlayerGrades+'!$AG$3,"S-",IF(P529&lt;'PlayerGrades+'!$AG$2,"S","S+"))))))))))))))))))))</f>
        <v>F</v>
      </c>
      <c r="R529" s="937">
        <f t="shared" si="8"/>
        <v>0.3603603604</v>
      </c>
      <c r="S529" s="937" t="str">
        <f>IF(R529&lt;'PlayerGrades+'!$AH$21,"F-",IF(R529&lt;'PlayerGrades+'!$AH$20,"F",IF(R529&lt;'PlayerGrades+'!$AH$19,"F+",IF(R529&lt;'PlayerGrades+'!$AH$18,"E-",IF(R529&lt;'PlayerGrades+'!$AH$17,"E",IF(R529&lt;'PlayerGrades+'!$AH$16,"E+",IF(R529&lt;'PlayerGrades+'!$AH$15,"D-",IF(R529&lt;'PlayerGrades+'!$AH$14,"D",IF(R529&lt;'PlayerGrades+'!$AH$13,"D+",IF(R529&lt;'PlayerGrades+'!$AH$12,"C-",IF(R529&lt;'PlayerGrades+'!$AH$11,"C",IF(R529&lt;'PlayerGrades+'!$AH$10,"C+",IF(R529&lt;'PlayerGrades+'!$AH$9,"B-",IF(R529&lt;'PlayerGrades+'!$AH$8,"B",IF(R529&lt;'PlayerGrades+'!$AH$7,"B+",IF(R529&lt;'PlayerGrades+'!$AH$6,"A-",IF(R529&lt;'PlayerGrades+'!$AH$5,"A",IF(R529&lt;'PlayerGrades+'!$AH$4,"A+",IF(R529&lt;'PlayerGrades+'!$AH$3,"S-",IF(R529&lt;'PlayerGrades+'!$AH$2,"S","S+"))))))))))))))))))))</f>
        <v>F</v>
      </c>
      <c r="T529" s="937">
        <f t="shared" si="9"/>
        <v>1.24024024</v>
      </c>
      <c r="U529" s="937" t="str">
        <f>IF(T529&lt;'PlayerGrades+'!$AI$21,"F-",IF(T529&lt;'PlayerGrades+'!$AI$20,"F",IF(T529&lt;'PlayerGrades+'!$AI$19,"F+",IF(T529&lt;'PlayerGrades+'!$AI$18,"E-",IF(T529&lt;'PlayerGrades+'!$AI$17,"E",IF(T529&lt;'PlayerGrades+'!$AI$16,"E+",IF(T529&lt;'PlayerGrades+'!$AI$15,"D-",IF(T529&lt;'PlayerGrades+'!$AI$14,"D",IF(T529&lt;'PlayerGrades+'!$AI$13,"D+",IF(T529&lt;'PlayerGrades+'!$AI$12,"C-",IF(T529&lt;'PlayerGrades+'!$AI$11,"C",IF(T529&lt;'PlayerGrades+'!$AI$10,"C+",IF(T529&lt;'PlayerGrades+'!$AI$9,"B-",IF(T529&lt;'PlayerGrades+'!$AI$8,"B",IF(T529&lt;'PlayerGrades+'!$AI$7,"B+",IF(T529&lt;'PlayerGrades+'!$AI$6,"A-",IF(T529&lt;'PlayerGrades+'!$AI$5,"A",IF(T529&lt;'PlayerGrades+'!$AI$4,"A+",IF(T529&lt;'PlayerGrades+'!$AI$3,"S-",IF(T529&lt;'PlayerGrades+'!$AI$2,"S","S+"))))))))))))))))))))</f>
        <v>C</v>
      </c>
      <c r="V529" s="944">
        <v>1.0</v>
      </c>
      <c r="W529" s="944">
        <v>0.0</v>
      </c>
      <c r="X529" s="944">
        <v>1.0</v>
      </c>
      <c r="Y529" s="944">
        <v>0.0</v>
      </c>
      <c r="Z529" s="944">
        <v>0.0</v>
      </c>
      <c r="AA529" s="944">
        <v>30.0</v>
      </c>
      <c r="AB529" s="944">
        <v>53.0</v>
      </c>
      <c r="AC529" s="944">
        <v>-23.0</v>
      </c>
      <c r="AD529" s="944">
        <v>4.0</v>
      </c>
      <c r="AE529" s="944">
        <v>3.0</v>
      </c>
      <c r="AF529" s="944">
        <v>1.0</v>
      </c>
      <c r="AG529" s="944">
        <v>768.0</v>
      </c>
      <c r="AH529" s="944">
        <v>999.0</v>
      </c>
      <c r="AI529" s="944">
        <v>14.0</v>
      </c>
      <c r="AJ529" s="944">
        <v>0.0</v>
      </c>
      <c r="AK529" s="944">
        <v>0.0</v>
      </c>
      <c r="AL529" s="944">
        <v>0.0</v>
      </c>
      <c r="AM529" s="944">
        <v>0.0</v>
      </c>
      <c r="AN529" s="944">
        <v>0.0</v>
      </c>
      <c r="AO529" s="944">
        <v>0.0</v>
      </c>
      <c r="AP529" s="944">
        <v>0.0</v>
      </c>
      <c r="AQ529" s="944">
        <v>0.0</v>
      </c>
      <c r="AR529" s="944">
        <v>3.0</v>
      </c>
      <c r="AS529" s="944">
        <v>0.0</v>
      </c>
      <c r="AT529" s="944">
        <v>0.0</v>
      </c>
      <c r="AU529" s="944">
        <v>0.0</v>
      </c>
      <c r="AV529" s="944">
        <v>0.0</v>
      </c>
      <c r="AW529" s="944">
        <v>0.0</v>
      </c>
      <c r="AX529" s="944">
        <v>0.0</v>
      </c>
      <c r="AY529" s="944">
        <v>0.0</v>
      </c>
      <c r="AZ529" s="944">
        <v>0.0</v>
      </c>
      <c r="BA529" s="944">
        <v>0.0</v>
      </c>
      <c r="BB529" s="944">
        <v>1.0</v>
      </c>
      <c r="BC529" s="944">
        <v>0.0</v>
      </c>
      <c r="BD529" s="944">
        <v>2.0</v>
      </c>
      <c r="BE529" s="944">
        <v>4.0</v>
      </c>
      <c r="BF529" s="944">
        <v>1.0</v>
      </c>
      <c r="BG529" s="945">
        <v>1.0</v>
      </c>
    </row>
    <row r="530">
      <c r="A530" s="946" t="s">
        <v>123</v>
      </c>
      <c r="B530" s="16" t="str">
        <f>IF(C530&lt;'PlayerGrades+'!$Y$44,"F-",IF(C530&lt;'PlayerGrades+'!$Y$43,"F",IF(C530&lt;'PlayerGrades+'!$Y$42,"F+",IF(C530&lt;'PlayerGrades+'!$Y$41,"E-",IF(C530&lt;'PlayerGrades+'!$Y$40,"E",IF(C530&lt;'PlayerGrades+'!$Y$39,"E+",IF(C530&lt;'PlayerGrades+'!$Y$38,"D-",IF(C530&lt;'PlayerGrades+'!$Y$37,"D",IF(C530&lt;'PlayerGrades+'!$Y$36,"D+",IF(C530&lt;'PlayerGrades+'!$Y$35,"C-",IF(C530&lt;'PlayerGrades+'!$Y$34,"C",IF(C530&lt;'PlayerGrades+'!$Y$33,"C+",IF(C530&lt;'PlayerGrades+'!$Y$32,"B-",IF(C530&lt;'PlayerGrades+'!$Y$31,"B",IF(C530&lt;'PlayerGrades+'!$Y$30,"B+",IF(C530&lt;'PlayerGrades+'!$Y$29,"A-",IF(C530&lt;'PlayerGrades+'!$Y$28,"A",IF(C530&lt;'PlayerGrades+'!$Y$27,"A+",IF(C530&lt;'PlayerGrades+'!$Y$26,"S-",IF(C530&lt;'PlayerGrades+'!$Y$25,"S","S+"))))))))))))))))))))</f>
        <v>B+</v>
      </c>
      <c r="C530" s="936">
        <f>('PlayerGrades+'!$Y$47*(VLOOKUP(E530, 'PlayerGrades+'!$X$3:$Y$23, 2, FALSE)))+('PlayerGrades+'!$Y$48*(VLOOKUP(G530, 'PlayerGrades+'!$X$3:$Y$23, 2, FALSE)))+('PlayerGrades+'!$Y$49*(VLOOKUP(I530, 'PlayerGrades+'!$X$3:$Y$23, 2, FALSE)))+('PlayerGrades+'!$Y$50*(VLOOKUP(K530, 'PlayerGrades+'!$X$3:$Y$23, 2, FALSE)))+('PlayerGrades+'!$Y$51*(VLOOKUP(M530, 'PlayerGrades+'!$X$3:$Y$23, 2, FALSE)))+('PlayerGrades+'!$Y$52*(VLOOKUP(O530, 'PlayerGrades+'!$X$3:$Y$23, 2, FALSE)))+('PlayerGrades+'!$Y$53*(VLOOKUP(Q530, 'PlayerGrades+'!$X$3:$Y$23, 2, FALSE)))+('PlayerGrades+'!$Y$54*(VLOOKUP(S530, 'PlayerGrades+'!$X$3:$Y$23, 2, FALSE)))+('PlayerGrades+'!$Y$55*(VLOOKUP(U530, 'PlayerGrades+'!$X$3:$Y$23, 2, FALSE)))</f>
        <v>24.05</v>
      </c>
      <c r="D530" s="937">
        <f t="shared" si="1"/>
        <v>0.5361930295</v>
      </c>
      <c r="E530" s="937" t="str">
        <f>IF(D530&lt;'PlayerGrades+'!$AA$21,"F-",IF(D530&lt;'PlayerGrades+'!$AA$20,"F",IF(D530&lt;'PlayerGrades+'!$AA$19,"F+",IF(D530&lt;'PlayerGrades+'!$AA$18,"E-",IF(D530&lt;'PlayerGrades+'!$AA$17,"E",IF(D530&lt;'PlayerGrades+'!$AA$16,"E+",IF(D530&lt;'PlayerGrades+'!$AA$15,"D-",IF(D530&lt;'PlayerGrades+'!$AA$14,"D",IF(D530&lt;'PlayerGrades+'!$AA$13,"D+",IF(D530&lt;'PlayerGrades+'!$AA$12,"C-",IF(D530&lt;'PlayerGrades+'!$AA$11,"C",IF(D530&lt;'PlayerGrades+'!$AA$10,"C+",IF(D530&lt;'PlayerGrades+'!$AA$9,"B-",IF(D530&lt;'PlayerGrades+'!$AA$8,"B",IF(D530&lt;'PlayerGrades+'!$AA$7,"B+",IF(D530&lt;'PlayerGrades+'!$AA$6,"A-",IF(D530&lt;'PlayerGrades+'!$AA$5,"A",IF(D530&lt;'PlayerGrades+'!$AA$4,"A+",IF(D530&lt;'PlayerGrades+'!$AA$3,"S-",IF(D530&lt;'PlayerGrades+'!$AA$2,"S","S+"))))))))))))))))))))</f>
        <v>S-</v>
      </c>
      <c r="F530" s="937">
        <f t="shared" si="2"/>
        <v>0.3753351206</v>
      </c>
      <c r="G530" s="937" t="str">
        <f>IF(F530&lt;'PlayerGrades+'!$AB$21,"F-",IF(F530&lt;'PlayerGrades+'!$AB$20,"F",IF(F530&lt;'PlayerGrades+'!$AB$19,"F+",IF(F530&lt;'PlayerGrades+'!$AB$18,"E-",IF(F530&lt;'PlayerGrades+'!$AB$17,"E",IF(F530&lt;'PlayerGrades+'!$AB$16,"E+",IF(F530&lt;'PlayerGrades+'!$AB$15,"D-",IF(F530&lt;'PlayerGrades+'!$AB$14,"D",IF(F530&lt;'PlayerGrades+'!$AB$13,"D+",IF(F530&lt;'PlayerGrades+'!$AB$12,"C-",IF(F530&lt;'PlayerGrades+'!$AB$11,"C",IF(F530&lt;'PlayerGrades+'!$AB$10,"C+",IF(F530&lt;'PlayerGrades+'!$AB$9,"B-",IF(F530&lt;'PlayerGrades+'!$AB$8,"B",IF(F530&lt;'PlayerGrades+'!$AB$7,"B+",IF(F530&lt;'PlayerGrades+'!$AB$6,"A-",IF(F530&lt;'PlayerGrades+'!$AB$5,"A",IF(F530&lt;'PlayerGrades+'!$AB$4,"A+",IF(F530&lt;'PlayerGrades+'!$AB$3,"S-",IF(F530&lt;'PlayerGrades+'!$AB$2,"S","S+"))))))))))))))))))))</f>
        <v>A</v>
      </c>
      <c r="H530" s="937">
        <f t="shared" si="3"/>
        <v>0.05361930295</v>
      </c>
      <c r="I530" s="937" t="str">
        <f>IF(H530&lt;'PlayerGrades+'!$AC$21,"F-",IF(H530&lt;'PlayerGrades+'!$AC$20,"F",IF(H530&lt;'PlayerGrades+'!$AC$19,"F+",IF(H530&lt;'PlayerGrades+'!$AC$18,"E-",IF(H530&lt;'PlayerGrades+'!$AC$17,"E",IF(H530&lt;'PlayerGrades+'!$AC$16,"E+",IF(H530&lt;'PlayerGrades+'!$AC$15,"D-",IF(H530&lt;'PlayerGrades+'!$AC$14,"D",IF(H530&lt;'PlayerGrades+'!$AC$13,"D+",IF(H530&lt;'PlayerGrades+'!$AC$12,"C-",IF(H530&lt;'PlayerGrades+'!$AC$11,"C",IF(H530&lt;'PlayerGrades+'!$AC$10,"C+",IF(H530&lt;'PlayerGrades+'!$AC$9,"B-",IF(H530&lt;'PlayerGrades+'!$AC$8,"B",IF(H530&lt;'PlayerGrades+'!$AC$7,"B+",IF(H530&lt;'PlayerGrades+'!$AC$6,"A-",IF(H530&lt;'PlayerGrades+'!$AC$5,"A",IF(H530&lt;'PlayerGrades+'!$AC$4,"A+",IF(H530&lt;'PlayerGrades+'!$AC$3,"S-",IF(H530&lt;'PlayerGrades+'!$AC$2,"S","S+"))))))))))))))))))))</f>
        <v>F+</v>
      </c>
      <c r="J530" s="937">
        <f t="shared" si="4"/>
        <v>0</v>
      </c>
      <c r="K530" s="937" t="str">
        <f>IF(J530&lt;'PlayerGrades+'!$AD$21,"F-",IF(J530&lt;'PlayerGrades+'!$AD$20,"F",IF(J530&lt;'PlayerGrades+'!$AD$19,"F+",IF(J530&lt;'PlayerGrades+'!$AD$18,"E-",IF(J530&lt;'PlayerGrades+'!$AD$17,"E",IF(J530&lt;'PlayerGrades+'!$AD$16,"E+",IF(J530&lt;'PlayerGrades+'!$AD$15,"D-",IF(J530&lt;'PlayerGrades+'!$AD$14,"D",IF(J530&lt;'PlayerGrades+'!$AD$13,"D+",IF(J530&lt;'PlayerGrades+'!$AD$12,"C-",IF(J530&lt;'PlayerGrades+'!$AD$11,"C",IF(J530&lt;'PlayerGrades+'!$AD$10,"C+",IF(J530&lt;'PlayerGrades+'!$AD$9,"B-",IF(J530&lt;'PlayerGrades+'!$AD$8,"B",IF(J530&lt;'PlayerGrades+'!$AD$7,"B+",IF(J530&lt;'PlayerGrades+'!$AD$6,"A-",IF(J530&lt;'PlayerGrades+'!$AD$5,"A",IF(J530&lt;'PlayerGrades+'!$AD$4,"A+",IF(J530&lt;'PlayerGrades+'!$AD$3,"S-",IF(J530&lt;'PlayerGrades+'!$AD$2,"S","S+"))))))))))))))))))))</f>
        <v>F-</v>
      </c>
      <c r="L530" s="677">
        <f t="shared" si="5"/>
        <v>0.3753351206</v>
      </c>
      <c r="M530" s="938" t="str">
        <f>IF(L530&lt;'PlayerGrades+'!$AE$21,"F-",IF(L530&lt;'PlayerGrades+'!$AE$20,"F",IF(L530&lt;'PlayerGrades+'!$AE$19,"F+",IF(L530&lt;'PlayerGrades+'!$AE$18,"E-",IF(L530&lt;'PlayerGrades+'!$AE$17,"E",IF(L530&lt;'PlayerGrades+'!$AE$16,"E+",IF(L530&lt;'PlayerGrades+'!$AE$15,"D-",IF(L530&lt;'PlayerGrades+'!$AE$14,"D",IF(L530&lt;'PlayerGrades+'!$AE$13,"D+",IF(L530&lt;'PlayerGrades+'!$AE$12,"C-",IF(L530&lt;'PlayerGrades+'!$AE$11,"C",IF(L530&lt;'PlayerGrades+'!$AE$10,"C+",IF(L530&lt;'PlayerGrades+'!$AE$9,"B-",IF(L530&lt;'PlayerGrades+'!$AE$8,"B",IF(L530&lt;'PlayerGrades+'!$AE$7,"B+",IF(L530&lt;'PlayerGrades+'!$AE$6,"A-",IF(L530&lt;'PlayerGrades+'!$AE$5,"A",IF(L530&lt;'PlayerGrades+'!$AE$4,"A+",IF(L530&lt;'PlayerGrades+'!$AE$3,"S-",IF(L530&lt;'PlayerGrades+'!$AE$2,"S","S+"))))))))))))))))))))</f>
        <v>C-</v>
      </c>
      <c r="N530" s="937">
        <f t="shared" si="6"/>
        <v>0.1608579088</v>
      </c>
      <c r="O530" s="937" t="str">
        <f>IF(N530&lt;'PlayerGrades+'!$AF$21,"F-",IF(N530&lt;'PlayerGrades+'!$AF$20,"F",IF(N530&lt;'PlayerGrades+'!$AF$19,"F+",IF(N530&lt;'PlayerGrades+'!$AF$18,"E-",IF(N530&lt;'PlayerGrades+'!$AF$17,"E",IF(N530&lt;'PlayerGrades+'!$AF$16,"E+",IF(N530&lt;'PlayerGrades+'!$AF$15,"D-",IF(N530&lt;'PlayerGrades+'!$AF$14,"D",IF(N530&lt;'PlayerGrades+'!$AF$13,"D+",IF(N530&lt;'PlayerGrades+'!$AF$12,"C-",IF(N530&lt;'PlayerGrades+'!$AF$11,"C",IF(N530&lt;'PlayerGrades+'!$AF$10,"C+",IF(N530&lt;'PlayerGrades+'!$AF$9,"B-",IF(N530&lt;'PlayerGrades+'!$AF$8,"B",IF(N530&lt;'PlayerGrades+'!$AF$7,"B+",IF(N530&lt;'PlayerGrades+'!$AF$6,"A-",IF(N530&lt;'PlayerGrades+'!$AF$5,"A",IF(N530&lt;'PlayerGrades+'!$AF$4,"A+",IF(N530&lt;'PlayerGrades+'!$AF$3,"S-",IF(N530&lt;'PlayerGrades+'!$AF$2,"S","S+"))))))))))))))))))))</f>
        <v>S+</v>
      </c>
      <c r="P530" s="937">
        <f t="shared" si="7"/>
        <v>0</v>
      </c>
      <c r="Q530" s="937" t="str">
        <f>IF(P530&lt;'PlayerGrades+'!$AG$21,"F-",IF(P530&lt;'PlayerGrades+'!$AG$20,"F",IF(P530&lt;'PlayerGrades+'!$AG$19,"F+",IF(P530&lt;'PlayerGrades+'!$AG$18,"E-",IF(P530&lt;'PlayerGrades+'!$AG$17,"E",IF(P530&lt;'PlayerGrades+'!$AG$16,"E+",IF(P530&lt;'PlayerGrades+'!$AG$15,"D-",IF(P530&lt;'PlayerGrades+'!$AG$14,"D",IF(P530&lt;'PlayerGrades+'!$AG$13,"D+",IF(P530&lt;'PlayerGrades+'!$AG$12,"C-",IF(P530&lt;'PlayerGrades+'!$AG$11,"C",IF(P530&lt;'PlayerGrades+'!$AG$10,"C+",IF(P530&lt;'PlayerGrades+'!$AG$9,"B-",IF(P530&lt;'PlayerGrades+'!$AG$8,"B",IF(P530&lt;'PlayerGrades+'!$AG$7,"B+",IF(P530&lt;'PlayerGrades+'!$AG$6,"A-",IF(P530&lt;'PlayerGrades+'!$AG$5,"A",IF(P530&lt;'PlayerGrades+'!$AG$4,"A+",IF(P530&lt;'PlayerGrades+'!$AG$3,"S-",IF(P530&lt;'PlayerGrades+'!$AG$2,"S","S+"))))))))))))))))))))</f>
        <v>F</v>
      </c>
      <c r="R530" s="937">
        <f t="shared" si="8"/>
        <v>0.7506702413</v>
      </c>
      <c r="S530" s="937" t="str">
        <f>IF(R530&lt;'PlayerGrades+'!$AH$21,"F-",IF(R530&lt;'PlayerGrades+'!$AH$20,"F",IF(R530&lt;'PlayerGrades+'!$AH$19,"F+",IF(R530&lt;'PlayerGrades+'!$AH$18,"E-",IF(R530&lt;'PlayerGrades+'!$AH$17,"E",IF(R530&lt;'PlayerGrades+'!$AH$16,"E+",IF(R530&lt;'PlayerGrades+'!$AH$15,"D-",IF(R530&lt;'PlayerGrades+'!$AH$14,"D",IF(R530&lt;'PlayerGrades+'!$AH$13,"D+",IF(R530&lt;'PlayerGrades+'!$AH$12,"C-",IF(R530&lt;'PlayerGrades+'!$AH$11,"C",IF(R530&lt;'PlayerGrades+'!$AH$10,"C+",IF(R530&lt;'PlayerGrades+'!$AH$9,"B-",IF(R530&lt;'PlayerGrades+'!$AH$8,"B",IF(R530&lt;'PlayerGrades+'!$AH$7,"B+",IF(R530&lt;'PlayerGrades+'!$AH$6,"A-",IF(R530&lt;'PlayerGrades+'!$AH$5,"A",IF(R530&lt;'PlayerGrades+'!$AH$4,"A+",IF(R530&lt;'PlayerGrades+'!$AH$3,"S-",IF(R530&lt;'PlayerGrades+'!$AH$2,"S","S+"))))))))))))))))))))</f>
        <v>S</v>
      </c>
      <c r="T530" s="937">
        <f t="shared" si="9"/>
        <v>0.5898123324</v>
      </c>
      <c r="U530" s="937" t="str">
        <f>IF(T530&lt;'PlayerGrades+'!$AI$21,"F-",IF(T530&lt;'PlayerGrades+'!$AI$20,"F",IF(T530&lt;'PlayerGrades+'!$AI$19,"F+",IF(T530&lt;'PlayerGrades+'!$AI$18,"E-",IF(T530&lt;'PlayerGrades+'!$AI$17,"E",IF(T530&lt;'PlayerGrades+'!$AI$16,"E+",IF(T530&lt;'PlayerGrades+'!$AI$15,"D-",IF(T530&lt;'PlayerGrades+'!$AI$14,"D",IF(T530&lt;'PlayerGrades+'!$AI$13,"D+",IF(T530&lt;'PlayerGrades+'!$AI$12,"C-",IF(T530&lt;'PlayerGrades+'!$AI$11,"C",IF(T530&lt;'PlayerGrades+'!$AI$10,"C+",IF(T530&lt;'PlayerGrades+'!$AI$9,"B-",IF(T530&lt;'PlayerGrades+'!$AI$8,"B",IF(T530&lt;'PlayerGrades+'!$AI$7,"B+",IF(T530&lt;'PlayerGrades+'!$AI$6,"A-",IF(T530&lt;'PlayerGrades+'!$AI$5,"A",IF(T530&lt;'PlayerGrades+'!$AI$4,"A+",IF(T530&lt;'PlayerGrades+'!$AI$3,"S-",IF(T530&lt;'PlayerGrades+'!$AI$2,"S","S+"))))))))))))))))))))</f>
        <v>F-</v>
      </c>
      <c r="V530" s="939">
        <v>1.0</v>
      </c>
      <c r="W530" s="939">
        <v>1.0</v>
      </c>
      <c r="X530" s="939">
        <v>0.0</v>
      </c>
      <c r="Y530" s="939">
        <v>2.0</v>
      </c>
      <c r="Z530" s="939">
        <v>8.0</v>
      </c>
      <c r="AA530" s="939">
        <v>67.0</v>
      </c>
      <c r="AB530" s="939">
        <v>60.0</v>
      </c>
      <c r="AC530" s="939">
        <v>7.0</v>
      </c>
      <c r="AD530" s="939">
        <v>2.0</v>
      </c>
      <c r="AE530" s="939">
        <v>4.0</v>
      </c>
      <c r="AF530" s="939">
        <v>1.0</v>
      </c>
      <c r="AG530" s="939">
        <v>872.0</v>
      </c>
      <c r="AH530" s="939">
        <v>1119.0</v>
      </c>
      <c r="AI530" s="939">
        <v>14.0</v>
      </c>
      <c r="AJ530" s="939">
        <v>198.0</v>
      </c>
      <c r="AK530" s="939">
        <v>0.0</v>
      </c>
      <c r="AL530" s="939">
        <v>0.0</v>
      </c>
      <c r="AM530" s="939">
        <v>0.0</v>
      </c>
      <c r="AN530" s="939">
        <v>0.0</v>
      </c>
      <c r="AO530" s="939">
        <v>0.0</v>
      </c>
      <c r="AP530" s="939">
        <v>0.0</v>
      </c>
      <c r="AQ530" s="939">
        <v>0.0</v>
      </c>
      <c r="AR530" s="939">
        <v>7.0</v>
      </c>
      <c r="AS530" s="939">
        <v>3.0</v>
      </c>
      <c r="AT530" s="939">
        <v>1.0</v>
      </c>
      <c r="AU530" s="939">
        <v>0.0</v>
      </c>
      <c r="AV530" s="939">
        <v>0.0</v>
      </c>
      <c r="AW530" s="939">
        <v>0.0</v>
      </c>
      <c r="AX530" s="939">
        <v>0.0</v>
      </c>
      <c r="AY530" s="939">
        <v>0.0</v>
      </c>
      <c r="AZ530" s="939">
        <v>0.0</v>
      </c>
      <c r="BA530" s="939">
        <v>0.0</v>
      </c>
      <c r="BB530" s="939">
        <v>1.0</v>
      </c>
      <c r="BC530" s="939">
        <v>0.0</v>
      </c>
      <c r="BD530" s="939">
        <v>12.0</v>
      </c>
      <c r="BE530" s="939">
        <v>11.0</v>
      </c>
      <c r="BF530" s="939">
        <v>0.0</v>
      </c>
      <c r="BG530" s="940">
        <v>0.0</v>
      </c>
    </row>
    <row r="531">
      <c r="A531" s="935" t="s">
        <v>156</v>
      </c>
      <c r="B531" s="16" t="str">
        <f>IF(C531&lt;'PlayerGrades+'!$Y$44,"F-",IF(C531&lt;'PlayerGrades+'!$Y$43,"F",IF(C531&lt;'PlayerGrades+'!$Y$42,"F+",IF(C531&lt;'PlayerGrades+'!$Y$41,"E-",IF(C531&lt;'PlayerGrades+'!$Y$40,"E",IF(C531&lt;'PlayerGrades+'!$Y$39,"E+",IF(C531&lt;'PlayerGrades+'!$Y$38,"D-",IF(C531&lt;'PlayerGrades+'!$Y$37,"D",IF(C531&lt;'PlayerGrades+'!$Y$36,"D+",IF(C531&lt;'PlayerGrades+'!$Y$35,"C-",IF(C531&lt;'PlayerGrades+'!$Y$34,"C",IF(C531&lt;'PlayerGrades+'!$Y$33,"C+",IF(C531&lt;'PlayerGrades+'!$Y$32,"B-",IF(C531&lt;'PlayerGrades+'!$Y$31,"B",IF(C531&lt;'PlayerGrades+'!$Y$30,"B+",IF(C531&lt;'PlayerGrades+'!$Y$29,"A-",IF(C531&lt;'PlayerGrades+'!$Y$28,"A",IF(C531&lt;'PlayerGrades+'!$Y$27,"A+",IF(C531&lt;'PlayerGrades+'!$Y$26,"S-",IF(C531&lt;'PlayerGrades+'!$Y$25,"S","S+"))))))))))))))))))))</f>
        <v>D</v>
      </c>
      <c r="C531" s="936">
        <f>('PlayerGrades+'!$Y$47*(VLOOKUP(E531, 'PlayerGrades+'!$X$3:$Y$23, 2, FALSE)))+('PlayerGrades+'!$Y$48*(VLOOKUP(G531, 'PlayerGrades+'!$X$3:$Y$23, 2, FALSE)))+('PlayerGrades+'!$Y$49*(VLOOKUP(I531, 'PlayerGrades+'!$X$3:$Y$23, 2, FALSE)))+('PlayerGrades+'!$Y$50*(VLOOKUP(K531, 'PlayerGrades+'!$X$3:$Y$23, 2, FALSE)))+('PlayerGrades+'!$Y$51*(VLOOKUP(M531, 'PlayerGrades+'!$X$3:$Y$23, 2, FALSE)))+('PlayerGrades+'!$Y$52*(VLOOKUP(O531, 'PlayerGrades+'!$X$3:$Y$23, 2, FALSE)))+('PlayerGrades+'!$Y$53*(VLOOKUP(Q531, 'PlayerGrades+'!$X$3:$Y$23, 2, FALSE)))+('PlayerGrades+'!$Y$54*(VLOOKUP(S531, 'PlayerGrades+'!$X$3:$Y$23, 2, FALSE)))+('PlayerGrades+'!$Y$55*(VLOOKUP(U531, 'PlayerGrades+'!$X$3:$Y$23, 2, FALSE)))</f>
        <v>15.65</v>
      </c>
      <c r="D531" s="937">
        <f t="shared" si="1"/>
        <v>0.1072386059</v>
      </c>
      <c r="E531" s="937" t="str">
        <f>IF(D531&lt;'PlayerGrades+'!$AA$21,"F-",IF(D531&lt;'PlayerGrades+'!$AA$20,"F",IF(D531&lt;'PlayerGrades+'!$AA$19,"F+",IF(D531&lt;'PlayerGrades+'!$AA$18,"E-",IF(D531&lt;'PlayerGrades+'!$AA$17,"E",IF(D531&lt;'PlayerGrades+'!$AA$16,"E+",IF(D531&lt;'PlayerGrades+'!$AA$15,"D-",IF(D531&lt;'PlayerGrades+'!$AA$14,"D",IF(D531&lt;'PlayerGrades+'!$AA$13,"D+",IF(D531&lt;'PlayerGrades+'!$AA$12,"C-",IF(D531&lt;'PlayerGrades+'!$AA$11,"C",IF(D531&lt;'PlayerGrades+'!$AA$10,"C+",IF(D531&lt;'PlayerGrades+'!$AA$9,"B-",IF(D531&lt;'PlayerGrades+'!$AA$8,"B",IF(D531&lt;'PlayerGrades+'!$AA$7,"B+",IF(D531&lt;'PlayerGrades+'!$AA$6,"A-",IF(D531&lt;'PlayerGrades+'!$AA$5,"A",IF(D531&lt;'PlayerGrades+'!$AA$4,"A+",IF(D531&lt;'PlayerGrades+'!$AA$3,"S-",IF(D531&lt;'PlayerGrades+'!$AA$2,"S","S+"))))))))))))))))))))</f>
        <v>B</v>
      </c>
      <c r="F531" s="937">
        <f t="shared" si="2"/>
        <v>-0.3217158177</v>
      </c>
      <c r="G531" s="937" t="str">
        <f>IF(F531&lt;'PlayerGrades+'!$AB$21,"F-",IF(F531&lt;'PlayerGrades+'!$AB$20,"F",IF(F531&lt;'PlayerGrades+'!$AB$19,"F+",IF(F531&lt;'PlayerGrades+'!$AB$18,"E-",IF(F531&lt;'PlayerGrades+'!$AB$17,"E",IF(F531&lt;'PlayerGrades+'!$AB$16,"E+",IF(F531&lt;'PlayerGrades+'!$AB$15,"D-",IF(F531&lt;'PlayerGrades+'!$AB$14,"D",IF(F531&lt;'PlayerGrades+'!$AB$13,"D+",IF(F531&lt;'PlayerGrades+'!$AB$12,"C-",IF(F531&lt;'PlayerGrades+'!$AB$11,"C",IF(F531&lt;'PlayerGrades+'!$AB$10,"C+",IF(F531&lt;'PlayerGrades+'!$AB$9,"B-",IF(F531&lt;'PlayerGrades+'!$AB$8,"B",IF(F531&lt;'PlayerGrades+'!$AB$7,"B+",IF(F531&lt;'PlayerGrades+'!$AB$6,"A-",IF(F531&lt;'PlayerGrades+'!$AB$5,"A",IF(F531&lt;'PlayerGrades+'!$AB$4,"A+",IF(F531&lt;'PlayerGrades+'!$AB$3,"S-",IF(F531&lt;'PlayerGrades+'!$AB$2,"S","S+"))))))))))))))))))))</f>
        <v>C</v>
      </c>
      <c r="H531" s="937">
        <f t="shared" si="3"/>
        <v>0</v>
      </c>
      <c r="I531" s="937" t="str">
        <f>IF(H531&lt;'PlayerGrades+'!$AC$21,"F-",IF(H531&lt;'PlayerGrades+'!$AC$20,"F",IF(H531&lt;'PlayerGrades+'!$AC$19,"F+",IF(H531&lt;'PlayerGrades+'!$AC$18,"E-",IF(H531&lt;'PlayerGrades+'!$AC$17,"E",IF(H531&lt;'PlayerGrades+'!$AC$16,"E+",IF(H531&lt;'PlayerGrades+'!$AC$15,"D-",IF(H531&lt;'PlayerGrades+'!$AC$14,"D",IF(H531&lt;'PlayerGrades+'!$AC$13,"D+",IF(H531&lt;'PlayerGrades+'!$AC$12,"C-",IF(H531&lt;'PlayerGrades+'!$AC$11,"C",IF(H531&lt;'PlayerGrades+'!$AC$10,"C+",IF(H531&lt;'PlayerGrades+'!$AC$9,"B-",IF(H531&lt;'PlayerGrades+'!$AC$8,"B",IF(H531&lt;'PlayerGrades+'!$AC$7,"B+",IF(H531&lt;'PlayerGrades+'!$AC$6,"A-",IF(H531&lt;'PlayerGrades+'!$AC$5,"A",IF(H531&lt;'PlayerGrades+'!$AC$4,"A+",IF(H531&lt;'PlayerGrades+'!$AC$3,"S-",IF(H531&lt;'PlayerGrades+'!$AC$2,"S","S+"))))))))))))))))))))</f>
        <v>F-</v>
      </c>
      <c r="J531" s="937">
        <f t="shared" si="4"/>
        <v>0.05361930295</v>
      </c>
      <c r="K531" s="937" t="str">
        <f>IF(J531&lt;'PlayerGrades+'!$AD$21,"F-",IF(J531&lt;'PlayerGrades+'!$AD$20,"F",IF(J531&lt;'PlayerGrades+'!$AD$19,"F+",IF(J531&lt;'PlayerGrades+'!$AD$18,"E-",IF(J531&lt;'PlayerGrades+'!$AD$17,"E",IF(J531&lt;'PlayerGrades+'!$AD$16,"E+",IF(J531&lt;'PlayerGrades+'!$AD$15,"D-",IF(J531&lt;'PlayerGrades+'!$AD$14,"D",IF(J531&lt;'PlayerGrades+'!$AD$13,"D+",IF(J531&lt;'PlayerGrades+'!$AD$12,"C-",IF(J531&lt;'PlayerGrades+'!$AD$11,"C",IF(J531&lt;'PlayerGrades+'!$AD$10,"C+",IF(J531&lt;'PlayerGrades+'!$AD$9,"B-",IF(J531&lt;'PlayerGrades+'!$AD$8,"B",IF(J531&lt;'PlayerGrades+'!$AD$7,"B+",IF(J531&lt;'PlayerGrades+'!$AD$6,"A-",IF(J531&lt;'PlayerGrades+'!$AD$5,"A",IF(J531&lt;'PlayerGrades+'!$AD$4,"A+",IF(J531&lt;'PlayerGrades+'!$AD$3,"S-",IF(J531&lt;'PlayerGrades+'!$AD$2,"S","S+"))))))))))))))))))))</f>
        <v>B+</v>
      </c>
      <c r="L531" s="677">
        <f t="shared" si="5"/>
        <v>0.3217158177</v>
      </c>
      <c r="M531" s="938" t="str">
        <f>IF(L531&lt;'PlayerGrades+'!$AE$21,"F-",IF(L531&lt;'PlayerGrades+'!$AE$20,"F",IF(L531&lt;'PlayerGrades+'!$AE$19,"F+",IF(L531&lt;'PlayerGrades+'!$AE$18,"E-",IF(L531&lt;'PlayerGrades+'!$AE$17,"E",IF(L531&lt;'PlayerGrades+'!$AE$16,"E+",IF(L531&lt;'PlayerGrades+'!$AE$15,"D-",IF(L531&lt;'PlayerGrades+'!$AE$14,"D",IF(L531&lt;'PlayerGrades+'!$AE$13,"D+",IF(L531&lt;'PlayerGrades+'!$AE$12,"C-",IF(L531&lt;'PlayerGrades+'!$AE$11,"C",IF(L531&lt;'PlayerGrades+'!$AE$10,"C+",IF(L531&lt;'PlayerGrades+'!$AE$9,"B-",IF(L531&lt;'PlayerGrades+'!$AE$8,"B",IF(L531&lt;'PlayerGrades+'!$AE$7,"B+",IF(L531&lt;'PlayerGrades+'!$AE$6,"A-",IF(L531&lt;'PlayerGrades+'!$AE$5,"A",IF(L531&lt;'PlayerGrades+'!$AE$4,"A+",IF(L531&lt;'PlayerGrades+'!$AE$3,"S-",IF(L531&lt;'PlayerGrades+'!$AE$2,"S","S+"))))))))))))))))))))</f>
        <v>E</v>
      </c>
      <c r="N531" s="937">
        <f t="shared" si="6"/>
        <v>0.05361930295</v>
      </c>
      <c r="O531" s="937" t="str">
        <f>IF(N531&lt;'PlayerGrades+'!$AF$21,"F-",IF(N531&lt;'PlayerGrades+'!$AF$20,"F",IF(N531&lt;'PlayerGrades+'!$AF$19,"F+",IF(N531&lt;'PlayerGrades+'!$AF$18,"E-",IF(N531&lt;'PlayerGrades+'!$AF$17,"E",IF(N531&lt;'PlayerGrades+'!$AF$16,"E+",IF(N531&lt;'PlayerGrades+'!$AF$15,"D-",IF(N531&lt;'PlayerGrades+'!$AF$14,"D",IF(N531&lt;'PlayerGrades+'!$AF$13,"D+",IF(N531&lt;'PlayerGrades+'!$AF$12,"C-",IF(N531&lt;'PlayerGrades+'!$AF$11,"C",IF(N531&lt;'PlayerGrades+'!$AF$10,"C+",IF(N531&lt;'PlayerGrades+'!$AF$9,"B-",IF(N531&lt;'PlayerGrades+'!$AF$8,"B",IF(N531&lt;'PlayerGrades+'!$AF$7,"B+",IF(N531&lt;'PlayerGrades+'!$AF$6,"A-",IF(N531&lt;'PlayerGrades+'!$AF$5,"A",IF(N531&lt;'PlayerGrades+'!$AF$4,"A+",IF(N531&lt;'PlayerGrades+'!$AF$3,"S-",IF(N531&lt;'PlayerGrades+'!$AF$2,"S","S+"))))))))))))))))))))</f>
        <v>D</v>
      </c>
      <c r="P531" s="937">
        <f t="shared" si="7"/>
        <v>0.05361930295</v>
      </c>
      <c r="Q531" s="937" t="str">
        <f>IF(P531&lt;'PlayerGrades+'!$AG$21,"F-",IF(P531&lt;'PlayerGrades+'!$AG$20,"F",IF(P531&lt;'PlayerGrades+'!$AG$19,"F+",IF(P531&lt;'PlayerGrades+'!$AG$18,"E-",IF(P531&lt;'PlayerGrades+'!$AG$17,"E",IF(P531&lt;'PlayerGrades+'!$AG$16,"E+",IF(P531&lt;'PlayerGrades+'!$AG$15,"D-",IF(P531&lt;'PlayerGrades+'!$AG$14,"D",IF(P531&lt;'PlayerGrades+'!$AG$13,"D+",IF(P531&lt;'PlayerGrades+'!$AG$12,"C-",IF(P531&lt;'PlayerGrades+'!$AG$11,"C",IF(P531&lt;'PlayerGrades+'!$AG$10,"C+",IF(P531&lt;'PlayerGrades+'!$AG$9,"B-",IF(P531&lt;'PlayerGrades+'!$AG$8,"B",IF(P531&lt;'PlayerGrades+'!$AG$7,"B+",IF(P531&lt;'PlayerGrades+'!$AG$6,"A-",IF(P531&lt;'PlayerGrades+'!$AG$5,"A",IF(P531&lt;'PlayerGrades+'!$AG$4,"A+",IF(P531&lt;'PlayerGrades+'!$AG$3,"S-",IF(P531&lt;'PlayerGrades+'!$AG$2,"S","S+"))))))))))))))))))))</f>
        <v>A</v>
      </c>
      <c r="R531" s="937">
        <f t="shared" si="8"/>
        <v>0.4825737265</v>
      </c>
      <c r="S531" s="937" t="str">
        <f>IF(R531&lt;'PlayerGrades+'!$AH$21,"F-",IF(R531&lt;'PlayerGrades+'!$AH$20,"F",IF(R531&lt;'PlayerGrades+'!$AH$19,"F+",IF(R531&lt;'PlayerGrades+'!$AH$18,"E-",IF(R531&lt;'PlayerGrades+'!$AH$17,"E",IF(R531&lt;'PlayerGrades+'!$AH$16,"E+",IF(R531&lt;'PlayerGrades+'!$AH$15,"D-",IF(R531&lt;'PlayerGrades+'!$AH$14,"D",IF(R531&lt;'PlayerGrades+'!$AH$13,"D+",IF(R531&lt;'PlayerGrades+'!$AH$12,"C-",IF(R531&lt;'PlayerGrades+'!$AH$11,"C",IF(R531&lt;'PlayerGrades+'!$AH$10,"C+",IF(R531&lt;'PlayerGrades+'!$AH$9,"B-",IF(R531&lt;'PlayerGrades+'!$AH$8,"B",IF(R531&lt;'PlayerGrades+'!$AH$7,"B+",IF(R531&lt;'PlayerGrades+'!$AH$6,"A-",IF(R531&lt;'PlayerGrades+'!$AH$5,"A",IF(R531&lt;'PlayerGrades+'!$AH$4,"A+",IF(R531&lt;'PlayerGrades+'!$AH$3,"S-",IF(R531&lt;'PlayerGrades+'!$AH$2,"S","S+"))))))))))))))))))))</f>
        <v>E+</v>
      </c>
      <c r="T531" s="937">
        <f t="shared" si="9"/>
        <v>0.3217158177</v>
      </c>
      <c r="U531" s="937" t="str">
        <f>IF(T531&lt;'PlayerGrades+'!$AI$21,"F-",IF(T531&lt;'PlayerGrades+'!$AI$20,"F",IF(T531&lt;'PlayerGrades+'!$AI$19,"F+",IF(T531&lt;'PlayerGrades+'!$AI$18,"E-",IF(T531&lt;'PlayerGrades+'!$AI$17,"E",IF(T531&lt;'PlayerGrades+'!$AI$16,"E+",IF(T531&lt;'PlayerGrades+'!$AI$15,"D-",IF(T531&lt;'PlayerGrades+'!$AI$14,"D",IF(T531&lt;'PlayerGrades+'!$AI$13,"D+",IF(T531&lt;'PlayerGrades+'!$AI$12,"C-",IF(T531&lt;'PlayerGrades+'!$AI$11,"C",IF(T531&lt;'PlayerGrades+'!$AI$10,"C+",IF(T531&lt;'PlayerGrades+'!$AI$9,"B-",IF(T531&lt;'PlayerGrades+'!$AI$8,"B",IF(T531&lt;'PlayerGrades+'!$AI$7,"B+",IF(T531&lt;'PlayerGrades+'!$AI$6,"A-",IF(T531&lt;'PlayerGrades+'!$AI$5,"A",IF(T531&lt;'PlayerGrades+'!$AI$4,"A+",IF(T531&lt;'PlayerGrades+'!$AI$3,"S-",IF(T531&lt;'PlayerGrades+'!$AI$2,"S","S+"))))))))))))))))))))</f>
        <v>F-</v>
      </c>
      <c r="V531" s="941">
        <v>1.0</v>
      </c>
      <c r="W531" s="941">
        <v>1.0</v>
      </c>
      <c r="X531" s="941">
        <v>0.0</v>
      </c>
      <c r="Y531" s="941">
        <v>1.0</v>
      </c>
      <c r="Z531" s="941">
        <v>1.0</v>
      </c>
      <c r="AA531" s="941">
        <v>65.0</v>
      </c>
      <c r="AB531" s="941">
        <v>71.0</v>
      </c>
      <c r="AC531" s="941">
        <v>-6.0</v>
      </c>
      <c r="AD531" s="941">
        <v>2.0</v>
      </c>
      <c r="AE531" s="941">
        <v>7.0</v>
      </c>
      <c r="AF531" s="941">
        <v>1.0</v>
      </c>
      <c r="AG531" s="941">
        <v>833.0</v>
      </c>
      <c r="AH531" s="941">
        <v>1119.0</v>
      </c>
      <c r="AI531" s="941">
        <v>11.0</v>
      </c>
      <c r="AJ531" s="941">
        <v>27.0</v>
      </c>
      <c r="AK531" s="941">
        <v>0.0</v>
      </c>
      <c r="AL531" s="941">
        <v>1.0</v>
      </c>
      <c r="AM531" s="941">
        <v>0.0</v>
      </c>
      <c r="AN531" s="941">
        <v>0.0</v>
      </c>
      <c r="AO531" s="941">
        <v>0.0</v>
      </c>
      <c r="AP531" s="941">
        <v>1.0</v>
      </c>
      <c r="AQ531" s="941">
        <v>0.0</v>
      </c>
      <c r="AR531" s="941">
        <v>6.0</v>
      </c>
      <c r="AS531" s="941">
        <v>1.0</v>
      </c>
      <c r="AT531" s="941">
        <v>1.0</v>
      </c>
      <c r="AU531" s="941">
        <v>1.0</v>
      </c>
      <c r="AV531" s="941">
        <v>1.0</v>
      </c>
      <c r="AW531" s="941">
        <v>0.0</v>
      </c>
      <c r="AX531" s="941">
        <v>0.0</v>
      </c>
      <c r="AY531" s="941">
        <v>0.0</v>
      </c>
      <c r="AZ531" s="941">
        <v>0.0</v>
      </c>
      <c r="BA531" s="941">
        <v>0.0</v>
      </c>
      <c r="BB531" s="941">
        <v>0.0</v>
      </c>
      <c r="BC531" s="941">
        <v>0.0</v>
      </c>
      <c r="BD531" s="941">
        <v>7.0</v>
      </c>
      <c r="BE531" s="941">
        <v>6.0</v>
      </c>
      <c r="BF531" s="941">
        <v>0.0</v>
      </c>
      <c r="BG531" s="942">
        <v>0.0</v>
      </c>
    </row>
    <row r="532">
      <c r="A532" s="935" t="s">
        <v>419</v>
      </c>
      <c r="B532" s="16" t="str">
        <f>IF(C532&lt;'PlayerGrades+'!$Y$44,"F-",IF(C532&lt;'PlayerGrades+'!$Y$43,"F",IF(C532&lt;'PlayerGrades+'!$Y$42,"F+",IF(C532&lt;'PlayerGrades+'!$Y$41,"E-",IF(C532&lt;'PlayerGrades+'!$Y$40,"E",IF(C532&lt;'PlayerGrades+'!$Y$39,"E+",IF(C532&lt;'PlayerGrades+'!$Y$38,"D-",IF(C532&lt;'PlayerGrades+'!$Y$37,"D",IF(C532&lt;'PlayerGrades+'!$Y$36,"D+",IF(C532&lt;'PlayerGrades+'!$Y$35,"C-",IF(C532&lt;'PlayerGrades+'!$Y$34,"C",IF(C532&lt;'PlayerGrades+'!$Y$33,"C+",IF(C532&lt;'PlayerGrades+'!$Y$32,"B-",IF(C532&lt;'PlayerGrades+'!$Y$31,"B",IF(C532&lt;'PlayerGrades+'!$Y$30,"B+",IF(C532&lt;'PlayerGrades+'!$Y$29,"A-",IF(C532&lt;'PlayerGrades+'!$Y$28,"A",IF(C532&lt;'PlayerGrades+'!$Y$27,"A+",IF(C532&lt;'PlayerGrades+'!$Y$26,"S-",IF(C532&lt;'PlayerGrades+'!$Y$25,"S","S+"))))))))))))))))))))</f>
        <v>B+</v>
      </c>
      <c r="C532" s="936">
        <f>('PlayerGrades+'!$Y$47*(VLOOKUP(E532, 'PlayerGrades+'!$X$3:$Y$23, 2, FALSE)))+('PlayerGrades+'!$Y$48*(VLOOKUP(G532, 'PlayerGrades+'!$X$3:$Y$23, 2, FALSE)))+('PlayerGrades+'!$Y$49*(VLOOKUP(I532, 'PlayerGrades+'!$X$3:$Y$23, 2, FALSE)))+('PlayerGrades+'!$Y$50*(VLOOKUP(K532, 'PlayerGrades+'!$X$3:$Y$23, 2, FALSE)))+('PlayerGrades+'!$Y$51*(VLOOKUP(M532, 'PlayerGrades+'!$X$3:$Y$23, 2, FALSE)))+('PlayerGrades+'!$Y$52*(VLOOKUP(O532, 'PlayerGrades+'!$X$3:$Y$23, 2, FALSE)))+('PlayerGrades+'!$Y$53*(VLOOKUP(Q532, 'PlayerGrades+'!$X$3:$Y$23, 2, FALSE)))+('PlayerGrades+'!$Y$54*(VLOOKUP(S532, 'PlayerGrades+'!$X$3:$Y$23, 2, FALSE)))+('PlayerGrades+'!$Y$55*(VLOOKUP(U532, 'PlayerGrades+'!$X$3:$Y$23, 2, FALSE)))</f>
        <v>24.3</v>
      </c>
      <c r="D532" s="937">
        <f t="shared" si="1"/>
        <v>0.05361930295</v>
      </c>
      <c r="E532" s="937" t="str">
        <f>IF(D532&lt;'PlayerGrades+'!$AA$21,"F-",IF(D532&lt;'PlayerGrades+'!$AA$20,"F",IF(D532&lt;'PlayerGrades+'!$AA$19,"F+",IF(D532&lt;'PlayerGrades+'!$AA$18,"E-",IF(D532&lt;'PlayerGrades+'!$AA$17,"E",IF(D532&lt;'PlayerGrades+'!$AA$16,"E+",IF(D532&lt;'PlayerGrades+'!$AA$15,"D-",IF(D532&lt;'PlayerGrades+'!$AA$14,"D",IF(D532&lt;'PlayerGrades+'!$AA$13,"D+",IF(D532&lt;'PlayerGrades+'!$AA$12,"C-",IF(D532&lt;'PlayerGrades+'!$AA$11,"C",IF(D532&lt;'PlayerGrades+'!$AA$10,"C+",IF(D532&lt;'PlayerGrades+'!$AA$9,"B-",IF(D532&lt;'PlayerGrades+'!$AA$8,"B",IF(D532&lt;'PlayerGrades+'!$AA$7,"B+",IF(D532&lt;'PlayerGrades+'!$AA$6,"A-",IF(D532&lt;'PlayerGrades+'!$AA$5,"A",IF(D532&lt;'PlayerGrades+'!$AA$4,"A+",IF(D532&lt;'PlayerGrades+'!$AA$3,"S-",IF(D532&lt;'PlayerGrades+'!$AA$2,"S","S+"))))))))))))))))))))</f>
        <v>B-</v>
      </c>
      <c r="F532" s="937">
        <f t="shared" si="2"/>
        <v>-0.2144772118</v>
      </c>
      <c r="G532" s="937" t="str">
        <f>IF(F532&lt;'PlayerGrades+'!$AB$21,"F-",IF(F532&lt;'PlayerGrades+'!$AB$20,"F",IF(F532&lt;'PlayerGrades+'!$AB$19,"F+",IF(F532&lt;'PlayerGrades+'!$AB$18,"E-",IF(F532&lt;'PlayerGrades+'!$AB$17,"E",IF(F532&lt;'PlayerGrades+'!$AB$16,"E+",IF(F532&lt;'PlayerGrades+'!$AB$15,"D-",IF(F532&lt;'PlayerGrades+'!$AB$14,"D",IF(F532&lt;'PlayerGrades+'!$AB$13,"D+",IF(F532&lt;'PlayerGrades+'!$AB$12,"C-",IF(F532&lt;'PlayerGrades+'!$AB$11,"C",IF(F532&lt;'PlayerGrades+'!$AB$10,"C+",IF(F532&lt;'PlayerGrades+'!$AB$9,"B-",IF(F532&lt;'PlayerGrades+'!$AB$8,"B",IF(F532&lt;'PlayerGrades+'!$AB$7,"B+",IF(F532&lt;'PlayerGrades+'!$AB$6,"A-",IF(F532&lt;'PlayerGrades+'!$AB$5,"A",IF(F532&lt;'PlayerGrades+'!$AB$4,"A+",IF(F532&lt;'PlayerGrades+'!$AB$3,"S-",IF(F532&lt;'PlayerGrades+'!$AB$2,"S","S+"))))))))))))))))))))</f>
        <v>C+</v>
      </c>
      <c r="H532" s="937">
        <f t="shared" si="3"/>
        <v>0.1608579088</v>
      </c>
      <c r="I532" s="937" t="str">
        <f>IF(H532&lt;'PlayerGrades+'!$AC$21,"F-",IF(H532&lt;'PlayerGrades+'!$AC$20,"F",IF(H532&lt;'PlayerGrades+'!$AC$19,"F+",IF(H532&lt;'PlayerGrades+'!$AC$18,"E-",IF(H532&lt;'PlayerGrades+'!$AC$17,"E",IF(H532&lt;'PlayerGrades+'!$AC$16,"E+",IF(H532&lt;'PlayerGrades+'!$AC$15,"D-",IF(H532&lt;'PlayerGrades+'!$AC$14,"D",IF(H532&lt;'PlayerGrades+'!$AC$13,"D+",IF(H532&lt;'PlayerGrades+'!$AC$12,"C-",IF(H532&lt;'PlayerGrades+'!$AC$11,"C",IF(H532&lt;'PlayerGrades+'!$AC$10,"C+",IF(H532&lt;'PlayerGrades+'!$AC$9,"B-",IF(H532&lt;'PlayerGrades+'!$AC$8,"B",IF(H532&lt;'PlayerGrades+'!$AC$7,"B+",IF(H532&lt;'PlayerGrades+'!$AC$6,"A-",IF(H532&lt;'PlayerGrades+'!$AC$5,"A",IF(H532&lt;'PlayerGrades+'!$AC$4,"A+",IF(H532&lt;'PlayerGrades+'!$AC$3,"S-",IF(H532&lt;'PlayerGrades+'!$AC$2,"S","S+"))))))))))))))))))))</f>
        <v>A</v>
      </c>
      <c r="J532" s="937">
        <f t="shared" si="4"/>
        <v>0.05361930295</v>
      </c>
      <c r="K532" s="937" t="str">
        <f>IF(J532&lt;'PlayerGrades+'!$AD$21,"F-",IF(J532&lt;'PlayerGrades+'!$AD$20,"F",IF(J532&lt;'PlayerGrades+'!$AD$19,"F+",IF(J532&lt;'PlayerGrades+'!$AD$18,"E-",IF(J532&lt;'PlayerGrades+'!$AD$17,"E",IF(J532&lt;'PlayerGrades+'!$AD$16,"E+",IF(J532&lt;'PlayerGrades+'!$AD$15,"D-",IF(J532&lt;'PlayerGrades+'!$AD$14,"D",IF(J532&lt;'PlayerGrades+'!$AD$13,"D+",IF(J532&lt;'PlayerGrades+'!$AD$12,"C-",IF(J532&lt;'PlayerGrades+'!$AD$11,"C",IF(J532&lt;'PlayerGrades+'!$AD$10,"C+",IF(J532&lt;'PlayerGrades+'!$AD$9,"B-",IF(J532&lt;'PlayerGrades+'!$AD$8,"B",IF(J532&lt;'PlayerGrades+'!$AD$7,"B+",IF(J532&lt;'PlayerGrades+'!$AD$6,"A-",IF(J532&lt;'PlayerGrades+'!$AD$5,"A",IF(J532&lt;'PlayerGrades+'!$AD$4,"A+",IF(J532&lt;'PlayerGrades+'!$AD$3,"S-",IF(J532&lt;'PlayerGrades+'!$AD$2,"S","S+"))))))))))))))))))))</f>
        <v>B+</v>
      </c>
      <c r="L532" s="677">
        <f t="shared" si="5"/>
        <v>0.4825737265</v>
      </c>
      <c r="M532" s="938" t="str">
        <f>IF(L532&lt;'PlayerGrades+'!$AE$21,"F-",IF(L532&lt;'PlayerGrades+'!$AE$20,"F",IF(L532&lt;'PlayerGrades+'!$AE$19,"F+",IF(L532&lt;'PlayerGrades+'!$AE$18,"E-",IF(L532&lt;'PlayerGrades+'!$AE$17,"E",IF(L532&lt;'PlayerGrades+'!$AE$16,"E+",IF(L532&lt;'PlayerGrades+'!$AE$15,"D-",IF(L532&lt;'PlayerGrades+'!$AE$14,"D",IF(L532&lt;'PlayerGrades+'!$AE$13,"D+",IF(L532&lt;'PlayerGrades+'!$AE$12,"C-",IF(L532&lt;'PlayerGrades+'!$AE$11,"C",IF(L532&lt;'PlayerGrades+'!$AE$10,"C+",IF(L532&lt;'PlayerGrades+'!$AE$9,"B-",IF(L532&lt;'PlayerGrades+'!$AE$8,"B",IF(L532&lt;'PlayerGrades+'!$AE$7,"B+",IF(L532&lt;'PlayerGrades+'!$AE$6,"A-",IF(L532&lt;'PlayerGrades+'!$AE$5,"A",IF(L532&lt;'PlayerGrades+'!$AE$4,"A+",IF(L532&lt;'PlayerGrades+'!$AE$3,"S-",IF(L532&lt;'PlayerGrades+'!$AE$2,"S","S+"))))))))))))))))))))</f>
        <v>B+</v>
      </c>
      <c r="N532" s="937">
        <f t="shared" si="6"/>
        <v>0.1072386059</v>
      </c>
      <c r="O532" s="937" t="str">
        <f>IF(N532&lt;'PlayerGrades+'!$AF$21,"F-",IF(N532&lt;'PlayerGrades+'!$AF$20,"F",IF(N532&lt;'PlayerGrades+'!$AF$19,"F+",IF(N532&lt;'PlayerGrades+'!$AF$18,"E-",IF(N532&lt;'PlayerGrades+'!$AF$17,"E",IF(N532&lt;'PlayerGrades+'!$AF$16,"E+",IF(N532&lt;'PlayerGrades+'!$AF$15,"D-",IF(N532&lt;'PlayerGrades+'!$AF$14,"D",IF(N532&lt;'PlayerGrades+'!$AF$13,"D+",IF(N532&lt;'PlayerGrades+'!$AF$12,"C-",IF(N532&lt;'PlayerGrades+'!$AF$11,"C",IF(N532&lt;'PlayerGrades+'!$AF$10,"C+",IF(N532&lt;'PlayerGrades+'!$AF$9,"B-",IF(N532&lt;'PlayerGrades+'!$AF$8,"B",IF(N532&lt;'PlayerGrades+'!$AF$7,"B+",IF(N532&lt;'PlayerGrades+'!$AF$6,"A-",IF(N532&lt;'PlayerGrades+'!$AF$5,"A",IF(N532&lt;'PlayerGrades+'!$AF$4,"A+",IF(N532&lt;'PlayerGrades+'!$AF$3,"S-",IF(N532&lt;'PlayerGrades+'!$AF$2,"S","S+"))))))))))))))))))))</f>
        <v>S-</v>
      </c>
      <c r="P532" s="937">
        <f t="shared" si="7"/>
        <v>0.05361930295</v>
      </c>
      <c r="Q532" s="937" t="str">
        <f>IF(P532&lt;'PlayerGrades+'!$AG$21,"F-",IF(P532&lt;'PlayerGrades+'!$AG$20,"F",IF(P532&lt;'PlayerGrades+'!$AG$19,"F+",IF(P532&lt;'PlayerGrades+'!$AG$18,"E-",IF(P532&lt;'PlayerGrades+'!$AG$17,"E",IF(P532&lt;'PlayerGrades+'!$AG$16,"E+",IF(P532&lt;'PlayerGrades+'!$AG$15,"D-",IF(P532&lt;'PlayerGrades+'!$AG$14,"D",IF(P532&lt;'PlayerGrades+'!$AG$13,"D+",IF(P532&lt;'PlayerGrades+'!$AG$12,"C-",IF(P532&lt;'PlayerGrades+'!$AG$11,"C",IF(P532&lt;'PlayerGrades+'!$AG$10,"C+",IF(P532&lt;'PlayerGrades+'!$AG$9,"B-",IF(P532&lt;'PlayerGrades+'!$AG$8,"B",IF(P532&lt;'PlayerGrades+'!$AG$7,"B+",IF(P532&lt;'PlayerGrades+'!$AG$6,"A-",IF(P532&lt;'PlayerGrades+'!$AG$5,"A",IF(P532&lt;'PlayerGrades+'!$AG$4,"A+",IF(P532&lt;'PlayerGrades+'!$AG$3,"S-",IF(P532&lt;'PlayerGrades+'!$AG$2,"S","S+"))))))))))))))))))))</f>
        <v>A</v>
      </c>
      <c r="R532" s="937">
        <f t="shared" si="8"/>
        <v>0.3217158177</v>
      </c>
      <c r="S532" s="937" t="str">
        <f>IF(R532&lt;'PlayerGrades+'!$AH$21,"F-",IF(R532&lt;'PlayerGrades+'!$AH$20,"F",IF(R532&lt;'PlayerGrades+'!$AH$19,"F+",IF(R532&lt;'PlayerGrades+'!$AH$18,"E-",IF(R532&lt;'PlayerGrades+'!$AH$17,"E",IF(R532&lt;'PlayerGrades+'!$AH$16,"E+",IF(R532&lt;'PlayerGrades+'!$AH$15,"D-",IF(R532&lt;'PlayerGrades+'!$AH$14,"D",IF(R532&lt;'PlayerGrades+'!$AH$13,"D+",IF(R532&lt;'PlayerGrades+'!$AH$12,"C-",IF(R532&lt;'PlayerGrades+'!$AH$11,"C",IF(R532&lt;'PlayerGrades+'!$AH$10,"C+",IF(R532&lt;'PlayerGrades+'!$AH$9,"B-",IF(R532&lt;'PlayerGrades+'!$AH$8,"B",IF(R532&lt;'PlayerGrades+'!$AH$7,"B+",IF(R532&lt;'PlayerGrades+'!$AH$6,"A-",IF(R532&lt;'PlayerGrades+'!$AH$5,"A",IF(R532&lt;'PlayerGrades+'!$AH$4,"A+",IF(R532&lt;'PlayerGrades+'!$AH$3,"S-",IF(R532&lt;'PlayerGrades+'!$AH$2,"S","S+"))))))))))))))))))))</f>
        <v>F</v>
      </c>
      <c r="T532" s="937">
        <f t="shared" si="9"/>
        <v>1.321715818</v>
      </c>
      <c r="U532" s="937" t="str">
        <f>IF(T532&lt;'PlayerGrades+'!$AI$21,"F-",IF(T532&lt;'PlayerGrades+'!$AI$20,"F",IF(T532&lt;'PlayerGrades+'!$AI$19,"F+",IF(T532&lt;'PlayerGrades+'!$AI$18,"E-",IF(T532&lt;'PlayerGrades+'!$AI$17,"E",IF(T532&lt;'PlayerGrades+'!$AI$16,"E+",IF(T532&lt;'PlayerGrades+'!$AI$15,"D-",IF(T532&lt;'PlayerGrades+'!$AI$14,"D",IF(T532&lt;'PlayerGrades+'!$AI$13,"D+",IF(T532&lt;'PlayerGrades+'!$AI$12,"C-",IF(T532&lt;'PlayerGrades+'!$AI$11,"C",IF(T532&lt;'PlayerGrades+'!$AI$10,"C+",IF(T532&lt;'PlayerGrades+'!$AI$9,"B-",IF(T532&lt;'PlayerGrades+'!$AI$8,"B",IF(T532&lt;'PlayerGrades+'!$AI$7,"B+",IF(T532&lt;'PlayerGrades+'!$AI$6,"A-",IF(T532&lt;'PlayerGrades+'!$AI$5,"A",IF(T532&lt;'PlayerGrades+'!$AI$4,"A+",IF(T532&lt;'PlayerGrades+'!$AI$3,"S-",IF(T532&lt;'PlayerGrades+'!$AI$2,"S","S+"))))))))))))))))))))</f>
        <v>C+</v>
      </c>
      <c r="V532" s="941">
        <v>1.0</v>
      </c>
      <c r="W532" s="941">
        <v>1.0</v>
      </c>
      <c r="X532" s="941">
        <v>0.0</v>
      </c>
      <c r="Y532" s="941">
        <v>1.0</v>
      </c>
      <c r="Z532" s="941">
        <v>0.0</v>
      </c>
      <c r="AA532" s="941">
        <v>63.0</v>
      </c>
      <c r="AB532" s="941">
        <v>67.0</v>
      </c>
      <c r="AC532" s="941">
        <v>-4.0</v>
      </c>
      <c r="AD532" s="941">
        <v>2.0</v>
      </c>
      <c r="AE532" s="941">
        <v>7.0</v>
      </c>
      <c r="AF532" s="941">
        <v>0.0</v>
      </c>
      <c r="AG532" s="941">
        <v>855.0</v>
      </c>
      <c r="AH532" s="941">
        <v>1119.0</v>
      </c>
      <c r="AI532" s="941">
        <v>12.0</v>
      </c>
      <c r="AJ532" s="941">
        <v>21.0</v>
      </c>
      <c r="AK532" s="941">
        <v>0.0</v>
      </c>
      <c r="AL532" s="941">
        <v>1.0</v>
      </c>
      <c r="AM532" s="941">
        <v>0.0</v>
      </c>
      <c r="AN532" s="941">
        <v>0.0</v>
      </c>
      <c r="AO532" s="941">
        <v>0.0</v>
      </c>
      <c r="AP532" s="941">
        <v>1.0</v>
      </c>
      <c r="AQ532" s="941">
        <v>0.0</v>
      </c>
      <c r="AR532" s="941">
        <v>9.0</v>
      </c>
      <c r="AS532" s="941">
        <v>2.0</v>
      </c>
      <c r="AT532" s="941">
        <v>0.0</v>
      </c>
      <c r="AU532" s="941">
        <v>0.0</v>
      </c>
      <c r="AV532" s="941">
        <v>0.0</v>
      </c>
      <c r="AW532" s="941">
        <v>0.0</v>
      </c>
      <c r="AX532" s="941">
        <v>0.0</v>
      </c>
      <c r="AY532" s="941">
        <v>0.0</v>
      </c>
      <c r="AZ532" s="941">
        <v>0.0</v>
      </c>
      <c r="BA532" s="941">
        <v>0.0</v>
      </c>
      <c r="BB532" s="941">
        <v>3.0</v>
      </c>
      <c r="BC532" s="941">
        <v>0.0</v>
      </c>
      <c r="BD532" s="941">
        <v>4.0</v>
      </c>
      <c r="BE532" s="941">
        <v>6.0</v>
      </c>
      <c r="BF532" s="941">
        <v>1.0</v>
      </c>
      <c r="BG532" s="942">
        <v>0.0</v>
      </c>
    </row>
    <row r="533">
      <c r="A533" s="935" t="s">
        <v>145</v>
      </c>
      <c r="B533" s="16" t="str">
        <f>IF(C533&lt;'PlayerGrades+'!$Y$44,"F-",IF(C533&lt;'PlayerGrades+'!$Y$43,"F",IF(C533&lt;'PlayerGrades+'!$Y$42,"F+",IF(C533&lt;'PlayerGrades+'!$Y$41,"E-",IF(C533&lt;'PlayerGrades+'!$Y$40,"E",IF(C533&lt;'PlayerGrades+'!$Y$39,"E+",IF(C533&lt;'PlayerGrades+'!$Y$38,"D-",IF(C533&lt;'PlayerGrades+'!$Y$37,"D",IF(C533&lt;'PlayerGrades+'!$Y$36,"D+",IF(C533&lt;'PlayerGrades+'!$Y$35,"C-",IF(C533&lt;'PlayerGrades+'!$Y$34,"C",IF(C533&lt;'PlayerGrades+'!$Y$33,"C+",IF(C533&lt;'PlayerGrades+'!$Y$32,"B-",IF(C533&lt;'PlayerGrades+'!$Y$31,"B",IF(C533&lt;'PlayerGrades+'!$Y$30,"B+",IF(C533&lt;'PlayerGrades+'!$Y$29,"A-",IF(C533&lt;'PlayerGrades+'!$Y$28,"A",IF(C533&lt;'PlayerGrades+'!$Y$27,"A+",IF(C533&lt;'PlayerGrades+'!$Y$26,"S-",IF(C533&lt;'PlayerGrades+'!$Y$25,"S","S+"))))))))))))))))))))</f>
        <v>A+</v>
      </c>
      <c r="C533" s="936">
        <f>('PlayerGrades+'!$Y$47*(VLOOKUP(E533, 'PlayerGrades+'!$X$3:$Y$23, 2, FALSE)))+('PlayerGrades+'!$Y$48*(VLOOKUP(G533, 'PlayerGrades+'!$X$3:$Y$23, 2, FALSE)))+('PlayerGrades+'!$Y$49*(VLOOKUP(I533, 'PlayerGrades+'!$X$3:$Y$23, 2, FALSE)))+('PlayerGrades+'!$Y$50*(VLOOKUP(K533, 'PlayerGrades+'!$X$3:$Y$23, 2, FALSE)))+('PlayerGrades+'!$Y$51*(VLOOKUP(M533, 'PlayerGrades+'!$X$3:$Y$23, 2, FALSE)))+('PlayerGrades+'!$Y$52*(VLOOKUP(O533, 'PlayerGrades+'!$X$3:$Y$23, 2, FALSE)))+('PlayerGrades+'!$Y$53*(VLOOKUP(Q533, 'PlayerGrades+'!$X$3:$Y$23, 2, FALSE)))+('PlayerGrades+'!$Y$54*(VLOOKUP(S533, 'PlayerGrades+'!$X$3:$Y$23, 2, FALSE)))+('PlayerGrades+'!$Y$55*(VLOOKUP(U533, 'PlayerGrades+'!$X$3:$Y$23, 2, FALSE)))</f>
        <v>29.4</v>
      </c>
      <c r="D533" s="937">
        <f t="shared" si="1"/>
        <v>0.1072386059</v>
      </c>
      <c r="E533" s="937" t="str">
        <f>IF(D533&lt;'PlayerGrades+'!$AA$21,"F-",IF(D533&lt;'PlayerGrades+'!$AA$20,"F",IF(D533&lt;'PlayerGrades+'!$AA$19,"F+",IF(D533&lt;'PlayerGrades+'!$AA$18,"E-",IF(D533&lt;'PlayerGrades+'!$AA$17,"E",IF(D533&lt;'PlayerGrades+'!$AA$16,"E+",IF(D533&lt;'PlayerGrades+'!$AA$15,"D-",IF(D533&lt;'PlayerGrades+'!$AA$14,"D",IF(D533&lt;'PlayerGrades+'!$AA$13,"D+",IF(D533&lt;'PlayerGrades+'!$AA$12,"C-",IF(D533&lt;'PlayerGrades+'!$AA$11,"C",IF(D533&lt;'PlayerGrades+'!$AA$10,"C+",IF(D533&lt;'PlayerGrades+'!$AA$9,"B-",IF(D533&lt;'PlayerGrades+'!$AA$8,"B",IF(D533&lt;'PlayerGrades+'!$AA$7,"B+",IF(D533&lt;'PlayerGrades+'!$AA$6,"A-",IF(D533&lt;'PlayerGrades+'!$AA$5,"A",IF(D533&lt;'PlayerGrades+'!$AA$4,"A+",IF(D533&lt;'PlayerGrades+'!$AA$3,"S-",IF(D533&lt;'PlayerGrades+'!$AA$2,"S","S+"))))))))))))))))))))</f>
        <v>B</v>
      </c>
      <c r="F533" s="937">
        <f t="shared" si="2"/>
        <v>0.6970509383</v>
      </c>
      <c r="G533" s="937" t="str">
        <f>IF(F533&lt;'PlayerGrades+'!$AB$21,"F-",IF(F533&lt;'PlayerGrades+'!$AB$20,"F",IF(F533&lt;'PlayerGrades+'!$AB$19,"F+",IF(F533&lt;'PlayerGrades+'!$AB$18,"E-",IF(F533&lt;'PlayerGrades+'!$AB$17,"E",IF(F533&lt;'PlayerGrades+'!$AB$16,"E+",IF(F533&lt;'PlayerGrades+'!$AB$15,"D-",IF(F533&lt;'PlayerGrades+'!$AB$14,"D",IF(F533&lt;'PlayerGrades+'!$AB$13,"D+",IF(F533&lt;'PlayerGrades+'!$AB$12,"C-",IF(F533&lt;'PlayerGrades+'!$AB$11,"C",IF(F533&lt;'PlayerGrades+'!$AB$10,"C+",IF(F533&lt;'PlayerGrades+'!$AB$9,"B-",IF(F533&lt;'PlayerGrades+'!$AB$8,"B",IF(F533&lt;'PlayerGrades+'!$AB$7,"B+",IF(F533&lt;'PlayerGrades+'!$AB$6,"A-",IF(F533&lt;'PlayerGrades+'!$AB$5,"A",IF(F533&lt;'PlayerGrades+'!$AB$4,"A+",IF(F533&lt;'PlayerGrades+'!$AB$3,"S-",IF(F533&lt;'PlayerGrades+'!$AB$2,"S","S+"))))))))))))))))))))</f>
        <v>S-</v>
      </c>
      <c r="H533" s="937">
        <f t="shared" si="3"/>
        <v>0.1072386059</v>
      </c>
      <c r="I533" s="937" t="str">
        <f>IF(H533&lt;'PlayerGrades+'!$AC$21,"F-",IF(H533&lt;'PlayerGrades+'!$AC$20,"F",IF(H533&lt;'PlayerGrades+'!$AC$19,"F+",IF(H533&lt;'PlayerGrades+'!$AC$18,"E-",IF(H533&lt;'PlayerGrades+'!$AC$17,"E",IF(H533&lt;'PlayerGrades+'!$AC$16,"E+",IF(H533&lt;'PlayerGrades+'!$AC$15,"D-",IF(H533&lt;'PlayerGrades+'!$AC$14,"D",IF(H533&lt;'PlayerGrades+'!$AC$13,"D+",IF(H533&lt;'PlayerGrades+'!$AC$12,"C-",IF(H533&lt;'PlayerGrades+'!$AC$11,"C",IF(H533&lt;'PlayerGrades+'!$AC$10,"C+",IF(H533&lt;'PlayerGrades+'!$AC$9,"B-",IF(H533&lt;'PlayerGrades+'!$AC$8,"B",IF(H533&lt;'PlayerGrades+'!$AC$7,"B+",IF(H533&lt;'PlayerGrades+'!$AC$6,"A-",IF(H533&lt;'PlayerGrades+'!$AC$5,"A",IF(H533&lt;'PlayerGrades+'!$AC$4,"A+",IF(H533&lt;'PlayerGrades+'!$AC$3,"S-",IF(H533&lt;'PlayerGrades+'!$AC$2,"S","S+"))))))))))))))))))))</f>
        <v>C-</v>
      </c>
      <c r="J533" s="937">
        <f t="shared" si="4"/>
        <v>0.1072386059</v>
      </c>
      <c r="K533" s="937" t="str">
        <f>IF(J533&lt;'PlayerGrades+'!$AD$21,"F-",IF(J533&lt;'PlayerGrades+'!$AD$20,"F",IF(J533&lt;'PlayerGrades+'!$AD$19,"F+",IF(J533&lt;'PlayerGrades+'!$AD$18,"E-",IF(J533&lt;'PlayerGrades+'!$AD$17,"E",IF(J533&lt;'PlayerGrades+'!$AD$16,"E+",IF(J533&lt;'PlayerGrades+'!$AD$15,"D-",IF(J533&lt;'PlayerGrades+'!$AD$14,"D",IF(J533&lt;'PlayerGrades+'!$AD$13,"D+",IF(J533&lt;'PlayerGrades+'!$AD$12,"C-",IF(J533&lt;'PlayerGrades+'!$AD$11,"C",IF(J533&lt;'PlayerGrades+'!$AD$10,"C+",IF(J533&lt;'PlayerGrades+'!$AD$9,"B-",IF(J533&lt;'PlayerGrades+'!$AD$8,"B",IF(J533&lt;'PlayerGrades+'!$AD$7,"B+",IF(J533&lt;'PlayerGrades+'!$AD$6,"A-",IF(J533&lt;'PlayerGrades+'!$AD$5,"A",IF(J533&lt;'PlayerGrades+'!$AD$4,"A+",IF(J533&lt;'PlayerGrades+'!$AD$3,"S-",IF(J533&lt;'PlayerGrades+'!$AD$2,"S","S+"))))))))))))))))))))</f>
        <v>S+</v>
      </c>
      <c r="L533" s="677">
        <f t="shared" si="5"/>
        <v>0.9115281501</v>
      </c>
      <c r="M533" s="938" t="str">
        <f>IF(L533&lt;'PlayerGrades+'!$AE$21,"F-",IF(L533&lt;'PlayerGrades+'!$AE$20,"F",IF(L533&lt;'PlayerGrades+'!$AE$19,"F+",IF(L533&lt;'PlayerGrades+'!$AE$18,"E-",IF(L533&lt;'PlayerGrades+'!$AE$17,"E",IF(L533&lt;'PlayerGrades+'!$AE$16,"E+",IF(L533&lt;'PlayerGrades+'!$AE$15,"D-",IF(L533&lt;'PlayerGrades+'!$AE$14,"D",IF(L533&lt;'PlayerGrades+'!$AE$13,"D+",IF(L533&lt;'PlayerGrades+'!$AE$12,"C-",IF(L533&lt;'PlayerGrades+'!$AE$11,"C",IF(L533&lt;'PlayerGrades+'!$AE$10,"C+",IF(L533&lt;'PlayerGrades+'!$AE$9,"B-",IF(L533&lt;'PlayerGrades+'!$AE$8,"B",IF(L533&lt;'PlayerGrades+'!$AE$7,"B+",IF(L533&lt;'PlayerGrades+'!$AE$6,"A-",IF(L533&lt;'PlayerGrades+'!$AE$5,"A",IF(L533&lt;'PlayerGrades+'!$AE$4,"A+",IF(L533&lt;'PlayerGrades+'!$AE$3,"S-",IF(L533&lt;'PlayerGrades+'!$AE$2,"S","S+"))))))))))))))))))))</f>
        <v>S+</v>
      </c>
      <c r="N533" s="937">
        <f t="shared" si="6"/>
        <v>0.2144772118</v>
      </c>
      <c r="O533" s="937" t="str">
        <f>IF(N533&lt;'PlayerGrades+'!$AF$21,"F-",IF(N533&lt;'PlayerGrades+'!$AF$20,"F",IF(N533&lt;'PlayerGrades+'!$AF$19,"F+",IF(N533&lt;'PlayerGrades+'!$AF$18,"E-",IF(N533&lt;'PlayerGrades+'!$AF$17,"E",IF(N533&lt;'PlayerGrades+'!$AF$16,"E+",IF(N533&lt;'PlayerGrades+'!$AF$15,"D-",IF(N533&lt;'PlayerGrades+'!$AF$14,"D",IF(N533&lt;'PlayerGrades+'!$AF$13,"D+",IF(N533&lt;'PlayerGrades+'!$AF$12,"C-",IF(N533&lt;'PlayerGrades+'!$AF$11,"C",IF(N533&lt;'PlayerGrades+'!$AF$10,"C+",IF(N533&lt;'PlayerGrades+'!$AF$9,"B-",IF(N533&lt;'PlayerGrades+'!$AF$8,"B",IF(N533&lt;'PlayerGrades+'!$AF$7,"B+",IF(N533&lt;'PlayerGrades+'!$AF$6,"A-",IF(N533&lt;'PlayerGrades+'!$AF$5,"A",IF(N533&lt;'PlayerGrades+'!$AF$4,"A+",IF(N533&lt;'PlayerGrades+'!$AF$3,"S-",IF(N533&lt;'PlayerGrades+'!$AF$2,"S","S+"))))))))))))))))))))</f>
        <v>S+</v>
      </c>
      <c r="P533" s="937">
        <f t="shared" si="7"/>
        <v>0</v>
      </c>
      <c r="Q533" s="937" t="str">
        <f>IF(P533&lt;'PlayerGrades+'!$AG$21,"F-",IF(P533&lt;'PlayerGrades+'!$AG$20,"F",IF(P533&lt;'PlayerGrades+'!$AG$19,"F+",IF(P533&lt;'PlayerGrades+'!$AG$18,"E-",IF(P533&lt;'PlayerGrades+'!$AG$17,"E",IF(P533&lt;'PlayerGrades+'!$AG$16,"E+",IF(P533&lt;'PlayerGrades+'!$AG$15,"D-",IF(P533&lt;'PlayerGrades+'!$AG$14,"D",IF(P533&lt;'PlayerGrades+'!$AG$13,"D+",IF(P533&lt;'PlayerGrades+'!$AG$12,"C-",IF(P533&lt;'PlayerGrades+'!$AG$11,"C",IF(P533&lt;'PlayerGrades+'!$AG$10,"C+",IF(P533&lt;'PlayerGrades+'!$AG$9,"B-",IF(P533&lt;'PlayerGrades+'!$AG$8,"B",IF(P533&lt;'PlayerGrades+'!$AG$7,"B+",IF(P533&lt;'PlayerGrades+'!$AG$6,"A-",IF(P533&lt;'PlayerGrades+'!$AG$5,"A",IF(P533&lt;'PlayerGrades+'!$AG$4,"A+",IF(P533&lt;'PlayerGrades+'!$AG$3,"S-",IF(P533&lt;'PlayerGrades+'!$AG$2,"S","S+"))))))))))))))))))))</f>
        <v>F</v>
      </c>
      <c r="R533" s="937">
        <f t="shared" si="8"/>
        <v>0.8042895442</v>
      </c>
      <c r="S533" s="937" t="str">
        <f>IF(R533&lt;'PlayerGrades+'!$AH$21,"F-",IF(R533&lt;'PlayerGrades+'!$AH$20,"F",IF(R533&lt;'PlayerGrades+'!$AH$19,"F+",IF(R533&lt;'PlayerGrades+'!$AH$18,"E-",IF(R533&lt;'PlayerGrades+'!$AH$17,"E",IF(R533&lt;'PlayerGrades+'!$AH$16,"E+",IF(R533&lt;'PlayerGrades+'!$AH$15,"D-",IF(R533&lt;'PlayerGrades+'!$AH$14,"D",IF(R533&lt;'PlayerGrades+'!$AH$13,"D+",IF(R533&lt;'PlayerGrades+'!$AH$12,"C-",IF(R533&lt;'PlayerGrades+'!$AH$11,"C",IF(R533&lt;'PlayerGrades+'!$AH$10,"C+",IF(R533&lt;'PlayerGrades+'!$AH$9,"B-",IF(R533&lt;'PlayerGrades+'!$AH$8,"B",IF(R533&lt;'PlayerGrades+'!$AH$7,"B+",IF(R533&lt;'PlayerGrades+'!$AH$6,"A-",IF(R533&lt;'PlayerGrades+'!$AH$5,"A",IF(R533&lt;'PlayerGrades+'!$AH$4,"A+",IF(R533&lt;'PlayerGrades+'!$AH$3,"S-",IF(R533&lt;'PlayerGrades+'!$AH$2,"S","S+"))))))))))))))))))))</f>
        <v>S+</v>
      </c>
      <c r="T533" s="937">
        <f t="shared" si="9"/>
        <v>0.6970509383</v>
      </c>
      <c r="U533" s="937" t="str">
        <f>IF(T533&lt;'PlayerGrades+'!$AI$21,"F-",IF(T533&lt;'PlayerGrades+'!$AI$20,"F",IF(T533&lt;'PlayerGrades+'!$AI$19,"F+",IF(T533&lt;'PlayerGrades+'!$AI$18,"E-",IF(T533&lt;'PlayerGrades+'!$AI$17,"E",IF(T533&lt;'PlayerGrades+'!$AI$16,"E+",IF(T533&lt;'PlayerGrades+'!$AI$15,"D-",IF(T533&lt;'PlayerGrades+'!$AI$14,"D",IF(T533&lt;'PlayerGrades+'!$AI$13,"D+",IF(T533&lt;'PlayerGrades+'!$AI$12,"C-",IF(T533&lt;'PlayerGrades+'!$AI$11,"C",IF(T533&lt;'PlayerGrades+'!$AI$10,"C+",IF(T533&lt;'PlayerGrades+'!$AI$9,"B-",IF(T533&lt;'PlayerGrades+'!$AI$8,"B",IF(T533&lt;'PlayerGrades+'!$AI$7,"B+",IF(T533&lt;'PlayerGrades+'!$AI$6,"A-",IF(T533&lt;'PlayerGrades+'!$AI$5,"A",IF(T533&lt;'PlayerGrades+'!$AI$4,"A+",IF(T533&lt;'PlayerGrades+'!$AI$3,"S-",IF(T533&lt;'PlayerGrades+'!$AI$2,"S","S+"))))))))))))))))))))</f>
        <v>F-</v>
      </c>
      <c r="V533" s="941">
        <v>1.0</v>
      </c>
      <c r="W533" s="941">
        <v>1.0</v>
      </c>
      <c r="X533" s="941">
        <v>0.0</v>
      </c>
      <c r="Y533" s="941">
        <v>1.0</v>
      </c>
      <c r="Z533" s="941">
        <v>1.0</v>
      </c>
      <c r="AA533" s="941">
        <v>80.0</v>
      </c>
      <c r="AB533" s="941">
        <v>67.0</v>
      </c>
      <c r="AC533" s="941">
        <v>13.0</v>
      </c>
      <c r="AD533" s="941">
        <v>6.0</v>
      </c>
      <c r="AE533" s="941">
        <v>5.0</v>
      </c>
      <c r="AF533" s="941">
        <v>1.0</v>
      </c>
      <c r="AG533" s="941">
        <v>848.0</v>
      </c>
      <c r="AH533" s="941">
        <v>1119.0</v>
      </c>
      <c r="AI533" s="941">
        <v>12.0</v>
      </c>
      <c r="AJ533" s="941">
        <v>17.0</v>
      </c>
      <c r="AK533" s="941">
        <v>0.0</v>
      </c>
      <c r="AL533" s="941">
        <v>2.0</v>
      </c>
      <c r="AM533" s="941">
        <v>0.0</v>
      </c>
      <c r="AN533" s="941">
        <v>0.0</v>
      </c>
      <c r="AO533" s="941">
        <v>0.0</v>
      </c>
      <c r="AP533" s="941">
        <v>0.0</v>
      </c>
      <c r="AQ533" s="941">
        <v>0.0</v>
      </c>
      <c r="AR533" s="941">
        <v>17.0</v>
      </c>
      <c r="AS533" s="941">
        <v>4.0</v>
      </c>
      <c r="AT533" s="941">
        <v>0.0</v>
      </c>
      <c r="AU533" s="941">
        <v>0.0</v>
      </c>
      <c r="AV533" s="941">
        <v>0.0</v>
      </c>
      <c r="AW533" s="941">
        <v>0.0</v>
      </c>
      <c r="AX533" s="941">
        <v>0.0</v>
      </c>
      <c r="AY533" s="941">
        <v>0.0</v>
      </c>
      <c r="AZ533" s="941">
        <v>0.0</v>
      </c>
      <c r="BA533" s="941">
        <v>0.0</v>
      </c>
      <c r="BB533" s="941">
        <v>2.0</v>
      </c>
      <c r="BC533" s="941">
        <v>0.0</v>
      </c>
      <c r="BD533" s="941">
        <v>9.0</v>
      </c>
      <c r="BE533" s="941">
        <v>13.0</v>
      </c>
      <c r="BF533" s="941">
        <v>0.0</v>
      </c>
      <c r="BG533" s="942">
        <v>0.0</v>
      </c>
    </row>
    <row r="534">
      <c r="A534" s="935" t="s">
        <v>114</v>
      </c>
      <c r="B534" s="16" t="str">
        <f>IF(C534&lt;'PlayerGrades+'!$Y$44,"F-",IF(C534&lt;'PlayerGrades+'!$Y$43,"F",IF(C534&lt;'PlayerGrades+'!$Y$42,"F+",IF(C534&lt;'PlayerGrades+'!$Y$41,"E-",IF(C534&lt;'PlayerGrades+'!$Y$40,"E",IF(C534&lt;'PlayerGrades+'!$Y$39,"E+",IF(C534&lt;'PlayerGrades+'!$Y$38,"D-",IF(C534&lt;'PlayerGrades+'!$Y$37,"D",IF(C534&lt;'PlayerGrades+'!$Y$36,"D+",IF(C534&lt;'PlayerGrades+'!$Y$35,"C-",IF(C534&lt;'PlayerGrades+'!$Y$34,"C",IF(C534&lt;'PlayerGrades+'!$Y$33,"C+",IF(C534&lt;'PlayerGrades+'!$Y$32,"B-",IF(C534&lt;'PlayerGrades+'!$Y$31,"B",IF(C534&lt;'PlayerGrades+'!$Y$30,"B+",IF(C534&lt;'PlayerGrades+'!$Y$29,"A-",IF(C534&lt;'PlayerGrades+'!$Y$28,"A",IF(C534&lt;'PlayerGrades+'!$Y$27,"A+",IF(C534&lt;'PlayerGrades+'!$Y$26,"S-",IF(C534&lt;'PlayerGrades+'!$Y$25,"S","S+"))))))))))))))))))))</f>
        <v>C+</v>
      </c>
      <c r="C534" s="936">
        <f>('PlayerGrades+'!$Y$47*(VLOOKUP(E534, 'PlayerGrades+'!$X$3:$Y$23, 2, FALSE)))+('PlayerGrades+'!$Y$48*(VLOOKUP(G534, 'PlayerGrades+'!$X$3:$Y$23, 2, FALSE)))+('PlayerGrades+'!$Y$49*(VLOOKUP(I534, 'PlayerGrades+'!$X$3:$Y$23, 2, FALSE)))+('PlayerGrades+'!$Y$50*(VLOOKUP(K534, 'PlayerGrades+'!$X$3:$Y$23, 2, FALSE)))+('PlayerGrades+'!$Y$51*(VLOOKUP(M534, 'PlayerGrades+'!$X$3:$Y$23, 2, FALSE)))+('PlayerGrades+'!$Y$52*(VLOOKUP(O534, 'PlayerGrades+'!$X$3:$Y$23, 2, FALSE)))+('PlayerGrades+'!$Y$53*(VLOOKUP(Q534, 'PlayerGrades+'!$X$3:$Y$23, 2, FALSE)))+('PlayerGrades+'!$Y$54*(VLOOKUP(S534, 'PlayerGrades+'!$X$3:$Y$23, 2, FALSE)))+('PlayerGrades+'!$Y$55*(VLOOKUP(U534, 'PlayerGrades+'!$X$3:$Y$23, 2, FALSE)))</f>
        <v>20.6</v>
      </c>
      <c r="D534" s="937">
        <f t="shared" si="1"/>
        <v>0.9651474531</v>
      </c>
      <c r="E534" s="937" t="str">
        <f>IF(D534&lt;'PlayerGrades+'!$AA$21,"F-",IF(D534&lt;'PlayerGrades+'!$AA$20,"F",IF(D534&lt;'PlayerGrades+'!$AA$19,"F+",IF(D534&lt;'PlayerGrades+'!$AA$18,"E-",IF(D534&lt;'PlayerGrades+'!$AA$17,"E",IF(D534&lt;'PlayerGrades+'!$AA$16,"E+",IF(D534&lt;'PlayerGrades+'!$AA$15,"D-",IF(D534&lt;'PlayerGrades+'!$AA$14,"D",IF(D534&lt;'PlayerGrades+'!$AA$13,"D+",IF(D534&lt;'PlayerGrades+'!$AA$12,"C-",IF(D534&lt;'PlayerGrades+'!$AA$11,"C",IF(D534&lt;'PlayerGrades+'!$AA$10,"C+",IF(D534&lt;'PlayerGrades+'!$AA$9,"B-",IF(D534&lt;'PlayerGrades+'!$AA$8,"B",IF(D534&lt;'PlayerGrades+'!$AA$7,"B+",IF(D534&lt;'PlayerGrades+'!$AA$6,"A-",IF(D534&lt;'PlayerGrades+'!$AA$5,"A",IF(D534&lt;'PlayerGrades+'!$AA$4,"A+",IF(D534&lt;'PlayerGrades+'!$AA$3,"S-",IF(D534&lt;'PlayerGrades+'!$AA$2,"S","S+"))))))))))))))))))))</f>
        <v>S+</v>
      </c>
      <c r="F534" s="937">
        <f t="shared" si="2"/>
        <v>0.3217158177</v>
      </c>
      <c r="G534" s="937" t="str">
        <f>IF(F534&lt;'PlayerGrades+'!$AB$21,"F-",IF(F534&lt;'PlayerGrades+'!$AB$20,"F",IF(F534&lt;'PlayerGrades+'!$AB$19,"F+",IF(F534&lt;'PlayerGrades+'!$AB$18,"E-",IF(F534&lt;'PlayerGrades+'!$AB$17,"E",IF(F534&lt;'PlayerGrades+'!$AB$16,"E+",IF(F534&lt;'PlayerGrades+'!$AB$15,"D-",IF(F534&lt;'PlayerGrades+'!$AB$14,"D",IF(F534&lt;'PlayerGrades+'!$AB$13,"D+",IF(F534&lt;'PlayerGrades+'!$AB$12,"C-",IF(F534&lt;'PlayerGrades+'!$AB$11,"C",IF(F534&lt;'PlayerGrades+'!$AB$10,"C+",IF(F534&lt;'PlayerGrades+'!$AB$9,"B-",IF(F534&lt;'PlayerGrades+'!$AB$8,"B",IF(F534&lt;'PlayerGrades+'!$AB$7,"B+",IF(F534&lt;'PlayerGrades+'!$AB$6,"A-",IF(F534&lt;'PlayerGrades+'!$AB$5,"A",IF(F534&lt;'PlayerGrades+'!$AB$4,"A+",IF(F534&lt;'PlayerGrades+'!$AB$3,"S-",IF(F534&lt;'PlayerGrades+'!$AB$2,"S","S+"))))))))))))))))))))</f>
        <v>A-</v>
      </c>
      <c r="H534" s="937">
        <f t="shared" si="3"/>
        <v>0.05361930295</v>
      </c>
      <c r="I534" s="937" t="str">
        <f>IF(H534&lt;'PlayerGrades+'!$AC$21,"F-",IF(H534&lt;'PlayerGrades+'!$AC$20,"F",IF(H534&lt;'PlayerGrades+'!$AC$19,"F+",IF(H534&lt;'PlayerGrades+'!$AC$18,"E-",IF(H534&lt;'PlayerGrades+'!$AC$17,"E",IF(H534&lt;'PlayerGrades+'!$AC$16,"E+",IF(H534&lt;'PlayerGrades+'!$AC$15,"D-",IF(H534&lt;'PlayerGrades+'!$AC$14,"D",IF(H534&lt;'PlayerGrades+'!$AC$13,"D+",IF(H534&lt;'PlayerGrades+'!$AC$12,"C-",IF(H534&lt;'PlayerGrades+'!$AC$11,"C",IF(H534&lt;'PlayerGrades+'!$AC$10,"C+",IF(H534&lt;'PlayerGrades+'!$AC$9,"B-",IF(H534&lt;'PlayerGrades+'!$AC$8,"B",IF(H534&lt;'PlayerGrades+'!$AC$7,"B+",IF(H534&lt;'PlayerGrades+'!$AC$6,"A-",IF(H534&lt;'PlayerGrades+'!$AC$5,"A",IF(H534&lt;'PlayerGrades+'!$AC$4,"A+",IF(H534&lt;'PlayerGrades+'!$AC$3,"S-",IF(H534&lt;'PlayerGrades+'!$AC$2,"S","S+"))))))))))))))))))))</f>
        <v>F+</v>
      </c>
      <c r="J534" s="937">
        <f t="shared" si="4"/>
        <v>0.1072386059</v>
      </c>
      <c r="K534" s="937" t="str">
        <f>IF(J534&lt;'PlayerGrades+'!$AD$21,"F-",IF(J534&lt;'PlayerGrades+'!$AD$20,"F",IF(J534&lt;'PlayerGrades+'!$AD$19,"F+",IF(J534&lt;'PlayerGrades+'!$AD$18,"E-",IF(J534&lt;'PlayerGrades+'!$AD$17,"E",IF(J534&lt;'PlayerGrades+'!$AD$16,"E+",IF(J534&lt;'PlayerGrades+'!$AD$15,"D-",IF(J534&lt;'PlayerGrades+'!$AD$14,"D",IF(J534&lt;'PlayerGrades+'!$AD$13,"D+",IF(J534&lt;'PlayerGrades+'!$AD$12,"C-",IF(J534&lt;'PlayerGrades+'!$AD$11,"C",IF(J534&lt;'PlayerGrades+'!$AD$10,"C+",IF(J534&lt;'PlayerGrades+'!$AD$9,"B-",IF(J534&lt;'PlayerGrades+'!$AD$8,"B",IF(J534&lt;'PlayerGrades+'!$AD$7,"B+",IF(J534&lt;'PlayerGrades+'!$AD$6,"A-",IF(J534&lt;'PlayerGrades+'!$AD$5,"A",IF(J534&lt;'PlayerGrades+'!$AD$4,"A+",IF(J534&lt;'PlayerGrades+'!$AD$3,"S-",IF(J534&lt;'PlayerGrades+'!$AD$2,"S","S+"))))))))))))))))))))</f>
        <v>S+</v>
      </c>
      <c r="L534" s="677">
        <f t="shared" si="5"/>
        <v>0.4289544236</v>
      </c>
      <c r="M534" s="938" t="str">
        <f>IF(L534&lt;'PlayerGrades+'!$AE$21,"F-",IF(L534&lt;'PlayerGrades+'!$AE$20,"F",IF(L534&lt;'PlayerGrades+'!$AE$19,"F+",IF(L534&lt;'PlayerGrades+'!$AE$18,"E-",IF(L534&lt;'PlayerGrades+'!$AE$17,"E",IF(L534&lt;'PlayerGrades+'!$AE$16,"E+",IF(L534&lt;'PlayerGrades+'!$AE$15,"D-",IF(L534&lt;'PlayerGrades+'!$AE$14,"D",IF(L534&lt;'PlayerGrades+'!$AE$13,"D+",IF(L534&lt;'PlayerGrades+'!$AE$12,"C-",IF(L534&lt;'PlayerGrades+'!$AE$11,"C",IF(L534&lt;'PlayerGrades+'!$AE$10,"C+",IF(L534&lt;'PlayerGrades+'!$AE$9,"B-",IF(L534&lt;'PlayerGrades+'!$AE$8,"B",IF(L534&lt;'PlayerGrades+'!$AE$7,"B+",IF(L534&lt;'PlayerGrades+'!$AE$6,"A-",IF(L534&lt;'PlayerGrades+'!$AE$5,"A",IF(L534&lt;'PlayerGrades+'!$AE$4,"A+",IF(L534&lt;'PlayerGrades+'!$AE$3,"S-",IF(L534&lt;'PlayerGrades+'!$AE$2,"S","S+"))))))))))))))))))))</f>
        <v>C+</v>
      </c>
      <c r="N534" s="937">
        <f t="shared" si="6"/>
        <v>0</v>
      </c>
      <c r="O534" s="937" t="str">
        <f>IF(N534&lt;'PlayerGrades+'!$AF$21,"F-",IF(N534&lt;'PlayerGrades+'!$AF$20,"F",IF(N534&lt;'PlayerGrades+'!$AF$19,"F+",IF(N534&lt;'PlayerGrades+'!$AF$18,"E-",IF(N534&lt;'PlayerGrades+'!$AF$17,"E",IF(N534&lt;'PlayerGrades+'!$AF$16,"E+",IF(N534&lt;'PlayerGrades+'!$AF$15,"D-",IF(N534&lt;'PlayerGrades+'!$AF$14,"D",IF(N534&lt;'PlayerGrades+'!$AF$13,"D+",IF(N534&lt;'PlayerGrades+'!$AF$12,"C-",IF(N534&lt;'PlayerGrades+'!$AF$11,"C",IF(N534&lt;'PlayerGrades+'!$AF$10,"C+",IF(N534&lt;'PlayerGrades+'!$AF$9,"B-",IF(N534&lt;'PlayerGrades+'!$AF$8,"B",IF(N534&lt;'PlayerGrades+'!$AF$7,"B+",IF(N534&lt;'PlayerGrades+'!$AF$6,"A-",IF(N534&lt;'PlayerGrades+'!$AF$5,"A",IF(N534&lt;'PlayerGrades+'!$AF$4,"A+",IF(N534&lt;'PlayerGrades+'!$AF$3,"S-",IF(N534&lt;'PlayerGrades+'!$AF$2,"S","S+"))))))))))))))))))))</f>
        <v>F-</v>
      </c>
      <c r="P534" s="937">
        <f t="shared" si="7"/>
        <v>0</v>
      </c>
      <c r="Q534" s="937" t="str">
        <f>IF(P534&lt;'PlayerGrades+'!$AG$21,"F-",IF(P534&lt;'PlayerGrades+'!$AG$20,"F",IF(P534&lt;'PlayerGrades+'!$AG$19,"F+",IF(P534&lt;'PlayerGrades+'!$AG$18,"E-",IF(P534&lt;'PlayerGrades+'!$AG$17,"E",IF(P534&lt;'PlayerGrades+'!$AG$16,"E+",IF(P534&lt;'PlayerGrades+'!$AG$15,"D-",IF(P534&lt;'PlayerGrades+'!$AG$14,"D",IF(P534&lt;'PlayerGrades+'!$AG$13,"D+",IF(P534&lt;'PlayerGrades+'!$AG$12,"C-",IF(P534&lt;'PlayerGrades+'!$AG$11,"C",IF(P534&lt;'PlayerGrades+'!$AG$10,"C+",IF(P534&lt;'PlayerGrades+'!$AG$9,"B-",IF(P534&lt;'PlayerGrades+'!$AG$8,"B",IF(P534&lt;'PlayerGrades+'!$AG$7,"B+",IF(P534&lt;'PlayerGrades+'!$AG$6,"A-",IF(P534&lt;'PlayerGrades+'!$AG$5,"A",IF(P534&lt;'PlayerGrades+'!$AG$4,"A+",IF(P534&lt;'PlayerGrades+'!$AG$3,"S-",IF(P534&lt;'PlayerGrades+'!$AG$2,"S","S+"))))))))))))))))))))</f>
        <v>F</v>
      </c>
      <c r="R534" s="937">
        <f t="shared" si="8"/>
        <v>0.5361930295</v>
      </c>
      <c r="S534" s="937" t="str">
        <f>IF(R534&lt;'PlayerGrades+'!$AH$21,"F-",IF(R534&lt;'PlayerGrades+'!$AH$20,"F",IF(R534&lt;'PlayerGrades+'!$AH$19,"F+",IF(R534&lt;'PlayerGrades+'!$AH$18,"E-",IF(R534&lt;'PlayerGrades+'!$AH$17,"E",IF(R534&lt;'PlayerGrades+'!$AH$16,"E+",IF(R534&lt;'PlayerGrades+'!$AH$15,"D-",IF(R534&lt;'PlayerGrades+'!$AH$14,"D",IF(R534&lt;'PlayerGrades+'!$AH$13,"D+",IF(R534&lt;'PlayerGrades+'!$AH$12,"C-",IF(R534&lt;'PlayerGrades+'!$AH$11,"C",IF(R534&lt;'PlayerGrades+'!$AH$10,"C+",IF(R534&lt;'PlayerGrades+'!$AH$9,"B-",IF(R534&lt;'PlayerGrades+'!$AH$8,"B",IF(R534&lt;'PlayerGrades+'!$AH$7,"B+",IF(R534&lt;'PlayerGrades+'!$AH$6,"A-",IF(R534&lt;'PlayerGrades+'!$AH$5,"A",IF(R534&lt;'PlayerGrades+'!$AH$4,"A+",IF(R534&lt;'PlayerGrades+'!$AH$3,"S-",IF(R534&lt;'PlayerGrades+'!$AH$2,"S","S+"))))))))))))))))))))</f>
        <v>C+</v>
      </c>
      <c r="T534" s="937">
        <f t="shared" si="9"/>
        <v>3.268096515</v>
      </c>
      <c r="U534" s="937" t="str">
        <f>IF(T534&lt;'PlayerGrades+'!$AI$21,"F-",IF(T534&lt;'PlayerGrades+'!$AI$20,"F",IF(T534&lt;'PlayerGrades+'!$AI$19,"F+",IF(T534&lt;'PlayerGrades+'!$AI$18,"E-",IF(T534&lt;'PlayerGrades+'!$AI$17,"E",IF(T534&lt;'PlayerGrades+'!$AI$16,"E+",IF(T534&lt;'PlayerGrades+'!$AI$15,"D-",IF(T534&lt;'PlayerGrades+'!$AI$14,"D",IF(T534&lt;'PlayerGrades+'!$AI$13,"D+",IF(T534&lt;'PlayerGrades+'!$AI$12,"C-",IF(T534&lt;'PlayerGrades+'!$AI$11,"C",IF(T534&lt;'PlayerGrades+'!$AI$10,"C+",IF(T534&lt;'PlayerGrades+'!$AI$9,"B-",IF(T534&lt;'PlayerGrades+'!$AI$8,"B",IF(T534&lt;'PlayerGrades+'!$AI$7,"B+",IF(T534&lt;'PlayerGrades+'!$AI$6,"A-",IF(T534&lt;'PlayerGrades+'!$AI$5,"A",IF(T534&lt;'PlayerGrades+'!$AI$4,"A+",IF(T534&lt;'PlayerGrades+'!$AI$3,"S-",IF(T534&lt;'PlayerGrades+'!$AI$2,"S","S+"))))))))))))))))))))</f>
        <v>S+</v>
      </c>
      <c r="V534" s="941">
        <v>1.0</v>
      </c>
      <c r="W534" s="941">
        <v>0.0</v>
      </c>
      <c r="X534" s="941">
        <v>1.0</v>
      </c>
      <c r="Y534" s="941">
        <v>0.0</v>
      </c>
      <c r="Z534" s="941">
        <v>18.0</v>
      </c>
      <c r="AA534" s="941">
        <v>46.0</v>
      </c>
      <c r="AB534" s="941">
        <v>40.0</v>
      </c>
      <c r="AC534" s="941">
        <v>6.0</v>
      </c>
      <c r="AD534" s="941">
        <v>1.0</v>
      </c>
      <c r="AE534" s="941">
        <v>13.0</v>
      </c>
      <c r="AF534" s="941">
        <v>1.0</v>
      </c>
      <c r="AG534" s="941">
        <v>935.0</v>
      </c>
      <c r="AH534" s="941">
        <v>1119.0</v>
      </c>
      <c r="AI534" s="941">
        <v>23.0</v>
      </c>
      <c r="AJ534" s="941">
        <v>629.0</v>
      </c>
      <c r="AK534" s="941">
        <v>0.0</v>
      </c>
      <c r="AL534" s="941">
        <v>2.0</v>
      </c>
      <c r="AM534" s="941">
        <v>1.0</v>
      </c>
      <c r="AN534" s="941">
        <v>0.0</v>
      </c>
      <c r="AO534" s="941">
        <v>0.0</v>
      </c>
      <c r="AP534" s="941">
        <v>0.0</v>
      </c>
      <c r="AQ534" s="941">
        <v>0.0</v>
      </c>
      <c r="AR534" s="941">
        <v>8.0</v>
      </c>
      <c r="AS534" s="941">
        <v>0.0</v>
      </c>
      <c r="AT534" s="941">
        <v>0.0</v>
      </c>
      <c r="AU534" s="941">
        <v>0.0</v>
      </c>
      <c r="AV534" s="941">
        <v>0.0</v>
      </c>
      <c r="AW534" s="941">
        <v>0.0</v>
      </c>
      <c r="AX534" s="941">
        <v>0.0</v>
      </c>
      <c r="AY534" s="941">
        <v>0.0</v>
      </c>
      <c r="AZ534" s="941">
        <v>0.0</v>
      </c>
      <c r="BA534" s="941">
        <v>0.0</v>
      </c>
      <c r="BB534" s="941">
        <v>1.0</v>
      </c>
      <c r="BC534" s="941">
        <v>0.0</v>
      </c>
      <c r="BD534" s="941">
        <v>9.0</v>
      </c>
      <c r="BE534" s="941">
        <v>5.0</v>
      </c>
      <c r="BF534" s="941">
        <v>3.0</v>
      </c>
      <c r="BG534" s="942">
        <v>1.0</v>
      </c>
    </row>
    <row r="535">
      <c r="A535" s="935" t="s">
        <v>132</v>
      </c>
      <c r="B535" s="16" t="str">
        <f>IF(C535&lt;'PlayerGrades+'!$Y$44,"F-",IF(C535&lt;'PlayerGrades+'!$Y$43,"F",IF(C535&lt;'PlayerGrades+'!$Y$42,"F+",IF(C535&lt;'PlayerGrades+'!$Y$41,"E-",IF(C535&lt;'PlayerGrades+'!$Y$40,"E",IF(C535&lt;'PlayerGrades+'!$Y$39,"E+",IF(C535&lt;'PlayerGrades+'!$Y$38,"D-",IF(C535&lt;'PlayerGrades+'!$Y$37,"D",IF(C535&lt;'PlayerGrades+'!$Y$36,"D+",IF(C535&lt;'PlayerGrades+'!$Y$35,"C-",IF(C535&lt;'PlayerGrades+'!$Y$34,"C",IF(C535&lt;'PlayerGrades+'!$Y$33,"C+",IF(C535&lt;'PlayerGrades+'!$Y$32,"B-",IF(C535&lt;'PlayerGrades+'!$Y$31,"B",IF(C535&lt;'PlayerGrades+'!$Y$30,"B+",IF(C535&lt;'PlayerGrades+'!$Y$29,"A-",IF(C535&lt;'PlayerGrades+'!$Y$28,"A",IF(C535&lt;'PlayerGrades+'!$Y$27,"A+",IF(C535&lt;'PlayerGrades+'!$Y$26,"S-",IF(C535&lt;'PlayerGrades+'!$Y$25,"S","S+"))))))))))))))))))))</f>
        <v>A</v>
      </c>
      <c r="C535" s="936">
        <f>('PlayerGrades+'!$Y$47*(VLOOKUP(E535, 'PlayerGrades+'!$X$3:$Y$23, 2, FALSE)))+('PlayerGrades+'!$Y$48*(VLOOKUP(G535, 'PlayerGrades+'!$X$3:$Y$23, 2, FALSE)))+('PlayerGrades+'!$Y$49*(VLOOKUP(I535, 'PlayerGrades+'!$X$3:$Y$23, 2, FALSE)))+('PlayerGrades+'!$Y$50*(VLOOKUP(K535, 'PlayerGrades+'!$X$3:$Y$23, 2, FALSE)))+('PlayerGrades+'!$Y$51*(VLOOKUP(M535, 'PlayerGrades+'!$X$3:$Y$23, 2, FALSE)))+('PlayerGrades+'!$Y$52*(VLOOKUP(O535, 'PlayerGrades+'!$X$3:$Y$23, 2, FALSE)))+('PlayerGrades+'!$Y$53*(VLOOKUP(Q535, 'PlayerGrades+'!$X$3:$Y$23, 2, FALSE)))+('PlayerGrades+'!$Y$54*(VLOOKUP(S535, 'PlayerGrades+'!$X$3:$Y$23, 2, FALSE)))+('PlayerGrades+'!$Y$55*(VLOOKUP(U535, 'PlayerGrades+'!$X$3:$Y$23, 2, FALSE)))</f>
        <v>25.5</v>
      </c>
      <c r="D535" s="937">
        <f t="shared" si="1"/>
        <v>0</v>
      </c>
      <c r="E535" s="937" t="str">
        <f>IF(D535&lt;'PlayerGrades+'!$AA$21,"F-",IF(D535&lt;'PlayerGrades+'!$AA$20,"F",IF(D535&lt;'PlayerGrades+'!$AA$19,"F+",IF(D535&lt;'PlayerGrades+'!$AA$18,"E-",IF(D535&lt;'PlayerGrades+'!$AA$17,"E",IF(D535&lt;'PlayerGrades+'!$AA$16,"E+",IF(D535&lt;'PlayerGrades+'!$AA$15,"D-",IF(D535&lt;'PlayerGrades+'!$AA$14,"D",IF(D535&lt;'PlayerGrades+'!$AA$13,"D+",IF(D535&lt;'PlayerGrades+'!$AA$12,"C-",IF(D535&lt;'PlayerGrades+'!$AA$11,"C",IF(D535&lt;'PlayerGrades+'!$AA$10,"C+",IF(D535&lt;'PlayerGrades+'!$AA$9,"B-",IF(D535&lt;'PlayerGrades+'!$AA$8,"B",IF(D535&lt;'PlayerGrades+'!$AA$7,"B+",IF(D535&lt;'PlayerGrades+'!$AA$6,"A-",IF(D535&lt;'PlayerGrades+'!$AA$5,"A",IF(D535&lt;'PlayerGrades+'!$AA$4,"A+",IF(D535&lt;'PlayerGrades+'!$AA$3,"S-",IF(D535&lt;'PlayerGrades+'!$AA$2,"S","S+"))))))))))))))))))))</f>
        <v>F-</v>
      </c>
      <c r="F535" s="937">
        <f t="shared" si="2"/>
        <v>-0.8042895442</v>
      </c>
      <c r="G535" s="937" t="str">
        <f>IF(F535&lt;'PlayerGrades+'!$AB$21,"F-",IF(F535&lt;'PlayerGrades+'!$AB$20,"F",IF(F535&lt;'PlayerGrades+'!$AB$19,"F+",IF(F535&lt;'PlayerGrades+'!$AB$18,"E-",IF(F535&lt;'PlayerGrades+'!$AB$17,"E",IF(F535&lt;'PlayerGrades+'!$AB$16,"E+",IF(F535&lt;'PlayerGrades+'!$AB$15,"D-",IF(F535&lt;'PlayerGrades+'!$AB$14,"D",IF(F535&lt;'PlayerGrades+'!$AB$13,"D+",IF(F535&lt;'PlayerGrades+'!$AB$12,"C-",IF(F535&lt;'PlayerGrades+'!$AB$11,"C",IF(F535&lt;'PlayerGrades+'!$AB$10,"C+",IF(F535&lt;'PlayerGrades+'!$AB$9,"B-",IF(F535&lt;'PlayerGrades+'!$AB$8,"B",IF(F535&lt;'PlayerGrades+'!$AB$7,"B+",IF(F535&lt;'PlayerGrades+'!$AB$6,"A-",IF(F535&lt;'PlayerGrades+'!$AB$5,"A",IF(F535&lt;'PlayerGrades+'!$AB$4,"A+",IF(F535&lt;'PlayerGrades+'!$AB$3,"S-",IF(F535&lt;'PlayerGrades+'!$AB$2,"S","S+"))))))))))))))))))))</f>
        <v>E</v>
      </c>
      <c r="H535" s="937">
        <f t="shared" si="3"/>
        <v>0.2144772118</v>
      </c>
      <c r="I535" s="937" t="str">
        <f>IF(H535&lt;'PlayerGrades+'!$AC$21,"F-",IF(H535&lt;'PlayerGrades+'!$AC$20,"F",IF(H535&lt;'PlayerGrades+'!$AC$19,"F+",IF(H535&lt;'PlayerGrades+'!$AC$18,"E-",IF(H535&lt;'PlayerGrades+'!$AC$17,"E",IF(H535&lt;'PlayerGrades+'!$AC$16,"E+",IF(H535&lt;'PlayerGrades+'!$AC$15,"D-",IF(H535&lt;'PlayerGrades+'!$AC$14,"D",IF(H535&lt;'PlayerGrades+'!$AC$13,"D+",IF(H535&lt;'PlayerGrades+'!$AC$12,"C-",IF(H535&lt;'PlayerGrades+'!$AC$11,"C",IF(H535&lt;'PlayerGrades+'!$AC$10,"C+",IF(H535&lt;'PlayerGrades+'!$AC$9,"B-",IF(H535&lt;'PlayerGrades+'!$AC$8,"B",IF(H535&lt;'PlayerGrades+'!$AC$7,"B+",IF(H535&lt;'PlayerGrades+'!$AC$6,"A-",IF(H535&lt;'PlayerGrades+'!$AC$5,"A",IF(H535&lt;'PlayerGrades+'!$AC$4,"A+",IF(H535&lt;'PlayerGrades+'!$AC$3,"S-",IF(H535&lt;'PlayerGrades+'!$AC$2,"S","S+"))))))))))))))))))))</f>
        <v>S</v>
      </c>
      <c r="J535" s="937">
        <f t="shared" si="4"/>
        <v>0.05361930295</v>
      </c>
      <c r="K535" s="937" t="str">
        <f>IF(J535&lt;'PlayerGrades+'!$AD$21,"F-",IF(J535&lt;'PlayerGrades+'!$AD$20,"F",IF(J535&lt;'PlayerGrades+'!$AD$19,"F+",IF(J535&lt;'PlayerGrades+'!$AD$18,"E-",IF(J535&lt;'PlayerGrades+'!$AD$17,"E",IF(J535&lt;'PlayerGrades+'!$AD$16,"E+",IF(J535&lt;'PlayerGrades+'!$AD$15,"D-",IF(J535&lt;'PlayerGrades+'!$AD$14,"D",IF(J535&lt;'PlayerGrades+'!$AD$13,"D+",IF(J535&lt;'PlayerGrades+'!$AD$12,"C-",IF(J535&lt;'PlayerGrades+'!$AD$11,"C",IF(J535&lt;'PlayerGrades+'!$AD$10,"C+",IF(J535&lt;'PlayerGrades+'!$AD$9,"B-",IF(J535&lt;'PlayerGrades+'!$AD$8,"B",IF(J535&lt;'PlayerGrades+'!$AD$7,"B+",IF(J535&lt;'PlayerGrades+'!$AD$6,"A-",IF(J535&lt;'PlayerGrades+'!$AD$5,"A",IF(J535&lt;'PlayerGrades+'!$AD$4,"A+",IF(J535&lt;'PlayerGrades+'!$AD$3,"S-",IF(J535&lt;'PlayerGrades+'!$AD$2,"S","S+"))))))))))))))))))))</f>
        <v>B+</v>
      </c>
      <c r="L535" s="677">
        <f t="shared" si="5"/>
        <v>0.6970509383</v>
      </c>
      <c r="M535" s="938" t="str">
        <f>IF(L535&lt;'PlayerGrades+'!$AE$21,"F-",IF(L535&lt;'PlayerGrades+'!$AE$20,"F",IF(L535&lt;'PlayerGrades+'!$AE$19,"F+",IF(L535&lt;'PlayerGrades+'!$AE$18,"E-",IF(L535&lt;'PlayerGrades+'!$AE$17,"E",IF(L535&lt;'PlayerGrades+'!$AE$16,"E+",IF(L535&lt;'PlayerGrades+'!$AE$15,"D-",IF(L535&lt;'PlayerGrades+'!$AE$14,"D",IF(L535&lt;'PlayerGrades+'!$AE$13,"D+",IF(L535&lt;'PlayerGrades+'!$AE$12,"C-",IF(L535&lt;'PlayerGrades+'!$AE$11,"C",IF(L535&lt;'PlayerGrades+'!$AE$10,"C+",IF(L535&lt;'PlayerGrades+'!$AE$9,"B-",IF(L535&lt;'PlayerGrades+'!$AE$8,"B",IF(L535&lt;'PlayerGrades+'!$AE$7,"B+",IF(L535&lt;'PlayerGrades+'!$AE$6,"A-",IF(L535&lt;'PlayerGrades+'!$AE$5,"A",IF(L535&lt;'PlayerGrades+'!$AE$4,"A+",IF(L535&lt;'PlayerGrades+'!$AE$3,"S-",IF(L535&lt;'PlayerGrades+'!$AE$2,"S","S+"))))))))))))))))))))</f>
        <v>S</v>
      </c>
      <c r="N535" s="937">
        <f t="shared" si="6"/>
        <v>0.1608579088</v>
      </c>
      <c r="O535" s="937" t="str">
        <f>IF(N535&lt;'PlayerGrades+'!$AF$21,"F-",IF(N535&lt;'PlayerGrades+'!$AF$20,"F",IF(N535&lt;'PlayerGrades+'!$AF$19,"F+",IF(N535&lt;'PlayerGrades+'!$AF$18,"E-",IF(N535&lt;'PlayerGrades+'!$AF$17,"E",IF(N535&lt;'PlayerGrades+'!$AF$16,"E+",IF(N535&lt;'PlayerGrades+'!$AF$15,"D-",IF(N535&lt;'PlayerGrades+'!$AF$14,"D",IF(N535&lt;'PlayerGrades+'!$AF$13,"D+",IF(N535&lt;'PlayerGrades+'!$AF$12,"C-",IF(N535&lt;'PlayerGrades+'!$AF$11,"C",IF(N535&lt;'PlayerGrades+'!$AF$10,"C+",IF(N535&lt;'PlayerGrades+'!$AF$9,"B-",IF(N535&lt;'PlayerGrades+'!$AF$8,"B",IF(N535&lt;'PlayerGrades+'!$AF$7,"B+",IF(N535&lt;'PlayerGrades+'!$AF$6,"A-",IF(N535&lt;'PlayerGrades+'!$AF$5,"A",IF(N535&lt;'PlayerGrades+'!$AF$4,"A+",IF(N535&lt;'PlayerGrades+'!$AF$3,"S-",IF(N535&lt;'PlayerGrades+'!$AF$2,"S","S+"))))))))))))))))))))</f>
        <v>S+</v>
      </c>
      <c r="P535" s="937">
        <f t="shared" si="7"/>
        <v>0.05361930295</v>
      </c>
      <c r="Q535" s="937" t="str">
        <f>IF(P535&lt;'PlayerGrades+'!$AG$21,"F-",IF(P535&lt;'PlayerGrades+'!$AG$20,"F",IF(P535&lt;'PlayerGrades+'!$AG$19,"F+",IF(P535&lt;'PlayerGrades+'!$AG$18,"E-",IF(P535&lt;'PlayerGrades+'!$AG$17,"E",IF(P535&lt;'PlayerGrades+'!$AG$16,"E+",IF(P535&lt;'PlayerGrades+'!$AG$15,"D-",IF(P535&lt;'PlayerGrades+'!$AG$14,"D",IF(P535&lt;'PlayerGrades+'!$AG$13,"D+",IF(P535&lt;'PlayerGrades+'!$AG$12,"C-",IF(P535&lt;'PlayerGrades+'!$AG$11,"C",IF(P535&lt;'PlayerGrades+'!$AG$10,"C+",IF(P535&lt;'PlayerGrades+'!$AG$9,"B-",IF(P535&lt;'PlayerGrades+'!$AG$8,"B",IF(P535&lt;'PlayerGrades+'!$AG$7,"B+",IF(P535&lt;'PlayerGrades+'!$AG$6,"A-",IF(P535&lt;'PlayerGrades+'!$AG$5,"A",IF(P535&lt;'PlayerGrades+'!$AG$4,"A+",IF(P535&lt;'PlayerGrades+'!$AG$3,"S-",IF(P535&lt;'PlayerGrades+'!$AG$2,"S","S+"))))))))))))))))))))</f>
        <v>A</v>
      </c>
      <c r="R535" s="937">
        <f t="shared" si="8"/>
        <v>0.6970509383</v>
      </c>
      <c r="S535" s="937" t="str">
        <f>IF(R535&lt;'PlayerGrades+'!$AH$21,"F-",IF(R535&lt;'PlayerGrades+'!$AH$20,"F",IF(R535&lt;'PlayerGrades+'!$AH$19,"F+",IF(R535&lt;'PlayerGrades+'!$AH$18,"E-",IF(R535&lt;'PlayerGrades+'!$AH$17,"E",IF(R535&lt;'PlayerGrades+'!$AH$16,"E+",IF(R535&lt;'PlayerGrades+'!$AH$15,"D-",IF(R535&lt;'PlayerGrades+'!$AH$14,"D",IF(R535&lt;'PlayerGrades+'!$AH$13,"D+",IF(R535&lt;'PlayerGrades+'!$AH$12,"C-",IF(R535&lt;'PlayerGrades+'!$AH$11,"C",IF(R535&lt;'PlayerGrades+'!$AH$10,"C+",IF(R535&lt;'PlayerGrades+'!$AH$9,"B-",IF(R535&lt;'PlayerGrades+'!$AH$8,"B",IF(R535&lt;'PlayerGrades+'!$AH$7,"B+",IF(R535&lt;'PlayerGrades+'!$AH$6,"A-",IF(R535&lt;'PlayerGrades+'!$AH$5,"A",IF(R535&lt;'PlayerGrades+'!$AH$4,"A+",IF(R535&lt;'PlayerGrades+'!$AH$3,"S-",IF(R535&lt;'PlayerGrades+'!$AH$2,"S","S+"))))))))))))))))))))</f>
        <v>S-</v>
      </c>
      <c r="T535" s="937">
        <f t="shared" si="9"/>
        <v>0.5361930295</v>
      </c>
      <c r="U535" s="937" t="str">
        <f>IF(T535&lt;'PlayerGrades+'!$AI$21,"F-",IF(T535&lt;'PlayerGrades+'!$AI$20,"F",IF(T535&lt;'PlayerGrades+'!$AI$19,"F+",IF(T535&lt;'PlayerGrades+'!$AI$18,"E-",IF(T535&lt;'PlayerGrades+'!$AI$17,"E",IF(T535&lt;'PlayerGrades+'!$AI$16,"E+",IF(T535&lt;'PlayerGrades+'!$AI$15,"D-",IF(T535&lt;'PlayerGrades+'!$AI$14,"D",IF(T535&lt;'PlayerGrades+'!$AI$13,"D+",IF(T535&lt;'PlayerGrades+'!$AI$12,"C-",IF(T535&lt;'PlayerGrades+'!$AI$11,"C",IF(T535&lt;'PlayerGrades+'!$AI$10,"C+",IF(T535&lt;'PlayerGrades+'!$AI$9,"B-",IF(T535&lt;'PlayerGrades+'!$AI$8,"B",IF(T535&lt;'PlayerGrades+'!$AI$7,"B+",IF(T535&lt;'PlayerGrades+'!$AI$6,"A-",IF(T535&lt;'PlayerGrades+'!$AI$5,"A",IF(T535&lt;'PlayerGrades+'!$AI$4,"A+",IF(T535&lt;'PlayerGrades+'!$AI$3,"S-",IF(T535&lt;'PlayerGrades+'!$AI$2,"S","S+"))))))))))))))))))))</f>
        <v>F-</v>
      </c>
      <c r="V535" s="941">
        <v>1.0</v>
      </c>
      <c r="W535" s="941">
        <v>0.0</v>
      </c>
      <c r="X535" s="941">
        <v>1.0</v>
      </c>
      <c r="Y535" s="941">
        <v>0.0</v>
      </c>
      <c r="Z535" s="941">
        <v>0.0</v>
      </c>
      <c r="AA535" s="941">
        <v>64.0</v>
      </c>
      <c r="AB535" s="941">
        <v>79.0</v>
      </c>
      <c r="AC535" s="941">
        <v>-15.0</v>
      </c>
      <c r="AD535" s="941">
        <v>8.0</v>
      </c>
      <c r="AE535" s="941">
        <v>5.0</v>
      </c>
      <c r="AF535" s="941">
        <v>1.0</v>
      </c>
      <c r="AG535" s="941">
        <v>822.0</v>
      </c>
      <c r="AH535" s="941">
        <v>1119.0</v>
      </c>
      <c r="AI535" s="941">
        <v>10.0</v>
      </c>
      <c r="AJ535" s="941">
        <v>6.0</v>
      </c>
      <c r="AK535" s="941">
        <v>0.0</v>
      </c>
      <c r="AL535" s="941">
        <v>1.0</v>
      </c>
      <c r="AM535" s="941">
        <v>0.0</v>
      </c>
      <c r="AN535" s="941">
        <v>0.0</v>
      </c>
      <c r="AO535" s="941">
        <v>0.0</v>
      </c>
      <c r="AP535" s="941">
        <v>1.0</v>
      </c>
      <c r="AQ535" s="941">
        <v>0.0</v>
      </c>
      <c r="AR535" s="941">
        <v>13.0</v>
      </c>
      <c r="AS535" s="941">
        <v>3.0</v>
      </c>
      <c r="AT535" s="941">
        <v>2.0</v>
      </c>
      <c r="AU535" s="941">
        <v>0.0</v>
      </c>
      <c r="AV535" s="941">
        <v>0.0</v>
      </c>
      <c r="AW535" s="941">
        <v>0.0</v>
      </c>
      <c r="AX535" s="941">
        <v>0.0</v>
      </c>
      <c r="AY535" s="941">
        <v>0.0</v>
      </c>
      <c r="AZ535" s="941">
        <v>0.0</v>
      </c>
      <c r="BA535" s="941">
        <v>0.0</v>
      </c>
      <c r="BB535" s="941">
        <v>4.0</v>
      </c>
      <c r="BC535" s="941">
        <v>0.0</v>
      </c>
      <c r="BD535" s="941">
        <v>5.0</v>
      </c>
      <c r="BE535" s="941">
        <v>10.0</v>
      </c>
      <c r="BF535" s="941">
        <v>0.0</v>
      </c>
      <c r="BG535" s="942">
        <v>1.0</v>
      </c>
    </row>
    <row r="536">
      <c r="A536" s="935" t="s">
        <v>147</v>
      </c>
      <c r="B536" s="16" t="str">
        <f>IF(C536&lt;'PlayerGrades+'!$Y$44,"F-",IF(C536&lt;'PlayerGrades+'!$Y$43,"F",IF(C536&lt;'PlayerGrades+'!$Y$42,"F+",IF(C536&lt;'PlayerGrades+'!$Y$41,"E-",IF(C536&lt;'PlayerGrades+'!$Y$40,"E",IF(C536&lt;'PlayerGrades+'!$Y$39,"E+",IF(C536&lt;'PlayerGrades+'!$Y$38,"D-",IF(C536&lt;'PlayerGrades+'!$Y$37,"D",IF(C536&lt;'PlayerGrades+'!$Y$36,"D+",IF(C536&lt;'PlayerGrades+'!$Y$35,"C-",IF(C536&lt;'PlayerGrades+'!$Y$34,"C",IF(C536&lt;'PlayerGrades+'!$Y$33,"C+",IF(C536&lt;'PlayerGrades+'!$Y$32,"B-",IF(C536&lt;'PlayerGrades+'!$Y$31,"B",IF(C536&lt;'PlayerGrades+'!$Y$30,"B+",IF(C536&lt;'PlayerGrades+'!$Y$29,"A-",IF(C536&lt;'PlayerGrades+'!$Y$28,"A",IF(C536&lt;'PlayerGrades+'!$Y$27,"A+",IF(C536&lt;'PlayerGrades+'!$Y$26,"S-",IF(C536&lt;'PlayerGrades+'!$Y$25,"S","S+"))))))))))))))))))))</f>
        <v>C</v>
      </c>
      <c r="C536" s="936">
        <f>('PlayerGrades+'!$Y$47*(VLOOKUP(E536, 'PlayerGrades+'!$X$3:$Y$23, 2, FALSE)))+('PlayerGrades+'!$Y$48*(VLOOKUP(G536, 'PlayerGrades+'!$X$3:$Y$23, 2, FALSE)))+('PlayerGrades+'!$Y$49*(VLOOKUP(I536, 'PlayerGrades+'!$X$3:$Y$23, 2, FALSE)))+('PlayerGrades+'!$Y$50*(VLOOKUP(K536, 'PlayerGrades+'!$X$3:$Y$23, 2, FALSE)))+('PlayerGrades+'!$Y$51*(VLOOKUP(M536, 'PlayerGrades+'!$X$3:$Y$23, 2, FALSE)))+('PlayerGrades+'!$Y$52*(VLOOKUP(O536, 'PlayerGrades+'!$X$3:$Y$23, 2, FALSE)))+('PlayerGrades+'!$Y$53*(VLOOKUP(Q536, 'PlayerGrades+'!$X$3:$Y$23, 2, FALSE)))+('PlayerGrades+'!$Y$54*(VLOOKUP(S536, 'PlayerGrades+'!$X$3:$Y$23, 2, FALSE)))+('PlayerGrades+'!$Y$55*(VLOOKUP(U536, 'PlayerGrades+'!$X$3:$Y$23, 2, FALSE)))</f>
        <v>20.45</v>
      </c>
      <c r="D536" s="937">
        <f t="shared" si="1"/>
        <v>0</v>
      </c>
      <c r="E536" s="937" t="str">
        <f>IF(D536&lt;'PlayerGrades+'!$AA$21,"F-",IF(D536&lt;'PlayerGrades+'!$AA$20,"F",IF(D536&lt;'PlayerGrades+'!$AA$19,"F+",IF(D536&lt;'PlayerGrades+'!$AA$18,"E-",IF(D536&lt;'PlayerGrades+'!$AA$17,"E",IF(D536&lt;'PlayerGrades+'!$AA$16,"E+",IF(D536&lt;'PlayerGrades+'!$AA$15,"D-",IF(D536&lt;'PlayerGrades+'!$AA$14,"D",IF(D536&lt;'PlayerGrades+'!$AA$13,"D+",IF(D536&lt;'PlayerGrades+'!$AA$12,"C-",IF(D536&lt;'PlayerGrades+'!$AA$11,"C",IF(D536&lt;'PlayerGrades+'!$AA$10,"C+",IF(D536&lt;'PlayerGrades+'!$AA$9,"B-",IF(D536&lt;'PlayerGrades+'!$AA$8,"B",IF(D536&lt;'PlayerGrades+'!$AA$7,"B+",IF(D536&lt;'PlayerGrades+'!$AA$6,"A-",IF(D536&lt;'PlayerGrades+'!$AA$5,"A",IF(D536&lt;'PlayerGrades+'!$AA$4,"A+",IF(D536&lt;'PlayerGrades+'!$AA$3,"S-",IF(D536&lt;'PlayerGrades+'!$AA$2,"S","S+"))))))))))))))))))))</f>
        <v>F-</v>
      </c>
      <c r="F536" s="937">
        <f t="shared" si="2"/>
        <v>-0.8579088472</v>
      </c>
      <c r="G536" s="937" t="str">
        <f>IF(F536&lt;'PlayerGrades+'!$AB$21,"F-",IF(F536&lt;'PlayerGrades+'!$AB$20,"F",IF(F536&lt;'PlayerGrades+'!$AB$19,"F+",IF(F536&lt;'PlayerGrades+'!$AB$18,"E-",IF(F536&lt;'PlayerGrades+'!$AB$17,"E",IF(F536&lt;'PlayerGrades+'!$AB$16,"E+",IF(F536&lt;'PlayerGrades+'!$AB$15,"D-",IF(F536&lt;'PlayerGrades+'!$AB$14,"D",IF(F536&lt;'PlayerGrades+'!$AB$13,"D+",IF(F536&lt;'PlayerGrades+'!$AB$12,"C-",IF(F536&lt;'PlayerGrades+'!$AB$11,"C",IF(F536&lt;'PlayerGrades+'!$AB$10,"C+",IF(F536&lt;'PlayerGrades+'!$AB$9,"B-",IF(F536&lt;'PlayerGrades+'!$AB$8,"B",IF(F536&lt;'PlayerGrades+'!$AB$7,"B+",IF(F536&lt;'PlayerGrades+'!$AB$6,"A-",IF(F536&lt;'PlayerGrades+'!$AB$5,"A",IF(F536&lt;'PlayerGrades+'!$AB$4,"A+",IF(F536&lt;'PlayerGrades+'!$AB$3,"S-",IF(F536&lt;'PlayerGrades+'!$AB$2,"S","S+"))))))))))))))))))))</f>
        <v>E</v>
      </c>
      <c r="H536" s="937">
        <f t="shared" si="3"/>
        <v>0.3217158177</v>
      </c>
      <c r="I536" s="937" t="str">
        <f>IF(H536&lt;'PlayerGrades+'!$AC$21,"F-",IF(H536&lt;'PlayerGrades+'!$AC$20,"F",IF(H536&lt;'PlayerGrades+'!$AC$19,"F+",IF(H536&lt;'PlayerGrades+'!$AC$18,"E-",IF(H536&lt;'PlayerGrades+'!$AC$17,"E",IF(H536&lt;'PlayerGrades+'!$AC$16,"E+",IF(H536&lt;'PlayerGrades+'!$AC$15,"D-",IF(H536&lt;'PlayerGrades+'!$AC$14,"D",IF(H536&lt;'PlayerGrades+'!$AC$13,"D+",IF(H536&lt;'PlayerGrades+'!$AC$12,"C-",IF(H536&lt;'PlayerGrades+'!$AC$11,"C",IF(H536&lt;'PlayerGrades+'!$AC$10,"C+",IF(H536&lt;'PlayerGrades+'!$AC$9,"B-",IF(H536&lt;'PlayerGrades+'!$AC$8,"B",IF(H536&lt;'PlayerGrades+'!$AC$7,"B+",IF(H536&lt;'PlayerGrades+'!$AC$6,"A-",IF(H536&lt;'PlayerGrades+'!$AC$5,"A",IF(H536&lt;'PlayerGrades+'!$AC$4,"A+",IF(H536&lt;'PlayerGrades+'!$AC$3,"S-",IF(H536&lt;'PlayerGrades+'!$AC$2,"S","S+"))))))))))))))))))))</f>
        <v>S+</v>
      </c>
      <c r="J536" s="937">
        <f t="shared" si="4"/>
        <v>0.05361930295</v>
      </c>
      <c r="K536" s="937" t="str">
        <f>IF(J536&lt;'PlayerGrades+'!$AD$21,"F-",IF(J536&lt;'PlayerGrades+'!$AD$20,"F",IF(J536&lt;'PlayerGrades+'!$AD$19,"F+",IF(J536&lt;'PlayerGrades+'!$AD$18,"E-",IF(J536&lt;'PlayerGrades+'!$AD$17,"E",IF(J536&lt;'PlayerGrades+'!$AD$16,"E+",IF(J536&lt;'PlayerGrades+'!$AD$15,"D-",IF(J536&lt;'PlayerGrades+'!$AD$14,"D",IF(J536&lt;'PlayerGrades+'!$AD$13,"D+",IF(J536&lt;'PlayerGrades+'!$AD$12,"C-",IF(J536&lt;'PlayerGrades+'!$AD$11,"C",IF(J536&lt;'PlayerGrades+'!$AD$10,"C+",IF(J536&lt;'PlayerGrades+'!$AD$9,"B-",IF(J536&lt;'PlayerGrades+'!$AD$8,"B",IF(J536&lt;'PlayerGrades+'!$AD$7,"B+",IF(J536&lt;'PlayerGrades+'!$AD$6,"A-",IF(J536&lt;'PlayerGrades+'!$AD$5,"A",IF(J536&lt;'PlayerGrades+'!$AD$4,"A+",IF(J536&lt;'PlayerGrades+'!$AD$3,"S-",IF(J536&lt;'PlayerGrades+'!$AD$2,"S","S+"))))))))))))))))))))</f>
        <v>B+</v>
      </c>
      <c r="L536" s="677">
        <f t="shared" si="5"/>
        <v>0.4289544236</v>
      </c>
      <c r="M536" s="938" t="str">
        <f>IF(L536&lt;'PlayerGrades+'!$AE$21,"F-",IF(L536&lt;'PlayerGrades+'!$AE$20,"F",IF(L536&lt;'PlayerGrades+'!$AE$19,"F+",IF(L536&lt;'PlayerGrades+'!$AE$18,"E-",IF(L536&lt;'PlayerGrades+'!$AE$17,"E",IF(L536&lt;'PlayerGrades+'!$AE$16,"E+",IF(L536&lt;'PlayerGrades+'!$AE$15,"D-",IF(L536&lt;'PlayerGrades+'!$AE$14,"D",IF(L536&lt;'PlayerGrades+'!$AE$13,"D+",IF(L536&lt;'PlayerGrades+'!$AE$12,"C-",IF(L536&lt;'PlayerGrades+'!$AE$11,"C",IF(L536&lt;'PlayerGrades+'!$AE$10,"C+",IF(L536&lt;'PlayerGrades+'!$AE$9,"B-",IF(L536&lt;'PlayerGrades+'!$AE$8,"B",IF(L536&lt;'PlayerGrades+'!$AE$7,"B+",IF(L536&lt;'PlayerGrades+'!$AE$6,"A-",IF(L536&lt;'PlayerGrades+'!$AE$5,"A",IF(L536&lt;'PlayerGrades+'!$AE$4,"A+",IF(L536&lt;'PlayerGrades+'!$AE$3,"S-",IF(L536&lt;'PlayerGrades+'!$AE$2,"S","S+"))))))))))))))))))))</f>
        <v>C+</v>
      </c>
      <c r="N536" s="937">
        <f t="shared" si="6"/>
        <v>0.05361930295</v>
      </c>
      <c r="O536" s="937" t="str">
        <f>IF(N536&lt;'PlayerGrades+'!$AF$21,"F-",IF(N536&lt;'PlayerGrades+'!$AF$20,"F",IF(N536&lt;'PlayerGrades+'!$AF$19,"F+",IF(N536&lt;'PlayerGrades+'!$AF$18,"E-",IF(N536&lt;'PlayerGrades+'!$AF$17,"E",IF(N536&lt;'PlayerGrades+'!$AF$16,"E+",IF(N536&lt;'PlayerGrades+'!$AF$15,"D-",IF(N536&lt;'PlayerGrades+'!$AF$14,"D",IF(N536&lt;'PlayerGrades+'!$AF$13,"D+",IF(N536&lt;'PlayerGrades+'!$AF$12,"C-",IF(N536&lt;'PlayerGrades+'!$AF$11,"C",IF(N536&lt;'PlayerGrades+'!$AF$10,"C+",IF(N536&lt;'PlayerGrades+'!$AF$9,"B-",IF(N536&lt;'PlayerGrades+'!$AF$8,"B",IF(N536&lt;'PlayerGrades+'!$AF$7,"B+",IF(N536&lt;'PlayerGrades+'!$AF$6,"A-",IF(N536&lt;'PlayerGrades+'!$AF$5,"A",IF(N536&lt;'PlayerGrades+'!$AF$4,"A+",IF(N536&lt;'PlayerGrades+'!$AF$3,"S-",IF(N536&lt;'PlayerGrades+'!$AF$2,"S","S+"))))))))))))))))))))</f>
        <v>D</v>
      </c>
      <c r="P536" s="937">
        <f t="shared" si="7"/>
        <v>0.05361930295</v>
      </c>
      <c r="Q536" s="937" t="str">
        <f>IF(P536&lt;'PlayerGrades+'!$AG$21,"F-",IF(P536&lt;'PlayerGrades+'!$AG$20,"F",IF(P536&lt;'PlayerGrades+'!$AG$19,"F+",IF(P536&lt;'PlayerGrades+'!$AG$18,"E-",IF(P536&lt;'PlayerGrades+'!$AG$17,"E",IF(P536&lt;'PlayerGrades+'!$AG$16,"E+",IF(P536&lt;'PlayerGrades+'!$AG$15,"D-",IF(P536&lt;'PlayerGrades+'!$AG$14,"D",IF(P536&lt;'PlayerGrades+'!$AG$13,"D+",IF(P536&lt;'PlayerGrades+'!$AG$12,"C-",IF(P536&lt;'PlayerGrades+'!$AG$11,"C",IF(P536&lt;'PlayerGrades+'!$AG$10,"C+",IF(P536&lt;'PlayerGrades+'!$AG$9,"B-",IF(P536&lt;'PlayerGrades+'!$AG$8,"B",IF(P536&lt;'PlayerGrades+'!$AG$7,"B+",IF(P536&lt;'PlayerGrades+'!$AG$6,"A-",IF(P536&lt;'PlayerGrades+'!$AG$5,"A",IF(P536&lt;'PlayerGrades+'!$AG$4,"A+",IF(P536&lt;'PlayerGrades+'!$AG$3,"S-",IF(P536&lt;'PlayerGrades+'!$AG$2,"S","S+"))))))))))))))))))))</f>
        <v>A</v>
      </c>
      <c r="R536" s="937">
        <f t="shared" si="8"/>
        <v>0.7506702413</v>
      </c>
      <c r="S536" s="937" t="str">
        <f>IF(R536&lt;'PlayerGrades+'!$AH$21,"F-",IF(R536&lt;'PlayerGrades+'!$AH$20,"F",IF(R536&lt;'PlayerGrades+'!$AH$19,"F+",IF(R536&lt;'PlayerGrades+'!$AH$18,"E-",IF(R536&lt;'PlayerGrades+'!$AH$17,"E",IF(R536&lt;'PlayerGrades+'!$AH$16,"E+",IF(R536&lt;'PlayerGrades+'!$AH$15,"D-",IF(R536&lt;'PlayerGrades+'!$AH$14,"D",IF(R536&lt;'PlayerGrades+'!$AH$13,"D+",IF(R536&lt;'PlayerGrades+'!$AH$12,"C-",IF(R536&lt;'PlayerGrades+'!$AH$11,"C",IF(R536&lt;'PlayerGrades+'!$AH$10,"C+",IF(R536&lt;'PlayerGrades+'!$AH$9,"B-",IF(R536&lt;'PlayerGrades+'!$AH$8,"B",IF(R536&lt;'PlayerGrades+'!$AH$7,"B+",IF(R536&lt;'PlayerGrades+'!$AH$6,"A-",IF(R536&lt;'PlayerGrades+'!$AH$5,"A",IF(R536&lt;'PlayerGrades+'!$AH$4,"A+",IF(R536&lt;'PlayerGrades+'!$AH$3,"S-",IF(R536&lt;'PlayerGrades+'!$AH$2,"S","S+"))))))))))))))))))))</f>
        <v>S</v>
      </c>
      <c r="T536" s="937">
        <f t="shared" si="9"/>
        <v>0.2680965147</v>
      </c>
      <c r="U536" s="937" t="str">
        <f>IF(T536&lt;'PlayerGrades+'!$AI$21,"F-",IF(T536&lt;'PlayerGrades+'!$AI$20,"F",IF(T536&lt;'PlayerGrades+'!$AI$19,"F+",IF(T536&lt;'PlayerGrades+'!$AI$18,"E-",IF(T536&lt;'PlayerGrades+'!$AI$17,"E",IF(T536&lt;'PlayerGrades+'!$AI$16,"E+",IF(T536&lt;'PlayerGrades+'!$AI$15,"D-",IF(T536&lt;'PlayerGrades+'!$AI$14,"D",IF(T536&lt;'PlayerGrades+'!$AI$13,"D+",IF(T536&lt;'PlayerGrades+'!$AI$12,"C-",IF(T536&lt;'PlayerGrades+'!$AI$11,"C",IF(T536&lt;'PlayerGrades+'!$AI$10,"C+",IF(T536&lt;'PlayerGrades+'!$AI$9,"B-",IF(T536&lt;'PlayerGrades+'!$AI$8,"B",IF(T536&lt;'PlayerGrades+'!$AI$7,"B+",IF(T536&lt;'PlayerGrades+'!$AI$6,"A-",IF(T536&lt;'PlayerGrades+'!$AI$5,"A",IF(T536&lt;'PlayerGrades+'!$AI$4,"A+",IF(T536&lt;'PlayerGrades+'!$AI$3,"S-",IF(T536&lt;'PlayerGrades+'!$AI$2,"S","S+"))))))))))))))))))))</f>
        <v>F-</v>
      </c>
      <c r="V536" s="941">
        <v>1.0</v>
      </c>
      <c r="W536" s="941">
        <v>0.0</v>
      </c>
      <c r="X536" s="941">
        <v>1.0</v>
      </c>
      <c r="Y536" s="941">
        <v>0.0</v>
      </c>
      <c r="Z536" s="941">
        <v>0.0</v>
      </c>
      <c r="AA536" s="941">
        <v>61.0</v>
      </c>
      <c r="AB536" s="941">
        <v>77.0</v>
      </c>
      <c r="AC536" s="941">
        <v>-16.0</v>
      </c>
      <c r="AD536" s="941">
        <v>9.0</v>
      </c>
      <c r="AE536" s="941">
        <v>6.0</v>
      </c>
      <c r="AF536" s="941">
        <v>0.0</v>
      </c>
      <c r="AG536" s="941">
        <v>821.0</v>
      </c>
      <c r="AH536" s="941">
        <v>1119.0</v>
      </c>
      <c r="AI536" s="941">
        <v>10.0</v>
      </c>
      <c r="AJ536" s="941">
        <v>10.0</v>
      </c>
      <c r="AK536" s="941">
        <v>0.0</v>
      </c>
      <c r="AL536" s="941">
        <v>1.0</v>
      </c>
      <c r="AM536" s="941">
        <v>0.0</v>
      </c>
      <c r="AN536" s="941">
        <v>0.0</v>
      </c>
      <c r="AO536" s="941">
        <v>0.0</v>
      </c>
      <c r="AP536" s="941">
        <v>1.0</v>
      </c>
      <c r="AQ536" s="941">
        <v>0.0</v>
      </c>
      <c r="AR536" s="941">
        <v>8.0</v>
      </c>
      <c r="AS536" s="941">
        <v>1.0</v>
      </c>
      <c r="AT536" s="941">
        <v>0.0</v>
      </c>
      <c r="AU536" s="941">
        <v>0.0</v>
      </c>
      <c r="AV536" s="941">
        <v>0.0</v>
      </c>
      <c r="AW536" s="941">
        <v>0.0</v>
      </c>
      <c r="AX536" s="941">
        <v>0.0</v>
      </c>
      <c r="AY536" s="941">
        <v>0.0</v>
      </c>
      <c r="AZ536" s="941">
        <v>0.0</v>
      </c>
      <c r="BA536" s="941">
        <v>0.0</v>
      </c>
      <c r="BB536" s="941">
        <v>6.0</v>
      </c>
      <c r="BC536" s="941">
        <v>0.0</v>
      </c>
      <c r="BD536" s="941">
        <v>5.0</v>
      </c>
      <c r="BE536" s="941">
        <v>5.0</v>
      </c>
      <c r="BF536" s="941">
        <v>0.0</v>
      </c>
      <c r="BG536" s="942">
        <v>1.0</v>
      </c>
    </row>
    <row r="537">
      <c r="A537" s="943" t="s">
        <v>136</v>
      </c>
      <c r="B537" s="16" t="str">
        <f>IF(C537&lt;'PlayerGrades+'!$Y$44,"F-",IF(C537&lt;'PlayerGrades+'!$Y$43,"F",IF(C537&lt;'PlayerGrades+'!$Y$42,"F+",IF(C537&lt;'PlayerGrades+'!$Y$41,"E-",IF(C537&lt;'PlayerGrades+'!$Y$40,"E",IF(C537&lt;'PlayerGrades+'!$Y$39,"E+",IF(C537&lt;'PlayerGrades+'!$Y$38,"D-",IF(C537&lt;'PlayerGrades+'!$Y$37,"D",IF(C537&lt;'PlayerGrades+'!$Y$36,"D+",IF(C537&lt;'PlayerGrades+'!$Y$35,"C-",IF(C537&lt;'PlayerGrades+'!$Y$34,"C",IF(C537&lt;'PlayerGrades+'!$Y$33,"C+",IF(C537&lt;'PlayerGrades+'!$Y$32,"B-",IF(C537&lt;'PlayerGrades+'!$Y$31,"B",IF(C537&lt;'PlayerGrades+'!$Y$30,"B+",IF(C537&lt;'PlayerGrades+'!$Y$29,"A-",IF(C537&lt;'PlayerGrades+'!$Y$28,"A",IF(C537&lt;'PlayerGrades+'!$Y$27,"A+",IF(C537&lt;'PlayerGrades+'!$Y$26,"S-",IF(C537&lt;'PlayerGrades+'!$Y$25,"S","S+"))))))))))))))))))))</f>
        <v>S-</v>
      </c>
      <c r="C537" s="936">
        <f>('PlayerGrades+'!$Y$47*(VLOOKUP(E537, 'PlayerGrades+'!$X$3:$Y$23, 2, FALSE)))+('PlayerGrades+'!$Y$48*(VLOOKUP(G537, 'PlayerGrades+'!$X$3:$Y$23, 2, FALSE)))+('PlayerGrades+'!$Y$49*(VLOOKUP(I537, 'PlayerGrades+'!$X$3:$Y$23, 2, FALSE)))+('PlayerGrades+'!$Y$50*(VLOOKUP(K537, 'PlayerGrades+'!$X$3:$Y$23, 2, FALSE)))+('PlayerGrades+'!$Y$51*(VLOOKUP(M537, 'PlayerGrades+'!$X$3:$Y$23, 2, FALSE)))+('PlayerGrades+'!$Y$52*(VLOOKUP(O537, 'PlayerGrades+'!$X$3:$Y$23, 2, FALSE)))+('PlayerGrades+'!$Y$53*(VLOOKUP(Q537, 'PlayerGrades+'!$X$3:$Y$23, 2, FALSE)))+('PlayerGrades+'!$Y$54*(VLOOKUP(S537, 'PlayerGrades+'!$X$3:$Y$23, 2, FALSE)))+('PlayerGrades+'!$Y$55*(VLOOKUP(U537, 'PlayerGrades+'!$X$3:$Y$23, 2, FALSE)))</f>
        <v>30.7</v>
      </c>
      <c r="D537" s="937">
        <f t="shared" si="1"/>
        <v>0.1608579088</v>
      </c>
      <c r="E537" s="937" t="str">
        <f>IF(D537&lt;'PlayerGrades+'!$AA$21,"F-",IF(D537&lt;'PlayerGrades+'!$AA$20,"F",IF(D537&lt;'PlayerGrades+'!$AA$19,"F+",IF(D537&lt;'PlayerGrades+'!$AA$18,"E-",IF(D537&lt;'PlayerGrades+'!$AA$17,"E",IF(D537&lt;'PlayerGrades+'!$AA$16,"E+",IF(D537&lt;'PlayerGrades+'!$AA$15,"D-",IF(D537&lt;'PlayerGrades+'!$AA$14,"D",IF(D537&lt;'PlayerGrades+'!$AA$13,"D+",IF(D537&lt;'PlayerGrades+'!$AA$12,"C-",IF(D537&lt;'PlayerGrades+'!$AA$11,"C",IF(D537&lt;'PlayerGrades+'!$AA$10,"C+",IF(D537&lt;'PlayerGrades+'!$AA$9,"B-",IF(D537&lt;'PlayerGrades+'!$AA$8,"B",IF(D537&lt;'PlayerGrades+'!$AA$7,"B+",IF(D537&lt;'PlayerGrades+'!$AA$6,"A-",IF(D537&lt;'PlayerGrades+'!$AA$5,"A",IF(D537&lt;'PlayerGrades+'!$AA$4,"A+",IF(D537&lt;'PlayerGrades+'!$AA$3,"S-",IF(D537&lt;'PlayerGrades+'!$AA$2,"S","S+"))))))))))))))))))))</f>
        <v>B+</v>
      </c>
      <c r="F537" s="937">
        <f t="shared" si="2"/>
        <v>-0.3217158177</v>
      </c>
      <c r="G537" s="937" t="str">
        <f>IF(F537&lt;'PlayerGrades+'!$AB$21,"F-",IF(F537&lt;'PlayerGrades+'!$AB$20,"F",IF(F537&lt;'PlayerGrades+'!$AB$19,"F+",IF(F537&lt;'PlayerGrades+'!$AB$18,"E-",IF(F537&lt;'PlayerGrades+'!$AB$17,"E",IF(F537&lt;'PlayerGrades+'!$AB$16,"E+",IF(F537&lt;'PlayerGrades+'!$AB$15,"D-",IF(F537&lt;'PlayerGrades+'!$AB$14,"D",IF(F537&lt;'PlayerGrades+'!$AB$13,"D+",IF(F537&lt;'PlayerGrades+'!$AB$12,"C-",IF(F537&lt;'PlayerGrades+'!$AB$11,"C",IF(F537&lt;'PlayerGrades+'!$AB$10,"C+",IF(F537&lt;'PlayerGrades+'!$AB$9,"B-",IF(F537&lt;'PlayerGrades+'!$AB$8,"B",IF(F537&lt;'PlayerGrades+'!$AB$7,"B+",IF(F537&lt;'PlayerGrades+'!$AB$6,"A-",IF(F537&lt;'PlayerGrades+'!$AB$5,"A",IF(F537&lt;'PlayerGrades+'!$AB$4,"A+",IF(F537&lt;'PlayerGrades+'!$AB$3,"S-",IF(F537&lt;'PlayerGrades+'!$AB$2,"S","S+"))))))))))))))))))))</f>
        <v>C</v>
      </c>
      <c r="H537" s="937">
        <f t="shared" si="3"/>
        <v>0.2680965147</v>
      </c>
      <c r="I537" s="937" t="str">
        <f>IF(H537&lt;'PlayerGrades+'!$AC$21,"F-",IF(H537&lt;'PlayerGrades+'!$AC$20,"F",IF(H537&lt;'PlayerGrades+'!$AC$19,"F+",IF(H537&lt;'PlayerGrades+'!$AC$18,"E-",IF(H537&lt;'PlayerGrades+'!$AC$17,"E",IF(H537&lt;'PlayerGrades+'!$AC$16,"E+",IF(H537&lt;'PlayerGrades+'!$AC$15,"D-",IF(H537&lt;'PlayerGrades+'!$AC$14,"D",IF(H537&lt;'PlayerGrades+'!$AC$13,"D+",IF(H537&lt;'PlayerGrades+'!$AC$12,"C-",IF(H537&lt;'PlayerGrades+'!$AC$11,"C",IF(H537&lt;'PlayerGrades+'!$AC$10,"C+",IF(H537&lt;'PlayerGrades+'!$AC$9,"B-",IF(H537&lt;'PlayerGrades+'!$AC$8,"B",IF(H537&lt;'PlayerGrades+'!$AC$7,"B+",IF(H537&lt;'PlayerGrades+'!$AC$6,"A-",IF(H537&lt;'PlayerGrades+'!$AC$5,"A",IF(H537&lt;'PlayerGrades+'!$AC$4,"A+",IF(H537&lt;'PlayerGrades+'!$AC$3,"S-",IF(H537&lt;'PlayerGrades+'!$AC$2,"S","S+"))))))))))))))))))))</f>
        <v>S</v>
      </c>
      <c r="J537" s="937">
        <f t="shared" si="4"/>
        <v>0.1072386059</v>
      </c>
      <c r="K537" s="937" t="str">
        <f>IF(J537&lt;'PlayerGrades+'!$AD$21,"F-",IF(J537&lt;'PlayerGrades+'!$AD$20,"F",IF(J537&lt;'PlayerGrades+'!$AD$19,"F+",IF(J537&lt;'PlayerGrades+'!$AD$18,"E-",IF(J537&lt;'PlayerGrades+'!$AD$17,"E",IF(J537&lt;'PlayerGrades+'!$AD$16,"E+",IF(J537&lt;'PlayerGrades+'!$AD$15,"D-",IF(J537&lt;'PlayerGrades+'!$AD$14,"D",IF(J537&lt;'PlayerGrades+'!$AD$13,"D+",IF(J537&lt;'PlayerGrades+'!$AD$12,"C-",IF(J537&lt;'PlayerGrades+'!$AD$11,"C",IF(J537&lt;'PlayerGrades+'!$AD$10,"C+",IF(J537&lt;'PlayerGrades+'!$AD$9,"B-",IF(J537&lt;'PlayerGrades+'!$AD$8,"B",IF(J537&lt;'PlayerGrades+'!$AD$7,"B+",IF(J537&lt;'PlayerGrades+'!$AD$6,"A-",IF(J537&lt;'PlayerGrades+'!$AD$5,"A",IF(J537&lt;'PlayerGrades+'!$AD$4,"A+",IF(J537&lt;'PlayerGrades+'!$AD$3,"S-",IF(J537&lt;'PlayerGrades+'!$AD$2,"S","S+"))))))))))))))))))))</f>
        <v>S+</v>
      </c>
      <c r="L537" s="677">
        <f t="shared" si="5"/>
        <v>0.7506702413</v>
      </c>
      <c r="M537" s="938" t="str">
        <f>IF(L537&lt;'PlayerGrades+'!$AE$21,"F-",IF(L537&lt;'PlayerGrades+'!$AE$20,"F",IF(L537&lt;'PlayerGrades+'!$AE$19,"F+",IF(L537&lt;'PlayerGrades+'!$AE$18,"E-",IF(L537&lt;'PlayerGrades+'!$AE$17,"E",IF(L537&lt;'PlayerGrades+'!$AE$16,"E+",IF(L537&lt;'PlayerGrades+'!$AE$15,"D-",IF(L537&lt;'PlayerGrades+'!$AE$14,"D",IF(L537&lt;'PlayerGrades+'!$AE$13,"D+",IF(L537&lt;'PlayerGrades+'!$AE$12,"C-",IF(L537&lt;'PlayerGrades+'!$AE$11,"C",IF(L537&lt;'PlayerGrades+'!$AE$10,"C+",IF(L537&lt;'PlayerGrades+'!$AE$9,"B-",IF(L537&lt;'PlayerGrades+'!$AE$8,"B",IF(L537&lt;'PlayerGrades+'!$AE$7,"B+",IF(L537&lt;'PlayerGrades+'!$AE$6,"A-",IF(L537&lt;'PlayerGrades+'!$AE$5,"A",IF(L537&lt;'PlayerGrades+'!$AE$4,"A+",IF(L537&lt;'PlayerGrades+'!$AE$3,"S-",IF(L537&lt;'PlayerGrades+'!$AE$2,"S","S+"))))))))))))))))))))</f>
        <v>S+</v>
      </c>
      <c r="N537" s="937">
        <f t="shared" si="6"/>
        <v>0.2144772118</v>
      </c>
      <c r="O537" s="937" t="str">
        <f>IF(N537&lt;'PlayerGrades+'!$AF$21,"F-",IF(N537&lt;'PlayerGrades+'!$AF$20,"F",IF(N537&lt;'PlayerGrades+'!$AF$19,"F+",IF(N537&lt;'PlayerGrades+'!$AF$18,"E-",IF(N537&lt;'PlayerGrades+'!$AF$17,"E",IF(N537&lt;'PlayerGrades+'!$AF$16,"E+",IF(N537&lt;'PlayerGrades+'!$AF$15,"D-",IF(N537&lt;'PlayerGrades+'!$AF$14,"D",IF(N537&lt;'PlayerGrades+'!$AF$13,"D+",IF(N537&lt;'PlayerGrades+'!$AF$12,"C-",IF(N537&lt;'PlayerGrades+'!$AF$11,"C",IF(N537&lt;'PlayerGrades+'!$AF$10,"C+",IF(N537&lt;'PlayerGrades+'!$AF$9,"B-",IF(N537&lt;'PlayerGrades+'!$AF$8,"B",IF(N537&lt;'PlayerGrades+'!$AF$7,"B+",IF(N537&lt;'PlayerGrades+'!$AF$6,"A-",IF(N537&lt;'PlayerGrades+'!$AF$5,"A",IF(N537&lt;'PlayerGrades+'!$AF$4,"A+",IF(N537&lt;'PlayerGrades+'!$AF$3,"S-",IF(N537&lt;'PlayerGrades+'!$AF$2,"S","S+"))))))))))))))))))))</f>
        <v>S+</v>
      </c>
      <c r="P537" s="937">
        <f t="shared" si="7"/>
        <v>0.05361930295</v>
      </c>
      <c r="Q537" s="937" t="str">
        <f>IF(P537&lt;'PlayerGrades+'!$AG$21,"F-",IF(P537&lt;'PlayerGrades+'!$AG$20,"F",IF(P537&lt;'PlayerGrades+'!$AG$19,"F+",IF(P537&lt;'PlayerGrades+'!$AG$18,"E-",IF(P537&lt;'PlayerGrades+'!$AG$17,"E",IF(P537&lt;'PlayerGrades+'!$AG$16,"E+",IF(P537&lt;'PlayerGrades+'!$AG$15,"D-",IF(P537&lt;'PlayerGrades+'!$AG$14,"D",IF(P537&lt;'PlayerGrades+'!$AG$13,"D+",IF(P537&lt;'PlayerGrades+'!$AG$12,"C-",IF(P537&lt;'PlayerGrades+'!$AG$11,"C",IF(P537&lt;'PlayerGrades+'!$AG$10,"C+",IF(P537&lt;'PlayerGrades+'!$AG$9,"B-",IF(P537&lt;'PlayerGrades+'!$AG$8,"B",IF(P537&lt;'PlayerGrades+'!$AG$7,"B+",IF(P537&lt;'PlayerGrades+'!$AG$6,"A-",IF(P537&lt;'PlayerGrades+'!$AG$5,"A",IF(P537&lt;'PlayerGrades+'!$AG$4,"A+",IF(P537&lt;'PlayerGrades+'!$AG$3,"S-",IF(P537&lt;'PlayerGrades+'!$AG$2,"S","S+"))))))))))))))))))))</f>
        <v>A</v>
      </c>
      <c r="R537" s="937">
        <f t="shared" si="8"/>
        <v>0.5898123324</v>
      </c>
      <c r="S537" s="937" t="str">
        <f>IF(R537&lt;'PlayerGrades+'!$AH$21,"F-",IF(R537&lt;'PlayerGrades+'!$AH$20,"F",IF(R537&lt;'PlayerGrades+'!$AH$19,"F+",IF(R537&lt;'PlayerGrades+'!$AH$18,"E-",IF(R537&lt;'PlayerGrades+'!$AH$17,"E",IF(R537&lt;'PlayerGrades+'!$AH$16,"E+",IF(R537&lt;'PlayerGrades+'!$AH$15,"D-",IF(R537&lt;'PlayerGrades+'!$AH$14,"D",IF(R537&lt;'PlayerGrades+'!$AH$13,"D+",IF(R537&lt;'PlayerGrades+'!$AH$12,"C-",IF(R537&lt;'PlayerGrades+'!$AH$11,"C",IF(R537&lt;'PlayerGrades+'!$AH$10,"C+",IF(R537&lt;'PlayerGrades+'!$AH$9,"B-",IF(R537&lt;'PlayerGrades+'!$AH$8,"B",IF(R537&lt;'PlayerGrades+'!$AH$7,"B+",IF(R537&lt;'PlayerGrades+'!$AH$6,"A-",IF(R537&lt;'PlayerGrades+'!$AH$5,"A",IF(R537&lt;'PlayerGrades+'!$AH$4,"A+",IF(R537&lt;'PlayerGrades+'!$AH$3,"S-",IF(R537&lt;'PlayerGrades+'!$AH$2,"S","S+"))))))))))))))))))))</f>
        <v>B+</v>
      </c>
      <c r="T537" s="937">
        <f t="shared" si="9"/>
        <v>1.321715818</v>
      </c>
      <c r="U537" s="937" t="str">
        <f>IF(T537&lt;'PlayerGrades+'!$AI$21,"F-",IF(T537&lt;'PlayerGrades+'!$AI$20,"F",IF(T537&lt;'PlayerGrades+'!$AI$19,"F+",IF(T537&lt;'PlayerGrades+'!$AI$18,"E-",IF(T537&lt;'PlayerGrades+'!$AI$17,"E",IF(T537&lt;'PlayerGrades+'!$AI$16,"E+",IF(T537&lt;'PlayerGrades+'!$AI$15,"D-",IF(T537&lt;'PlayerGrades+'!$AI$14,"D",IF(T537&lt;'PlayerGrades+'!$AI$13,"D+",IF(T537&lt;'PlayerGrades+'!$AI$12,"C-",IF(T537&lt;'PlayerGrades+'!$AI$11,"C",IF(T537&lt;'PlayerGrades+'!$AI$10,"C+",IF(T537&lt;'PlayerGrades+'!$AI$9,"B-",IF(T537&lt;'PlayerGrades+'!$AI$8,"B",IF(T537&lt;'PlayerGrades+'!$AI$7,"B+",IF(T537&lt;'PlayerGrades+'!$AI$6,"A-",IF(T537&lt;'PlayerGrades+'!$AI$5,"A",IF(T537&lt;'PlayerGrades+'!$AI$4,"A+",IF(T537&lt;'PlayerGrades+'!$AI$3,"S-",IF(T537&lt;'PlayerGrades+'!$AI$2,"S","S+"))))))))))))))))))))</f>
        <v>C+</v>
      </c>
      <c r="V537" s="944">
        <v>1.0</v>
      </c>
      <c r="W537" s="944">
        <v>0.0</v>
      </c>
      <c r="X537" s="944">
        <v>1.0</v>
      </c>
      <c r="Y537" s="944">
        <v>0.0</v>
      </c>
      <c r="Z537" s="944">
        <v>3.0</v>
      </c>
      <c r="AA537" s="944">
        <v>86.0</v>
      </c>
      <c r="AB537" s="944">
        <v>92.0</v>
      </c>
      <c r="AC537" s="944">
        <v>-6.0</v>
      </c>
      <c r="AD537" s="944">
        <v>0.0</v>
      </c>
      <c r="AE537" s="944">
        <v>5.0</v>
      </c>
      <c r="AF537" s="944">
        <v>1.0</v>
      </c>
      <c r="AG537" s="944">
        <v>781.0</v>
      </c>
      <c r="AH537" s="944">
        <v>1119.0</v>
      </c>
      <c r="AI537" s="944">
        <v>8.0</v>
      </c>
      <c r="AJ537" s="944">
        <v>50.0</v>
      </c>
      <c r="AK537" s="944">
        <v>0.0</v>
      </c>
      <c r="AL537" s="944">
        <v>2.0</v>
      </c>
      <c r="AM537" s="944">
        <v>0.0</v>
      </c>
      <c r="AN537" s="944">
        <v>0.0</v>
      </c>
      <c r="AO537" s="944">
        <v>0.0</v>
      </c>
      <c r="AP537" s="944">
        <v>1.0</v>
      </c>
      <c r="AQ537" s="944">
        <v>0.0</v>
      </c>
      <c r="AR537" s="944">
        <v>14.0</v>
      </c>
      <c r="AS537" s="944">
        <v>4.0</v>
      </c>
      <c r="AT537" s="944">
        <v>1.0</v>
      </c>
      <c r="AU537" s="944">
        <v>1.0</v>
      </c>
      <c r="AV537" s="944">
        <v>0.0</v>
      </c>
      <c r="AW537" s="944">
        <v>0.0</v>
      </c>
      <c r="AX537" s="944">
        <v>0.0</v>
      </c>
      <c r="AY537" s="944">
        <v>0.0</v>
      </c>
      <c r="AZ537" s="944">
        <v>0.0</v>
      </c>
      <c r="BA537" s="944">
        <v>0.0</v>
      </c>
      <c r="BB537" s="944">
        <v>5.0</v>
      </c>
      <c r="BC537" s="944">
        <v>0.0</v>
      </c>
      <c r="BD537" s="944">
        <v>11.0</v>
      </c>
      <c r="BE537" s="944">
        <v>6.0</v>
      </c>
      <c r="BF537" s="944">
        <v>1.0</v>
      </c>
      <c r="BG537" s="945">
        <v>1.0</v>
      </c>
    </row>
    <row r="538">
      <c r="A538" s="1" t="s">
        <v>132</v>
      </c>
      <c r="B538" s="16" t="str">
        <f>IF(C538&lt;'PlayerGrades+'!$Y$44,"F-",IF(C538&lt;'PlayerGrades+'!$Y$43,"F",IF(C538&lt;'PlayerGrades+'!$Y$42,"F+",IF(C538&lt;'PlayerGrades+'!$Y$41,"E-",IF(C538&lt;'PlayerGrades+'!$Y$40,"E",IF(C538&lt;'PlayerGrades+'!$Y$39,"E+",IF(C538&lt;'PlayerGrades+'!$Y$38,"D-",IF(C538&lt;'PlayerGrades+'!$Y$37,"D",IF(C538&lt;'PlayerGrades+'!$Y$36,"D+",IF(C538&lt;'PlayerGrades+'!$Y$35,"C-",IF(C538&lt;'PlayerGrades+'!$Y$34,"C",IF(C538&lt;'PlayerGrades+'!$Y$33,"C+",IF(C538&lt;'PlayerGrades+'!$Y$32,"B-",IF(C538&lt;'PlayerGrades+'!$Y$31,"B",IF(C538&lt;'PlayerGrades+'!$Y$30,"B+",IF(C538&lt;'PlayerGrades+'!$Y$29,"A-",IF(C538&lt;'PlayerGrades+'!$Y$28,"A",IF(C538&lt;'PlayerGrades+'!$Y$27,"A+",IF(C538&lt;'PlayerGrades+'!$Y$26,"S-",IF(C538&lt;'PlayerGrades+'!$Y$25,"S","S+"))))))))))))))))))))</f>
        <v>A</v>
      </c>
      <c r="C538" s="936">
        <f>('PlayerGrades+'!$Y$47*(VLOOKUP(E538, 'PlayerGrades+'!$X$3:$Y$23, 2, FALSE)))+('PlayerGrades+'!$Y$48*(VLOOKUP(G538, 'PlayerGrades+'!$X$3:$Y$23, 2, FALSE)))+('PlayerGrades+'!$Y$49*(VLOOKUP(I538, 'PlayerGrades+'!$X$3:$Y$23, 2, FALSE)))+('PlayerGrades+'!$Y$50*(VLOOKUP(K538, 'PlayerGrades+'!$X$3:$Y$23, 2, FALSE)))+('PlayerGrades+'!$Y$51*(VLOOKUP(M538, 'PlayerGrades+'!$X$3:$Y$23, 2, FALSE)))+('PlayerGrades+'!$Y$52*(VLOOKUP(O538, 'PlayerGrades+'!$X$3:$Y$23, 2, FALSE)))+('PlayerGrades+'!$Y$53*(VLOOKUP(Q538, 'PlayerGrades+'!$X$3:$Y$23, 2, FALSE)))+('PlayerGrades+'!$Y$54*(VLOOKUP(S538, 'PlayerGrades+'!$X$3:$Y$23, 2, FALSE)))+('PlayerGrades+'!$Y$55*(VLOOKUP(U538, 'PlayerGrades+'!$X$3:$Y$23, 2, FALSE)))</f>
        <v>27.45</v>
      </c>
      <c r="D538" s="937">
        <f t="shared" si="1"/>
        <v>1.683029453</v>
      </c>
      <c r="E538" s="937" t="str">
        <f>IF(D538&lt;'PlayerGrades+'!$AA$21,"F-",IF(D538&lt;'PlayerGrades+'!$AA$20,"F",IF(D538&lt;'PlayerGrades+'!$AA$19,"F+",IF(D538&lt;'PlayerGrades+'!$AA$18,"E-",IF(D538&lt;'PlayerGrades+'!$AA$17,"E",IF(D538&lt;'PlayerGrades+'!$AA$16,"E+",IF(D538&lt;'PlayerGrades+'!$AA$15,"D-",IF(D538&lt;'PlayerGrades+'!$AA$14,"D",IF(D538&lt;'PlayerGrades+'!$AA$13,"D+",IF(D538&lt;'PlayerGrades+'!$AA$12,"C-",IF(D538&lt;'PlayerGrades+'!$AA$11,"C",IF(D538&lt;'PlayerGrades+'!$AA$10,"C+",IF(D538&lt;'PlayerGrades+'!$AA$9,"B-",IF(D538&lt;'PlayerGrades+'!$AA$8,"B",IF(D538&lt;'PlayerGrades+'!$AA$7,"B+",IF(D538&lt;'PlayerGrades+'!$AA$6,"A-",IF(D538&lt;'PlayerGrades+'!$AA$5,"A",IF(D538&lt;'PlayerGrades+'!$AA$4,"A+",IF(D538&lt;'PlayerGrades+'!$AA$3,"S-",IF(D538&lt;'PlayerGrades+'!$AA$2,"S","S+"))))))))))))))))))))</f>
        <v>S+</v>
      </c>
      <c r="F538" s="937">
        <f t="shared" si="2"/>
        <v>0.9256661992</v>
      </c>
      <c r="G538" s="937" t="str">
        <f>IF(F538&lt;'PlayerGrades+'!$AB$21,"F-",IF(F538&lt;'PlayerGrades+'!$AB$20,"F",IF(F538&lt;'PlayerGrades+'!$AB$19,"F+",IF(F538&lt;'PlayerGrades+'!$AB$18,"E-",IF(F538&lt;'PlayerGrades+'!$AB$17,"E",IF(F538&lt;'PlayerGrades+'!$AB$16,"E+",IF(F538&lt;'PlayerGrades+'!$AB$15,"D-",IF(F538&lt;'PlayerGrades+'!$AB$14,"D",IF(F538&lt;'PlayerGrades+'!$AB$13,"D+",IF(F538&lt;'PlayerGrades+'!$AB$12,"C-",IF(F538&lt;'PlayerGrades+'!$AB$11,"C",IF(F538&lt;'PlayerGrades+'!$AB$10,"C+",IF(F538&lt;'PlayerGrades+'!$AB$9,"B-",IF(F538&lt;'PlayerGrades+'!$AB$8,"B",IF(F538&lt;'PlayerGrades+'!$AB$7,"B+",IF(F538&lt;'PlayerGrades+'!$AB$6,"A-",IF(F538&lt;'PlayerGrades+'!$AB$5,"A",IF(F538&lt;'PlayerGrades+'!$AB$4,"A+",IF(F538&lt;'PlayerGrades+'!$AB$3,"S-",IF(F538&lt;'PlayerGrades+'!$AB$2,"S","S+"))))))))))))))))))))</f>
        <v>S</v>
      </c>
      <c r="H538" s="937">
        <f t="shared" si="3"/>
        <v>0.1683029453</v>
      </c>
      <c r="I538" s="937" t="str">
        <f>IF(H538&lt;'PlayerGrades+'!$AC$21,"F-",IF(H538&lt;'PlayerGrades+'!$AC$20,"F",IF(H538&lt;'PlayerGrades+'!$AC$19,"F+",IF(H538&lt;'PlayerGrades+'!$AC$18,"E-",IF(H538&lt;'PlayerGrades+'!$AC$17,"E",IF(H538&lt;'PlayerGrades+'!$AC$16,"E+",IF(H538&lt;'PlayerGrades+'!$AC$15,"D-",IF(H538&lt;'PlayerGrades+'!$AC$14,"D",IF(H538&lt;'PlayerGrades+'!$AC$13,"D+",IF(H538&lt;'PlayerGrades+'!$AC$12,"C-",IF(H538&lt;'PlayerGrades+'!$AC$11,"C",IF(H538&lt;'PlayerGrades+'!$AC$10,"C+",IF(H538&lt;'PlayerGrades+'!$AC$9,"B-",IF(H538&lt;'PlayerGrades+'!$AC$8,"B",IF(H538&lt;'PlayerGrades+'!$AC$7,"B+",IF(H538&lt;'PlayerGrades+'!$AC$6,"A-",IF(H538&lt;'PlayerGrades+'!$AC$5,"A",IF(H538&lt;'PlayerGrades+'!$AC$4,"A+",IF(H538&lt;'PlayerGrades+'!$AC$3,"S-",IF(H538&lt;'PlayerGrades+'!$AC$2,"S","S+"))))))))))))))))))))</f>
        <v>S-</v>
      </c>
      <c r="J538" s="937">
        <f t="shared" si="4"/>
        <v>0.252454418</v>
      </c>
      <c r="K538" s="937" t="str">
        <f>IF(J538&lt;'PlayerGrades+'!$AD$21,"F-",IF(J538&lt;'PlayerGrades+'!$AD$20,"F",IF(J538&lt;'PlayerGrades+'!$AD$19,"F+",IF(J538&lt;'PlayerGrades+'!$AD$18,"E-",IF(J538&lt;'PlayerGrades+'!$AD$17,"E",IF(J538&lt;'PlayerGrades+'!$AD$16,"E+",IF(J538&lt;'PlayerGrades+'!$AD$15,"D-",IF(J538&lt;'PlayerGrades+'!$AD$14,"D",IF(J538&lt;'PlayerGrades+'!$AD$13,"D+",IF(J538&lt;'PlayerGrades+'!$AD$12,"C-",IF(J538&lt;'PlayerGrades+'!$AD$11,"C",IF(J538&lt;'PlayerGrades+'!$AD$10,"C+",IF(J538&lt;'PlayerGrades+'!$AD$9,"B-",IF(J538&lt;'PlayerGrades+'!$AD$8,"B",IF(J538&lt;'PlayerGrades+'!$AD$7,"B+",IF(J538&lt;'PlayerGrades+'!$AD$6,"A-",IF(J538&lt;'PlayerGrades+'!$AD$5,"A",IF(J538&lt;'PlayerGrades+'!$AD$4,"A+",IF(J538&lt;'PlayerGrades+'!$AD$3,"S-",IF(J538&lt;'PlayerGrades+'!$AD$2,"S","S+"))))))))))))))))))))</f>
        <v>S+</v>
      </c>
      <c r="L538" s="677">
        <f t="shared" si="5"/>
        <v>0.1683029453</v>
      </c>
      <c r="M538" s="938" t="str">
        <f>IF(L538&lt;'PlayerGrades+'!$AE$21,"F-",IF(L538&lt;'PlayerGrades+'!$AE$20,"F",IF(L538&lt;'PlayerGrades+'!$AE$19,"F+",IF(L538&lt;'PlayerGrades+'!$AE$18,"E-",IF(L538&lt;'PlayerGrades+'!$AE$17,"E",IF(L538&lt;'PlayerGrades+'!$AE$16,"E+",IF(L538&lt;'PlayerGrades+'!$AE$15,"D-",IF(L538&lt;'PlayerGrades+'!$AE$14,"D",IF(L538&lt;'PlayerGrades+'!$AE$13,"D+",IF(L538&lt;'PlayerGrades+'!$AE$12,"C-",IF(L538&lt;'PlayerGrades+'!$AE$11,"C",IF(L538&lt;'PlayerGrades+'!$AE$10,"C+",IF(L538&lt;'PlayerGrades+'!$AE$9,"B-",IF(L538&lt;'PlayerGrades+'!$AE$8,"B",IF(L538&lt;'PlayerGrades+'!$AE$7,"B+",IF(L538&lt;'PlayerGrades+'!$AE$6,"A-",IF(L538&lt;'PlayerGrades+'!$AE$5,"A",IF(L538&lt;'PlayerGrades+'!$AE$4,"A+",IF(L538&lt;'PlayerGrades+'!$AE$3,"S-",IF(L538&lt;'PlayerGrades+'!$AE$2,"S","S+"))))))))))))))))))))</f>
        <v>F-</v>
      </c>
      <c r="N538" s="937">
        <f t="shared" si="6"/>
        <v>0.08415147265</v>
      </c>
      <c r="O538" s="937" t="str">
        <f>IF(N538&lt;'PlayerGrades+'!$AF$21,"F-",IF(N538&lt;'PlayerGrades+'!$AF$20,"F",IF(N538&lt;'PlayerGrades+'!$AF$19,"F+",IF(N538&lt;'PlayerGrades+'!$AF$18,"E-",IF(N538&lt;'PlayerGrades+'!$AF$17,"E",IF(N538&lt;'PlayerGrades+'!$AF$16,"E+",IF(N538&lt;'PlayerGrades+'!$AF$15,"D-",IF(N538&lt;'PlayerGrades+'!$AF$14,"D",IF(N538&lt;'PlayerGrades+'!$AF$13,"D+",IF(N538&lt;'PlayerGrades+'!$AF$12,"C-",IF(N538&lt;'PlayerGrades+'!$AF$11,"C",IF(N538&lt;'PlayerGrades+'!$AF$10,"C+",IF(N538&lt;'PlayerGrades+'!$AF$9,"B-",IF(N538&lt;'PlayerGrades+'!$AF$8,"B",IF(N538&lt;'PlayerGrades+'!$AF$7,"B+",IF(N538&lt;'PlayerGrades+'!$AF$6,"A-",IF(N538&lt;'PlayerGrades+'!$AF$5,"A",IF(N538&lt;'PlayerGrades+'!$AF$4,"A+",IF(N538&lt;'PlayerGrades+'!$AF$3,"S-",IF(N538&lt;'PlayerGrades+'!$AF$2,"S","S+"))))))))))))))))))))</f>
        <v>B</v>
      </c>
      <c r="P538" s="937">
        <f t="shared" si="7"/>
        <v>0</v>
      </c>
      <c r="Q538" s="937" t="str">
        <f>IF(P538&lt;'PlayerGrades+'!$AG$21,"F-",IF(P538&lt;'PlayerGrades+'!$AG$20,"F",IF(P538&lt;'PlayerGrades+'!$AG$19,"F+",IF(P538&lt;'PlayerGrades+'!$AG$18,"E-",IF(P538&lt;'PlayerGrades+'!$AG$17,"E",IF(P538&lt;'PlayerGrades+'!$AG$16,"E+",IF(P538&lt;'PlayerGrades+'!$AG$15,"D-",IF(P538&lt;'PlayerGrades+'!$AG$14,"D",IF(P538&lt;'PlayerGrades+'!$AG$13,"D+",IF(P538&lt;'PlayerGrades+'!$AG$12,"C-",IF(P538&lt;'PlayerGrades+'!$AG$11,"C",IF(P538&lt;'PlayerGrades+'!$AG$10,"C+",IF(P538&lt;'PlayerGrades+'!$AG$9,"B-",IF(P538&lt;'PlayerGrades+'!$AG$8,"B",IF(P538&lt;'PlayerGrades+'!$AG$7,"B+",IF(P538&lt;'PlayerGrades+'!$AG$6,"A-",IF(P538&lt;'PlayerGrades+'!$AG$5,"A",IF(P538&lt;'PlayerGrades+'!$AG$4,"A+",IF(P538&lt;'PlayerGrades+'!$AG$3,"S-",IF(P538&lt;'PlayerGrades+'!$AG$2,"S","S+"))))))))))))))))))))</f>
        <v>F</v>
      </c>
      <c r="R538" s="937">
        <f t="shared" si="8"/>
        <v>1.009817672</v>
      </c>
      <c r="S538" s="937" t="str">
        <f>IF(R538&lt;'PlayerGrades+'!$AH$21,"F-",IF(R538&lt;'PlayerGrades+'!$AH$20,"F",IF(R538&lt;'PlayerGrades+'!$AH$19,"F+",IF(R538&lt;'PlayerGrades+'!$AH$18,"E-",IF(R538&lt;'PlayerGrades+'!$AH$17,"E",IF(R538&lt;'PlayerGrades+'!$AH$16,"E+",IF(R538&lt;'PlayerGrades+'!$AH$15,"D-",IF(R538&lt;'PlayerGrades+'!$AH$14,"D",IF(R538&lt;'PlayerGrades+'!$AH$13,"D+",IF(R538&lt;'PlayerGrades+'!$AH$12,"C-",IF(R538&lt;'PlayerGrades+'!$AH$11,"C",IF(R538&lt;'PlayerGrades+'!$AH$10,"C+",IF(R538&lt;'PlayerGrades+'!$AH$9,"B-",IF(R538&lt;'PlayerGrades+'!$AH$8,"B",IF(R538&lt;'PlayerGrades+'!$AH$7,"B+",IF(R538&lt;'PlayerGrades+'!$AH$6,"A-",IF(R538&lt;'PlayerGrades+'!$AH$5,"A",IF(R538&lt;'PlayerGrades+'!$AH$4,"A+",IF(R538&lt;'PlayerGrades+'!$AH$3,"S-",IF(R538&lt;'PlayerGrades+'!$AH$2,"S","S+"))))))))))))))))))))</f>
        <v>S+</v>
      </c>
      <c r="T538" s="937">
        <f t="shared" si="9"/>
        <v>1.084151473</v>
      </c>
      <c r="U538" s="937" t="str">
        <f>IF(T538&lt;'PlayerGrades+'!$AI$21,"F-",IF(T538&lt;'PlayerGrades+'!$AI$20,"F",IF(T538&lt;'PlayerGrades+'!$AI$19,"F+",IF(T538&lt;'PlayerGrades+'!$AI$18,"E-",IF(T538&lt;'PlayerGrades+'!$AI$17,"E",IF(T538&lt;'PlayerGrades+'!$AI$16,"E+",IF(T538&lt;'PlayerGrades+'!$AI$15,"D-",IF(T538&lt;'PlayerGrades+'!$AI$14,"D",IF(T538&lt;'PlayerGrades+'!$AI$13,"D+",IF(T538&lt;'PlayerGrades+'!$AI$12,"C-",IF(T538&lt;'PlayerGrades+'!$AI$11,"C",IF(T538&lt;'PlayerGrades+'!$AI$10,"C+",IF(T538&lt;'PlayerGrades+'!$AI$9,"B-",IF(T538&lt;'PlayerGrades+'!$AI$8,"B",IF(T538&lt;'PlayerGrades+'!$AI$7,"B+",IF(T538&lt;'PlayerGrades+'!$AI$6,"A-",IF(T538&lt;'PlayerGrades+'!$AI$5,"A",IF(T538&lt;'PlayerGrades+'!$AI$4,"A+",IF(T538&lt;'PlayerGrades+'!$AI$3,"S-",IF(T538&lt;'PlayerGrades+'!$AI$2,"S","S+"))))))))))))))))))))</f>
        <v>D</v>
      </c>
      <c r="V538" s="941">
        <v>1.0</v>
      </c>
      <c r="W538" s="941">
        <v>1.0</v>
      </c>
      <c r="X538" s="941">
        <v>0.0</v>
      </c>
      <c r="Y538" s="941">
        <v>4.0</v>
      </c>
      <c r="Z538" s="941">
        <v>16.0</v>
      </c>
      <c r="AA538" s="941">
        <v>31.0</v>
      </c>
      <c r="AB538" s="941">
        <v>20.0</v>
      </c>
      <c r="AC538" s="941">
        <v>11.0</v>
      </c>
      <c r="AD538" s="941">
        <v>3.0</v>
      </c>
      <c r="AE538" s="941">
        <v>6.0</v>
      </c>
      <c r="AF538" s="941">
        <v>0.0</v>
      </c>
      <c r="AG538" s="941">
        <v>570.0</v>
      </c>
      <c r="AH538" s="941">
        <v>713.0</v>
      </c>
      <c r="AI538" s="941">
        <v>28.0</v>
      </c>
      <c r="AJ538" s="941">
        <v>387.0</v>
      </c>
      <c r="AK538" s="941">
        <v>0.0</v>
      </c>
      <c r="AL538" s="941">
        <v>3.0</v>
      </c>
      <c r="AM538" s="941">
        <v>0.0</v>
      </c>
      <c r="AN538" s="941">
        <v>0.0</v>
      </c>
      <c r="AO538" s="941">
        <v>0.0</v>
      </c>
      <c r="AP538" s="941">
        <v>0.0</v>
      </c>
      <c r="AQ538" s="941">
        <v>0.0</v>
      </c>
      <c r="AR538" s="941">
        <v>2.0</v>
      </c>
      <c r="AS538" s="941">
        <v>1.0</v>
      </c>
      <c r="AT538" s="941">
        <v>0.0</v>
      </c>
      <c r="AU538" s="941">
        <v>0.0</v>
      </c>
      <c r="AV538" s="941">
        <v>0.0</v>
      </c>
      <c r="AW538" s="941">
        <v>0.0</v>
      </c>
      <c r="AX538" s="941">
        <v>0.0</v>
      </c>
      <c r="AY538" s="941">
        <v>0.0</v>
      </c>
      <c r="AZ538" s="941">
        <v>0.0</v>
      </c>
      <c r="BA538" s="941">
        <v>0.0</v>
      </c>
      <c r="BB538" s="941">
        <v>2.0</v>
      </c>
      <c r="BC538" s="941">
        <v>0.0</v>
      </c>
      <c r="BD538" s="941">
        <v>9.0</v>
      </c>
      <c r="BE538" s="941">
        <v>1.0</v>
      </c>
      <c r="BF538" s="941">
        <v>1.0</v>
      </c>
      <c r="BG538" s="941">
        <v>1.0</v>
      </c>
    </row>
    <row r="539">
      <c r="A539" s="1" t="s">
        <v>136</v>
      </c>
      <c r="B539" s="16" t="str">
        <f>IF(C539&lt;'PlayerGrades+'!$Y$44,"F-",IF(C539&lt;'PlayerGrades+'!$Y$43,"F",IF(C539&lt;'PlayerGrades+'!$Y$42,"F+",IF(C539&lt;'PlayerGrades+'!$Y$41,"E-",IF(C539&lt;'PlayerGrades+'!$Y$40,"E",IF(C539&lt;'PlayerGrades+'!$Y$39,"E+",IF(C539&lt;'PlayerGrades+'!$Y$38,"D-",IF(C539&lt;'PlayerGrades+'!$Y$37,"D",IF(C539&lt;'PlayerGrades+'!$Y$36,"D+",IF(C539&lt;'PlayerGrades+'!$Y$35,"C-",IF(C539&lt;'PlayerGrades+'!$Y$34,"C",IF(C539&lt;'PlayerGrades+'!$Y$33,"C+",IF(C539&lt;'PlayerGrades+'!$Y$32,"B-",IF(C539&lt;'PlayerGrades+'!$Y$31,"B",IF(C539&lt;'PlayerGrades+'!$Y$30,"B+",IF(C539&lt;'PlayerGrades+'!$Y$29,"A-",IF(C539&lt;'PlayerGrades+'!$Y$28,"A",IF(C539&lt;'PlayerGrades+'!$Y$27,"A+",IF(C539&lt;'PlayerGrades+'!$Y$26,"S-",IF(C539&lt;'PlayerGrades+'!$Y$25,"S","S+"))))))))))))))))))))</f>
        <v>S+</v>
      </c>
      <c r="C539" s="936">
        <f>('PlayerGrades+'!$Y$47*(VLOOKUP(E539, 'PlayerGrades+'!$X$3:$Y$23, 2, FALSE)))+('PlayerGrades+'!$Y$48*(VLOOKUP(G539, 'PlayerGrades+'!$X$3:$Y$23, 2, FALSE)))+('PlayerGrades+'!$Y$49*(VLOOKUP(I539, 'PlayerGrades+'!$X$3:$Y$23, 2, FALSE)))+('PlayerGrades+'!$Y$50*(VLOOKUP(K539, 'PlayerGrades+'!$X$3:$Y$23, 2, FALSE)))+('PlayerGrades+'!$Y$51*(VLOOKUP(M539, 'PlayerGrades+'!$X$3:$Y$23, 2, FALSE)))+('PlayerGrades+'!$Y$52*(VLOOKUP(O539, 'PlayerGrades+'!$X$3:$Y$23, 2, FALSE)))+('PlayerGrades+'!$Y$53*(VLOOKUP(Q539, 'PlayerGrades+'!$X$3:$Y$23, 2, FALSE)))+('PlayerGrades+'!$Y$54*(VLOOKUP(S539, 'PlayerGrades+'!$X$3:$Y$23, 2, FALSE)))+('PlayerGrades+'!$Y$55*(VLOOKUP(U539, 'PlayerGrades+'!$X$3:$Y$23, 2, FALSE)))</f>
        <v>34.4</v>
      </c>
      <c r="D539" s="937">
        <f t="shared" si="1"/>
        <v>0.08415147265</v>
      </c>
      <c r="E539" s="937" t="str">
        <f>IF(D539&lt;'PlayerGrades+'!$AA$21,"F-",IF(D539&lt;'PlayerGrades+'!$AA$20,"F",IF(D539&lt;'PlayerGrades+'!$AA$19,"F+",IF(D539&lt;'PlayerGrades+'!$AA$18,"E-",IF(D539&lt;'PlayerGrades+'!$AA$17,"E",IF(D539&lt;'PlayerGrades+'!$AA$16,"E+",IF(D539&lt;'PlayerGrades+'!$AA$15,"D-",IF(D539&lt;'PlayerGrades+'!$AA$14,"D",IF(D539&lt;'PlayerGrades+'!$AA$13,"D+",IF(D539&lt;'PlayerGrades+'!$AA$12,"C-",IF(D539&lt;'PlayerGrades+'!$AA$11,"C",IF(D539&lt;'PlayerGrades+'!$AA$10,"C+",IF(D539&lt;'PlayerGrades+'!$AA$9,"B-",IF(D539&lt;'PlayerGrades+'!$AA$8,"B",IF(D539&lt;'PlayerGrades+'!$AA$7,"B+",IF(D539&lt;'PlayerGrades+'!$AA$6,"A-",IF(D539&lt;'PlayerGrades+'!$AA$5,"A",IF(D539&lt;'PlayerGrades+'!$AA$4,"A+",IF(D539&lt;'PlayerGrades+'!$AA$3,"S-",IF(D539&lt;'PlayerGrades+'!$AA$2,"S","S+"))))))))))))))))))))</f>
        <v>B</v>
      </c>
      <c r="F539" s="937">
        <f t="shared" si="2"/>
        <v>0.4207573633</v>
      </c>
      <c r="G539" s="937" t="str">
        <f>IF(F539&lt;'PlayerGrades+'!$AB$21,"F-",IF(F539&lt;'PlayerGrades+'!$AB$20,"F",IF(F539&lt;'PlayerGrades+'!$AB$19,"F+",IF(F539&lt;'PlayerGrades+'!$AB$18,"E-",IF(F539&lt;'PlayerGrades+'!$AB$17,"E",IF(F539&lt;'PlayerGrades+'!$AB$16,"E+",IF(F539&lt;'PlayerGrades+'!$AB$15,"D-",IF(F539&lt;'PlayerGrades+'!$AB$14,"D",IF(F539&lt;'PlayerGrades+'!$AB$13,"D+",IF(F539&lt;'PlayerGrades+'!$AB$12,"C-",IF(F539&lt;'PlayerGrades+'!$AB$11,"C",IF(F539&lt;'PlayerGrades+'!$AB$10,"C+",IF(F539&lt;'PlayerGrades+'!$AB$9,"B-",IF(F539&lt;'PlayerGrades+'!$AB$8,"B",IF(F539&lt;'PlayerGrades+'!$AB$7,"B+",IF(F539&lt;'PlayerGrades+'!$AB$6,"A-",IF(F539&lt;'PlayerGrades+'!$AB$5,"A",IF(F539&lt;'PlayerGrades+'!$AB$4,"A+",IF(F539&lt;'PlayerGrades+'!$AB$3,"S-",IF(F539&lt;'PlayerGrades+'!$AB$2,"S","S+"))))))))))))))))))))</f>
        <v>A</v>
      </c>
      <c r="H539" s="937">
        <f t="shared" si="3"/>
        <v>0.3366058906</v>
      </c>
      <c r="I539" s="937" t="str">
        <f>IF(H539&lt;'PlayerGrades+'!$AC$21,"F-",IF(H539&lt;'PlayerGrades+'!$AC$20,"F",IF(H539&lt;'PlayerGrades+'!$AC$19,"F+",IF(H539&lt;'PlayerGrades+'!$AC$18,"E-",IF(H539&lt;'PlayerGrades+'!$AC$17,"E",IF(H539&lt;'PlayerGrades+'!$AC$16,"E+",IF(H539&lt;'PlayerGrades+'!$AC$15,"D-",IF(H539&lt;'PlayerGrades+'!$AC$14,"D",IF(H539&lt;'PlayerGrades+'!$AC$13,"D+",IF(H539&lt;'PlayerGrades+'!$AC$12,"C-",IF(H539&lt;'PlayerGrades+'!$AC$11,"C",IF(H539&lt;'PlayerGrades+'!$AC$10,"C+",IF(H539&lt;'PlayerGrades+'!$AC$9,"B-",IF(H539&lt;'PlayerGrades+'!$AC$8,"B",IF(H539&lt;'PlayerGrades+'!$AC$7,"B+",IF(H539&lt;'PlayerGrades+'!$AC$6,"A-",IF(H539&lt;'PlayerGrades+'!$AC$5,"A",IF(H539&lt;'PlayerGrades+'!$AC$4,"A+",IF(H539&lt;'PlayerGrades+'!$AC$3,"S-",IF(H539&lt;'PlayerGrades+'!$AC$2,"S","S+"))))))))))))))))))))</f>
        <v>S+</v>
      </c>
      <c r="J539" s="937">
        <f t="shared" si="4"/>
        <v>0.1683029453</v>
      </c>
      <c r="K539" s="937" t="str">
        <f>IF(J539&lt;'PlayerGrades+'!$AD$21,"F-",IF(J539&lt;'PlayerGrades+'!$AD$20,"F",IF(J539&lt;'PlayerGrades+'!$AD$19,"F+",IF(J539&lt;'PlayerGrades+'!$AD$18,"E-",IF(J539&lt;'PlayerGrades+'!$AD$17,"E",IF(J539&lt;'PlayerGrades+'!$AD$16,"E+",IF(J539&lt;'PlayerGrades+'!$AD$15,"D-",IF(J539&lt;'PlayerGrades+'!$AD$14,"D",IF(J539&lt;'PlayerGrades+'!$AD$13,"D+",IF(J539&lt;'PlayerGrades+'!$AD$12,"C-",IF(J539&lt;'PlayerGrades+'!$AD$11,"C",IF(J539&lt;'PlayerGrades+'!$AD$10,"C+",IF(J539&lt;'PlayerGrades+'!$AD$9,"B-",IF(J539&lt;'PlayerGrades+'!$AD$8,"B",IF(J539&lt;'PlayerGrades+'!$AD$7,"B+",IF(J539&lt;'PlayerGrades+'!$AD$6,"A-",IF(J539&lt;'PlayerGrades+'!$AD$5,"A",IF(J539&lt;'PlayerGrades+'!$AD$4,"A+",IF(J539&lt;'PlayerGrades+'!$AD$3,"S-",IF(J539&lt;'PlayerGrades+'!$AD$2,"S","S+"))))))))))))))))))))</f>
        <v>S+</v>
      </c>
      <c r="L539" s="677">
        <f t="shared" si="5"/>
        <v>1.009817672</v>
      </c>
      <c r="M539" s="938" t="str">
        <f>IF(L539&lt;'PlayerGrades+'!$AE$21,"F-",IF(L539&lt;'PlayerGrades+'!$AE$20,"F",IF(L539&lt;'PlayerGrades+'!$AE$19,"F+",IF(L539&lt;'PlayerGrades+'!$AE$18,"E-",IF(L539&lt;'PlayerGrades+'!$AE$17,"E",IF(L539&lt;'PlayerGrades+'!$AE$16,"E+",IF(L539&lt;'PlayerGrades+'!$AE$15,"D-",IF(L539&lt;'PlayerGrades+'!$AE$14,"D",IF(L539&lt;'PlayerGrades+'!$AE$13,"D+",IF(L539&lt;'PlayerGrades+'!$AE$12,"C-",IF(L539&lt;'PlayerGrades+'!$AE$11,"C",IF(L539&lt;'PlayerGrades+'!$AE$10,"C+",IF(L539&lt;'PlayerGrades+'!$AE$9,"B-",IF(L539&lt;'PlayerGrades+'!$AE$8,"B",IF(L539&lt;'PlayerGrades+'!$AE$7,"B+",IF(L539&lt;'PlayerGrades+'!$AE$6,"A-",IF(L539&lt;'PlayerGrades+'!$AE$5,"A",IF(L539&lt;'PlayerGrades+'!$AE$4,"A+",IF(L539&lt;'PlayerGrades+'!$AE$3,"S-",IF(L539&lt;'PlayerGrades+'!$AE$2,"S","S+"))))))))))))))))))))</f>
        <v>S+</v>
      </c>
      <c r="N539" s="937">
        <f t="shared" si="6"/>
        <v>0.3366058906</v>
      </c>
      <c r="O539" s="937" t="str">
        <f>IF(N539&lt;'PlayerGrades+'!$AF$21,"F-",IF(N539&lt;'PlayerGrades+'!$AF$20,"F",IF(N539&lt;'PlayerGrades+'!$AF$19,"F+",IF(N539&lt;'PlayerGrades+'!$AF$18,"E-",IF(N539&lt;'PlayerGrades+'!$AF$17,"E",IF(N539&lt;'PlayerGrades+'!$AF$16,"E+",IF(N539&lt;'PlayerGrades+'!$AF$15,"D-",IF(N539&lt;'PlayerGrades+'!$AF$14,"D",IF(N539&lt;'PlayerGrades+'!$AF$13,"D+",IF(N539&lt;'PlayerGrades+'!$AF$12,"C-",IF(N539&lt;'PlayerGrades+'!$AF$11,"C",IF(N539&lt;'PlayerGrades+'!$AF$10,"C+",IF(N539&lt;'PlayerGrades+'!$AF$9,"B-",IF(N539&lt;'PlayerGrades+'!$AF$8,"B",IF(N539&lt;'PlayerGrades+'!$AF$7,"B+",IF(N539&lt;'PlayerGrades+'!$AF$6,"A-",IF(N539&lt;'PlayerGrades+'!$AF$5,"A",IF(N539&lt;'PlayerGrades+'!$AF$4,"A+",IF(N539&lt;'PlayerGrades+'!$AF$3,"S-",IF(N539&lt;'PlayerGrades+'!$AF$2,"S","S+"))))))))))))))))))))</f>
        <v>S+</v>
      </c>
      <c r="P539" s="937">
        <f t="shared" si="7"/>
        <v>0.1683029453</v>
      </c>
      <c r="Q539" s="937" t="str">
        <f>IF(P539&lt;'PlayerGrades+'!$AG$21,"F-",IF(P539&lt;'PlayerGrades+'!$AG$20,"F",IF(P539&lt;'PlayerGrades+'!$AG$19,"F+",IF(P539&lt;'PlayerGrades+'!$AG$18,"E-",IF(P539&lt;'PlayerGrades+'!$AG$17,"E",IF(P539&lt;'PlayerGrades+'!$AG$16,"E+",IF(P539&lt;'PlayerGrades+'!$AG$15,"D-",IF(P539&lt;'PlayerGrades+'!$AG$14,"D",IF(P539&lt;'PlayerGrades+'!$AG$13,"D+",IF(P539&lt;'PlayerGrades+'!$AG$12,"C-",IF(P539&lt;'PlayerGrades+'!$AG$11,"C",IF(P539&lt;'PlayerGrades+'!$AG$10,"C+",IF(P539&lt;'PlayerGrades+'!$AG$9,"B-",IF(P539&lt;'PlayerGrades+'!$AG$8,"B",IF(P539&lt;'PlayerGrades+'!$AG$7,"B+",IF(P539&lt;'PlayerGrades+'!$AG$6,"A-",IF(P539&lt;'PlayerGrades+'!$AG$5,"A",IF(P539&lt;'PlayerGrades+'!$AG$4,"A+",IF(P539&lt;'PlayerGrades+'!$AG$3,"S-",IF(P539&lt;'PlayerGrades+'!$AG$2,"S","S+"))))))))))))))))))))</f>
        <v>S+</v>
      </c>
      <c r="R539" s="937">
        <f t="shared" si="8"/>
        <v>0.9256661992</v>
      </c>
      <c r="S539" s="937" t="str">
        <f>IF(R539&lt;'PlayerGrades+'!$AH$21,"F-",IF(R539&lt;'PlayerGrades+'!$AH$20,"F",IF(R539&lt;'PlayerGrades+'!$AH$19,"F+",IF(R539&lt;'PlayerGrades+'!$AH$18,"E-",IF(R539&lt;'PlayerGrades+'!$AH$17,"E",IF(R539&lt;'PlayerGrades+'!$AH$16,"E+",IF(R539&lt;'PlayerGrades+'!$AH$15,"D-",IF(R539&lt;'PlayerGrades+'!$AH$14,"D",IF(R539&lt;'PlayerGrades+'!$AH$13,"D+",IF(R539&lt;'PlayerGrades+'!$AH$12,"C-",IF(R539&lt;'PlayerGrades+'!$AH$11,"C",IF(R539&lt;'PlayerGrades+'!$AH$10,"C+",IF(R539&lt;'PlayerGrades+'!$AH$9,"B-",IF(R539&lt;'PlayerGrades+'!$AH$8,"B",IF(R539&lt;'PlayerGrades+'!$AH$7,"B+",IF(R539&lt;'PlayerGrades+'!$AH$6,"A-",IF(R539&lt;'PlayerGrades+'!$AH$5,"A",IF(R539&lt;'PlayerGrades+'!$AH$4,"A+",IF(R539&lt;'PlayerGrades+'!$AH$3,"S-",IF(R539&lt;'PlayerGrades+'!$AH$2,"S","S+"))))))))))))))))))))</f>
        <v>S+</v>
      </c>
      <c r="T539" s="937">
        <f t="shared" si="9"/>
        <v>1.420757363</v>
      </c>
      <c r="U539" s="937" t="str">
        <f>IF(T539&lt;'PlayerGrades+'!$AI$21,"F-",IF(T539&lt;'PlayerGrades+'!$AI$20,"F",IF(T539&lt;'PlayerGrades+'!$AI$19,"F+",IF(T539&lt;'PlayerGrades+'!$AI$18,"E-",IF(T539&lt;'PlayerGrades+'!$AI$17,"E",IF(T539&lt;'PlayerGrades+'!$AI$16,"E+",IF(T539&lt;'PlayerGrades+'!$AI$15,"D-",IF(T539&lt;'PlayerGrades+'!$AI$14,"D",IF(T539&lt;'PlayerGrades+'!$AI$13,"D+",IF(T539&lt;'PlayerGrades+'!$AI$12,"C-",IF(T539&lt;'PlayerGrades+'!$AI$11,"C",IF(T539&lt;'PlayerGrades+'!$AI$10,"C+",IF(T539&lt;'PlayerGrades+'!$AI$9,"B-",IF(T539&lt;'PlayerGrades+'!$AI$8,"B",IF(T539&lt;'PlayerGrades+'!$AI$7,"B+",IF(T539&lt;'PlayerGrades+'!$AI$6,"A-",IF(T539&lt;'PlayerGrades+'!$AI$5,"A",IF(T539&lt;'PlayerGrades+'!$AI$4,"A+",IF(T539&lt;'PlayerGrades+'!$AI$3,"S-",IF(T539&lt;'PlayerGrades+'!$AI$2,"S","S+"))))))))))))))))))))</f>
        <v>B+</v>
      </c>
      <c r="V539" s="941">
        <v>1.0</v>
      </c>
      <c r="W539" s="941">
        <v>1.0</v>
      </c>
      <c r="X539" s="941">
        <v>0.0</v>
      </c>
      <c r="Y539" s="941">
        <v>1.0</v>
      </c>
      <c r="Z539" s="941">
        <v>0.0</v>
      </c>
      <c r="AA539" s="941">
        <v>56.0</v>
      </c>
      <c r="AB539" s="941">
        <v>51.0</v>
      </c>
      <c r="AC539" s="941">
        <v>5.0</v>
      </c>
      <c r="AD539" s="941">
        <v>5.0</v>
      </c>
      <c r="AE539" s="941">
        <v>5.0</v>
      </c>
      <c r="AF539" s="941">
        <v>1.0</v>
      </c>
      <c r="AG539" s="941">
        <v>480.0</v>
      </c>
      <c r="AH539" s="941">
        <v>713.0</v>
      </c>
      <c r="AI539" s="941">
        <v>9.0</v>
      </c>
      <c r="AJ539" s="941">
        <v>3.0</v>
      </c>
      <c r="AK539" s="941">
        <v>0.0</v>
      </c>
      <c r="AL539" s="941">
        <v>2.0</v>
      </c>
      <c r="AM539" s="941">
        <v>0.0</v>
      </c>
      <c r="AN539" s="941">
        <v>0.0</v>
      </c>
      <c r="AO539" s="941">
        <v>0.0</v>
      </c>
      <c r="AP539" s="941">
        <v>2.0</v>
      </c>
      <c r="AQ539" s="941">
        <v>0.0</v>
      </c>
      <c r="AR539" s="941">
        <v>12.0</v>
      </c>
      <c r="AS539" s="941">
        <v>4.0</v>
      </c>
      <c r="AT539" s="941">
        <v>1.0</v>
      </c>
      <c r="AU539" s="941">
        <v>0.0</v>
      </c>
      <c r="AV539" s="941">
        <v>0.0</v>
      </c>
      <c r="AW539" s="941">
        <v>0.0</v>
      </c>
      <c r="AX539" s="941">
        <v>0.0</v>
      </c>
      <c r="AY539" s="941">
        <v>0.0</v>
      </c>
      <c r="AZ539" s="941">
        <v>0.0</v>
      </c>
      <c r="BA539" s="941">
        <v>0.0</v>
      </c>
      <c r="BB539" s="941">
        <v>4.0</v>
      </c>
      <c r="BC539" s="941">
        <v>0.0</v>
      </c>
      <c r="BD539" s="941">
        <v>6.0</v>
      </c>
      <c r="BE539" s="941">
        <v>5.0</v>
      </c>
      <c r="BF539" s="941">
        <v>1.0</v>
      </c>
      <c r="BG539" s="941">
        <v>1.0</v>
      </c>
    </row>
    <row r="540">
      <c r="A540" s="1" t="s">
        <v>114</v>
      </c>
      <c r="B540" s="16" t="str">
        <f>IF(C540&lt;'PlayerGrades+'!$Y$44,"F-",IF(C540&lt;'PlayerGrades+'!$Y$43,"F",IF(C540&lt;'PlayerGrades+'!$Y$42,"F+",IF(C540&lt;'PlayerGrades+'!$Y$41,"E-",IF(C540&lt;'PlayerGrades+'!$Y$40,"E",IF(C540&lt;'PlayerGrades+'!$Y$39,"E+",IF(C540&lt;'PlayerGrades+'!$Y$38,"D-",IF(C540&lt;'PlayerGrades+'!$Y$37,"D",IF(C540&lt;'PlayerGrades+'!$Y$36,"D+",IF(C540&lt;'PlayerGrades+'!$Y$35,"C-",IF(C540&lt;'PlayerGrades+'!$Y$34,"C",IF(C540&lt;'PlayerGrades+'!$Y$33,"C+",IF(C540&lt;'PlayerGrades+'!$Y$32,"B-",IF(C540&lt;'PlayerGrades+'!$Y$31,"B",IF(C540&lt;'PlayerGrades+'!$Y$30,"B+",IF(C540&lt;'PlayerGrades+'!$Y$29,"A-",IF(C540&lt;'PlayerGrades+'!$Y$28,"A",IF(C540&lt;'PlayerGrades+'!$Y$27,"A+",IF(C540&lt;'PlayerGrades+'!$Y$26,"S-",IF(C540&lt;'PlayerGrades+'!$Y$25,"S","S+"))))))))))))))))))))</f>
        <v>A</v>
      </c>
      <c r="C540" s="936">
        <f>('PlayerGrades+'!$Y$47*(VLOOKUP(E540, 'PlayerGrades+'!$X$3:$Y$23, 2, FALSE)))+('PlayerGrades+'!$Y$48*(VLOOKUP(G540, 'PlayerGrades+'!$X$3:$Y$23, 2, FALSE)))+('PlayerGrades+'!$Y$49*(VLOOKUP(I540, 'PlayerGrades+'!$X$3:$Y$23, 2, FALSE)))+('PlayerGrades+'!$Y$50*(VLOOKUP(K540, 'PlayerGrades+'!$X$3:$Y$23, 2, FALSE)))+('PlayerGrades+'!$Y$51*(VLOOKUP(M540, 'PlayerGrades+'!$X$3:$Y$23, 2, FALSE)))+('PlayerGrades+'!$Y$52*(VLOOKUP(O540, 'PlayerGrades+'!$X$3:$Y$23, 2, FALSE)))+('PlayerGrades+'!$Y$53*(VLOOKUP(Q540, 'PlayerGrades+'!$X$3:$Y$23, 2, FALSE)))+('PlayerGrades+'!$Y$54*(VLOOKUP(S540, 'PlayerGrades+'!$X$3:$Y$23, 2, FALSE)))+('PlayerGrades+'!$Y$55*(VLOOKUP(U540, 'PlayerGrades+'!$X$3:$Y$23, 2, FALSE)))</f>
        <v>27.9</v>
      </c>
      <c r="D540" s="937">
        <f t="shared" si="1"/>
        <v>0</v>
      </c>
      <c r="E540" s="937" t="str">
        <f>IF(D540&lt;'PlayerGrades+'!$AA$21,"F-",IF(D540&lt;'PlayerGrades+'!$AA$20,"F",IF(D540&lt;'PlayerGrades+'!$AA$19,"F+",IF(D540&lt;'PlayerGrades+'!$AA$18,"E-",IF(D540&lt;'PlayerGrades+'!$AA$17,"E",IF(D540&lt;'PlayerGrades+'!$AA$16,"E+",IF(D540&lt;'PlayerGrades+'!$AA$15,"D-",IF(D540&lt;'PlayerGrades+'!$AA$14,"D",IF(D540&lt;'PlayerGrades+'!$AA$13,"D+",IF(D540&lt;'PlayerGrades+'!$AA$12,"C-",IF(D540&lt;'PlayerGrades+'!$AA$11,"C",IF(D540&lt;'PlayerGrades+'!$AA$10,"C+",IF(D540&lt;'PlayerGrades+'!$AA$9,"B-",IF(D540&lt;'PlayerGrades+'!$AA$8,"B",IF(D540&lt;'PlayerGrades+'!$AA$7,"B+",IF(D540&lt;'PlayerGrades+'!$AA$6,"A-",IF(D540&lt;'PlayerGrades+'!$AA$5,"A",IF(D540&lt;'PlayerGrades+'!$AA$4,"A+",IF(D540&lt;'PlayerGrades+'!$AA$3,"S-",IF(D540&lt;'PlayerGrades+'!$AA$2,"S","S+"))))))))))))))))))))</f>
        <v>F-</v>
      </c>
      <c r="F540" s="937">
        <f t="shared" si="2"/>
        <v>1.009817672</v>
      </c>
      <c r="G540" s="937" t="str">
        <f>IF(F540&lt;'PlayerGrades+'!$AB$21,"F-",IF(F540&lt;'PlayerGrades+'!$AB$20,"F",IF(F540&lt;'PlayerGrades+'!$AB$19,"F+",IF(F540&lt;'PlayerGrades+'!$AB$18,"E-",IF(F540&lt;'PlayerGrades+'!$AB$17,"E",IF(F540&lt;'PlayerGrades+'!$AB$16,"E+",IF(F540&lt;'PlayerGrades+'!$AB$15,"D-",IF(F540&lt;'PlayerGrades+'!$AB$14,"D",IF(F540&lt;'PlayerGrades+'!$AB$13,"D+",IF(F540&lt;'PlayerGrades+'!$AB$12,"C-",IF(F540&lt;'PlayerGrades+'!$AB$11,"C",IF(F540&lt;'PlayerGrades+'!$AB$10,"C+",IF(F540&lt;'PlayerGrades+'!$AB$9,"B-",IF(F540&lt;'PlayerGrades+'!$AB$8,"B",IF(F540&lt;'PlayerGrades+'!$AB$7,"B+",IF(F540&lt;'PlayerGrades+'!$AB$6,"A-",IF(F540&lt;'PlayerGrades+'!$AB$5,"A",IF(F540&lt;'PlayerGrades+'!$AB$4,"A+",IF(F540&lt;'PlayerGrades+'!$AB$3,"S-",IF(F540&lt;'PlayerGrades+'!$AB$2,"S","S+"))))))))))))))))))))</f>
        <v>S+</v>
      </c>
      <c r="H540" s="937">
        <f t="shared" si="3"/>
        <v>0.08415147265</v>
      </c>
      <c r="I540" s="937" t="str">
        <f>IF(H540&lt;'PlayerGrades+'!$AC$21,"F-",IF(H540&lt;'PlayerGrades+'!$AC$20,"F",IF(H540&lt;'PlayerGrades+'!$AC$19,"F+",IF(H540&lt;'PlayerGrades+'!$AC$18,"E-",IF(H540&lt;'PlayerGrades+'!$AC$17,"E",IF(H540&lt;'PlayerGrades+'!$AC$16,"E+",IF(H540&lt;'PlayerGrades+'!$AC$15,"D-",IF(H540&lt;'PlayerGrades+'!$AC$14,"D",IF(H540&lt;'PlayerGrades+'!$AC$13,"D+",IF(H540&lt;'PlayerGrades+'!$AC$12,"C-",IF(H540&lt;'PlayerGrades+'!$AC$11,"C",IF(H540&lt;'PlayerGrades+'!$AC$10,"C+",IF(H540&lt;'PlayerGrades+'!$AC$9,"B-",IF(H540&lt;'PlayerGrades+'!$AC$8,"B",IF(H540&lt;'PlayerGrades+'!$AC$7,"B+",IF(H540&lt;'PlayerGrades+'!$AC$6,"A-",IF(H540&lt;'PlayerGrades+'!$AC$5,"A",IF(H540&lt;'PlayerGrades+'!$AC$4,"A+",IF(H540&lt;'PlayerGrades+'!$AC$3,"S-",IF(H540&lt;'PlayerGrades+'!$AC$2,"S","S+"))))))))))))))))))))</f>
        <v>D-</v>
      </c>
      <c r="J540" s="937">
        <f t="shared" si="4"/>
        <v>0.1683029453</v>
      </c>
      <c r="K540" s="937" t="str">
        <f>IF(J540&lt;'PlayerGrades+'!$AD$21,"F-",IF(J540&lt;'PlayerGrades+'!$AD$20,"F",IF(J540&lt;'PlayerGrades+'!$AD$19,"F+",IF(J540&lt;'PlayerGrades+'!$AD$18,"E-",IF(J540&lt;'PlayerGrades+'!$AD$17,"E",IF(J540&lt;'PlayerGrades+'!$AD$16,"E+",IF(J540&lt;'PlayerGrades+'!$AD$15,"D-",IF(J540&lt;'PlayerGrades+'!$AD$14,"D",IF(J540&lt;'PlayerGrades+'!$AD$13,"D+",IF(J540&lt;'PlayerGrades+'!$AD$12,"C-",IF(J540&lt;'PlayerGrades+'!$AD$11,"C",IF(J540&lt;'PlayerGrades+'!$AD$10,"C+",IF(J540&lt;'PlayerGrades+'!$AD$9,"B-",IF(J540&lt;'PlayerGrades+'!$AD$8,"B",IF(J540&lt;'PlayerGrades+'!$AD$7,"B+",IF(J540&lt;'PlayerGrades+'!$AD$6,"A-",IF(J540&lt;'PlayerGrades+'!$AD$5,"A",IF(J540&lt;'PlayerGrades+'!$AD$4,"A+",IF(J540&lt;'PlayerGrades+'!$AD$3,"S-",IF(J540&lt;'PlayerGrades+'!$AD$2,"S","S+"))))))))))))))))))))</f>
        <v>S+</v>
      </c>
      <c r="L540" s="677">
        <f t="shared" si="5"/>
        <v>0.7573632539</v>
      </c>
      <c r="M540" s="938" t="str">
        <f>IF(L540&lt;'PlayerGrades+'!$AE$21,"F-",IF(L540&lt;'PlayerGrades+'!$AE$20,"F",IF(L540&lt;'PlayerGrades+'!$AE$19,"F+",IF(L540&lt;'PlayerGrades+'!$AE$18,"E-",IF(L540&lt;'PlayerGrades+'!$AE$17,"E",IF(L540&lt;'PlayerGrades+'!$AE$16,"E+",IF(L540&lt;'PlayerGrades+'!$AE$15,"D-",IF(L540&lt;'PlayerGrades+'!$AE$14,"D",IF(L540&lt;'PlayerGrades+'!$AE$13,"D+",IF(L540&lt;'PlayerGrades+'!$AE$12,"C-",IF(L540&lt;'PlayerGrades+'!$AE$11,"C",IF(L540&lt;'PlayerGrades+'!$AE$10,"C+",IF(L540&lt;'PlayerGrades+'!$AE$9,"B-",IF(L540&lt;'PlayerGrades+'!$AE$8,"B",IF(L540&lt;'PlayerGrades+'!$AE$7,"B+",IF(L540&lt;'PlayerGrades+'!$AE$6,"A-",IF(L540&lt;'PlayerGrades+'!$AE$5,"A",IF(L540&lt;'PlayerGrades+'!$AE$4,"A+",IF(L540&lt;'PlayerGrades+'!$AE$3,"S-",IF(L540&lt;'PlayerGrades+'!$AE$2,"S","S+"))))))))))))))))))))</f>
        <v>S+</v>
      </c>
      <c r="N540" s="937">
        <f t="shared" si="6"/>
        <v>0.08415147265</v>
      </c>
      <c r="O540" s="937" t="str">
        <f>IF(N540&lt;'PlayerGrades+'!$AF$21,"F-",IF(N540&lt;'PlayerGrades+'!$AF$20,"F",IF(N540&lt;'PlayerGrades+'!$AF$19,"F+",IF(N540&lt;'PlayerGrades+'!$AF$18,"E-",IF(N540&lt;'PlayerGrades+'!$AF$17,"E",IF(N540&lt;'PlayerGrades+'!$AF$16,"E+",IF(N540&lt;'PlayerGrades+'!$AF$15,"D-",IF(N540&lt;'PlayerGrades+'!$AF$14,"D",IF(N540&lt;'PlayerGrades+'!$AF$13,"D+",IF(N540&lt;'PlayerGrades+'!$AF$12,"C-",IF(N540&lt;'PlayerGrades+'!$AF$11,"C",IF(N540&lt;'PlayerGrades+'!$AF$10,"C+",IF(N540&lt;'PlayerGrades+'!$AF$9,"B-",IF(N540&lt;'PlayerGrades+'!$AF$8,"B",IF(N540&lt;'PlayerGrades+'!$AF$7,"B+",IF(N540&lt;'PlayerGrades+'!$AF$6,"A-",IF(N540&lt;'PlayerGrades+'!$AF$5,"A",IF(N540&lt;'PlayerGrades+'!$AF$4,"A+",IF(N540&lt;'PlayerGrades+'!$AF$3,"S-",IF(N540&lt;'PlayerGrades+'!$AF$2,"S","S+"))))))))))))))))))))</f>
        <v>B</v>
      </c>
      <c r="P540" s="937">
        <f t="shared" si="7"/>
        <v>0.1683029453</v>
      </c>
      <c r="Q540" s="937" t="str">
        <f>IF(P540&lt;'PlayerGrades+'!$AG$21,"F-",IF(P540&lt;'PlayerGrades+'!$AG$20,"F",IF(P540&lt;'PlayerGrades+'!$AG$19,"F+",IF(P540&lt;'PlayerGrades+'!$AG$18,"E-",IF(P540&lt;'PlayerGrades+'!$AG$17,"E",IF(P540&lt;'PlayerGrades+'!$AG$16,"E+",IF(P540&lt;'PlayerGrades+'!$AG$15,"D-",IF(P540&lt;'PlayerGrades+'!$AG$14,"D",IF(P540&lt;'PlayerGrades+'!$AG$13,"D+",IF(P540&lt;'PlayerGrades+'!$AG$12,"C-",IF(P540&lt;'PlayerGrades+'!$AG$11,"C",IF(P540&lt;'PlayerGrades+'!$AG$10,"C+",IF(P540&lt;'PlayerGrades+'!$AG$9,"B-",IF(P540&lt;'PlayerGrades+'!$AG$8,"B",IF(P540&lt;'PlayerGrades+'!$AG$7,"B+",IF(P540&lt;'PlayerGrades+'!$AG$6,"A-",IF(P540&lt;'PlayerGrades+'!$AG$5,"A",IF(P540&lt;'PlayerGrades+'!$AG$4,"A+",IF(P540&lt;'PlayerGrades+'!$AG$3,"S-",IF(P540&lt;'PlayerGrades+'!$AG$2,"S","S+"))))))))))))))))))))</f>
        <v>S+</v>
      </c>
      <c r="R540" s="937">
        <f t="shared" si="8"/>
        <v>0.7573632539</v>
      </c>
      <c r="S540" s="937" t="str">
        <f>IF(R540&lt;'PlayerGrades+'!$AH$21,"F-",IF(R540&lt;'PlayerGrades+'!$AH$20,"F",IF(R540&lt;'PlayerGrades+'!$AH$19,"F+",IF(R540&lt;'PlayerGrades+'!$AH$18,"E-",IF(R540&lt;'PlayerGrades+'!$AH$17,"E",IF(R540&lt;'PlayerGrades+'!$AH$16,"E+",IF(R540&lt;'PlayerGrades+'!$AH$15,"D-",IF(R540&lt;'PlayerGrades+'!$AH$14,"D",IF(R540&lt;'PlayerGrades+'!$AH$13,"D+",IF(R540&lt;'PlayerGrades+'!$AH$12,"C-",IF(R540&lt;'PlayerGrades+'!$AH$11,"C",IF(R540&lt;'PlayerGrades+'!$AH$10,"C+",IF(R540&lt;'PlayerGrades+'!$AH$9,"B-",IF(R540&lt;'PlayerGrades+'!$AH$8,"B",IF(R540&lt;'PlayerGrades+'!$AH$7,"B+",IF(R540&lt;'PlayerGrades+'!$AH$6,"A-",IF(R540&lt;'PlayerGrades+'!$AH$5,"A",IF(R540&lt;'PlayerGrades+'!$AH$4,"A+",IF(R540&lt;'PlayerGrades+'!$AH$3,"S-",IF(R540&lt;'PlayerGrades+'!$AH$2,"S","S+"))))))))))))))))))))</f>
        <v>S+</v>
      </c>
      <c r="T540" s="937">
        <f t="shared" si="9"/>
        <v>1.420757363</v>
      </c>
      <c r="U540" s="937" t="str">
        <f>IF(T540&lt;'PlayerGrades+'!$AI$21,"F-",IF(T540&lt;'PlayerGrades+'!$AI$20,"F",IF(T540&lt;'PlayerGrades+'!$AI$19,"F+",IF(T540&lt;'PlayerGrades+'!$AI$18,"E-",IF(T540&lt;'PlayerGrades+'!$AI$17,"E",IF(T540&lt;'PlayerGrades+'!$AI$16,"E+",IF(T540&lt;'PlayerGrades+'!$AI$15,"D-",IF(T540&lt;'PlayerGrades+'!$AI$14,"D",IF(T540&lt;'PlayerGrades+'!$AI$13,"D+",IF(T540&lt;'PlayerGrades+'!$AI$12,"C-",IF(T540&lt;'PlayerGrades+'!$AI$11,"C",IF(T540&lt;'PlayerGrades+'!$AI$10,"C+",IF(T540&lt;'PlayerGrades+'!$AI$9,"B-",IF(T540&lt;'PlayerGrades+'!$AI$8,"B",IF(T540&lt;'PlayerGrades+'!$AI$7,"B+",IF(T540&lt;'PlayerGrades+'!$AI$6,"A-",IF(T540&lt;'PlayerGrades+'!$AI$5,"A",IF(T540&lt;'PlayerGrades+'!$AI$4,"A+",IF(T540&lt;'PlayerGrades+'!$AI$3,"S-",IF(T540&lt;'PlayerGrades+'!$AI$2,"S","S+"))))))))))))))))))))</f>
        <v>B+</v>
      </c>
      <c r="V540" s="941">
        <v>1.0</v>
      </c>
      <c r="W540" s="941">
        <v>1.0</v>
      </c>
      <c r="X540" s="941">
        <v>0.0</v>
      </c>
      <c r="Y540" s="941">
        <v>0.0</v>
      </c>
      <c r="Z540" s="941">
        <v>0.0</v>
      </c>
      <c r="AA540" s="941">
        <v>51.0</v>
      </c>
      <c r="AB540" s="941">
        <v>39.0</v>
      </c>
      <c r="AC540" s="941">
        <v>12.0</v>
      </c>
      <c r="AD540" s="941">
        <v>4.0</v>
      </c>
      <c r="AE540" s="941">
        <v>8.0</v>
      </c>
      <c r="AF540" s="941">
        <v>3.0</v>
      </c>
      <c r="AG540" s="941">
        <v>517.0</v>
      </c>
      <c r="AH540" s="941">
        <v>713.0</v>
      </c>
      <c r="AI540" s="941">
        <v>13.0</v>
      </c>
      <c r="AJ540" s="941">
        <v>1.0</v>
      </c>
      <c r="AK540" s="941">
        <v>0.0</v>
      </c>
      <c r="AL540" s="941">
        <v>2.0</v>
      </c>
      <c r="AM540" s="941">
        <v>0.0</v>
      </c>
      <c r="AN540" s="941">
        <v>0.0</v>
      </c>
      <c r="AO540" s="941">
        <v>0.0</v>
      </c>
      <c r="AP540" s="941">
        <v>2.0</v>
      </c>
      <c r="AQ540" s="941">
        <v>0.0</v>
      </c>
      <c r="AR540" s="941">
        <v>9.0</v>
      </c>
      <c r="AS540" s="941">
        <v>1.0</v>
      </c>
      <c r="AT540" s="941">
        <v>0.0</v>
      </c>
      <c r="AU540" s="941">
        <v>0.0</v>
      </c>
      <c r="AV540" s="941">
        <v>0.0</v>
      </c>
      <c r="AW540" s="941">
        <v>0.0</v>
      </c>
      <c r="AX540" s="941">
        <v>0.0</v>
      </c>
      <c r="AY540" s="941">
        <v>0.0</v>
      </c>
      <c r="AZ540" s="941">
        <v>0.0</v>
      </c>
      <c r="BA540" s="941">
        <v>0.0</v>
      </c>
      <c r="BB540" s="941">
        <v>1.0</v>
      </c>
      <c r="BC540" s="941">
        <v>0.0</v>
      </c>
      <c r="BD540" s="941">
        <v>5.0</v>
      </c>
      <c r="BE540" s="941">
        <v>5.0</v>
      </c>
      <c r="BF540" s="941">
        <v>1.0</v>
      </c>
      <c r="BG540" s="941">
        <v>1.0</v>
      </c>
    </row>
    <row r="541">
      <c r="A541" s="1" t="s">
        <v>147</v>
      </c>
      <c r="B541" s="16" t="str">
        <f>IF(C541&lt;'PlayerGrades+'!$Y$44,"F-",IF(C541&lt;'PlayerGrades+'!$Y$43,"F",IF(C541&lt;'PlayerGrades+'!$Y$42,"F+",IF(C541&lt;'PlayerGrades+'!$Y$41,"E-",IF(C541&lt;'PlayerGrades+'!$Y$40,"E",IF(C541&lt;'PlayerGrades+'!$Y$39,"E+",IF(C541&lt;'PlayerGrades+'!$Y$38,"D-",IF(C541&lt;'PlayerGrades+'!$Y$37,"D",IF(C541&lt;'PlayerGrades+'!$Y$36,"D+",IF(C541&lt;'PlayerGrades+'!$Y$35,"C-",IF(C541&lt;'PlayerGrades+'!$Y$34,"C",IF(C541&lt;'PlayerGrades+'!$Y$33,"C+",IF(C541&lt;'PlayerGrades+'!$Y$32,"B-",IF(C541&lt;'PlayerGrades+'!$Y$31,"B",IF(C541&lt;'PlayerGrades+'!$Y$30,"B+",IF(C541&lt;'PlayerGrades+'!$Y$29,"A-",IF(C541&lt;'PlayerGrades+'!$Y$28,"A",IF(C541&lt;'PlayerGrades+'!$Y$27,"A+",IF(C541&lt;'PlayerGrades+'!$Y$26,"S-",IF(C541&lt;'PlayerGrades+'!$Y$25,"S","S+"))))))))))))))))))))</f>
        <v>B+</v>
      </c>
      <c r="C541" s="936">
        <f>('PlayerGrades+'!$Y$47*(VLOOKUP(E541, 'PlayerGrades+'!$X$3:$Y$23, 2, FALSE)))+('PlayerGrades+'!$Y$48*(VLOOKUP(G541, 'PlayerGrades+'!$X$3:$Y$23, 2, FALSE)))+('PlayerGrades+'!$Y$49*(VLOOKUP(I541, 'PlayerGrades+'!$X$3:$Y$23, 2, FALSE)))+('PlayerGrades+'!$Y$50*(VLOOKUP(K541, 'PlayerGrades+'!$X$3:$Y$23, 2, FALSE)))+('PlayerGrades+'!$Y$51*(VLOOKUP(M541, 'PlayerGrades+'!$X$3:$Y$23, 2, FALSE)))+('PlayerGrades+'!$Y$52*(VLOOKUP(O541, 'PlayerGrades+'!$X$3:$Y$23, 2, FALSE)))+('PlayerGrades+'!$Y$53*(VLOOKUP(Q541, 'PlayerGrades+'!$X$3:$Y$23, 2, FALSE)))+('PlayerGrades+'!$Y$54*(VLOOKUP(S541, 'PlayerGrades+'!$X$3:$Y$23, 2, FALSE)))+('PlayerGrades+'!$Y$55*(VLOOKUP(U541, 'PlayerGrades+'!$X$3:$Y$23, 2, FALSE)))</f>
        <v>24.3</v>
      </c>
      <c r="D541" s="937">
        <f t="shared" si="1"/>
        <v>0</v>
      </c>
      <c r="E541" s="937" t="str">
        <f>IF(D541&lt;'PlayerGrades+'!$AA$21,"F-",IF(D541&lt;'PlayerGrades+'!$AA$20,"F",IF(D541&lt;'PlayerGrades+'!$AA$19,"F+",IF(D541&lt;'PlayerGrades+'!$AA$18,"E-",IF(D541&lt;'PlayerGrades+'!$AA$17,"E",IF(D541&lt;'PlayerGrades+'!$AA$16,"E+",IF(D541&lt;'PlayerGrades+'!$AA$15,"D-",IF(D541&lt;'PlayerGrades+'!$AA$14,"D",IF(D541&lt;'PlayerGrades+'!$AA$13,"D+",IF(D541&lt;'PlayerGrades+'!$AA$12,"C-",IF(D541&lt;'PlayerGrades+'!$AA$11,"C",IF(D541&lt;'PlayerGrades+'!$AA$10,"C+",IF(D541&lt;'PlayerGrades+'!$AA$9,"B-",IF(D541&lt;'PlayerGrades+'!$AA$8,"B",IF(D541&lt;'PlayerGrades+'!$AA$7,"B+",IF(D541&lt;'PlayerGrades+'!$AA$6,"A-",IF(D541&lt;'PlayerGrades+'!$AA$5,"A",IF(D541&lt;'PlayerGrades+'!$AA$4,"A+",IF(D541&lt;'PlayerGrades+'!$AA$3,"S-",IF(D541&lt;'PlayerGrades+'!$AA$2,"S","S+"))))))))))))))))))))</f>
        <v>F-</v>
      </c>
      <c r="F541" s="937">
        <f t="shared" si="2"/>
        <v>0.5890603086</v>
      </c>
      <c r="G541" s="937" t="str">
        <f>IF(F541&lt;'PlayerGrades+'!$AB$21,"F-",IF(F541&lt;'PlayerGrades+'!$AB$20,"F",IF(F541&lt;'PlayerGrades+'!$AB$19,"F+",IF(F541&lt;'PlayerGrades+'!$AB$18,"E-",IF(F541&lt;'PlayerGrades+'!$AB$17,"E",IF(F541&lt;'PlayerGrades+'!$AB$16,"E+",IF(F541&lt;'PlayerGrades+'!$AB$15,"D-",IF(F541&lt;'PlayerGrades+'!$AB$14,"D",IF(F541&lt;'PlayerGrades+'!$AB$13,"D+",IF(F541&lt;'PlayerGrades+'!$AB$12,"C-",IF(F541&lt;'PlayerGrades+'!$AB$11,"C",IF(F541&lt;'PlayerGrades+'!$AB$10,"C+",IF(F541&lt;'PlayerGrades+'!$AB$9,"B-",IF(F541&lt;'PlayerGrades+'!$AB$8,"B",IF(F541&lt;'PlayerGrades+'!$AB$7,"B+",IF(F541&lt;'PlayerGrades+'!$AB$6,"A-",IF(F541&lt;'PlayerGrades+'!$AB$5,"A",IF(F541&lt;'PlayerGrades+'!$AB$4,"A+",IF(F541&lt;'PlayerGrades+'!$AB$3,"S-",IF(F541&lt;'PlayerGrades+'!$AB$2,"S","S+"))))))))))))))))))))</f>
        <v>S-</v>
      </c>
      <c r="H541" s="937">
        <f t="shared" si="3"/>
        <v>0</v>
      </c>
      <c r="I541" s="937" t="str">
        <f>IF(H541&lt;'PlayerGrades+'!$AC$21,"F-",IF(H541&lt;'PlayerGrades+'!$AC$20,"F",IF(H541&lt;'PlayerGrades+'!$AC$19,"F+",IF(H541&lt;'PlayerGrades+'!$AC$18,"E-",IF(H541&lt;'PlayerGrades+'!$AC$17,"E",IF(H541&lt;'PlayerGrades+'!$AC$16,"E+",IF(H541&lt;'PlayerGrades+'!$AC$15,"D-",IF(H541&lt;'PlayerGrades+'!$AC$14,"D",IF(H541&lt;'PlayerGrades+'!$AC$13,"D+",IF(H541&lt;'PlayerGrades+'!$AC$12,"C-",IF(H541&lt;'PlayerGrades+'!$AC$11,"C",IF(H541&lt;'PlayerGrades+'!$AC$10,"C+",IF(H541&lt;'PlayerGrades+'!$AC$9,"B-",IF(H541&lt;'PlayerGrades+'!$AC$8,"B",IF(H541&lt;'PlayerGrades+'!$AC$7,"B+",IF(H541&lt;'PlayerGrades+'!$AC$6,"A-",IF(H541&lt;'PlayerGrades+'!$AC$5,"A",IF(H541&lt;'PlayerGrades+'!$AC$4,"A+",IF(H541&lt;'PlayerGrades+'!$AC$3,"S-",IF(H541&lt;'PlayerGrades+'!$AC$2,"S","S+"))))))))))))))))))))</f>
        <v>F-</v>
      </c>
      <c r="J541" s="937">
        <f t="shared" si="4"/>
        <v>0.08415147265</v>
      </c>
      <c r="K541" s="937" t="str">
        <f>IF(J541&lt;'PlayerGrades+'!$AD$21,"F-",IF(J541&lt;'PlayerGrades+'!$AD$20,"F",IF(J541&lt;'PlayerGrades+'!$AD$19,"F+",IF(J541&lt;'PlayerGrades+'!$AD$18,"E-",IF(J541&lt;'PlayerGrades+'!$AD$17,"E",IF(J541&lt;'PlayerGrades+'!$AD$16,"E+",IF(J541&lt;'PlayerGrades+'!$AD$15,"D-",IF(J541&lt;'PlayerGrades+'!$AD$14,"D",IF(J541&lt;'PlayerGrades+'!$AD$13,"D+",IF(J541&lt;'PlayerGrades+'!$AD$12,"C-",IF(J541&lt;'PlayerGrades+'!$AD$11,"C",IF(J541&lt;'PlayerGrades+'!$AD$10,"C+",IF(J541&lt;'PlayerGrades+'!$AD$9,"B-",IF(J541&lt;'PlayerGrades+'!$AD$8,"B",IF(J541&lt;'PlayerGrades+'!$AD$7,"B+",IF(J541&lt;'PlayerGrades+'!$AD$6,"A-",IF(J541&lt;'PlayerGrades+'!$AD$5,"A",IF(J541&lt;'PlayerGrades+'!$AD$4,"A+",IF(J541&lt;'PlayerGrades+'!$AD$3,"S-",IF(J541&lt;'PlayerGrades+'!$AD$2,"S","S+"))))))))))))))))))))</f>
        <v>A+</v>
      </c>
      <c r="L541" s="677">
        <f t="shared" si="5"/>
        <v>0.7573632539</v>
      </c>
      <c r="M541" s="938" t="str">
        <f>IF(L541&lt;'PlayerGrades+'!$AE$21,"F-",IF(L541&lt;'PlayerGrades+'!$AE$20,"F",IF(L541&lt;'PlayerGrades+'!$AE$19,"F+",IF(L541&lt;'PlayerGrades+'!$AE$18,"E-",IF(L541&lt;'PlayerGrades+'!$AE$17,"E",IF(L541&lt;'PlayerGrades+'!$AE$16,"E+",IF(L541&lt;'PlayerGrades+'!$AE$15,"D-",IF(L541&lt;'PlayerGrades+'!$AE$14,"D",IF(L541&lt;'PlayerGrades+'!$AE$13,"D+",IF(L541&lt;'PlayerGrades+'!$AE$12,"C-",IF(L541&lt;'PlayerGrades+'!$AE$11,"C",IF(L541&lt;'PlayerGrades+'!$AE$10,"C+",IF(L541&lt;'PlayerGrades+'!$AE$9,"B-",IF(L541&lt;'PlayerGrades+'!$AE$8,"B",IF(L541&lt;'PlayerGrades+'!$AE$7,"B+",IF(L541&lt;'PlayerGrades+'!$AE$6,"A-",IF(L541&lt;'PlayerGrades+'!$AE$5,"A",IF(L541&lt;'PlayerGrades+'!$AE$4,"A+",IF(L541&lt;'PlayerGrades+'!$AE$3,"S-",IF(L541&lt;'PlayerGrades+'!$AE$2,"S","S+"))))))))))))))))))))</f>
        <v>S+</v>
      </c>
      <c r="N541" s="937">
        <f t="shared" si="6"/>
        <v>0.08415147265</v>
      </c>
      <c r="O541" s="937" t="str">
        <f>IF(N541&lt;'PlayerGrades+'!$AF$21,"F-",IF(N541&lt;'PlayerGrades+'!$AF$20,"F",IF(N541&lt;'PlayerGrades+'!$AF$19,"F+",IF(N541&lt;'PlayerGrades+'!$AF$18,"E-",IF(N541&lt;'PlayerGrades+'!$AF$17,"E",IF(N541&lt;'PlayerGrades+'!$AF$16,"E+",IF(N541&lt;'PlayerGrades+'!$AF$15,"D-",IF(N541&lt;'PlayerGrades+'!$AF$14,"D",IF(N541&lt;'PlayerGrades+'!$AF$13,"D+",IF(N541&lt;'PlayerGrades+'!$AF$12,"C-",IF(N541&lt;'PlayerGrades+'!$AF$11,"C",IF(N541&lt;'PlayerGrades+'!$AF$10,"C+",IF(N541&lt;'PlayerGrades+'!$AF$9,"B-",IF(N541&lt;'PlayerGrades+'!$AF$8,"B",IF(N541&lt;'PlayerGrades+'!$AF$7,"B+",IF(N541&lt;'PlayerGrades+'!$AF$6,"A-",IF(N541&lt;'PlayerGrades+'!$AF$5,"A",IF(N541&lt;'PlayerGrades+'!$AF$4,"A+",IF(N541&lt;'PlayerGrades+'!$AF$3,"S-",IF(N541&lt;'PlayerGrades+'!$AF$2,"S","S+"))))))))))))))))))))</f>
        <v>B</v>
      </c>
      <c r="P541" s="937">
        <f t="shared" si="7"/>
        <v>0.08415147265</v>
      </c>
      <c r="Q541" s="937" t="str">
        <f>IF(P541&lt;'PlayerGrades+'!$AG$21,"F-",IF(P541&lt;'PlayerGrades+'!$AG$20,"F",IF(P541&lt;'PlayerGrades+'!$AG$19,"F+",IF(P541&lt;'PlayerGrades+'!$AG$18,"E-",IF(P541&lt;'PlayerGrades+'!$AG$17,"E",IF(P541&lt;'PlayerGrades+'!$AG$16,"E+",IF(P541&lt;'PlayerGrades+'!$AG$15,"D-",IF(P541&lt;'PlayerGrades+'!$AG$14,"D",IF(P541&lt;'PlayerGrades+'!$AG$13,"D+",IF(P541&lt;'PlayerGrades+'!$AG$12,"C-",IF(P541&lt;'PlayerGrades+'!$AG$11,"C",IF(P541&lt;'PlayerGrades+'!$AG$10,"C+",IF(P541&lt;'PlayerGrades+'!$AG$9,"B-",IF(P541&lt;'PlayerGrades+'!$AG$8,"B",IF(P541&lt;'PlayerGrades+'!$AG$7,"B+",IF(P541&lt;'PlayerGrades+'!$AG$6,"A-",IF(P541&lt;'PlayerGrades+'!$AG$5,"A",IF(P541&lt;'PlayerGrades+'!$AG$4,"A+",IF(P541&lt;'PlayerGrades+'!$AG$3,"S-",IF(P541&lt;'PlayerGrades+'!$AG$2,"S","S+"))))))))))))))))))))</f>
        <v>S</v>
      </c>
      <c r="R541" s="937">
        <f t="shared" si="8"/>
        <v>0.5890603086</v>
      </c>
      <c r="S541" s="937" t="str">
        <f>IF(R541&lt;'PlayerGrades+'!$AH$21,"F-",IF(R541&lt;'PlayerGrades+'!$AH$20,"F",IF(R541&lt;'PlayerGrades+'!$AH$19,"F+",IF(R541&lt;'PlayerGrades+'!$AH$18,"E-",IF(R541&lt;'PlayerGrades+'!$AH$17,"E",IF(R541&lt;'PlayerGrades+'!$AH$16,"E+",IF(R541&lt;'PlayerGrades+'!$AH$15,"D-",IF(R541&lt;'PlayerGrades+'!$AH$14,"D",IF(R541&lt;'PlayerGrades+'!$AH$13,"D+",IF(R541&lt;'PlayerGrades+'!$AH$12,"C-",IF(R541&lt;'PlayerGrades+'!$AH$11,"C",IF(R541&lt;'PlayerGrades+'!$AH$10,"C+",IF(R541&lt;'PlayerGrades+'!$AH$9,"B-",IF(R541&lt;'PlayerGrades+'!$AH$8,"B",IF(R541&lt;'PlayerGrades+'!$AH$7,"B+",IF(R541&lt;'PlayerGrades+'!$AH$6,"A-",IF(R541&lt;'PlayerGrades+'!$AH$5,"A",IF(R541&lt;'PlayerGrades+'!$AH$4,"A+",IF(R541&lt;'PlayerGrades+'!$AH$3,"S-",IF(R541&lt;'PlayerGrades+'!$AH$2,"S","S+"))))))))))))))))))))</f>
        <v>B+</v>
      </c>
      <c r="T541" s="937">
        <f t="shared" si="9"/>
        <v>1.420757363</v>
      </c>
      <c r="U541" s="937" t="str">
        <f>IF(T541&lt;'PlayerGrades+'!$AI$21,"F-",IF(T541&lt;'PlayerGrades+'!$AI$20,"F",IF(T541&lt;'PlayerGrades+'!$AI$19,"F+",IF(T541&lt;'PlayerGrades+'!$AI$18,"E-",IF(T541&lt;'PlayerGrades+'!$AI$17,"E",IF(T541&lt;'PlayerGrades+'!$AI$16,"E+",IF(T541&lt;'PlayerGrades+'!$AI$15,"D-",IF(T541&lt;'PlayerGrades+'!$AI$14,"D",IF(T541&lt;'PlayerGrades+'!$AI$13,"D+",IF(T541&lt;'PlayerGrades+'!$AI$12,"C-",IF(T541&lt;'PlayerGrades+'!$AI$11,"C",IF(T541&lt;'PlayerGrades+'!$AI$10,"C+",IF(T541&lt;'PlayerGrades+'!$AI$9,"B-",IF(T541&lt;'PlayerGrades+'!$AI$8,"B",IF(T541&lt;'PlayerGrades+'!$AI$7,"B+",IF(T541&lt;'PlayerGrades+'!$AI$6,"A-",IF(T541&lt;'PlayerGrades+'!$AI$5,"A",IF(T541&lt;'PlayerGrades+'!$AI$4,"A+",IF(T541&lt;'PlayerGrades+'!$AI$3,"S-",IF(T541&lt;'PlayerGrades+'!$AI$2,"S","S+"))))))))))))))))))))</f>
        <v>B+</v>
      </c>
      <c r="V541" s="941">
        <v>1.0</v>
      </c>
      <c r="W541" s="941">
        <v>1.0</v>
      </c>
      <c r="X541" s="941">
        <v>0.0</v>
      </c>
      <c r="Y541" s="941">
        <v>0.0</v>
      </c>
      <c r="Z541" s="941">
        <v>0.0</v>
      </c>
      <c r="AA541" s="941">
        <v>47.0</v>
      </c>
      <c r="AB541" s="941">
        <v>40.0</v>
      </c>
      <c r="AC541" s="941">
        <v>7.0</v>
      </c>
      <c r="AD541" s="941">
        <v>2.0</v>
      </c>
      <c r="AE541" s="941">
        <v>6.0</v>
      </c>
      <c r="AF541" s="941">
        <v>0.0</v>
      </c>
      <c r="AG541" s="941">
        <v>511.0</v>
      </c>
      <c r="AH541" s="941">
        <v>713.0</v>
      </c>
      <c r="AI541" s="941">
        <v>12.0</v>
      </c>
      <c r="AJ541" s="941">
        <v>8.0</v>
      </c>
      <c r="AK541" s="941">
        <v>0.0</v>
      </c>
      <c r="AL541" s="941">
        <v>1.0</v>
      </c>
      <c r="AM541" s="941">
        <v>0.0</v>
      </c>
      <c r="AN541" s="941">
        <v>0.0</v>
      </c>
      <c r="AO541" s="941">
        <v>0.0</v>
      </c>
      <c r="AP541" s="941">
        <v>1.0</v>
      </c>
      <c r="AQ541" s="941">
        <v>0.0</v>
      </c>
      <c r="AR541" s="941">
        <v>9.0</v>
      </c>
      <c r="AS541" s="941">
        <v>1.0</v>
      </c>
      <c r="AT541" s="941">
        <v>1.0</v>
      </c>
      <c r="AU541" s="941">
        <v>0.0</v>
      </c>
      <c r="AV541" s="941">
        <v>0.0</v>
      </c>
      <c r="AW541" s="941">
        <v>0.0</v>
      </c>
      <c r="AX541" s="941">
        <v>0.0</v>
      </c>
      <c r="AY541" s="941">
        <v>0.0</v>
      </c>
      <c r="AZ541" s="941">
        <v>0.0</v>
      </c>
      <c r="BA541" s="941">
        <v>0.0</v>
      </c>
      <c r="BB541" s="941">
        <v>0.0</v>
      </c>
      <c r="BC541" s="941">
        <v>0.0</v>
      </c>
      <c r="BD541" s="941">
        <v>5.0</v>
      </c>
      <c r="BE541" s="941">
        <v>5.0</v>
      </c>
      <c r="BF541" s="941">
        <v>1.0</v>
      </c>
      <c r="BG541" s="941">
        <v>1.0</v>
      </c>
    </row>
    <row r="542">
      <c r="A542" s="1" t="s">
        <v>150</v>
      </c>
      <c r="B542" s="16" t="str">
        <f>IF(C542&lt;'PlayerGrades+'!$Y$44,"F-",IF(C542&lt;'PlayerGrades+'!$Y$43,"F",IF(C542&lt;'PlayerGrades+'!$Y$42,"F+",IF(C542&lt;'PlayerGrades+'!$Y$41,"E-",IF(C542&lt;'PlayerGrades+'!$Y$40,"E",IF(C542&lt;'PlayerGrades+'!$Y$39,"E+",IF(C542&lt;'PlayerGrades+'!$Y$38,"D-",IF(C542&lt;'PlayerGrades+'!$Y$37,"D",IF(C542&lt;'PlayerGrades+'!$Y$36,"D+",IF(C542&lt;'PlayerGrades+'!$Y$35,"C-",IF(C542&lt;'PlayerGrades+'!$Y$34,"C",IF(C542&lt;'PlayerGrades+'!$Y$33,"C+",IF(C542&lt;'PlayerGrades+'!$Y$32,"B-",IF(C542&lt;'PlayerGrades+'!$Y$31,"B",IF(C542&lt;'PlayerGrades+'!$Y$30,"B+",IF(C542&lt;'PlayerGrades+'!$Y$29,"A-",IF(C542&lt;'PlayerGrades+'!$Y$28,"A",IF(C542&lt;'PlayerGrades+'!$Y$27,"A+",IF(C542&lt;'PlayerGrades+'!$Y$26,"S-",IF(C542&lt;'PlayerGrades+'!$Y$25,"S","S+"))))))))))))))))))))</f>
        <v>E-</v>
      </c>
      <c r="C542" s="936">
        <f>('PlayerGrades+'!$Y$47*(VLOOKUP(E542, 'PlayerGrades+'!$X$3:$Y$23, 2, FALSE)))+('PlayerGrades+'!$Y$48*(VLOOKUP(G542, 'PlayerGrades+'!$X$3:$Y$23, 2, FALSE)))+('PlayerGrades+'!$Y$49*(VLOOKUP(I542, 'PlayerGrades+'!$X$3:$Y$23, 2, FALSE)))+('PlayerGrades+'!$Y$50*(VLOOKUP(K542, 'PlayerGrades+'!$X$3:$Y$23, 2, FALSE)))+('PlayerGrades+'!$Y$51*(VLOOKUP(M542, 'PlayerGrades+'!$X$3:$Y$23, 2, FALSE)))+('PlayerGrades+'!$Y$52*(VLOOKUP(O542, 'PlayerGrades+'!$X$3:$Y$23, 2, FALSE)))+('PlayerGrades+'!$Y$53*(VLOOKUP(Q542, 'PlayerGrades+'!$X$3:$Y$23, 2, FALSE)))+('PlayerGrades+'!$Y$54*(VLOOKUP(S542, 'PlayerGrades+'!$X$3:$Y$23, 2, FALSE)))+('PlayerGrades+'!$Y$55*(VLOOKUP(U542, 'PlayerGrades+'!$X$3:$Y$23, 2, FALSE)))</f>
        <v>12.2</v>
      </c>
      <c r="D542" s="937">
        <f t="shared" si="1"/>
        <v>0.252454418</v>
      </c>
      <c r="E542" s="937" t="str">
        <f>IF(D542&lt;'PlayerGrades+'!$AA$21,"F-",IF(D542&lt;'PlayerGrades+'!$AA$20,"F",IF(D542&lt;'PlayerGrades+'!$AA$19,"F+",IF(D542&lt;'PlayerGrades+'!$AA$18,"E-",IF(D542&lt;'PlayerGrades+'!$AA$17,"E",IF(D542&lt;'PlayerGrades+'!$AA$16,"E+",IF(D542&lt;'PlayerGrades+'!$AA$15,"D-",IF(D542&lt;'PlayerGrades+'!$AA$14,"D",IF(D542&lt;'PlayerGrades+'!$AA$13,"D+",IF(D542&lt;'PlayerGrades+'!$AA$12,"C-",IF(D542&lt;'PlayerGrades+'!$AA$11,"C",IF(D542&lt;'PlayerGrades+'!$AA$10,"C+",IF(D542&lt;'PlayerGrades+'!$AA$9,"B-",IF(D542&lt;'PlayerGrades+'!$AA$8,"B",IF(D542&lt;'PlayerGrades+'!$AA$7,"B+",IF(D542&lt;'PlayerGrades+'!$AA$6,"A-",IF(D542&lt;'PlayerGrades+'!$AA$5,"A",IF(D542&lt;'PlayerGrades+'!$AA$4,"A+",IF(D542&lt;'PlayerGrades+'!$AA$3,"S-",IF(D542&lt;'PlayerGrades+'!$AA$2,"S","S+"))))))))))))))))))))</f>
        <v>A-</v>
      </c>
      <c r="F542" s="937">
        <f t="shared" si="2"/>
        <v>-1.430575035</v>
      </c>
      <c r="G542" s="937" t="str">
        <f>IF(F542&lt;'PlayerGrades+'!$AB$21,"F-",IF(F542&lt;'PlayerGrades+'!$AB$20,"F",IF(F542&lt;'PlayerGrades+'!$AB$19,"F+",IF(F542&lt;'PlayerGrades+'!$AB$18,"E-",IF(F542&lt;'PlayerGrades+'!$AB$17,"E",IF(F542&lt;'PlayerGrades+'!$AB$16,"E+",IF(F542&lt;'PlayerGrades+'!$AB$15,"D-",IF(F542&lt;'PlayerGrades+'!$AB$14,"D",IF(F542&lt;'PlayerGrades+'!$AB$13,"D+",IF(F542&lt;'PlayerGrades+'!$AB$12,"C-",IF(F542&lt;'PlayerGrades+'!$AB$11,"C",IF(F542&lt;'PlayerGrades+'!$AB$10,"C+",IF(F542&lt;'PlayerGrades+'!$AB$9,"B-",IF(F542&lt;'PlayerGrades+'!$AB$8,"B",IF(F542&lt;'PlayerGrades+'!$AB$7,"B+",IF(F542&lt;'PlayerGrades+'!$AB$6,"A-",IF(F542&lt;'PlayerGrades+'!$AB$5,"A",IF(F542&lt;'PlayerGrades+'!$AB$4,"A+",IF(F542&lt;'PlayerGrades+'!$AB$3,"S-",IF(F542&lt;'PlayerGrades+'!$AB$2,"S","S+"))))))))))))))))))))</f>
        <v>F-</v>
      </c>
      <c r="H542" s="937">
        <f t="shared" si="3"/>
        <v>0.08415147265</v>
      </c>
      <c r="I542" s="937" t="str">
        <f>IF(H542&lt;'PlayerGrades+'!$AC$21,"F-",IF(H542&lt;'PlayerGrades+'!$AC$20,"F",IF(H542&lt;'PlayerGrades+'!$AC$19,"F+",IF(H542&lt;'PlayerGrades+'!$AC$18,"E-",IF(H542&lt;'PlayerGrades+'!$AC$17,"E",IF(H542&lt;'PlayerGrades+'!$AC$16,"E+",IF(H542&lt;'PlayerGrades+'!$AC$15,"D-",IF(H542&lt;'PlayerGrades+'!$AC$14,"D",IF(H542&lt;'PlayerGrades+'!$AC$13,"D+",IF(H542&lt;'PlayerGrades+'!$AC$12,"C-",IF(H542&lt;'PlayerGrades+'!$AC$11,"C",IF(H542&lt;'PlayerGrades+'!$AC$10,"C+",IF(H542&lt;'PlayerGrades+'!$AC$9,"B-",IF(H542&lt;'PlayerGrades+'!$AC$8,"B",IF(H542&lt;'PlayerGrades+'!$AC$7,"B+",IF(H542&lt;'PlayerGrades+'!$AC$6,"A-",IF(H542&lt;'PlayerGrades+'!$AC$5,"A",IF(H542&lt;'PlayerGrades+'!$AC$4,"A+",IF(H542&lt;'PlayerGrades+'!$AC$3,"S-",IF(H542&lt;'PlayerGrades+'!$AC$2,"S","S+"))))))))))))))))))))</f>
        <v>D-</v>
      </c>
      <c r="J542" s="937">
        <f t="shared" si="4"/>
        <v>0</v>
      </c>
      <c r="K542" s="937" t="str">
        <f>IF(J542&lt;'PlayerGrades+'!$AD$21,"F-",IF(J542&lt;'PlayerGrades+'!$AD$20,"F",IF(J542&lt;'PlayerGrades+'!$AD$19,"F+",IF(J542&lt;'PlayerGrades+'!$AD$18,"E-",IF(J542&lt;'PlayerGrades+'!$AD$17,"E",IF(J542&lt;'PlayerGrades+'!$AD$16,"E+",IF(J542&lt;'PlayerGrades+'!$AD$15,"D-",IF(J542&lt;'PlayerGrades+'!$AD$14,"D",IF(J542&lt;'PlayerGrades+'!$AD$13,"D+",IF(J542&lt;'PlayerGrades+'!$AD$12,"C-",IF(J542&lt;'PlayerGrades+'!$AD$11,"C",IF(J542&lt;'PlayerGrades+'!$AD$10,"C+",IF(J542&lt;'PlayerGrades+'!$AD$9,"B-",IF(J542&lt;'PlayerGrades+'!$AD$8,"B",IF(J542&lt;'PlayerGrades+'!$AD$7,"B+",IF(J542&lt;'PlayerGrades+'!$AD$6,"A-",IF(J542&lt;'PlayerGrades+'!$AD$5,"A",IF(J542&lt;'PlayerGrades+'!$AD$4,"A+",IF(J542&lt;'PlayerGrades+'!$AD$3,"S-",IF(J542&lt;'PlayerGrades+'!$AD$2,"S","S+"))))))))))))))))))))</f>
        <v>F-</v>
      </c>
      <c r="L542" s="677">
        <f t="shared" si="5"/>
        <v>0.5049088359</v>
      </c>
      <c r="M542" s="938" t="str">
        <f>IF(L542&lt;'PlayerGrades+'!$AE$21,"F-",IF(L542&lt;'PlayerGrades+'!$AE$20,"F",IF(L542&lt;'PlayerGrades+'!$AE$19,"F+",IF(L542&lt;'PlayerGrades+'!$AE$18,"E-",IF(L542&lt;'PlayerGrades+'!$AE$17,"E",IF(L542&lt;'PlayerGrades+'!$AE$16,"E+",IF(L542&lt;'PlayerGrades+'!$AE$15,"D-",IF(L542&lt;'PlayerGrades+'!$AE$14,"D",IF(L542&lt;'PlayerGrades+'!$AE$13,"D+",IF(L542&lt;'PlayerGrades+'!$AE$12,"C-",IF(L542&lt;'PlayerGrades+'!$AE$11,"C",IF(L542&lt;'PlayerGrades+'!$AE$10,"C+",IF(L542&lt;'PlayerGrades+'!$AE$9,"B-",IF(L542&lt;'PlayerGrades+'!$AE$8,"B",IF(L542&lt;'PlayerGrades+'!$AE$7,"B+",IF(L542&lt;'PlayerGrades+'!$AE$6,"A-",IF(L542&lt;'PlayerGrades+'!$AE$5,"A",IF(L542&lt;'PlayerGrades+'!$AE$4,"A+",IF(L542&lt;'PlayerGrades+'!$AE$3,"S-",IF(L542&lt;'PlayerGrades+'!$AE$2,"S","S+"))))))))))))))))))))</f>
        <v>A-</v>
      </c>
      <c r="N542" s="937">
        <f t="shared" si="6"/>
        <v>0</v>
      </c>
      <c r="O542" s="937" t="str">
        <f>IF(N542&lt;'PlayerGrades+'!$AF$21,"F-",IF(N542&lt;'PlayerGrades+'!$AF$20,"F",IF(N542&lt;'PlayerGrades+'!$AF$19,"F+",IF(N542&lt;'PlayerGrades+'!$AF$18,"E-",IF(N542&lt;'PlayerGrades+'!$AF$17,"E",IF(N542&lt;'PlayerGrades+'!$AF$16,"E+",IF(N542&lt;'PlayerGrades+'!$AF$15,"D-",IF(N542&lt;'PlayerGrades+'!$AF$14,"D",IF(N542&lt;'PlayerGrades+'!$AF$13,"D+",IF(N542&lt;'PlayerGrades+'!$AF$12,"C-",IF(N542&lt;'PlayerGrades+'!$AF$11,"C",IF(N542&lt;'PlayerGrades+'!$AF$10,"C+",IF(N542&lt;'PlayerGrades+'!$AF$9,"B-",IF(N542&lt;'PlayerGrades+'!$AF$8,"B",IF(N542&lt;'PlayerGrades+'!$AF$7,"B+",IF(N542&lt;'PlayerGrades+'!$AF$6,"A-",IF(N542&lt;'PlayerGrades+'!$AF$5,"A",IF(N542&lt;'PlayerGrades+'!$AF$4,"A+",IF(N542&lt;'PlayerGrades+'!$AF$3,"S-",IF(N542&lt;'PlayerGrades+'!$AF$2,"S","S+"))))))))))))))))))))</f>
        <v>F-</v>
      </c>
      <c r="P542" s="937">
        <f t="shared" si="7"/>
        <v>0</v>
      </c>
      <c r="Q542" s="937" t="str">
        <f>IF(P542&lt;'PlayerGrades+'!$AG$21,"F-",IF(P542&lt;'PlayerGrades+'!$AG$20,"F",IF(P542&lt;'PlayerGrades+'!$AG$19,"F+",IF(P542&lt;'PlayerGrades+'!$AG$18,"E-",IF(P542&lt;'PlayerGrades+'!$AG$17,"E",IF(P542&lt;'PlayerGrades+'!$AG$16,"E+",IF(P542&lt;'PlayerGrades+'!$AG$15,"D-",IF(P542&lt;'PlayerGrades+'!$AG$14,"D",IF(P542&lt;'PlayerGrades+'!$AG$13,"D+",IF(P542&lt;'PlayerGrades+'!$AG$12,"C-",IF(P542&lt;'PlayerGrades+'!$AG$11,"C",IF(P542&lt;'PlayerGrades+'!$AG$10,"C+",IF(P542&lt;'PlayerGrades+'!$AG$9,"B-",IF(P542&lt;'PlayerGrades+'!$AG$8,"B",IF(P542&lt;'PlayerGrades+'!$AG$7,"B+",IF(P542&lt;'PlayerGrades+'!$AG$6,"A-",IF(P542&lt;'PlayerGrades+'!$AG$5,"A",IF(P542&lt;'PlayerGrades+'!$AG$4,"A+",IF(P542&lt;'PlayerGrades+'!$AG$3,"S-",IF(P542&lt;'PlayerGrades+'!$AG$2,"S","S+"))))))))))))))))))))</f>
        <v>F</v>
      </c>
      <c r="R542" s="937">
        <f t="shared" si="8"/>
        <v>0.5049088359</v>
      </c>
      <c r="S542" s="937" t="str">
        <f>IF(R542&lt;'PlayerGrades+'!$AH$21,"F-",IF(R542&lt;'PlayerGrades+'!$AH$20,"F",IF(R542&lt;'PlayerGrades+'!$AH$19,"F+",IF(R542&lt;'PlayerGrades+'!$AH$18,"E-",IF(R542&lt;'PlayerGrades+'!$AH$17,"E",IF(R542&lt;'PlayerGrades+'!$AH$16,"E+",IF(R542&lt;'PlayerGrades+'!$AH$15,"D-",IF(R542&lt;'PlayerGrades+'!$AH$14,"D",IF(R542&lt;'PlayerGrades+'!$AH$13,"D+",IF(R542&lt;'PlayerGrades+'!$AH$12,"C-",IF(R542&lt;'PlayerGrades+'!$AH$11,"C",IF(R542&lt;'PlayerGrades+'!$AH$10,"C+",IF(R542&lt;'PlayerGrades+'!$AH$9,"B-",IF(R542&lt;'PlayerGrades+'!$AH$8,"B",IF(R542&lt;'PlayerGrades+'!$AH$7,"B+",IF(R542&lt;'PlayerGrades+'!$AH$6,"A-",IF(R542&lt;'PlayerGrades+'!$AH$5,"A",IF(R542&lt;'PlayerGrades+'!$AH$4,"A+",IF(R542&lt;'PlayerGrades+'!$AH$3,"S-",IF(R542&lt;'PlayerGrades+'!$AH$2,"S","S+"))))))))))))))))))))</f>
        <v>D-</v>
      </c>
      <c r="T542" s="937">
        <f t="shared" si="9"/>
        <v>0.5890603086</v>
      </c>
      <c r="U542" s="937" t="str">
        <f>IF(T542&lt;'PlayerGrades+'!$AI$21,"F-",IF(T542&lt;'PlayerGrades+'!$AI$20,"F",IF(T542&lt;'PlayerGrades+'!$AI$19,"F+",IF(T542&lt;'PlayerGrades+'!$AI$18,"E-",IF(T542&lt;'PlayerGrades+'!$AI$17,"E",IF(T542&lt;'PlayerGrades+'!$AI$16,"E+",IF(T542&lt;'PlayerGrades+'!$AI$15,"D-",IF(T542&lt;'PlayerGrades+'!$AI$14,"D",IF(T542&lt;'PlayerGrades+'!$AI$13,"D+",IF(T542&lt;'PlayerGrades+'!$AI$12,"C-",IF(T542&lt;'PlayerGrades+'!$AI$11,"C",IF(T542&lt;'PlayerGrades+'!$AI$10,"C+",IF(T542&lt;'PlayerGrades+'!$AI$9,"B-",IF(T542&lt;'PlayerGrades+'!$AI$8,"B",IF(T542&lt;'PlayerGrades+'!$AI$7,"B+",IF(T542&lt;'PlayerGrades+'!$AI$6,"A-",IF(T542&lt;'PlayerGrades+'!$AI$5,"A",IF(T542&lt;'PlayerGrades+'!$AI$4,"A+",IF(T542&lt;'PlayerGrades+'!$AI$3,"S-",IF(T542&lt;'PlayerGrades+'!$AI$2,"S","S+"))))))))))))))))))))</f>
        <v>F-</v>
      </c>
      <c r="V542" s="941">
        <v>1.0</v>
      </c>
      <c r="W542" s="941">
        <v>0.0</v>
      </c>
      <c r="X542" s="941">
        <v>1.0</v>
      </c>
      <c r="Y542" s="941">
        <v>1.0</v>
      </c>
      <c r="Z542" s="941">
        <v>2.0</v>
      </c>
      <c r="AA542" s="941">
        <v>35.0</v>
      </c>
      <c r="AB542" s="941">
        <v>52.0</v>
      </c>
      <c r="AC542" s="941">
        <v>-17.0</v>
      </c>
      <c r="AD542" s="941">
        <v>0.0</v>
      </c>
      <c r="AE542" s="941">
        <v>3.0</v>
      </c>
      <c r="AF542" s="941">
        <v>0.0</v>
      </c>
      <c r="AG542" s="941">
        <v>480.0</v>
      </c>
      <c r="AH542" s="941">
        <v>713.0</v>
      </c>
      <c r="AI542" s="941">
        <v>9.0</v>
      </c>
      <c r="AJ542" s="941">
        <v>68.0</v>
      </c>
      <c r="AK542" s="941">
        <v>0.0</v>
      </c>
      <c r="AL542" s="941">
        <v>0.0</v>
      </c>
      <c r="AM542" s="941">
        <v>0.0</v>
      </c>
      <c r="AN542" s="941">
        <v>0.0</v>
      </c>
      <c r="AO542" s="941">
        <v>0.0</v>
      </c>
      <c r="AP542" s="941">
        <v>0.0</v>
      </c>
      <c r="AQ542" s="941">
        <v>0.0</v>
      </c>
      <c r="AR542" s="941">
        <v>6.0</v>
      </c>
      <c r="AS542" s="941">
        <v>0.0</v>
      </c>
      <c r="AT542" s="941">
        <v>0.0</v>
      </c>
      <c r="AU542" s="941">
        <v>0.0</v>
      </c>
      <c r="AV542" s="941">
        <v>0.0</v>
      </c>
      <c r="AW542" s="941">
        <v>0.0</v>
      </c>
      <c r="AX542" s="941">
        <v>0.0</v>
      </c>
      <c r="AY542" s="941">
        <v>0.0</v>
      </c>
      <c r="AZ542" s="941">
        <v>0.0</v>
      </c>
      <c r="BA542" s="941">
        <v>0.0</v>
      </c>
      <c r="BB542" s="941">
        <v>1.0</v>
      </c>
      <c r="BC542" s="941">
        <v>0.0</v>
      </c>
      <c r="BD542" s="941">
        <v>6.0</v>
      </c>
      <c r="BE542" s="941">
        <v>7.0</v>
      </c>
      <c r="BF542" s="941">
        <v>0.0</v>
      </c>
      <c r="BG542" s="941">
        <v>0.0</v>
      </c>
    </row>
    <row r="543">
      <c r="A543" s="1" t="s">
        <v>117</v>
      </c>
      <c r="B543" s="16" t="str">
        <f>IF(C543&lt;'PlayerGrades+'!$Y$44,"F-",IF(C543&lt;'PlayerGrades+'!$Y$43,"F",IF(C543&lt;'PlayerGrades+'!$Y$42,"F+",IF(C543&lt;'PlayerGrades+'!$Y$41,"E-",IF(C543&lt;'PlayerGrades+'!$Y$40,"E",IF(C543&lt;'PlayerGrades+'!$Y$39,"E+",IF(C543&lt;'PlayerGrades+'!$Y$38,"D-",IF(C543&lt;'PlayerGrades+'!$Y$37,"D",IF(C543&lt;'PlayerGrades+'!$Y$36,"D+",IF(C543&lt;'PlayerGrades+'!$Y$35,"C-",IF(C543&lt;'PlayerGrades+'!$Y$34,"C",IF(C543&lt;'PlayerGrades+'!$Y$33,"C+",IF(C543&lt;'PlayerGrades+'!$Y$32,"B-",IF(C543&lt;'PlayerGrades+'!$Y$31,"B",IF(C543&lt;'PlayerGrades+'!$Y$30,"B+",IF(C543&lt;'PlayerGrades+'!$Y$29,"A-",IF(C543&lt;'PlayerGrades+'!$Y$28,"A",IF(C543&lt;'PlayerGrades+'!$Y$27,"A+",IF(C543&lt;'PlayerGrades+'!$Y$26,"S-",IF(C543&lt;'PlayerGrades+'!$Y$25,"S","S+"))))))))))))))))))))</f>
        <v>D</v>
      </c>
      <c r="C543" s="936">
        <f>('PlayerGrades+'!$Y$47*(VLOOKUP(E543, 'PlayerGrades+'!$X$3:$Y$23, 2, FALSE)))+('PlayerGrades+'!$Y$48*(VLOOKUP(G543, 'PlayerGrades+'!$X$3:$Y$23, 2, FALSE)))+('PlayerGrades+'!$Y$49*(VLOOKUP(I543, 'PlayerGrades+'!$X$3:$Y$23, 2, FALSE)))+('PlayerGrades+'!$Y$50*(VLOOKUP(K543, 'PlayerGrades+'!$X$3:$Y$23, 2, FALSE)))+('PlayerGrades+'!$Y$51*(VLOOKUP(M543, 'PlayerGrades+'!$X$3:$Y$23, 2, FALSE)))+('PlayerGrades+'!$Y$52*(VLOOKUP(O543, 'PlayerGrades+'!$X$3:$Y$23, 2, FALSE)))+('PlayerGrades+'!$Y$53*(VLOOKUP(Q543, 'PlayerGrades+'!$X$3:$Y$23, 2, FALSE)))+('PlayerGrades+'!$Y$54*(VLOOKUP(S543, 'PlayerGrades+'!$X$3:$Y$23, 2, FALSE)))+('PlayerGrades+'!$Y$55*(VLOOKUP(U543, 'PlayerGrades+'!$X$3:$Y$23, 2, FALSE)))</f>
        <v>16.35</v>
      </c>
      <c r="D543" s="937">
        <f t="shared" si="1"/>
        <v>0.1683029453</v>
      </c>
      <c r="E543" s="937" t="str">
        <f>IF(D543&lt;'PlayerGrades+'!$AA$21,"F-",IF(D543&lt;'PlayerGrades+'!$AA$20,"F",IF(D543&lt;'PlayerGrades+'!$AA$19,"F+",IF(D543&lt;'PlayerGrades+'!$AA$18,"E-",IF(D543&lt;'PlayerGrades+'!$AA$17,"E",IF(D543&lt;'PlayerGrades+'!$AA$16,"E+",IF(D543&lt;'PlayerGrades+'!$AA$15,"D-",IF(D543&lt;'PlayerGrades+'!$AA$14,"D",IF(D543&lt;'PlayerGrades+'!$AA$13,"D+",IF(D543&lt;'PlayerGrades+'!$AA$12,"C-",IF(D543&lt;'PlayerGrades+'!$AA$11,"C",IF(D543&lt;'PlayerGrades+'!$AA$10,"C+",IF(D543&lt;'PlayerGrades+'!$AA$9,"B-",IF(D543&lt;'PlayerGrades+'!$AA$8,"B",IF(D543&lt;'PlayerGrades+'!$AA$7,"B+",IF(D543&lt;'PlayerGrades+'!$AA$6,"A-",IF(D543&lt;'PlayerGrades+'!$AA$5,"A",IF(D543&lt;'PlayerGrades+'!$AA$4,"A+",IF(D543&lt;'PlayerGrades+'!$AA$3,"S-",IF(D543&lt;'PlayerGrades+'!$AA$2,"S","S+"))))))))))))))))))))</f>
        <v>B+</v>
      </c>
      <c r="F543" s="937">
        <f t="shared" si="2"/>
        <v>-0.4207573633</v>
      </c>
      <c r="G543" s="937" t="str">
        <f>IF(F543&lt;'PlayerGrades+'!$AB$21,"F-",IF(F543&lt;'PlayerGrades+'!$AB$20,"F",IF(F543&lt;'PlayerGrades+'!$AB$19,"F+",IF(F543&lt;'PlayerGrades+'!$AB$18,"E-",IF(F543&lt;'PlayerGrades+'!$AB$17,"E",IF(F543&lt;'PlayerGrades+'!$AB$16,"E+",IF(F543&lt;'PlayerGrades+'!$AB$15,"D-",IF(F543&lt;'PlayerGrades+'!$AB$14,"D",IF(F543&lt;'PlayerGrades+'!$AB$13,"D+",IF(F543&lt;'PlayerGrades+'!$AB$12,"C-",IF(F543&lt;'PlayerGrades+'!$AB$11,"C",IF(F543&lt;'PlayerGrades+'!$AB$10,"C+",IF(F543&lt;'PlayerGrades+'!$AB$9,"B-",IF(F543&lt;'PlayerGrades+'!$AB$8,"B",IF(F543&lt;'PlayerGrades+'!$AB$7,"B+",IF(F543&lt;'PlayerGrades+'!$AB$6,"A-",IF(F543&lt;'PlayerGrades+'!$AB$5,"A",IF(F543&lt;'PlayerGrades+'!$AB$4,"A+",IF(F543&lt;'PlayerGrades+'!$AB$3,"S-",IF(F543&lt;'PlayerGrades+'!$AB$2,"S","S+"))))))))))))))))))))</f>
        <v>D</v>
      </c>
      <c r="H543" s="937">
        <f t="shared" si="3"/>
        <v>0.08415147265</v>
      </c>
      <c r="I543" s="937" t="str">
        <f>IF(H543&lt;'PlayerGrades+'!$AC$21,"F-",IF(H543&lt;'PlayerGrades+'!$AC$20,"F",IF(H543&lt;'PlayerGrades+'!$AC$19,"F+",IF(H543&lt;'PlayerGrades+'!$AC$18,"E-",IF(H543&lt;'PlayerGrades+'!$AC$17,"E",IF(H543&lt;'PlayerGrades+'!$AC$16,"E+",IF(H543&lt;'PlayerGrades+'!$AC$15,"D-",IF(H543&lt;'PlayerGrades+'!$AC$14,"D",IF(H543&lt;'PlayerGrades+'!$AC$13,"D+",IF(H543&lt;'PlayerGrades+'!$AC$12,"C-",IF(H543&lt;'PlayerGrades+'!$AC$11,"C",IF(H543&lt;'PlayerGrades+'!$AC$10,"C+",IF(H543&lt;'PlayerGrades+'!$AC$9,"B-",IF(H543&lt;'PlayerGrades+'!$AC$8,"B",IF(H543&lt;'PlayerGrades+'!$AC$7,"B+",IF(H543&lt;'PlayerGrades+'!$AC$6,"A-",IF(H543&lt;'PlayerGrades+'!$AC$5,"A",IF(H543&lt;'PlayerGrades+'!$AC$4,"A+",IF(H543&lt;'PlayerGrades+'!$AC$3,"S-",IF(H543&lt;'PlayerGrades+'!$AC$2,"S","S+"))))))))))))))))))))</f>
        <v>D-</v>
      </c>
      <c r="J543" s="937">
        <f t="shared" si="4"/>
        <v>0</v>
      </c>
      <c r="K543" s="937" t="str">
        <f>IF(J543&lt;'PlayerGrades+'!$AD$21,"F-",IF(J543&lt;'PlayerGrades+'!$AD$20,"F",IF(J543&lt;'PlayerGrades+'!$AD$19,"F+",IF(J543&lt;'PlayerGrades+'!$AD$18,"E-",IF(J543&lt;'PlayerGrades+'!$AD$17,"E",IF(J543&lt;'PlayerGrades+'!$AD$16,"E+",IF(J543&lt;'PlayerGrades+'!$AD$15,"D-",IF(J543&lt;'PlayerGrades+'!$AD$14,"D",IF(J543&lt;'PlayerGrades+'!$AD$13,"D+",IF(J543&lt;'PlayerGrades+'!$AD$12,"C-",IF(J543&lt;'PlayerGrades+'!$AD$11,"C",IF(J543&lt;'PlayerGrades+'!$AD$10,"C+",IF(J543&lt;'PlayerGrades+'!$AD$9,"B-",IF(J543&lt;'PlayerGrades+'!$AD$8,"B",IF(J543&lt;'PlayerGrades+'!$AD$7,"B+",IF(J543&lt;'PlayerGrades+'!$AD$6,"A-",IF(J543&lt;'PlayerGrades+'!$AD$5,"A",IF(J543&lt;'PlayerGrades+'!$AD$4,"A+",IF(J543&lt;'PlayerGrades+'!$AD$3,"S-",IF(J543&lt;'PlayerGrades+'!$AD$2,"S","S+"))))))))))))))))))))</f>
        <v>F-</v>
      </c>
      <c r="L543" s="677">
        <f t="shared" si="5"/>
        <v>0.3366058906</v>
      </c>
      <c r="M543" s="938" t="str">
        <f>IF(L543&lt;'PlayerGrades+'!$AE$21,"F-",IF(L543&lt;'PlayerGrades+'!$AE$20,"F",IF(L543&lt;'PlayerGrades+'!$AE$19,"F+",IF(L543&lt;'PlayerGrades+'!$AE$18,"E-",IF(L543&lt;'PlayerGrades+'!$AE$17,"E",IF(L543&lt;'PlayerGrades+'!$AE$16,"E+",IF(L543&lt;'PlayerGrades+'!$AE$15,"D-",IF(L543&lt;'PlayerGrades+'!$AE$14,"D",IF(L543&lt;'PlayerGrades+'!$AE$13,"D+",IF(L543&lt;'PlayerGrades+'!$AE$12,"C-",IF(L543&lt;'PlayerGrades+'!$AE$11,"C",IF(L543&lt;'PlayerGrades+'!$AE$10,"C+",IF(L543&lt;'PlayerGrades+'!$AE$9,"B-",IF(L543&lt;'PlayerGrades+'!$AE$8,"B",IF(L543&lt;'PlayerGrades+'!$AE$7,"B+",IF(L543&lt;'PlayerGrades+'!$AE$6,"A-",IF(L543&lt;'PlayerGrades+'!$AE$5,"A",IF(L543&lt;'PlayerGrades+'!$AE$4,"A+",IF(L543&lt;'PlayerGrades+'!$AE$3,"S-",IF(L543&lt;'PlayerGrades+'!$AE$2,"S","S+"))))))))))))))))))))</f>
        <v>D-</v>
      </c>
      <c r="N543" s="937">
        <f t="shared" si="6"/>
        <v>0</v>
      </c>
      <c r="O543" s="937" t="str">
        <f>IF(N543&lt;'PlayerGrades+'!$AF$21,"F-",IF(N543&lt;'PlayerGrades+'!$AF$20,"F",IF(N543&lt;'PlayerGrades+'!$AF$19,"F+",IF(N543&lt;'PlayerGrades+'!$AF$18,"E-",IF(N543&lt;'PlayerGrades+'!$AF$17,"E",IF(N543&lt;'PlayerGrades+'!$AF$16,"E+",IF(N543&lt;'PlayerGrades+'!$AF$15,"D-",IF(N543&lt;'PlayerGrades+'!$AF$14,"D",IF(N543&lt;'PlayerGrades+'!$AF$13,"D+",IF(N543&lt;'PlayerGrades+'!$AF$12,"C-",IF(N543&lt;'PlayerGrades+'!$AF$11,"C",IF(N543&lt;'PlayerGrades+'!$AF$10,"C+",IF(N543&lt;'PlayerGrades+'!$AF$9,"B-",IF(N543&lt;'PlayerGrades+'!$AF$8,"B",IF(N543&lt;'PlayerGrades+'!$AF$7,"B+",IF(N543&lt;'PlayerGrades+'!$AF$6,"A-",IF(N543&lt;'PlayerGrades+'!$AF$5,"A",IF(N543&lt;'PlayerGrades+'!$AF$4,"A+",IF(N543&lt;'PlayerGrades+'!$AF$3,"S-",IF(N543&lt;'PlayerGrades+'!$AF$2,"S","S+"))))))))))))))))))))</f>
        <v>F-</v>
      </c>
      <c r="P543" s="937">
        <f t="shared" si="7"/>
        <v>0</v>
      </c>
      <c r="Q543" s="937" t="str">
        <f>IF(P543&lt;'PlayerGrades+'!$AG$21,"F-",IF(P543&lt;'PlayerGrades+'!$AG$20,"F",IF(P543&lt;'PlayerGrades+'!$AG$19,"F+",IF(P543&lt;'PlayerGrades+'!$AG$18,"E-",IF(P543&lt;'PlayerGrades+'!$AG$17,"E",IF(P543&lt;'PlayerGrades+'!$AG$16,"E+",IF(P543&lt;'PlayerGrades+'!$AG$15,"D-",IF(P543&lt;'PlayerGrades+'!$AG$14,"D",IF(P543&lt;'PlayerGrades+'!$AG$13,"D+",IF(P543&lt;'PlayerGrades+'!$AG$12,"C-",IF(P543&lt;'PlayerGrades+'!$AG$11,"C",IF(P543&lt;'PlayerGrades+'!$AG$10,"C+",IF(P543&lt;'PlayerGrades+'!$AG$9,"B-",IF(P543&lt;'PlayerGrades+'!$AG$8,"B",IF(P543&lt;'PlayerGrades+'!$AG$7,"B+",IF(P543&lt;'PlayerGrades+'!$AG$6,"A-",IF(P543&lt;'PlayerGrades+'!$AG$5,"A",IF(P543&lt;'PlayerGrades+'!$AG$4,"A+",IF(P543&lt;'PlayerGrades+'!$AG$3,"S-",IF(P543&lt;'PlayerGrades+'!$AG$2,"S","S+"))))))))))))))))))))</f>
        <v>F</v>
      </c>
      <c r="R543" s="937">
        <f t="shared" si="8"/>
        <v>0.6732117812</v>
      </c>
      <c r="S543" s="937" t="str">
        <f>IF(R543&lt;'PlayerGrades+'!$AH$21,"F-",IF(R543&lt;'PlayerGrades+'!$AH$20,"F",IF(R543&lt;'PlayerGrades+'!$AH$19,"F+",IF(R543&lt;'PlayerGrades+'!$AH$18,"E-",IF(R543&lt;'PlayerGrades+'!$AH$17,"E",IF(R543&lt;'PlayerGrades+'!$AH$16,"E+",IF(R543&lt;'PlayerGrades+'!$AH$15,"D-",IF(R543&lt;'PlayerGrades+'!$AH$14,"D",IF(R543&lt;'PlayerGrades+'!$AH$13,"D+",IF(R543&lt;'PlayerGrades+'!$AH$12,"C-",IF(R543&lt;'PlayerGrades+'!$AH$11,"C",IF(R543&lt;'PlayerGrades+'!$AH$10,"C+",IF(R543&lt;'PlayerGrades+'!$AH$9,"B-",IF(R543&lt;'PlayerGrades+'!$AH$8,"B",IF(R543&lt;'PlayerGrades+'!$AH$7,"B+",IF(R543&lt;'PlayerGrades+'!$AH$6,"A-",IF(R543&lt;'PlayerGrades+'!$AH$5,"A",IF(R543&lt;'PlayerGrades+'!$AH$4,"A+",IF(R543&lt;'PlayerGrades+'!$AH$3,"S-",IF(R543&lt;'PlayerGrades+'!$AH$2,"S","S+"))))))))))))))))))))</f>
        <v>S-</v>
      </c>
      <c r="T543" s="937">
        <f t="shared" si="9"/>
        <v>1.420757363</v>
      </c>
      <c r="U543" s="937" t="str">
        <f>IF(T543&lt;'PlayerGrades+'!$AI$21,"F-",IF(T543&lt;'PlayerGrades+'!$AI$20,"F",IF(T543&lt;'PlayerGrades+'!$AI$19,"F+",IF(T543&lt;'PlayerGrades+'!$AI$18,"E-",IF(T543&lt;'PlayerGrades+'!$AI$17,"E",IF(T543&lt;'PlayerGrades+'!$AI$16,"E+",IF(T543&lt;'PlayerGrades+'!$AI$15,"D-",IF(T543&lt;'PlayerGrades+'!$AI$14,"D",IF(T543&lt;'PlayerGrades+'!$AI$13,"D+",IF(T543&lt;'PlayerGrades+'!$AI$12,"C-",IF(T543&lt;'PlayerGrades+'!$AI$11,"C",IF(T543&lt;'PlayerGrades+'!$AI$10,"C+",IF(T543&lt;'PlayerGrades+'!$AI$9,"B-",IF(T543&lt;'PlayerGrades+'!$AI$8,"B",IF(T543&lt;'PlayerGrades+'!$AI$7,"B+",IF(T543&lt;'PlayerGrades+'!$AI$6,"A-",IF(T543&lt;'PlayerGrades+'!$AI$5,"A",IF(T543&lt;'PlayerGrades+'!$AI$4,"A+",IF(T543&lt;'PlayerGrades+'!$AI$3,"S-",IF(T543&lt;'PlayerGrades+'!$AI$2,"S","S+"))))))))))))))))))))</f>
        <v>B+</v>
      </c>
      <c r="V543" s="941">
        <v>1.0</v>
      </c>
      <c r="W543" s="941">
        <v>0.0</v>
      </c>
      <c r="X543" s="941">
        <v>1.0</v>
      </c>
      <c r="Y543" s="941">
        <v>0.0</v>
      </c>
      <c r="Z543" s="941">
        <v>2.0</v>
      </c>
      <c r="AA543" s="941">
        <v>34.0</v>
      </c>
      <c r="AB543" s="941">
        <v>39.0</v>
      </c>
      <c r="AC543" s="941">
        <v>-5.0</v>
      </c>
      <c r="AD543" s="941">
        <v>3.0</v>
      </c>
      <c r="AE543" s="941">
        <v>4.0</v>
      </c>
      <c r="AF543" s="941">
        <v>2.0</v>
      </c>
      <c r="AG543" s="941">
        <v>516.0</v>
      </c>
      <c r="AH543" s="941">
        <v>713.0</v>
      </c>
      <c r="AI543" s="941">
        <v>13.0</v>
      </c>
      <c r="AJ543" s="941">
        <v>78.0</v>
      </c>
      <c r="AK543" s="941">
        <v>0.0</v>
      </c>
      <c r="AL543" s="941">
        <v>0.0</v>
      </c>
      <c r="AM543" s="941">
        <v>0.0</v>
      </c>
      <c r="AN543" s="941">
        <v>0.0</v>
      </c>
      <c r="AO543" s="941">
        <v>0.0</v>
      </c>
      <c r="AP543" s="941">
        <v>0.0</v>
      </c>
      <c r="AQ543" s="941">
        <v>0.0</v>
      </c>
      <c r="AR543" s="941">
        <v>4.0</v>
      </c>
      <c r="AS543" s="941">
        <v>0.0</v>
      </c>
      <c r="AT543" s="941">
        <v>0.0</v>
      </c>
      <c r="AU543" s="941">
        <v>0.0</v>
      </c>
      <c r="AV543" s="941">
        <v>0.0</v>
      </c>
      <c r="AW543" s="941">
        <v>0.0</v>
      </c>
      <c r="AX543" s="941">
        <v>0.0</v>
      </c>
      <c r="AY543" s="941">
        <v>0.0</v>
      </c>
      <c r="AZ543" s="941">
        <v>0.0</v>
      </c>
      <c r="BA543" s="941">
        <v>0.0</v>
      </c>
      <c r="BB543" s="941">
        <v>1.0</v>
      </c>
      <c r="BC543" s="941">
        <v>0.0</v>
      </c>
      <c r="BD543" s="941">
        <v>5.0</v>
      </c>
      <c r="BE543" s="941">
        <v>5.0</v>
      </c>
      <c r="BF543" s="941">
        <v>1.0</v>
      </c>
      <c r="BG543" s="941">
        <v>0.0</v>
      </c>
    </row>
    <row r="544">
      <c r="A544" s="1" t="s">
        <v>128</v>
      </c>
      <c r="B544" s="16" t="str">
        <f>IF(C544&lt;'PlayerGrades+'!$Y$44,"F-",IF(C544&lt;'PlayerGrades+'!$Y$43,"F",IF(C544&lt;'PlayerGrades+'!$Y$42,"F+",IF(C544&lt;'PlayerGrades+'!$Y$41,"E-",IF(C544&lt;'PlayerGrades+'!$Y$40,"E",IF(C544&lt;'PlayerGrades+'!$Y$39,"E+",IF(C544&lt;'PlayerGrades+'!$Y$38,"D-",IF(C544&lt;'PlayerGrades+'!$Y$37,"D",IF(C544&lt;'PlayerGrades+'!$Y$36,"D+",IF(C544&lt;'PlayerGrades+'!$Y$35,"C-",IF(C544&lt;'PlayerGrades+'!$Y$34,"C",IF(C544&lt;'PlayerGrades+'!$Y$33,"C+",IF(C544&lt;'PlayerGrades+'!$Y$32,"B-",IF(C544&lt;'PlayerGrades+'!$Y$31,"B",IF(C544&lt;'PlayerGrades+'!$Y$30,"B+",IF(C544&lt;'PlayerGrades+'!$Y$29,"A-",IF(C544&lt;'PlayerGrades+'!$Y$28,"A",IF(C544&lt;'PlayerGrades+'!$Y$27,"A+",IF(C544&lt;'PlayerGrades+'!$Y$26,"S-",IF(C544&lt;'PlayerGrades+'!$Y$25,"S","S+"))))))))))))))))))))</f>
        <v>D</v>
      </c>
      <c r="C544" s="936">
        <f>('PlayerGrades+'!$Y$47*(VLOOKUP(E544, 'PlayerGrades+'!$X$3:$Y$23, 2, FALSE)))+('PlayerGrades+'!$Y$48*(VLOOKUP(G544, 'PlayerGrades+'!$X$3:$Y$23, 2, FALSE)))+('PlayerGrades+'!$Y$49*(VLOOKUP(I544, 'PlayerGrades+'!$X$3:$Y$23, 2, FALSE)))+('PlayerGrades+'!$Y$50*(VLOOKUP(K544, 'PlayerGrades+'!$X$3:$Y$23, 2, FALSE)))+('PlayerGrades+'!$Y$51*(VLOOKUP(M544, 'PlayerGrades+'!$X$3:$Y$23, 2, FALSE)))+('PlayerGrades+'!$Y$52*(VLOOKUP(O544, 'PlayerGrades+'!$X$3:$Y$23, 2, FALSE)))+('PlayerGrades+'!$Y$53*(VLOOKUP(Q544, 'PlayerGrades+'!$X$3:$Y$23, 2, FALSE)))+('PlayerGrades+'!$Y$54*(VLOOKUP(S544, 'PlayerGrades+'!$X$3:$Y$23, 2, FALSE)))+('PlayerGrades+'!$Y$55*(VLOOKUP(U544, 'PlayerGrades+'!$X$3:$Y$23, 2, FALSE)))</f>
        <v>15.5</v>
      </c>
      <c r="D544" s="937">
        <f t="shared" si="1"/>
        <v>0.08415147265</v>
      </c>
      <c r="E544" s="937" t="str">
        <f>IF(D544&lt;'PlayerGrades+'!$AA$21,"F-",IF(D544&lt;'PlayerGrades+'!$AA$20,"F",IF(D544&lt;'PlayerGrades+'!$AA$19,"F+",IF(D544&lt;'PlayerGrades+'!$AA$18,"E-",IF(D544&lt;'PlayerGrades+'!$AA$17,"E",IF(D544&lt;'PlayerGrades+'!$AA$16,"E+",IF(D544&lt;'PlayerGrades+'!$AA$15,"D-",IF(D544&lt;'PlayerGrades+'!$AA$14,"D",IF(D544&lt;'PlayerGrades+'!$AA$13,"D+",IF(D544&lt;'PlayerGrades+'!$AA$12,"C-",IF(D544&lt;'PlayerGrades+'!$AA$11,"C",IF(D544&lt;'PlayerGrades+'!$AA$10,"C+",IF(D544&lt;'PlayerGrades+'!$AA$9,"B-",IF(D544&lt;'PlayerGrades+'!$AA$8,"B",IF(D544&lt;'PlayerGrades+'!$AA$7,"B+",IF(D544&lt;'PlayerGrades+'!$AA$6,"A-",IF(D544&lt;'PlayerGrades+'!$AA$5,"A",IF(D544&lt;'PlayerGrades+'!$AA$4,"A+",IF(D544&lt;'PlayerGrades+'!$AA$3,"S-",IF(D544&lt;'PlayerGrades+'!$AA$2,"S","S+"))))))))))))))))))))</f>
        <v>B</v>
      </c>
      <c r="F544" s="937">
        <f t="shared" si="2"/>
        <v>-1.178120617</v>
      </c>
      <c r="G544" s="937" t="str">
        <f>IF(F544&lt;'PlayerGrades+'!$AB$21,"F-",IF(F544&lt;'PlayerGrades+'!$AB$20,"F",IF(F544&lt;'PlayerGrades+'!$AB$19,"F+",IF(F544&lt;'PlayerGrades+'!$AB$18,"E-",IF(F544&lt;'PlayerGrades+'!$AB$17,"E",IF(F544&lt;'PlayerGrades+'!$AB$16,"E+",IF(F544&lt;'PlayerGrades+'!$AB$15,"D-",IF(F544&lt;'PlayerGrades+'!$AB$14,"D",IF(F544&lt;'PlayerGrades+'!$AB$13,"D+",IF(F544&lt;'PlayerGrades+'!$AB$12,"C-",IF(F544&lt;'PlayerGrades+'!$AB$11,"C",IF(F544&lt;'PlayerGrades+'!$AB$10,"C+",IF(F544&lt;'PlayerGrades+'!$AB$9,"B-",IF(F544&lt;'PlayerGrades+'!$AB$8,"B",IF(F544&lt;'PlayerGrades+'!$AB$7,"B+",IF(F544&lt;'PlayerGrades+'!$AB$6,"A-",IF(F544&lt;'PlayerGrades+'!$AB$5,"A",IF(F544&lt;'PlayerGrades+'!$AB$4,"A+",IF(F544&lt;'PlayerGrades+'!$AB$3,"S-",IF(F544&lt;'PlayerGrades+'!$AB$2,"S","S+"))))))))))))))))))))</f>
        <v>F-</v>
      </c>
      <c r="H544" s="937">
        <f t="shared" si="3"/>
        <v>0</v>
      </c>
      <c r="I544" s="937" t="str">
        <f>IF(H544&lt;'PlayerGrades+'!$AC$21,"F-",IF(H544&lt;'PlayerGrades+'!$AC$20,"F",IF(H544&lt;'PlayerGrades+'!$AC$19,"F+",IF(H544&lt;'PlayerGrades+'!$AC$18,"E-",IF(H544&lt;'PlayerGrades+'!$AC$17,"E",IF(H544&lt;'PlayerGrades+'!$AC$16,"E+",IF(H544&lt;'PlayerGrades+'!$AC$15,"D-",IF(H544&lt;'PlayerGrades+'!$AC$14,"D",IF(H544&lt;'PlayerGrades+'!$AC$13,"D+",IF(H544&lt;'PlayerGrades+'!$AC$12,"C-",IF(H544&lt;'PlayerGrades+'!$AC$11,"C",IF(H544&lt;'PlayerGrades+'!$AC$10,"C+",IF(H544&lt;'PlayerGrades+'!$AC$9,"B-",IF(H544&lt;'PlayerGrades+'!$AC$8,"B",IF(H544&lt;'PlayerGrades+'!$AC$7,"B+",IF(H544&lt;'PlayerGrades+'!$AC$6,"A-",IF(H544&lt;'PlayerGrades+'!$AC$5,"A",IF(H544&lt;'PlayerGrades+'!$AC$4,"A+",IF(H544&lt;'PlayerGrades+'!$AC$3,"S-",IF(H544&lt;'PlayerGrades+'!$AC$2,"S","S+"))))))))))))))))))))</f>
        <v>F-</v>
      </c>
      <c r="J544" s="937">
        <f t="shared" si="4"/>
        <v>0</v>
      </c>
      <c r="K544" s="937" t="str">
        <f>IF(J544&lt;'PlayerGrades+'!$AD$21,"F-",IF(J544&lt;'PlayerGrades+'!$AD$20,"F",IF(J544&lt;'PlayerGrades+'!$AD$19,"F+",IF(J544&lt;'PlayerGrades+'!$AD$18,"E-",IF(J544&lt;'PlayerGrades+'!$AD$17,"E",IF(J544&lt;'PlayerGrades+'!$AD$16,"E+",IF(J544&lt;'PlayerGrades+'!$AD$15,"D-",IF(J544&lt;'PlayerGrades+'!$AD$14,"D",IF(J544&lt;'PlayerGrades+'!$AD$13,"D+",IF(J544&lt;'PlayerGrades+'!$AD$12,"C-",IF(J544&lt;'PlayerGrades+'!$AD$11,"C",IF(J544&lt;'PlayerGrades+'!$AD$10,"C+",IF(J544&lt;'PlayerGrades+'!$AD$9,"B-",IF(J544&lt;'PlayerGrades+'!$AD$8,"B",IF(J544&lt;'PlayerGrades+'!$AD$7,"B+",IF(J544&lt;'PlayerGrades+'!$AD$6,"A-",IF(J544&lt;'PlayerGrades+'!$AD$5,"A",IF(J544&lt;'PlayerGrades+'!$AD$4,"A+",IF(J544&lt;'PlayerGrades+'!$AD$3,"S-",IF(J544&lt;'PlayerGrades+'!$AD$2,"S","S+"))))))))))))))))))))</f>
        <v>F-</v>
      </c>
      <c r="L544" s="677">
        <f t="shared" si="5"/>
        <v>0.5890603086</v>
      </c>
      <c r="M544" s="938" t="str">
        <f>IF(L544&lt;'PlayerGrades+'!$AE$21,"F-",IF(L544&lt;'PlayerGrades+'!$AE$20,"F",IF(L544&lt;'PlayerGrades+'!$AE$19,"F+",IF(L544&lt;'PlayerGrades+'!$AE$18,"E-",IF(L544&lt;'PlayerGrades+'!$AE$17,"E",IF(L544&lt;'PlayerGrades+'!$AE$16,"E+",IF(L544&lt;'PlayerGrades+'!$AE$15,"D-",IF(L544&lt;'PlayerGrades+'!$AE$14,"D",IF(L544&lt;'PlayerGrades+'!$AE$13,"D+",IF(L544&lt;'PlayerGrades+'!$AE$12,"C-",IF(L544&lt;'PlayerGrades+'!$AE$11,"C",IF(L544&lt;'PlayerGrades+'!$AE$10,"C+",IF(L544&lt;'PlayerGrades+'!$AE$9,"B-",IF(L544&lt;'PlayerGrades+'!$AE$8,"B",IF(L544&lt;'PlayerGrades+'!$AE$7,"B+",IF(L544&lt;'PlayerGrades+'!$AE$6,"A-",IF(L544&lt;'PlayerGrades+'!$AE$5,"A",IF(L544&lt;'PlayerGrades+'!$AE$4,"A+",IF(L544&lt;'PlayerGrades+'!$AE$3,"S-",IF(L544&lt;'PlayerGrades+'!$AE$2,"S","S+"))))))))))))))))))))</f>
        <v>A+</v>
      </c>
      <c r="N544" s="937">
        <f t="shared" si="6"/>
        <v>0</v>
      </c>
      <c r="O544" s="937" t="str">
        <f>IF(N544&lt;'PlayerGrades+'!$AF$21,"F-",IF(N544&lt;'PlayerGrades+'!$AF$20,"F",IF(N544&lt;'PlayerGrades+'!$AF$19,"F+",IF(N544&lt;'PlayerGrades+'!$AF$18,"E-",IF(N544&lt;'PlayerGrades+'!$AF$17,"E",IF(N544&lt;'PlayerGrades+'!$AF$16,"E+",IF(N544&lt;'PlayerGrades+'!$AF$15,"D-",IF(N544&lt;'PlayerGrades+'!$AF$14,"D",IF(N544&lt;'PlayerGrades+'!$AF$13,"D+",IF(N544&lt;'PlayerGrades+'!$AF$12,"C-",IF(N544&lt;'PlayerGrades+'!$AF$11,"C",IF(N544&lt;'PlayerGrades+'!$AF$10,"C+",IF(N544&lt;'PlayerGrades+'!$AF$9,"B-",IF(N544&lt;'PlayerGrades+'!$AF$8,"B",IF(N544&lt;'PlayerGrades+'!$AF$7,"B+",IF(N544&lt;'PlayerGrades+'!$AF$6,"A-",IF(N544&lt;'PlayerGrades+'!$AF$5,"A",IF(N544&lt;'PlayerGrades+'!$AF$4,"A+",IF(N544&lt;'PlayerGrades+'!$AF$3,"S-",IF(N544&lt;'PlayerGrades+'!$AF$2,"S","S+"))))))))))))))))))))</f>
        <v>F-</v>
      </c>
      <c r="P544" s="937">
        <f t="shared" si="7"/>
        <v>0</v>
      </c>
      <c r="Q544" s="937" t="str">
        <f>IF(P544&lt;'PlayerGrades+'!$AG$21,"F-",IF(P544&lt;'PlayerGrades+'!$AG$20,"F",IF(P544&lt;'PlayerGrades+'!$AG$19,"F+",IF(P544&lt;'PlayerGrades+'!$AG$18,"E-",IF(P544&lt;'PlayerGrades+'!$AG$17,"E",IF(P544&lt;'PlayerGrades+'!$AG$16,"E+",IF(P544&lt;'PlayerGrades+'!$AG$15,"D-",IF(P544&lt;'PlayerGrades+'!$AG$14,"D",IF(P544&lt;'PlayerGrades+'!$AG$13,"D+",IF(P544&lt;'PlayerGrades+'!$AG$12,"C-",IF(P544&lt;'PlayerGrades+'!$AG$11,"C",IF(P544&lt;'PlayerGrades+'!$AG$10,"C+",IF(P544&lt;'PlayerGrades+'!$AG$9,"B-",IF(P544&lt;'PlayerGrades+'!$AG$8,"B",IF(P544&lt;'PlayerGrades+'!$AG$7,"B+",IF(P544&lt;'PlayerGrades+'!$AG$6,"A-",IF(P544&lt;'PlayerGrades+'!$AG$5,"A",IF(P544&lt;'PlayerGrades+'!$AG$4,"A+",IF(P544&lt;'PlayerGrades+'!$AG$3,"S-",IF(P544&lt;'PlayerGrades+'!$AG$2,"S","S+"))))))))))))))))))))</f>
        <v>F</v>
      </c>
      <c r="R544" s="937">
        <f t="shared" si="8"/>
        <v>1.093969144</v>
      </c>
      <c r="S544" s="937" t="str">
        <f>IF(R544&lt;'PlayerGrades+'!$AH$21,"F-",IF(R544&lt;'PlayerGrades+'!$AH$20,"F",IF(R544&lt;'PlayerGrades+'!$AH$19,"F+",IF(R544&lt;'PlayerGrades+'!$AH$18,"E-",IF(R544&lt;'PlayerGrades+'!$AH$17,"E",IF(R544&lt;'PlayerGrades+'!$AH$16,"E+",IF(R544&lt;'PlayerGrades+'!$AH$15,"D-",IF(R544&lt;'PlayerGrades+'!$AH$14,"D",IF(R544&lt;'PlayerGrades+'!$AH$13,"D+",IF(R544&lt;'PlayerGrades+'!$AH$12,"C-",IF(R544&lt;'PlayerGrades+'!$AH$11,"C",IF(R544&lt;'PlayerGrades+'!$AH$10,"C+",IF(R544&lt;'PlayerGrades+'!$AH$9,"B-",IF(R544&lt;'PlayerGrades+'!$AH$8,"B",IF(R544&lt;'PlayerGrades+'!$AH$7,"B+",IF(R544&lt;'PlayerGrades+'!$AH$6,"A-",IF(R544&lt;'PlayerGrades+'!$AH$5,"A",IF(R544&lt;'PlayerGrades+'!$AH$4,"A+",IF(R544&lt;'PlayerGrades+'!$AH$3,"S-",IF(R544&lt;'PlayerGrades+'!$AH$2,"S","S+"))))))))))))))))))))</f>
        <v>S+</v>
      </c>
      <c r="T544" s="937">
        <f t="shared" si="9"/>
        <v>1.252454418</v>
      </c>
      <c r="U544" s="937" t="str">
        <f>IF(T544&lt;'PlayerGrades+'!$AI$21,"F-",IF(T544&lt;'PlayerGrades+'!$AI$20,"F",IF(T544&lt;'PlayerGrades+'!$AI$19,"F+",IF(T544&lt;'PlayerGrades+'!$AI$18,"E-",IF(T544&lt;'PlayerGrades+'!$AI$17,"E",IF(T544&lt;'PlayerGrades+'!$AI$16,"E+",IF(T544&lt;'PlayerGrades+'!$AI$15,"D-",IF(T544&lt;'PlayerGrades+'!$AI$14,"D",IF(T544&lt;'PlayerGrades+'!$AI$13,"D+",IF(T544&lt;'PlayerGrades+'!$AI$12,"C-",IF(T544&lt;'PlayerGrades+'!$AI$11,"C",IF(T544&lt;'PlayerGrades+'!$AI$10,"C+",IF(T544&lt;'PlayerGrades+'!$AI$9,"B-",IF(T544&lt;'PlayerGrades+'!$AI$8,"B",IF(T544&lt;'PlayerGrades+'!$AI$7,"B+",IF(T544&lt;'PlayerGrades+'!$AI$6,"A-",IF(T544&lt;'PlayerGrades+'!$AI$5,"A",IF(T544&lt;'PlayerGrades+'!$AI$4,"A+",IF(T544&lt;'PlayerGrades+'!$AI$3,"S-",IF(T544&lt;'PlayerGrades+'!$AI$2,"S","S+"))))))))))))))))))))</f>
        <v>C</v>
      </c>
      <c r="V544" s="941">
        <v>1.0</v>
      </c>
      <c r="W544" s="941">
        <v>0.0</v>
      </c>
      <c r="X544" s="941">
        <v>1.0</v>
      </c>
      <c r="Y544" s="941">
        <v>0.0</v>
      </c>
      <c r="Z544" s="941">
        <v>1.0</v>
      </c>
      <c r="AA544" s="941">
        <v>38.0</v>
      </c>
      <c r="AB544" s="941">
        <v>52.0</v>
      </c>
      <c r="AC544" s="941">
        <v>-14.0</v>
      </c>
      <c r="AD544" s="941">
        <v>3.0</v>
      </c>
      <c r="AE544" s="941">
        <v>4.0</v>
      </c>
      <c r="AF544" s="941">
        <v>2.0</v>
      </c>
      <c r="AG544" s="941">
        <v>474.0</v>
      </c>
      <c r="AH544" s="941">
        <v>713.0</v>
      </c>
      <c r="AI544" s="941">
        <v>9.0</v>
      </c>
      <c r="AJ544" s="941">
        <v>24.0</v>
      </c>
      <c r="AK544" s="941">
        <v>0.0</v>
      </c>
      <c r="AL544" s="941">
        <v>0.0</v>
      </c>
      <c r="AM544" s="941">
        <v>0.0</v>
      </c>
      <c r="AN544" s="941">
        <v>0.0</v>
      </c>
      <c r="AO544" s="941">
        <v>0.0</v>
      </c>
      <c r="AP544" s="941">
        <v>0.0</v>
      </c>
      <c r="AQ544" s="941">
        <v>0.0</v>
      </c>
      <c r="AR544" s="941">
        <v>7.0</v>
      </c>
      <c r="AS544" s="941">
        <v>0.0</v>
      </c>
      <c r="AT544" s="941">
        <v>0.0</v>
      </c>
      <c r="AU544" s="941">
        <v>0.0</v>
      </c>
      <c r="AV544" s="941">
        <v>0.0</v>
      </c>
      <c r="AW544" s="941">
        <v>0.0</v>
      </c>
      <c r="AX544" s="941">
        <v>0.0</v>
      </c>
      <c r="AY544" s="941">
        <v>0.0</v>
      </c>
      <c r="AZ544" s="941">
        <v>0.0</v>
      </c>
      <c r="BA544" s="941">
        <v>0.0</v>
      </c>
      <c r="BB544" s="941">
        <v>0.0</v>
      </c>
      <c r="BC544" s="941">
        <v>0.0</v>
      </c>
      <c r="BD544" s="941">
        <v>10.0</v>
      </c>
      <c r="BE544" s="941">
        <v>3.0</v>
      </c>
      <c r="BF544" s="941">
        <v>1.0</v>
      </c>
      <c r="BG544" s="941">
        <v>0.0</v>
      </c>
    </row>
    <row r="545">
      <c r="A545" s="657" t="s">
        <v>139</v>
      </c>
      <c r="B545" s="656" t="str">
        <f>IF(C545&lt;'PlayerGrades+'!$Y$44,"F-",IF(C545&lt;'PlayerGrades+'!$Y$43,"F",IF(C545&lt;'PlayerGrades+'!$Y$42,"F+",IF(C545&lt;'PlayerGrades+'!$Y$41,"E-",IF(C545&lt;'PlayerGrades+'!$Y$40,"E",IF(C545&lt;'PlayerGrades+'!$Y$39,"E+",IF(C545&lt;'PlayerGrades+'!$Y$38,"D-",IF(C545&lt;'PlayerGrades+'!$Y$37,"D",IF(C545&lt;'PlayerGrades+'!$Y$36,"D+",IF(C545&lt;'PlayerGrades+'!$Y$35,"C-",IF(C545&lt;'PlayerGrades+'!$Y$34,"C",IF(C545&lt;'PlayerGrades+'!$Y$33,"C+",IF(C545&lt;'PlayerGrades+'!$Y$32,"B-",IF(C545&lt;'PlayerGrades+'!$Y$31,"B",IF(C545&lt;'PlayerGrades+'!$Y$30,"B+",IF(C545&lt;'PlayerGrades+'!$Y$29,"A-",IF(C545&lt;'PlayerGrades+'!$Y$28,"A",IF(C545&lt;'PlayerGrades+'!$Y$27,"A+",IF(C545&lt;'PlayerGrades+'!$Y$26,"S-",IF(C545&lt;'PlayerGrades+'!$Y$25,"S","S+"))))))))))))))))))))</f>
        <v>E+</v>
      </c>
      <c r="C545" s="967">
        <f>('PlayerGrades+'!$Y$47*(VLOOKUP(E545, 'PlayerGrades+'!$X$3:$Y$23, 2, FALSE)))+('PlayerGrades+'!$Y$48*(VLOOKUP(G545, 'PlayerGrades+'!$X$3:$Y$23, 2, FALSE)))+('PlayerGrades+'!$Y$49*(VLOOKUP(I545, 'PlayerGrades+'!$X$3:$Y$23, 2, FALSE)))+('PlayerGrades+'!$Y$50*(VLOOKUP(K545, 'PlayerGrades+'!$X$3:$Y$23, 2, FALSE)))+('PlayerGrades+'!$Y$51*(VLOOKUP(M545, 'PlayerGrades+'!$X$3:$Y$23, 2, FALSE)))+('PlayerGrades+'!$Y$52*(VLOOKUP(O545, 'PlayerGrades+'!$X$3:$Y$23, 2, FALSE)))+('PlayerGrades+'!$Y$53*(VLOOKUP(Q545, 'PlayerGrades+'!$X$3:$Y$23, 2, FALSE)))+('PlayerGrades+'!$Y$54*(VLOOKUP(S545, 'PlayerGrades+'!$X$3:$Y$23, 2, FALSE)))+('PlayerGrades+'!$Y$55*(VLOOKUP(U545, 'PlayerGrades+'!$X$3:$Y$23, 2, FALSE)))</f>
        <v>13.5</v>
      </c>
      <c r="D545" s="968">
        <f t="shared" si="1"/>
        <v>0</v>
      </c>
      <c r="E545" s="968" t="str">
        <f>IF(D545&lt;'PlayerGrades+'!$AA$21,"F-",IF(D545&lt;'PlayerGrades+'!$AA$20,"F",IF(D545&lt;'PlayerGrades+'!$AA$19,"F+",IF(D545&lt;'PlayerGrades+'!$AA$18,"E-",IF(D545&lt;'PlayerGrades+'!$AA$17,"E",IF(D545&lt;'PlayerGrades+'!$AA$16,"E+",IF(D545&lt;'PlayerGrades+'!$AA$15,"D-",IF(D545&lt;'PlayerGrades+'!$AA$14,"D",IF(D545&lt;'PlayerGrades+'!$AA$13,"D+",IF(D545&lt;'PlayerGrades+'!$AA$12,"C-",IF(D545&lt;'PlayerGrades+'!$AA$11,"C",IF(D545&lt;'PlayerGrades+'!$AA$10,"C+",IF(D545&lt;'PlayerGrades+'!$AA$9,"B-",IF(D545&lt;'PlayerGrades+'!$AA$8,"B",IF(D545&lt;'PlayerGrades+'!$AA$7,"B+",IF(D545&lt;'PlayerGrades+'!$AA$6,"A-",IF(D545&lt;'PlayerGrades+'!$AA$5,"A",IF(D545&lt;'PlayerGrades+'!$AA$4,"A+",IF(D545&lt;'PlayerGrades+'!$AA$3,"S-",IF(D545&lt;'PlayerGrades+'!$AA$2,"S","S+"))))))))))))))))))))</f>
        <v>F-</v>
      </c>
      <c r="F545" s="968">
        <f t="shared" si="2"/>
        <v>-1.851332398</v>
      </c>
      <c r="G545" s="968" t="str">
        <f>IF(F545&lt;'PlayerGrades+'!$AB$21,"F-",IF(F545&lt;'PlayerGrades+'!$AB$20,"F",IF(F545&lt;'PlayerGrades+'!$AB$19,"F+",IF(F545&lt;'PlayerGrades+'!$AB$18,"E-",IF(F545&lt;'PlayerGrades+'!$AB$17,"E",IF(F545&lt;'PlayerGrades+'!$AB$16,"E+",IF(F545&lt;'PlayerGrades+'!$AB$15,"D-",IF(F545&lt;'PlayerGrades+'!$AB$14,"D",IF(F545&lt;'PlayerGrades+'!$AB$13,"D+",IF(F545&lt;'PlayerGrades+'!$AB$12,"C-",IF(F545&lt;'PlayerGrades+'!$AB$11,"C",IF(F545&lt;'PlayerGrades+'!$AB$10,"C+",IF(F545&lt;'PlayerGrades+'!$AB$9,"B-",IF(F545&lt;'PlayerGrades+'!$AB$8,"B",IF(F545&lt;'PlayerGrades+'!$AB$7,"B+",IF(F545&lt;'PlayerGrades+'!$AB$6,"A-",IF(F545&lt;'PlayerGrades+'!$AB$5,"A",IF(F545&lt;'PlayerGrades+'!$AB$4,"A+",IF(F545&lt;'PlayerGrades+'!$AB$3,"S-",IF(F545&lt;'PlayerGrades+'!$AB$2,"S","S+"))))))))))))))))))))</f>
        <v>F-</v>
      </c>
      <c r="H545" s="968">
        <f t="shared" si="3"/>
        <v>0.08415147265</v>
      </c>
      <c r="I545" s="968" t="str">
        <f>IF(H545&lt;'PlayerGrades+'!$AC$21,"F-",IF(H545&lt;'PlayerGrades+'!$AC$20,"F",IF(H545&lt;'PlayerGrades+'!$AC$19,"F+",IF(H545&lt;'PlayerGrades+'!$AC$18,"E-",IF(H545&lt;'PlayerGrades+'!$AC$17,"E",IF(H545&lt;'PlayerGrades+'!$AC$16,"E+",IF(H545&lt;'PlayerGrades+'!$AC$15,"D-",IF(H545&lt;'PlayerGrades+'!$AC$14,"D",IF(H545&lt;'PlayerGrades+'!$AC$13,"D+",IF(H545&lt;'PlayerGrades+'!$AC$12,"C-",IF(H545&lt;'PlayerGrades+'!$AC$11,"C",IF(H545&lt;'PlayerGrades+'!$AC$10,"C+",IF(H545&lt;'PlayerGrades+'!$AC$9,"B-",IF(H545&lt;'PlayerGrades+'!$AC$8,"B",IF(H545&lt;'PlayerGrades+'!$AC$7,"B+",IF(H545&lt;'PlayerGrades+'!$AC$6,"A-",IF(H545&lt;'PlayerGrades+'!$AC$5,"A",IF(H545&lt;'PlayerGrades+'!$AC$4,"A+",IF(H545&lt;'PlayerGrades+'!$AC$3,"S-",IF(H545&lt;'PlayerGrades+'!$AC$2,"S","S+"))))))))))))))))))))</f>
        <v>D-</v>
      </c>
      <c r="J545" s="968">
        <f t="shared" si="4"/>
        <v>0</v>
      </c>
      <c r="K545" s="968" t="str">
        <f>IF(J545&lt;'PlayerGrades+'!$AD$21,"F-",IF(J545&lt;'PlayerGrades+'!$AD$20,"F",IF(J545&lt;'PlayerGrades+'!$AD$19,"F+",IF(J545&lt;'PlayerGrades+'!$AD$18,"E-",IF(J545&lt;'PlayerGrades+'!$AD$17,"E",IF(J545&lt;'PlayerGrades+'!$AD$16,"E+",IF(J545&lt;'PlayerGrades+'!$AD$15,"D-",IF(J545&lt;'PlayerGrades+'!$AD$14,"D",IF(J545&lt;'PlayerGrades+'!$AD$13,"D+",IF(J545&lt;'PlayerGrades+'!$AD$12,"C-",IF(J545&lt;'PlayerGrades+'!$AD$11,"C",IF(J545&lt;'PlayerGrades+'!$AD$10,"C+",IF(J545&lt;'PlayerGrades+'!$AD$9,"B-",IF(J545&lt;'PlayerGrades+'!$AD$8,"B",IF(J545&lt;'PlayerGrades+'!$AD$7,"B+",IF(J545&lt;'PlayerGrades+'!$AD$6,"A-",IF(J545&lt;'PlayerGrades+'!$AD$5,"A",IF(J545&lt;'PlayerGrades+'!$AD$4,"A+",IF(J545&lt;'PlayerGrades+'!$AD$3,"S-",IF(J545&lt;'PlayerGrades+'!$AD$2,"S","S+"))))))))))))))))))))</f>
        <v>F-</v>
      </c>
      <c r="L545" s="969">
        <f t="shared" si="5"/>
        <v>0.5890603086</v>
      </c>
      <c r="M545" s="970" t="str">
        <f>IF(L545&lt;'PlayerGrades+'!$AE$21,"F-",IF(L545&lt;'PlayerGrades+'!$AE$20,"F",IF(L545&lt;'PlayerGrades+'!$AE$19,"F+",IF(L545&lt;'PlayerGrades+'!$AE$18,"E-",IF(L545&lt;'PlayerGrades+'!$AE$17,"E",IF(L545&lt;'PlayerGrades+'!$AE$16,"E+",IF(L545&lt;'PlayerGrades+'!$AE$15,"D-",IF(L545&lt;'PlayerGrades+'!$AE$14,"D",IF(L545&lt;'PlayerGrades+'!$AE$13,"D+",IF(L545&lt;'PlayerGrades+'!$AE$12,"C-",IF(L545&lt;'PlayerGrades+'!$AE$11,"C",IF(L545&lt;'PlayerGrades+'!$AE$10,"C+",IF(L545&lt;'PlayerGrades+'!$AE$9,"B-",IF(L545&lt;'PlayerGrades+'!$AE$8,"B",IF(L545&lt;'PlayerGrades+'!$AE$7,"B+",IF(L545&lt;'PlayerGrades+'!$AE$6,"A-",IF(L545&lt;'PlayerGrades+'!$AE$5,"A",IF(L545&lt;'PlayerGrades+'!$AE$4,"A+",IF(L545&lt;'PlayerGrades+'!$AE$3,"S-",IF(L545&lt;'PlayerGrades+'!$AE$2,"S","S+"))))))))))))))))))))</f>
        <v>A+</v>
      </c>
      <c r="N545" s="968">
        <f t="shared" si="6"/>
        <v>0.08415147265</v>
      </c>
      <c r="O545" s="968" t="str">
        <f>IF(N545&lt;'PlayerGrades+'!$AF$21,"F-",IF(N545&lt;'PlayerGrades+'!$AF$20,"F",IF(N545&lt;'PlayerGrades+'!$AF$19,"F+",IF(N545&lt;'PlayerGrades+'!$AF$18,"E-",IF(N545&lt;'PlayerGrades+'!$AF$17,"E",IF(N545&lt;'PlayerGrades+'!$AF$16,"E+",IF(N545&lt;'PlayerGrades+'!$AF$15,"D-",IF(N545&lt;'PlayerGrades+'!$AF$14,"D",IF(N545&lt;'PlayerGrades+'!$AF$13,"D+",IF(N545&lt;'PlayerGrades+'!$AF$12,"C-",IF(N545&lt;'PlayerGrades+'!$AF$11,"C",IF(N545&lt;'PlayerGrades+'!$AF$10,"C+",IF(N545&lt;'PlayerGrades+'!$AF$9,"B-",IF(N545&lt;'PlayerGrades+'!$AF$8,"B",IF(N545&lt;'PlayerGrades+'!$AF$7,"B+",IF(N545&lt;'PlayerGrades+'!$AF$6,"A-",IF(N545&lt;'PlayerGrades+'!$AF$5,"A",IF(N545&lt;'PlayerGrades+'!$AF$4,"A+",IF(N545&lt;'PlayerGrades+'!$AF$3,"S-",IF(N545&lt;'PlayerGrades+'!$AF$2,"S","S+"))))))))))))))))))))</f>
        <v>B</v>
      </c>
      <c r="P545" s="968">
        <f t="shared" si="7"/>
        <v>0</v>
      </c>
      <c r="Q545" s="968" t="str">
        <f>IF(P545&lt;'PlayerGrades+'!$AG$21,"F-",IF(P545&lt;'PlayerGrades+'!$AG$20,"F",IF(P545&lt;'PlayerGrades+'!$AG$19,"F+",IF(P545&lt;'PlayerGrades+'!$AG$18,"E-",IF(P545&lt;'PlayerGrades+'!$AG$17,"E",IF(P545&lt;'PlayerGrades+'!$AG$16,"E+",IF(P545&lt;'PlayerGrades+'!$AG$15,"D-",IF(P545&lt;'PlayerGrades+'!$AG$14,"D",IF(P545&lt;'PlayerGrades+'!$AG$13,"D+",IF(P545&lt;'PlayerGrades+'!$AG$12,"C-",IF(P545&lt;'PlayerGrades+'!$AG$11,"C",IF(P545&lt;'PlayerGrades+'!$AG$10,"C+",IF(P545&lt;'PlayerGrades+'!$AG$9,"B-",IF(P545&lt;'PlayerGrades+'!$AG$8,"B",IF(P545&lt;'PlayerGrades+'!$AG$7,"B+",IF(P545&lt;'PlayerGrades+'!$AG$6,"A-",IF(P545&lt;'PlayerGrades+'!$AG$5,"A",IF(P545&lt;'PlayerGrades+'!$AG$4,"A+",IF(P545&lt;'PlayerGrades+'!$AG$3,"S-",IF(P545&lt;'PlayerGrades+'!$AG$2,"S","S+"))))))))))))))))))))</f>
        <v>F</v>
      </c>
      <c r="R545" s="968">
        <f t="shared" si="8"/>
        <v>0.5049088359</v>
      </c>
      <c r="S545" s="968" t="str">
        <f>IF(R545&lt;'PlayerGrades+'!$AH$21,"F-",IF(R545&lt;'PlayerGrades+'!$AH$20,"F",IF(R545&lt;'PlayerGrades+'!$AH$19,"F+",IF(R545&lt;'PlayerGrades+'!$AH$18,"E-",IF(R545&lt;'PlayerGrades+'!$AH$17,"E",IF(R545&lt;'PlayerGrades+'!$AH$16,"E+",IF(R545&lt;'PlayerGrades+'!$AH$15,"D-",IF(R545&lt;'PlayerGrades+'!$AH$14,"D",IF(R545&lt;'PlayerGrades+'!$AH$13,"D+",IF(R545&lt;'PlayerGrades+'!$AH$12,"C-",IF(R545&lt;'PlayerGrades+'!$AH$11,"C",IF(R545&lt;'PlayerGrades+'!$AH$10,"C+",IF(R545&lt;'PlayerGrades+'!$AH$9,"B-",IF(R545&lt;'PlayerGrades+'!$AH$8,"B",IF(R545&lt;'PlayerGrades+'!$AH$7,"B+",IF(R545&lt;'PlayerGrades+'!$AH$6,"A-",IF(R545&lt;'PlayerGrades+'!$AH$5,"A",IF(R545&lt;'PlayerGrades+'!$AH$4,"A+",IF(R545&lt;'PlayerGrades+'!$AH$3,"S-",IF(R545&lt;'PlayerGrades+'!$AH$2,"S","S+"))))))))))))))))))))</f>
        <v>D-</v>
      </c>
      <c r="T545" s="968">
        <f t="shared" si="9"/>
        <v>0.1683029453</v>
      </c>
      <c r="U545" s="968" t="str">
        <f>IF(T545&lt;'PlayerGrades+'!$AI$21,"F-",IF(T545&lt;'PlayerGrades+'!$AI$20,"F",IF(T545&lt;'PlayerGrades+'!$AI$19,"F+",IF(T545&lt;'PlayerGrades+'!$AI$18,"E-",IF(T545&lt;'PlayerGrades+'!$AI$17,"E",IF(T545&lt;'PlayerGrades+'!$AI$16,"E+",IF(T545&lt;'PlayerGrades+'!$AI$15,"D-",IF(T545&lt;'PlayerGrades+'!$AI$14,"D",IF(T545&lt;'PlayerGrades+'!$AI$13,"D+",IF(T545&lt;'PlayerGrades+'!$AI$12,"C-",IF(T545&lt;'PlayerGrades+'!$AI$11,"C",IF(T545&lt;'PlayerGrades+'!$AI$10,"C+",IF(T545&lt;'PlayerGrades+'!$AI$9,"B-",IF(T545&lt;'PlayerGrades+'!$AI$8,"B",IF(T545&lt;'PlayerGrades+'!$AI$7,"B+",IF(T545&lt;'PlayerGrades+'!$AI$6,"A-",IF(T545&lt;'PlayerGrades+'!$AI$5,"A",IF(T545&lt;'PlayerGrades+'!$AI$4,"A+",IF(T545&lt;'PlayerGrades+'!$AI$3,"S-",IF(T545&lt;'PlayerGrades+'!$AI$2,"S","S+"))))))))))))))))))))</f>
        <v>F-</v>
      </c>
      <c r="V545" s="971">
        <v>1.0</v>
      </c>
      <c r="W545" s="971">
        <v>0.0</v>
      </c>
      <c r="X545" s="971">
        <v>1.0</v>
      </c>
      <c r="Y545" s="971">
        <v>0.0</v>
      </c>
      <c r="Z545" s="971">
        <v>0.0</v>
      </c>
      <c r="AA545" s="971">
        <v>32.0</v>
      </c>
      <c r="AB545" s="971">
        <v>54.0</v>
      </c>
      <c r="AC545" s="971">
        <v>-22.0</v>
      </c>
      <c r="AD545" s="971">
        <v>1.0</v>
      </c>
      <c r="AE545" s="971">
        <v>3.0</v>
      </c>
      <c r="AF545" s="971">
        <v>0.0</v>
      </c>
      <c r="AG545" s="971">
        <v>475.0</v>
      </c>
      <c r="AH545" s="971">
        <v>713.0</v>
      </c>
      <c r="AI545" s="971">
        <v>8.0</v>
      </c>
      <c r="AJ545" s="971">
        <v>0.0</v>
      </c>
      <c r="AK545" s="971">
        <v>0.0</v>
      </c>
      <c r="AL545" s="971">
        <v>0.0</v>
      </c>
      <c r="AM545" s="971">
        <v>0.0</v>
      </c>
      <c r="AN545" s="971">
        <v>0.0</v>
      </c>
      <c r="AO545" s="971">
        <v>0.0</v>
      </c>
      <c r="AP545" s="971">
        <v>0.0</v>
      </c>
      <c r="AQ545" s="971">
        <v>0.0</v>
      </c>
      <c r="AR545" s="971">
        <v>7.0</v>
      </c>
      <c r="AS545" s="971">
        <v>1.0</v>
      </c>
      <c r="AT545" s="971">
        <v>0.0</v>
      </c>
      <c r="AU545" s="971">
        <v>0.0</v>
      </c>
      <c r="AV545" s="971">
        <v>0.0</v>
      </c>
      <c r="AW545" s="971">
        <v>0.0</v>
      </c>
      <c r="AX545" s="971">
        <v>0.0</v>
      </c>
      <c r="AY545" s="971">
        <v>0.0</v>
      </c>
      <c r="AZ545" s="971">
        <v>0.0</v>
      </c>
      <c r="BA545" s="971">
        <v>0.0</v>
      </c>
      <c r="BB545" s="971">
        <v>1.0</v>
      </c>
      <c r="BC545" s="971">
        <v>0.0</v>
      </c>
      <c r="BD545" s="971">
        <v>5.0</v>
      </c>
      <c r="BE545" s="971">
        <v>2.0</v>
      </c>
      <c r="BF545" s="971">
        <v>0.0</v>
      </c>
      <c r="BG545" s="971">
        <v>0.0</v>
      </c>
    </row>
    <row r="546">
      <c r="A546" s="1" t="s">
        <v>154</v>
      </c>
      <c r="B546" s="421" t="str">
        <f>IF(C546&lt;'PlayerGrades+'!$Y$44,"F-",IF(C546&lt;'PlayerGrades+'!$Y$43,"F",IF(C546&lt;'PlayerGrades+'!$Y$42,"F+",IF(C546&lt;'PlayerGrades+'!$Y$41,"E-",IF(C546&lt;'PlayerGrades+'!$Y$40,"E",IF(C546&lt;'PlayerGrades+'!$Y$39,"E+",IF(C546&lt;'PlayerGrades+'!$Y$38,"D-",IF(C546&lt;'PlayerGrades+'!$Y$37,"D",IF(C546&lt;'PlayerGrades+'!$Y$36,"D+",IF(C546&lt;'PlayerGrades+'!$Y$35,"C-",IF(C546&lt;'PlayerGrades+'!$Y$34,"C",IF(C546&lt;'PlayerGrades+'!$Y$33,"C+",IF(C546&lt;'PlayerGrades+'!$Y$32,"B-",IF(C546&lt;'PlayerGrades+'!$Y$31,"B",IF(C546&lt;'PlayerGrades+'!$Y$30,"B+",IF(C546&lt;'PlayerGrades+'!$Y$29,"A-",IF(C546&lt;'PlayerGrades+'!$Y$28,"A",IF(C546&lt;'PlayerGrades+'!$Y$27,"A+",IF(C546&lt;'PlayerGrades+'!$Y$26,"S-",IF(C546&lt;'PlayerGrades+'!$Y$25,"S","S+"))))))))))))))))))))</f>
        <v>E-</v>
      </c>
      <c r="C546" s="972">
        <f>('PlayerGrades+'!$Y$47*(VLOOKUP(E546, 'PlayerGrades+'!$X$3:$Y$23, 2, FALSE)))+('PlayerGrades+'!$Y$48*(VLOOKUP(G546, 'PlayerGrades+'!$X$3:$Y$23, 2, FALSE)))+('PlayerGrades+'!$Y$49*(VLOOKUP(I546, 'PlayerGrades+'!$X$3:$Y$23, 2, FALSE)))+('PlayerGrades+'!$Y$50*(VLOOKUP(K546, 'PlayerGrades+'!$X$3:$Y$23, 2, FALSE)))+('PlayerGrades+'!$Y$51*(VLOOKUP(M546, 'PlayerGrades+'!$X$3:$Y$23, 2, FALSE)))+('PlayerGrades+'!$Y$52*(VLOOKUP(O546, 'PlayerGrades+'!$X$3:$Y$23, 2, FALSE)))+('PlayerGrades+'!$Y$53*(VLOOKUP(Q546, 'PlayerGrades+'!$X$3:$Y$23, 2, FALSE)))+('PlayerGrades+'!$Y$54*(VLOOKUP(S546, 'PlayerGrades+'!$X$3:$Y$23, 2, FALSE)))+('PlayerGrades+'!$Y$55*(VLOOKUP(U546, 'PlayerGrades+'!$X$3:$Y$23, 2, FALSE)))</f>
        <v>12.55</v>
      </c>
      <c r="D546" s="973">
        <f t="shared" si="1"/>
        <v>0.2664974619</v>
      </c>
      <c r="E546" s="973" t="str">
        <f>IF(D546&lt;'PlayerGrades+'!$AA$21,"F-",IF(D546&lt;'PlayerGrades+'!$AA$20,"F",IF(D546&lt;'PlayerGrades+'!$AA$19,"F+",IF(D546&lt;'PlayerGrades+'!$AA$18,"E-",IF(D546&lt;'PlayerGrades+'!$AA$17,"E",IF(D546&lt;'PlayerGrades+'!$AA$16,"E+",IF(D546&lt;'PlayerGrades+'!$AA$15,"D-",IF(D546&lt;'PlayerGrades+'!$AA$14,"D",IF(D546&lt;'PlayerGrades+'!$AA$13,"D+",IF(D546&lt;'PlayerGrades+'!$AA$12,"C-",IF(D546&lt;'PlayerGrades+'!$AA$11,"C",IF(D546&lt;'PlayerGrades+'!$AA$10,"C+",IF(D546&lt;'PlayerGrades+'!$AA$9,"B-",IF(D546&lt;'PlayerGrades+'!$AA$8,"B",IF(D546&lt;'PlayerGrades+'!$AA$7,"B+",IF(D546&lt;'PlayerGrades+'!$AA$6,"A-",IF(D546&lt;'PlayerGrades+'!$AA$5,"A",IF(D546&lt;'PlayerGrades+'!$AA$4,"A+",IF(D546&lt;'PlayerGrades+'!$AA$3,"S-",IF(D546&lt;'PlayerGrades+'!$AA$2,"S","S+"))))))))))))))))))))</f>
        <v>A-</v>
      </c>
      <c r="F546" s="973">
        <f t="shared" si="2"/>
        <v>-0.9517766497</v>
      </c>
      <c r="G546" s="973" t="str">
        <f>IF(F546&lt;'PlayerGrades+'!$AB$21,"F-",IF(F546&lt;'PlayerGrades+'!$AB$20,"F",IF(F546&lt;'PlayerGrades+'!$AB$19,"F+",IF(F546&lt;'PlayerGrades+'!$AB$18,"E-",IF(F546&lt;'PlayerGrades+'!$AB$17,"E",IF(F546&lt;'PlayerGrades+'!$AB$16,"E+",IF(F546&lt;'PlayerGrades+'!$AB$15,"D-",IF(F546&lt;'PlayerGrades+'!$AB$14,"D",IF(F546&lt;'PlayerGrades+'!$AB$13,"D+",IF(F546&lt;'PlayerGrades+'!$AB$12,"C-",IF(F546&lt;'PlayerGrades+'!$AB$11,"C",IF(F546&lt;'PlayerGrades+'!$AB$10,"C+",IF(F546&lt;'PlayerGrades+'!$AB$9,"B-",IF(F546&lt;'PlayerGrades+'!$AB$8,"B",IF(F546&lt;'PlayerGrades+'!$AB$7,"B+",IF(F546&lt;'PlayerGrades+'!$AB$6,"A-",IF(F546&lt;'PlayerGrades+'!$AB$5,"A",IF(F546&lt;'PlayerGrades+'!$AB$4,"A+",IF(F546&lt;'PlayerGrades+'!$AB$3,"S-",IF(F546&lt;'PlayerGrades+'!$AB$2,"S","S+"))))))))))))))))))))</f>
        <v>F+</v>
      </c>
      <c r="H546" s="973">
        <f t="shared" si="3"/>
        <v>0.03807106599</v>
      </c>
      <c r="I546" s="973" t="str">
        <f>IF(H546&lt;'PlayerGrades+'!$AC$21,"F-",IF(H546&lt;'PlayerGrades+'!$AC$20,"F",IF(H546&lt;'PlayerGrades+'!$AC$19,"F+",IF(H546&lt;'PlayerGrades+'!$AC$18,"E-",IF(H546&lt;'PlayerGrades+'!$AC$17,"E",IF(H546&lt;'PlayerGrades+'!$AC$16,"E+",IF(H546&lt;'PlayerGrades+'!$AC$15,"D-",IF(H546&lt;'PlayerGrades+'!$AC$14,"D",IF(H546&lt;'PlayerGrades+'!$AC$13,"D+",IF(H546&lt;'PlayerGrades+'!$AC$12,"C-",IF(H546&lt;'PlayerGrades+'!$AC$11,"C",IF(H546&lt;'PlayerGrades+'!$AC$10,"C+",IF(H546&lt;'PlayerGrades+'!$AC$9,"B-",IF(H546&lt;'PlayerGrades+'!$AC$8,"B",IF(H546&lt;'PlayerGrades+'!$AC$7,"B+",IF(H546&lt;'PlayerGrades+'!$AC$6,"A-",IF(H546&lt;'PlayerGrades+'!$AC$5,"A",IF(H546&lt;'PlayerGrades+'!$AC$4,"A+",IF(H546&lt;'PlayerGrades+'!$AC$3,"S-",IF(H546&lt;'PlayerGrades+'!$AC$2,"S","S+"))))))))))))))))))))</f>
        <v>F</v>
      </c>
      <c r="J546" s="973">
        <f t="shared" si="4"/>
        <v>0</v>
      </c>
      <c r="K546" s="973" t="str">
        <f>IF(J546&lt;'PlayerGrades+'!$AD$21,"F-",IF(J546&lt;'PlayerGrades+'!$AD$20,"F",IF(J546&lt;'PlayerGrades+'!$AD$19,"F+",IF(J546&lt;'PlayerGrades+'!$AD$18,"E-",IF(J546&lt;'PlayerGrades+'!$AD$17,"E",IF(J546&lt;'PlayerGrades+'!$AD$16,"E+",IF(J546&lt;'PlayerGrades+'!$AD$15,"D-",IF(J546&lt;'PlayerGrades+'!$AD$14,"D",IF(J546&lt;'PlayerGrades+'!$AD$13,"D+",IF(J546&lt;'PlayerGrades+'!$AD$12,"C-",IF(J546&lt;'PlayerGrades+'!$AD$11,"C",IF(J546&lt;'PlayerGrades+'!$AD$10,"C+",IF(J546&lt;'PlayerGrades+'!$AD$9,"B-",IF(J546&lt;'PlayerGrades+'!$AD$8,"B",IF(J546&lt;'PlayerGrades+'!$AD$7,"B+",IF(J546&lt;'PlayerGrades+'!$AD$6,"A-",IF(J546&lt;'PlayerGrades+'!$AD$5,"A",IF(J546&lt;'PlayerGrades+'!$AD$4,"A+",IF(J546&lt;'PlayerGrades+'!$AD$3,"S-",IF(J546&lt;'PlayerGrades+'!$AD$2,"S","S+"))))))))))))))))))))</f>
        <v>F-</v>
      </c>
      <c r="L546" s="974">
        <f t="shared" si="5"/>
        <v>0.114213198</v>
      </c>
      <c r="M546" s="975" t="str">
        <f>IF(L546&lt;'PlayerGrades+'!$AE$21,"F-",IF(L546&lt;'PlayerGrades+'!$AE$20,"F",IF(L546&lt;'PlayerGrades+'!$AE$19,"F+",IF(L546&lt;'PlayerGrades+'!$AE$18,"E-",IF(L546&lt;'PlayerGrades+'!$AE$17,"E",IF(L546&lt;'PlayerGrades+'!$AE$16,"E+",IF(L546&lt;'PlayerGrades+'!$AE$15,"D-",IF(L546&lt;'PlayerGrades+'!$AE$14,"D",IF(L546&lt;'PlayerGrades+'!$AE$13,"D+",IF(L546&lt;'PlayerGrades+'!$AE$12,"C-",IF(L546&lt;'PlayerGrades+'!$AE$11,"C",IF(L546&lt;'PlayerGrades+'!$AE$10,"C+",IF(L546&lt;'PlayerGrades+'!$AE$9,"B-",IF(L546&lt;'PlayerGrades+'!$AE$8,"B",IF(L546&lt;'PlayerGrades+'!$AE$7,"B+",IF(L546&lt;'PlayerGrades+'!$AE$6,"A-",IF(L546&lt;'PlayerGrades+'!$AE$5,"A",IF(L546&lt;'PlayerGrades+'!$AE$4,"A+",IF(L546&lt;'PlayerGrades+'!$AE$3,"S-",IF(L546&lt;'PlayerGrades+'!$AE$2,"S","S+"))))))))))))))))))))</f>
        <v>F-</v>
      </c>
      <c r="N546" s="973">
        <f t="shared" si="6"/>
        <v>0.03807106599</v>
      </c>
      <c r="O546" s="973" t="str">
        <f>IF(N546&lt;'PlayerGrades+'!$AF$21,"F-",IF(N546&lt;'PlayerGrades+'!$AF$20,"F",IF(N546&lt;'PlayerGrades+'!$AF$19,"F+",IF(N546&lt;'PlayerGrades+'!$AF$18,"E-",IF(N546&lt;'PlayerGrades+'!$AF$17,"E",IF(N546&lt;'PlayerGrades+'!$AF$16,"E+",IF(N546&lt;'PlayerGrades+'!$AF$15,"D-",IF(N546&lt;'PlayerGrades+'!$AF$14,"D",IF(N546&lt;'PlayerGrades+'!$AF$13,"D+",IF(N546&lt;'PlayerGrades+'!$AF$12,"C-",IF(N546&lt;'PlayerGrades+'!$AF$11,"C",IF(N546&lt;'PlayerGrades+'!$AF$10,"C+",IF(N546&lt;'PlayerGrades+'!$AF$9,"B-",IF(N546&lt;'PlayerGrades+'!$AF$8,"B",IF(N546&lt;'PlayerGrades+'!$AF$7,"B+",IF(N546&lt;'PlayerGrades+'!$AF$6,"A-",IF(N546&lt;'PlayerGrades+'!$AF$5,"A",IF(N546&lt;'PlayerGrades+'!$AF$4,"A+",IF(N546&lt;'PlayerGrades+'!$AF$3,"S-",IF(N546&lt;'PlayerGrades+'!$AF$2,"S","S+"))))))))))))))))))))</f>
        <v>E-</v>
      </c>
      <c r="P546" s="973">
        <f t="shared" si="7"/>
        <v>0</v>
      </c>
      <c r="Q546" s="973" t="str">
        <f>IF(P546&lt;'PlayerGrades+'!$AG$21,"F-",IF(P546&lt;'PlayerGrades+'!$AG$20,"F",IF(P546&lt;'PlayerGrades+'!$AG$19,"F+",IF(P546&lt;'PlayerGrades+'!$AG$18,"E-",IF(P546&lt;'PlayerGrades+'!$AG$17,"E",IF(P546&lt;'PlayerGrades+'!$AG$16,"E+",IF(P546&lt;'PlayerGrades+'!$AG$15,"D-",IF(P546&lt;'PlayerGrades+'!$AG$14,"D",IF(P546&lt;'PlayerGrades+'!$AG$13,"D+",IF(P546&lt;'PlayerGrades+'!$AG$12,"C-",IF(P546&lt;'PlayerGrades+'!$AG$11,"C",IF(P546&lt;'PlayerGrades+'!$AG$10,"C+",IF(P546&lt;'PlayerGrades+'!$AG$9,"B-",IF(P546&lt;'PlayerGrades+'!$AG$8,"B",IF(P546&lt;'PlayerGrades+'!$AG$7,"B+",IF(P546&lt;'PlayerGrades+'!$AG$6,"A-",IF(P546&lt;'PlayerGrades+'!$AG$5,"A",IF(P546&lt;'PlayerGrades+'!$AG$4,"A+",IF(P546&lt;'PlayerGrades+'!$AG$3,"S-",IF(P546&lt;'PlayerGrades+'!$AG$2,"S","S+"))))))))))))))))))))</f>
        <v>F</v>
      </c>
      <c r="R546" s="973">
        <f t="shared" si="8"/>
        <v>0.6091370558</v>
      </c>
      <c r="S546" s="973" t="str">
        <f>IF(R546&lt;'PlayerGrades+'!$AH$21,"F-",IF(R546&lt;'PlayerGrades+'!$AH$20,"F",IF(R546&lt;'PlayerGrades+'!$AH$19,"F+",IF(R546&lt;'PlayerGrades+'!$AH$18,"E-",IF(R546&lt;'PlayerGrades+'!$AH$17,"E",IF(R546&lt;'PlayerGrades+'!$AH$16,"E+",IF(R546&lt;'PlayerGrades+'!$AH$15,"D-",IF(R546&lt;'PlayerGrades+'!$AH$14,"D",IF(R546&lt;'PlayerGrades+'!$AH$13,"D+",IF(R546&lt;'PlayerGrades+'!$AH$12,"C-",IF(R546&lt;'PlayerGrades+'!$AH$11,"C",IF(R546&lt;'PlayerGrades+'!$AH$10,"C+",IF(R546&lt;'PlayerGrades+'!$AH$9,"B-",IF(R546&lt;'PlayerGrades+'!$AH$8,"B",IF(R546&lt;'PlayerGrades+'!$AH$7,"B+",IF(R546&lt;'PlayerGrades+'!$AH$6,"A-",IF(R546&lt;'PlayerGrades+'!$AH$5,"A",IF(R546&lt;'PlayerGrades+'!$AH$4,"A+",IF(R546&lt;'PlayerGrades+'!$AH$3,"S-",IF(R546&lt;'PlayerGrades+'!$AH$2,"S","S+"))))))))))))))))))))</f>
        <v>A-</v>
      </c>
      <c r="T546" s="973">
        <f t="shared" si="9"/>
        <v>1.152284264</v>
      </c>
      <c r="U546" s="973" t="str">
        <f>IF(T546&lt;'PlayerGrades+'!$AI$21,"F-",IF(T546&lt;'PlayerGrades+'!$AI$20,"F",IF(T546&lt;'PlayerGrades+'!$AI$19,"F+",IF(T546&lt;'PlayerGrades+'!$AI$18,"E-",IF(T546&lt;'PlayerGrades+'!$AI$17,"E",IF(T546&lt;'PlayerGrades+'!$AI$16,"E+",IF(T546&lt;'PlayerGrades+'!$AI$15,"D-",IF(T546&lt;'PlayerGrades+'!$AI$14,"D",IF(T546&lt;'PlayerGrades+'!$AI$13,"D+",IF(T546&lt;'PlayerGrades+'!$AI$12,"C-",IF(T546&lt;'PlayerGrades+'!$AI$11,"C",IF(T546&lt;'PlayerGrades+'!$AI$10,"C+",IF(T546&lt;'PlayerGrades+'!$AI$9,"B-",IF(T546&lt;'PlayerGrades+'!$AI$8,"B",IF(T546&lt;'PlayerGrades+'!$AI$7,"B+",IF(T546&lt;'PlayerGrades+'!$AI$6,"A-",IF(T546&lt;'PlayerGrades+'!$AI$5,"A",IF(T546&lt;'PlayerGrades+'!$AI$4,"A+",IF(T546&lt;'PlayerGrades+'!$AI$3,"S-",IF(T546&lt;'PlayerGrades+'!$AI$2,"S","S+"))))))))))))))))))))</f>
        <v>D</v>
      </c>
      <c r="V546" s="941">
        <v>1.0</v>
      </c>
      <c r="W546" s="941">
        <v>1.0</v>
      </c>
      <c r="X546" s="941">
        <v>0.0</v>
      </c>
      <c r="Y546" s="941">
        <v>3.0</v>
      </c>
      <c r="Z546" s="941">
        <v>4.0</v>
      </c>
      <c r="AA546" s="941">
        <v>36.0</v>
      </c>
      <c r="AB546" s="941">
        <v>61.0</v>
      </c>
      <c r="AC546" s="941">
        <v>-25.0</v>
      </c>
      <c r="AD546" s="941">
        <v>4.0</v>
      </c>
      <c r="AE546" s="941">
        <v>3.0</v>
      </c>
      <c r="AF546" s="941">
        <v>0.0</v>
      </c>
      <c r="AG546" s="941">
        <v>1324.0</v>
      </c>
      <c r="AH546" s="941">
        <v>1576.0</v>
      </c>
      <c r="AI546" s="941">
        <v>21.0</v>
      </c>
      <c r="AJ546" s="941">
        <v>474.0</v>
      </c>
      <c r="AK546" s="941">
        <v>0.0</v>
      </c>
      <c r="AL546" s="941">
        <v>0.0</v>
      </c>
      <c r="AM546" s="941">
        <v>0.0</v>
      </c>
      <c r="AN546" s="941">
        <v>0.0</v>
      </c>
      <c r="AO546" s="941">
        <v>0.0</v>
      </c>
      <c r="AP546" s="941">
        <v>0.0</v>
      </c>
      <c r="AQ546" s="941">
        <v>0.0</v>
      </c>
      <c r="AR546" s="941">
        <v>3.0</v>
      </c>
      <c r="AS546" s="941">
        <v>1.0</v>
      </c>
      <c r="AT546" s="941">
        <v>0.0</v>
      </c>
      <c r="AU546" s="941">
        <v>0.0</v>
      </c>
      <c r="AV546" s="941">
        <v>0.0</v>
      </c>
      <c r="AW546" s="941">
        <v>0.0</v>
      </c>
      <c r="AX546" s="941">
        <v>0.0</v>
      </c>
      <c r="AY546" s="941">
        <v>0.0</v>
      </c>
      <c r="AZ546" s="941">
        <v>0.0</v>
      </c>
      <c r="BA546" s="941">
        <v>0.0</v>
      </c>
      <c r="BB546" s="941">
        <v>1.0</v>
      </c>
      <c r="BC546" s="941">
        <v>0.0</v>
      </c>
      <c r="BD546" s="941">
        <v>12.0</v>
      </c>
      <c r="BE546" s="941">
        <v>4.0</v>
      </c>
      <c r="BF546" s="941">
        <v>1.0</v>
      </c>
      <c r="BG546" s="941">
        <v>0.0</v>
      </c>
    </row>
    <row r="547">
      <c r="A547" s="1" t="s">
        <v>514</v>
      </c>
      <c r="B547" s="421" t="str">
        <f>IF(C547&lt;'PlayerGrades+'!$Y$44,"F-",IF(C547&lt;'PlayerGrades+'!$Y$43,"F",IF(C547&lt;'PlayerGrades+'!$Y$42,"F+",IF(C547&lt;'PlayerGrades+'!$Y$41,"E-",IF(C547&lt;'PlayerGrades+'!$Y$40,"E",IF(C547&lt;'PlayerGrades+'!$Y$39,"E+",IF(C547&lt;'PlayerGrades+'!$Y$38,"D-",IF(C547&lt;'PlayerGrades+'!$Y$37,"D",IF(C547&lt;'PlayerGrades+'!$Y$36,"D+",IF(C547&lt;'PlayerGrades+'!$Y$35,"C-",IF(C547&lt;'PlayerGrades+'!$Y$34,"C",IF(C547&lt;'PlayerGrades+'!$Y$33,"C+",IF(C547&lt;'PlayerGrades+'!$Y$32,"B-",IF(C547&lt;'PlayerGrades+'!$Y$31,"B",IF(C547&lt;'PlayerGrades+'!$Y$30,"B+",IF(C547&lt;'PlayerGrades+'!$Y$29,"A-",IF(C547&lt;'PlayerGrades+'!$Y$28,"A",IF(C547&lt;'PlayerGrades+'!$Y$27,"A+",IF(C547&lt;'PlayerGrades+'!$Y$26,"S-",IF(C547&lt;'PlayerGrades+'!$Y$25,"S","S+"))))))))))))))))))))</f>
        <v>C+</v>
      </c>
      <c r="C547" s="972">
        <f>('PlayerGrades+'!$Y$47*(VLOOKUP(E547, 'PlayerGrades+'!$X$3:$Y$23, 2, FALSE)))+('PlayerGrades+'!$Y$48*(VLOOKUP(G547, 'PlayerGrades+'!$X$3:$Y$23, 2, FALSE)))+('PlayerGrades+'!$Y$49*(VLOOKUP(I547, 'PlayerGrades+'!$X$3:$Y$23, 2, FALSE)))+('PlayerGrades+'!$Y$50*(VLOOKUP(K547, 'PlayerGrades+'!$X$3:$Y$23, 2, FALSE)))+('PlayerGrades+'!$Y$51*(VLOOKUP(M547, 'PlayerGrades+'!$X$3:$Y$23, 2, FALSE)))+('PlayerGrades+'!$Y$52*(VLOOKUP(O547, 'PlayerGrades+'!$X$3:$Y$23, 2, FALSE)))+('PlayerGrades+'!$Y$53*(VLOOKUP(Q547, 'PlayerGrades+'!$X$3:$Y$23, 2, FALSE)))+('PlayerGrades+'!$Y$54*(VLOOKUP(S547, 'PlayerGrades+'!$X$3:$Y$23, 2, FALSE)))+('PlayerGrades+'!$Y$55*(VLOOKUP(U547, 'PlayerGrades+'!$X$3:$Y$23, 2, FALSE)))</f>
        <v>21.55</v>
      </c>
      <c r="D547" s="973">
        <f t="shared" si="1"/>
        <v>0.03807106599</v>
      </c>
      <c r="E547" s="973" t="str">
        <f>IF(D547&lt;'PlayerGrades+'!$AA$21,"F-",IF(D547&lt;'PlayerGrades+'!$AA$20,"F",IF(D547&lt;'PlayerGrades+'!$AA$19,"F+",IF(D547&lt;'PlayerGrades+'!$AA$18,"E-",IF(D547&lt;'PlayerGrades+'!$AA$17,"E",IF(D547&lt;'PlayerGrades+'!$AA$16,"E+",IF(D547&lt;'PlayerGrades+'!$AA$15,"D-",IF(D547&lt;'PlayerGrades+'!$AA$14,"D",IF(D547&lt;'PlayerGrades+'!$AA$13,"D+",IF(D547&lt;'PlayerGrades+'!$AA$12,"C-",IF(D547&lt;'PlayerGrades+'!$AA$11,"C",IF(D547&lt;'PlayerGrades+'!$AA$10,"C+",IF(D547&lt;'PlayerGrades+'!$AA$9,"B-",IF(D547&lt;'PlayerGrades+'!$AA$8,"B",IF(D547&lt;'PlayerGrades+'!$AA$7,"B+",IF(D547&lt;'PlayerGrades+'!$AA$6,"A-",IF(D547&lt;'PlayerGrades+'!$AA$5,"A",IF(D547&lt;'PlayerGrades+'!$AA$4,"A+",IF(D547&lt;'PlayerGrades+'!$AA$3,"S-",IF(D547&lt;'PlayerGrades+'!$AA$2,"S","S+"))))))))))))))))))))</f>
        <v>C</v>
      </c>
      <c r="F547" s="973">
        <f t="shared" si="2"/>
        <v>-0.2284263959</v>
      </c>
      <c r="G547" s="973" t="str">
        <f>IF(F547&lt;'PlayerGrades+'!$AB$21,"F-",IF(F547&lt;'PlayerGrades+'!$AB$20,"F",IF(F547&lt;'PlayerGrades+'!$AB$19,"F+",IF(F547&lt;'PlayerGrades+'!$AB$18,"E-",IF(F547&lt;'PlayerGrades+'!$AB$17,"E",IF(F547&lt;'PlayerGrades+'!$AB$16,"E+",IF(F547&lt;'PlayerGrades+'!$AB$15,"D-",IF(F547&lt;'PlayerGrades+'!$AB$14,"D",IF(F547&lt;'PlayerGrades+'!$AB$13,"D+",IF(F547&lt;'PlayerGrades+'!$AB$12,"C-",IF(F547&lt;'PlayerGrades+'!$AB$11,"C",IF(F547&lt;'PlayerGrades+'!$AB$10,"C+",IF(F547&lt;'PlayerGrades+'!$AB$9,"B-",IF(F547&lt;'PlayerGrades+'!$AB$8,"B",IF(F547&lt;'PlayerGrades+'!$AB$7,"B+",IF(F547&lt;'PlayerGrades+'!$AB$6,"A-",IF(F547&lt;'PlayerGrades+'!$AB$5,"A",IF(F547&lt;'PlayerGrades+'!$AB$4,"A+",IF(F547&lt;'PlayerGrades+'!$AB$3,"S-",IF(F547&lt;'PlayerGrades+'!$AB$2,"S","S+"))))))))))))))))))))</f>
        <v>C+</v>
      </c>
      <c r="H547" s="973">
        <f t="shared" si="3"/>
        <v>0.03807106599</v>
      </c>
      <c r="I547" s="973" t="str">
        <f>IF(H547&lt;'PlayerGrades+'!$AC$21,"F-",IF(H547&lt;'PlayerGrades+'!$AC$20,"F",IF(H547&lt;'PlayerGrades+'!$AC$19,"F+",IF(H547&lt;'PlayerGrades+'!$AC$18,"E-",IF(H547&lt;'PlayerGrades+'!$AC$17,"E",IF(H547&lt;'PlayerGrades+'!$AC$16,"E+",IF(H547&lt;'PlayerGrades+'!$AC$15,"D-",IF(H547&lt;'PlayerGrades+'!$AC$14,"D",IF(H547&lt;'PlayerGrades+'!$AC$13,"D+",IF(H547&lt;'PlayerGrades+'!$AC$12,"C-",IF(H547&lt;'PlayerGrades+'!$AC$11,"C",IF(H547&lt;'PlayerGrades+'!$AC$10,"C+",IF(H547&lt;'PlayerGrades+'!$AC$9,"B-",IF(H547&lt;'PlayerGrades+'!$AC$8,"B",IF(H547&lt;'PlayerGrades+'!$AC$7,"B+",IF(H547&lt;'PlayerGrades+'!$AC$6,"A-",IF(H547&lt;'PlayerGrades+'!$AC$5,"A",IF(H547&lt;'PlayerGrades+'!$AC$4,"A+",IF(H547&lt;'PlayerGrades+'!$AC$3,"S-",IF(H547&lt;'PlayerGrades+'!$AC$2,"S","S+"))))))))))))))))))))</f>
        <v>F</v>
      </c>
      <c r="J547" s="973">
        <f t="shared" si="4"/>
        <v>0.03807106599</v>
      </c>
      <c r="K547" s="973" t="str">
        <f>IF(J547&lt;'PlayerGrades+'!$AD$21,"F-",IF(J547&lt;'PlayerGrades+'!$AD$20,"F",IF(J547&lt;'PlayerGrades+'!$AD$19,"F+",IF(J547&lt;'PlayerGrades+'!$AD$18,"E-",IF(J547&lt;'PlayerGrades+'!$AD$17,"E",IF(J547&lt;'PlayerGrades+'!$AD$16,"E+",IF(J547&lt;'PlayerGrades+'!$AD$15,"D-",IF(J547&lt;'PlayerGrades+'!$AD$14,"D",IF(J547&lt;'PlayerGrades+'!$AD$13,"D+",IF(J547&lt;'PlayerGrades+'!$AD$12,"C-",IF(J547&lt;'PlayerGrades+'!$AD$11,"C",IF(J547&lt;'PlayerGrades+'!$AD$10,"C+",IF(J547&lt;'PlayerGrades+'!$AD$9,"B-",IF(J547&lt;'PlayerGrades+'!$AD$8,"B",IF(J547&lt;'PlayerGrades+'!$AD$7,"B+",IF(J547&lt;'PlayerGrades+'!$AD$6,"A-",IF(J547&lt;'PlayerGrades+'!$AD$5,"A",IF(J547&lt;'PlayerGrades+'!$AD$4,"A+",IF(J547&lt;'PlayerGrades+'!$AD$3,"S-",IF(J547&lt;'PlayerGrades+'!$AD$2,"S","S+"))))))))))))))))))))</f>
        <v>C</v>
      </c>
      <c r="L547" s="974">
        <f t="shared" si="5"/>
        <v>0.6472081218</v>
      </c>
      <c r="M547" s="975" t="str">
        <f>IF(L547&lt;'PlayerGrades+'!$AE$21,"F-",IF(L547&lt;'PlayerGrades+'!$AE$20,"F",IF(L547&lt;'PlayerGrades+'!$AE$19,"F+",IF(L547&lt;'PlayerGrades+'!$AE$18,"E-",IF(L547&lt;'PlayerGrades+'!$AE$17,"E",IF(L547&lt;'PlayerGrades+'!$AE$16,"E+",IF(L547&lt;'PlayerGrades+'!$AE$15,"D-",IF(L547&lt;'PlayerGrades+'!$AE$14,"D",IF(L547&lt;'PlayerGrades+'!$AE$13,"D+",IF(L547&lt;'PlayerGrades+'!$AE$12,"C-",IF(L547&lt;'PlayerGrades+'!$AE$11,"C",IF(L547&lt;'PlayerGrades+'!$AE$10,"C+",IF(L547&lt;'PlayerGrades+'!$AE$9,"B-",IF(L547&lt;'PlayerGrades+'!$AE$8,"B",IF(L547&lt;'PlayerGrades+'!$AE$7,"B+",IF(L547&lt;'PlayerGrades+'!$AE$6,"A-",IF(L547&lt;'PlayerGrades+'!$AE$5,"A",IF(L547&lt;'PlayerGrades+'!$AE$4,"A+",IF(L547&lt;'PlayerGrades+'!$AE$3,"S-",IF(L547&lt;'PlayerGrades+'!$AE$2,"S","S+"))))))))))))))))))))</f>
        <v>S</v>
      </c>
      <c r="N547" s="973">
        <f t="shared" si="6"/>
        <v>0.114213198</v>
      </c>
      <c r="O547" s="973" t="str">
        <f>IF(N547&lt;'PlayerGrades+'!$AF$21,"F-",IF(N547&lt;'PlayerGrades+'!$AF$20,"F",IF(N547&lt;'PlayerGrades+'!$AF$19,"F+",IF(N547&lt;'PlayerGrades+'!$AF$18,"E-",IF(N547&lt;'PlayerGrades+'!$AF$17,"E",IF(N547&lt;'PlayerGrades+'!$AF$16,"E+",IF(N547&lt;'PlayerGrades+'!$AF$15,"D-",IF(N547&lt;'PlayerGrades+'!$AF$14,"D",IF(N547&lt;'PlayerGrades+'!$AF$13,"D+",IF(N547&lt;'PlayerGrades+'!$AF$12,"C-",IF(N547&lt;'PlayerGrades+'!$AF$11,"C",IF(N547&lt;'PlayerGrades+'!$AF$10,"C+",IF(N547&lt;'PlayerGrades+'!$AF$9,"B-",IF(N547&lt;'PlayerGrades+'!$AF$8,"B",IF(N547&lt;'PlayerGrades+'!$AF$7,"B+",IF(N547&lt;'PlayerGrades+'!$AF$6,"A-",IF(N547&lt;'PlayerGrades+'!$AF$5,"A",IF(N547&lt;'PlayerGrades+'!$AF$4,"A+",IF(N547&lt;'PlayerGrades+'!$AF$3,"S-",IF(N547&lt;'PlayerGrades+'!$AF$2,"S","S+"))))))))))))))))))))</f>
        <v>S-</v>
      </c>
      <c r="P547" s="973">
        <f t="shared" si="7"/>
        <v>0.03807106599</v>
      </c>
      <c r="Q547" s="973" t="str">
        <f>IF(P547&lt;'PlayerGrades+'!$AG$21,"F-",IF(P547&lt;'PlayerGrades+'!$AG$20,"F",IF(P547&lt;'PlayerGrades+'!$AG$19,"F+",IF(P547&lt;'PlayerGrades+'!$AG$18,"E-",IF(P547&lt;'PlayerGrades+'!$AG$17,"E",IF(P547&lt;'PlayerGrades+'!$AG$16,"E+",IF(P547&lt;'PlayerGrades+'!$AG$15,"D-",IF(P547&lt;'PlayerGrades+'!$AG$14,"D",IF(P547&lt;'PlayerGrades+'!$AG$13,"D+",IF(P547&lt;'PlayerGrades+'!$AG$12,"C-",IF(P547&lt;'PlayerGrades+'!$AG$11,"C",IF(P547&lt;'PlayerGrades+'!$AG$10,"C+",IF(P547&lt;'PlayerGrades+'!$AG$9,"B-",IF(P547&lt;'PlayerGrades+'!$AG$8,"B",IF(P547&lt;'PlayerGrades+'!$AG$7,"B+",IF(P547&lt;'PlayerGrades+'!$AG$6,"A-",IF(P547&lt;'PlayerGrades+'!$AG$5,"A",IF(P547&lt;'PlayerGrades+'!$AG$4,"A+",IF(P547&lt;'PlayerGrades+'!$AG$3,"S-",IF(P547&lt;'PlayerGrades+'!$AG$2,"S","S+"))))))))))))))))))))</f>
        <v>A-</v>
      </c>
      <c r="R547" s="973">
        <f t="shared" si="8"/>
        <v>0.4949238579</v>
      </c>
      <c r="S547" s="973" t="str">
        <f>IF(R547&lt;'PlayerGrades+'!$AH$21,"F-",IF(R547&lt;'PlayerGrades+'!$AH$20,"F",IF(R547&lt;'PlayerGrades+'!$AH$19,"F+",IF(R547&lt;'PlayerGrades+'!$AH$18,"E-",IF(R547&lt;'PlayerGrades+'!$AH$17,"E",IF(R547&lt;'PlayerGrades+'!$AH$16,"E+",IF(R547&lt;'PlayerGrades+'!$AH$15,"D-",IF(R547&lt;'PlayerGrades+'!$AH$14,"D",IF(R547&lt;'PlayerGrades+'!$AH$13,"D+",IF(R547&lt;'PlayerGrades+'!$AH$12,"C-",IF(R547&lt;'PlayerGrades+'!$AH$11,"C",IF(R547&lt;'PlayerGrades+'!$AH$10,"C+",IF(R547&lt;'PlayerGrades+'!$AH$9,"B-",IF(R547&lt;'PlayerGrades+'!$AH$8,"B",IF(R547&lt;'PlayerGrades+'!$AH$7,"B+",IF(R547&lt;'PlayerGrades+'!$AH$6,"A-",IF(R547&lt;'PlayerGrades+'!$AH$5,"A",IF(R547&lt;'PlayerGrades+'!$AH$4,"A+",IF(R547&lt;'PlayerGrades+'!$AH$3,"S-",IF(R547&lt;'PlayerGrades+'!$AH$2,"S","S+"))))))))))))))))))))</f>
        <v>D-</v>
      </c>
      <c r="T547" s="973">
        <f t="shared" si="9"/>
        <v>0.5329949239</v>
      </c>
      <c r="U547" s="973" t="str">
        <f>IF(T547&lt;'PlayerGrades+'!$AI$21,"F-",IF(T547&lt;'PlayerGrades+'!$AI$20,"F",IF(T547&lt;'PlayerGrades+'!$AI$19,"F+",IF(T547&lt;'PlayerGrades+'!$AI$18,"E-",IF(T547&lt;'PlayerGrades+'!$AI$17,"E",IF(T547&lt;'PlayerGrades+'!$AI$16,"E+",IF(T547&lt;'PlayerGrades+'!$AI$15,"D-",IF(T547&lt;'PlayerGrades+'!$AI$14,"D",IF(T547&lt;'PlayerGrades+'!$AI$13,"D+",IF(T547&lt;'PlayerGrades+'!$AI$12,"C-",IF(T547&lt;'PlayerGrades+'!$AI$11,"C",IF(T547&lt;'PlayerGrades+'!$AI$10,"C+",IF(T547&lt;'PlayerGrades+'!$AI$9,"B-",IF(T547&lt;'PlayerGrades+'!$AI$8,"B",IF(T547&lt;'PlayerGrades+'!$AI$7,"B+",IF(T547&lt;'PlayerGrades+'!$AI$6,"A-",IF(T547&lt;'PlayerGrades+'!$AI$5,"A",IF(T547&lt;'PlayerGrades+'!$AI$4,"A+",IF(T547&lt;'PlayerGrades+'!$AI$3,"S-",IF(T547&lt;'PlayerGrades+'!$AI$2,"S","S+"))))))))))))))))))))</f>
        <v>F-</v>
      </c>
      <c r="V547" s="941">
        <v>1.0</v>
      </c>
      <c r="W547" s="941">
        <v>1.0</v>
      </c>
      <c r="X547" s="941">
        <v>0.0</v>
      </c>
      <c r="Y547" s="941">
        <v>1.0</v>
      </c>
      <c r="Z547" s="941">
        <v>0.0</v>
      </c>
      <c r="AA547" s="941">
        <v>98.0</v>
      </c>
      <c r="AB547" s="941">
        <v>104.0</v>
      </c>
      <c r="AC547" s="941">
        <v>-6.0</v>
      </c>
      <c r="AD547" s="941">
        <v>9.0</v>
      </c>
      <c r="AE547" s="941">
        <v>5.0</v>
      </c>
      <c r="AF547" s="941">
        <v>3.0</v>
      </c>
      <c r="AG547" s="941">
        <v>1202.0</v>
      </c>
      <c r="AH547" s="941">
        <v>1576.0</v>
      </c>
      <c r="AI547" s="941">
        <v>11.0</v>
      </c>
      <c r="AJ547" s="941">
        <v>0.0</v>
      </c>
      <c r="AK547" s="941">
        <v>0.0</v>
      </c>
      <c r="AL547" s="941">
        <v>1.0</v>
      </c>
      <c r="AM547" s="941">
        <v>0.0</v>
      </c>
      <c r="AN547" s="941">
        <v>0.0</v>
      </c>
      <c r="AO547" s="941">
        <v>0.0</v>
      </c>
      <c r="AP547" s="941">
        <v>1.0</v>
      </c>
      <c r="AQ547" s="941">
        <v>0.0</v>
      </c>
      <c r="AR547" s="941">
        <v>17.0</v>
      </c>
      <c r="AS547" s="941">
        <v>3.0</v>
      </c>
      <c r="AT547" s="941">
        <v>0.0</v>
      </c>
      <c r="AU547" s="941">
        <v>0.0</v>
      </c>
      <c r="AV547" s="941">
        <v>0.0</v>
      </c>
      <c r="AW547" s="941">
        <v>0.0</v>
      </c>
      <c r="AX547" s="941">
        <v>0.0</v>
      </c>
      <c r="AY547" s="941">
        <v>0.0</v>
      </c>
      <c r="AZ547" s="941">
        <v>0.0</v>
      </c>
      <c r="BA547" s="941">
        <v>0.0</v>
      </c>
      <c r="BB547" s="941">
        <v>1.0</v>
      </c>
      <c r="BC547" s="941">
        <v>0.0</v>
      </c>
      <c r="BD547" s="941">
        <v>4.0</v>
      </c>
      <c r="BE547" s="941">
        <v>14.0</v>
      </c>
      <c r="BF547" s="941">
        <v>0.0</v>
      </c>
      <c r="BG547" s="941">
        <v>0.0</v>
      </c>
    </row>
    <row r="548">
      <c r="A548" s="1" t="s">
        <v>121</v>
      </c>
      <c r="B548" s="421" t="str">
        <f>IF(C548&lt;'PlayerGrades+'!$Y$44,"F-",IF(C548&lt;'PlayerGrades+'!$Y$43,"F",IF(C548&lt;'PlayerGrades+'!$Y$42,"F+",IF(C548&lt;'PlayerGrades+'!$Y$41,"E-",IF(C548&lt;'PlayerGrades+'!$Y$40,"E",IF(C548&lt;'PlayerGrades+'!$Y$39,"E+",IF(C548&lt;'PlayerGrades+'!$Y$38,"D-",IF(C548&lt;'PlayerGrades+'!$Y$37,"D",IF(C548&lt;'PlayerGrades+'!$Y$36,"D+",IF(C548&lt;'PlayerGrades+'!$Y$35,"C-",IF(C548&lt;'PlayerGrades+'!$Y$34,"C",IF(C548&lt;'PlayerGrades+'!$Y$33,"C+",IF(C548&lt;'PlayerGrades+'!$Y$32,"B-",IF(C548&lt;'PlayerGrades+'!$Y$31,"B",IF(C548&lt;'PlayerGrades+'!$Y$30,"B+",IF(C548&lt;'PlayerGrades+'!$Y$29,"A-",IF(C548&lt;'PlayerGrades+'!$Y$28,"A",IF(C548&lt;'PlayerGrades+'!$Y$27,"A+",IF(C548&lt;'PlayerGrades+'!$Y$26,"S-",IF(C548&lt;'PlayerGrades+'!$Y$25,"S","S+"))))))))))))))))))))</f>
        <v>A</v>
      </c>
      <c r="C548" s="972">
        <f>('PlayerGrades+'!$Y$47*(VLOOKUP(E548, 'PlayerGrades+'!$X$3:$Y$23, 2, FALSE)))+('PlayerGrades+'!$Y$48*(VLOOKUP(G548, 'PlayerGrades+'!$X$3:$Y$23, 2, FALSE)))+('PlayerGrades+'!$Y$49*(VLOOKUP(I548, 'PlayerGrades+'!$X$3:$Y$23, 2, FALSE)))+('PlayerGrades+'!$Y$50*(VLOOKUP(K548, 'PlayerGrades+'!$X$3:$Y$23, 2, FALSE)))+('PlayerGrades+'!$Y$51*(VLOOKUP(M548, 'PlayerGrades+'!$X$3:$Y$23, 2, FALSE)))+('PlayerGrades+'!$Y$52*(VLOOKUP(O548, 'PlayerGrades+'!$X$3:$Y$23, 2, FALSE)))+('PlayerGrades+'!$Y$53*(VLOOKUP(Q548, 'PlayerGrades+'!$X$3:$Y$23, 2, FALSE)))+('PlayerGrades+'!$Y$54*(VLOOKUP(S548, 'PlayerGrades+'!$X$3:$Y$23, 2, FALSE)))+('PlayerGrades+'!$Y$55*(VLOOKUP(U548, 'PlayerGrades+'!$X$3:$Y$23, 2, FALSE)))</f>
        <v>25.75</v>
      </c>
      <c r="D548" s="973">
        <f t="shared" si="1"/>
        <v>0.07614213198</v>
      </c>
      <c r="E548" s="973" t="str">
        <f>IF(D548&lt;'PlayerGrades+'!$AA$21,"F-",IF(D548&lt;'PlayerGrades+'!$AA$20,"F",IF(D548&lt;'PlayerGrades+'!$AA$19,"F+",IF(D548&lt;'PlayerGrades+'!$AA$18,"E-",IF(D548&lt;'PlayerGrades+'!$AA$17,"E",IF(D548&lt;'PlayerGrades+'!$AA$16,"E+",IF(D548&lt;'PlayerGrades+'!$AA$15,"D-",IF(D548&lt;'PlayerGrades+'!$AA$14,"D",IF(D548&lt;'PlayerGrades+'!$AA$13,"D+",IF(D548&lt;'PlayerGrades+'!$AA$12,"C-",IF(D548&lt;'PlayerGrades+'!$AA$11,"C",IF(D548&lt;'PlayerGrades+'!$AA$10,"C+",IF(D548&lt;'PlayerGrades+'!$AA$9,"B-",IF(D548&lt;'PlayerGrades+'!$AA$8,"B",IF(D548&lt;'PlayerGrades+'!$AA$7,"B+",IF(D548&lt;'PlayerGrades+'!$AA$6,"A-",IF(D548&lt;'PlayerGrades+'!$AA$5,"A",IF(D548&lt;'PlayerGrades+'!$AA$4,"A+",IF(D548&lt;'PlayerGrades+'!$AA$3,"S-",IF(D548&lt;'PlayerGrades+'!$AA$2,"S","S+"))))))))))))))))))))</f>
        <v>B</v>
      </c>
      <c r="F548" s="973">
        <f t="shared" si="2"/>
        <v>1.104060914</v>
      </c>
      <c r="G548" s="973" t="str">
        <f>IF(F548&lt;'PlayerGrades+'!$AB$21,"F-",IF(F548&lt;'PlayerGrades+'!$AB$20,"F",IF(F548&lt;'PlayerGrades+'!$AB$19,"F+",IF(F548&lt;'PlayerGrades+'!$AB$18,"E-",IF(F548&lt;'PlayerGrades+'!$AB$17,"E",IF(F548&lt;'PlayerGrades+'!$AB$16,"E+",IF(F548&lt;'PlayerGrades+'!$AB$15,"D-",IF(F548&lt;'PlayerGrades+'!$AB$14,"D",IF(F548&lt;'PlayerGrades+'!$AB$13,"D+",IF(F548&lt;'PlayerGrades+'!$AB$12,"C-",IF(F548&lt;'PlayerGrades+'!$AB$11,"C",IF(F548&lt;'PlayerGrades+'!$AB$10,"C+",IF(F548&lt;'PlayerGrades+'!$AB$9,"B-",IF(F548&lt;'PlayerGrades+'!$AB$8,"B",IF(F548&lt;'PlayerGrades+'!$AB$7,"B+",IF(F548&lt;'PlayerGrades+'!$AB$6,"A-",IF(F548&lt;'PlayerGrades+'!$AB$5,"A",IF(F548&lt;'PlayerGrades+'!$AB$4,"A+",IF(F548&lt;'PlayerGrades+'!$AB$3,"S-",IF(F548&lt;'PlayerGrades+'!$AB$2,"S","S+"))))))))))))))))))))</f>
        <v>S+</v>
      </c>
      <c r="H548" s="973">
        <f t="shared" si="3"/>
        <v>0.114213198</v>
      </c>
      <c r="I548" s="973" t="str">
        <f>IF(H548&lt;'PlayerGrades+'!$AC$21,"F-",IF(H548&lt;'PlayerGrades+'!$AC$20,"F",IF(H548&lt;'PlayerGrades+'!$AC$19,"F+",IF(H548&lt;'PlayerGrades+'!$AC$18,"E-",IF(H548&lt;'PlayerGrades+'!$AC$17,"E",IF(H548&lt;'PlayerGrades+'!$AC$16,"E+",IF(H548&lt;'PlayerGrades+'!$AC$15,"D-",IF(H548&lt;'PlayerGrades+'!$AC$14,"D",IF(H548&lt;'PlayerGrades+'!$AC$13,"D+",IF(H548&lt;'PlayerGrades+'!$AC$12,"C-",IF(H548&lt;'PlayerGrades+'!$AC$11,"C",IF(H548&lt;'PlayerGrades+'!$AC$10,"C+",IF(H548&lt;'PlayerGrades+'!$AC$9,"B-",IF(H548&lt;'PlayerGrades+'!$AC$8,"B",IF(H548&lt;'PlayerGrades+'!$AC$7,"B+",IF(H548&lt;'PlayerGrades+'!$AC$6,"A-",IF(H548&lt;'PlayerGrades+'!$AC$5,"A",IF(H548&lt;'PlayerGrades+'!$AC$4,"A+",IF(H548&lt;'PlayerGrades+'!$AC$3,"S-",IF(H548&lt;'PlayerGrades+'!$AC$2,"S","S+"))))))))))))))))))))</f>
        <v>C</v>
      </c>
      <c r="J548" s="973">
        <f t="shared" si="4"/>
        <v>0.07614213198</v>
      </c>
      <c r="K548" s="973" t="str">
        <f>IF(J548&lt;'PlayerGrades+'!$AD$21,"F-",IF(J548&lt;'PlayerGrades+'!$AD$20,"F",IF(J548&lt;'PlayerGrades+'!$AD$19,"F+",IF(J548&lt;'PlayerGrades+'!$AD$18,"E-",IF(J548&lt;'PlayerGrades+'!$AD$17,"E",IF(J548&lt;'PlayerGrades+'!$AD$16,"E+",IF(J548&lt;'PlayerGrades+'!$AD$15,"D-",IF(J548&lt;'PlayerGrades+'!$AD$14,"D",IF(J548&lt;'PlayerGrades+'!$AD$13,"D+",IF(J548&lt;'PlayerGrades+'!$AD$12,"C-",IF(J548&lt;'PlayerGrades+'!$AD$11,"C",IF(J548&lt;'PlayerGrades+'!$AD$10,"C+",IF(J548&lt;'PlayerGrades+'!$AD$9,"B-",IF(J548&lt;'PlayerGrades+'!$AD$8,"B",IF(J548&lt;'PlayerGrades+'!$AD$7,"B+",IF(J548&lt;'PlayerGrades+'!$AD$6,"A-",IF(J548&lt;'PlayerGrades+'!$AD$5,"A",IF(J548&lt;'PlayerGrades+'!$AD$4,"A+",IF(J548&lt;'PlayerGrades+'!$AD$3,"S-",IF(J548&lt;'PlayerGrades+'!$AD$2,"S","S+"))))))))))))))))))))</f>
        <v>A+</v>
      </c>
      <c r="L548" s="974">
        <f t="shared" si="5"/>
        <v>0.6091370558</v>
      </c>
      <c r="M548" s="975" t="str">
        <f>IF(L548&lt;'PlayerGrades+'!$AE$21,"F-",IF(L548&lt;'PlayerGrades+'!$AE$20,"F",IF(L548&lt;'PlayerGrades+'!$AE$19,"F+",IF(L548&lt;'PlayerGrades+'!$AE$18,"E-",IF(L548&lt;'PlayerGrades+'!$AE$17,"E",IF(L548&lt;'PlayerGrades+'!$AE$16,"E+",IF(L548&lt;'PlayerGrades+'!$AE$15,"D-",IF(L548&lt;'PlayerGrades+'!$AE$14,"D",IF(L548&lt;'PlayerGrades+'!$AE$13,"D+",IF(L548&lt;'PlayerGrades+'!$AE$12,"C-",IF(L548&lt;'PlayerGrades+'!$AE$11,"C",IF(L548&lt;'PlayerGrades+'!$AE$10,"C+",IF(L548&lt;'PlayerGrades+'!$AE$9,"B-",IF(L548&lt;'PlayerGrades+'!$AE$8,"B",IF(L548&lt;'PlayerGrades+'!$AE$7,"B+",IF(L548&lt;'PlayerGrades+'!$AE$6,"A-",IF(L548&lt;'PlayerGrades+'!$AE$5,"A",IF(L548&lt;'PlayerGrades+'!$AE$4,"A+",IF(L548&lt;'PlayerGrades+'!$AE$3,"S-",IF(L548&lt;'PlayerGrades+'!$AE$2,"S","S+"))))))))))))))))))))</f>
        <v>S-</v>
      </c>
      <c r="N548" s="973">
        <f t="shared" si="6"/>
        <v>0.03807106599</v>
      </c>
      <c r="O548" s="973" t="str">
        <f>IF(N548&lt;'PlayerGrades+'!$AF$21,"F-",IF(N548&lt;'PlayerGrades+'!$AF$20,"F",IF(N548&lt;'PlayerGrades+'!$AF$19,"F+",IF(N548&lt;'PlayerGrades+'!$AF$18,"E-",IF(N548&lt;'PlayerGrades+'!$AF$17,"E",IF(N548&lt;'PlayerGrades+'!$AF$16,"E+",IF(N548&lt;'PlayerGrades+'!$AF$15,"D-",IF(N548&lt;'PlayerGrades+'!$AF$14,"D",IF(N548&lt;'PlayerGrades+'!$AF$13,"D+",IF(N548&lt;'PlayerGrades+'!$AF$12,"C-",IF(N548&lt;'PlayerGrades+'!$AF$11,"C",IF(N548&lt;'PlayerGrades+'!$AF$10,"C+",IF(N548&lt;'PlayerGrades+'!$AF$9,"B-",IF(N548&lt;'PlayerGrades+'!$AF$8,"B",IF(N548&lt;'PlayerGrades+'!$AF$7,"B+",IF(N548&lt;'PlayerGrades+'!$AF$6,"A-",IF(N548&lt;'PlayerGrades+'!$AF$5,"A",IF(N548&lt;'PlayerGrades+'!$AF$4,"A+",IF(N548&lt;'PlayerGrades+'!$AF$3,"S-",IF(N548&lt;'PlayerGrades+'!$AF$2,"S","S+"))))))))))))))))))))</f>
        <v>E-</v>
      </c>
      <c r="P548" s="973">
        <f t="shared" si="7"/>
        <v>0.07614213198</v>
      </c>
      <c r="Q548" s="973" t="str">
        <f>IF(P548&lt;'PlayerGrades+'!$AG$21,"F-",IF(P548&lt;'PlayerGrades+'!$AG$20,"F",IF(P548&lt;'PlayerGrades+'!$AG$19,"F+",IF(P548&lt;'PlayerGrades+'!$AG$18,"E-",IF(P548&lt;'PlayerGrades+'!$AG$17,"E",IF(P548&lt;'PlayerGrades+'!$AG$16,"E+",IF(P548&lt;'PlayerGrades+'!$AG$15,"D-",IF(P548&lt;'PlayerGrades+'!$AG$14,"D",IF(P548&lt;'PlayerGrades+'!$AG$13,"D+",IF(P548&lt;'PlayerGrades+'!$AG$12,"C-",IF(P548&lt;'PlayerGrades+'!$AG$11,"C",IF(P548&lt;'PlayerGrades+'!$AG$10,"C+",IF(P548&lt;'PlayerGrades+'!$AG$9,"B-",IF(P548&lt;'PlayerGrades+'!$AG$8,"B",IF(P548&lt;'PlayerGrades+'!$AG$7,"B+",IF(P548&lt;'PlayerGrades+'!$AG$6,"A-",IF(P548&lt;'PlayerGrades+'!$AG$5,"A",IF(P548&lt;'PlayerGrades+'!$AG$4,"A+",IF(P548&lt;'PlayerGrades+'!$AG$3,"S-",IF(P548&lt;'PlayerGrades+'!$AG$2,"S","S+"))))))))))))))))))))</f>
        <v>S-</v>
      </c>
      <c r="R548" s="973">
        <f t="shared" si="8"/>
        <v>0.7233502538</v>
      </c>
      <c r="S548" s="973" t="str">
        <f>IF(R548&lt;'PlayerGrades+'!$AH$21,"F-",IF(R548&lt;'PlayerGrades+'!$AH$20,"F",IF(R548&lt;'PlayerGrades+'!$AH$19,"F+",IF(R548&lt;'PlayerGrades+'!$AH$18,"E-",IF(R548&lt;'PlayerGrades+'!$AH$17,"E",IF(R548&lt;'PlayerGrades+'!$AH$16,"E+",IF(R548&lt;'PlayerGrades+'!$AH$15,"D-",IF(R548&lt;'PlayerGrades+'!$AH$14,"D",IF(R548&lt;'PlayerGrades+'!$AH$13,"D+",IF(R548&lt;'PlayerGrades+'!$AH$12,"C-",IF(R548&lt;'PlayerGrades+'!$AH$11,"C",IF(R548&lt;'PlayerGrades+'!$AH$10,"C+",IF(R548&lt;'PlayerGrades+'!$AH$9,"B-",IF(R548&lt;'PlayerGrades+'!$AH$8,"B",IF(R548&lt;'PlayerGrades+'!$AH$7,"B+",IF(R548&lt;'PlayerGrades+'!$AH$6,"A-",IF(R548&lt;'PlayerGrades+'!$AH$5,"A",IF(R548&lt;'PlayerGrades+'!$AH$4,"A+",IF(R548&lt;'PlayerGrades+'!$AH$3,"S-",IF(R548&lt;'PlayerGrades+'!$AH$2,"S","S+"))))))))))))))))))))</f>
        <v>S</v>
      </c>
      <c r="T548" s="973">
        <f t="shared" si="9"/>
        <v>0.6091370558</v>
      </c>
      <c r="U548" s="973" t="str">
        <f>IF(T548&lt;'PlayerGrades+'!$AI$21,"F-",IF(T548&lt;'PlayerGrades+'!$AI$20,"F",IF(T548&lt;'PlayerGrades+'!$AI$19,"F+",IF(T548&lt;'PlayerGrades+'!$AI$18,"E-",IF(T548&lt;'PlayerGrades+'!$AI$17,"E",IF(T548&lt;'PlayerGrades+'!$AI$16,"E+",IF(T548&lt;'PlayerGrades+'!$AI$15,"D-",IF(T548&lt;'PlayerGrades+'!$AI$14,"D",IF(T548&lt;'PlayerGrades+'!$AI$13,"D+",IF(T548&lt;'PlayerGrades+'!$AI$12,"C-",IF(T548&lt;'PlayerGrades+'!$AI$11,"C",IF(T548&lt;'PlayerGrades+'!$AI$10,"C+",IF(T548&lt;'PlayerGrades+'!$AI$9,"B-",IF(T548&lt;'PlayerGrades+'!$AI$8,"B",IF(T548&lt;'PlayerGrades+'!$AI$7,"B+",IF(T548&lt;'PlayerGrades+'!$AI$6,"A-",IF(T548&lt;'PlayerGrades+'!$AI$5,"A",IF(T548&lt;'PlayerGrades+'!$AI$4,"A+",IF(T548&lt;'PlayerGrades+'!$AI$3,"S-",IF(T548&lt;'PlayerGrades+'!$AI$2,"S","S+"))))))))))))))))))))</f>
        <v>F-</v>
      </c>
      <c r="V548" s="941">
        <v>1.0</v>
      </c>
      <c r="W548" s="941">
        <v>1.0</v>
      </c>
      <c r="X548" s="941">
        <v>0.0</v>
      </c>
      <c r="Y548" s="941">
        <v>1.0</v>
      </c>
      <c r="Z548" s="941">
        <v>1.0</v>
      </c>
      <c r="AA548" s="941">
        <v>100.0</v>
      </c>
      <c r="AB548" s="941">
        <v>71.0</v>
      </c>
      <c r="AC548" s="941">
        <v>29.0</v>
      </c>
      <c r="AD548" s="941">
        <v>7.0</v>
      </c>
      <c r="AE548" s="941">
        <v>7.0</v>
      </c>
      <c r="AF548" s="941">
        <v>0.0</v>
      </c>
      <c r="AG548" s="941">
        <v>1298.0</v>
      </c>
      <c r="AH548" s="941">
        <v>1576.0</v>
      </c>
      <c r="AI548" s="941">
        <v>18.0</v>
      </c>
      <c r="AJ548" s="941">
        <v>77.0</v>
      </c>
      <c r="AK548" s="941">
        <v>0.0</v>
      </c>
      <c r="AL548" s="941">
        <v>2.0</v>
      </c>
      <c r="AM548" s="941">
        <v>0.0</v>
      </c>
      <c r="AN548" s="941">
        <v>0.0</v>
      </c>
      <c r="AO548" s="941">
        <v>0.0</v>
      </c>
      <c r="AP548" s="941">
        <v>2.0</v>
      </c>
      <c r="AQ548" s="941">
        <v>0.0</v>
      </c>
      <c r="AR548" s="941">
        <v>16.0</v>
      </c>
      <c r="AS548" s="941">
        <v>1.0</v>
      </c>
      <c r="AT548" s="941">
        <v>0.0</v>
      </c>
      <c r="AU548" s="941">
        <v>0.0</v>
      </c>
      <c r="AV548" s="941">
        <v>0.0</v>
      </c>
      <c r="AW548" s="941">
        <v>0.0</v>
      </c>
      <c r="AX548" s="941">
        <v>0.0</v>
      </c>
      <c r="AY548" s="941">
        <v>0.0</v>
      </c>
      <c r="AZ548" s="941">
        <v>0.0</v>
      </c>
      <c r="BA548" s="941">
        <v>0.0</v>
      </c>
      <c r="BB548" s="941">
        <v>3.0</v>
      </c>
      <c r="BC548" s="941">
        <v>0.0</v>
      </c>
      <c r="BD548" s="941">
        <v>12.0</v>
      </c>
      <c r="BE548" s="941">
        <v>16.0</v>
      </c>
      <c r="BF548" s="941">
        <v>0.0</v>
      </c>
      <c r="BG548" s="941">
        <v>0.0</v>
      </c>
    </row>
    <row r="549">
      <c r="A549" s="1" t="s">
        <v>132</v>
      </c>
      <c r="B549" s="421" t="str">
        <f>IF(C549&lt;'PlayerGrades+'!$Y$44,"F-",IF(C549&lt;'PlayerGrades+'!$Y$43,"F",IF(C549&lt;'PlayerGrades+'!$Y$42,"F+",IF(C549&lt;'PlayerGrades+'!$Y$41,"E-",IF(C549&lt;'PlayerGrades+'!$Y$40,"E",IF(C549&lt;'PlayerGrades+'!$Y$39,"E+",IF(C549&lt;'PlayerGrades+'!$Y$38,"D-",IF(C549&lt;'PlayerGrades+'!$Y$37,"D",IF(C549&lt;'PlayerGrades+'!$Y$36,"D+",IF(C549&lt;'PlayerGrades+'!$Y$35,"C-",IF(C549&lt;'PlayerGrades+'!$Y$34,"C",IF(C549&lt;'PlayerGrades+'!$Y$33,"C+",IF(C549&lt;'PlayerGrades+'!$Y$32,"B-",IF(C549&lt;'PlayerGrades+'!$Y$31,"B",IF(C549&lt;'PlayerGrades+'!$Y$30,"B+",IF(C549&lt;'PlayerGrades+'!$Y$29,"A-",IF(C549&lt;'PlayerGrades+'!$Y$28,"A",IF(C549&lt;'PlayerGrades+'!$Y$27,"A+",IF(C549&lt;'PlayerGrades+'!$Y$26,"S-",IF(C549&lt;'PlayerGrades+'!$Y$25,"S","S+"))))))))))))))))))))</f>
        <v>A</v>
      </c>
      <c r="C549" s="972">
        <f>('PlayerGrades+'!$Y$47*(VLOOKUP(E549, 'PlayerGrades+'!$X$3:$Y$23, 2, FALSE)))+('PlayerGrades+'!$Y$48*(VLOOKUP(G549, 'PlayerGrades+'!$X$3:$Y$23, 2, FALSE)))+('PlayerGrades+'!$Y$49*(VLOOKUP(I549, 'PlayerGrades+'!$X$3:$Y$23, 2, FALSE)))+('PlayerGrades+'!$Y$50*(VLOOKUP(K549, 'PlayerGrades+'!$X$3:$Y$23, 2, FALSE)))+('PlayerGrades+'!$Y$51*(VLOOKUP(M549, 'PlayerGrades+'!$X$3:$Y$23, 2, FALSE)))+('PlayerGrades+'!$Y$52*(VLOOKUP(O549, 'PlayerGrades+'!$X$3:$Y$23, 2, FALSE)))+('PlayerGrades+'!$Y$53*(VLOOKUP(Q549, 'PlayerGrades+'!$X$3:$Y$23, 2, FALSE)))+('PlayerGrades+'!$Y$54*(VLOOKUP(S549, 'PlayerGrades+'!$X$3:$Y$23, 2, FALSE)))+('PlayerGrades+'!$Y$55*(VLOOKUP(U549, 'PlayerGrades+'!$X$3:$Y$23, 2, FALSE)))</f>
        <v>25.35</v>
      </c>
      <c r="D549" s="973">
        <f t="shared" si="1"/>
        <v>0.3045685279</v>
      </c>
      <c r="E549" s="973" t="str">
        <f>IF(D549&lt;'PlayerGrades+'!$AA$21,"F-",IF(D549&lt;'PlayerGrades+'!$AA$20,"F",IF(D549&lt;'PlayerGrades+'!$AA$19,"F+",IF(D549&lt;'PlayerGrades+'!$AA$18,"E-",IF(D549&lt;'PlayerGrades+'!$AA$17,"E",IF(D549&lt;'PlayerGrades+'!$AA$16,"E+",IF(D549&lt;'PlayerGrades+'!$AA$15,"D-",IF(D549&lt;'PlayerGrades+'!$AA$14,"D",IF(D549&lt;'PlayerGrades+'!$AA$13,"D+",IF(D549&lt;'PlayerGrades+'!$AA$12,"C-",IF(D549&lt;'PlayerGrades+'!$AA$11,"C",IF(D549&lt;'PlayerGrades+'!$AA$10,"C+",IF(D549&lt;'PlayerGrades+'!$AA$9,"B-",IF(D549&lt;'PlayerGrades+'!$AA$8,"B",IF(D549&lt;'PlayerGrades+'!$AA$7,"B+",IF(D549&lt;'PlayerGrades+'!$AA$6,"A-",IF(D549&lt;'PlayerGrades+'!$AA$5,"A",IF(D549&lt;'PlayerGrades+'!$AA$4,"A+",IF(D549&lt;'PlayerGrades+'!$AA$3,"S-",IF(D549&lt;'PlayerGrades+'!$AA$2,"S","S+"))))))))))))))))))))</f>
        <v>A</v>
      </c>
      <c r="F549" s="973">
        <f t="shared" si="2"/>
        <v>0.6852791878</v>
      </c>
      <c r="G549" s="973" t="str">
        <f>IF(F549&lt;'PlayerGrades+'!$AB$21,"F-",IF(F549&lt;'PlayerGrades+'!$AB$20,"F",IF(F549&lt;'PlayerGrades+'!$AB$19,"F+",IF(F549&lt;'PlayerGrades+'!$AB$18,"E-",IF(F549&lt;'PlayerGrades+'!$AB$17,"E",IF(F549&lt;'PlayerGrades+'!$AB$16,"E+",IF(F549&lt;'PlayerGrades+'!$AB$15,"D-",IF(F549&lt;'PlayerGrades+'!$AB$14,"D",IF(F549&lt;'PlayerGrades+'!$AB$13,"D+",IF(F549&lt;'PlayerGrades+'!$AB$12,"C-",IF(F549&lt;'PlayerGrades+'!$AB$11,"C",IF(F549&lt;'PlayerGrades+'!$AB$10,"C+",IF(F549&lt;'PlayerGrades+'!$AB$9,"B-",IF(F549&lt;'PlayerGrades+'!$AB$8,"B",IF(F549&lt;'PlayerGrades+'!$AB$7,"B+",IF(F549&lt;'PlayerGrades+'!$AB$6,"A-",IF(F549&lt;'PlayerGrades+'!$AB$5,"A",IF(F549&lt;'PlayerGrades+'!$AB$4,"A+",IF(F549&lt;'PlayerGrades+'!$AB$3,"S-",IF(F549&lt;'PlayerGrades+'!$AB$2,"S","S+"))))))))))))))))))))</f>
        <v>S-</v>
      </c>
      <c r="H549" s="973">
        <f t="shared" si="3"/>
        <v>0.07614213198</v>
      </c>
      <c r="I549" s="973" t="str">
        <f>IF(H549&lt;'PlayerGrades+'!$AC$21,"F-",IF(H549&lt;'PlayerGrades+'!$AC$20,"F",IF(H549&lt;'PlayerGrades+'!$AC$19,"F+",IF(H549&lt;'PlayerGrades+'!$AC$18,"E-",IF(H549&lt;'PlayerGrades+'!$AC$17,"E",IF(H549&lt;'PlayerGrades+'!$AC$16,"E+",IF(H549&lt;'PlayerGrades+'!$AC$15,"D-",IF(H549&lt;'PlayerGrades+'!$AC$14,"D",IF(H549&lt;'PlayerGrades+'!$AC$13,"D+",IF(H549&lt;'PlayerGrades+'!$AC$12,"C-",IF(H549&lt;'PlayerGrades+'!$AC$11,"C",IF(H549&lt;'PlayerGrades+'!$AC$10,"C+",IF(H549&lt;'PlayerGrades+'!$AC$9,"B-",IF(H549&lt;'PlayerGrades+'!$AC$8,"B",IF(H549&lt;'PlayerGrades+'!$AC$7,"B+",IF(H549&lt;'PlayerGrades+'!$AC$6,"A-",IF(H549&lt;'PlayerGrades+'!$AC$5,"A",IF(H549&lt;'PlayerGrades+'!$AC$4,"A+",IF(H549&lt;'PlayerGrades+'!$AC$3,"S-",IF(H549&lt;'PlayerGrades+'!$AC$2,"S","S+"))))))))))))))))))))</f>
        <v>E+</v>
      </c>
      <c r="J549" s="973">
        <f t="shared" si="4"/>
        <v>0.1903553299</v>
      </c>
      <c r="K549" s="973" t="str">
        <f>IF(J549&lt;'PlayerGrades+'!$AD$21,"F-",IF(J549&lt;'PlayerGrades+'!$AD$20,"F",IF(J549&lt;'PlayerGrades+'!$AD$19,"F+",IF(J549&lt;'PlayerGrades+'!$AD$18,"E-",IF(J549&lt;'PlayerGrades+'!$AD$17,"E",IF(J549&lt;'PlayerGrades+'!$AD$16,"E+",IF(J549&lt;'PlayerGrades+'!$AD$15,"D-",IF(J549&lt;'PlayerGrades+'!$AD$14,"D",IF(J549&lt;'PlayerGrades+'!$AD$13,"D+",IF(J549&lt;'PlayerGrades+'!$AD$12,"C-",IF(J549&lt;'PlayerGrades+'!$AD$11,"C",IF(J549&lt;'PlayerGrades+'!$AD$10,"C+",IF(J549&lt;'PlayerGrades+'!$AD$9,"B-",IF(J549&lt;'PlayerGrades+'!$AD$8,"B",IF(J549&lt;'PlayerGrades+'!$AD$7,"B+",IF(J549&lt;'PlayerGrades+'!$AD$6,"A-",IF(J549&lt;'PlayerGrades+'!$AD$5,"A",IF(J549&lt;'PlayerGrades+'!$AD$4,"A+",IF(J549&lt;'PlayerGrades+'!$AD$3,"S-",IF(J549&lt;'PlayerGrades+'!$AD$2,"S","S+"))))))))))))))))))))</f>
        <v>S+</v>
      </c>
      <c r="L549" s="974">
        <f t="shared" si="5"/>
        <v>0.6091370558</v>
      </c>
      <c r="M549" s="975" t="str">
        <f>IF(L549&lt;'PlayerGrades+'!$AE$21,"F-",IF(L549&lt;'PlayerGrades+'!$AE$20,"F",IF(L549&lt;'PlayerGrades+'!$AE$19,"F+",IF(L549&lt;'PlayerGrades+'!$AE$18,"E-",IF(L549&lt;'PlayerGrades+'!$AE$17,"E",IF(L549&lt;'PlayerGrades+'!$AE$16,"E+",IF(L549&lt;'PlayerGrades+'!$AE$15,"D-",IF(L549&lt;'PlayerGrades+'!$AE$14,"D",IF(L549&lt;'PlayerGrades+'!$AE$13,"D+",IF(L549&lt;'PlayerGrades+'!$AE$12,"C-",IF(L549&lt;'PlayerGrades+'!$AE$11,"C",IF(L549&lt;'PlayerGrades+'!$AE$10,"C+",IF(L549&lt;'PlayerGrades+'!$AE$9,"B-",IF(L549&lt;'PlayerGrades+'!$AE$8,"B",IF(L549&lt;'PlayerGrades+'!$AE$7,"B+",IF(L549&lt;'PlayerGrades+'!$AE$6,"A-",IF(L549&lt;'PlayerGrades+'!$AE$5,"A",IF(L549&lt;'PlayerGrades+'!$AE$4,"A+",IF(L549&lt;'PlayerGrades+'!$AE$3,"S-",IF(L549&lt;'PlayerGrades+'!$AE$2,"S","S+"))))))))))))))))))))</f>
        <v>S-</v>
      </c>
      <c r="N549" s="973">
        <f t="shared" si="6"/>
        <v>0.07614213198</v>
      </c>
      <c r="O549" s="973" t="str">
        <f>IF(N549&lt;'PlayerGrades+'!$AF$21,"F-",IF(N549&lt;'PlayerGrades+'!$AF$20,"F",IF(N549&lt;'PlayerGrades+'!$AF$19,"F+",IF(N549&lt;'PlayerGrades+'!$AF$18,"E-",IF(N549&lt;'PlayerGrades+'!$AF$17,"E",IF(N549&lt;'PlayerGrades+'!$AF$16,"E+",IF(N549&lt;'PlayerGrades+'!$AF$15,"D-",IF(N549&lt;'PlayerGrades+'!$AF$14,"D",IF(N549&lt;'PlayerGrades+'!$AF$13,"D+",IF(N549&lt;'PlayerGrades+'!$AF$12,"C-",IF(N549&lt;'PlayerGrades+'!$AF$11,"C",IF(N549&lt;'PlayerGrades+'!$AF$10,"C+",IF(N549&lt;'PlayerGrades+'!$AF$9,"B-",IF(N549&lt;'PlayerGrades+'!$AF$8,"B",IF(N549&lt;'PlayerGrades+'!$AF$7,"B+",IF(N549&lt;'PlayerGrades+'!$AF$6,"A-",IF(N549&lt;'PlayerGrades+'!$AF$5,"A",IF(N549&lt;'PlayerGrades+'!$AF$4,"A+",IF(N549&lt;'PlayerGrades+'!$AF$3,"S-",IF(N549&lt;'PlayerGrades+'!$AF$2,"S","S+"))))))))))))))))))))</f>
        <v>B-</v>
      </c>
      <c r="P549" s="973">
        <f t="shared" si="7"/>
        <v>0.114213198</v>
      </c>
      <c r="Q549" s="973" t="str">
        <f>IF(P549&lt;'PlayerGrades+'!$AG$21,"F-",IF(P549&lt;'PlayerGrades+'!$AG$20,"F",IF(P549&lt;'PlayerGrades+'!$AG$19,"F+",IF(P549&lt;'PlayerGrades+'!$AG$18,"E-",IF(P549&lt;'PlayerGrades+'!$AG$17,"E",IF(P549&lt;'PlayerGrades+'!$AG$16,"E+",IF(P549&lt;'PlayerGrades+'!$AG$15,"D-",IF(P549&lt;'PlayerGrades+'!$AG$14,"D",IF(P549&lt;'PlayerGrades+'!$AG$13,"D+",IF(P549&lt;'PlayerGrades+'!$AG$12,"C-",IF(P549&lt;'PlayerGrades+'!$AG$11,"C",IF(P549&lt;'PlayerGrades+'!$AG$10,"C+",IF(P549&lt;'PlayerGrades+'!$AG$9,"B-",IF(P549&lt;'PlayerGrades+'!$AG$8,"B",IF(P549&lt;'PlayerGrades+'!$AG$7,"B+",IF(P549&lt;'PlayerGrades+'!$AG$6,"A-",IF(P549&lt;'PlayerGrades+'!$AG$5,"A",IF(P549&lt;'PlayerGrades+'!$AG$4,"A+",IF(P549&lt;'PlayerGrades+'!$AG$3,"S-",IF(P549&lt;'PlayerGrades+'!$AG$2,"S","S+"))))))))))))))))))))</f>
        <v>S+</v>
      </c>
      <c r="R549" s="973">
        <f t="shared" si="8"/>
        <v>0.4568527919</v>
      </c>
      <c r="S549" s="973" t="str">
        <f>IF(R549&lt;'PlayerGrades+'!$AH$21,"F-",IF(R549&lt;'PlayerGrades+'!$AH$20,"F",IF(R549&lt;'PlayerGrades+'!$AH$19,"F+",IF(R549&lt;'PlayerGrades+'!$AH$18,"E-",IF(R549&lt;'PlayerGrades+'!$AH$17,"E",IF(R549&lt;'PlayerGrades+'!$AH$16,"E+",IF(R549&lt;'PlayerGrades+'!$AH$15,"D-",IF(R549&lt;'PlayerGrades+'!$AH$14,"D",IF(R549&lt;'PlayerGrades+'!$AH$13,"D+",IF(R549&lt;'PlayerGrades+'!$AH$12,"C-",IF(R549&lt;'PlayerGrades+'!$AH$11,"C",IF(R549&lt;'PlayerGrades+'!$AH$10,"C+",IF(R549&lt;'PlayerGrades+'!$AH$9,"B-",IF(R549&lt;'PlayerGrades+'!$AH$8,"B",IF(R549&lt;'PlayerGrades+'!$AH$7,"B+",IF(R549&lt;'PlayerGrades+'!$AH$6,"A-",IF(R549&lt;'PlayerGrades+'!$AH$5,"A",IF(R549&lt;'PlayerGrades+'!$AH$4,"A+",IF(R549&lt;'PlayerGrades+'!$AH$3,"S-",IF(R549&lt;'PlayerGrades+'!$AH$2,"S","S+"))))))))))))))))))))</f>
        <v>E-</v>
      </c>
      <c r="T549" s="973">
        <f t="shared" si="9"/>
        <v>1.418781726</v>
      </c>
      <c r="U549" s="973" t="str">
        <f>IF(T549&lt;'PlayerGrades+'!$AI$21,"F-",IF(T549&lt;'PlayerGrades+'!$AI$20,"F",IF(T549&lt;'PlayerGrades+'!$AI$19,"F+",IF(T549&lt;'PlayerGrades+'!$AI$18,"E-",IF(T549&lt;'PlayerGrades+'!$AI$17,"E",IF(T549&lt;'PlayerGrades+'!$AI$16,"E+",IF(T549&lt;'PlayerGrades+'!$AI$15,"D-",IF(T549&lt;'PlayerGrades+'!$AI$14,"D",IF(T549&lt;'PlayerGrades+'!$AI$13,"D+",IF(T549&lt;'PlayerGrades+'!$AI$12,"C-",IF(T549&lt;'PlayerGrades+'!$AI$11,"C",IF(T549&lt;'PlayerGrades+'!$AI$10,"C+",IF(T549&lt;'PlayerGrades+'!$AI$9,"B-",IF(T549&lt;'PlayerGrades+'!$AI$8,"B",IF(T549&lt;'PlayerGrades+'!$AI$7,"B+",IF(T549&lt;'PlayerGrades+'!$AI$6,"A-",IF(T549&lt;'PlayerGrades+'!$AI$5,"A",IF(T549&lt;'PlayerGrades+'!$AI$4,"A+",IF(T549&lt;'PlayerGrades+'!$AI$3,"S-",IF(T549&lt;'PlayerGrades+'!$AI$2,"S","S+"))))))))))))))))))))</f>
        <v>B</v>
      </c>
      <c r="V549" s="941">
        <v>1.0</v>
      </c>
      <c r="W549" s="941">
        <v>1.0</v>
      </c>
      <c r="X549" s="941">
        <v>0.0</v>
      </c>
      <c r="Y549" s="941">
        <v>0.0</v>
      </c>
      <c r="Z549" s="941">
        <v>8.0</v>
      </c>
      <c r="AA549" s="941">
        <v>87.0</v>
      </c>
      <c r="AB549" s="941">
        <v>69.0</v>
      </c>
      <c r="AC549" s="941">
        <v>18.0</v>
      </c>
      <c r="AD549" s="941">
        <v>3.0</v>
      </c>
      <c r="AE549" s="941">
        <v>6.0</v>
      </c>
      <c r="AF549" s="941">
        <v>4.0</v>
      </c>
      <c r="AG549" s="941">
        <v>1304.0</v>
      </c>
      <c r="AH549" s="941">
        <v>1576.0</v>
      </c>
      <c r="AI549" s="941">
        <v>18.0</v>
      </c>
      <c r="AJ549" s="941">
        <v>340.0</v>
      </c>
      <c r="AK549" s="941">
        <v>0.0</v>
      </c>
      <c r="AL549" s="941">
        <v>5.0</v>
      </c>
      <c r="AM549" s="941">
        <v>0.0</v>
      </c>
      <c r="AN549" s="941">
        <v>0.0</v>
      </c>
      <c r="AO549" s="941">
        <v>0.0</v>
      </c>
      <c r="AP549" s="941">
        <v>3.0</v>
      </c>
      <c r="AQ549" s="941">
        <v>0.0</v>
      </c>
      <c r="AR549" s="941">
        <v>16.0</v>
      </c>
      <c r="AS549" s="941">
        <v>2.0</v>
      </c>
      <c r="AT549" s="941">
        <v>1.0</v>
      </c>
      <c r="AU549" s="941">
        <v>0.0</v>
      </c>
      <c r="AV549" s="941">
        <v>0.0</v>
      </c>
      <c r="AW549" s="941">
        <v>0.0</v>
      </c>
      <c r="AX549" s="941">
        <v>0.0</v>
      </c>
      <c r="AY549" s="941">
        <v>0.0</v>
      </c>
      <c r="AZ549" s="941">
        <v>0.0</v>
      </c>
      <c r="BA549" s="941">
        <v>0.0</v>
      </c>
      <c r="BB549" s="941">
        <v>2.0</v>
      </c>
      <c r="BC549" s="941">
        <v>0.0</v>
      </c>
      <c r="BD549" s="941">
        <v>9.0</v>
      </c>
      <c r="BE549" s="941">
        <v>11.0</v>
      </c>
      <c r="BF549" s="941">
        <v>1.0</v>
      </c>
      <c r="BG549" s="941">
        <v>0.0</v>
      </c>
    </row>
    <row r="550">
      <c r="A550" s="1" t="s">
        <v>129</v>
      </c>
      <c r="B550" s="421" t="str">
        <f>IF(C550&lt;'PlayerGrades+'!$Y$44,"F-",IF(C550&lt;'PlayerGrades+'!$Y$43,"F",IF(C550&lt;'PlayerGrades+'!$Y$42,"F+",IF(C550&lt;'PlayerGrades+'!$Y$41,"E-",IF(C550&lt;'PlayerGrades+'!$Y$40,"E",IF(C550&lt;'PlayerGrades+'!$Y$39,"E+",IF(C550&lt;'PlayerGrades+'!$Y$38,"D-",IF(C550&lt;'PlayerGrades+'!$Y$37,"D",IF(C550&lt;'PlayerGrades+'!$Y$36,"D+",IF(C550&lt;'PlayerGrades+'!$Y$35,"C-",IF(C550&lt;'PlayerGrades+'!$Y$34,"C",IF(C550&lt;'PlayerGrades+'!$Y$33,"C+",IF(C550&lt;'PlayerGrades+'!$Y$32,"B-",IF(C550&lt;'PlayerGrades+'!$Y$31,"B",IF(C550&lt;'PlayerGrades+'!$Y$30,"B+",IF(C550&lt;'PlayerGrades+'!$Y$29,"A-",IF(C550&lt;'PlayerGrades+'!$Y$28,"A",IF(C550&lt;'PlayerGrades+'!$Y$27,"A+",IF(C550&lt;'PlayerGrades+'!$Y$26,"S-",IF(C550&lt;'PlayerGrades+'!$Y$25,"S","S+"))))))))))))))))))))</f>
        <v>A</v>
      </c>
      <c r="C550" s="972">
        <f>('PlayerGrades+'!$Y$47*(VLOOKUP(E550, 'PlayerGrades+'!$X$3:$Y$23, 2, FALSE)))+('PlayerGrades+'!$Y$48*(VLOOKUP(G550, 'PlayerGrades+'!$X$3:$Y$23, 2, FALSE)))+('PlayerGrades+'!$Y$49*(VLOOKUP(I550, 'PlayerGrades+'!$X$3:$Y$23, 2, FALSE)))+('PlayerGrades+'!$Y$50*(VLOOKUP(K550, 'PlayerGrades+'!$X$3:$Y$23, 2, FALSE)))+('PlayerGrades+'!$Y$51*(VLOOKUP(M550, 'PlayerGrades+'!$X$3:$Y$23, 2, FALSE)))+('PlayerGrades+'!$Y$52*(VLOOKUP(O550, 'PlayerGrades+'!$X$3:$Y$23, 2, FALSE)))+('PlayerGrades+'!$Y$53*(VLOOKUP(Q550, 'PlayerGrades+'!$X$3:$Y$23, 2, FALSE)))+('PlayerGrades+'!$Y$54*(VLOOKUP(S550, 'PlayerGrades+'!$X$3:$Y$23, 2, FALSE)))+('PlayerGrades+'!$Y$55*(VLOOKUP(U550, 'PlayerGrades+'!$X$3:$Y$23, 2, FALSE)))</f>
        <v>26.5</v>
      </c>
      <c r="D550" s="973">
        <f t="shared" si="1"/>
        <v>0</v>
      </c>
      <c r="E550" s="973" t="str">
        <f>IF(D550&lt;'PlayerGrades+'!$AA$21,"F-",IF(D550&lt;'PlayerGrades+'!$AA$20,"F",IF(D550&lt;'PlayerGrades+'!$AA$19,"F+",IF(D550&lt;'PlayerGrades+'!$AA$18,"E-",IF(D550&lt;'PlayerGrades+'!$AA$17,"E",IF(D550&lt;'PlayerGrades+'!$AA$16,"E+",IF(D550&lt;'PlayerGrades+'!$AA$15,"D-",IF(D550&lt;'PlayerGrades+'!$AA$14,"D",IF(D550&lt;'PlayerGrades+'!$AA$13,"D+",IF(D550&lt;'PlayerGrades+'!$AA$12,"C-",IF(D550&lt;'PlayerGrades+'!$AA$11,"C",IF(D550&lt;'PlayerGrades+'!$AA$10,"C+",IF(D550&lt;'PlayerGrades+'!$AA$9,"B-",IF(D550&lt;'PlayerGrades+'!$AA$8,"B",IF(D550&lt;'PlayerGrades+'!$AA$7,"B+",IF(D550&lt;'PlayerGrades+'!$AA$6,"A-",IF(D550&lt;'PlayerGrades+'!$AA$5,"A",IF(D550&lt;'PlayerGrades+'!$AA$4,"A+",IF(D550&lt;'PlayerGrades+'!$AA$3,"S-",IF(D550&lt;'PlayerGrades+'!$AA$2,"S","S+"))))))))))))))))))))</f>
        <v>F-</v>
      </c>
      <c r="F550" s="973">
        <f t="shared" si="2"/>
        <v>0.3426395939</v>
      </c>
      <c r="G550" s="973" t="str">
        <f>IF(F550&lt;'PlayerGrades+'!$AB$21,"F-",IF(F550&lt;'PlayerGrades+'!$AB$20,"F",IF(F550&lt;'PlayerGrades+'!$AB$19,"F+",IF(F550&lt;'PlayerGrades+'!$AB$18,"E-",IF(F550&lt;'PlayerGrades+'!$AB$17,"E",IF(F550&lt;'PlayerGrades+'!$AB$16,"E+",IF(F550&lt;'PlayerGrades+'!$AB$15,"D-",IF(F550&lt;'PlayerGrades+'!$AB$14,"D",IF(F550&lt;'PlayerGrades+'!$AB$13,"D+",IF(F550&lt;'PlayerGrades+'!$AB$12,"C-",IF(F550&lt;'PlayerGrades+'!$AB$11,"C",IF(F550&lt;'PlayerGrades+'!$AB$10,"C+",IF(F550&lt;'PlayerGrades+'!$AB$9,"B-",IF(F550&lt;'PlayerGrades+'!$AB$8,"B",IF(F550&lt;'PlayerGrades+'!$AB$7,"B+",IF(F550&lt;'PlayerGrades+'!$AB$6,"A-",IF(F550&lt;'PlayerGrades+'!$AB$5,"A",IF(F550&lt;'PlayerGrades+'!$AB$4,"A+",IF(F550&lt;'PlayerGrades+'!$AB$3,"S-",IF(F550&lt;'PlayerGrades+'!$AB$2,"S","S+"))))))))))))))))))))</f>
        <v>A-</v>
      </c>
      <c r="H550" s="973">
        <f t="shared" si="3"/>
        <v>0.114213198</v>
      </c>
      <c r="I550" s="973" t="str">
        <f>IF(H550&lt;'PlayerGrades+'!$AC$21,"F-",IF(H550&lt;'PlayerGrades+'!$AC$20,"F",IF(H550&lt;'PlayerGrades+'!$AC$19,"F+",IF(H550&lt;'PlayerGrades+'!$AC$18,"E-",IF(H550&lt;'PlayerGrades+'!$AC$17,"E",IF(H550&lt;'PlayerGrades+'!$AC$16,"E+",IF(H550&lt;'PlayerGrades+'!$AC$15,"D-",IF(H550&lt;'PlayerGrades+'!$AC$14,"D",IF(H550&lt;'PlayerGrades+'!$AC$13,"D+",IF(H550&lt;'PlayerGrades+'!$AC$12,"C-",IF(H550&lt;'PlayerGrades+'!$AC$11,"C",IF(H550&lt;'PlayerGrades+'!$AC$10,"C+",IF(H550&lt;'PlayerGrades+'!$AC$9,"B-",IF(H550&lt;'PlayerGrades+'!$AC$8,"B",IF(H550&lt;'PlayerGrades+'!$AC$7,"B+",IF(H550&lt;'PlayerGrades+'!$AC$6,"A-",IF(H550&lt;'PlayerGrades+'!$AC$5,"A",IF(H550&lt;'PlayerGrades+'!$AC$4,"A+",IF(H550&lt;'PlayerGrades+'!$AC$3,"S-",IF(H550&lt;'PlayerGrades+'!$AC$2,"S","S+"))))))))))))))))))))</f>
        <v>C</v>
      </c>
      <c r="J550" s="973">
        <f t="shared" si="4"/>
        <v>0.07614213198</v>
      </c>
      <c r="K550" s="973" t="str">
        <f>IF(J550&lt;'PlayerGrades+'!$AD$21,"F-",IF(J550&lt;'PlayerGrades+'!$AD$20,"F",IF(J550&lt;'PlayerGrades+'!$AD$19,"F+",IF(J550&lt;'PlayerGrades+'!$AD$18,"E-",IF(J550&lt;'PlayerGrades+'!$AD$17,"E",IF(J550&lt;'PlayerGrades+'!$AD$16,"E+",IF(J550&lt;'PlayerGrades+'!$AD$15,"D-",IF(J550&lt;'PlayerGrades+'!$AD$14,"D",IF(J550&lt;'PlayerGrades+'!$AD$13,"D+",IF(J550&lt;'PlayerGrades+'!$AD$12,"C-",IF(J550&lt;'PlayerGrades+'!$AD$11,"C",IF(J550&lt;'PlayerGrades+'!$AD$10,"C+",IF(J550&lt;'PlayerGrades+'!$AD$9,"B-",IF(J550&lt;'PlayerGrades+'!$AD$8,"B",IF(J550&lt;'PlayerGrades+'!$AD$7,"B+",IF(J550&lt;'PlayerGrades+'!$AD$6,"A-",IF(J550&lt;'PlayerGrades+'!$AD$5,"A",IF(J550&lt;'PlayerGrades+'!$AD$4,"A+",IF(J550&lt;'PlayerGrades+'!$AD$3,"S-",IF(J550&lt;'PlayerGrades+'!$AD$2,"S","S+"))))))))))))))))))))</f>
        <v>A+</v>
      </c>
      <c r="L550" s="974">
        <f t="shared" si="5"/>
        <v>0.4949238579</v>
      </c>
      <c r="M550" s="975" t="str">
        <f>IF(L550&lt;'PlayerGrades+'!$AE$21,"F-",IF(L550&lt;'PlayerGrades+'!$AE$20,"F",IF(L550&lt;'PlayerGrades+'!$AE$19,"F+",IF(L550&lt;'PlayerGrades+'!$AE$18,"E-",IF(L550&lt;'PlayerGrades+'!$AE$17,"E",IF(L550&lt;'PlayerGrades+'!$AE$16,"E+",IF(L550&lt;'PlayerGrades+'!$AE$15,"D-",IF(L550&lt;'PlayerGrades+'!$AE$14,"D",IF(L550&lt;'PlayerGrades+'!$AE$13,"D+",IF(L550&lt;'PlayerGrades+'!$AE$12,"C-",IF(L550&lt;'PlayerGrades+'!$AE$11,"C",IF(L550&lt;'PlayerGrades+'!$AE$10,"C+",IF(L550&lt;'PlayerGrades+'!$AE$9,"B-",IF(L550&lt;'PlayerGrades+'!$AE$8,"B",IF(L550&lt;'PlayerGrades+'!$AE$7,"B+",IF(L550&lt;'PlayerGrades+'!$AE$6,"A-",IF(L550&lt;'PlayerGrades+'!$AE$5,"A",IF(L550&lt;'PlayerGrades+'!$AE$4,"A+",IF(L550&lt;'PlayerGrades+'!$AE$3,"S-",IF(L550&lt;'PlayerGrades+'!$AE$2,"S","S+"))))))))))))))))))))</f>
        <v>A-</v>
      </c>
      <c r="N550" s="973">
        <f t="shared" si="6"/>
        <v>0.114213198</v>
      </c>
      <c r="O550" s="973" t="str">
        <f>IF(N550&lt;'PlayerGrades+'!$AF$21,"F-",IF(N550&lt;'PlayerGrades+'!$AF$20,"F",IF(N550&lt;'PlayerGrades+'!$AF$19,"F+",IF(N550&lt;'PlayerGrades+'!$AF$18,"E-",IF(N550&lt;'PlayerGrades+'!$AF$17,"E",IF(N550&lt;'PlayerGrades+'!$AF$16,"E+",IF(N550&lt;'PlayerGrades+'!$AF$15,"D-",IF(N550&lt;'PlayerGrades+'!$AF$14,"D",IF(N550&lt;'PlayerGrades+'!$AF$13,"D+",IF(N550&lt;'PlayerGrades+'!$AF$12,"C-",IF(N550&lt;'PlayerGrades+'!$AF$11,"C",IF(N550&lt;'PlayerGrades+'!$AF$10,"C+",IF(N550&lt;'PlayerGrades+'!$AF$9,"B-",IF(N550&lt;'PlayerGrades+'!$AF$8,"B",IF(N550&lt;'PlayerGrades+'!$AF$7,"B+",IF(N550&lt;'PlayerGrades+'!$AF$6,"A-",IF(N550&lt;'PlayerGrades+'!$AF$5,"A",IF(N550&lt;'PlayerGrades+'!$AF$4,"A+",IF(N550&lt;'PlayerGrades+'!$AF$3,"S-",IF(N550&lt;'PlayerGrades+'!$AF$2,"S","S+"))))))))))))))))))))</f>
        <v>S-</v>
      </c>
      <c r="P550" s="973">
        <f t="shared" si="7"/>
        <v>0.07614213198</v>
      </c>
      <c r="Q550" s="973" t="str">
        <f>IF(P550&lt;'PlayerGrades+'!$AG$21,"F-",IF(P550&lt;'PlayerGrades+'!$AG$20,"F",IF(P550&lt;'PlayerGrades+'!$AG$19,"F+",IF(P550&lt;'PlayerGrades+'!$AG$18,"E-",IF(P550&lt;'PlayerGrades+'!$AG$17,"E",IF(P550&lt;'PlayerGrades+'!$AG$16,"E+",IF(P550&lt;'PlayerGrades+'!$AG$15,"D-",IF(P550&lt;'PlayerGrades+'!$AG$14,"D",IF(P550&lt;'PlayerGrades+'!$AG$13,"D+",IF(P550&lt;'PlayerGrades+'!$AG$12,"C-",IF(P550&lt;'PlayerGrades+'!$AG$11,"C",IF(P550&lt;'PlayerGrades+'!$AG$10,"C+",IF(P550&lt;'PlayerGrades+'!$AG$9,"B-",IF(P550&lt;'PlayerGrades+'!$AG$8,"B",IF(P550&lt;'PlayerGrades+'!$AG$7,"B+",IF(P550&lt;'PlayerGrades+'!$AG$6,"A-",IF(P550&lt;'PlayerGrades+'!$AG$5,"A",IF(P550&lt;'PlayerGrades+'!$AG$4,"A+",IF(P550&lt;'PlayerGrades+'!$AG$3,"S-",IF(P550&lt;'PlayerGrades+'!$AG$2,"S","S+"))))))))))))))))))))</f>
        <v>S-</v>
      </c>
      <c r="R550" s="973">
        <f t="shared" si="8"/>
        <v>0.6472081218</v>
      </c>
      <c r="S550" s="973" t="str">
        <f>IF(R550&lt;'PlayerGrades+'!$AH$21,"F-",IF(R550&lt;'PlayerGrades+'!$AH$20,"F",IF(R550&lt;'PlayerGrades+'!$AH$19,"F+",IF(R550&lt;'PlayerGrades+'!$AH$18,"E-",IF(R550&lt;'PlayerGrades+'!$AH$17,"E",IF(R550&lt;'PlayerGrades+'!$AH$16,"E+",IF(R550&lt;'PlayerGrades+'!$AH$15,"D-",IF(R550&lt;'PlayerGrades+'!$AH$14,"D",IF(R550&lt;'PlayerGrades+'!$AH$13,"D+",IF(R550&lt;'PlayerGrades+'!$AH$12,"C-",IF(R550&lt;'PlayerGrades+'!$AH$11,"C",IF(R550&lt;'PlayerGrades+'!$AH$10,"C+",IF(R550&lt;'PlayerGrades+'!$AH$9,"B-",IF(R550&lt;'PlayerGrades+'!$AH$8,"B",IF(R550&lt;'PlayerGrades+'!$AH$7,"B+",IF(R550&lt;'PlayerGrades+'!$AH$6,"A-",IF(R550&lt;'PlayerGrades+'!$AH$5,"A",IF(R550&lt;'PlayerGrades+'!$AH$4,"A+",IF(R550&lt;'PlayerGrades+'!$AH$3,"S-",IF(R550&lt;'PlayerGrades+'!$AH$2,"S","S+"))))))))))))))))))))</f>
        <v>A+</v>
      </c>
      <c r="T550" s="973">
        <f t="shared" si="9"/>
        <v>1.342639594</v>
      </c>
      <c r="U550" s="973" t="str">
        <f>IF(T550&lt;'PlayerGrades+'!$AI$21,"F-",IF(T550&lt;'PlayerGrades+'!$AI$20,"F",IF(T550&lt;'PlayerGrades+'!$AI$19,"F+",IF(T550&lt;'PlayerGrades+'!$AI$18,"E-",IF(T550&lt;'PlayerGrades+'!$AI$17,"E",IF(T550&lt;'PlayerGrades+'!$AI$16,"E+",IF(T550&lt;'PlayerGrades+'!$AI$15,"D-",IF(T550&lt;'PlayerGrades+'!$AI$14,"D",IF(T550&lt;'PlayerGrades+'!$AI$13,"D+",IF(T550&lt;'PlayerGrades+'!$AI$12,"C-",IF(T550&lt;'PlayerGrades+'!$AI$11,"C",IF(T550&lt;'PlayerGrades+'!$AI$10,"C+",IF(T550&lt;'PlayerGrades+'!$AI$9,"B-",IF(T550&lt;'PlayerGrades+'!$AI$8,"B",IF(T550&lt;'PlayerGrades+'!$AI$7,"B+",IF(T550&lt;'PlayerGrades+'!$AI$6,"A-",IF(T550&lt;'PlayerGrades+'!$AI$5,"A",IF(T550&lt;'PlayerGrades+'!$AI$4,"A+",IF(T550&lt;'PlayerGrades+'!$AI$3,"S-",IF(T550&lt;'PlayerGrades+'!$AI$2,"S","S+"))))))))))))))))))))</f>
        <v>B-</v>
      </c>
      <c r="V550" s="941">
        <v>1.0</v>
      </c>
      <c r="W550" s="941">
        <v>0.0</v>
      </c>
      <c r="X550" s="941">
        <v>1.0</v>
      </c>
      <c r="Y550" s="941">
        <v>0.0</v>
      </c>
      <c r="Z550" s="941">
        <v>0.0</v>
      </c>
      <c r="AA550" s="941">
        <v>100.0</v>
      </c>
      <c r="AB550" s="941">
        <v>91.0</v>
      </c>
      <c r="AC550" s="941">
        <v>9.0</v>
      </c>
      <c r="AD550" s="941">
        <v>8.0</v>
      </c>
      <c r="AE550" s="941">
        <v>7.0</v>
      </c>
      <c r="AF550" s="941">
        <v>2.0</v>
      </c>
      <c r="AG550" s="941">
        <v>1240.0</v>
      </c>
      <c r="AH550" s="941">
        <v>1576.0</v>
      </c>
      <c r="AI550" s="941">
        <v>13.0</v>
      </c>
      <c r="AJ550" s="941">
        <v>30.0</v>
      </c>
      <c r="AK550" s="941">
        <v>0.0</v>
      </c>
      <c r="AL550" s="941">
        <v>2.0</v>
      </c>
      <c r="AM550" s="941">
        <v>0.0</v>
      </c>
      <c r="AN550" s="941">
        <v>0.0</v>
      </c>
      <c r="AO550" s="941">
        <v>0.0</v>
      </c>
      <c r="AP550" s="941">
        <v>2.0</v>
      </c>
      <c r="AQ550" s="941">
        <v>0.0</v>
      </c>
      <c r="AR550" s="941">
        <v>13.0</v>
      </c>
      <c r="AS550" s="941">
        <v>3.0</v>
      </c>
      <c r="AT550" s="941">
        <v>1.0</v>
      </c>
      <c r="AU550" s="941">
        <v>1.0</v>
      </c>
      <c r="AV550" s="941">
        <v>0.0</v>
      </c>
      <c r="AW550" s="941">
        <v>0.0</v>
      </c>
      <c r="AX550" s="941">
        <v>0.0</v>
      </c>
      <c r="AY550" s="941">
        <v>0.0</v>
      </c>
      <c r="AZ550" s="941">
        <v>0.0</v>
      </c>
      <c r="BA550" s="941">
        <v>0.0</v>
      </c>
      <c r="BB550" s="941">
        <v>3.0</v>
      </c>
      <c r="BC550" s="941">
        <v>0.0</v>
      </c>
      <c r="BD550" s="941">
        <v>9.0</v>
      </c>
      <c r="BE550" s="941">
        <v>9.0</v>
      </c>
      <c r="BF550" s="941">
        <v>1.0</v>
      </c>
      <c r="BG550" s="941">
        <v>1.0</v>
      </c>
    </row>
    <row r="551">
      <c r="A551" s="1" t="s">
        <v>151</v>
      </c>
      <c r="B551" s="421" t="str">
        <f>IF(C551&lt;'PlayerGrades+'!$Y$44,"F-",IF(C551&lt;'PlayerGrades+'!$Y$43,"F",IF(C551&lt;'PlayerGrades+'!$Y$42,"F+",IF(C551&lt;'PlayerGrades+'!$Y$41,"E-",IF(C551&lt;'PlayerGrades+'!$Y$40,"E",IF(C551&lt;'PlayerGrades+'!$Y$39,"E+",IF(C551&lt;'PlayerGrades+'!$Y$38,"D-",IF(C551&lt;'PlayerGrades+'!$Y$37,"D",IF(C551&lt;'PlayerGrades+'!$Y$36,"D+",IF(C551&lt;'PlayerGrades+'!$Y$35,"C-",IF(C551&lt;'PlayerGrades+'!$Y$34,"C",IF(C551&lt;'PlayerGrades+'!$Y$33,"C+",IF(C551&lt;'PlayerGrades+'!$Y$32,"B-",IF(C551&lt;'PlayerGrades+'!$Y$31,"B",IF(C551&lt;'PlayerGrades+'!$Y$30,"B+",IF(C551&lt;'PlayerGrades+'!$Y$29,"A-",IF(C551&lt;'PlayerGrades+'!$Y$28,"A",IF(C551&lt;'PlayerGrades+'!$Y$27,"A+",IF(C551&lt;'PlayerGrades+'!$Y$26,"S-",IF(C551&lt;'PlayerGrades+'!$Y$25,"S","S+"))))))))))))))))))))</f>
        <v>B+</v>
      </c>
      <c r="C551" s="972">
        <f>('PlayerGrades+'!$Y$47*(VLOOKUP(E551, 'PlayerGrades+'!$X$3:$Y$23, 2, FALSE)))+('PlayerGrades+'!$Y$48*(VLOOKUP(G551, 'PlayerGrades+'!$X$3:$Y$23, 2, FALSE)))+('PlayerGrades+'!$Y$49*(VLOOKUP(I551, 'PlayerGrades+'!$X$3:$Y$23, 2, FALSE)))+('PlayerGrades+'!$Y$50*(VLOOKUP(K551, 'PlayerGrades+'!$X$3:$Y$23, 2, FALSE)))+('PlayerGrades+'!$Y$51*(VLOOKUP(M551, 'PlayerGrades+'!$X$3:$Y$23, 2, FALSE)))+('PlayerGrades+'!$Y$52*(VLOOKUP(O551, 'PlayerGrades+'!$X$3:$Y$23, 2, FALSE)))+('PlayerGrades+'!$Y$53*(VLOOKUP(Q551, 'PlayerGrades+'!$X$3:$Y$23, 2, FALSE)))+('PlayerGrades+'!$Y$54*(VLOOKUP(S551, 'PlayerGrades+'!$X$3:$Y$23, 2, FALSE)))+('PlayerGrades+'!$Y$55*(VLOOKUP(U551, 'PlayerGrades+'!$X$3:$Y$23, 2, FALSE)))</f>
        <v>23.75</v>
      </c>
      <c r="D551" s="973">
        <f t="shared" si="1"/>
        <v>0.03807106599</v>
      </c>
      <c r="E551" s="973" t="str">
        <f>IF(D551&lt;'PlayerGrades+'!$AA$21,"F-",IF(D551&lt;'PlayerGrades+'!$AA$20,"F",IF(D551&lt;'PlayerGrades+'!$AA$19,"F+",IF(D551&lt;'PlayerGrades+'!$AA$18,"E-",IF(D551&lt;'PlayerGrades+'!$AA$17,"E",IF(D551&lt;'PlayerGrades+'!$AA$16,"E+",IF(D551&lt;'PlayerGrades+'!$AA$15,"D-",IF(D551&lt;'PlayerGrades+'!$AA$14,"D",IF(D551&lt;'PlayerGrades+'!$AA$13,"D+",IF(D551&lt;'PlayerGrades+'!$AA$12,"C-",IF(D551&lt;'PlayerGrades+'!$AA$11,"C",IF(D551&lt;'PlayerGrades+'!$AA$10,"C+",IF(D551&lt;'PlayerGrades+'!$AA$9,"B-",IF(D551&lt;'PlayerGrades+'!$AA$8,"B",IF(D551&lt;'PlayerGrades+'!$AA$7,"B+",IF(D551&lt;'PlayerGrades+'!$AA$6,"A-",IF(D551&lt;'PlayerGrades+'!$AA$5,"A",IF(D551&lt;'PlayerGrades+'!$AA$4,"A+",IF(D551&lt;'PlayerGrades+'!$AA$3,"S-",IF(D551&lt;'PlayerGrades+'!$AA$2,"S","S+"))))))))))))))))))))</f>
        <v>C</v>
      </c>
      <c r="F551" s="973">
        <f t="shared" si="2"/>
        <v>-0.152284264</v>
      </c>
      <c r="G551" s="973" t="str">
        <f>IF(F551&lt;'PlayerGrades+'!$AB$21,"F-",IF(F551&lt;'PlayerGrades+'!$AB$20,"F",IF(F551&lt;'PlayerGrades+'!$AB$19,"F+",IF(F551&lt;'PlayerGrades+'!$AB$18,"E-",IF(F551&lt;'PlayerGrades+'!$AB$17,"E",IF(F551&lt;'PlayerGrades+'!$AB$16,"E+",IF(F551&lt;'PlayerGrades+'!$AB$15,"D-",IF(F551&lt;'PlayerGrades+'!$AB$14,"D",IF(F551&lt;'PlayerGrades+'!$AB$13,"D+",IF(F551&lt;'PlayerGrades+'!$AB$12,"C-",IF(F551&lt;'PlayerGrades+'!$AB$11,"C",IF(F551&lt;'PlayerGrades+'!$AB$10,"C+",IF(F551&lt;'PlayerGrades+'!$AB$9,"B-",IF(F551&lt;'PlayerGrades+'!$AB$8,"B",IF(F551&lt;'PlayerGrades+'!$AB$7,"B+",IF(F551&lt;'PlayerGrades+'!$AB$6,"A-",IF(F551&lt;'PlayerGrades+'!$AB$5,"A",IF(F551&lt;'PlayerGrades+'!$AB$4,"A+",IF(F551&lt;'PlayerGrades+'!$AB$3,"S-",IF(F551&lt;'PlayerGrades+'!$AB$2,"S","S+"))))))))))))))))))))</f>
        <v>C+</v>
      </c>
      <c r="H551" s="973">
        <f t="shared" si="3"/>
        <v>0.1903553299</v>
      </c>
      <c r="I551" s="973" t="str">
        <f>IF(H551&lt;'PlayerGrades+'!$AC$21,"F-",IF(H551&lt;'PlayerGrades+'!$AC$20,"F",IF(H551&lt;'PlayerGrades+'!$AC$19,"F+",IF(H551&lt;'PlayerGrades+'!$AC$18,"E-",IF(H551&lt;'PlayerGrades+'!$AC$17,"E",IF(H551&lt;'PlayerGrades+'!$AC$16,"E+",IF(H551&lt;'PlayerGrades+'!$AC$15,"D-",IF(H551&lt;'PlayerGrades+'!$AC$14,"D",IF(H551&lt;'PlayerGrades+'!$AC$13,"D+",IF(H551&lt;'PlayerGrades+'!$AC$12,"C-",IF(H551&lt;'PlayerGrades+'!$AC$11,"C",IF(H551&lt;'PlayerGrades+'!$AC$10,"C+",IF(H551&lt;'PlayerGrades+'!$AC$9,"B-",IF(H551&lt;'PlayerGrades+'!$AC$8,"B",IF(H551&lt;'PlayerGrades+'!$AC$7,"B+",IF(H551&lt;'PlayerGrades+'!$AC$6,"A-",IF(H551&lt;'PlayerGrades+'!$AC$5,"A",IF(H551&lt;'PlayerGrades+'!$AC$4,"A+",IF(H551&lt;'PlayerGrades+'!$AC$3,"S-",IF(H551&lt;'PlayerGrades+'!$AC$2,"S","S+"))))))))))))))))))))</f>
        <v>S</v>
      </c>
      <c r="J551" s="973">
        <f t="shared" si="4"/>
        <v>0.03807106599</v>
      </c>
      <c r="K551" s="973" t="str">
        <f>IF(J551&lt;'PlayerGrades+'!$AD$21,"F-",IF(J551&lt;'PlayerGrades+'!$AD$20,"F",IF(J551&lt;'PlayerGrades+'!$AD$19,"F+",IF(J551&lt;'PlayerGrades+'!$AD$18,"E-",IF(J551&lt;'PlayerGrades+'!$AD$17,"E",IF(J551&lt;'PlayerGrades+'!$AD$16,"E+",IF(J551&lt;'PlayerGrades+'!$AD$15,"D-",IF(J551&lt;'PlayerGrades+'!$AD$14,"D",IF(J551&lt;'PlayerGrades+'!$AD$13,"D+",IF(J551&lt;'PlayerGrades+'!$AD$12,"C-",IF(J551&lt;'PlayerGrades+'!$AD$11,"C",IF(J551&lt;'PlayerGrades+'!$AD$10,"C+",IF(J551&lt;'PlayerGrades+'!$AD$9,"B-",IF(J551&lt;'PlayerGrades+'!$AD$8,"B",IF(J551&lt;'PlayerGrades+'!$AD$7,"B+",IF(J551&lt;'PlayerGrades+'!$AD$6,"A-",IF(J551&lt;'PlayerGrades+'!$AD$5,"A",IF(J551&lt;'PlayerGrades+'!$AD$4,"A+",IF(J551&lt;'PlayerGrades+'!$AD$3,"S-",IF(J551&lt;'PlayerGrades+'!$AD$2,"S","S+"))))))))))))))))))))</f>
        <v>C</v>
      </c>
      <c r="L551" s="974">
        <f t="shared" si="5"/>
        <v>0.4187817259</v>
      </c>
      <c r="M551" s="975" t="str">
        <f>IF(L551&lt;'PlayerGrades+'!$AE$21,"F-",IF(L551&lt;'PlayerGrades+'!$AE$20,"F",IF(L551&lt;'PlayerGrades+'!$AE$19,"F+",IF(L551&lt;'PlayerGrades+'!$AE$18,"E-",IF(L551&lt;'PlayerGrades+'!$AE$17,"E",IF(L551&lt;'PlayerGrades+'!$AE$16,"E+",IF(L551&lt;'PlayerGrades+'!$AE$15,"D-",IF(L551&lt;'PlayerGrades+'!$AE$14,"D",IF(L551&lt;'PlayerGrades+'!$AE$13,"D+",IF(L551&lt;'PlayerGrades+'!$AE$12,"C-",IF(L551&lt;'PlayerGrades+'!$AE$11,"C",IF(L551&lt;'PlayerGrades+'!$AE$10,"C+",IF(L551&lt;'PlayerGrades+'!$AE$9,"B-",IF(L551&lt;'PlayerGrades+'!$AE$8,"B",IF(L551&lt;'PlayerGrades+'!$AE$7,"B+",IF(L551&lt;'PlayerGrades+'!$AE$6,"A-",IF(L551&lt;'PlayerGrades+'!$AE$5,"A",IF(L551&lt;'PlayerGrades+'!$AE$4,"A+",IF(L551&lt;'PlayerGrades+'!$AE$3,"S-",IF(L551&lt;'PlayerGrades+'!$AE$2,"S","S+"))))))))))))))))))))</f>
        <v>C+</v>
      </c>
      <c r="N551" s="973">
        <f t="shared" si="6"/>
        <v>0.03807106599</v>
      </c>
      <c r="O551" s="973" t="str">
        <f>IF(N551&lt;'PlayerGrades+'!$AF$21,"F-",IF(N551&lt;'PlayerGrades+'!$AF$20,"F",IF(N551&lt;'PlayerGrades+'!$AF$19,"F+",IF(N551&lt;'PlayerGrades+'!$AF$18,"E-",IF(N551&lt;'PlayerGrades+'!$AF$17,"E",IF(N551&lt;'PlayerGrades+'!$AF$16,"E+",IF(N551&lt;'PlayerGrades+'!$AF$15,"D-",IF(N551&lt;'PlayerGrades+'!$AF$14,"D",IF(N551&lt;'PlayerGrades+'!$AF$13,"D+",IF(N551&lt;'PlayerGrades+'!$AF$12,"C-",IF(N551&lt;'PlayerGrades+'!$AF$11,"C",IF(N551&lt;'PlayerGrades+'!$AF$10,"C+",IF(N551&lt;'PlayerGrades+'!$AF$9,"B-",IF(N551&lt;'PlayerGrades+'!$AF$8,"B",IF(N551&lt;'PlayerGrades+'!$AF$7,"B+",IF(N551&lt;'PlayerGrades+'!$AF$6,"A-",IF(N551&lt;'PlayerGrades+'!$AF$5,"A",IF(N551&lt;'PlayerGrades+'!$AF$4,"A+",IF(N551&lt;'PlayerGrades+'!$AF$3,"S-",IF(N551&lt;'PlayerGrades+'!$AF$2,"S","S+"))))))))))))))))))))</f>
        <v>E-</v>
      </c>
      <c r="P551" s="973">
        <f t="shared" si="7"/>
        <v>0.03807106599</v>
      </c>
      <c r="Q551" s="973" t="str">
        <f>IF(P551&lt;'PlayerGrades+'!$AG$21,"F-",IF(P551&lt;'PlayerGrades+'!$AG$20,"F",IF(P551&lt;'PlayerGrades+'!$AG$19,"F+",IF(P551&lt;'PlayerGrades+'!$AG$18,"E-",IF(P551&lt;'PlayerGrades+'!$AG$17,"E",IF(P551&lt;'PlayerGrades+'!$AG$16,"E+",IF(P551&lt;'PlayerGrades+'!$AG$15,"D-",IF(P551&lt;'PlayerGrades+'!$AG$14,"D",IF(P551&lt;'PlayerGrades+'!$AG$13,"D+",IF(P551&lt;'PlayerGrades+'!$AG$12,"C-",IF(P551&lt;'PlayerGrades+'!$AG$11,"C",IF(P551&lt;'PlayerGrades+'!$AG$10,"C+",IF(P551&lt;'PlayerGrades+'!$AG$9,"B-",IF(P551&lt;'PlayerGrades+'!$AG$8,"B",IF(P551&lt;'PlayerGrades+'!$AG$7,"B+",IF(P551&lt;'PlayerGrades+'!$AG$6,"A-",IF(P551&lt;'PlayerGrades+'!$AG$5,"A",IF(P551&lt;'PlayerGrades+'!$AG$4,"A+",IF(P551&lt;'PlayerGrades+'!$AG$3,"S-",IF(P551&lt;'PlayerGrades+'!$AG$2,"S","S+"))))))))))))))))))))</f>
        <v>A-</v>
      </c>
      <c r="R551" s="973">
        <f t="shared" si="8"/>
        <v>0.7614213198</v>
      </c>
      <c r="S551" s="973" t="str">
        <f>IF(R551&lt;'PlayerGrades+'!$AH$21,"F-",IF(R551&lt;'PlayerGrades+'!$AH$20,"F",IF(R551&lt;'PlayerGrades+'!$AH$19,"F+",IF(R551&lt;'PlayerGrades+'!$AH$18,"E-",IF(R551&lt;'PlayerGrades+'!$AH$17,"E",IF(R551&lt;'PlayerGrades+'!$AH$16,"E+",IF(R551&lt;'PlayerGrades+'!$AH$15,"D-",IF(R551&lt;'PlayerGrades+'!$AH$14,"D",IF(R551&lt;'PlayerGrades+'!$AH$13,"D+",IF(R551&lt;'PlayerGrades+'!$AH$12,"C-",IF(R551&lt;'PlayerGrades+'!$AH$11,"C",IF(R551&lt;'PlayerGrades+'!$AH$10,"C+",IF(R551&lt;'PlayerGrades+'!$AH$9,"B-",IF(R551&lt;'PlayerGrades+'!$AH$8,"B",IF(R551&lt;'PlayerGrades+'!$AH$7,"B+",IF(R551&lt;'PlayerGrades+'!$AH$6,"A-",IF(R551&lt;'PlayerGrades+'!$AH$5,"A",IF(R551&lt;'PlayerGrades+'!$AH$4,"A+",IF(R551&lt;'PlayerGrades+'!$AH$3,"S-",IF(R551&lt;'PlayerGrades+'!$AH$2,"S","S+"))))))))))))))))))))</f>
        <v>S+</v>
      </c>
      <c r="T551" s="973">
        <f t="shared" si="9"/>
        <v>1.342639594</v>
      </c>
      <c r="U551" s="973" t="str">
        <f>IF(T551&lt;'PlayerGrades+'!$AI$21,"F-",IF(T551&lt;'PlayerGrades+'!$AI$20,"F",IF(T551&lt;'PlayerGrades+'!$AI$19,"F+",IF(T551&lt;'PlayerGrades+'!$AI$18,"E-",IF(T551&lt;'PlayerGrades+'!$AI$17,"E",IF(T551&lt;'PlayerGrades+'!$AI$16,"E+",IF(T551&lt;'PlayerGrades+'!$AI$15,"D-",IF(T551&lt;'PlayerGrades+'!$AI$14,"D",IF(T551&lt;'PlayerGrades+'!$AI$13,"D+",IF(T551&lt;'PlayerGrades+'!$AI$12,"C-",IF(T551&lt;'PlayerGrades+'!$AI$11,"C",IF(T551&lt;'PlayerGrades+'!$AI$10,"C+",IF(T551&lt;'PlayerGrades+'!$AI$9,"B-",IF(T551&lt;'PlayerGrades+'!$AI$8,"B",IF(T551&lt;'PlayerGrades+'!$AI$7,"B+",IF(T551&lt;'PlayerGrades+'!$AI$6,"A-",IF(T551&lt;'PlayerGrades+'!$AI$5,"A",IF(T551&lt;'PlayerGrades+'!$AI$4,"A+",IF(T551&lt;'PlayerGrades+'!$AI$3,"S-",IF(T551&lt;'PlayerGrades+'!$AI$2,"S","S+"))))))))))))))))))))</f>
        <v>B-</v>
      </c>
      <c r="V551" s="941">
        <v>1.0</v>
      </c>
      <c r="W551" s="941">
        <v>0.0</v>
      </c>
      <c r="X551" s="941">
        <v>1.0</v>
      </c>
      <c r="Y551" s="941">
        <v>0.0</v>
      </c>
      <c r="Z551" s="941">
        <v>1.0</v>
      </c>
      <c r="AA551" s="941">
        <v>74.0</v>
      </c>
      <c r="AB551" s="941">
        <v>78.0</v>
      </c>
      <c r="AC551" s="941">
        <v>-4.0</v>
      </c>
      <c r="AD551" s="941">
        <v>6.0</v>
      </c>
      <c r="AE551" s="941">
        <v>6.0</v>
      </c>
      <c r="AF551" s="941">
        <v>1.0</v>
      </c>
      <c r="AG551" s="941">
        <v>1281.0</v>
      </c>
      <c r="AH551" s="941">
        <v>1576.0</v>
      </c>
      <c r="AI551" s="941">
        <v>16.0</v>
      </c>
      <c r="AJ551" s="941">
        <v>0.0</v>
      </c>
      <c r="AK551" s="941">
        <v>0.0</v>
      </c>
      <c r="AL551" s="941">
        <v>1.0</v>
      </c>
      <c r="AM551" s="941">
        <v>0.0</v>
      </c>
      <c r="AN551" s="941">
        <v>0.0</v>
      </c>
      <c r="AO551" s="941">
        <v>0.0</v>
      </c>
      <c r="AP551" s="941">
        <v>1.0</v>
      </c>
      <c r="AQ551" s="941">
        <v>0.0</v>
      </c>
      <c r="AR551" s="941">
        <v>11.0</v>
      </c>
      <c r="AS551" s="941">
        <v>1.0</v>
      </c>
      <c r="AT551" s="941">
        <v>0.0</v>
      </c>
      <c r="AU551" s="941">
        <v>0.0</v>
      </c>
      <c r="AV551" s="941">
        <v>0.0</v>
      </c>
      <c r="AW551" s="941">
        <v>0.0</v>
      </c>
      <c r="AX551" s="941">
        <v>0.0</v>
      </c>
      <c r="AY551" s="941">
        <v>0.0</v>
      </c>
      <c r="AZ551" s="941">
        <v>0.0</v>
      </c>
      <c r="BA551" s="941">
        <v>0.0</v>
      </c>
      <c r="BB551" s="941">
        <v>5.0</v>
      </c>
      <c r="BC551" s="941">
        <v>0.0</v>
      </c>
      <c r="BD551" s="941">
        <v>14.0</v>
      </c>
      <c r="BE551" s="941">
        <v>9.0</v>
      </c>
      <c r="BF551" s="941">
        <v>1.0</v>
      </c>
      <c r="BG551" s="941">
        <v>1.0</v>
      </c>
    </row>
    <row r="552">
      <c r="A552" s="1" t="s">
        <v>140</v>
      </c>
      <c r="B552" s="421" t="str">
        <f>IF(C552&lt;'PlayerGrades+'!$Y$44,"F-",IF(C552&lt;'PlayerGrades+'!$Y$43,"F",IF(C552&lt;'PlayerGrades+'!$Y$42,"F+",IF(C552&lt;'PlayerGrades+'!$Y$41,"E-",IF(C552&lt;'PlayerGrades+'!$Y$40,"E",IF(C552&lt;'PlayerGrades+'!$Y$39,"E+",IF(C552&lt;'PlayerGrades+'!$Y$38,"D-",IF(C552&lt;'PlayerGrades+'!$Y$37,"D",IF(C552&lt;'PlayerGrades+'!$Y$36,"D+",IF(C552&lt;'PlayerGrades+'!$Y$35,"C-",IF(C552&lt;'PlayerGrades+'!$Y$34,"C",IF(C552&lt;'PlayerGrades+'!$Y$33,"C+",IF(C552&lt;'PlayerGrades+'!$Y$32,"B-",IF(C552&lt;'PlayerGrades+'!$Y$31,"B",IF(C552&lt;'PlayerGrades+'!$Y$30,"B+",IF(C552&lt;'PlayerGrades+'!$Y$29,"A-",IF(C552&lt;'PlayerGrades+'!$Y$28,"A",IF(C552&lt;'PlayerGrades+'!$Y$27,"A+",IF(C552&lt;'PlayerGrades+'!$Y$26,"S-",IF(C552&lt;'PlayerGrades+'!$Y$25,"S","S+"))))))))))))))))))))</f>
        <v>F-</v>
      </c>
      <c r="C552" s="972">
        <f>('PlayerGrades+'!$Y$47*(VLOOKUP(E552, 'PlayerGrades+'!$X$3:$Y$23, 2, FALSE)))+('PlayerGrades+'!$Y$48*(VLOOKUP(G552, 'PlayerGrades+'!$X$3:$Y$23, 2, FALSE)))+('PlayerGrades+'!$Y$49*(VLOOKUP(I552, 'PlayerGrades+'!$X$3:$Y$23, 2, FALSE)))+('PlayerGrades+'!$Y$50*(VLOOKUP(K552, 'PlayerGrades+'!$X$3:$Y$23, 2, FALSE)))+('PlayerGrades+'!$Y$51*(VLOOKUP(M552, 'PlayerGrades+'!$X$3:$Y$23, 2, FALSE)))+('PlayerGrades+'!$Y$52*(VLOOKUP(O552, 'PlayerGrades+'!$X$3:$Y$23, 2, FALSE)))+('PlayerGrades+'!$Y$53*(VLOOKUP(Q552, 'PlayerGrades+'!$X$3:$Y$23, 2, FALSE)))+('PlayerGrades+'!$Y$54*(VLOOKUP(S552, 'PlayerGrades+'!$X$3:$Y$23, 2, FALSE)))+('PlayerGrades+'!$Y$55*(VLOOKUP(U552, 'PlayerGrades+'!$X$3:$Y$23, 2, FALSE)))</f>
        <v>5.65</v>
      </c>
      <c r="D552" s="973">
        <f t="shared" si="1"/>
        <v>0</v>
      </c>
      <c r="E552" s="973" t="str">
        <f>IF(D552&lt;'PlayerGrades+'!$AA$21,"F-",IF(D552&lt;'PlayerGrades+'!$AA$20,"F",IF(D552&lt;'PlayerGrades+'!$AA$19,"F+",IF(D552&lt;'PlayerGrades+'!$AA$18,"E-",IF(D552&lt;'PlayerGrades+'!$AA$17,"E",IF(D552&lt;'PlayerGrades+'!$AA$16,"E+",IF(D552&lt;'PlayerGrades+'!$AA$15,"D-",IF(D552&lt;'PlayerGrades+'!$AA$14,"D",IF(D552&lt;'PlayerGrades+'!$AA$13,"D+",IF(D552&lt;'PlayerGrades+'!$AA$12,"C-",IF(D552&lt;'PlayerGrades+'!$AA$11,"C",IF(D552&lt;'PlayerGrades+'!$AA$10,"C+",IF(D552&lt;'PlayerGrades+'!$AA$9,"B-",IF(D552&lt;'PlayerGrades+'!$AA$8,"B",IF(D552&lt;'PlayerGrades+'!$AA$7,"B+",IF(D552&lt;'PlayerGrades+'!$AA$6,"A-",IF(D552&lt;'PlayerGrades+'!$AA$5,"A",IF(D552&lt;'PlayerGrades+'!$AA$4,"A+",IF(D552&lt;'PlayerGrades+'!$AA$3,"S-",IF(D552&lt;'PlayerGrades+'!$AA$2,"S","S+"))))))))))))))))))))</f>
        <v>F-</v>
      </c>
      <c r="F552" s="973">
        <f t="shared" si="2"/>
        <v>-1.218274112</v>
      </c>
      <c r="G552" s="973" t="str">
        <f>IF(F552&lt;'PlayerGrades+'!$AB$21,"F-",IF(F552&lt;'PlayerGrades+'!$AB$20,"F",IF(F552&lt;'PlayerGrades+'!$AB$19,"F+",IF(F552&lt;'PlayerGrades+'!$AB$18,"E-",IF(F552&lt;'PlayerGrades+'!$AB$17,"E",IF(F552&lt;'PlayerGrades+'!$AB$16,"E+",IF(F552&lt;'PlayerGrades+'!$AB$15,"D-",IF(F552&lt;'PlayerGrades+'!$AB$14,"D",IF(F552&lt;'PlayerGrades+'!$AB$13,"D+",IF(F552&lt;'PlayerGrades+'!$AB$12,"C-",IF(F552&lt;'PlayerGrades+'!$AB$11,"C",IF(F552&lt;'PlayerGrades+'!$AB$10,"C+",IF(F552&lt;'PlayerGrades+'!$AB$9,"B-",IF(F552&lt;'PlayerGrades+'!$AB$8,"B",IF(F552&lt;'PlayerGrades+'!$AB$7,"B+",IF(F552&lt;'PlayerGrades+'!$AB$6,"A-",IF(F552&lt;'PlayerGrades+'!$AB$5,"A",IF(F552&lt;'PlayerGrades+'!$AB$4,"A+",IF(F552&lt;'PlayerGrades+'!$AB$3,"S-",IF(F552&lt;'PlayerGrades+'!$AB$2,"S","S+"))))))))))))))))))))</f>
        <v>F-</v>
      </c>
      <c r="H552" s="973">
        <f t="shared" si="3"/>
        <v>0.03807106599</v>
      </c>
      <c r="I552" s="973" t="str">
        <f>IF(H552&lt;'PlayerGrades+'!$AC$21,"F-",IF(H552&lt;'PlayerGrades+'!$AC$20,"F",IF(H552&lt;'PlayerGrades+'!$AC$19,"F+",IF(H552&lt;'PlayerGrades+'!$AC$18,"E-",IF(H552&lt;'PlayerGrades+'!$AC$17,"E",IF(H552&lt;'PlayerGrades+'!$AC$16,"E+",IF(H552&lt;'PlayerGrades+'!$AC$15,"D-",IF(H552&lt;'PlayerGrades+'!$AC$14,"D",IF(H552&lt;'PlayerGrades+'!$AC$13,"D+",IF(H552&lt;'PlayerGrades+'!$AC$12,"C-",IF(H552&lt;'PlayerGrades+'!$AC$11,"C",IF(H552&lt;'PlayerGrades+'!$AC$10,"C+",IF(H552&lt;'PlayerGrades+'!$AC$9,"B-",IF(H552&lt;'PlayerGrades+'!$AC$8,"B",IF(H552&lt;'PlayerGrades+'!$AC$7,"B+",IF(H552&lt;'PlayerGrades+'!$AC$6,"A-",IF(H552&lt;'PlayerGrades+'!$AC$5,"A",IF(H552&lt;'PlayerGrades+'!$AC$4,"A+",IF(H552&lt;'PlayerGrades+'!$AC$3,"S-",IF(H552&lt;'PlayerGrades+'!$AC$2,"S","S+"))))))))))))))))))))</f>
        <v>F</v>
      </c>
      <c r="J552" s="973">
        <f t="shared" si="4"/>
        <v>0</v>
      </c>
      <c r="K552" s="973" t="str">
        <f>IF(J552&lt;'PlayerGrades+'!$AD$21,"F-",IF(J552&lt;'PlayerGrades+'!$AD$20,"F",IF(J552&lt;'PlayerGrades+'!$AD$19,"F+",IF(J552&lt;'PlayerGrades+'!$AD$18,"E-",IF(J552&lt;'PlayerGrades+'!$AD$17,"E",IF(J552&lt;'PlayerGrades+'!$AD$16,"E+",IF(J552&lt;'PlayerGrades+'!$AD$15,"D-",IF(J552&lt;'PlayerGrades+'!$AD$14,"D",IF(J552&lt;'PlayerGrades+'!$AD$13,"D+",IF(J552&lt;'PlayerGrades+'!$AD$12,"C-",IF(J552&lt;'PlayerGrades+'!$AD$11,"C",IF(J552&lt;'PlayerGrades+'!$AD$10,"C+",IF(J552&lt;'PlayerGrades+'!$AD$9,"B-",IF(J552&lt;'PlayerGrades+'!$AD$8,"B",IF(J552&lt;'PlayerGrades+'!$AD$7,"B+",IF(J552&lt;'PlayerGrades+'!$AD$6,"A-",IF(J552&lt;'PlayerGrades+'!$AD$5,"A",IF(J552&lt;'PlayerGrades+'!$AD$4,"A+",IF(J552&lt;'PlayerGrades+'!$AD$3,"S-",IF(J552&lt;'PlayerGrades+'!$AD$2,"S","S+"))))))))))))))))))))</f>
        <v>F-</v>
      </c>
      <c r="L552" s="974">
        <f t="shared" si="5"/>
        <v>0.3426395939</v>
      </c>
      <c r="M552" s="975" t="str">
        <f>IF(L552&lt;'PlayerGrades+'!$AE$21,"F-",IF(L552&lt;'PlayerGrades+'!$AE$20,"F",IF(L552&lt;'PlayerGrades+'!$AE$19,"F+",IF(L552&lt;'PlayerGrades+'!$AE$18,"E-",IF(L552&lt;'PlayerGrades+'!$AE$17,"E",IF(L552&lt;'PlayerGrades+'!$AE$16,"E+",IF(L552&lt;'PlayerGrades+'!$AE$15,"D-",IF(L552&lt;'PlayerGrades+'!$AE$14,"D",IF(L552&lt;'PlayerGrades+'!$AE$13,"D+",IF(L552&lt;'PlayerGrades+'!$AE$12,"C-",IF(L552&lt;'PlayerGrades+'!$AE$11,"C",IF(L552&lt;'PlayerGrades+'!$AE$10,"C+",IF(L552&lt;'PlayerGrades+'!$AE$9,"B-",IF(L552&lt;'PlayerGrades+'!$AE$8,"B",IF(L552&lt;'PlayerGrades+'!$AE$7,"B+",IF(L552&lt;'PlayerGrades+'!$AE$6,"A-",IF(L552&lt;'PlayerGrades+'!$AE$5,"A",IF(L552&lt;'PlayerGrades+'!$AE$4,"A+",IF(L552&lt;'PlayerGrades+'!$AE$3,"S-",IF(L552&lt;'PlayerGrades+'!$AE$2,"S","S+"))))))))))))))))))))</f>
        <v>D-</v>
      </c>
      <c r="N552" s="973">
        <f t="shared" si="6"/>
        <v>0</v>
      </c>
      <c r="O552" s="973" t="str">
        <f>IF(N552&lt;'PlayerGrades+'!$AF$21,"F-",IF(N552&lt;'PlayerGrades+'!$AF$20,"F",IF(N552&lt;'PlayerGrades+'!$AF$19,"F+",IF(N552&lt;'PlayerGrades+'!$AF$18,"E-",IF(N552&lt;'PlayerGrades+'!$AF$17,"E",IF(N552&lt;'PlayerGrades+'!$AF$16,"E+",IF(N552&lt;'PlayerGrades+'!$AF$15,"D-",IF(N552&lt;'PlayerGrades+'!$AF$14,"D",IF(N552&lt;'PlayerGrades+'!$AF$13,"D+",IF(N552&lt;'PlayerGrades+'!$AF$12,"C-",IF(N552&lt;'PlayerGrades+'!$AF$11,"C",IF(N552&lt;'PlayerGrades+'!$AF$10,"C+",IF(N552&lt;'PlayerGrades+'!$AF$9,"B-",IF(N552&lt;'PlayerGrades+'!$AF$8,"B",IF(N552&lt;'PlayerGrades+'!$AF$7,"B+",IF(N552&lt;'PlayerGrades+'!$AF$6,"A-",IF(N552&lt;'PlayerGrades+'!$AF$5,"A",IF(N552&lt;'PlayerGrades+'!$AF$4,"A+",IF(N552&lt;'PlayerGrades+'!$AF$3,"S-",IF(N552&lt;'PlayerGrades+'!$AF$2,"S","S+"))))))))))))))))))))</f>
        <v>F-</v>
      </c>
      <c r="P552" s="973">
        <f t="shared" si="7"/>
        <v>0</v>
      </c>
      <c r="Q552" s="973" t="str">
        <f>IF(P552&lt;'PlayerGrades+'!$AG$21,"F-",IF(P552&lt;'PlayerGrades+'!$AG$20,"F",IF(P552&lt;'PlayerGrades+'!$AG$19,"F+",IF(P552&lt;'PlayerGrades+'!$AG$18,"E-",IF(P552&lt;'PlayerGrades+'!$AG$17,"E",IF(P552&lt;'PlayerGrades+'!$AG$16,"E+",IF(P552&lt;'PlayerGrades+'!$AG$15,"D-",IF(P552&lt;'PlayerGrades+'!$AG$14,"D",IF(P552&lt;'PlayerGrades+'!$AG$13,"D+",IF(P552&lt;'PlayerGrades+'!$AG$12,"C-",IF(P552&lt;'PlayerGrades+'!$AG$11,"C",IF(P552&lt;'PlayerGrades+'!$AG$10,"C+",IF(P552&lt;'PlayerGrades+'!$AG$9,"B-",IF(P552&lt;'PlayerGrades+'!$AG$8,"B",IF(P552&lt;'PlayerGrades+'!$AG$7,"B+",IF(P552&lt;'PlayerGrades+'!$AG$6,"A-",IF(P552&lt;'PlayerGrades+'!$AG$5,"A",IF(P552&lt;'PlayerGrades+'!$AG$4,"A+",IF(P552&lt;'PlayerGrades+'!$AG$3,"S-",IF(P552&lt;'PlayerGrades+'!$AG$2,"S","S+"))))))))))))))))))))</f>
        <v>F</v>
      </c>
      <c r="R552" s="973">
        <f t="shared" si="8"/>
        <v>0.4568527919</v>
      </c>
      <c r="S552" s="973" t="str">
        <f>IF(R552&lt;'PlayerGrades+'!$AH$21,"F-",IF(R552&lt;'PlayerGrades+'!$AH$20,"F",IF(R552&lt;'PlayerGrades+'!$AH$19,"F+",IF(R552&lt;'PlayerGrades+'!$AH$18,"E-",IF(R552&lt;'PlayerGrades+'!$AH$17,"E",IF(R552&lt;'PlayerGrades+'!$AH$16,"E+",IF(R552&lt;'PlayerGrades+'!$AH$15,"D-",IF(R552&lt;'PlayerGrades+'!$AH$14,"D",IF(R552&lt;'PlayerGrades+'!$AH$13,"D+",IF(R552&lt;'PlayerGrades+'!$AH$12,"C-",IF(R552&lt;'PlayerGrades+'!$AH$11,"C",IF(R552&lt;'PlayerGrades+'!$AH$10,"C+",IF(R552&lt;'PlayerGrades+'!$AH$9,"B-",IF(R552&lt;'PlayerGrades+'!$AH$8,"B",IF(R552&lt;'PlayerGrades+'!$AH$7,"B+",IF(R552&lt;'PlayerGrades+'!$AH$6,"A-",IF(R552&lt;'PlayerGrades+'!$AH$5,"A",IF(R552&lt;'PlayerGrades+'!$AH$4,"A+",IF(R552&lt;'PlayerGrades+'!$AH$3,"S-",IF(R552&lt;'PlayerGrades+'!$AH$2,"S","S+"))))))))))))))))))))</f>
        <v>E-</v>
      </c>
      <c r="T552" s="973">
        <f t="shared" si="9"/>
        <v>0.2664974619</v>
      </c>
      <c r="U552" s="973" t="str">
        <f>IF(T552&lt;'PlayerGrades+'!$AI$21,"F-",IF(T552&lt;'PlayerGrades+'!$AI$20,"F",IF(T552&lt;'PlayerGrades+'!$AI$19,"F+",IF(T552&lt;'PlayerGrades+'!$AI$18,"E-",IF(T552&lt;'PlayerGrades+'!$AI$17,"E",IF(T552&lt;'PlayerGrades+'!$AI$16,"E+",IF(T552&lt;'PlayerGrades+'!$AI$15,"D-",IF(T552&lt;'PlayerGrades+'!$AI$14,"D",IF(T552&lt;'PlayerGrades+'!$AI$13,"D+",IF(T552&lt;'PlayerGrades+'!$AI$12,"C-",IF(T552&lt;'PlayerGrades+'!$AI$11,"C",IF(T552&lt;'PlayerGrades+'!$AI$10,"C+",IF(T552&lt;'PlayerGrades+'!$AI$9,"B-",IF(T552&lt;'PlayerGrades+'!$AI$8,"B",IF(T552&lt;'PlayerGrades+'!$AI$7,"B+",IF(T552&lt;'PlayerGrades+'!$AI$6,"A-",IF(T552&lt;'PlayerGrades+'!$AI$5,"A",IF(T552&lt;'PlayerGrades+'!$AI$4,"A+",IF(T552&lt;'PlayerGrades+'!$AI$3,"S-",IF(T552&lt;'PlayerGrades+'!$AI$2,"S","S+"))))))))))))))))))))</f>
        <v>F-</v>
      </c>
      <c r="V552" s="941">
        <v>1.0</v>
      </c>
      <c r="W552" s="941">
        <v>0.0</v>
      </c>
      <c r="X552" s="941">
        <v>1.0</v>
      </c>
      <c r="Y552" s="941">
        <v>0.0</v>
      </c>
      <c r="Z552" s="941">
        <v>0.0</v>
      </c>
      <c r="AA552" s="941">
        <v>58.0</v>
      </c>
      <c r="AB552" s="941">
        <v>90.0</v>
      </c>
      <c r="AC552" s="941">
        <v>-32.0</v>
      </c>
      <c r="AD552" s="941">
        <v>8.0</v>
      </c>
      <c r="AE552" s="941">
        <v>4.0</v>
      </c>
      <c r="AF552" s="941">
        <v>1.0</v>
      </c>
      <c r="AG552" s="941">
        <v>1244.0</v>
      </c>
      <c r="AH552" s="941">
        <v>1576.0</v>
      </c>
      <c r="AI552" s="941">
        <v>13.0</v>
      </c>
      <c r="AJ552" s="941">
        <v>4.0</v>
      </c>
      <c r="AK552" s="941">
        <v>0.0</v>
      </c>
      <c r="AL552" s="941">
        <v>0.0</v>
      </c>
      <c r="AM552" s="941">
        <v>0.0</v>
      </c>
      <c r="AN552" s="941">
        <v>0.0</v>
      </c>
      <c r="AO552" s="941">
        <v>0.0</v>
      </c>
      <c r="AP552" s="941">
        <v>0.0</v>
      </c>
      <c r="AQ552" s="941">
        <v>0.0</v>
      </c>
      <c r="AR552" s="941">
        <v>9.0</v>
      </c>
      <c r="AS552" s="941">
        <v>0.0</v>
      </c>
      <c r="AT552" s="941">
        <v>0.0</v>
      </c>
      <c r="AU552" s="941">
        <v>0.0</v>
      </c>
      <c r="AV552" s="941">
        <v>0.0</v>
      </c>
      <c r="AW552" s="941">
        <v>0.0</v>
      </c>
      <c r="AX552" s="941">
        <v>0.0</v>
      </c>
      <c r="AY552" s="941">
        <v>0.0</v>
      </c>
      <c r="AZ552" s="941">
        <v>0.0</v>
      </c>
      <c r="BA552" s="941">
        <v>0.0</v>
      </c>
      <c r="BB552" s="941">
        <v>1.0</v>
      </c>
      <c r="BC552" s="941">
        <v>0.0</v>
      </c>
      <c r="BD552" s="941">
        <v>4.0</v>
      </c>
      <c r="BE552" s="941">
        <v>7.0</v>
      </c>
      <c r="BF552" s="941">
        <v>0.0</v>
      </c>
      <c r="BG552" s="941">
        <v>1.0</v>
      </c>
    </row>
    <row r="553">
      <c r="A553" s="882" t="s">
        <v>118</v>
      </c>
      <c r="B553" s="421" t="str">
        <f>IF(C553&lt;'PlayerGrades+'!$Y$44,"F-",IF(C553&lt;'PlayerGrades+'!$Y$43,"F",IF(C553&lt;'PlayerGrades+'!$Y$42,"F+",IF(C553&lt;'PlayerGrades+'!$Y$41,"E-",IF(C553&lt;'PlayerGrades+'!$Y$40,"E",IF(C553&lt;'PlayerGrades+'!$Y$39,"E+",IF(C553&lt;'PlayerGrades+'!$Y$38,"D-",IF(C553&lt;'PlayerGrades+'!$Y$37,"D",IF(C553&lt;'PlayerGrades+'!$Y$36,"D+",IF(C553&lt;'PlayerGrades+'!$Y$35,"C-",IF(C553&lt;'PlayerGrades+'!$Y$34,"C",IF(C553&lt;'PlayerGrades+'!$Y$33,"C+",IF(C553&lt;'PlayerGrades+'!$Y$32,"B-",IF(C553&lt;'PlayerGrades+'!$Y$31,"B",IF(C553&lt;'PlayerGrades+'!$Y$30,"B+",IF(C553&lt;'PlayerGrades+'!$Y$29,"A-",IF(C553&lt;'PlayerGrades+'!$Y$28,"A",IF(C553&lt;'PlayerGrades+'!$Y$27,"A+",IF(C553&lt;'PlayerGrades+'!$Y$26,"S-",IF(C553&lt;'PlayerGrades+'!$Y$25,"S","S+"))))))))))))))))))))</f>
        <v>E-</v>
      </c>
      <c r="C553" s="972">
        <f>('PlayerGrades+'!$Y$47*(VLOOKUP(E553, 'PlayerGrades+'!$X$3:$Y$23, 2, FALSE)))+('PlayerGrades+'!$Y$48*(VLOOKUP(G553, 'PlayerGrades+'!$X$3:$Y$23, 2, FALSE)))+('PlayerGrades+'!$Y$49*(VLOOKUP(I553, 'PlayerGrades+'!$X$3:$Y$23, 2, FALSE)))+('PlayerGrades+'!$Y$50*(VLOOKUP(K553, 'PlayerGrades+'!$X$3:$Y$23, 2, FALSE)))+('PlayerGrades+'!$Y$51*(VLOOKUP(M553, 'PlayerGrades+'!$X$3:$Y$23, 2, FALSE)))+('PlayerGrades+'!$Y$52*(VLOOKUP(O553, 'PlayerGrades+'!$X$3:$Y$23, 2, FALSE)))+('PlayerGrades+'!$Y$53*(VLOOKUP(Q553, 'PlayerGrades+'!$X$3:$Y$23, 2, FALSE)))+('PlayerGrades+'!$Y$54*(VLOOKUP(S553, 'PlayerGrades+'!$X$3:$Y$23, 2, FALSE)))+('PlayerGrades+'!$Y$55*(VLOOKUP(U553, 'PlayerGrades+'!$X$3:$Y$23, 2, FALSE)))</f>
        <v>11.6</v>
      </c>
      <c r="D553" s="973">
        <f t="shared" si="1"/>
        <v>0.4187817259</v>
      </c>
      <c r="E553" s="973" t="str">
        <f>IF(D553&lt;'PlayerGrades+'!$AA$21,"F-",IF(D553&lt;'PlayerGrades+'!$AA$20,"F",IF(D553&lt;'PlayerGrades+'!$AA$19,"F+",IF(D553&lt;'PlayerGrades+'!$AA$18,"E-",IF(D553&lt;'PlayerGrades+'!$AA$17,"E",IF(D553&lt;'PlayerGrades+'!$AA$16,"E+",IF(D553&lt;'PlayerGrades+'!$AA$15,"D-",IF(D553&lt;'PlayerGrades+'!$AA$14,"D",IF(D553&lt;'PlayerGrades+'!$AA$13,"D+",IF(D553&lt;'PlayerGrades+'!$AA$12,"C-",IF(D553&lt;'PlayerGrades+'!$AA$11,"C",IF(D553&lt;'PlayerGrades+'!$AA$10,"C+",IF(D553&lt;'PlayerGrades+'!$AA$9,"B-",IF(D553&lt;'PlayerGrades+'!$AA$8,"B",IF(D553&lt;'PlayerGrades+'!$AA$7,"B+",IF(D553&lt;'PlayerGrades+'!$AA$6,"A-",IF(D553&lt;'PlayerGrades+'!$AA$5,"A",IF(D553&lt;'PlayerGrades+'!$AA$4,"A+",IF(D553&lt;'PlayerGrades+'!$AA$3,"S-",IF(D553&lt;'PlayerGrades+'!$AA$2,"S","S+"))))))))))))))))))))</f>
        <v>A+</v>
      </c>
      <c r="F553" s="973">
        <f t="shared" si="2"/>
        <v>-0.5329949239</v>
      </c>
      <c r="G553" s="973" t="str">
        <f>IF(F553&lt;'PlayerGrades+'!$AB$21,"F-",IF(F553&lt;'PlayerGrades+'!$AB$20,"F",IF(F553&lt;'PlayerGrades+'!$AB$19,"F+",IF(F553&lt;'PlayerGrades+'!$AB$18,"E-",IF(F553&lt;'PlayerGrades+'!$AB$17,"E",IF(F553&lt;'PlayerGrades+'!$AB$16,"E+",IF(F553&lt;'PlayerGrades+'!$AB$15,"D-",IF(F553&lt;'PlayerGrades+'!$AB$14,"D",IF(F553&lt;'PlayerGrades+'!$AB$13,"D+",IF(F553&lt;'PlayerGrades+'!$AB$12,"C-",IF(F553&lt;'PlayerGrades+'!$AB$11,"C",IF(F553&lt;'PlayerGrades+'!$AB$10,"C+",IF(F553&lt;'PlayerGrades+'!$AB$9,"B-",IF(F553&lt;'PlayerGrades+'!$AB$8,"B",IF(F553&lt;'PlayerGrades+'!$AB$7,"B+",IF(F553&lt;'PlayerGrades+'!$AB$6,"A-",IF(F553&lt;'PlayerGrades+'!$AB$5,"A",IF(F553&lt;'PlayerGrades+'!$AB$4,"A+",IF(F553&lt;'PlayerGrades+'!$AB$3,"S-",IF(F553&lt;'PlayerGrades+'!$AB$2,"S","S+"))))))))))))))))))))</f>
        <v>D</v>
      </c>
      <c r="H553" s="973">
        <f t="shared" si="3"/>
        <v>0.07614213198</v>
      </c>
      <c r="I553" s="973" t="str">
        <f>IF(H553&lt;'PlayerGrades+'!$AC$21,"F-",IF(H553&lt;'PlayerGrades+'!$AC$20,"F",IF(H553&lt;'PlayerGrades+'!$AC$19,"F+",IF(H553&lt;'PlayerGrades+'!$AC$18,"E-",IF(H553&lt;'PlayerGrades+'!$AC$17,"E",IF(H553&lt;'PlayerGrades+'!$AC$16,"E+",IF(H553&lt;'PlayerGrades+'!$AC$15,"D-",IF(H553&lt;'PlayerGrades+'!$AC$14,"D",IF(H553&lt;'PlayerGrades+'!$AC$13,"D+",IF(H553&lt;'PlayerGrades+'!$AC$12,"C-",IF(H553&lt;'PlayerGrades+'!$AC$11,"C",IF(H553&lt;'PlayerGrades+'!$AC$10,"C+",IF(H553&lt;'PlayerGrades+'!$AC$9,"B-",IF(H553&lt;'PlayerGrades+'!$AC$8,"B",IF(H553&lt;'PlayerGrades+'!$AC$7,"B+",IF(H553&lt;'PlayerGrades+'!$AC$6,"A-",IF(H553&lt;'PlayerGrades+'!$AC$5,"A",IF(H553&lt;'PlayerGrades+'!$AC$4,"A+",IF(H553&lt;'PlayerGrades+'!$AC$3,"S-",IF(H553&lt;'PlayerGrades+'!$AC$2,"S","S+"))))))))))))))))))))</f>
        <v>E+</v>
      </c>
      <c r="J553" s="973">
        <f t="shared" si="4"/>
        <v>0</v>
      </c>
      <c r="K553" s="973" t="str">
        <f>IF(J553&lt;'PlayerGrades+'!$AD$21,"F-",IF(J553&lt;'PlayerGrades+'!$AD$20,"F",IF(J553&lt;'PlayerGrades+'!$AD$19,"F+",IF(J553&lt;'PlayerGrades+'!$AD$18,"E-",IF(J553&lt;'PlayerGrades+'!$AD$17,"E",IF(J553&lt;'PlayerGrades+'!$AD$16,"E+",IF(J553&lt;'PlayerGrades+'!$AD$15,"D-",IF(J553&lt;'PlayerGrades+'!$AD$14,"D",IF(J553&lt;'PlayerGrades+'!$AD$13,"D+",IF(J553&lt;'PlayerGrades+'!$AD$12,"C-",IF(J553&lt;'PlayerGrades+'!$AD$11,"C",IF(J553&lt;'PlayerGrades+'!$AD$10,"C+",IF(J553&lt;'PlayerGrades+'!$AD$9,"B-",IF(J553&lt;'PlayerGrades+'!$AD$8,"B",IF(J553&lt;'PlayerGrades+'!$AD$7,"B+",IF(J553&lt;'PlayerGrades+'!$AD$6,"A-",IF(J553&lt;'PlayerGrades+'!$AD$5,"A",IF(J553&lt;'PlayerGrades+'!$AD$4,"A+",IF(J553&lt;'PlayerGrades+'!$AD$3,"S-",IF(J553&lt;'PlayerGrades+'!$AD$2,"S","S+"))))))))))))))))))))</f>
        <v>F-</v>
      </c>
      <c r="L553" s="974">
        <f t="shared" si="5"/>
        <v>0.1903553299</v>
      </c>
      <c r="M553" s="975" t="str">
        <f>IF(L553&lt;'PlayerGrades+'!$AE$21,"F-",IF(L553&lt;'PlayerGrades+'!$AE$20,"F",IF(L553&lt;'PlayerGrades+'!$AE$19,"F+",IF(L553&lt;'PlayerGrades+'!$AE$18,"E-",IF(L553&lt;'PlayerGrades+'!$AE$17,"E",IF(L553&lt;'PlayerGrades+'!$AE$16,"E+",IF(L553&lt;'PlayerGrades+'!$AE$15,"D-",IF(L553&lt;'PlayerGrades+'!$AE$14,"D",IF(L553&lt;'PlayerGrades+'!$AE$13,"D+",IF(L553&lt;'PlayerGrades+'!$AE$12,"C-",IF(L553&lt;'PlayerGrades+'!$AE$11,"C",IF(L553&lt;'PlayerGrades+'!$AE$10,"C+",IF(L553&lt;'PlayerGrades+'!$AE$9,"B-",IF(L553&lt;'PlayerGrades+'!$AE$8,"B",IF(L553&lt;'PlayerGrades+'!$AE$7,"B+",IF(L553&lt;'PlayerGrades+'!$AE$6,"A-",IF(L553&lt;'PlayerGrades+'!$AE$5,"A",IF(L553&lt;'PlayerGrades+'!$AE$4,"A+",IF(L553&lt;'PlayerGrades+'!$AE$3,"S-",IF(L553&lt;'PlayerGrades+'!$AE$2,"S","S+"))))))))))))))))))))</f>
        <v>F</v>
      </c>
      <c r="N553" s="973">
        <f t="shared" si="6"/>
        <v>0</v>
      </c>
      <c r="O553" s="973" t="str">
        <f>IF(N553&lt;'PlayerGrades+'!$AF$21,"F-",IF(N553&lt;'PlayerGrades+'!$AF$20,"F",IF(N553&lt;'PlayerGrades+'!$AF$19,"F+",IF(N553&lt;'PlayerGrades+'!$AF$18,"E-",IF(N553&lt;'PlayerGrades+'!$AF$17,"E",IF(N553&lt;'PlayerGrades+'!$AF$16,"E+",IF(N553&lt;'PlayerGrades+'!$AF$15,"D-",IF(N553&lt;'PlayerGrades+'!$AF$14,"D",IF(N553&lt;'PlayerGrades+'!$AF$13,"D+",IF(N553&lt;'PlayerGrades+'!$AF$12,"C-",IF(N553&lt;'PlayerGrades+'!$AF$11,"C",IF(N553&lt;'PlayerGrades+'!$AF$10,"C+",IF(N553&lt;'PlayerGrades+'!$AF$9,"B-",IF(N553&lt;'PlayerGrades+'!$AF$8,"B",IF(N553&lt;'PlayerGrades+'!$AF$7,"B+",IF(N553&lt;'PlayerGrades+'!$AF$6,"A-",IF(N553&lt;'PlayerGrades+'!$AF$5,"A",IF(N553&lt;'PlayerGrades+'!$AF$4,"A+",IF(N553&lt;'PlayerGrades+'!$AF$3,"S-",IF(N553&lt;'PlayerGrades+'!$AF$2,"S","S+"))))))))))))))))))))</f>
        <v>F-</v>
      </c>
      <c r="P553" s="973">
        <f t="shared" si="7"/>
        <v>0</v>
      </c>
      <c r="Q553" s="973" t="str">
        <f>IF(P553&lt;'PlayerGrades+'!$AG$21,"F-",IF(P553&lt;'PlayerGrades+'!$AG$20,"F",IF(P553&lt;'PlayerGrades+'!$AG$19,"F+",IF(P553&lt;'PlayerGrades+'!$AG$18,"E-",IF(P553&lt;'PlayerGrades+'!$AG$17,"E",IF(P553&lt;'PlayerGrades+'!$AG$16,"E+",IF(P553&lt;'PlayerGrades+'!$AG$15,"D-",IF(P553&lt;'PlayerGrades+'!$AG$14,"D",IF(P553&lt;'PlayerGrades+'!$AG$13,"D+",IF(P553&lt;'PlayerGrades+'!$AG$12,"C-",IF(P553&lt;'PlayerGrades+'!$AG$11,"C",IF(P553&lt;'PlayerGrades+'!$AG$10,"C+",IF(P553&lt;'PlayerGrades+'!$AG$9,"B-",IF(P553&lt;'PlayerGrades+'!$AG$8,"B",IF(P553&lt;'PlayerGrades+'!$AG$7,"B+",IF(P553&lt;'PlayerGrades+'!$AG$6,"A-",IF(P553&lt;'PlayerGrades+'!$AG$5,"A",IF(P553&lt;'PlayerGrades+'!$AG$4,"A+",IF(P553&lt;'PlayerGrades+'!$AG$3,"S-",IF(P553&lt;'PlayerGrades+'!$AG$2,"S","S+"))))))))))))))))))))</f>
        <v>F</v>
      </c>
      <c r="R553" s="973">
        <f t="shared" si="8"/>
        <v>0.3807106599</v>
      </c>
      <c r="S553" s="973" t="str">
        <f>IF(R553&lt;'PlayerGrades+'!$AH$21,"F-",IF(R553&lt;'PlayerGrades+'!$AH$20,"F",IF(R553&lt;'PlayerGrades+'!$AH$19,"F+",IF(R553&lt;'PlayerGrades+'!$AH$18,"E-",IF(R553&lt;'PlayerGrades+'!$AH$17,"E",IF(R553&lt;'PlayerGrades+'!$AH$16,"E+",IF(R553&lt;'PlayerGrades+'!$AH$15,"D-",IF(R553&lt;'PlayerGrades+'!$AH$14,"D",IF(R553&lt;'PlayerGrades+'!$AH$13,"D+",IF(R553&lt;'PlayerGrades+'!$AH$12,"C-",IF(R553&lt;'PlayerGrades+'!$AH$11,"C",IF(R553&lt;'PlayerGrades+'!$AH$10,"C+",IF(R553&lt;'PlayerGrades+'!$AH$9,"B-",IF(R553&lt;'PlayerGrades+'!$AH$8,"B",IF(R553&lt;'PlayerGrades+'!$AH$7,"B+",IF(R553&lt;'PlayerGrades+'!$AH$6,"A-",IF(R553&lt;'PlayerGrades+'!$AH$5,"A",IF(R553&lt;'PlayerGrades+'!$AH$4,"A+",IF(R553&lt;'PlayerGrades+'!$AH$3,"S-",IF(R553&lt;'PlayerGrades+'!$AH$2,"S","S+"))))))))))))))))))))</f>
        <v>F</v>
      </c>
      <c r="T553" s="973">
        <f t="shared" si="9"/>
        <v>1.494923858</v>
      </c>
      <c r="U553" s="973" t="str">
        <f>IF(T553&lt;'PlayerGrades+'!$AI$21,"F-",IF(T553&lt;'PlayerGrades+'!$AI$20,"F",IF(T553&lt;'PlayerGrades+'!$AI$19,"F+",IF(T553&lt;'PlayerGrades+'!$AI$18,"E-",IF(T553&lt;'PlayerGrades+'!$AI$17,"E",IF(T553&lt;'PlayerGrades+'!$AI$16,"E+",IF(T553&lt;'PlayerGrades+'!$AI$15,"D-",IF(T553&lt;'PlayerGrades+'!$AI$14,"D",IF(T553&lt;'PlayerGrades+'!$AI$13,"D+",IF(T553&lt;'PlayerGrades+'!$AI$12,"C-",IF(T553&lt;'PlayerGrades+'!$AI$11,"C",IF(T553&lt;'PlayerGrades+'!$AI$10,"C+",IF(T553&lt;'PlayerGrades+'!$AI$9,"B-",IF(T553&lt;'PlayerGrades+'!$AI$8,"B",IF(T553&lt;'PlayerGrades+'!$AI$7,"B+",IF(T553&lt;'PlayerGrades+'!$AI$6,"A-",IF(T553&lt;'PlayerGrades+'!$AI$5,"A",IF(T553&lt;'PlayerGrades+'!$AI$4,"A+",IF(T553&lt;'PlayerGrades+'!$AI$3,"S-",IF(T553&lt;'PlayerGrades+'!$AI$2,"S","S+"))))))))))))))))))))</f>
        <v>A-</v>
      </c>
      <c r="V553" s="944">
        <v>1.0</v>
      </c>
      <c r="W553" s="944">
        <v>0.0</v>
      </c>
      <c r="X553" s="944">
        <v>1.0</v>
      </c>
      <c r="Y553" s="944">
        <v>0.0</v>
      </c>
      <c r="Z553" s="944">
        <v>11.0</v>
      </c>
      <c r="AA553" s="944">
        <v>60.0</v>
      </c>
      <c r="AB553" s="944">
        <v>74.0</v>
      </c>
      <c r="AC553" s="944">
        <v>-14.0</v>
      </c>
      <c r="AD553" s="944">
        <v>4.0</v>
      </c>
      <c r="AE553" s="944">
        <v>4.0</v>
      </c>
      <c r="AF553" s="944">
        <v>0.0</v>
      </c>
      <c r="AG553" s="944">
        <v>1292.0</v>
      </c>
      <c r="AH553" s="944">
        <v>1576.0</v>
      </c>
      <c r="AI553" s="944">
        <v>17.0</v>
      </c>
      <c r="AJ553" s="944">
        <v>502.0</v>
      </c>
      <c r="AK553" s="944">
        <v>0.0</v>
      </c>
      <c r="AL553" s="944">
        <v>0.0</v>
      </c>
      <c r="AM553" s="944">
        <v>0.0</v>
      </c>
      <c r="AN553" s="944">
        <v>0.0</v>
      </c>
      <c r="AO553" s="944">
        <v>0.0</v>
      </c>
      <c r="AP553" s="944">
        <v>0.0</v>
      </c>
      <c r="AQ553" s="944">
        <v>0.0</v>
      </c>
      <c r="AR553" s="944">
        <v>5.0</v>
      </c>
      <c r="AS553" s="944">
        <v>0.0</v>
      </c>
      <c r="AT553" s="944">
        <v>0.0</v>
      </c>
      <c r="AU553" s="944">
        <v>0.0</v>
      </c>
      <c r="AV553" s="944">
        <v>0.0</v>
      </c>
      <c r="AW553" s="944">
        <v>0.0</v>
      </c>
      <c r="AX553" s="944">
        <v>0.0</v>
      </c>
      <c r="AY553" s="944">
        <v>0.0</v>
      </c>
      <c r="AZ553" s="944">
        <v>0.0</v>
      </c>
      <c r="BA553" s="944">
        <v>0.0</v>
      </c>
      <c r="BB553" s="944">
        <v>2.0</v>
      </c>
      <c r="BC553" s="944">
        <v>0.0</v>
      </c>
      <c r="BD553" s="944">
        <v>6.0</v>
      </c>
      <c r="BE553" s="944">
        <v>13.0</v>
      </c>
      <c r="BF553" s="944">
        <v>1.0</v>
      </c>
      <c r="BG553" s="944">
        <v>1.0</v>
      </c>
    </row>
    <row r="554">
      <c r="A554" s="946" t="s">
        <v>154</v>
      </c>
      <c r="B554" s="421" t="str">
        <f>IF(C554&lt;'PlayerGrades+'!$Y$44,"F-",IF(C554&lt;'PlayerGrades+'!$Y$43,"F",IF(C554&lt;'PlayerGrades+'!$Y$42,"F+",IF(C554&lt;'PlayerGrades+'!$Y$41,"E-",IF(C554&lt;'PlayerGrades+'!$Y$40,"E",IF(C554&lt;'PlayerGrades+'!$Y$39,"E+",IF(C554&lt;'PlayerGrades+'!$Y$38,"D-",IF(C554&lt;'PlayerGrades+'!$Y$37,"D",IF(C554&lt;'PlayerGrades+'!$Y$36,"D+",IF(C554&lt;'PlayerGrades+'!$Y$35,"C-",IF(C554&lt;'PlayerGrades+'!$Y$34,"C",IF(C554&lt;'PlayerGrades+'!$Y$33,"C+",IF(C554&lt;'PlayerGrades+'!$Y$32,"B-",IF(C554&lt;'PlayerGrades+'!$Y$31,"B",IF(C554&lt;'PlayerGrades+'!$Y$30,"B+",IF(C554&lt;'PlayerGrades+'!$Y$29,"A-",IF(C554&lt;'PlayerGrades+'!$Y$28,"A",IF(C554&lt;'PlayerGrades+'!$Y$27,"A+",IF(C554&lt;'PlayerGrades+'!$Y$26,"S-",IF(C554&lt;'PlayerGrades+'!$Y$25,"S","S+"))))))))))))))))))))</f>
        <v>F+</v>
      </c>
      <c r="C554" s="972">
        <f>('PlayerGrades+'!$Y$47*(VLOOKUP(E554, 'PlayerGrades+'!$X$3:$Y$23, 2, FALSE)))+('PlayerGrades+'!$Y$48*(VLOOKUP(G554, 'PlayerGrades+'!$X$3:$Y$23, 2, FALSE)))+('PlayerGrades+'!$Y$49*(VLOOKUP(I554, 'PlayerGrades+'!$X$3:$Y$23, 2, FALSE)))+('PlayerGrades+'!$Y$50*(VLOOKUP(K554, 'PlayerGrades+'!$X$3:$Y$23, 2, FALSE)))+('PlayerGrades+'!$Y$51*(VLOOKUP(M554, 'PlayerGrades+'!$X$3:$Y$23, 2, FALSE)))+('PlayerGrades+'!$Y$52*(VLOOKUP(O554, 'PlayerGrades+'!$X$3:$Y$23, 2, FALSE)))+('PlayerGrades+'!$Y$53*(VLOOKUP(Q554, 'PlayerGrades+'!$X$3:$Y$23, 2, FALSE)))+('PlayerGrades+'!$Y$54*(VLOOKUP(S554, 'PlayerGrades+'!$X$3:$Y$23, 2, FALSE)))+('PlayerGrades+'!$Y$55*(VLOOKUP(U554, 'PlayerGrades+'!$X$3:$Y$23, 2, FALSE)))</f>
        <v>10.8</v>
      </c>
      <c r="D554" s="973">
        <f t="shared" si="1"/>
        <v>0.7783783784</v>
      </c>
      <c r="E554" s="973" t="str">
        <f>IF(D554&lt;'PlayerGrades+'!$AA$21,"F-",IF(D554&lt;'PlayerGrades+'!$AA$20,"F",IF(D554&lt;'PlayerGrades+'!$AA$19,"F+",IF(D554&lt;'PlayerGrades+'!$AA$18,"E-",IF(D554&lt;'PlayerGrades+'!$AA$17,"E",IF(D554&lt;'PlayerGrades+'!$AA$16,"E+",IF(D554&lt;'PlayerGrades+'!$AA$15,"D-",IF(D554&lt;'PlayerGrades+'!$AA$14,"D",IF(D554&lt;'PlayerGrades+'!$AA$13,"D+",IF(D554&lt;'PlayerGrades+'!$AA$12,"C-",IF(D554&lt;'PlayerGrades+'!$AA$11,"C",IF(D554&lt;'PlayerGrades+'!$AA$10,"C+",IF(D554&lt;'PlayerGrades+'!$AA$9,"B-",IF(D554&lt;'PlayerGrades+'!$AA$8,"B",IF(D554&lt;'PlayerGrades+'!$AA$7,"B+",IF(D554&lt;'PlayerGrades+'!$AA$6,"A-",IF(D554&lt;'PlayerGrades+'!$AA$5,"A",IF(D554&lt;'PlayerGrades+'!$AA$4,"A+",IF(D554&lt;'PlayerGrades+'!$AA$3,"S-",IF(D554&lt;'PlayerGrades+'!$AA$2,"S","S+"))))))))))))))))))))</f>
        <v>S</v>
      </c>
      <c r="F554" s="973">
        <f t="shared" si="2"/>
        <v>0.1297297297</v>
      </c>
      <c r="G554" s="973" t="str">
        <f>IF(F554&lt;'PlayerGrades+'!$AB$21,"F-",IF(F554&lt;'PlayerGrades+'!$AB$20,"F",IF(F554&lt;'PlayerGrades+'!$AB$19,"F+",IF(F554&lt;'PlayerGrades+'!$AB$18,"E-",IF(F554&lt;'PlayerGrades+'!$AB$17,"E",IF(F554&lt;'PlayerGrades+'!$AB$16,"E+",IF(F554&lt;'PlayerGrades+'!$AB$15,"D-",IF(F554&lt;'PlayerGrades+'!$AB$14,"D",IF(F554&lt;'PlayerGrades+'!$AB$13,"D+",IF(F554&lt;'PlayerGrades+'!$AB$12,"C-",IF(F554&lt;'PlayerGrades+'!$AB$11,"C",IF(F554&lt;'PlayerGrades+'!$AB$10,"C+",IF(F554&lt;'PlayerGrades+'!$AB$9,"B-",IF(F554&lt;'PlayerGrades+'!$AB$8,"B",IF(F554&lt;'PlayerGrades+'!$AB$7,"B+",IF(F554&lt;'PlayerGrades+'!$AB$6,"A-",IF(F554&lt;'PlayerGrades+'!$AB$5,"A",IF(F554&lt;'PlayerGrades+'!$AB$4,"A+",IF(F554&lt;'PlayerGrades+'!$AB$3,"S-",IF(F554&lt;'PlayerGrades+'!$AB$2,"S","S+"))))))))))))))))))))</f>
        <v>B+</v>
      </c>
      <c r="H554" s="973">
        <f t="shared" si="3"/>
        <v>0</v>
      </c>
      <c r="I554" s="973" t="str">
        <f>IF(H554&lt;'PlayerGrades+'!$AC$21,"F-",IF(H554&lt;'PlayerGrades+'!$AC$20,"F",IF(H554&lt;'PlayerGrades+'!$AC$19,"F+",IF(H554&lt;'PlayerGrades+'!$AC$18,"E-",IF(H554&lt;'PlayerGrades+'!$AC$17,"E",IF(H554&lt;'PlayerGrades+'!$AC$16,"E+",IF(H554&lt;'PlayerGrades+'!$AC$15,"D-",IF(H554&lt;'PlayerGrades+'!$AC$14,"D",IF(H554&lt;'PlayerGrades+'!$AC$13,"D+",IF(H554&lt;'PlayerGrades+'!$AC$12,"C-",IF(H554&lt;'PlayerGrades+'!$AC$11,"C",IF(H554&lt;'PlayerGrades+'!$AC$10,"C+",IF(H554&lt;'PlayerGrades+'!$AC$9,"B-",IF(H554&lt;'PlayerGrades+'!$AC$8,"B",IF(H554&lt;'PlayerGrades+'!$AC$7,"B+",IF(H554&lt;'PlayerGrades+'!$AC$6,"A-",IF(H554&lt;'PlayerGrades+'!$AC$5,"A",IF(H554&lt;'PlayerGrades+'!$AC$4,"A+",IF(H554&lt;'PlayerGrades+'!$AC$3,"S-",IF(H554&lt;'PlayerGrades+'!$AC$2,"S","S+"))))))))))))))))))))</f>
        <v>F-</v>
      </c>
      <c r="J554" s="973">
        <f t="shared" si="4"/>
        <v>0</v>
      </c>
      <c r="K554" s="973" t="str">
        <f>IF(J554&lt;'PlayerGrades+'!$AD$21,"F-",IF(J554&lt;'PlayerGrades+'!$AD$20,"F",IF(J554&lt;'PlayerGrades+'!$AD$19,"F+",IF(J554&lt;'PlayerGrades+'!$AD$18,"E-",IF(J554&lt;'PlayerGrades+'!$AD$17,"E",IF(J554&lt;'PlayerGrades+'!$AD$16,"E+",IF(J554&lt;'PlayerGrades+'!$AD$15,"D-",IF(J554&lt;'PlayerGrades+'!$AD$14,"D",IF(J554&lt;'PlayerGrades+'!$AD$13,"D+",IF(J554&lt;'PlayerGrades+'!$AD$12,"C-",IF(J554&lt;'PlayerGrades+'!$AD$11,"C",IF(J554&lt;'PlayerGrades+'!$AD$10,"C+",IF(J554&lt;'PlayerGrades+'!$AD$9,"B-",IF(J554&lt;'PlayerGrades+'!$AD$8,"B",IF(J554&lt;'PlayerGrades+'!$AD$7,"B+",IF(J554&lt;'PlayerGrades+'!$AD$6,"A-",IF(J554&lt;'PlayerGrades+'!$AD$5,"A",IF(J554&lt;'PlayerGrades+'!$AD$4,"A+",IF(J554&lt;'PlayerGrades+'!$AD$3,"S-",IF(J554&lt;'PlayerGrades+'!$AD$2,"S","S+"))))))))))))))))))))</f>
        <v>F-</v>
      </c>
      <c r="L554" s="974">
        <f t="shared" si="5"/>
        <v>0.06486486486</v>
      </c>
      <c r="M554" s="975" t="str">
        <f>IF(L554&lt;'PlayerGrades+'!$AE$21,"F-",IF(L554&lt;'PlayerGrades+'!$AE$20,"F",IF(L554&lt;'PlayerGrades+'!$AE$19,"F+",IF(L554&lt;'PlayerGrades+'!$AE$18,"E-",IF(L554&lt;'PlayerGrades+'!$AE$17,"E",IF(L554&lt;'PlayerGrades+'!$AE$16,"E+",IF(L554&lt;'PlayerGrades+'!$AE$15,"D-",IF(L554&lt;'PlayerGrades+'!$AE$14,"D",IF(L554&lt;'PlayerGrades+'!$AE$13,"D+",IF(L554&lt;'PlayerGrades+'!$AE$12,"C-",IF(L554&lt;'PlayerGrades+'!$AE$11,"C",IF(L554&lt;'PlayerGrades+'!$AE$10,"C+",IF(L554&lt;'PlayerGrades+'!$AE$9,"B-",IF(L554&lt;'PlayerGrades+'!$AE$8,"B",IF(L554&lt;'PlayerGrades+'!$AE$7,"B+",IF(L554&lt;'PlayerGrades+'!$AE$6,"A-",IF(L554&lt;'PlayerGrades+'!$AE$5,"A",IF(L554&lt;'PlayerGrades+'!$AE$4,"A+",IF(L554&lt;'PlayerGrades+'!$AE$3,"S-",IF(L554&lt;'PlayerGrades+'!$AE$2,"S","S+"))))))))))))))))))))</f>
        <v>F-</v>
      </c>
      <c r="N554" s="973">
        <f t="shared" si="6"/>
        <v>0</v>
      </c>
      <c r="O554" s="973" t="str">
        <f>IF(N554&lt;'PlayerGrades+'!$AF$21,"F-",IF(N554&lt;'PlayerGrades+'!$AF$20,"F",IF(N554&lt;'PlayerGrades+'!$AF$19,"F+",IF(N554&lt;'PlayerGrades+'!$AF$18,"E-",IF(N554&lt;'PlayerGrades+'!$AF$17,"E",IF(N554&lt;'PlayerGrades+'!$AF$16,"E+",IF(N554&lt;'PlayerGrades+'!$AF$15,"D-",IF(N554&lt;'PlayerGrades+'!$AF$14,"D",IF(N554&lt;'PlayerGrades+'!$AF$13,"D+",IF(N554&lt;'PlayerGrades+'!$AF$12,"C-",IF(N554&lt;'PlayerGrades+'!$AF$11,"C",IF(N554&lt;'PlayerGrades+'!$AF$10,"C+",IF(N554&lt;'PlayerGrades+'!$AF$9,"B-",IF(N554&lt;'PlayerGrades+'!$AF$8,"B",IF(N554&lt;'PlayerGrades+'!$AF$7,"B+",IF(N554&lt;'PlayerGrades+'!$AF$6,"A-",IF(N554&lt;'PlayerGrades+'!$AF$5,"A",IF(N554&lt;'PlayerGrades+'!$AF$4,"A+",IF(N554&lt;'PlayerGrades+'!$AF$3,"S-",IF(N554&lt;'PlayerGrades+'!$AF$2,"S","S+"))))))))))))))))))))</f>
        <v>F-</v>
      </c>
      <c r="P554" s="973">
        <f t="shared" si="7"/>
        <v>0</v>
      </c>
      <c r="Q554" s="973" t="str">
        <f>IF(P554&lt;'PlayerGrades+'!$AG$21,"F-",IF(P554&lt;'PlayerGrades+'!$AG$20,"F",IF(P554&lt;'PlayerGrades+'!$AG$19,"F+",IF(P554&lt;'PlayerGrades+'!$AG$18,"E-",IF(P554&lt;'PlayerGrades+'!$AG$17,"E",IF(P554&lt;'PlayerGrades+'!$AG$16,"E+",IF(P554&lt;'PlayerGrades+'!$AG$15,"D-",IF(P554&lt;'PlayerGrades+'!$AG$14,"D",IF(P554&lt;'PlayerGrades+'!$AG$13,"D+",IF(P554&lt;'PlayerGrades+'!$AG$12,"C-",IF(P554&lt;'PlayerGrades+'!$AG$11,"C",IF(P554&lt;'PlayerGrades+'!$AG$10,"C+",IF(P554&lt;'PlayerGrades+'!$AG$9,"B-",IF(P554&lt;'PlayerGrades+'!$AG$8,"B",IF(P554&lt;'PlayerGrades+'!$AG$7,"B+",IF(P554&lt;'PlayerGrades+'!$AG$6,"A-",IF(P554&lt;'PlayerGrades+'!$AG$5,"A",IF(P554&lt;'PlayerGrades+'!$AG$4,"A+",IF(P554&lt;'PlayerGrades+'!$AG$3,"S-",IF(P554&lt;'PlayerGrades+'!$AG$2,"S","S+"))))))))))))))))))))</f>
        <v>F</v>
      </c>
      <c r="R554" s="973">
        <f t="shared" si="8"/>
        <v>0.1945945946</v>
      </c>
      <c r="S554" s="973" t="str">
        <f>IF(R554&lt;'PlayerGrades+'!$AH$21,"F-",IF(R554&lt;'PlayerGrades+'!$AH$20,"F",IF(R554&lt;'PlayerGrades+'!$AH$19,"F+",IF(R554&lt;'PlayerGrades+'!$AH$18,"E-",IF(R554&lt;'PlayerGrades+'!$AH$17,"E",IF(R554&lt;'PlayerGrades+'!$AH$16,"E+",IF(R554&lt;'PlayerGrades+'!$AH$15,"D-",IF(R554&lt;'PlayerGrades+'!$AH$14,"D",IF(R554&lt;'PlayerGrades+'!$AH$13,"D+",IF(R554&lt;'PlayerGrades+'!$AH$12,"C-",IF(R554&lt;'PlayerGrades+'!$AH$11,"C",IF(R554&lt;'PlayerGrades+'!$AH$10,"C+",IF(R554&lt;'PlayerGrades+'!$AH$9,"B-",IF(R554&lt;'PlayerGrades+'!$AH$8,"B",IF(R554&lt;'PlayerGrades+'!$AH$7,"B+",IF(R554&lt;'PlayerGrades+'!$AH$6,"A-",IF(R554&lt;'PlayerGrades+'!$AH$5,"A",IF(R554&lt;'PlayerGrades+'!$AH$4,"A+",IF(R554&lt;'PlayerGrades+'!$AH$3,"S-",IF(R554&lt;'PlayerGrades+'!$AH$2,"S","S+"))))))))))))))))))))</f>
        <v>F-</v>
      </c>
      <c r="T554" s="973">
        <f t="shared" si="9"/>
        <v>0.2594594595</v>
      </c>
      <c r="U554" s="973" t="str">
        <f>IF(T554&lt;'PlayerGrades+'!$AI$21,"F-",IF(T554&lt;'PlayerGrades+'!$AI$20,"F",IF(T554&lt;'PlayerGrades+'!$AI$19,"F+",IF(T554&lt;'PlayerGrades+'!$AI$18,"E-",IF(T554&lt;'PlayerGrades+'!$AI$17,"E",IF(T554&lt;'PlayerGrades+'!$AI$16,"E+",IF(T554&lt;'PlayerGrades+'!$AI$15,"D-",IF(T554&lt;'PlayerGrades+'!$AI$14,"D",IF(T554&lt;'PlayerGrades+'!$AI$13,"D+",IF(T554&lt;'PlayerGrades+'!$AI$12,"C-",IF(T554&lt;'PlayerGrades+'!$AI$11,"C",IF(T554&lt;'PlayerGrades+'!$AI$10,"C+",IF(T554&lt;'PlayerGrades+'!$AI$9,"B-",IF(T554&lt;'PlayerGrades+'!$AI$8,"B",IF(T554&lt;'PlayerGrades+'!$AI$7,"B+",IF(T554&lt;'PlayerGrades+'!$AI$6,"A-",IF(T554&lt;'PlayerGrades+'!$AI$5,"A",IF(T554&lt;'PlayerGrades+'!$AI$4,"A+",IF(T554&lt;'PlayerGrades+'!$AI$3,"S-",IF(T554&lt;'PlayerGrades+'!$AI$2,"S","S+"))))))))))))))))))))</f>
        <v>F-</v>
      </c>
      <c r="V554" s="939">
        <v>1.0</v>
      </c>
      <c r="W554" s="939">
        <v>1.0</v>
      </c>
      <c r="X554" s="939">
        <v>0.0</v>
      </c>
      <c r="Y554" s="939">
        <v>3.0</v>
      </c>
      <c r="Z554" s="939">
        <v>9.0</v>
      </c>
      <c r="AA554" s="939">
        <v>20.0</v>
      </c>
      <c r="AB554" s="939">
        <v>18.0</v>
      </c>
      <c r="AC554" s="939">
        <v>2.0</v>
      </c>
      <c r="AD554" s="939">
        <v>0.0</v>
      </c>
      <c r="AE554" s="939">
        <v>4.0</v>
      </c>
      <c r="AF554" s="939">
        <v>0.0</v>
      </c>
      <c r="AG554" s="939">
        <v>803.0</v>
      </c>
      <c r="AH554" s="939">
        <v>925.0</v>
      </c>
      <c r="AI554" s="939">
        <v>44.0</v>
      </c>
      <c r="AJ554" s="939">
        <v>611.0</v>
      </c>
      <c r="AK554" s="939">
        <v>0.0</v>
      </c>
      <c r="AL554" s="939">
        <v>0.0</v>
      </c>
      <c r="AM554" s="939">
        <v>0.0</v>
      </c>
      <c r="AN554" s="939">
        <v>0.0</v>
      </c>
      <c r="AO554" s="939">
        <v>0.0</v>
      </c>
      <c r="AP554" s="939">
        <v>0.0</v>
      </c>
      <c r="AQ554" s="939">
        <v>0.0</v>
      </c>
      <c r="AR554" s="939">
        <v>1.0</v>
      </c>
      <c r="AS554" s="939">
        <v>0.0</v>
      </c>
      <c r="AT554" s="939">
        <v>0.0</v>
      </c>
      <c r="AU554" s="939">
        <v>0.0</v>
      </c>
      <c r="AV554" s="939">
        <v>0.0</v>
      </c>
      <c r="AW554" s="939">
        <v>0.0</v>
      </c>
      <c r="AX554" s="939">
        <v>0.0</v>
      </c>
      <c r="AY554" s="939">
        <v>0.0</v>
      </c>
      <c r="AZ554" s="939">
        <v>0.0</v>
      </c>
      <c r="BA554" s="939">
        <v>0.0</v>
      </c>
      <c r="BB554" s="939">
        <v>0.0</v>
      </c>
      <c r="BC554" s="939">
        <v>0.0</v>
      </c>
      <c r="BD554" s="939">
        <v>3.0</v>
      </c>
      <c r="BE554" s="939">
        <v>4.0</v>
      </c>
      <c r="BF554" s="939">
        <v>0.0</v>
      </c>
      <c r="BG554" s="940">
        <v>0.0</v>
      </c>
    </row>
    <row r="555">
      <c r="A555" s="935" t="s">
        <v>121</v>
      </c>
      <c r="B555" s="421" t="str">
        <f>IF(C555&lt;'PlayerGrades+'!$Y$44,"F-",IF(C555&lt;'PlayerGrades+'!$Y$43,"F",IF(C555&lt;'PlayerGrades+'!$Y$42,"F+",IF(C555&lt;'PlayerGrades+'!$Y$41,"E-",IF(C555&lt;'PlayerGrades+'!$Y$40,"E",IF(C555&lt;'PlayerGrades+'!$Y$39,"E+",IF(C555&lt;'PlayerGrades+'!$Y$38,"D-",IF(C555&lt;'PlayerGrades+'!$Y$37,"D",IF(C555&lt;'PlayerGrades+'!$Y$36,"D+",IF(C555&lt;'PlayerGrades+'!$Y$35,"C-",IF(C555&lt;'PlayerGrades+'!$Y$34,"C",IF(C555&lt;'PlayerGrades+'!$Y$33,"C+",IF(C555&lt;'PlayerGrades+'!$Y$32,"B-",IF(C555&lt;'PlayerGrades+'!$Y$31,"B",IF(C555&lt;'PlayerGrades+'!$Y$30,"B+",IF(C555&lt;'PlayerGrades+'!$Y$29,"A-",IF(C555&lt;'PlayerGrades+'!$Y$28,"A",IF(C555&lt;'PlayerGrades+'!$Y$27,"A+",IF(C555&lt;'PlayerGrades+'!$Y$26,"S-",IF(C555&lt;'PlayerGrades+'!$Y$25,"S","S+"))))))))))))))))))))</f>
        <v>S</v>
      </c>
      <c r="C555" s="972">
        <f>('PlayerGrades+'!$Y$47*(VLOOKUP(E555, 'PlayerGrades+'!$X$3:$Y$23, 2, FALSE)))+('PlayerGrades+'!$Y$48*(VLOOKUP(G555, 'PlayerGrades+'!$X$3:$Y$23, 2, FALSE)))+('PlayerGrades+'!$Y$49*(VLOOKUP(I555, 'PlayerGrades+'!$X$3:$Y$23, 2, FALSE)))+('PlayerGrades+'!$Y$50*(VLOOKUP(K555, 'PlayerGrades+'!$X$3:$Y$23, 2, FALSE)))+('PlayerGrades+'!$Y$51*(VLOOKUP(M555, 'PlayerGrades+'!$X$3:$Y$23, 2, FALSE)))+('PlayerGrades+'!$Y$52*(VLOOKUP(O555, 'PlayerGrades+'!$X$3:$Y$23, 2, FALSE)))+('PlayerGrades+'!$Y$53*(VLOOKUP(Q555, 'PlayerGrades+'!$X$3:$Y$23, 2, FALSE)))+('PlayerGrades+'!$Y$54*(VLOOKUP(S555, 'PlayerGrades+'!$X$3:$Y$23, 2, FALSE)))+('PlayerGrades+'!$Y$55*(VLOOKUP(U555, 'PlayerGrades+'!$X$3:$Y$23, 2, FALSE)))</f>
        <v>32.5</v>
      </c>
      <c r="D555" s="973">
        <f t="shared" si="1"/>
        <v>0.1945945946</v>
      </c>
      <c r="E555" s="973" t="str">
        <f>IF(D555&lt;'PlayerGrades+'!$AA$21,"F-",IF(D555&lt;'PlayerGrades+'!$AA$20,"F",IF(D555&lt;'PlayerGrades+'!$AA$19,"F+",IF(D555&lt;'PlayerGrades+'!$AA$18,"E-",IF(D555&lt;'PlayerGrades+'!$AA$17,"E",IF(D555&lt;'PlayerGrades+'!$AA$16,"E+",IF(D555&lt;'PlayerGrades+'!$AA$15,"D-",IF(D555&lt;'PlayerGrades+'!$AA$14,"D",IF(D555&lt;'PlayerGrades+'!$AA$13,"D+",IF(D555&lt;'PlayerGrades+'!$AA$12,"C-",IF(D555&lt;'PlayerGrades+'!$AA$11,"C",IF(D555&lt;'PlayerGrades+'!$AA$10,"C+",IF(D555&lt;'PlayerGrades+'!$AA$9,"B-",IF(D555&lt;'PlayerGrades+'!$AA$8,"B",IF(D555&lt;'PlayerGrades+'!$AA$7,"B+",IF(D555&lt;'PlayerGrades+'!$AA$6,"A-",IF(D555&lt;'PlayerGrades+'!$AA$5,"A",IF(D555&lt;'PlayerGrades+'!$AA$4,"A+",IF(D555&lt;'PlayerGrades+'!$AA$3,"S-",IF(D555&lt;'PlayerGrades+'!$AA$2,"S","S+"))))))))))))))))))))</f>
        <v>B+</v>
      </c>
      <c r="F555" s="973">
        <f t="shared" si="2"/>
        <v>1.686486486</v>
      </c>
      <c r="G555" s="973" t="str">
        <f>IF(F555&lt;'PlayerGrades+'!$AB$21,"F-",IF(F555&lt;'PlayerGrades+'!$AB$20,"F",IF(F555&lt;'PlayerGrades+'!$AB$19,"F+",IF(F555&lt;'PlayerGrades+'!$AB$18,"E-",IF(F555&lt;'PlayerGrades+'!$AB$17,"E",IF(F555&lt;'PlayerGrades+'!$AB$16,"E+",IF(F555&lt;'PlayerGrades+'!$AB$15,"D-",IF(F555&lt;'PlayerGrades+'!$AB$14,"D",IF(F555&lt;'PlayerGrades+'!$AB$13,"D+",IF(F555&lt;'PlayerGrades+'!$AB$12,"C-",IF(F555&lt;'PlayerGrades+'!$AB$11,"C",IF(F555&lt;'PlayerGrades+'!$AB$10,"C+",IF(F555&lt;'PlayerGrades+'!$AB$9,"B-",IF(F555&lt;'PlayerGrades+'!$AB$8,"B",IF(F555&lt;'PlayerGrades+'!$AB$7,"B+",IF(F555&lt;'PlayerGrades+'!$AB$6,"A-",IF(F555&lt;'PlayerGrades+'!$AB$5,"A",IF(F555&lt;'PlayerGrades+'!$AB$4,"A+",IF(F555&lt;'PlayerGrades+'!$AB$3,"S-",IF(F555&lt;'PlayerGrades+'!$AB$2,"S","S+"))))))))))))))))))))</f>
        <v>S+</v>
      </c>
      <c r="H555" s="973">
        <f t="shared" si="3"/>
        <v>0.1297297297</v>
      </c>
      <c r="I555" s="973" t="str">
        <f>IF(H555&lt;'PlayerGrades+'!$AC$21,"F-",IF(H555&lt;'PlayerGrades+'!$AC$20,"F",IF(H555&lt;'PlayerGrades+'!$AC$19,"F+",IF(H555&lt;'PlayerGrades+'!$AC$18,"E-",IF(H555&lt;'PlayerGrades+'!$AC$17,"E",IF(H555&lt;'PlayerGrades+'!$AC$16,"E+",IF(H555&lt;'PlayerGrades+'!$AC$15,"D-",IF(H555&lt;'PlayerGrades+'!$AC$14,"D",IF(H555&lt;'PlayerGrades+'!$AC$13,"D+",IF(H555&lt;'PlayerGrades+'!$AC$12,"C-",IF(H555&lt;'PlayerGrades+'!$AC$11,"C",IF(H555&lt;'PlayerGrades+'!$AC$10,"C+",IF(H555&lt;'PlayerGrades+'!$AC$9,"B-",IF(H555&lt;'PlayerGrades+'!$AC$8,"B",IF(H555&lt;'PlayerGrades+'!$AC$7,"B+",IF(H555&lt;'PlayerGrades+'!$AC$6,"A-",IF(H555&lt;'PlayerGrades+'!$AC$5,"A",IF(H555&lt;'PlayerGrades+'!$AC$4,"A+",IF(H555&lt;'PlayerGrades+'!$AC$3,"S-",IF(H555&lt;'PlayerGrades+'!$AC$2,"S","S+"))))))))))))))))))))</f>
        <v>B</v>
      </c>
      <c r="J555" s="973">
        <f t="shared" si="4"/>
        <v>0.1945945946</v>
      </c>
      <c r="K555" s="973" t="str">
        <f>IF(J555&lt;'PlayerGrades+'!$AD$21,"F-",IF(J555&lt;'PlayerGrades+'!$AD$20,"F",IF(J555&lt;'PlayerGrades+'!$AD$19,"F+",IF(J555&lt;'PlayerGrades+'!$AD$18,"E-",IF(J555&lt;'PlayerGrades+'!$AD$17,"E",IF(J555&lt;'PlayerGrades+'!$AD$16,"E+",IF(J555&lt;'PlayerGrades+'!$AD$15,"D-",IF(J555&lt;'PlayerGrades+'!$AD$14,"D",IF(J555&lt;'PlayerGrades+'!$AD$13,"D+",IF(J555&lt;'PlayerGrades+'!$AD$12,"C-",IF(J555&lt;'PlayerGrades+'!$AD$11,"C",IF(J555&lt;'PlayerGrades+'!$AD$10,"C+",IF(J555&lt;'PlayerGrades+'!$AD$9,"B-",IF(J555&lt;'PlayerGrades+'!$AD$8,"B",IF(J555&lt;'PlayerGrades+'!$AD$7,"B+",IF(J555&lt;'PlayerGrades+'!$AD$6,"A-",IF(J555&lt;'PlayerGrades+'!$AD$5,"A",IF(J555&lt;'PlayerGrades+'!$AD$4,"A+",IF(J555&lt;'PlayerGrades+'!$AD$3,"S-",IF(J555&lt;'PlayerGrades+'!$AD$2,"S","S+"))))))))))))))))))))</f>
        <v>S+</v>
      </c>
      <c r="L555" s="974">
        <f t="shared" si="5"/>
        <v>0.972972973</v>
      </c>
      <c r="M555" s="975" t="str">
        <f>IF(L555&lt;'PlayerGrades+'!$AE$21,"F-",IF(L555&lt;'PlayerGrades+'!$AE$20,"F",IF(L555&lt;'PlayerGrades+'!$AE$19,"F+",IF(L555&lt;'PlayerGrades+'!$AE$18,"E-",IF(L555&lt;'PlayerGrades+'!$AE$17,"E",IF(L555&lt;'PlayerGrades+'!$AE$16,"E+",IF(L555&lt;'PlayerGrades+'!$AE$15,"D-",IF(L555&lt;'PlayerGrades+'!$AE$14,"D",IF(L555&lt;'PlayerGrades+'!$AE$13,"D+",IF(L555&lt;'PlayerGrades+'!$AE$12,"C-",IF(L555&lt;'PlayerGrades+'!$AE$11,"C",IF(L555&lt;'PlayerGrades+'!$AE$10,"C+",IF(L555&lt;'PlayerGrades+'!$AE$9,"B-",IF(L555&lt;'PlayerGrades+'!$AE$8,"B",IF(L555&lt;'PlayerGrades+'!$AE$7,"B+",IF(L555&lt;'PlayerGrades+'!$AE$6,"A-",IF(L555&lt;'PlayerGrades+'!$AE$5,"A",IF(L555&lt;'PlayerGrades+'!$AE$4,"A+",IF(L555&lt;'PlayerGrades+'!$AE$3,"S-",IF(L555&lt;'PlayerGrades+'!$AE$2,"S","S+"))))))))))))))))))))</f>
        <v>S+</v>
      </c>
      <c r="N555" s="973">
        <f t="shared" si="6"/>
        <v>0.1297297297</v>
      </c>
      <c r="O555" s="973" t="str">
        <f>IF(N555&lt;'PlayerGrades+'!$AF$21,"F-",IF(N555&lt;'PlayerGrades+'!$AF$20,"F",IF(N555&lt;'PlayerGrades+'!$AF$19,"F+",IF(N555&lt;'PlayerGrades+'!$AF$18,"E-",IF(N555&lt;'PlayerGrades+'!$AF$17,"E",IF(N555&lt;'PlayerGrades+'!$AF$16,"E+",IF(N555&lt;'PlayerGrades+'!$AF$15,"D-",IF(N555&lt;'PlayerGrades+'!$AF$14,"D",IF(N555&lt;'PlayerGrades+'!$AF$13,"D+",IF(N555&lt;'PlayerGrades+'!$AF$12,"C-",IF(N555&lt;'PlayerGrades+'!$AF$11,"C",IF(N555&lt;'PlayerGrades+'!$AF$10,"C+",IF(N555&lt;'PlayerGrades+'!$AF$9,"B-",IF(N555&lt;'PlayerGrades+'!$AF$8,"B",IF(N555&lt;'PlayerGrades+'!$AF$7,"B+",IF(N555&lt;'PlayerGrades+'!$AF$6,"A-",IF(N555&lt;'PlayerGrades+'!$AF$5,"A",IF(N555&lt;'PlayerGrades+'!$AF$4,"A+",IF(N555&lt;'PlayerGrades+'!$AF$3,"S-",IF(N555&lt;'PlayerGrades+'!$AF$2,"S","S+"))))))))))))))))))))</f>
        <v>S</v>
      </c>
      <c r="P555" s="973">
        <f t="shared" si="7"/>
        <v>0.1945945946</v>
      </c>
      <c r="Q555" s="973" t="str">
        <f>IF(P555&lt;'PlayerGrades+'!$AG$21,"F-",IF(P555&lt;'PlayerGrades+'!$AG$20,"F",IF(P555&lt;'PlayerGrades+'!$AG$19,"F+",IF(P555&lt;'PlayerGrades+'!$AG$18,"E-",IF(P555&lt;'PlayerGrades+'!$AG$17,"E",IF(P555&lt;'PlayerGrades+'!$AG$16,"E+",IF(P555&lt;'PlayerGrades+'!$AG$15,"D-",IF(P555&lt;'PlayerGrades+'!$AG$14,"D",IF(P555&lt;'PlayerGrades+'!$AG$13,"D+",IF(P555&lt;'PlayerGrades+'!$AG$12,"C-",IF(P555&lt;'PlayerGrades+'!$AG$11,"C",IF(P555&lt;'PlayerGrades+'!$AG$10,"C+",IF(P555&lt;'PlayerGrades+'!$AG$9,"B-",IF(P555&lt;'PlayerGrades+'!$AG$8,"B",IF(P555&lt;'PlayerGrades+'!$AG$7,"B+",IF(P555&lt;'PlayerGrades+'!$AG$6,"A-",IF(P555&lt;'PlayerGrades+'!$AG$5,"A",IF(P555&lt;'PlayerGrades+'!$AG$4,"A+",IF(P555&lt;'PlayerGrades+'!$AG$3,"S-",IF(P555&lt;'PlayerGrades+'!$AG$2,"S","S+"))))))))))))))))))))</f>
        <v>S+</v>
      </c>
      <c r="R555" s="973">
        <f t="shared" si="8"/>
        <v>0.7783783784</v>
      </c>
      <c r="S555" s="973" t="str">
        <f>IF(R555&lt;'PlayerGrades+'!$AH$21,"F-",IF(R555&lt;'PlayerGrades+'!$AH$20,"F",IF(R555&lt;'PlayerGrades+'!$AH$19,"F+",IF(R555&lt;'PlayerGrades+'!$AH$18,"E-",IF(R555&lt;'PlayerGrades+'!$AH$17,"E",IF(R555&lt;'PlayerGrades+'!$AH$16,"E+",IF(R555&lt;'PlayerGrades+'!$AH$15,"D-",IF(R555&lt;'PlayerGrades+'!$AH$14,"D",IF(R555&lt;'PlayerGrades+'!$AH$13,"D+",IF(R555&lt;'PlayerGrades+'!$AH$12,"C-",IF(R555&lt;'PlayerGrades+'!$AH$11,"C",IF(R555&lt;'PlayerGrades+'!$AH$10,"C+",IF(R555&lt;'PlayerGrades+'!$AH$9,"B-",IF(R555&lt;'PlayerGrades+'!$AH$8,"B",IF(R555&lt;'PlayerGrades+'!$AH$7,"B+",IF(R555&lt;'PlayerGrades+'!$AH$6,"A-",IF(R555&lt;'PlayerGrades+'!$AH$5,"A",IF(R555&lt;'PlayerGrades+'!$AH$4,"A+",IF(R555&lt;'PlayerGrades+'!$AH$3,"S-",IF(R555&lt;'PlayerGrades+'!$AH$2,"S","S+"))))))))))))))))))))</f>
        <v>S+</v>
      </c>
      <c r="T555" s="973">
        <f t="shared" si="9"/>
        <v>0.06486486486</v>
      </c>
      <c r="U555" s="973" t="str">
        <f>IF(T555&lt;'PlayerGrades+'!$AI$21,"F-",IF(T555&lt;'PlayerGrades+'!$AI$20,"F",IF(T555&lt;'PlayerGrades+'!$AI$19,"F+",IF(T555&lt;'PlayerGrades+'!$AI$18,"E-",IF(T555&lt;'PlayerGrades+'!$AI$17,"E",IF(T555&lt;'PlayerGrades+'!$AI$16,"E+",IF(T555&lt;'PlayerGrades+'!$AI$15,"D-",IF(T555&lt;'PlayerGrades+'!$AI$14,"D",IF(T555&lt;'PlayerGrades+'!$AI$13,"D+",IF(T555&lt;'PlayerGrades+'!$AI$12,"C-",IF(T555&lt;'PlayerGrades+'!$AI$11,"C",IF(T555&lt;'PlayerGrades+'!$AI$10,"C+",IF(T555&lt;'PlayerGrades+'!$AI$9,"B-",IF(T555&lt;'PlayerGrades+'!$AI$8,"B",IF(T555&lt;'PlayerGrades+'!$AI$7,"B+",IF(T555&lt;'PlayerGrades+'!$AI$6,"A-",IF(T555&lt;'PlayerGrades+'!$AI$5,"A",IF(T555&lt;'PlayerGrades+'!$AI$4,"A+",IF(T555&lt;'PlayerGrades+'!$AI$3,"S-",IF(T555&lt;'PlayerGrades+'!$AI$2,"S","S+"))))))))))))))))))))</f>
        <v>F-</v>
      </c>
      <c r="V555" s="941">
        <v>1.0</v>
      </c>
      <c r="W555" s="941">
        <v>1.0</v>
      </c>
      <c r="X555" s="941">
        <v>0.0</v>
      </c>
      <c r="Y555" s="941">
        <v>2.0</v>
      </c>
      <c r="Z555" s="941">
        <v>1.0</v>
      </c>
      <c r="AA555" s="941">
        <v>65.0</v>
      </c>
      <c r="AB555" s="941">
        <v>39.0</v>
      </c>
      <c r="AC555" s="941">
        <v>26.0</v>
      </c>
      <c r="AD555" s="941">
        <v>5.0</v>
      </c>
      <c r="AE555" s="941">
        <v>7.0</v>
      </c>
      <c r="AF555" s="941">
        <v>1.0</v>
      </c>
      <c r="AG555" s="941">
        <v>742.0</v>
      </c>
      <c r="AH555" s="941">
        <v>925.0</v>
      </c>
      <c r="AI555" s="941">
        <v>19.0</v>
      </c>
      <c r="AJ555" s="941">
        <v>30.0</v>
      </c>
      <c r="AK555" s="941">
        <v>0.0</v>
      </c>
      <c r="AL555" s="941">
        <v>3.0</v>
      </c>
      <c r="AM555" s="941">
        <v>0.0</v>
      </c>
      <c r="AN555" s="941">
        <v>0.0</v>
      </c>
      <c r="AO555" s="941">
        <v>0.0</v>
      </c>
      <c r="AP555" s="941">
        <v>3.0</v>
      </c>
      <c r="AQ555" s="941">
        <v>0.0</v>
      </c>
      <c r="AR555" s="941">
        <v>15.0</v>
      </c>
      <c r="AS555" s="941">
        <v>2.0</v>
      </c>
      <c r="AT555" s="941">
        <v>0.0</v>
      </c>
      <c r="AU555" s="941">
        <v>0.0</v>
      </c>
      <c r="AV555" s="941">
        <v>0.0</v>
      </c>
      <c r="AW555" s="941">
        <v>0.0</v>
      </c>
      <c r="AX555" s="941">
        <v>0.0</v>
      </c>
      <c r="AY555" s="941">
        <v>0.0</v>
      </c>
      <c r="AZ555" s="941">
        <v>0.0</v>
      </c>
      <c r="BA555" s="941">
        <v>0.0</v>
      </c>
      <c r="BB555" s="941">
        <v>2.0</v>
      </c>
      <c r="BC555" s="941">
        <v>0.0</v>
      </c>
      <c r="BD555" s="941">
        <v>7.0</v>
      </c>
      <c r="BE555" s="941">
        <v>1.0</v>
      </c>
      <c r="BF555" s="941">
        <v>0.0</v>
      </c>
      <c r="BG555" s="942">
        <v>0.0</v>
      </c>
    </row>
    <row r="556">
      <c r="A556" s="935" t="s">
        <v>132</v>
      </c>
      <c r="B556" s="421" t="str">
        <f>IF(C556&lt;'PlayerGrades+'!$Y$44,"F-",IF(C556&lt;'PlayerGrades+'!$Y$43,"F",IF(C556&lt;'PlayerGrades+'!$Y$42,"F+",IF(C556&lt;'PlayerGrades+'!$Y$41,"E-",IF(C556&lt;'PlayerGrades+'!$Y$40,"E",IF(C556&lt;'PlayerGrades+'!$Y$39,"E+",IF(C556&lt;'PlayerGrades+'!$Y$38,"D-",IF(C556&lt;'PlayerGrades+'!$Y$37,"D",IF(C556&lt;'PlayerGrades+'!$Y$36,"D+",IF(C556&lt;'PlayerGrades+'!$Y$35,"C-",IF(C556&lt;'PlayerGrades+'!$Y$34,"C",IF(C556&lt;'PlayerGrades+'!$Y$33,"C+",IF(C556&lt;'PlayerGrades+'!$Y$32,"B-",IF(C556&lt;'PlayerGrades+'!$Y$31,"B",IF(C556&lt;'PlayerGrades+'!$Y$30,"B+",IF(C556&lt;'PlayerGrades+'!$Y$29,"A-",IF(C556&lt;'PlayerGrades+'!$Y$28,"A",IF(C556&lt;'PlayerGrades+'!$Y$27,"A+",IF(C556&lt;'PlayerGrades+'!$Y$26,"S-",IF(C556&lt;'PlayerGrades+'!$Y$25,"S","S+"))))))))))))))))))))</f>
        <v>A+</v>
      </c>
      <c r="C556" s="972">
        <f>('PlayerGrades+'!$Y$47*(VLOOKUP(E556, 'PlayerGrades+'!$X$3:$Y$23, 2, FALSE)))+('PlayerGrades+'!$Y$48*(VLOOKUP(G556, 'PlayerGrades+'!$X$3:$Y$23, 2, FALSE)))+('PlayerGrades+'!$Y$49*(VLOOKUP(I556, 'PlayerGrades+'!$X$3:$Y$23, 2, FALSE)))+('PlayerGrades+'!$Y$50*(VLOOKUP(K556, 'PlayerGrades+'!$X$3:$Y$23, 2, FALSE)))+('PlayerGrades+'!$Y$51*(VLOOKUP(M556, 'PlayerGrades+'!$X$3:$Y$23, 2, FALSE)))+('PlayerGrades+'!$Y$52*(VLOOKUP(O556, 'PlayerGrades+'!$X$3:$Y$23, 2, FALSE)))+('PlayerGrades+'!$Y$53*(VLOOKUP(Q556, 'PlayerGrades+'!$X$3:$Y$23, 2, FALSE)))+('PlayerGrades+'!$Y$54*(VLOOKUP(S556, 'PlayerGrades+'!$X$3:$Y$23, 2, FALSE)))+('PlayerGrades+'!$Y$55*(VLOOKUP(U556, 'PlayerGrades+'!$X$3:$Y$23, 2, FALSE)))</f>
        <v>28.4</v>
      </c>
      <c r="D556" s="973">
        <f t="shared" si="1"/>
        <v>0</v>
      </c>
      <c r="E556" s="973" t="str">
        <f>IF(D556&lt;'PlayerGrades+'!$AA$21,"F-",IF(D556&lt;'PlayerGrades+'!$AA$20,"F",IF(D556&lt;'PlayerGrades+'!$AA$19,"F+",IF(D556&lt;'PlayerGrades+'!$AA$18,"E-",IF(D556&lt;'PlayerGrades+'!$AA$17,"E",IF(D556&lt;'PlayerGrades+'!$AA$16,"E+",IF(D556&lt;'PlayerGrades+'!$AA$15,"D-",IF(D556&lt;'PlayerGrades+'!$AA$14,"D",IF(D556&lt;'PlayerGrades+'!$AA$13,"D+",IF(D556&lt;'PlayerGrades+'!$AA$12,"C-",IF(D556&lt;'PlayerGrades+'!$AA$11,"C",IF(D556&lt;'PlayerGrades+'!$AA$10,"C+",IF(D556&lt;'PlayerGrades+'!$AA$9,"B-",IF(D556&lt;'PlayerGrades+'!$AA$8,"B",IF(D556&lt;'PlayerGrades+'!$AA$7,"B+",IF(D556&lt;'PlayerGrades+'!$AA$6,"A-",IF(D556&lt;'PlayerGrades+'!$AA$5,"A",IF(D556&lt;'PlayerGrades+'!$AA$4,"A+",IF(D556&lt;'PlayerGrades+'!$AA$3,"S-",IF(D556&lt;'PlayerGrades+'!$AA$2,"S","S+"))))))))))))))))))))</f>
        <v>F-</v>
      </c>
      <c r="F556" s="973">
        <f t="shared" si="2"/>
        <v>0.5837837838</v>
      </c>
      <c r="G556" s="973" t="str">
        <f>IF(F556&lt;'PlayerGrades+'!$AB$21,"F-",IF(F556&lt;'PlayerGrades+'!$AB$20,"F",IF(F556&lt;'PlayerGrades+'!$AB$19,"F+",IF(F556&lt;'PlayerGrades+'!$AB$18,"E-",IF(F556&lt;'PlayerGrades+'!$AB$17,"E",IF(F556&lt;'PlayerGrades+'!$AB$16,"E+",IF(F556&lt;'PlayerGrades+'!$AB$15,"D-",IF(F556&lt;'PlayerGrades+'!$AB$14,"D",IF(F556&lt;'PlayerGrades+'!$AB$13,"D+",IF(F556&lt;'PlayerGrades+'!$AB$12,"C-",IF(F556&lt;'PlayerGrades+'!$AB$11,"C",IF(F556&lt;'PlayerGrades+'!$AB$10,"C+",IF(F556&lt;'PlayerGrades+'!$AB$9,"B-",IF(F556&lt;'PlayerGrades+'!$AB$8,"B",IF(F556&lt;'PlayerGrades+'!$AB$7,"B+",IF(F556&lt;'PlayerGrades+'!$AB$6,"A-",IF(F556&lt;'PlayerGrades+'!$AB$5,"A",IF(F556&lt;'PlayerGrades+'!$AB$4,"A+",IF(F556&lt;'PlayerGrades+'!$AB$3,"S-",IF(F556&lt;'PlayerGrades+'!$AB$2,"S","S+"))))))))))))))))))))</f>
        <v>S-</v>
      </c>
      <c r="H556" s="973">
        <f t="shared" si="3"/>
        <v>0.1945945946</v>
      </c>
      <c r="I556" s="973" t="str">
        <f>IF(H556&lt;'PlayerGrades+'!$AC$21,"F-",IF(H556&lt;'PlayerGrades+'!$AC$20,"F",IF(H556&lt;'PlayerGrades+'!$AC$19,"F+",IF(H556&lt;'PlayerGrades+'!$AC$18,"E-",IF(H556&lt;'PlayerGrades+'!$AC$17,"E",IF(H556&lt;'PlayerGrades+'!$AC$16,"E+",IF(H556&lt;'PlayerGrades+'!$AC$15,"D-",IF(H556&lt;'PlayerGrades+'!$AC$14,"D",IF(H556&lt;'PlayerGrades+'!$AC$13,"D+",IF(H556&lt;'PlayerGrades+'!$AC$12,"C-",IF(H556&lt;'PlayerGrades+'!$AC$11,"C",IF(H556&lt;'PlayerGrades+'!$AC$10,"C+",IF(H556&lt;'PlayerGrades+'!$AC$9,"B-",IF(H556&lt;'PlayerGrades+'!$AC$8,"B",IF(H556&lt;'PlayerGrades+'!$AC$7,"B+",IF(H556&lt;'PlayerGrades+'!$AC$6,"A-",IF(H556&lt;'PlayerGrades+'!$AC$5,"A",IF(H556&lt;'PlayerGrades+'!$AC$4,"A+",IF(H556&lt;'PlayerGrades+'!$AC$3,"S-",IF(H556&lt;'PlayerGrades+'!$AC$2,"S","S+"))))))))))))))))))))</f>
        <v>S</v>
      </c>
      <c r="J556" s="973">
        <f t="shared" si="4"/>
        <v>0.06486486486</v>
      </c>
      <c r="K556" s="973" t="str">
        <f>IF(J556&lt;'PlayerGrades+'!$AD$21,"F-",IF(J556&lt;'PlayerGrades+'!$AD$20,"F",IF(J556&lt;'PlayerGrades+'!$AD$19,"F+",IF(J556&lt;'PlayerGrades+'!$AD$18,"E-",IF(J556&lt;'PlayerGrades+'!$AD$17,"E",IF(J556&lt;'PlayerGrades+'!$AD$16,"E+",IF(J556&lt;'PlayerGrades+'!$AD$15,"D-",IF(J556&lt;'PlayerGrades+'!$AD$14,"D",IF(J556&lt;'PlayerGrades+'!$AD$13,"D+",IF(J556&lt;'PlayerGrades+'!$AD$12,"C-",IF(J556&lt;'PlayerGrades+'!$AD$11,"C",IF(J556&lt;'PlayerGrades+'!$AD$10,"C+",IF(J556&lt;'PlayerGrades+'!$AD$9,"B-",IF(J556&lt;'PlayerGrades+'!$AD$8,"B",IF(J556&lt;'PlayerGrades+'!$AD$7,"B+",IF(J556&lt;'PlayerGrades+'!$AD$6,"A-",IF(J556&lt;'PlayerGrades+'!$AD$5,"A",IF(J556&lt;'PlayerGrades+'!$AD$4,"A+",IF(J556&lt;'PlayerGrades+'!$AD$3,"S-",IF(J556&lt;'PlayerGrades+'!$AD$2,"S","S+"))))))))))))))))))))</f>
        <v>A-</v>
      </c>
      <c r="L556" s="974">
        <f t="shared" si="5"/>
        <v>0.4540540541</v>
      </c>
      <c r="M556" s="975" t="str">
        <f>IF(L556&lt;'PlayerGrades+'!$AE$21,"F-",IF(L556&lt;'PlayerGrades+'!$AE$20,"F",IF(L556&lt;'PlayerGrades+'!$AE$19,"F+",IF(L556&lt;'PlayerGrades+'!$AE$18,"E-",IF(L556&lt;'PlayerGrades+'!$AE$17,"E",IF(L556&lt;'PlayerGrades+'!$AE$16,"E+",IF(L556&lt;'PlayerGrades+'!$AE$15,"D-",IF(L556&lt;'PlayerGrades+'!$AE$14,"D",IF(L556&lt;'PlayerGrades+'!$AE$13,"D+",IF(L556&lt;'PlayerGrades+'!$AE$12,"C-",IF(L556&lt;'PlayerGrades+'!$AE$11,"C",IF(L556&lt;'PlayerGrades+'!$AE$10,"C+",IF(L556&lt;'PlayerGrades+'!$AE$9,"B-",IF(L556&lt;'PlayerGrades+'!$AE$8,"B",IF(L556&lt;'PlayerGrades+'!$AE$7,"B+",IF(L556&lt;'PlayerGrades+'!$AE$6,"A-",IF(L556&lt;'PlayerGrades+'!$AE$5,"A",IF(L556&lt;'PlayerGrades+'!$AE$4,"A+",IF(L556&lt;'PlayerGrades+'!$AE$3,"S-",IF(L556&lt;'PlayerGrades+'!$AE$2,"S","S+"))))))))))))))))))))</f>
        <v>B+</v>
      </c>
      <c r="N556" s="973">
        <f t="shared" si="6"/>
        <v>0.1297297297</v>
      </c>
      <c r="O556" s="973" t="str">
        <f>IF(N556&lt;'PlayerGrades+'!$AF$21,"F-",IF(N556&lt;'PlayerGrades+'!$AF$20,"F",IF(N556&lt;'PlayerGrades+'!$AF$19,"F+",IF(N556&lt;'PlayerGrades+'!$AF$18,"E-",IF(N556&lt;'PlayerGrades+'!$AF$17,"E",IF(N556&lt;'PlayerGrades+'!$AF$16,"E+",IF(N556&lt;'PlayerGrades+'!$AF$15,"D-",IF(N556&lt;'PlayerGrades+'!$AF$14,"D",IF(N556&lt;'PlayerGrades+'!$AF$13,"D+",IF(N556&lt;'PlayerGrades+'!$AF$12,"C-",IF(N556&lt;'PlayerGrades+'!$AF$11,"C",IF(N556&lt;'PlayerGrades+'!$AF$10,"C+",IF(N556&lt;'PlayerGrades+'!$AF$9,"B-",IF(N556&lt;'PlayerGrades+'!$AF$8,"B",IF(N556&lt;'PlayerGrades+'!$AF$7,"B+",IF(N556&lt;'PlayerGrades+'!$AF$6,"A-",IF(N556&lt;'PlayerGrades+'!$AF$5,"A",IF(N556&lt;'PlayerGrades+'!$AF$4,"A+",IF(N556&lt;'PlayerGrades+'!$AF$3,"S-",IF(N556&lt;'PlayerGrades+'!$AF$2,"S","S+"))))))))))))))))))))</f>
        <v>S</v>
      </c>
      <c r="P556" s="973">
        <f t="shared" si="7"/>
        <v>0.06486486486</v>
      </c>
      <c r="Q556" s="973" t="str">
        <f>IF(P556&lt;'PlayerGrades+'!$AG$21,"F-",IF(P556&lt;'PlayerGrades+'!$AG$20,"F",IF(P556&lt;'PlayerGrades+'!$AG$19,"F+",IF(P556&lt;'PlayerGrades+'!$AG$18,"E-",IF(P556&lt;'PlayerGrades+'!$AG$17,"E",IF(P556&lt;'PlayerGrades+'!$AG$16,"E+",IF(P556&lt;'PlayerGrades+'!$AG$15,"D-",IF(P556&lt;'PlayerGrades+'!$AG$14,"D",IF(P556&lt;'PlayerGrades+'!$AG$13,"D+",IF(P556&lt;'PlayerGrades+'!$AG$12,"C-",IF(P556&lt;'PlayerGrades+'!$AG$11,"C",IF(P556&lt;'PlayerGrades+'!$AG$10,"C+",IF(P556&lt;'PlayerGrades+'!$AG$9,"B-",IF(P556&lt;'PlayerGrades+'!$AG$8,"B",IF(P556&lt;'PlayerGrades+'!$AG$7,"B+",IF(P556&lt;'PlayerGrades+'!$AG$6,"A-",IF(P556&lt;'PlayerGrades+'!$AG$5,"A",IF(P556&lt;'PlayerGrades+'!$AG$4,"A+",IF(P556&lt;'PlayerGrades+'!$AG$3,"S-",IF(P556&lt;'PlayerGrades+'!$AG$2,"S","S+"))))))))))))))))))))</f>
        <v>A+</v>
      </c>
      <c r="R556" s="973">
        <f t="shared" si="8"/>
        <v>0.8432432432</v>
      </c>
      <c r="S556" s="973" t="str">
        <f>IF(R556&lt;'PlayerGrades+'!$AH$21,"F-",IF(R556&lt;'PlayerGrades+'!$AH$20,"F",IF(R556&lt;'PlayerGrades+'!$AH$19,"F+",IF(R556&lt;'PlayerGrades+'!$AH$18,"E-",IF(R556&lt;'PlayerGrades+'!$AH$17,"E",IF(R556&lt;'PlayerGrades+'!$AH$16,"E+",IF(R556&lt;'PlayerGrades+'!$AH$15,"D-",IF(R556&lt;'PlayerGrades+'!$AH$14,"D",IF(R556&lt;'PlayerGrades+'!$AH$13,"D+",IF(R556&lt;'PlayerGrades+'!$AH$12,"C-",IF(R556&lt;'PlayerGrades+'!$AH$11,"C",IF(R556&lt;'PlayerGrades+'!$AH$10,"C+",IF(R556&lt;'PlayerGrades+'!$AH$9,"B-",IF(R556&lt;'PlayerGrades+'!$AH$8,"B",IF(R556&lt;'PlayerGrades+'!$AH$7,"B+",IF(R556&lt;'PlayerGrades+'!$AH$6,"A-",IF(R556&lt;'PlayerGrades+'!$AH$5,"A",IF(R556&lt;'PlayerGrades+'!$AH$4,"A+",IF(R556&lt;'PlayerGrades+'!$AH$3,"S-",IF(R556&lt;'PlayerGrades+'!$AH$2,"S","S+"))))))))))))))))))))</f>
        <v>S+</v>
      </c>
      <c r="T556" s="973">
        <f t="shared" si="9"/>
        <v>0.3891891892</v>
      </c>
      <c r="U556" s="973" t="str">
        <f>IF(T556&lt;'PlayerGrades+'!$AI$21,"F-",IF(T556&lt;'PlayerGrades+'!$AI$20,"F",IF(T556&lt;'PlayerGrades+'!$AI$19,"F+",IF(T556&lt;'PlayerGrades+'!$AI$18,"E-",IF(T556&lt;'PlayerGrades+'!$AI$17,"E",IF(T556&lt;'PlayerGrades+'!$AI$16,"E+",IF(T556&lt;'PlayerGrades+'!$AI$15,"D-",IF(T556&lt;'PlayerGrades+'!$AI$14,"D",IF(T556&lt;'PlayerGrades+'!$AI$13,"D+",IF(T556&lt;'PlayerGrades+'!$AI$12,"C-",IF(T556&lt;'PlayerGrades+'!$AI$11,"C",IF(T556&lt;'PlayerGrades+'!$AI$10,"C+",IF(T556&lt;'PlayerGrades+'!$AI$9,"B-",IF(T556&lt;'PlayerGrades+'!$AI$8,"B",IF(T556&lt;'PlayerGrades+'!$AI$7,"B+",IF(T556&lt;'PlayerGrades+'!$AI$6,"A-",IF(T556&lt;'PlayerGrades+'!$AI$5,"A",IF(T556&lt;'PlayerGrades+'!$AI$4,"A+",IF(T556&lt;'PlayerGrades+'!$AI$3,"S-",IF(T556&lt;'PlayerGrades+'!$AI$2,"S","S+"))))))))))))))))))))</f>
        <v>F-</v>
      </c>
      <c r="V556" s="941">
        <v>1.0</v>
      </c>
      <c r="W556" s="941">
        <v>1.0</v>
      </c>
      <c r="X556" s="941">
        <v>0.0</v>
      </c>
      <c r="Y556" s="941">
        <v>0.0</v>
      </c>
      <c r="Z556" s="941">
        <v>0.0</v>
      </c>
      <c r="AA556" s="941">
        <v>55.0</v>
      </c>
      <c r="AB556" s="941">
        <v>46.0</v>
      </c>
      <c r="AC556" s="941">
        <v>9.0</v>
      </c>
      <c r="AD556" s="941">
        <v>5.0</v>
      </c>
      <c r="AE556" s="941">
        <v>6.0</v>
      </c>
      <c r="AF556" s="941">
        <v>2.0</v>
      </c>
      <c r="AG556" s="941">
        <v>724.0</v>
      </c>
      <c r="AH556" s="941">
        <v>925.0</v>
      </c>
      <c r="AI556" s="941">
        <v>15.0</v>
      </c>
      <c r="AJ556" s="941">
        <v>10.0</v>
      </c>
      <c r="AK556" s="941">
        <v>0.0</v>
      </c>
      <c r="AL556" s="941">
        <v>1.0</v>
      </c>
      <c r="AM556" s="941">
        <v>0.0</v>
      </c>
      <c r="AN556" s="941">
        <v>0.0</v>
      </c>
      <c r="AO556" s="941">
        <v>0.0</v>
      </c>
      <c r="AP556" s="941">
        <v>1.0</v>
      </c>
      <c r="AQ556" s="941">
        <v>0.0</v>
      </c>
      <c r="AR556" s="941">
        <v>7.0</v>
      </c>
      <c r="AS556" s="941">
        <v>2.0</v>
      </c>
      <c r="AT556" s="941">
        <v>0.0</v>
      </c>
      <c r="AU556" s="941">
        <v>0.0</v>
      </c>
      <c r="AV556" s="941">
        <v>0.0</v>
      </c>
      <c r="AW556" s="941">
        <v>0.0</v>
      </c>
      <c r="AX556" s="941">
        <v>0.0</v>
      </c>
      <c r="AY556" s="941">
        <v>0.0</v>
      </c>
      <c r="AZ556" s="941">
        <v>0.0</v>
      </c>
      <c r="BA556" s="941">
        <v>0.0</v>
      </c>
      <c r="BB556" s="941">
        <v>3.0</v>
      </c>
      <c r="BC556" s="941">
        <v>0.0</v>
      </c>
      <c r="BD556" s="941">
        <v>8.0</v>
      </c>
      <c r="BE556" s="941">
        <v>6.0</v>
      </c>
      <c r="BF556" s="941">
        <v>0.0</v>
      </c>
      <c r="BG556" s="942">
        <v>0.0</v>
      </c>
    </row>
    <row r="557">
      <c r="A557" s="935" t="s">
        <v>514</v>
      </c>
      <c r="B557" s="421" t="str">
        <f>IF(C557&lt;'PlayerGrades+'!$Y$44,"F-",IF(C557&lt;'PlayerGrades+'!$Y$43,"F",IF(C557&lt;'PlayerGrades+'!$Y$42,"F+",IF(C557&lt;'PlayerGrades+'!$Y$41,"E-",IF(C557&lt;'PlayerGrades+'!$Y$40,"E",IF(C557&lt;'PlayerGrades+'!$Y$39,"E+",IF(C557&lt;'PlayerGrades+'!$Y$38,"D-",IF(C557&lt;'PlayerGrades+'!$Y$37,"D",IF(C557&lt;'PlayerGrades+'!$Y$36,"D+",IF(C557&lt;'PlayerGrades+'!$Y$35,"C-",IF(C557&lt;'PlayerGrades+'!$Y$34,"C",IF(C557&lt;'PlayerGrades+'!$Y$33,"C+",IF(C557&lt;'PlayerGrades+'!$Y$32,"B-",IF(C557&lt;'PlayerGrades+'!$Y$31,"B",IF(C557&lt;'PlayerGrades+'!$Y$30,"B+",IF(C557&lt;'PlayerGrades+'!$Y$29,"A-",IF(C557&lt;'PlayerGrades+'!$Y$28,"A",IF(C557&lt;'PlayerGrades+'!$Y$27,"A+",IF(C557&lt;'PlayerGrades+'!$Y$26,"S-",IF(C557&lt;'PlayerGrades+'!$Y$25,"S","S+"))))))))))))))))))))</f>
        <v>B+</v>
      </c>
      <c r="C557" s="972">
        <f>('PlayerGrades+'!$Y$47*(VLOOKUP(E557, 'PlayerGrades+'!$X$3:$Y$23, 2, FALSE)))+('PlayerGrades+'!$Y$48*(VLOOKUP(G557, 'PlayerGrades+'!$X$3:$Y$23, 2, FALSE)))+('PlayerGrades+'!$Y$49*(VLOOKUP(I557, 'PlayerGrades+'!$X$3:$Y$23, 2, FALSE)))+('PlayerGrades+'!$Y$50*(VLOOKUP(K557, 'PlayerGrades+'!$X$3:$Y$23, 2, FALSE)))+('PlayerGrades+'!$Y$51*(VLOOKUP(M557, 'PlayerGrades+'!$X$3:$Y$23, 2, FALSE)))+('PlayerGrades+'!$Y$52*(VLOOKUP(O557, 'PlayerGrades+'!$X$3:$Y$23, 2, FALSE)))+('PlayerGrades+'!$Y$53*(VLOOKUP(Q557, 'PlayerGrades+'!$X$3:$Y$23, 2, FALSE)))+('PlayerGrades+'!$Y$54*(VLOOKUP(S557, 'PlayerGrades+'!$X$3:$Y$23, 2, FALSE)))+('PlayerGrades+'!$Y$55*(VLOOKUP(U557, 'PlayerGrades+'!$X$3:$Y$23, 2, FALSE)))</f>
        <v>23.55</v>
      </c>
      <c r="D557" s="973">
        <f t="shared" si="1"/>
        <v>0</v>
      </c>
      <c r="E557" s="973" t="str">
        <f>IF(D557&lt;'PlayerGrades+'!$AA$21,"F-",IF(D557&lt;'PlayerGrades+'!$AA$20,"F",IF(D557&lt;'PlayerGrades+'!$AA$19,"F+",IF(D557&lt;'PlayerGrades+'!$AA$18,"E-",IF(D557&lt;'PlayerGrades+'!$AA$17,"E",IF(D557&lt;'PlayerGrades+'!$AA$16,"E+",IF(D557&lt;'PlayerGrades+'!$AA$15,"D-",IF(D557&lt;'PlayerGrades+'!$AA$14,"D",IF(D557&lt;'PlayerGrades+'!$AA$13,"D+",IF(D557&lt;'PlayerGrades+'!$AA$12,"C-",IF(D557&lt;'PlayerGrades+'!$AA$11,"C",IF(D557&lt;'PlayerGrades+'!$AA$10,"C+",IF(D557&lt;'PlayerGrades+'!$AA$9,"B-",IF(D557&lt;'PlayerGrades+'!$AA$8,"B",IF(D557&lt;'PlayerGrades+'!$AA$7,"B+",IF(D557&lt;'PlayerGrades+'!$AA$6,"A-",IF(D557&lt;'PlayerGrades+'!$AA$5,"A",IF(D557&lt;'PlayerGrades+'!$AA$4,"A+",IF(D557&lt;'PlayerGrades+'!$AA$3,"S-",IF(D557&lt;'PlayerGrades+'!$AA$2,"S","S+"))))))))))))))))))))</f>
        <v>F-</v>
      </c>
      <c r="F557" s="973">
        <f t="shared" si="2"/>
        <v>-0.1297297297</v>
      </c>
      <c r="G557" s="973" t="str">
        <f>IF(F557&lt;'PlayerGrades+'!$AB$21,"F-",IF(F557&lt;'PlayerGrades+'!$AB$20,"F",IF(F557&lt;'PlayerGrades+'!$AB$19,"F+",IF(F557&lt;'PlayerGrades+'!$AB$18,"E-",IF(F557&lt;'PlayerGrades+'!$AB$17,"E",IF(F557&lt;'PlayerGrades+'!$AB$16,"E+",IF(F557&lt;'PlayerGrades+'!$AB$15,"D-",IF(F557&lt;'PlayerGrades+'!$AB$14,"D",IF(F557&lt;'PlayerGrades+'!$AB$13,"D+",IF(F557&lt;'PlayerGrades+'!$AB$12,"C-",IF(F557&lt;'PlayerGrades+'!$AB$11,"C",IF(F557&lt;'PlayerGrades+'!$AB$10,"C+",IF(F557&lt;'PlayerGrades+'!$AB$9,"B-",IF(F557&lt;'PlayerGrades+'!$AB$8,"B",IF(F557&lt;'PlayerGrades+'!$AB$7,"B+",IF(F557&lt;'PlayerGrades+'!$AB$6,"A-",IF(F557&lt;'PlayerGrades+'!$AB$5,"A",IF(F557&lt;'PlayerGrades+'!$AB$4,"A+",IF(F557&lt;'PlayerGrades+'!$AB$3,"S-",IF(F557&lt;'PlayerGrades+'!$AB$2,"S","S+"))))))))))))))))))))</f>
        <v>C+</v>
      </c>
      <c r="H557" s="973">
        <f t="shared" si="3"/>
        <v>0.1297297297</v>
      </c>
      <c r="I557" s="973" t="str">
        <f>IF(H557&lt;'PlayerGrades+'!$AC$21,"F-",IF(H557&lt;'PlayerGrades+'!$AC$20,"F",IF(H557&lt;'PlayerGrades+'!$AC$19,"F+",IF(H557&lt;'PlayerGrades+'!$AC$18,"E-",IF(H557&lt;'PlayerGrades+'!$AC$17,"E",IF(H557&lt;'PlayerGrades+'!$AC$16,"E+",IF(H557&lt;'PlayerGrades+'!$AC$15,"D-",IF(H557&lt;'PlayerGrades+'!$AC$14,"D",IF(H557&lt;'PlayerGrades+'!$AC$13,"D+",IF(H557&lt;'PlayerGrades+'!$AC$12,"C-",IF(H557&lt;'PlayerGrades+'!$AC$11,"C",IF(H557&lt;'PlayerGrades+'!$AC$10,"C+",IF(H557&lt;'PlayerGrades+'!$AC$9,"B-",IF(H557&lt;'PlayerGrades+'!$AC$8,"B",IF(H557&lt;'PlayerGrades+'!$AC$7,"B+",IF(H557&lt;'PlayerGrades+'!$AC$6,"A-",IF(H557&lt;'PlayerGrades+'!$AC$5,"A",IF(H557&lt;'PlayerGrades+'!$AC$4,"A+",IF(H557&lt;'PlayerGrades+'!$AC$3,"S-",IF(H557&lt;'PlayerGrades+'!$AC$2,"S","S+"))))))))))))))))))))</f>
        <v>B</v>
      </c>
      <c r="J557" s="973">
        <f t="shared" si="4"/>
        <v>0.06486486486</v>
      </c>
      <c r="K557" s="973" t="str">
        <f>IF(J557&lt;'PlayerGrades+'!$AD$21,"F-",IF(J557&lt;'PlayerGrades+'!$AD$20,"F",IF(J557&lt;'PlayerGrades+'!$AD$19,"F+",IF(J557&lt;'PlayerGrades+'!$AD$18,"E-",IF(J557&lt;'PlayerGrades+'!$AD$17,"E",IF(J557&lt;'PlayerGrades+'!$AD$16,"E+",IF(J557&lt;'PlayerGrades+'!$AD$15,"D-",IF(J557&lt;'PlayerGrades+'!$AD$14,"D",IF(J557&lt;'PlayerGrades+'!$AD$13,"D+",IF(J557&lt;'PlayerGrades+'!$AD$12,"C-",IF(J557&lt;'PlayerGrades+'!$AD$11,"C",IF(J557&lt;'PlayerGrades+'!$AD$10,"C+",IF(J557&lt;'PlayerGrades+'!$AD$9,"B-",IF(J557&lt;'PlayerGrades+'!$AD$8,"B",IF(J557&lt;'PlayerGrades+'!$AD$7,"B+",IF(J557&lt;'PlayerGrades+'!$AD$6,"A-",IF(J557&lt;'PlayerGrades+'!$AD$5,"A",IF(J557&lt;'PlayerGrades+'!$AD$4,"A+",IF(J557&lt;'PlayerGrades+'!$AD$3,"S-",IF(J557&lt;'PlayerGrades+'!$AD$2,"S","S+"))))))))))))))))))))</f>
        <v>A-</v>
      </c>
      <c r="L557" s="974">
        <f t="shared" si="5"/>
        <v>0.7783783784</v>
      </c>
      <c r="M557" s="975" t="str">
        <f>IF(L557&lt;'PlayerGrades+'!$AE$21,"F-",IF(L557&lt;'PlayerGrades+'!$AE$20,"F",IF(L557&lt;'PlayerGrades+'!$AE$19,"F+",IF(L557&lt;'PlayerGrades+'!$AE$18,"E-",IF(L557&lt;'PlayerGrades+'!$AE$17,"E",IF(L557&lt;'PlayerGrades+'!$AE$16,"E+",IF(L557&lt;'PlayerGrades+'!$AE$15,"D-",IF(L557&lt;'PlayerGrades+'!$AE$14,"D",IF(L557&lt;'PlayerGrades+'!$AE$13,"D+",IF(L557&lt;'PlayerGrades+'!$AE$12,"C-",IF(L557&lt;'PlayerGrades+'!$AE$11,"C",IF(L557&lt;'PlayerGrades+'!$AE$10,"C+",IF(L557&lt;'PlayerGrades+'!$AE$9,"B-",IF(L557&lt;'PlayerGrades+'!$AE$8,"B",IF(L557&lt;'PlayerGrades+'!$AE$7,"B+",IF(L557&lt;'PlayerGrades+'!$AE$6,"A-",IF(L557&lt;'PlayerGrades+'!$AE$5,"A",IF(L557&lt;'PlayerGrades+'!$AE$4,"A+",IF(L557&lt;'PlayerGrades+'!$AE$3,"S-",IF(L557&lt;'PlayerGrades+'!$AE$2,"S","S+"))))))))))))))))))))</f>
        <v>S+</v>
      </c>
      <c r="N557" s="973">
        <f t="shared" si="6"/>
        <v>0.06486486486</v>
      </c>
      <c r="O557" s="973" t="str">
        <f>IF(N557&lt;'PlayerGrades+'!$AF$21,"F-",IF(N557&lt;'PlayerGrades+'!$AF$20,"F",IF(N557&lt;'PlayerGrades+'!$AF$19,"F+",IF(N557&lt;'PlayerGrades+'!$AF$18,"E-",IF(N557&lt;'PlayerGrades+'!$AF$17,"E",IF(N557&lt;'PlayerGrades+'!$AF$16,"E+",IF(N557&lt;'PlayerGrades+'!$AF$15,"D-",IF(N557&lt;'PlayerGrades+'!$AF$14,"D",IF(N557&lt;'PlayerGrades+'!$AF$13,"D+",IF(N557&lt;'PlayerGrades+'!$AF$12,"C-",IF(N557&lt;'PlayerGrades+'!$AF$11,"C",IF(N557&lt;'PlayerGrades+'!$AF$10,"C+",IF(N557&lt;'PlayerGrades+'!$AF$9,"B-",IF(N557&lt;'PlayerGrades+'!$AF$8,"B",IF(N557&lt;'PlayerGrades+'!$AF$7,"B+",IF(N557&lt;'PlayerGrades+'!$AF$6,"A-",IF(N557&lt;'PlayerGrades+'!$AF$5,"A",IF(N557&lt;'PlayerGrades+'!$AF$4,"A+",IF(N557&lt;'PlayerGrades+'!$AF$3,"S-",IF(N557&lt;'PlayerGrades+'!$AF$2,"S","S+"))))))))))))))))))))</f>
        <v>C-</v>
      </c>
      <c r="P557" s="973">
        <f t="shared" si="7"/>
        <v>0.06486486486</v>
      </c>
      <c r="Q557" s="973" t="str">
        <f>IF(P557&lt;'PlayerGrades+'!$AG$21,"F-",IF(P557&lt;'PlayerGrades+'!$AG$20,"F",IF(P557&lt;'PlayerGrades+'!$AG$19,"F+",IF(P557&lt;'PlayerGrades+'!$AG$18,"E-",IF(P557&lt;'PlayerGrades+'!$AG$17,"E",IF(P557&lt;'PlayerGrades+'!$AG$16,"E+",IF(P557&lt;'PlayerGrades+'!$AG$15,"D-",IF(P557&lt;'PlayerGrades+'!$AG$14,"D",IF(P557&lt;'PlayerGrades+'!$AG$13,"D+",IF(P557&lt;'PlayerGrades+'!$AG$12,"C-",IF(P557&lt;'PlayerGrades+'!$AG$11,"C",IF(P557&lt;'PlayerGrades+'!$AG$10,"C+",IF(P557&lt;'PlayerGrades+'!$AG$9,"B-",IF(P557&lt;'PlayerGrades+'!$AG$8,"B",IF(P557&lt;'PlayerGrades+'!$AG$7,"B+",IF(P557&lt;'PlayerGrades+'!$AG$6,"A-",IF(P557&lt;'PlayerGrades+'!$AG$5,"A",IF(P557&lt;'PlayerGrades+'!$AG$4,"A+",IF(P557&lt;'PlayerGrades+'!$AG$3,"S-",IF(P557&lt;'PlayerGrades+'!$AG$2,"S","S+"))))))))))))))))))))</f>
        <v>A+</v>
      </c>
      <c r="R557" s="973">
        <f t="shared" si="8"/>
        <v>0.5837837838</v>
      </c>
      <c r="S557" s="973" t="str">
        <f>IF(R557&lt;'PlayerGrades+'!$AH$21,"F-",IF(R557&lt;'PlayerGrades+'!$AH$20,"F",IF(R557&lt;'PlayerGrades+'!$AH$19,"F+",IF(R557&lt;'PlayerGrades+'!$AH$18,"E-",IF(R557&lt;'PlayerGrades+'!$AH$17,"E",IF(R557&lt;'PlayerGrades+'!$AH$16,"E+",IF(R557&lt;'PlayerGrades+'!$AH$15,"D-",IF(R557&lt;'PlayerGrades+'!$AH$14,"D",IF(R557&lt;'PlayerGrades+'!$AH$13,"D+",IF(R557&lt;'PlayerGrades+'!$AH$12,"C-",IF(R557&lt;'PlayerGrades+'!$AH$11,"C",IF(R557&lt;'PlayerGrades+'!$AH$10,"C+",IF(R557&lt;'PlayerGrades+'!$AH$9,"B-",IF(R557&lt;'PlayerGrades+'!$AH$8,"B",IF(R557&lt;'PlayerGrades+'!$AH$7,"B+",IF(R557&lt;'PlayerGrades+'!$AH$6,"A-",IF(R557&lt;'PlayerGrades+'!$AH$5,"A",IF(R557&lt;'PlayerGrades+'!$AH$4,"A+",IF(R557&lt;'PlayerGrades+'!$AH$3,"S-",IF(R557&lt;'PlayerGrades+'!$AH$2,"S","S+"))))))))))))))))))))</f>
        <v>B+</v>
      </c>
      <c r="T557" s="973">
        <f t="shared" si="9"/>
        <v>1.454054054</v>
      </c>
      <c r="U557" s="973" t="str">
        <f>IF(T557&lt;'PlayerGrades+'!$AI$21,"F-",IF(T557&lt;'PlayerGrades+'!$AI$20,"F",IF(T557&lt;'PlayerGrades+'!$AI$19,"F+",IF(T557&lt;'PlayerGrades+'!$AI$18,"E-",IF(T557&lt;'PlayerGrades+'!$AI$17,"E",IF(T557&lt;'PlayerGrades+'!$AI$16,"E+",IF(T557&lt;'PlayerGrades+'!$AI$15,"D-",IF(T557&lt;'PlayerGrades+'!$AI$14,"D",IF(T557&lt;'PlayerGrades+'!$AI$13,"D+",IF(T557&lt;'PlayerGrades+'!$AI$12,"C-",IF(T557&lt;'PlayerGrades+'!$AI$11,"C",IF(T557&lt;'PlayerGrades+'!$AI$10,"C+",IF(T557&lt;'PlayerGrades+'!$AI$9,"B-",IF(T557&lt;'PlayerGrades+'!$AI$8,"B",IF(T557&lt;'PlayerGrades+'!$AI$7,"B+",IF(T557&lt;'PlayerGrades+'!$AI$6,"A-",IF(T557&lt;'PlayerGrades+'!$AI$5,"A",IF(T557&lt;'PlayerGrades+'!$AI$4,"A+",IF(T557&lt;'PlayerGrades+'!$AI$3,"S-",IF(T557&lt;'PlayerGrades+'!$AI$2,"S","S+"))))))))))))))))))))</f>
        <v>B+</v>
      </c>
      <c r="V557" s="941">
        <v>1.0</v>
      </c>
      <c r="W557" s="941">
        <v>1.0</v>
      </c>
      <c r="X557" s="941">
        <v>0.0</v>
      </c>
      <c r="Y557" s="941">
        <v>0.0</v>
      </c>
      <c r="Z557" s="941">
        <v>0.0</v>
      </c>
      <c r="AA557" s="941">
        <v>61.0</v>
      </c>
      <c r="AB557" s="941">
        <v>63.0</v>
      </c>
      <c r="AC557" s="941">
        <v>-2.0</v>
      </c>
      <c r="AD557" s="941">
        <v>5.0</v>
      </c>
      <c r="AE557" s="941">
        <v>5.0</v>
      </c>
      <c r="AF557" s="941">
        <v>0.0</v>
      </c>
      <c r="AG557" s="941">
        <v>670.0</v>
      </c>
      <c r="AH557" s="941">
        <v>925.0</v>
      </c>
      <c r="AI557" s="941">
        <v>10.0</v>
      </c>
      <c r="AJ557" s="941">
        <v>4.0</v>
      </c>
      <c r="AK557" s="941">
        <v>0.0</v>
      </c>
      <c r="AL557" s="941">
        <v>1.0</v>
      </c>
      <c r="AM557" s="941">
        <v>0.0</v>
      </c>
      <c r="AN557" s="941">
        <v>0.0</v>
      </c>
      <c r="AO557" s="941">
        <v>0.0</v>
      </c>
      <c r="AP557" s="941">
        <v>1.0</v>
      </c>
      <c r="AQ557" s="941">
        <v>0.0</v>
      </c>
      <c r="AR557" s="941">
        <v>12.0</v>
      </c>
      <c r="AS557" s="941">
        <v>1.0</v>
      </c>
      <c r="AT557" s="941">
        <v>0.0</v>
      </c>
      <c r="AU557" s="941">
        <v>0.0</v>
      </c>
      <c r="AV557" s="941">
        <v>0.0</v>
      </c>
      <c r="AW557" s="941">
        <v>0.0</v>
      </c>
      <c r="AX557" s="941">
        <v>0.0</v>
      </c>
      <c r="AY557" s="941">
        <v>0.0</v>
      </c>
      <c r="AZ557" s="941">
        <v>0.0</v>
      </c>
      <c r="BA557" s="941">
        <v>0.0</v>
      </c>
      <c r="BB557" s="941">
        <v>2.0</v>
      </c>
      <c r="BC557" s="941">
        <v>0.0</v>
      </c>
      <c r="BD557" s="941">
        <v>4.0</v>
      </c>
      <c r="BE557" s="941">
        <v>7.0</v>
      </c>
      <c r="BF557" s="941">
        <v>1.0</v>
      </c>
      <c r="BG557" s="942">
        <v>0.0</v>
      </c>
    </row>
    <row r="558">
      <c r="A558" s="935" t="s">
        <v>118</v>
      </c>
      <c r="B558" s="421" t="str">
        <f>IF(C558&lt;'PlayerGrades+'!$Y$44,"F-",IF(C558&lt;'PlayerGrades+'!$Y$43,"F",IF(C558&lt;'PlayerGrades+'!$Y$42,"F+",IF(C558&lt;'PlayerGrades+'!$Y$41,"E-",IF(C558&lt;'PlayerGrades+'!$Y$40,"E",IF(C558&lt;'PlayerGrades+'!$Y$39,"E+",IF(C558&lt;'PlayerGrades+'!$Y$38,"D-",IF(C558&lt;'PlayerGrades+'!$Y$37,"D",IF(C558&lt;'PlayerGrades+'!$Y$36,"D+",IF(C558&lt;'PlayerGrades+'!$Y$35,"C-",IF(C558&lt;'PlayerGrades+'!$Y$34,"C",IF(C558&lt;'PlayerGrades+'!$Y$33,"C+",IF(C558&lt;'PlayerGrades+'!$Y$32,"B-",IF(C558&lt;'PlayerGrades+'!$Y$31,"B",IF(C558&lt;'PlayerGrades+'!$Y$30,"B+",IF(C558&lt;'PlayerGrades+'!$Y$29,"A-",IF(C558&lt;'PlayerGrades+'!$Y$28,"A",IF(C558&lt;'PlayerGrades+'!$Y$27,"A+",IF(C558&lt;'PlayerGrades+'!$Y$26,"S-",IF(C558&lt;'PlayerGrades+'!$Y$25,"S","S+"))))))))))))))))))))</f>
        <v>D</v>
      </c>
      <c r="C558" s="972">
        <f>('PlayerGrades+'!$Y$47*(VLOOKUP(E558, 'PlayerGrades+'!$X$3:$Y$23, 2, FALSE)))+('PlayerGrades+'!$Y$48*(VLOOKUP(G558, 'PlayerGrades+'!$X$3:$Y$23, 2, FALSE)))+('PlayerGrades+'!$Y$49*(VLOOKUP(I558, 'PlayerGrades+'!$X$3:$Y$23, 2, FALSE)))+('PlayerGrades+'!$Y$50*(VLOOKUP(K558, 'PlayerGrades+'!$X$3:$Y$23, 2, FALSE)))+('PlayerGrades+'!$Y$51*(VLOOKUP(M558, 'PlayerGrades+'!$X$3:$Y$23, 2, FALSE)))+('PlayerGrades+'!$Y$52*(VLOOKUP(O558, 'PlayerGrades+'!$X$3:$Y$23, 2, FALSE)))+('PlayerGrades+'!$Y$53*(VLOOKUP(Q558, 'PlayerGrades+'!$X$3:$Y$23, 2, FALSE)))+('PlayerGrades+'!$Y$54*(VLOOKUP(S558, 'PlayerGrades+'!$X$3:$Y$23, 2, FALSE)))+('PlayerGrades+'!$Y$55*(VLOOKUP(U558, 'PlayerGrades+'!$X$3:$Y$23, 2, FALSE)))</f>
        <v>17</v>
      </c>
      <c r="D558" s="973">
        <f t="shared" si="1"/>
        <v>0.1945945946</v>
      </c>
      <c r="E558" s="973" t="str">
        <f>IF(D558&lt;'PlayerGrades+'!$AA$21,"F-",IF(D558&lt;'PlayerGrades+'!$AA$20,"F",IF(D558&lt;'PlayerGrades+'!$AA$19,"F+",IF(D558&lt;'PlayerGrades+'!$AA$18,"E-",IF(D558&lt;'PlayerGrades+'!$AA$17,"E",IF(D558&lt;'PlayerGrades+'!$AA$16,"E+",IF(D558&lt;'PlayerGrades+'!$AA$15,"D-",IF(D558&lt;'PlayerGrades+'!$AA$14,"D",IF(D558&lt;'PlayerGrades+'!$AA$13,"D+",IF(D558&lt;'PlayerGrades+'!$AA$12,"C-",IF(D558&lt;'PlayerGrades+'!$AA$11,"C",IF(D558&lt;'PlayerGrades+'!$AA$10,"C+",IF(D558&lt;'PlayerGrades+'!$AA$9,"B-",IF(D558&lt;'PlayerGrades+'!$AA$8,"B",IF(D558&lt;'PlayerGrades+'!$AA$7,"B+",IF(D558&lt;'PlayerGrades+'!$AA$6,"A-",IF(D558&lt;'PlayerGrades+'!$AA$5,"A",IF(D558&lt;'PlayerGrades+'!$AA$4,"A+",IF(D558&lt;'PlayerGrades+'!$AA$3,"S-",IF(D558&lt;'PlayerGrades+'!$AA$2,"S","S+"))))))))))))))))))))</f>
        <v>B+</v>
      </c>
      <c r="F558" s="973">
        <f t="shared" si="2"/>
        <v>-0.7783783784</v>
      </c>
      <c r="G558" s="973" t="str">
        <f>IF(F558&lt;'PlayerGrades+'!$AB$21,"F-",IF(F558&lt;'PlayerGrades+'!$AB$20,"F",IF(F558&lt;'PlayerGrades+'!$AB$19,"F+",IF(F558&lt;'PlayerGrades+'!$AB$18,"E-",IF(F558&lt;'PlayerGrades+'!$AB$17,"E",IF(F558&lt;'PlayerGrades+'!$AB$16,"E+",IF(F558&lt;'PlayerGrades+'!$AB$15,"D-",IF(F558&lt;'PlayerGrades+'!$AB$14,"D",IF(F558&lt;'PlayerGrades+'!$AB$13,"D+",IF(F558&lt;'PlayerGrades+'!$AB$12,"C-",IF(F558&lt;'PlayerGrades+'!$AB$11,"C",IF(F558&lt;'PlayerGrades+'!$AB$10,"C+",IF(F558&lt;'PlayerGrades+'!$AB$9,"B-",IF(F558&lt;'PlayerGrades+'!$AB$8,"B",IF(F558&lt;'PlayerGrades+'!$AB$7,"B+",IF(F558&lt;'PlayerGrades+'!$AB$6,"A-",IF(F558&lt;'PlayerGrades+'!$AB$5,"A",IF(F558&lt;'PlayerGrades+'!$AB$4,"A+",IF(F558&lt;'PlayerGrades+'!$AB$3,"S-",IF(F558&lt;'PlayerGrades+'!$AB$2,"S","S+"))))))))))))))))))))</f>
        <v>E</v>
      </c>
      <c r="H558" s="973">
        <f t="shared" si="3"/>
        <v>0</v>
      </c>
      <c r="I558" s="973" t="str">
        <f>IF(H558&lt;'PlayerGrades+'!$AC$21,"F-",IF(H558&lt;'PlayerGrades+'!$AC$20,"F",IF(H558&lt;'PlayerGrades+'!$AC$19,"F+",IF(H558&lt;'PlayerGrades+'!$AC$18,"E-",IF(H558&lt;'PlayerGrades+'!$AC$17,"E",IF(H558&lt;'PlayerGrades+'!$AC$16,"E+",IF(H558&lt;'PlayerGrades+'!$AC$15,"D-",IF(H558&lt;'PlayerGrades+'!$AC$14,"D",IF(H558&lt;'PlayerGrades+'!$AC$13,"D+",IF(H558&lt;'PlayerGrades+'!$AC$12,"C-",IF(H558&lt;'PlayerGrades+'!$AC$11,"C",IF(H558&lt;'PlayerGrades+'!$AC$10,"C+",IF(H558&lt;'PlayerGrades+'!$AC$9,"B-",IF(H558&lt;'PlayerGrades+'!$AC$8,"B",IF(H558&lt;'PlayerGrades+'!$AC$7,"B+",IF(H558&lt;'PlayerGrades+'!$AC$6,"A-",IF(H558&lt;'PlayerGrades+'!$AC$5,"A",IF(H558&lt;'PlayerGrades+'!$AC$4,"A+",IF(H558&lt;'PlayerGrades+'!$AC$3,"S-",IF(H558&lt;'PlayerGrades+'!$AC$2,"S","S+"))))))))))))))))))))</f>
        <v>F-</v>
      </c>
      <c r="J558" s="973">
        <f t="shared" si="4"/>
        <v>0</v>
      </c>
      <c r="K558" s="973" t="str">
        <f>IF(J558&lt;'PlayerGrades+'!$AD$21,"F-",IF(J558&lt;'PlayerGrades+'!$AD$20,"F",IF(J558&lt;'PlayerGrades+'!$AD$19,"F+",IF(J558&lt;'PlayerGrades+'!$AD$18,"E-",IF(J558&lt;'PlayerGrades+'!$AD$17,"E",IF(J558&lt;'PlayerGrades+'!$AD$16,"E+",IF(J558&lt;'PlayerGrades+'!$AD$15,"D-",IF(J558&lt;'PlayerGrades+'!$AD$14,"D",IF(J558&lt;'PlayerGrades+'!$AD$13,"D+",IF(J558&lt;'PlayerGrades+'!$AD$12,"C-",IF(J558&lt;'PlayerGrades+'!$AD$11,"C",IF(J558&lt;'PlayerGrades+'!$AD$10,"C+",IF(J558&lt;'PlayerGrades+'!$AD$9,"B-",IF(J558&lt;'PlayerGrades+'!$AD$8,"B",IF(J558&lt;'PlayerGrades+'!$AD$7,"B+",IF(J558&lt;'PlayerGrades+'!$AD$6,"A-",IF(J558&lt;'PlayerGrades+'!$AD$5,"A",IF(J558&lt;'PlayerGrades+'!$AD$4,"A+",IF(J558&lt;'PlayerGrades+'!$AD$3,"S-",IF(J558&lt;'PlayerGrades+'!$AD$2,"S","S+"))))))))))))))))))))</f>
        <v>F-</v>
      </c>
      <c r="L558" s="974">
        <f t="shared" si="5"/>
        <v>0.3891891892</v>
      </c>
      <c r="M558" s="975" t="str">
        <f>IF(L558&lt;'PlayerGrades+'!$AE$21,"F-",IF(L558&lt;'PlayerGrades+'!$AE$20,"F",IF(L558&lt;'PlayerGrades+'!$AE$19,"F+",IF(L558&lt;'PlayerGrades+'!$AE$18,"E-",IF(L558&lt;'PlayerGrades+'!$AE$17,"E",IF(L558&lt;'PlayerGrades+'!$AE$16,"E+",IF(L558&lt;'PlayerGrades+'!$AE$15,"D-",IF(L558&lt;'PlayerGrades+'!$AE$14,"D",IF(L558&lt;'PlayerGrades+'!$AE$13,"D+",IF(L558&lt;'PlayerGrades+'!$AE$12,"C-",IF(L558&lt;'PlayerGrades+'!$AE$11,"C",IF(L558&lt;'PlayerGrades+'!$AE$10,"C+",IF(L558&lt;'PlayerGrades+'!$AE$9,"B-",IF(L558&lt;'PlayerGrades+'!$AE$8,"B",IF(L558&lt;'PlayerGrades+'!$AE$7,"B+",IF(L558&lt;'PlayerGrades+'!$AE$6,"A-",IF(L558&lt;'PlayerGrades+'!$AE$5,"A",IF(L558&lt;'PlayerGrades+'!$AE$4,"A+",IF(L558&lt;'PlayerGrades+'!$AE$3,"S-",IF(L558&lt;'PlayerGrades+'!$AE$2,"S","S+"))))))))))))))))))))</f>
        <v>C</v>
      </c>
      <c r="N558" s="973">
        <f t="shared" si="6"/>
        <v>0.06486486486</v>
      </c>
      <c r="O558" s="973" t="str">
        <f>IF(N558&lt;'PlayerGrades+'!$AF$21,"F-",IF(N558&lt;'PlayerGrades+'!$AF$20,"F",IF(N558&lt;'PlayerGrades+'!$AF$19,"F+",IF(N558&lt;'PlayerGrades+'!$AF$18,"E-",IF(N558&lt;'PlayerGrades+'!$AF$17,"E",IF(N558&lt;'PlayerGrades+'!$AF$16,"E+",IF(N558&lt;'PlayerGrades+'!$AF$15,"D-",IF(N558&lt;'PlayerGrades+'!$AF$14,"D",IF(N558&lt;'PlayerGrades+'!$AF$13,"D+",IF(N558&lt;'PlayerGrades+'!$AF$12,"C-",IF(N558&lt;'PlayerGrades+'!$AF$11,"C",IF(N558&lt;'PlayerGrades+'!$AF$10,"C+",IF(N558&lt;'PlayerGrades+'!$AF$9,"B-",IF(N558&lt;'PlayerGrades+'!$AF$8,"B",IF(N558&lt;'PlayerGrades+'!$AF$7,"B+",IF(N558&lt;'PlayerGrades+'!$AF$6,"A-",IF(N558&lt;'PlayerGrades+'!$AF$5,"A",IF(N558&lt;'PlayerGrades+'!$AF$4,"A+",IF(N558&lt;'PlayerGrades+'!$AF$3,"S-",IF(N558&lt;'PlayerGrades+'!$AF$2,"S","S+"))))))))))))))))))))</f>
        <v>C-</v>
      </c>
      <c r="P558" s="973">
        <f t="shared" si="7"/>
        <v>0</v>
      </c>
      <c r="Q558" s="973" t="str">
        <f>IF(P558&lt;'PlayerGrades+'!$AG$21,"F-",IF(P558&lt;'PlayerGrades+'!$AG$20,"F",IF(P558&lt;'PlayerGrades+'!$AG$19,"F+",IF(P558&lt;'PlayerGrades+'!$AG$18,"E-",IF(P558&lt;'PlayerGrades+'!$AG$17,"E",IF(P558&lt;'PlayerGrades+'!$AG$16,"E+",IF(P558&lt;'PlayerGrades+'!$AG$15,"D-",IF(P558&lt;'PlayerGrades+'!$AG$14,"D",IF(P558&lt;'PlayerGrades+'!$AG$13,"D+",IF(P558&lt;'PlayerGrades+'!$AG$12,"C-",IF(P558&lt;'PlayerGrades+'!$AG$11,"C",IF(P558&lt;'PlayerGrades+'!$AG$10,"C+",IF(P558&lt;'PlayerGrades+'!$AG$9,"B-",IF(P558&lt;'PlayerGrades+'!$AG$8,"B",IF(P558&lt;'PlayerGrades+'!$AG$7,"B+",IF(P558&lt;'PlayerGrades+'!$AG$6,"A-",IF(P558&lt;'PlayerGrades+'!$AG$5,"A",IF(P558&lt;'PlayerGrades+'!$AG$4,"A+",IF(P558&lt;'PlayerGrades+'!$AG$3,"S-",IF(P558&lt;'PlayerGrades+'!$AG$2,"S","S+"))))))))))))))))))))</f>
        <v>F</v>
      </c>
      <c r="R558" s="973">
        <f t="shared" si="8"/>
        <v>0.9081081081</v>
      </c>
      <c r="S558" s="973" t="str">
        <f>IF(R558&lt;'PlayerGrades+'!$AH$21,"F-",IF(R558&lt;'PlayerGrades+'!$AH$20,"F",IF(R558&lt;'PlayerGrades+'!$AH$19,"F+",IF(R558&lt;'PlayerGrades+'!$AH$18,"E-",IF(R558&lt;'PlayerGrades+'!$AH$17,"E",IF(R558&lt;'PlayerGrades+'!$AH$16,"E+",IF(R558&lt;'PlayerGrades+'!$AH$15,"D-",IF(R558&lt;'PlayerGrades+'!$AH$14,"D",IF(R558&lt;'PlayerGrades+'!$AH$13,"D+",IF(R558&lt;'PlayerGrades+'!$AH$12,"C-",IF(R558&lt;'PlayerGrades+'!$AH$11,"C",IF(R558&lt;'PlayerGrades+'!$AH$10,"C+",IF(R558&lt;'PlayerGrades+'!$AH$9,"B-",IF(R558&lt;'PlayerGrades+'!$AH$8,"B",IF(R558&lt;'PlayerGrades+'!$AH$7,"B+",IF(R558&lt;'PlayerGrades+'!$AH$6,"A-",IF(R558&lt;'PlayerGrades+'!$AH$5,"A",IF(R558&lt;'PlayerGrades+'!$AH$4,"A+",IF(R558&lt;'PlayerGrades+'!$AH$3,"S-",IF(R558&lt;'PlayerGrades+'!$AH$2,"S","S+"))))))))))))))))))))</f>
        <v>S+</v>
      </c>
      <c r="T558" s="973">
        <f t="shared" si="9"/>
        <v>0.1945945946</v>
      </c>
      <c r="U558" s="973" t="str">
        <f>IF(T558&lt;'PlayerGrades+'!$AI$21,"F-",IF(T558&lt;'PlayerGrades+'!$AI$20,"F",IF(T558&lt;'PlayerGrades+'!$AI$19,"F+",IF(T558&lt;'PlayerGrades+'!$AI$18,"E-",IF(T558&lt;'PlayerGrades+'!$AI$17,"E",IF(T558&lt;'PlayerGrades+'!$AI$16,"E+",IF(T558&lt;'PlayerGrades+'!$AI$15,"D-",IF(T558&lt;'PlayerGrades+'!$AI$14,"D",IF(T558&lt;'PlayerGrades+'!$AI$13,"D+",IF(T558&lt;'PlayerGrades+'!$AI$12,"C-",IF(T558&lt;'PlayerGrades+'!$AI$11,"C",IF(T558&lt;'PlayerGrades+'!$AI$10,"C+",IF(T558&lt;'PlayerGrades+'!$AI$9,"B-",IF(T558&lt;'PlayerGrades+'!$AI$8,"B",IF(T558&lt;'PlayerGrades+'!$AI$7,"B+",IF(T558&lt;'PlayerGrades+'!$AI$6,"A-",IF(T558&lt;'PlayerGrades+'!$AI$5,"A",IF(T558&lt;'PlayerGrades+'!$AI$4,"A+",IF(T558&lt;'PlayerGrades+'!$AI$3,"S-",IF(T558&lt;'PlayerGrades+'!$AI$2,"S","S+"))))))))))))))))))))</f>
        <v>F-</v>
      </c>
      <c r="V558" s="941">
        <v>1.0</v>
      </c>
      <c r="W558" s="941">
        <v>0.0</v>
      </c>
      <c r="X558" s="941">
        <v>1.0</v>
      </c>
      <c r="Y558" s="941">
        <v>0.0</v>
      </c>
      <c r="Z558" s="941">
        <v>3.0</v>
      </c>
      <c r="AA558" s="941">
        <v>40.0</v>
      </c>
      <c r="AB558" s="941">
        <v>52.0</v>
      </c>
      <c r="AC558" s="941">
        <v>-12.0</v>
      </c>
      <c r="AD558" s="941">
        <v>3.0</v>
      </c>
      <c r="AE558" s="941">
        <v>3.0</v>
      </c>
      <c r="AF558" s="941">
        <v>2.0</v>
      </c>
      <c r="AG558" s="941">
        <v>703.0</v>
      </c>
      <c r="AH558" s="941">
        <v>925.0</v>
      </c>
      <c r="AI558" s="941">
        <v>13.0</v>
      </c>
      <c r="AJ558" s="941">
        <v>111.0</v>
      </c>
      <c r="AK558" s="941">
        <v>0.0</v>
      </c>
      <c r="AL558" s="941">
        <v>0.0</v>
      </c>
      <c r="AM558" s="941">
        <v>0.0</v>
      </c>
      <c r="AN558" s="941">
        <v>0.0</v>
      </c>
      <c r="AO558" s="941">
        <v>0.0</v>
      </c>
      <c r="AP558" s="941">
        <v>0.0</v>
      </c>
      <c r="AQ558" s="941">
        <v>0.0</v>
      </c>
      <c r="AR558" s="941">
        <v>6.0</v>
      </c>
      <c r="AS558" s="941">
        <v>1.0</v>
      </c>
      <c r="AT558" s="941">
        <v>0.0</v>
      </c>
      <c r="AU558" s="941">
        <v>0.0</v>
      </c>
      <c r="AV558" s="941">
        <v>0.0</v>
      </c>
      <c r="AW558" s="941">
        <v>0.0</v>
      </c>
      <c r="AX558" s="941">
        <v>0.0</v>
      </c>
      <c r="AY558" s="941">
        <v>0.0</v>
      </c>
      <c r="AZ558" s="941">
        <v>0.0</v>
      </c>
      <c r="BA558" s="941">
        <v>0.0</v>
      </c>
      <c r="BB558" s="941">
        <v>0.0</v>
      </c>
      <c r="BC558" s="941">
        <v>0.0</v>
      </c>
      <c r="BD558" s="941">
        <v>11.0</v>
      </c>
      <c r="BE558" s="941">
        <v>3.0</v>
      </c>
      <c r="BF558" s="941">
        <v>0.0</v>
      </c>
      <c r="BG558" s="942">
        <v>1.0</v>
      </c>
    </row>
    <row r="559">
      <c r="A559" s="935" t="s">
        <v>129</v>
      </c>
      <c r="B559" s="421" t="str">
        <f>IF(C559&lt;'PlayerGrades+'!$Y$44,"F-",IF(C559&lt;'PlayerGrades+'!$Y$43,"F",IF(C559&lt;'PlayerGrades+'!$Y$42,"F+",IF(C559&lt;'PlayerGrades+'!$Y$41,"E-",IF(C559&lt;'PlayerGrades+'!$Y$40,"E",IF(C559&lt;'PlayerGrades+'!$Y$39,"E+",IF(C559&lt;'PlayerGrades+'!$Y$38,"D-",IF(C559&lt;'PlayerGrades+'!$Y$37,"D",IF(C559&lt;'PlayerGrades+'!$Y$36,"D+",IF(C559&lt;'PlayerGrades+'!$Y$35,"C-",IF(C559&lt;'PlayerGrades+'!$Y$34,"C",IF(C559&lt;'PlayerGrades+'!$Y$33,"C+",IF(C559&lt;'PlayerGrades+'!$Y$32,"B-",IF(C559&lt;'PlayerGrades+'!$Y$31,"B",IF(C559&lt;'PlayerGrades+'!$Y$30,"B+",IF(C559&lt;'PlayerGrades+'!$Y$29,"A-",IF(C559&lt;'PlayerGrades+'!$Y$28,"A",IF(C559&lt;'PlayerGrades+'!$Y$27,"A+",IF(C559&lt;'PlayerGrades+'!$Y$26,"S-",IF(C559&lt;'PlayerGrades+'!$Y$25,"S","S+"))))))))))))))))))))</f>
        <v>C+</v>
      </c>
      <c r="C559" s="972">
        <f>('PlayerGrades+'!$Y$47*(VLOOKUP(E559, 'PlayerGrades+'!$X$3:$Y$23, 2, FALSE)))+('PlayerGrades+'!$Y$48*(VLOOKUP(G559, 'PlayerGrades+'!$X$3:$Y$23, 2, FALSE)))+('PlayerGrades+'!$Y$49*(VLOOKUP(I559, 'PlayerGrades+'!$X$3:$Y$23, 2, FALSE)))+('PlayerGrades+'!$Y$50*(VLOOKUP(K559, 'PlayerGrades+'!$X$3:$Y$23, 2, FALSE)))+('PlayerGrades+'!$Y$51*(VLOOKUP(M559, 'PlayerGrades+'!$X$3:$Y$23, 2, FALSE)))+('PlayerGrades+'!$Y$52*(VLOOKUP(O559, 'PlayerGrades+'!$X$3:$Y$23, 2, FALSE)))+('PlayerGrades+'!$Y$53*(VLOOKUP(Q559, 'PlayerGrades+'!$X$3:$Y$23, 2, FALSE)))+('PlayerGrades+'!$Y$54*(VLOOKUP(S559, 'PlayerGrades+'!$X$3:$Y$23, 2, FALSE)))+('PlayerGrades+'!$Y$55*(VLOOKUP(U559, 'PlayerGrades+'!$X$3:$Y$23, 2, FALSE)))</f>
        <v>20.8</v>
      </c>
      <c r="D559" s="973">
        <f t="shared" si="1"/>
        <v>0.06486486486</v>
      </c>
      <c r="E559" s="973" t="str">
        <f>IF(D559&lt;'PlayerGrades+'!$AA$21,"F-",IF(D559&lt;'PlayerGrades+'!$AA$20,"F",IF(D559&lt;'PlayerGrades+'!$AA$19,"F+",IF(D559&lt;'PlayerGrades+'!$AA$18,"E-",IF(D559&lt;'PlayerGrades+'!$AA$17,"E",IF(D559&lt;'PlayerGrades+'!$AA$16,"E+",IF(D559&lt;'PlayerGrades+'!$AA$15,"D-",IF(D559&lt;'PlayerGrades+'!$AA$14,"D",IF(D559&lt;'PlayerGrades+'!$AA$13,"D+",IF(D559&lt;'PlayerGrades+'!$AA$12,"C-",IF(D559&lt;'PlayerGrades+'!$AA$11,"C",IF(D559&lt;'PlayerGrades+'!$AA$10,"C+",IF(D559&lt;'PlayerGrades+'!$AA$9,"B-",IF(D559&lt;'PlayerGrades+'!$AA$8,"B",IF(D559&lt;'PlayerGrades+'!$AA$7,"B+",IF(D559&lt;'PlayerGrades+'!$AA$6,"A-",IF(D559&lt;'PlayerGrades+'!$AA$5,"A",IF(D559&lt;'PlayerGrades+'!$AA$4,"A+",IF(D559&lt;'PlayerGrades+'!$AA$3,"S-",IF(D559&lt;'PlayerGrades+'!$AA$2,"S","S+"))))))))))))))))))))</f>
        <v>B-</v>
      </c>
      <c r="F559" s="973">
        <f t="shared" si="2"/>
        <v>-0.3891891892</v>
      </c>
      <c r="G559" s="973" t="str">
        <f>IF(F559&lt;'PlayerGrades+'!$AB$21,"F-",IF(F559&lt;'PlayerGrades+'!$AB$20,"F",IF(F559&lt;'PlayerGrades+'!$AB$19,"F+",IF(F559&lt;'PlayerGrades+'!$AB$18,"E-",IF(F559&lt;'PlayerGrades+'!$AB$17,"E",IF(F559&lt;'PlayerGrades+'!$AB$16,"E+",IF(F559&lt;'PlayerGrades+'!$AB$15,"D-",IF(F559&lt;'PlayerGrades+'!$AB$14,"D",IF(F559&lt;'PlayerGrades+'!$AB$13,"D+",IF(F559&lt;'PlayerGrades+'!$AB$12,"C-",IF(F559&lt;'PlayerGrades+'!$AB$11,"C",IF(F559&lt;'PlayerGrades+'!$AB$10,"C+",IF(F559&lt;'PlayerGrades+'!$AB$9,"B-",IF(F559&lt;'PlayerGrades+'!$AB$8,"B",IF(F559&lt;'PlayerGrades+'!$AB$7,"B+",IF(F559&lt;'PlayerGrades+'!$AB$6,"A-",IF(F559&lt;'PlayerGrades+'!$AB$5,"A",IF(F559&lt;'PlayerGrades+'!$AB$4,"A+",IF(F559&lt;'PlayerGrades+'!$AB$3,"S-",IF(F559&lt;'PlayerGrades+'!$AB$2,"S","S+"))))))))))))))))))))</f>
        <v>D+</v>
      </c>
      <c r="H559" s="973">
        <f t="shared" si="3"/>
        <v>0.1297297297</v>
      </c>
      <c r="I559" s="973" t="str">
        <f>IF(H559&lt;'PlayerGrades+'!$AC$21,"F-",IF(H559&lt;'PlayerGrades+'!$AC$20,"F",IF(H559&lt;'PlayerGrades+'!$AC$19,"F+",IF(H559&lt;'PlayerGrades+'!$AC$18,"E-",IF(H559&lt;'PlayerGrades+'!$AC$17,"E",IF(H559&lt;'PlayerGrades+'!$AC$16,"E+",IF(H559&lt;'PlayerGrades+'!$AC$15,"D-",IF(H559&lt;'PlayerGrades+'!$AC$14,"D",IF(H559&lt;'PlayerGrades+'!$AC$13,"D+",IF(H559&lt;'PlayerGrades+'!$AC$12,"C-",IF(H559&lt;'PlayerGrades+'!$AC$11,"C",IF(H559&lt;'PlayerGrades+'!$AC$10,"C+",IF(H559&lt;'PlayerGrades+'!$AC$9,"B-",IF(H559&lt;'PlayerGrades+'!$AC$8,"B",IF(H559&lt;'PlayerGrades+'!$AC$7,"B+",IF(H559&lt;'PlayerGrades+'!$AC$6,"A-",IF(H559&lt;'PlayerGrades+'!$AC$5,"A",IF(H559&lt;'PlayerGrades+'!$AC$4,"A+",IF(H559&lt;'PlayerGrades+'!$AC$3,"S-",IF(H559&lt;'PlayerGrades+'!$AC$2,"S","S+"))))))))))))))))))))</f>
        <v>B</v>
      </c>
      <c r="J559" s="973">
        <f t="shared" si="4"/>
        <v>0.06486486486</v>
      </c>
      <c r="K559" s="973" t="str">
        <f>IF(J559&lt;'PlayerGrades+'!$AD$21,"F-",IF(J559&lt;'PlayerGrades+'!$AD$20,"F",IF(J559&lt;'PlayerGrades+'!$AD$19,"F+",IF(J559&lt;'PlayerGrades+'!$AD$18,"E-",IF(J559&lt;'PlayerGrades+'!$AD$17,"E",IF(J559&lt;'PlayerGrades+'!$AD$16,"E+",IF(J559&lt;'PlayerGrades+'!$AD$15,"D-",IF(J559&lt;'PlayerGrades+'!$AD$14,"D",IF(J559&lt;'PlayerGrades+'!$AD$13,"D+",IF(J559&lt;'PlayerGrades+'!$AD$12,"C-",IF(J559&lt;'PlayerGrades+'!$AD$11,"C",IF(J559&lt;'PlayerGrades+'!$AD$10,"C+",IF(J559&lt;'PlayerGrades+'!$AD$9,"B-",IF(J559&lt;'PlayerGrades+'!$AD$8,"B",IF(J559&lt;'PlayerGrades+'!$AD$7,"B+",IF(J559&lt;'PlayerGrades+'!$AD$6,"A-",IF(J559&lt;'PlayerGrades+'!$AD$5,"A",IF(J559&lt;'PlayerGrades+'!$AD$4,"A+",IF(J559&lt;'PlayerGrades+'!$AD$3,"S-",IF(J559&lt;'PlayerGrades+'!$AD$2,"S","S+"))))))))))))))))))))</f>
        <v>A-</v>
      </c>
      <c r="L559" s="974">
        <f t="shared" si="5"/>
        <v>0.2594594595</v>
      </c>
      <c r="M559" s="975" t="str">
        <f>IF(L559&lt;'PlayerGrades+'!$AE$21,"F-",IF(L559&lt;'PlayerGrades+'!$AE$20,"F",IF(L559&lt;'PlayerGrades+'!$AE$19,"F+",IF(L559&lt;'PlayerGrades+'!$AE$18,"E-",IF(L559&lt;'PlayerGrades+'!$AE$17,"E",IF(L559&lt;'PlayerGrades+'!$AE$16,"E+",IF(L559&lt;'PlayerGrades+'!$AE$15,"D-",IF(L559&lt;'PlayerGrades+'!$AE$14,"D",IF(L559&lt;'PlayerGrades+'!$AE$13,"D+",IF(L559&lt;'PlayerGrades+'!$AE$12,"C-",IF(L559&lt;'PlayerGrades+'!$AE$11,"C",IF(L559&lt;'PlayerGrades+'!$AE$10,"C+",IF(L559&lt;'PlayerGrades+'!$AE$9,"B-",IF(L559&lt;'PlayerGrades+'!$AE$8,"B",IF(L559&lt;'PlayerGrades+'!$AE$7,"B+",IF(L559&lt;'PlayerGrades+'!$AE$6,"A-",IF(L559&lt;'PlayerGrades+'!$AE$5,"A",IF(L559&lt;'PlayerGrades+'!$AE$4,"A+",IF(L559&lt;'PlayerGrades+'!$AE$3,"S-",IF(L559&lt;'PlayerGrades+'!$AE$2,"S","S+"))))))))))))))))))))</f>
        <v>F</v>
      </c>
      <c r="N559" s="973">
        <f t="shared" si="6"/>
        <v>0</v>
      </c>
      <c r="O559" s="973" t="str">
        <f>IF(N559&lt;'PlayerGrades+'!$AF$21,"F-",IF(N559&lt;'PlayerGrades+'!$AF$20,"F",IF(N559&lt;'PlayerGrades+'!$AF$19,"F+",IF(N559&lt;'PlayerGrades+'!$AF$18,"E-",IF(N559&lt;'PlayerGrades+'!$AF$17,"E",IF(N559&lt;'PlayerGrades+'!$AF$16,"E+",IF(N559&lt;'PlayerGrades+'!$AF$15,"D-",IF(N559&lt;'PlayerGrades+'!$AF$14,"D",IF(N559&lt;'PlayerGrades+'!$AF$13,"D+",IF(N559&lt;'PlayerGrades+'!$AF$12,"C-",IF(N559&lt;'PlayerGrades+'!$AF$11,"C",IF(N559&lt;'PlayerGrades+'!$AF$10,"C+",IF(N559&lt;'PlayerGrades+'!$AF$9,"B-",IF(N559&lt;'PlayerGrades+'!$AF$8,"B",IF(N559&lt;'PlayerGrades+'!$AF$7,"B+",IF(N559&lt;'PlayerGrades+'!$AF$6,"A-",IF(N559&lt;'PlayerGrades+'!$AF$5,"A",IF(N559&lt;'PlayerGrades+'!$AF$4,"A+",IF(N559&lt;'PlayerGrades+'!$AF$3,"S-",IF(N559&lt;'PlayerGrades+'!$AF$2,"S","S+"))))))))))))))))))))</f>
        <v>F-</v>
      </c>
      <c r="P559" s="973">
        <f t="shared" si="7"/>
        <v>0.06486486486</v>
      </c>
      <c r="Q559" s="973" t="str">
        <f>IF(P559&lt;'PlayerGrades+'!$AG$21,"F-",IF(P559&lt;'PlayerGrades+'!$AG$20,"F",IF(P559&lt;'PlayerGrades+'!$AG$19,"F+",IF(P559&lt;'PlayerGrades+'!$AG$18,"E-",IF(P559&lt;'PlayerGrades+'!$AG$17,"E",IF(P559&lt;'PlayerGrades+'!$AG$16,"E+",IF(P559&lt;'PlayerGrades+'!$AG$15,"D-",IF(P559&lt;'PlayerGrades+'!$AG$14,"D",IF(P559&lt;'PlayerGrades+'!$AG$13,"D+",IF(P559&lt;'PlayerGrades+'!$AG$12,"C-",IF(P559&lt;'PlayerGrades+'!$AG$11,"C",IF(P559&lt;'PlayerGrades+'!$AG$10,"C+",IF(P559&lt;'PlayerGrades+'!$AG$9,"B-",IF(P559&lt;'PlayerGrades+'!$AG$8,"B",IF(P559&lt;'PlayerGrades+'!$AG$7,"B+",IF(P559&lt;'PlayerGrades+'!$AG$6,"A-",IF(P559&lt;'PlayerGrades+'!$AG$5,"A",IF(P559&lt;'PlayerGrades+'!$AG$4,"A+",IF(P559&lt;'PlayerGrades+'!$AG$3,"S-",IF(P559&lt;'PlayerGrades+'!$AG$2,"S","S+"))))))))))))))))))))</f>
        <v>A+</v>
      </c>
      <c r="R559" s="973">
        <f t="shared" si="8"/>
        <v>0.9081081081</v>
      </c>
      <c r="S559" s="973" t="str">
        <f>IF(R559&lt;'PlayerGrades+'!$AH$21,"F-",IF(R559&lt;'PlayerGrades+'!$AH$20,"F",IF(R559&lt;'PlayerGrades+'!$AH$19,"F+",IF(R559&lt;'PlayerGrades+'!$AH$18,"E-",IF(R559&lt;'PlayerGrades+'!$AH$17,"E",IF(R559&lt;'PlayerGrades+'!$AH$16,"E+",IF(R559&lt;'PlayerGrades+'!$AH$15,"D-",IF(R559&lt;'PlayerGrades+'!$AH$14,"D",IF(R559&lt;'PlayerGrades+'!$AH$13,"D+",IF(R559&lt;'PlayerGrades+'!$AH$12,"C-",IF(R559&lt;'PlayerGrades+'!$AH$11,"C",IF(R559&lt;'PlayerGrades+'!$AH$10,"C+",IF(R559&lt;'PlayerGrades+'!$AH$9,"B-",IF(R559&lt;'PlayerGrades+'!$AH$8,"B",IF(R559&lt;'PlayerGrades+'!$AH$7,"B+",IF(R559&lt;'PlayerGrades+'!$AH$6,"A-",IF(R559&lt;'PlayerGrades+'!$AH$5,"A",IF(R559&lt;'PlayerGrades+'!$AH$4,"A+",IF(R559&lt;'PlayerGrades+'!$AH$3,"S-",IF(R559&lt;'PlayerGrades+'!$AH$2,"S","S+"))))))))))))))))))))</f>
        <v>S+</v>
      </c>
      <c r="T559" s="973">
        <f t="shared" si="9"/>
        <v>2.518918919</v>
      </c>
      <c r="U559" s="973" t="str">
        <f>IF(T559&lt;'PlayerGrades+'!$AI$21,"F-",IF(T559&lt;'PlayerGrades+'!$AI$20,"F",IF(T559&lt;'PlayerGrades+'!$AI$19,"F+",IF(T559&lt;'PlayerGrades+'!$AI$18,"E-",IF(T559&lt;'PlayerGrades+'!$AI$17,"E",IF(T559&lt;'PlayerGrades+'!$AI$16,"E+",IF(T559&lt;'PlayerGrades+'!$AI$15,"D-",IF(T559&lt;'PlayerGrades+'!$AI$14,"D",IF(T559&lt;'PlayerGrades+'!$AI$13,"D+",IF(T559&lt;'PlayerGrades+'!$AI$12,"C-",IF(T559&lt;'PlayerGrades+'!$AI$11,"C",IF(T559&lt;'PlayerGrades+'!$AI$10,"C+",IF(T559&lt;'PlayerGrades+'!$AI$9,"B-",IF(T559&lt;'PlayerGrades+'!$AI$8,"B",IF(T559&lt;'PlayerGrades+'!$AI$7,"B+",IF(T559&lt;'PlayerGrades+'!$AI$6,"A-",IF(T559&lt;'PlayerGrades+'!$AI$5,"A",IF(T559&lt;'PlayerGrades+'!$AI$4,"A+",IF(T559&lt;'PlayerGrades+'!$AI$3,"S-",IF(T559&lt;'PlayerGrades+'!$AI$2,"S","S+"))))))))))))))))))))</f>
        <v>S+</v>
      </c>
      <c r="V559" s="941">
        <v>1.0</v>
      </c>
      <c r="W559" s="941">
        <v>0.0</v>
      </c>
      <c r="X559" s="941">
        <v>1.0</v>
      </c>
      <c r="Y559" s="941">
        <v>0.0</v>
      </c>
      <c r="Z559" s="941">
        <v>1.0</v>
      </c>
      <c r="AA559" s="941">
        <v>44.0</v>
      </c>
      <c r="AB559" s="941">
        <v>50.0</v>
      </c>
      <c r="AC559" s="941">
        <v>-6.0</v>
      </c>
      <c r="AD559" s="941">
        <v>5.0</v>
      </c>
      <c r="AE559" s="941">
        <v>5.0</v>
      </c>
      <c r="AF559" s="941">
        <v>0.0</v>
      </c>
      <c r="AG559" s="941">
        <v>714.0</v>
      </c>
      <c r="AH559" s="941">
        <v>925.0</v>
      </c>
      <c r="AI559" s="941">
        <v>14.0</v>
      </c>
      <c r="AJ559" s="941">
        <v>16.0</v>
      </c>
      <c r="AK559" s="941">
        <v>0.0</v>
      </c>
      <c r="AL559" s="941">
        <v>1.0</v>
      </c>
      <c r="AM559" s="941">
        <v>0.0</v>
      </c>
      <c r="AN559" s="941">
        <v>0.0</v>
      </c>
      <c r="AO559" s="941">
        <v>0.0</v>
      </c>
      <c r="AP559" s="941">
        <v>1.0</v>
      </c>
      <c r="AQ559" s="941">
        <v>0.0</v>
      </c>
      <c r="AR559" s="941">
        <v>4.0</v>
      </c>
      <c r="AS559" s="941">
        <v>0.0</v>
      </c>
      <c r="AT559" s="941">
        <v>0.0</v>
      </c>
      <c r="AU559" s="941">
        <v>0.0</v>
      </c>
      <c r="AV559" s="941">
        <v>0.0</v>
      </c>
      <c r="AW559" s="941">
        <v>0.0</v>
      </c>
      <c r="AX559" s="941">
        <v>0.0</v>
      </c>
      <c r="AY559" s="941">
        <v>0.0</v>
      </c>
      <c r="AZ559" s="941">
        <v>0.0</v>
      </c>
      <c r="BA559" s="941">
        <v>0.0</v>
      </c>
      <c r="BB559" s="941">
        <v>2.0</v>
      </c>
      <c r="BC559" s="941">
        <v>0.0</v>
      </c>
      <c r="BD559" s="941">
        <v>9.0</v>
      </c>
      <c r="BE559" s="941">
        <v>8.0</v>
      </c>
      <c r="BF559" s="941">
        <v>2.0</v>
      </c>
      <c r="BG559" s="942">
        <v>1.0</v>
      </c>
    </row>
    <row r="560">
      <c r="A560" s="935" t="s">
        <v>151</v>
      </c>
      <c r="B560" s="421" t="str">
        <f>IF(C560&lt;'PlayerGrades+'!$Y$44,"F-",IF(C560&lt;'PlayerGrades+'!$Y$43,"F",IF(C560&lt;'PlayerGrades+'!$Y$42,"F+",IF(C560&lt;'PlayerGrades+'!$Y$41,"E-",IF(C560&lt;'PlayerGrades+'!$Y$40,"E",IF(C560&lt;'PlayerGrades+'!$Y$39,"E+",IF(C560&lt;'PlayerGrades+'!$Y$38,"D-",IF(C560&lt;'PlayerGrades+'!$Y$37,"D",IF(C560&lt;'PlayerGrades+'!$Y$36,"D+",IF(C560&lt;'PlayerGrades+'!$Y$35,"C-",IF(C560&lt;'PlayerGrades+'!$Y$34,"C",IF(C560&lt;'PlayerGrades+'!$Y$33,"C+",IF(C560&lt;'PlayerGrades+'!$Y$32,"B-",IF(C560&lt;'PlayerGrades+'!$Y$31,"B",IF(C560&lt;'PlayerGrades+'!$Y$30,"B+",IF(C560&lt;'PlayerGrades+'!$Y$29,"A-",IF(C560&lt;'PlayerGrades+'!$Y$28,"A",IF(C560&lt;'PlayerGrades+'!$Y$27,"A+",IF(C560&lt;'PlayerGrades+'!$Y$26,"S-",IF(C560&lt;'PlayerGrades+'!$Y$25,"S","S+"))))))))))))))))))))</f>
        <v>D-</v>
      </c>
      <c r="C560" s="972">
        <f>('PlayerGrades+'!$Y$47*(VLOOKUP(E560, 'PlayerGrades+'!$X$3:$Y$23, 2, FALSE)))+('PlayerGrades+'!$Y$48*(VLOOKUP(G560, 'PlayerGrades+'!$X$3:$Y$23, 2, FALSE)))+('PlayerGrades+'!$Y$49*(VLOOKUP(I560, 'PlayerGrades+'!$X$3:$Y$23, 2, FALSE)))+('PlayerGrades+'!$Y$50*(VLOOKUP(K560, 'PlayerGrades+'!$X$3:$Y$23, 2, FALSE)))+('PlayerGrades+'!$Y$51*(VLOOKUP(M560, 'PlayerGrades+'!$X$3:$Y$23, 2, FALSE)))+('PlayerGrades+'!$Y$52*(VLOOKUP(O560, 'PlayerGrades+'!$X$3:$Y$23, 2, FALSE)))+('PlayerGrades+'!$Y$53*(VLOOKUP(Q560, 'PlayerGrades+'!$X$3:$Y$23, 2, FALSE)))+('PlayerGrades+'!$Y$54*(VLOOKUP(S560, 'PlayerGrades+'!$X$3:$Y$23, 2, FALSE)))+('PlayerGrades+'!$Y$55*(VLOOKUP(U560, 'PlayerGrades+'!$X$3:$Y$23, 2, FALSE)))</f>
        <v>15.15</v>
      </c>
      <c r="D560" s="973">
        <f t="shared" si="1"/>
        <v>0.06486486486</v>
      </c>
      <c r="E560" s="973" t="str">
        <f>IF(D560&lt;'PlayerGrades+'!$AA$21,"F-",IF(D560&lt;'PlayerGrades+'!$AA$20,"F",IF(D560&lt;'PlayerGrades+'!$AA$19,"F+",IF(D560&lt;'PlayerGrades+'!$AA$18,"E-",IF(D560&lt;'PlayerGrades+'!$AA$17,"E",IF(D560&lt;'PlayerGrades+'!$AA$16,"E+",IF(D560&lt;'PlayerGrades+'!$AA$15,"D-",IF(D560&lt;'PlayerGrades+'!$AA$14,"D",IF(D560&lt;'PlayerGrades+'!$AA$13,"D+",IF(D560&lt;'PlayerGrades+'!$AA$12,"C-",IF(D560&lt;'PlayerGrades+'!$AA$11,"C",IF(D560&lt;'PlayerGrades+'!$AA$10,"C+",IF(D560&lt;'PlayerGrades+'!$AA$9,"B-",IF(D560&lt;'PlayerGrades+'!$AA$8,"B",IF(D560&lt;'PlayerGrades+'!$AA$7,"B+",IF(D560&lt;'PlayerGrades+'!$AA$6,"A-",IF(D560&lt;'PlayerGrades+'!$AA$5,"A",IF(D560&lt;'PlayerGrades+'!$AA$4,"A+",IF(D560&lt;'PlayerGrades+'!$AA$3,"S-",IF(D560&lt;'PlayerGrades+'!$AA$2,"S","S+"))))))))))))))))))))</f>
        <v>B-</v>
      </c>
      <c r="F560" s="973">
        <f t="shared" si="2"/>
        <v>-0.7135135135</v>
      </c>
      <c r="G560" s="973" t="str">
        <f>IF(F560&lt;'PlayerGrades+'!$AB$21,"F-",IF(F560&lt;'PlayerGrades+'!$AB$20,"F",IF(F560&lt;'PlayerGrades+'!$AB$19,"F+",IF(F560&lt;'PlayerGrades+'!$AB$18,"E-",IF(F560&lt;'PlayerGrades+'!$AB$17,"E",IF(F560&lt;'PlayerGrades+'!$AB$16,"E+",IF(F560&lt;'PlayerGrades+'!$AB$15,"D-",IF(F560&lt;'PlayerGrades+'!$AB$14,"D",IF(F560&lt;'PlayerGrades+'!$AB$13,"D+",IF(F560&lt;'PlayerGrades+'!$AB$12,"C-",IF(F560&lt;'PlayerGrades+'!$AB$11,"C",IF(F560&lt;'PlayerGrades+'!$AB$10,"C+",IF(F560&lt;'PlayerGrades+'!$AB$9,"B-",IF(F560&lt;'PlayerGrades+'!$AB$8,"B",IF(F560&lt;'PlayerGrades+'!$AB$7,"B+",IF(F560&lt;'PlayerGrades+'!$AB$6,"A-",IF(F560&lt;'PlayerGrades+'!$AB$5,"A",IF(F560&lt;'PlayerGrades+'!$AB$4,"A+",IF(F560&lt;'PlayerGrades+'!$AB$3,"S-",IF(F560&lt;'PlayerGrades+'!$AB$2,"S","S+"))))))))))))))))))))</f>
        <v>E+</v>
      </c>
      <c r="H560" s="973">
        <f t="shared" si="3"/>
        <v>0.06486486486</v>
      </c>
      <c r="I560" s="973" t="str">
        <f>IF(H560&lt;'PlayerGrades+'!$AC$21,"F-",IF(H560&lt;'PlayerGrades+'!$AC$20,"F",IF(H560&lt;'PlayerGrades+'!$AC$19,"F+",IF(H560&lt;'PlayerGrades+'!$AC$18,"E-",IF(H560&lt;'PlayerGrades+'!$AC$17,"E",IF(H560&lt;'PlayerGrades+'!$AC$16,"E+",IF(H560&lt;'PlayerGrades+'!$AC$15,"D-",IF(H560&lt;'PlayerGrades+'!$AC$14,"D",IF(H560&lt;'PlayerGrades+'!$AC$13,"D+",IF(H560&lt;'PlayerGrades+'!$AC$12,"C-",IF(H560&lt;'PlayerGrades+'!$AC$11,"C",IF(H560&lt;'PlayerGrades+'!$AC$10,"C+",IF(H560&lt;'PlayerGrades+'!$AC$9,"B-",IF(H560&lt;'PlayerGrades+'!$AC$8,"B",IF(H560&lt;'PlayerGrades+'!$AC$7,"B+",IF(H560&lt;'PlayerGrades+'!$AC$6,"A-",IF(H560&lt;'PlayerGrades+'!$AC$5,"A",IF(H560&lt;'PlayerGrades+'!$AC$4,"A+",IF(H560&lt;'PlayerGrades+'!$AC$3,"S-",IF(H560&lt;'PlayerGrades+'!$AC$2,"S","S+"))))))))))))))))))))</f>
        <v>E</v>
      </c>
      <c r="J560" s="973">
        <f t="shared" si="4"/>
        <v>0</v>
      </c>
      <c r="K560" s="973" t="str">
        <f>IF(J560&lt;'PlayerGrades+'!$AD$21,"F-",IF(J560&lt;'PlayerGrades+'!$AD$20,"F",IF(J560&lt;'PlayerGrades+'!$AD$19,"F+",IF(J560&lt;'PlayerGrades+'!$AD$18,"E-",IF(J560&lt;'PlayerGrades+'!$AD$17,"E",IF(J560&lt;'PlayerGrades+'!$AD$16,"E+",IF(J560&lt;'PlayerGrades+'!$AD$15,"D-",IF(J560&lt;'PlayerGrades+'!$AD$14,"D",IF(J560&lt;'PlayerGrades+'!$AD$13,"D+",IF(J560&lt;'PlayerGrades+'!$AD$12,"C-",IF(J560&lt;'PlayerGrades+'!$AD$11,"C",IF(J560&lt;'PlayerGrades+'!$AD$10,"C+",IF(J560&lt;'PlayerGrades+'!$AD$9,"B-",IF(J560&lt;'PlayerGrades+'!$AD$8,"B",IF(J560&lt;'PlayerGrades+'!$AD$7,"B+",IF(J560&lt;'PlayerGrades+'!$AD$6,"A-",IF(J560&lt;'PlayerGrades+'!$AD$5,"A",IF(J560&lt;'PlayerGrades+'!$AD$4,"A+",IF(J560&lt;'PlayerGrades+'!$AD$3,"S-",IF(J560&lt;'PlayerGrades+'!$AD$2,"S","S+"))))))))))))))))))))</f>
        <v>F-</v>
      </c>
      <c r="L560" s="974">
        <f t="shared" si="5"/>
        <v>0.2594594595</v>
      </c>
      <c r="M560" s="975" t="str">
        <f>IF(L560&lt;'PlayerGrades+'!$AE$21,"F-",IF(L560&lt;'PlayerGrades+'!$AE$20,"F",IF(L560&lt;'PlayerGrades+'!$AE$19,"F+",IF(L560&lt;'PlayerGrades+'!$AE$18,"E-",IF(L560&lt;'PlayerGrades+'!$AE$17,"E",IF(L560&lt;'PlayerGrades+'!$AE$16,"E+",IF(L560&lt;'PlayerGrades+'!$AE$15,"D-",IF(L560&lt;'PlayerGrades+'!$AE$14,"D",IF(L560&lt;'PlayerGrades+'!$AE$13,"D+",IF(L560&lt;'PlayerGrades+'!$AE$12,"C-",IF(L560&lt;'PlayerGrades+'!$AE$11,"C",IF(L560&lt;'PlayerGrades+'!$AE$10,"C+",IF(L560&lt;'PlayerGrades+'!$AE$9,"B-",IF(L560&lt;'PlayerGrades+'!$AE$8,"B",IF(L560&lt;'PlayerGrades+'!$AE$7,"B+",IF(L560&lt;'PlayerGrades+'!$AE$6,"A-",IF(L560&lt;'PlayerGrades+'!$AE$5,"A",IF(L560&lt;'PlayerGrades+'!$AE$4,"A+",IF(L560&lt;'PlayerGrades+'!$AE$3,"S-",IF(L560&lt;'PlayerGrades+'!$AE$2,"S","S+"))))))))))))))))))))</f>
        <v>F</v>
      </c>
      <c r="N560" s="973">
        <f t="shared" si="6"/>
        <v>0</v>
      </c>
      <c r="O560" s="973" t="str">
        <f>IF(N560&lt;'PlayerGrades+'!$AF$21,"F-",IF(N560&lt;'PlayerGrades+'!$AF$20,"F",IF(N560&lt;'PlayerGrades+'!$AF$19,"F+",IF(N560&lt;'PlayerGrades+'!$AF$18,"E-",IF(N560&lt;'PlayerGrades+'!$AF$17,"E",IF(N560&lt;'PlayerGrades+'!$AF$16,"E+",IF(N560&lt;'PlayerGrades+'!$AF$15,"D-",IF(N560&lt;'PlayerGrades+'!$AF$14,"D",IF(N560&lt;'PlayerGrades+'!$AF$13,"D+",IF(N560&lt;'PlayerGrades+'!$AF$12,"C-",IF(N560&lt;'PlayerGrades+'!$AF$11,"C",IF(N560&lt;'PlayerGrades+'!$AF$10,"C+",IF(N560&lt;'PlayerGrades+'!$AF$9,"B-",IF(N560&lt;'PlayerGrades+'!$AF$8,"B",IF(N560&lt;'PlayerGrades+'!$AF$7,"B+",IF(N560&lt;'PlayerGrades+'!$AF$6,"A-",IF(N560&lt;'PlayerGrades+'!$AF$5,"A",IF(N560&lt;'PlayerGrades+'!$AF$4,"A+",IF(N560&lt;'PlayerGrades+'!$AF$3,"S-",IF(N560&lt;'PlayerGrades+'!$AF$2,"S","S+"))))))))))))))))))))</f>
        <v>F-</v>
      </c>
      <c r="P560" s="973">
        <f t="shared" si="7"/>
        <v>0</v>
      </c>
      <c r="Q560" s="973" t="str">
        <f>IF(P560&lt;'PlayerGrades+'!$AG$21,"F-",IF(P560&lt;'PlayerGrades+'!$AG$20,"F",IF(P560&lt;'PlayerGrades+'!$AG$19,"F+",IF(P560&lt;'PlayerGrades+'!$AG$18,"E-",IF(P560&lt;'PlayerGrades+'!$AG$17,"E",IF(P560&lt;'PlayerGrades+'!$AG$16,"E+",IF(P560&lt;'PlayerGrades+'!$AG$15,"D-",IF(P560&lt;'PlayerGrades+'!$AG$14,"D",IF(P560&lt;'PlayerGrades+'!$AG$13,"D+",IF(P560&lt;'PlayerGrades+'!$AG$12,"C-",IF(P560&lt;'PlayerGrades+'!$AG$11,"C",IF(P560&lt;'PlayerGrades+'!$AG$10,"C+",IF(P560&lt;'PlayerGrades+'!$AG$9,"B-",IF(P560&lt;'PlayerGrades+'!$AG$8,"B",IF(P560&lt;'PlayerGrades+'!$AG$7,"B+",IF(P560&lt;'PlayerGrades+'!$AG$6,"A-",IF(P560&lt;'PlayerGrades+'!$AG$5,"A",IF(P560&lt;'PlayerGrades+'!$AG$4,"A+",IF(P560&lt;'PlayerGrades+'!$AG$3,"S-",IF(P560&lt;'PlayerGrades+'!$AG$2,"S","S+"))))))))))))))))))))</f>
        <v>F</v>
      </c>
      <c r="R560" s="973">
        <f t="shared" si="8"/>
        <v>0.8432432432</v>
      </c>
      <c r="S560" s="973" t="str">
        <f>IF(R560&lt;'PlayerGrades+'!$AH$21,"F-",IF(R560&lt;'PlayerGrades+'!$AH$20,"F",IF(R560&lt;'PlayerGrades+'!$AH$19,"F+",IF(R560&lt;'PlayerGrades+'!$AH$18,"E-",IF(R560&lt;'PlayerGrades+'!$AH$17,"E",IF(R560&lt;'PlayerGrades+'!$AH$16,"E+",IF(R560&lt;'PlayerGrades+'!$AH$15,"D-",IF(R560&lt;'PlayerGrades+'!$AH$14,"D",IF(R560&lt;'PlayerGrades+'!$AH$13,"D+",IF(R560&lt;'PlayerGrades+'!$AH$12,"C-",IF(R560&lt;'PlayerGrades+'!$AH$11,"C",IF(R560&lt;'PlayerGrades+'!$AH$10,"C+",IF(R560&lt;'PlayerGrades+'!$AH$9,"B-",IF(R560&lt;'PlayerGrades+'!$AH$8,"B",IF(R560&lt;'PlayerGrades+'!$AH$7,"B+",IF(R560&lt;'PlayerGrades+'!$AH$6,"A-",IF(R560&lt;'PlayerGrades+'!$AH$5,"A",IF(R560&lt;'PlayerGrades+'!$AH$4,"A+",IF(R560&lt;'PlayerGrades+'!$AH$3,"S-",IF(R560&lt;'PlayerGrades+'!$AH$2,"S","S+"))))))))))))))))))))</f>
        <v>S+</v>
      </c>
      <c r="T560" s="973">
        <f t="shared" si="9"/>
        <v>2.518918919</v>
      </c>
      <c r="U560" s="973" t="str">
        <f>IF(T560&lt;'PlayerGrades+'!$AI$21,"F-",IF(T560&lt;'PlayerGrades+'!$AI$20,"F",IF(T560&lt;'PlayerGrades+'!$AI$19,"F+",IF(T560&lt;'PlayerGrades+'!$AI$18,"E-",IF(T560&lt;'PlayerGrades+'!$AI$17,"E",IF(T560&lt;'PlayerGrades+'!$AI$16,"E+",IF(T560&lt;'PlayerGrades+'!$AI$15,"D-",IF(T560&lt;'PlayerGrades+'!$AI$14,"D",IF(T560&lt;'PlayerGrades+'!$AI$13,"D+",IF(T560&lt;'PlayerGrades+'!$AI$12,"C-",IF(T560&lt;'PlayerGrades+'!$AI$11,"C",IF(T560&lt;'PlayerGrades+'!$AI$10,"C+",IF(T560&lt;'PlayerGrades+'!$AI$9,"B-",IF(T560&lt;'PlayerGrades+'!$AI$8,"B",IF(T560&lt;'PlayerGrades+'!$AI$7,"B+",IF(T560&lt;'PlayerGrades+'!$AI$6,"A-",IF(T560&lt;'PlayerGrades+'!$AI$5,"A",IF(T560&lt;'PlayerGrades+'!$AI$4,"A+",IF(T560&lt;'PlayerGrades+'!$AI$3,"S-",IF(T560&lt;'PlayerGrades+'!$AI$2,"S","S+"))))))))))))))))))))</f>
        <v>S+</v>
      </c>
      <c r="V560" s="941">
        <v>1.0</v>
      </c>
      <c r="W560" s="941">
        <v>0.0</v>
      </c>
      <c r="X560" s="941">
        <v>1.0</v>
      </c>
      <c r="Y560" s="941">
        <v>0.0</v>
      </c>
      <c r="Z560" s="941">
        <v>1.0</v>
      </c>
      <c r="AA560" s="941">
        <v>42.0</v>
      </c>
      <c r="AB560" s="941">
        <v>53.0</v>
      </c>
      <c r="AC560" s="941">
        <v>-11.0</v>
      </c>
      <c r="AD560" s="941">
        <v>5.0</v>
      </c>
      <c r="AE560" s="941">
        <v>3.0</v>
      </c>
      <c r="AF560" s="941">
        <v>1.0</v>
      </c>
      <c r="AG560" s="941">
        <v>705.0</v>
      </c>
      <c r="AH560" s="941">
        <v>925.0</v>
      </c>
      <c r="AI560" s="941">
        <v>13.0</v>
      </c>
      <c r="AJ560" s="941">
        <v>0.0</v>
      </c>
      <c r="AK560" s="941">
        <v>0.0</v>
      </c>
      <c r="AL560" s="941">
        <v>0.0</v>
      </c>
      <c r="AM560" s="941">
        <v>0.0</v>
      </c>
      <c r="AN560" s="941">
        <v>0.0</v>
      </c>
      <c r="AO560" s="941">
        <v>0.0</v>
      </c>
      <c r="AP560" s="941">
        <v>0.0</v>
      </c>
      <c r="AQ560" s="941">
        <v>0.0</v>
      </c>
      <c r="AR560" s="941">
        <v>4.0</v>
      </c>
      <c r="AS560" s="941">
        <v>0.0</v>
      </c>
      <c r="AT560" s="941">
        <v>0.0</v>
      </c>
      <c r="AU560" s="941">
        <v>0.0</v>
      </c>
      <c r="AV560" s="941">
        <v>0.0</v>
      </c>
      <c r="AW560" s="941">
        <v>0.0</v>
      </c>
      <c r="AX560" s="941">
        <v>0.0</v>
      </c>
      <c r="AY560" s="941">
        <v>0.0</v>
      </c>
      <c r="AZ560" s="941">
        <v>0.0</v>
      </c>
      <c r="BA560" s="941">
        <v>0.0</v>
      </c>
      <c r="BB560" s="941">
        <v>1.0</v>
      </c>
      <c r="BC560" s="941">
        <v>0.0</v>
      </c>
      <c r="BD560" s="941">
        <v>8.0</v>
      </c>
      <c r="BE560" s="941">
        <v>8.0</v>
      </c>
      <c r="BF560" s="941">
        <v>2.0</v>
      </c>
      <c r="BG560" s="942">
        <v>1.0</v>
      </c>
    </row>
    <row r="561">
      <c r="A561" s="943" t="s">
        <v>140</v>
      </c>
      <c r="B561" s="421" t="str">
        <f>IF(C561&lt;'PlayerGrades+'!$Y$44,"F-",IF(C561&lt;'PlayerGrades+'!$Y$43,"F",IF(C561&lt;'PlayerGrades+'!$Y$42,"F+",IF(C561&lt;'PlayerGrades+'!$Y$41,"E-",IF(C561&lt;'PlayerGrades+'!$Y$40,"E",IF(C561&lt;'PlayerGrades+'!$Y$39,"E+",IF(C561&lt;'PlayerGrades+'!$Y$38,"D-",IF(C561&lt;'PlayerGrades+'!$Y$37,"D",IF(C561&lt;'PlayerGrades+'!$Y$36,"D+",IF(C561&lt;'PlayerGrades+'!$Y$35,"C-",IF(C561&lt;'PlayerGrades+'!$Y$34,"C",IF(C561&lt;'PlayerGrades+'!$Y$33,"C+",IF(C561&lt;'PlayerGrades+'!$Y$32,"B-",IF(C561&lt;'PlayerGrades+'!$Y$31,"B",IF(C561&lt;'PlayerGrades+'!$Y$30,"B+",IF(C561&lt;'PlayerGrades+'!$Y$29,"A-",IF(C561&lt;'PlayerGrades+'!$Y$28,"A",IF(C561&lt;'PlayerGrades+'!$Y$27,"A+",IF(C561&lt;'PlayerGrades+'!$Y$26,"S-",IF(C561&lt;'PlayerGrades+'!$Y$25,"S","S+"))))))))))))))))))))</f>
        <v>F-</v>
      </c>
      <c r="C561" s="972">
        <f>('PlayerGrades+'!$Y$47*(VLOOKUP(E561, 'PlayerGrades+'!$X$3:$Y$23, 2, FALSE)))+('PlayerGrades+'!$Y$48*(VLOOKUP(G561, 'PlayerGrades+'!$X$3:$Y$23, 2, FALSE)))+('PlayerGrades+'!$Y$49*(VLOOKUP(I561, 'PlayerGrades+'!$X$3:$Y$23, 2, FALSE)))+('PlayerGrades+'!$Y$50*(VLOOKUP(K561, 'PlayerGrades+'!$X$3:$Y$23, 2, FALSE)))+('PlayerGrades+'!$Y$51*(VLOOKUP(M561, 'PlayerGrades+'!$X$3:$Y$23, 2, FALSE)))+('PlayerGrades+'!$Y$52*(VLOOKUP(O561, 'PlayerGrades+'!$X$3:$Y$23, 2, FALSE)))+('PlayerGrades+'!$Y$53*(VLOOKUP(Q561, 'PlayerGrades+'!$X$3:$Y$23, 2, FALSE)))+('PlayerGrades+'!$Y$54*(VLOOKUP(S561, 'PlayerGrades+'!$X$3:$Y$23, 2, FALSE)))+('PlayerGrades+'!$Y$55*(VLOOKUP(U561, 'PlayerGrades+'!$X$3:$Y$23, 2, FALSE)))</f>
        <v>6.5</v>
      </c>
      <c r="D561" s="973">
        <f t="shared" si="1"/>
        <v>0</v>
      </c>
      <c r="E561" s="973" t="str">
        <f>IF(D561&lt;'PlayerGrades+'!$AA$21,"F-",IF(D561&lt;'PlayerGrades+'!$AA$20,"F",IF(D561&lt;'PlayerGrades+'!$AA$19,"F+",IF(D561&lt;'PlayerGrades+'!$AA$18,"E-",IF(D561&lt;'PlayerGrades+'!$AA$17,"E",IF(D561&lt;'PlayerGrades+'!$AA$16,"E+",IF(D561&lt;'PlayerGrades+'!$AA$15,"D-",IF(D561&lt;'PlayerGrades+'!$AA$14,"D",IF(D561&lt;'PlayerGrades+'!$AA$13,"D+",IF(D561&lt;'PlayerGrades+'!$AA$12,"C-",IF(D561&lt;'PlayerGrades+'!$AA$11,"C",IF(D561&lt;'PlayerGrades+'!$AA$10,"C+",IF(D561&lt;'PlayerGrades+'!$AA$9,"B-",IF(D561&lt;'PlayerGrades+'!$AA$8,"B",IF(D561&lt;'PlayerGrades+'!$AA$7,"B+",IF(D561&lt;'PlayerGrades+'!$AA$6,"A-",IF(D561&lt;'PlayerGrades+'!$AA$5,"A",IF(D561&lt;'PlayerGrades+'!$AA$4,"A+",IF(D561&lt;'PlayerGrades+'!$AA$3,"S-",IF(D561&lt;'PlayerGrades+'!$AA$2,"S","S+"))))))))))))))))))))</f>
        <v>F-</v>
      </c>
      <c r="F561" s="973">
        <f t="shared" si="2"/>
        <v>-1.816216216</v>
      </c>
      <c r="G561" s="973" t="str">
        <f>IF(F561&lt;'PlayerGrades+'!$AB$21,"F-",IF(F561&lt;'PlayerGrades+'!$AB$20,"F",IF(F561&lt;'PlayerGrades+'!$AB$19,"F+",IF(F561&lt;'PlayerGrades+'!$AB$18,"E-",IF(F561&lt;'PlayerGrades+'!$AB$17,"E",IF(F561&lt;'PlayerGrades+'!$AB$16,"E+",IF(F561&lt;'PlayerGrades+'!$AB$15,"D-",IF(F561&lt;'PlayerGrades+'!$AB$14,"D",IF(F561&lt;'PlayerGrades+'!$AB$13,"D+",IF(F561&lt;'PlayerGrades+'!$AB$12,"C-",IF(F561&lt;'PlayerGrades+'!$AB$11,"C",IF(F561&lt;'PlayerGrades+'!$AB$10,"C+",IF(F561&lt;'PlayerGrades+'!$AB$9,"B-",IF(F561&lt;'PlayerGrades+'!$AB$8,"B",IF(F561&lt;'PlayerGrades+'!$AB$7,"B+",IF(F561&lt;'PlayerGrades+'!$AB$6,"A-",IF(F561&lt;'PlayerGrades+'!$AB$5,"A",IF(F561&lt;'PlayerGrades+'!$AB$4,"A+",IF(F561&lt;'PlayerGrades+'!$AB$3,"S-",IF(F561&lt;'PlayerGrades+'!$AB$2,"S","S+"))))))))))))))))))))</f>
        <v>F-</v>
      </c>
      <c r="H561" s="973">
        <f t="shared" si="3"/>
        <v>0.06486486486</v>
      </c>
      <c r="I561" s="973" t="str">
        <f>IF(H561&lt;'PlayerGrades+'!$AC$21,"F-",IF(H561&lt;'PlayerGrades+'!$AC$20,"F",IF(H561&lt;'PlayerGrades+'!$AC$19,"F+",IF(H561&lt;'PlayerGrades+'!$AC$18,"E-",IF(H561&lt;'PlayerGrades+'!$AC$17,"E",IF(H561&lt;'PlayerGrades+'!$AC$16,"E+",IF(H561&lt;'PlayerGrades+'!$AC$15,"D-",IF(H561&lt;'PlayerGrades+'!$AC$14,"D",IF(H561&lt;'PlayerGrades+'!$AC$13,"D+",IF(H561&lt;'PlayerGrades+'!$AC$12,"C-",IF(H561&lt;'PlayerGrades+'!$AC$11,"C",IF(H561&lt;'PlayerGrades+'!$AC$10,"C+",IF(H561&lt;'PlayerGrades+'!$AC$9,"B-",IF(H561&lt;'PlayerGrades+'!$AC$8,"B",IF(H561&lt;'PlayerGrades+'!$AC$7,"B+",IF(H561&lt;'PlayerGrades+'!$AC$6,"A-",IF(H561&lt;'PlayerGrades+'!$AC$5,"A",IF(H561&lt;'PlayerGrades+'!$AC$4,"A+",IF(H561&lt;'PlayerGrades+'!$AC$3,"S-",IF(H561&lt;'PlayerGrades+'!$AC$2,"S","S+"))))))))))))))))))))</f>
        <v>E</v>
      </c>
      <c r="J561" s="973">
        <f t="shared" si="4"/>
        <v>0</v>
      </c>
      <c r="K561" s="973" t="str">
        <f>IF(J561&lt;'PlayerGrades+'!$AD$21,"F-",IF(J561&lt;'PlayerGrades+'!$AD$20,"F",IF(J561&lt;'PlayerGrades+'!$AD$19,"F+",IF(J561&lt;'PlayerGrades+'!$AD$18,"E-",IF(J561&lt;'PlayerGrades+'!$AD$17,"E",IF(J561&lt;'PlayerGrades+'!$AD$16,"E+",IF(J561&lt;'PlayerGrades+'!$AD$15,"D-",IF(J561&lt;'PlayerGrades+'!$AD$14,"D",IF(J561&lt;'PlayerGrades+'!$AD$13,"D+",IF(J561&lt;'PlayerGrades+'!$AD$12,"C-",IF(J561&lt;'PlayerGrades+'!$AD$11,"C",IF(J561&lt;'PlayerGrades+'!$AD$10,"C+",IF(J561&lt;'PlayerGrades+'!$AD$9,"B-",IF(J561&lt;'PlayerGrades+'!$AD$8,"B",IF(J561&lt;'PlayerGrades+'!$AD$7,"B+",IF(J561&lt;'PlayerGrades+'!$AD$6,"A-",IF(J561&lt;'PlayerGrades+'!$AD$5,"A",IF(J561&lt;'PlayerGrades+'!$AD$4,"A+",IF(J561&lt;'PlayerGrades+'!$AD$3,"S-",IF(J561&lt;'PlayerGrades+'!$AD$2,"S","S+"))))))))))))))))))))</f>
        <v>F-</v>
      </c>
      <c r="L561" s="974">
        <f t="shared" si="5"/>
        <v>0.1945945946</v>
      </c>
      <c r="M561" s="975" t="str">
        <f>IF(L561&lt;'PlayerGrades+'!$AE$21,"F-",IF(L561&lt;'PlayerGrades+'!$AE$20,"F",IF(L561&lt;'PlayerGrades+'!$AE$19,"F+",IF(L561&lt;'PlayerGrades+'!$AE$18,"E-",IF(L561&lt;'PlayerGrades+'!$AE$17,"E",IF(L561&lt;'PlayerGrades+'!$AE$16,"E+",IF(L561&lt;'PlayerGrades+'!$AE$15,"D-",IF(L561&lt;'PlayerGrades+'!$AE$14,"D",IF(L561&lt;'PlayerGrades+'!$AE$13,"D+",IF(L561&lt;'PlayerGrades+'!$AE$12,"C-",IF(L561&lt;'PlayerGrades+'!$AE$11,"C",IF(L561&lt;'PlayerGrades+'!$AE$10,"C+",IF(L561&lt;'PlayerGrades+'!$AE$9,"B-",IF(L561&lt;'PlayerGrades+'!$AE$8,"B",IF(L561&lt;'PlayerGrades+'!$AE$7,"B+",IF(L561&lt;'PlayerGrades+'!$AE$6,"A-",IF(L561&lt;'PlayerGrades+'!$AE$5,"A",IF(L561&lt;'PlayerGrades+'!$AE$4,"A+",IF(L561&lt;'PlayerGrades+'!$AE$3,"S-",IF(L561&lt;'PlayerGrades+'!$AE$2,"S","S+"))))))))))))))))))))</f>
        <v>F</v>
      </c>
      <c r="N561" s="973">
        <f t="shared" si="6"/>
        <v>0</v>
      </c>
      <c r="O561" s="973" t="str">
        <f>IF(N561&lt;'PlayerGrades+'!$AF$21,"F-",IF(N561&lt;'PlayerGrades+'!$AF$20,"F",IF(N561&lt;'PlayerGrades+'!$AF$19,"F+",IF(N561&lt;'PlayerGrades+'!$AF$18,"E-",IF(N561&lt;'PlayerGrades+'!$AF$17,"E",IF(N561&lt;'PlayerGrades+'!$AF$16,"E+",IF(N561&lt;'PlayerGrades+'!$AF$15,"D-",IF(N561&lt;'PlayerGrades+'!$AF$14,"D",IF(N561&lt;'PlayerGrades+'!$AF$13,"D+",IF(N561&lt;'PlayerGrades+'!$AF$12,"C-",IF(N561&lt;'PlayerGrades+'!$AF$11,"C",IF(N561&lt;'PlayerGrades+'!$AF$10,"C+",IF(N561&lt;'PlayerGrades+'!$AF$9,"B-",IF(N561&lt;'PlayerGrades+'!$AF$8,"B",IF(N561&lt;'PlayerGrades+'!$AF$7,"B+",IF(N561&lt;'PlayerGrades+'!$AF$6,"A-",IF(N561&lt;'PlayerGrades+'!$AF$5,"A",IF(N561&lt;'PlayerGrades+'!$AF$4,"A+",IF(N561&lt;'PlayerGrades+'!$AF$3,"S-",IF(N561&lt;'PlayerGrades+'!$AF$2,"S","S+"))))))))))))))))))))</f>
        <v>F-</v>
      </c>
      <c r="P561" s="973">
        <f t="shared" si="7"/>
        <v>0</v>
      </c>
      <c r="Q561" s="973" t="str">
        <f>IF(P561&lt;'PlayerGrades+'!$AG$21,"F-",IF(P561&lt;'PlayerGrades+'!$AG$20,"F",IF(P561&lt;'PlayerGrades+'!$AG$19,"F+",IF(P561&lt;'PlayerGrades+'!$AG$18,"E-",IF(P561&lt;'PlayerGrades+'!$AG$17,"E",IF(P561&lt;'PlayerGrades+'!$AG$16,"E+",IF(P561&lt;'PlayerGrades+'!$AG$15,"D-",IF(P561&lt;'PlayerGrades+'!$AG$14,"D",IF(P561&lt;'PlayerGrades+'!$AG$13,"D+",IF(P561&lt;'PlayerGrades+'!$AG$12,"C-",IF(P561&lt;'PlayerGrades+'!$AG$11,"C",IF(P561&lt;'PlayerGrades+'!$AG$10,"C+",IF(P561&lt;'PlayerGrades+'!$AG$9,"B-",IF(P561&lt;'PlayerGrades+'!$AG$8,"B",IF(P561&lt;'PlayerGrades+'!$AG$7,"B+",IF(P561&lt;'PlayerGrades+'!$AG$6,"A-",IF(P561&lt;'PlayerGrades+'!$AG$5,"A",IF(P561&lt;'PlayerGrades+'!$AG$4,"A+",IF(P561&lt;'PlayerGrades+'!$AG$3,"S-",IF(P561&lt;'PlayerGrades+'!$AG$2,"S","S+"))))))))))))))))))))</f>
        <v>F</v>
      </c>
      <c r="R561" s="973">
        <f t="shared" si="8"/>
        <v>0.5189189189</v>
      </c>
      <c r="S561" s="973" t="str">
        <f>IF(R561&lt;'PlayerGrades+'!$AH$21,"F-",IF(R561&lt;'PlayerGrades+'!$AH$20,"F",IF(R561&lt;'PlayerGrades+'!$AH$19,"F+",IF(R561&lt;'PlayerGrades+'!$AH$18,"E-",IF(R561&lt;'PlayerGrades+'!$AH$17,"E",IF(R561&lt;'PlayerGrades+'!$AH$16,"E+",IF(R561&lt;'PlayerGrades+'!$AH$15,"D-",IF(R561&lt;'PlayerGrades+'!$AH$14,"D",IF(R561&lt;'PlayerGrades+'!$AH$13,"D+",IF(R561&lt;'PlayerGrades+'!$AH$12,"C-",IF(R561&lt;'PlayerGrades+'!$AH$11,"C",IF(R561&lt;'PlayerGrades+'!$AH$10,"C+",IF(R561&lt;'PlayerGrades+'!$AH$9,"B-",IF(R561&lt;'PlayerGrades+'!$AH$8,"B",IF(R561&lt;'PlayerGrades+'!$AH$7,"B+",IF(R561&lt;'PlayerGrades+'!$AH$6,"A-",IF(R561&lt;'PlayerGrades+'!$AH$5,"A",IF(R561&lt;'PlayerGrades+'!$AH$4,"A+",IF(R561&lt;'PlayerGrades+'!$AH$3,"S-",IF(R561&lt;'PlayerGrades+'!$AH$2,"S","S+"))))))))))))))))))))</f>
        <v>D+</v>
      </c>
      <c r="T561" s="973">
        <f t="shared" si="9"/>
        <v>0.3243243243</v>
      </c>
      <c r="U561" s="973" t="str">
        <f>IF(T561&lt;'PlayerGrades+'!$AI$21,"F-",IF(T561&lt;'PlayerGrades+'!$AI$20,"F",IF(T561&lt;'PlayerGrades+'!$AI$19,"F+",IF(T561&lt;'PlayerGrades+'!$AI$18,"E-",IF(T561&lt;'PlayerGrades+'!$AI$17,"E",IF(T561&lt;'PlayerGrades+'!$AI$16,"E+",IF(T561&lt;'PlayerGrades+'!$AI$15,"D-",IF(T561&lt;'PlayerGrades+'!$AI$14,"D",IF(T561&lt;'PlayerGrades+'!$AI$13,"D+",IF(T561&lt;'PlayerGrades+'!$AI$12,"C-",IF(T561&lt;'PlayerGrades+'!$AI$11,"C",IF(T561&lt;'PlayerGrades+'!$AI$10,"C+",IF(T561&lt;'PlayerGrades+'!$AI$9,"B-",IF(T561&lt;'PlayerGrades+'!$AI$8,"B",IF(T561&lt;'PlayerGrades+'!$AI$7,"B+",IF(T561&lt;'PlayerGrades+'!$AI$6,"A-",IF(T561&lt;'PlayerGrades+'!$AI$5,"A",IF(T561&lt;'PlayerGrades+'!$AI$4,"A+",IF(T561&lt;'PlayerGrades+'!$AI$3,"S-",IF(T561&lt;'PlayerGrades+'!$AI$2,"S","S+"))))))))))))))))))))</f>
        <v>F-</v>
      </c>
      <c r="V561" s="944">
        <v>1.0</v>
      </c>
      <c r="W561" s="944">
        <v>0.0</v>
      </c>
      <c r="X561" s="944">
        <v>1.0</v>
      </c>
      <c r="Y561" s="944">
        <v>0.0</v>
      </c>
      <c r="Z561" s="944">
        <v>0.0</v>
      </c>
      <c r="AA561" s="944">
        <v>31.0</v>
      </c>
      <c r="AB561" s="944">
        <v>59.0</v>
      </c>
      <c r="AC561" s="944">
        <v>-28.0</v>
      </c>
      <c r="AD561" s="944">
        <v>5.0</v>
      </c>
      <c r="AE561" s="944">
        <v>4.0</v>
      </c>
      <c r="AF561" s="944">
        <v>1.0</v>
      </c>
      <c r="AG561" s="944">
        <v>687.0</v>
      </c>
      <c r="AH561" s="944">
        <v>925.0</v>
      </c>
      <c r="AI561" s="944">
        <v>11.0</v>
      </c>
      <c r="AJ561" s="944">
        <v>0.0</v>
      </c>
      <c r="AK561" s="944">
        <v>0.0</v>
      </c>
      <c r="AL561" s="944">
        <v>0.0</v>
      </c>
      <c r="AM561" s="944">
        <v>0.0</v>
      </c>
      <c r="AN561" s="944">
        <v>0.0</v>
      </c>
      <c r="AO561" s="944">
        <v>0.0</v>
      </c>
      <c r="AP561" s="944">
        <v>0.0</v>
      </c>
      <c r="AQ561" s="944">
        <v>0.0</v>
      </c>
      <c r="AR561" s="944">
        <v>3.0</v>
      </c>
      <c r="AS561" s="944">
        <v>0.0</v>
      </c>
      <c r="AT561" s="944">
        <v>0.0</v>
      </c>
      <c r="AU561" s="944">
        <v>0.0</v>
      </c>
      <c r="AV561" s="944">
        <v>0.0</v>
      </c>
      <c r="AW561" s="944">
        <v>0.0</v>
      </c>
      <c r="AX561" s="944">
        <v>0.0</v>
      </c>
      <c r="AY561" s="944">
        <v>0.0</v>
      </c>
      <c r="AZ561" s="944">
        <v>0.0</v>
      </c>
      <c r="BA561" s="944">
        <v>0.0</v>
      </c>
      <c r="BB561" s="944">
        <v>1.0</v>
      </c>
      <c r="BC561" s="944">
        <v>0.0</v>
      </c>
      <c r="BD561" s="944">
        <v>3.0</v>
      </c>
      <c r="BE561" s="944">
        <v>5.0</v>
      </c>
      <c r="BF561" s="944">
        <v>0.0</v>
      </c>
      <c r="BG561" s="945">
        <v>1.0</v>
      </c>
    </row>
    <row r="562">
      <c r="A562" s="946" t="s">
        <v>114</v>
      </c>
      <c r="B562" s="976" t="str">
        <f>IF(C562&lt;'PlayerGrades+'!$Y$44,"F-",IF(C562&lt;'PlayerGrades+'!$Y$43,"F",IF(C562&lt;'PlayerGrades+'!$Y$42,"F+",IF(C562&lt;'PlayerGrades+'!$Y$41,"E-",IF(C562&lt;'PlayerGrades+'!$Y$40,"E",IF(C562&lt;'PlayerGrades+'!$Y$39,"E+",IF(C562&lt;'PlayerGrades+'!$Y$38,"D-",IF(C562&lt;'PlayerGrades+'!$Y$37,"D",IF(C562&lt;'PlayerGrades+'!$Y$36,"D+",IF(C562&lt;'PlayerGrades+'!$Y$35,"C-",IF(C562&lt;'PlayerGrades+'!$Y$34,"C",IF(C562&lt;'PlayerGrades+'!$Y$33,"C+",IF(C562&lt;'PlayerGrades+'!$Y$32,"B-",IF(C562&lt;'PlayerGrades+'!$Y$31,"B",IF(C562&lt;'PlayerGrades+'!$Y$30,"B+",IF(C562&lt;'PlayerGrades+'!$Y$29,"A-",IF(C562&lt;'PlayerGrades+'!$Y$28,"A",IF(C562&lt;'PlayerGrades+'!$Y$27,"A+",IF(C562&lt;'PlayerGrades+'!$Y$26,"S-",IF(C562&lt;'PlayerGrades+'!$Y$25,"S","S+"))))))))))))))))))))</f>
        <v>D+</v>
      </c>
      <c r="C562" s="977">
        <f>('PlayerGrades+'!$Y$47*(VLOOKUP(E562, 'PlayerGrades+'!$X$3:$Y$23, 2, FALSE)))+('PlayerGrades+'!$Y$48*(VLOOKUP(G562, 'PlayerGrades+'!$X$3:$Y$23, 2, FALSE)))+('PlayerGrades+'!$Y$49*(VLOOKUP(I562, 'PlayerGrades+'!$X$3:$Y$23, 2, FALSE)))+('PlayerGrades+'!$Y$50*(VLOOKUP(K562, 'PlayerGrades+'!$X$3:$Y$23, 2, FALSE)))+('PlayerGrades+'!$Y$51*(VLOOKUP(M562, 'PlayerGrades+'!$X$3:$Y$23, 2, FALSE)))+('PlayerGrades+'!$Y$52*(VLOOKUP(O562, 'PlayerGrades+'!$X$3:$Y$23, 2, FALSE)))+('PlayerGrades+'!$Y$53*(VLOOKUP(Q562, 'PlayerGrades+'!$X$3:$Y$23, 2, FALSE)))+('PlayerGrades+'!$Y$54*(VLOOKUP(S562, 'PlayerGrades+'!$X$3:$Y$23, 2, FALSE)))+('PlayerGrades+'!$Y$55*(VLOOKUP(U562, 'PlayerGrades+'!$X$3:$Y$23, 2, FALSE)))</f>
        <v>17.5</v>
      </c>
      <c r="D562" s="978">
        <f t="shared" si="1"/>
        <v>1.197339246</v>
      </c>
      <c r="E562" s="978" t="str">
        <f>IF(D562&lt;'PlayerGrades+'!$AA$21,"F-",IF(D562&lt;'PlayerGrades+'!$AA$20,"F",IF(D562&lt;'PlayerGrades+'!$AA$19,"F+",IF(D562&lt;'PlayerGrades+'!$AA$18,"E-",IF(D562&lt;'PlayerGrades+'!$AA$17,"E",IF(D562&lt;'PlayerGrades+'!$AA$16,"E+",IF(D562&lt;'PlayerGrades+'!$AA$15,"D-",IF(D562&lt;'PlayerGrades+'!$AA$14,"D",IF(D562&lt;'PlayerGrades+'!$AA$13,"D+",IF(D562&lt;'PlayerGrades+'!$AA$12,"C-",IF(D562&lt;'PlayerGrades+'!$AA$11,"C",IF(D562&lt;'PlayerGrades+'!$AA$10,"C+",IF(D562&lt;'PlayerGrades+'!$AA$9,"B-",IF(D562&lt;'PlayerGrades+'!$AA$8,"B",IF(D562&lt;'PlayerGrades+'!$AA$7,"B+",IF(D562&lt;'PlayerGrades+'!$AA$6,"A-",IF(D562&lt;'PlayerGrades+'!$AA$5,"A",IF(D562&lt;'PlayerGrades+'!$AA$4,"A+",IF(D562&lt;'PlayerGrades+'!$AA$3,"S-",IF(D562&lt;'PlayerGrades+'!$AA$2,"S","S+"))))))))))))))))))))</f>
        <v>S+</v>
      </c>
      <c r="F562" s="978">
        <f t="shared" si="2"/>
        <v>1.064301552</v>
      </c>
      <c r="G562" s="978" t="str">
        <f>IF(F562&lt;'PlayerGrades+'!$AB$21,"F-",IF(F562&lt;'PlayerGrades+'!$AB$20,"F",IF(F562&lt;'PlayerGrades+'!$AB$19,"F+",IF(F562&lt;'PlayerGrades+'!$AB$18,"E-",IF(F562&lt;'PlayerGrades+'!$AB$17,"E",IF(F562&lt;'PlayerGrades+'!$AB$16,"E+",IF(F562&lt;'PlayerGrades+'!$AB$15,"D-",IF(F562&lt;'PlayerGrades+'!$AB$14,"D",IF(F562&lt;'PlayerGrades+'!$AB$13,"D+",IF(F562&lt;'PlayerGrades+'!$AB$12,"C-",IF(F562&lt;'PlayerGrades+'!$AB$11,"C",IF(F562&lt;'PlayerGrades+'!$AB$10,"C+",IF(F562&lt;'PlayerGrades+'!$AB$9,"B-",IF(F562&lt;'PlayerGrades+'!$AB$8,"B",IF(F562&lt;'PlayerGrades+'!$AB$7,"B+",IF(F562&lt;'PlayerGrades+'!$AB$6,"A-",IF(F562&lt;'PlayerGrades+'!$AB$5,"A",IF(F562&lt;'PlayerGrades+'!$AB$4,"A+",IF(F562&lt;'PlayerGrades+'!$AB$3,"S-",IF(F562&lt;'PlayerGrades+'!$AB$2,"S","S+"))))))))))))))))))))</f>
        <v>S+</v>
      </c>
      <c r="H562" s="978">
        <f t="shared" si="3"/>
        <v>0</v>
      </c>
      <c r="I562" s="978" t="str">
        <f>IF(H562&lt;'PlayerGrades+'!$AC$21,"F-",IF(H562&lt;'PlayerGrades+'!$AC$20,"F",IF(H562&lt;'PlayerGrades+'!$AC$19,"F+",IF(H562&lt;'PlayerGrades+'!$AC$18,"E-",IF(H562&lt;'PlayerGrades+'!$AC$17,"E",IF(H562&lt;'PlayerGrades+'!$AC$16,"E+",IF(H562&lt;'PlayerGrades+'!$AC$15,"D-",IF(H562&lt;'PlayerGrades+'!$AC$14,"D",IF(H562&lt;'PlayerGrades+'!$AC$13,"D+",IF(H562&lt;'PlayerGrades+'!$AC$12,"C-",IF(H562&lt;'PlayerGrades+'!$AC$11,"C",IF(H562&lt;'PlayerGrades+'!$AC$10,"C+",IF(H562&lt;'PlayerGrades+'!$AC$9,"B-",IF(H562&lt;'PlayerGrades+'!$AC$8,"B",IF(H562&lt;'PlayerGrades+'!$AC$7,"B+",IF(H562&lt;'PlayerGrades+'!$AC$6,"A-",IF(H562&lt;'PlayerGrades+'!$AC$5,"A",IF(H562&lt;'PlayerGrades+'!$AC$4,"A+",IF(H562&lt;'PlayerGrades+'!$AC$3,"S-",IF(H562&lt;'PlayerGrades+'!$AC$2,"S","S+"))))))))))))))))))))</f>
        <v>F-</v>
      </c>
      <c r="J562" s="978">
        <f t="shared" si="4"/>
        <v>0.133037694</v>
      </c>
      <c r="K562" s="978" t="str">
        <f>IF(J562&lt;'PlayerGrades+'!$AD$21,"F-",IF(J562&lt;'PlayerGrades+'!$AD$20,"F",IF(J562&lt;'PlayerGrades+'!$AD$19,"F+",IF(J562&lt;'PlayerGrades+'!$AD$18,"E-",IF(J562&lt;'PlayerGrades+'!$AD$17,"E",IF(J562&lt;'PlayerGrades+'!$AD$16,"E+",IF(J562&lt;'PlayerGrades+'!$AD$15,"D-",IF(J562&lt;'PlayerGrades+'!$AD$14,"D",IF(J562&lt;'PlayerGrades+'!$AD$13,"D+",IF(J562&lt;'PlayerGrades+'!$AD$12,"C-",IF(J562&lt;'PlayerGrades+'!$AD$11,"C",IF(J562&lt;'PlayerGrades+'!$AD$10,"C+",IF(J562&lt;'PlayerGrades+'!$AD$9,"B-",IF(J562&lt;'PlayerGrades+'!$AD$8,"B",IF(J562&lt;'PlayerGrades+'!$AD$7,"B+",IF(J562&lt;'PlayerGrades+'!$AD$6,"A-",IF(J562&lt;'PlayerGrades+'!$AD$5,"A",IF(J562&lt;'PlayerGrades+'!$AD$4,"A+",IF(J562&lt;'PlayerGrades+'!$AD$3,"S-",IF(J562&lt;'PlayerGrades+'!$AD$2,"S","S+"))))))))))))))))))))</f>
        <v>S+</v>
      </c>
      <c r="L562" s="979">
        <f t="shared" si="5"/>
        <v>0.5321507761</v>
      </c>
      <c r="M562" s="980" t="str">
        <f>IF(L562&lt;'PlayerGrades+'!$AE$21,"F-",IF(L562&lt;'PlayerGrades+'!$AE$20,"F",IF(L562&lt;'PlayerGrades+'!$AE$19,"F+",IF(L562&lt;'PlayerGrades+'!$AE$18,"E-",IF(L562&lt;'PlayerGrades+'!$AE$17,"E",IF(L562&lt;'PlayerGrades+'!$AE$16,"E+",IF(L562&lt;'PlayerGrades+'!$AE$15,"D-",IF(L562&lt;'PlayerGrades+'!$AE$14,"D",IF(L562&lt;'PlayerGrades+'!$AE$13,"D+",IF(L562&lt;'PlayerGrades+'!$AE$12,"C-",IF(L562&lt;'PlayerGrades+'!$AE$11,"C",IF(L562&lt;'PlayerGrades+'!$AE$10,"C+",IF(L562&lt;'PlayerGrades+'!$AE$9,"B-",IF(L562&lt;'PlayerGrades+'!$AE$8,"B",IF(L562&lt;'PlayerGrades+'!$AE$7,"B+",IF(L562&lt;'PlayerGrades+'!$AE$6,"A-",IF(L562&lt;'PlayerGrades+'!$AE$5,"A",IF(L562&lt;'PlayerGrades+'!$AE$4,"A+",IF(L562&lt;'PlayerGrades+'!$AE$3,"S-",IF(L562&lt;'PlayerGrades+'!$AE$2,"S","S+"))))))))))))))))))))</f>
        <v>A-</v>
      </c>
      <c r="N562" s="978">
        <f t="shared" si="6"/>
        <v>0</v>
      </c>
      <c r="O562" s="978" t="str">
        <f>IF(N562&lt;'PlayerGrades+'!$AF$21,"F-",IF(N562&lt;'PlayerGrades+'!$AF$20,"F",IF(N562&lt;'PlayerGrades+'!$AF$19,"F+",IF(N562&lt;'PlayerGrades+'!$AF$18,"E-",IF(N562&lt;'PlayerGrades+'!$AF$17,"E",IF(N562&lt;'PlayerGrades+'!$AF$16,"E+",IF(N562&lt;'PlayerGrades+'!$AF$15,"D-",IF(N562&lt;'PlayerGrades+'!$AF$14,"D",IF(N562&lt;'PlayerGrades+'!$AF$13,"D+",IF(N562&lt;'PlayerGrades+'!$AF$12,"C-",IF(N562&lt;'PlayerGrades+'!$AF$11,"C",IF(N562&lt;'PlayerGrades+'!$AF$10,"C+",IF(N562&lt;'PlayerGrades+'!$AF$9,"B-",IF(N562&lt;'PlayerGrades+'!$AF$8,"B",IF(N562&lt;'PlayerGrades+'!$AF$7,"B+",IF(N562&lt;'PlayerGrades+'!$AF$6,"A-",IF(N562&lt;'PlayerGrades+'!$AF$5,"A",IF(N562&lt;'PlayerGrades+'!$AF$4,"A+",IF(N562&lt;'PlayerGrades+'!$AF$3,"S-",IF(N562&lt;'PlayerGrades+'!$AF$2,"S","S+"))))))))))))))))))))</f>
        <v>F-</v>
      </c>
      <c r="P562" s="978">
        <f t="shared" si="7"/>
        <v>0</v>
      </c>
      <c r="Q562" s="978" t="str">
        <f>IF(P562&lt;'PlayerGrades+'!$AG$21,"F-",IF(P562&lt;'PlayerGrades+'!$AG$20,"F",IF(P562&lt;'PlayerGrades+'!$AG$19,"F+",IF(P562&lt;'PlayerGrades+'!$AG$18,"E-",IF(P562&lt;'PlayerGrades+'!$AG$17,"E",IF(P562&lt;'PlayerGrades+'!$AG$16,"E+",IF(P562&lt;'PlayerGrades+'!$AG$15,"D-",IF(P562&lt;'PlayerGrades+'!$AG$14,"D",IF(P562&lt;'PlayerGrades+'!$AG$13,"D+",IF(P562&lt;'PlayerGrades+'!$AG$12,"C-",IF(P562&lt;'PlayerGrades+'!$AG$11,"C",IF(P562&lt;'PlayerGrades+'!$AG$10,"C+",IF(P562&lt;'PlayerGrades+'!$AG$9,"B-",IF(P562&lt;'PlayerGrades+'!$AG$8,"B",IF(P562&lt;'PlayerGrades+'!$AG$7,"B+",IF(P562&lt;'PlayerGrades+'!$AG$6,"A-",IF(P562&lt;'PlayerGrades+'!$AG$5,"A",IF(P562&lt;'PlayerGrades+'!$AG$4,"A+",IF(P562&lt;'PlayerGrades+'!$AG$3,"S-",IF(P562&lt;'PlayerGrades+'!$AG$2,"S","S+"))))))))))))))))))))</f>
        <v>F</v>
      </c>
      <c r="R562" s="978">
        <f t="shared" si="8"/>
        <v>0.133037694</v>
      </c>
      <c r="S562" s="978" t="str">
        <f>IF(R562&lt;'PlayerGrades+'!$AH$21,"F-",IF(R562&lt;'PlayerGrades+'!$AH$20,"F",IF(R562&lt;'PlayerGrades+'!$AH$19,"F+",IF(R562&lt;'PlayerGrades+'!$AH$18,"E-",IF(R562&lt;'PlayerGrades+'!$AH$17,"E",IF(R562&lt;'PlayerGrades+'!$AH$16,"E+",IF(R562&lt;'PlayerGrades+'!$AH$15,"D-",IF(R562&lt;'PlayerGrades+'!$AH$14,"D",IF(R562&lt;'PlayerGrades+'!$AH$13,"D+",IF(R562&lt;'PlayerGrades+'!$AH$12,"C-",IF(R562&lt;'PlayerGrades+'!$AH$11,"C",IF(R562&lt;'PlayerGrades+'!$AH$10,"C+",IF(R562&lt;'PlayerGrades+'!$AH$9,"B-",IF(R562&lt;'PlayerGrades+'!$AH$8,"B",IF(R562&lt;'PlayerGrades+'!$AH$7,"B+",IF(R562&lt;'PlayerGrades+'!$AH$6,"A-",IF(R562&lt;'PlayerGrades+'!$AH$5,"A",IF(R562&lt;'PlayerGrades+'!$AH$4,"A+",IF(R562&lt;'PlayerGrades+'!$AH$3,"S-",IF(R562&lt;'PlayerGrades+'!$AH$2,"S","S+"))))))))))))))))))))</f>
        <v>F-</v>
      </c>
      <c r="T562" s="978">
        <f t="shared" si="9"/>
        <v>0.5321507761</v>
      </c>
      <c r="U562" s="978" t="str">
        <f>IF(T562&lt;'PlayerGrades+'!$AI$21,"F-",IF(T562&lt;'PlayerGrades+'!$AI$20,"F",IF(T562&lt;'PlayerGrades+'!$AI$19,"F+",IF(T562&lt;'PlayerGrades+'!$AI$18,"E-",IF(T562&lt;'PlayerGrades+'!$AI$17,"E",IF(T562&lt;'PlayerGrades+'!$AI$16,"E+",IF(T562&lt;'PlayerGrades+'!$AI$15,"D-",IF(T562&lt;'PlayerGrades+'!$AI$14,"D",IF(T562&lt;'PlayerGrades+'!$AI$13,"D+",IF(T562&lt;'PlayerGrades+'!$AI$12,"C-",IF(T562&lt;'PlayerGrades+'!$AI$11,"C",IF(T562&lt;'PlayerGrades+'!$AI$10,"C+",IF(T562&lt;'PlayerGrades+'!$AI$9,"B-",IF(T562&lt;'PlayerGrades+'!$AI$8,"B",IF(T562&lt;'PlayerGrades+'!$AI$7,"B+",IF(T562&lt;'PlayerGrades+'!$AI$6,"A-",IF(T562&lt;'PlayerGrades+'!$AI$5,"A",IF(T562&lt;'PlayerGrades+'!$AI$4,"A+",IF(T562&lt;'PlayerGrades+'!$AI$3,"S-",IF(T562&lt;'PlayerGrades+'!$AI$2,"S","S+"))))))))))))))))))))</f>
        <v>F-</v>
      </c>
      <c r="V562" s="981">
        <v>1.0</v>
      </c>
      <c r="W562" s="981">
        <v>1.0</v>
      </c>
      <c r="X562" s="981">
        <v>0.0</v>
      </c>
      <c r="Y562" s="981">
        <v>3.0</v>
      </c>
      <c r="Z562" s="981">
        <v>6.0</v>
      </c>
      <c r="AA562" s="981">
        <v>23.0</v>
      </c>
      <c r="AB562" s="981">
        <v>15.0</v>
      </c>
      <c r="AC562" s="981">
        <v>8.0</v>
      </c>
      <c r="AD562" s="981">
        <v>0.0</v>
      </c>
      <c r="AE562" s="981">
        <v>5.0</v>
      </c>
      <c r="AF562" s="981">
        <v>0.0</v>
      </c>
      <c r="AG562" s="981">
        <v>321.0</v>
      </c>
      <c r="AH562" s="981">
        <v>451.0</v>
      </c>
      <c r="AI562" s="981">
        <v>21.0</v>
      </c>
      <c r="AJ562" s="981">
        <v>142.0</v>
      </c>
      <c r="AK562" s="981">
        <v>0.0</v>
      </c>
      <c r="AL562" s="981">
        <v>1.0</v>
      </c>
      <c r="AM562" s="981">
        <v>0.0</v>
      </c>
      <c r="AN562" s="981">
        <v>0.0</v>
      </c>
      <c r="AO562" s="981">
        <v>0.0</v>
      </c>
      <c r="AP562" s="981">
        <v>0.0</v>
      </c>
      <c r="AQ562" s="981">
        <v>0.0</v>
      </c>
      <c r="AR562" s="981">
        <v>4.0</v>
      </c>
      <c r="AS562" s="981">
        <v>0.0</v>
      </c>
      <c r="AT562" s="981">
        <v>0.0</v>
      </c>
      <c r="AU562" s="981">
        <v>0.0</v>
      </c>
      <c r="AV562" s="981">
        <v>0.0</v>
      </c>
      <c r="AW562" s="981">
        <v>0.0</v>
      </c>
      <c r="AX562" s="981">
        <v>0.0</v>
      </c>
      <c r="AY562" s="981">
        <v>0.0</v>
      </c>
      <c r="AZ562" s="981">
        <v>0.0</v>
      </c>
      <c r="BA562" s="981">
        <v>0.0</v>
      </c>
      <c r="BB562" s="981">
        <v>0.0</v>
      </c>
      <c r="BC562" s="981">
        <v>0.0</v>
      </c>
      <c r="BD562" s="981">
        <v>1.0</v>
      </c>
      <c r="BE562" s="981">
        <v>4.0</v>
      </c>
      <c r="BF562" s="981">
        <v>0.0</v>
      </c>
      <c r="BG562" s="982">
        <v>0.0</v>
      </c>
    </row>
    <row r="563">
      <c r="A563" s="935" t="s">
        <v>147</v>
      </c>
      <c r="B563" s="421" t="str">
        <f>IF(C563&lt;'PlayerGrades+'!$Y$44,"F-",IF(C563&lt;'PlayerGrades+'!$Y$43,"F",IF(C563&lt;'PlayerGrades+'!$Y$42,"F+",IF(C563&lt;'PlayerGrades+'!$Y$41,"E-",IF(C563&lt;'PlayerGrades+'!$Y$40,"E",IF(C563&lt;'PlayerGrades+'!$Y$39,"E+",IF(C563&lt;'PlayerGrades+'!$Y$38,"D-",IF(C563&lt;'PlayerGrades+'!$Y$37,"D",IF(C563&lt;'PlayerGrades+'!$Y$36,"D+",IF(C563&lt;'PlayerGrades+'!$Y$35,"C-",IF(C563&lt;'PlayerGrades+'!$Y$34,"C",IF(C563&lt;'PlayerGrades+'!$Y$33,"C+",IF(C563&lt;'PlayerGrades+'!$Y$32,"B-",IF(C563&lt;'PlayerGrades+'!$Y$31,"B",IF(C563&lt;'PlayerGrades+'!$Y$30,"B+",IF(C563&lt;'PlayerGrades+'!$Y$29,"A-",IF(C563&lt;'PlayerGrades+'!$Y$28,"A",IF(C563&lt;'PlayerGrades+'!$Y$27,"A+",IF(C563&lt;'PlayerGrades+'!$Y$26,"S-",IF(C563&lt;'PlayerGrades+'!$Y$25,"S","S+"))))))))))))))))))))</f>
        <v>D+</v>
      </c>
      <c r="C563" s="972">
        <f>('PlayerGrades+'!$Y$47*(VLOOKUP(E563, 'PlayerGrades+'!$X$3:$Y$23, 2, FALSE)))+('PlayerGrades+'!$Y$48*(VLOOKUP(G563, 'PlayerGrades+'!$X$3:$Y$23, 2, FALSE)))+('PlayerGrades+'!$Y$49*(VLOOKUP(I563, 'PlayerGrades+'!$X$3:$Y$23, 2, FALSE)))+('PlayerGrades+'!$Y$50*(VLOOKUP(K563, 'PlayerGrades+'!$X$3:$Y$23, 2, FALSE)))+('PlayerGrades+'!$Y$51*(VLOOKUP(M563, 'PlayerGrades+'!$X$3:$Y$23, 2, FALSE)))+('PlayerGrades+'!$Y$52*(VLOOKUP(O563, 'PlayerGrades+'!$X$3:$Y$23, 2, FALSE)))+('PlayerGrades+'!$Y$53*(VLOOKUP(Q563, 'PlayerGrades+'!$X$3:$Y$23, 2, FALSE)))+('PlayerGrades+'!$Y$54*(VLOOKUP(S563, 'PlayerGrades+'!$X$3:$Y$23, 2, FALSE)))+('PlayerGrades+'!$Y$55*(VLOOKUP(U563, 'PlayerGrades+'!$X$3:$Y$23, 2, FALSE)))</f>
        <v>17.95</v>
      </c>
      <c r="D563" s="973">
        <f t="shared" si="1"/>
        <v>0.266075388</v>
      </c>
      <c r="E563" s="973" t="str">
        <f>IF(D563&lt;'PlayerGrades+'!$AA$21,"F-",IF(D563&lt;'PlayerGrades+'!$AA$20,"F",IF(D563&lt;'PlayerGrades+'!$AA$19,"F+",IF(D563&lt;'PlayerGrades+'!$AA$18,"E-",IF(D563&lt;'PlayerGrades+'!$AA$17,"E",IF(D563&lt;'PlayerGrades+'!$AA$16,"E+",IF(D563&lt;'PlayerGrades+'!$AA$15,"D-",IF(D563&lt;'PlayerGrades+'!$AA$14,"D",IF(D563&lt;'PlayerGrades+'!$AA$13,"D+",IF(D563&lt;'PlayerGrades+'!$AA$12,"C-",IF(D563&lt;'PlayerGrades+'!$AA$11,"C",IF(D563&lt;'PlayerGrades+'!$AA$10,"C+",IF(D563&lt;'PlayerGrades+'!$AA$9,"B-",IF(D563&lt;'PlayerGrades+'!$AA$8,"B",IF(D563&lt;'PlayerGrades+'!$AA$7,"B+",IF(D563&lt;'PlayerGrades+'!$AA$6,"A-",IF(D563&lt;'PlayerGrades+'!$AA$5,"A",IF(D563&lt;'PlayerGrades+'!$AA$4,"A+",IF(D563&lt;'PlayerGrades+'!$AA$3,"S-",IF(D563&lt;'PlayerGrades+'!$AA$2,"S","S+"))))))))))))))))))))</f>
        <v>A-</v>
      </c>
      <c r="F563" s="973">
        <f t="shared" si="2"/>
        <v>0</v>
      </c>
      <c r="G563" s="973" t="str">
        <f>IF(F563&lt;'PlayerGrades+'!$AB$21,"F-",IF(F563&lt;'PlayerGrades+'!$AB$20,"F",IF(F563&lt;'PlayerGrades+'!$AB$19,"F+",IF(F563&lt;'PlayerGrades+'!$AB$18,"E-",IF(F563&lt;'PlayerGrades+'!$AB$17,"E",IF(F563&lt;'PlayerGrades+'!$AB$16,"E+",IF(F563&lt;'PlayerGrades+'!$AB$15,"D-",IF(F563&lt;'PlayerGrades+'!$AB$14,"D",IF(F563&lt;'PlayerGrades+'!$AB$13,"D+",IF(F563&lt;'PlayerGrades+'!$AB$12,"C-",IF(F563&lt;'PlayerGrades+'!$AB$11,"C",IF(F563&lt;'PlayerGrades+'!$AB$10,"C+",IF(F563&lt;'PlayerGrades+'!$AB$9,"B-",IF(F563&lt;'PlayerGrades+'!$AB$8,"B",IF(F563&lt;'PlayerGrades+'!$AB$7,"B+",IF(F563&lt;'PlayerGrades+'!$AB$6,"A-",IF(F563&lt;'PlayerGrades+'!$AB$5,"A",IF(F563&lt;'PlayerGrades+'!$AB$4,"A+",IF(F563&lt;'PlayerGrades+'!$AB$3,"S-",IF(F563&lt;'PlayerGrades+'!$AB$2,"S","S+"))))))))))))))))))))</f>
        <v>B</v>
      </c>
      <c r="H563" s="973">
        <f t="shared" si="3"/>
        <v>0</v>
      </c>
      <c r="I563" s="973" t="str">
        <f>IF(H563&lt;'PlayerGrades+'!$AC$21,"F-",IF(H563&lt;'PlayerGrades+'!$AC$20,"F",IF(H563&lt;'PlayerGrades+'!$AC$19,"F+",IF(H563&lt;'PlayerGrades+'!$AC$18,"E-",IF(H563&lt;'PlayerGrades+'!$AC$17,"E",IF(H563&lt;'PlayerGrades+'!$AC$16,"E+",IF(H563&lt;'PlayerGrades+'!$AC$15,"D-",IF(H563&lt;'PlayerGrades+'!$AC$14,"D",IF(H563&lt;'PlayerGrades+'!$AC$13,"D+",IF(H563&lt;'PlayerGrades+'!$AC$12,"C-",IF(H563&lt;'PlayerGrades+'!$AC$11,"C",IF(H563&lt;'PlayerGrades+'!$AC$10,"C+",IF(H563&lt;'PlayerGrades+'!$AC$9,"B-",IF(H563&lt;'PlayerGrades+'!$AC$8,"B",IF(H563&lt;'PlayerGrades+'!$AC$7,"B+",IF(H563&lt;'PlayerGrades+'!$AC$6,"A-",IF(H563&lt;'PlayerGrades+'!$AC$5,"A",IF(H563&lt;'PlayerGrades+'!$AC$4,"A+",IF(H563&lt;'PlayerGrades+'!$AC$3,"S-",IF(H563&lt;'PlayerGrades+'!$AC$2,"S","S+"))))))))))))))))))))</f>
        <v>F-</v>
      </c>
      <c r="J563" s="973">
        <f t="shared" si="4"/>
        <v>0</v>
      </c>
      <c r="K563" s="973" t="str">
        <f>IF(J563&lt;'PlayerGrades+'!$AD$21,"F-",IF(J563&lt;'PlayerGrades+'!$AD$20,"F",IF(J563&lt;'PlayerGrades+'!$AD$19,"F+",IF(J563&lt;'PlayerGrades+'!$AD$18,"E-",IF(J563&lt;'PlayerGrades+'!$AD$17,"E",IF(J563&lt;'PlayerGrades+'!$AD$16,"E+",IF(J563&lt;'PlayerGrades+'!$AD$15,"D-",IF(J563&lt;'PlayerGrades+'!$AD$14,"D",IF(J563&lt;'PlayerGrades+'!$AD$13,"D+",IF(J563&lt;'PlayerGrades+'!$AD$12,"C-",IF(J563&lt;'PlayerGrades+'!$AD$11,"C",IF(J563&lt;'PlayerGrades+'!$AD$10,"C+",IF(J563&lt;'PlayerGrades+'!$AD$9,"B-",IF(J563&lt;'PlayerGrades+'!$AD$8,"B",IF(J563&lt;'PlayerGrades+'!$AD$7,"B+",IF(J563&lt;'PlayerGrades+'!$AD$6,"A-",IF(J563&lt;'PlayerGrades+'!$AD$5,"A",IF(J563&lt;'PlayerGrades+'!$AD$4,"A+",IF(J563&lt;'PlayerGrades+'!$AD$3,"S-",IF(J563&lt;'PlayerGrades+'!$AD$2,"S","S+"))))))))))))))))))))</f>
        <v>F-</v>
      </c>
      <c r="L563" s="974">
        <f t="shared" si="5"/>
        <v>0.399113082</v>
      </c>
      <c r="M563" s="975" t="str">
        <f>IF(L563&lt;'PlayerGrades+'!$AE$21,"F-",IF(L563&lt;'PlayerGrades+'!$AE$20,"F",IF(L563&lt;'PlayerGrades+'!$AE$19,"F+",IF(L563&lt;'PlayerGrades+'!$AE$18,"E-",IF(L563&lt;'PlayerGrades+'!$AE$17,"E",IF(L563&lt;'PlayerGrades+'!$AE$16,"E+",IF(L563&lt;'PlayerGrades+'!$AE$15,"D-",IF(L563&lt;'PlayerGrades+'!$AE$14,"D",IF(L563&lt;'PlayerGrades+'!$AE$13,"D+",IF(L563&lt;'PlayerGrades+'!$AE$12,"C-",IF(L563&lt;'PlayerGrades+'!$AE$11,"C",IF(L563&lt;'PlayerGrades+'!$AE$10,"C+",IF(L563&lt;'PlayerGrades+'!$AE$9,"B-",IF(L563&lt;'PlayerGrades+'!$AE$8,"B",IF(L563&lt;'PlayerGrades+'!$AE$7,"B+",IF(L563&lt;'PlayerGrades+'!$AE$6,"A-",IF(L563&lt;'PlayerGrades+'!$AE$5,"A",IF(L563&lt;'PlayerGrades+'!$AE$4,"A+",IF(L563&lt;'PlayerGrades+'!$AE$3,"S-",IF(L563&lt;'PlayerGrades+'!$AE$2,"S","S+"))))))))))))))))))))</f>
        <v>C</v>
      </c>
      <c r="N563" s="973">
        <f t="shared" si="6"/>
        <v>0.133037694</v>
      </c>
      <c r="O563" s="973" t="str">
        <f>IF(N563&lt;'PlayerGrades+'!$AF$21,"F-",IF(N563&lt;'PlayerGrades+'!$AF$20,"F",IF(N563&lt;'PlayerGrades+'!$AF$19,"F+",IF(N563&lt;'PlayerGrades+'!$AF$18,"E-",IF(N563&lt;'PlayerGrades+'!$AF$17,"E",IF(N563&lt;'PlayerGrades+'!$AF$16,"E+",IF(N563&lt;'PlayerGrades+'!$AF$15,"D-",IF(N563&lt;'PlayerGrades+'!$AF$14,"D",IF(N563&lt;'PlayerGrades+'!$AF$13,"D+",IF(N563&lt;'PlayerGrades+'!$AF$12,"C-",IF(N563&lt;'PlayerGrades+'!$AF$11,"C",IF(N563&lt;'PlayerGrades+'!$AF$10,"C+",IF(N563&lt;'PlayerGrades+'!$AF$9,"B-",IF(N563&lt;'PlayerGrades+'!$AF$8,"B",IF(N563&lt;'PlayerGrades+'!$AF$7,"B+",IF(N563&lt;'PlayerGrades+'!$AF$6,"A-",IF(N563&lt;'PlayerGrades+'!$AF$5,"A",IF(N563&lt;'PlayerGrades+'!$AF$4,"A+",IF(N563&lt;'PlayerGrades+'!$AF$3,"S-",IF(N563&lt;'PlayerGrades+'!$AF$2,"S","S+"))))))))))))))))))))</f>
        <v>S</v>
      </c>
      <c r="P563" s="973">
        <f t="shared" si="7"/>
        <v>0</v>
      </c>
      <c r="Q563" s="973" t="str">
        <f>IF(P563&lt;'PlayerGrades+'!$AG$21,"F-",IF(P563&lt;'PlayerGrades+'!$AG$20,"F",IF(P563&lt;'PlayerGrades+'!$AG$19,"F+",IF(P563&lt;'PlayerGrades+'!$AG$18,"E-",IF(P563&lt;'PlayerGrades+'!$AG$17,"E",IF(P563&lt;'PlayerGrades+'!$AG$16,"E+",IF(P563&lt;'PlayerGrades+'!$AG$15,"D-",IF(P563&lt;'PlayerGrades+'!$AG$14,"D",IF(P563&lt;'PlayerGrades+'!$AG$13,"D+",IF(P563&lt;'PlayerGrades+'!$AG$12,"C-",IF(P563&lt;'PlayerGrades+'!$AG$11,"C",IF(P563&lt;'PlayerGrades+'!$AG$10,"C+",IF(P563&lt;'PlayerGrades+'!$AG$9,"B-",IF(P563&lt;'PlayerGrades+'!$AG$8,"B",IF(P563&lt;'PlayerGrades+'!$AG$7,"B+",IF(P563&lt;'PlayerGrades+'!$AG$6,"A-",IF(P563&lt;'PlayerGrades+'!$AG$5,"A",IF(P563&lt;'PlayerGrades+'!$AG$4,"A+",IF(P563&lt;'PlayerGrades+'!$AG$3,"S-",IF(P563&lt;'PlayerGrades+'!$AG$2,"S","S+"))))))))))))))))))))</f>
        <v>F</v>
      </c>
      <c r="R563" s="973">
        <f t="shared" si="8"/>
        <v>0.399113082</v>
      </c>
      <c r="S563" s="973" t="str">
        <f>IF(R563&lt;'PlayerGrades+'!$AH$21,"F-",IF(R563&lt;'PlayerGrades+'!$AH$20,"F",IF(R563&lt;'PlayerGrades+'!$AH$19,"F+",IF(R563&lt;'PlayerGrades+'!$AH$18,"E-",IF(R563&lt;'PlayerGrades+'!$AH$17,"E",IF(R563&lt;'PlayerGrades+'!$AH$16,"E+",IF(R563&lt;'PlayerGrades+'!$AH$15,"D-",IF(R563&lt;'PlayerGrades+'!$AH$14,"D",IF(R563&lt;'PlayerGrades+'!$AH$13,"D+",IF(R563&lt;'PlayerGrades+'!$AH$12,"C-",IF(R563&lt;'PlayerGrades+'!$AH$11,"C",IF(R563&lt;'PlayerGrades+'!$AH$10,"C+",IF(R563&lt;'PlayerGrades+'!$AH$9,"B-",IF(R563&lt;'PlayerGrades+'!$AH$8,"B",IF(R563&lt;'PlayerGrades+'!$AH$7,"B+",IF(R563&lt;'PlayerGrades+'!$AH$6,"A-",IF(R563&lt;'PlayerGrades+'!$AH$5,"A",IF(R563&lt;'PlayerGrades+'!$AH$4,"A+",IF(R563&lt;'PlayerGrades+'!$AH$3,"S-",IF(R563&lt;'PlayerGrades+'!$AH$2,"S","S+"))))))))))))))))))))</f>
        <v>F+</v>
      </c>
      <c r="T563" s="973">
        <f t="shared" si="9"/>
        <v>0.5321507761</v>
      </c>
      <c r="U563" s="973" t="str">
        <f>IF(T563&lt;'PlayerGrades+'!$AI$21,"F-",IF(T563&lt;'PlayerGrades+'!$AI$20,"F",IF(T563&lt;'PlayerGrades+'!$AI$19,"F+",IF(T563&lt;'PlayerGrades+'!$AI$18,"E-",IF(T563&lt;'PlayerGrades+'!$AI$17,"E",IF(T563&lt;'PlayerGrades+'!$AI$16,"E+",IF(T563&lt;'PlayerGrades+'!$AI$15,"D-",IF(T563&lt;'PlayerGrades+'!$AI$14,"D",IF(T563&lt;'PlayerGrades+'!$AI$13,"D+",IF(T563&lt;'PlayerGrades+'!$AI$12,"C-",IF(T563&lt;'PlayerGrades+'!$AI$11,"C",IF(T563&lt;'PlayerGrades+'!$AI$10,"C+",IF(T563&lt;'PlayerGrades+'!$AI$9,"B-",IF(T563&lt;'PlayerGrades+'!$AI$8,"B",IF(T563&lt;'PlayerGrades+'!$AI$7,"B+",IF(T563&lt;'PlayerGrades+'!$AI$6,"A-",IF(T563&lt;'PlayerGrades+'!$AI$5,"A",IF(T563&lt;'PlayerGrades+'!$AI$4,"A+",IF(T563&lt;'PlayerGrades+'!$AI$3,"S-",IF(T563&lt;'PlayerGrades+'!$AI$2,"S","S+"))))))))))))))))))))</f>
        <v>F-</v>
      </c>
      <c r="V563" s="983">
        <v>1.0</v>
      </c>
      <c r="W563" s="983">
        <v>1.0</v>
      </c>
      <c r="X563" s="983">
        <v>0.0</v>
      </c>
      <c r="Y563" s="983">
        <v>1.0</v>
      </c>
      <c r="Z563" s="983">
        <v>1.0</v>
      </c>
      <c r="AA563" s="983">
        <v>18.0</v>
      </c>
      <c r="AB563" s="983">
        <v>18.0</v>
      </c>
      <c r="AC563" s="983">
        <v>0.0</v>
      </c>
      <c r="AD563" s="983">
        <v>2.0</v>
      </c>
      <c r="AE563" s="983">
        <v>4.0</v>
      </c>
      <c r="AF563" s="983">
        <v>0.0</v>
      </c>
      <c r="AG563" s="983">
        <v>310.0</v>
      </c>
      <c r="AH563" s="983">
        <v>451.0</v>
      </c>
      <c r="AI563" s="983">
        <v>17.0</v>
      </c>
      <c r="AJ563" s="983">
        <v>4.0</v>
      </c>
      <c r="AK563" s="983">
        <v>0.0</v>
      </c>
      <c r="AL563" s="983">
        <v>0.0</v>
      </c>
      <c r="AM563" s="983">
        <v>0.0</v>
      </c>
      <c r="AN563" s="983">
        <v>0.0</v>
      </c>
      <c r="AO563" s="983">
        <v>0.0</v>
      </c>
      <c r="AP563" s="983">
        <v>0.0</v>
      </c>
      <c r="AQ563" s="983">
        <v>0.0</v>
      </c>
      <c r="AR563" s="983">
        <v>3.0</v>
      </c>
      <c r="AS563" s="983">
        <v>1.0</v>
      </c>
      <c r="AT563" s="983">
        <v>1.0</v>
      </c>
      <c r="AU563" s="983">
        <v>0.0</v>
      </c>
      <c r="AV563" s="983">
        <v>0.0</v>
      </c>
      <c r="AW563" s="983">
        <v>0.0</v>
      </c>
      <c r="AX563" s="983">
        <v>0.0</v>
      </c>
      <c r="AY563" s="983">
        <v>0.0</v>
      </c>
      <c r="AZ563" s="983">
        <v>0.0</v>
      </c>
      <c r="BA563" s="983">
        <v>0.0</v>
      </c>
      <c r="BB563" s="983">
        <v>0.0</v>
      </c>
      <c r="BC563" s="983">
        <v>0.0</v>
      </c>
      <c r="BD563" s="983">
        <v>1.0</v>
      </c>
      <c r="BE563" s="983">
        <v>4.0</v>
      </c>
      <c r="BF563" s="983">
        <v>0.0</v>
      </c>
      <c r="BG563" s="984">
        <v>0.0</v>
      </c>
    </row>
    <row r="564">
      <c r="A564" s="935" t="s">
        <v>136</v>
      </c>
      <c r="B564" s="421" t="str">
        <f>IF(C564&lt;'PlayerGrades+'!$Y$44,"F-",IF(C564&lt;'PlayerGrades+'!$Y$43,"F",IF(C564&lt;'PlayerGrades+'!$Y$42,"F+",IF(C564&lt;'PlayerGrades+'!$Y$41,"E-",IF(C564&lt;'PlayerGrades+'!$Y$40,"E",IF(C564&lt;'PlayerGrades+'!$Y$39,"E+",IF(C564&lt;'PlayerGrades+'!$Y$38,"D-",IF(C564&lt;'PlayerGrades+'!$Y$37,"D",IF(C564&lt;'PlayerGrades+'!$Y$36,"D+",IF(C564&lt;'PlayerGrades+'!$Y$35,"C-",IF(C564&lt;'PlayerGrades+'!$Y$34,"C",IF(C564&lt;'PlayerGrades+'!$Y$33,"C+",IF(C564&lt;'PlayerGrades+'!$Y$32,"B-",IF(C564&lt;'PlayerGrades+'!$Y$31,"B",IF(C564&lt;'PlayerGrades+'!$Y$30,"B+",IF(C564&lt;'PlayerGrades+'!$Y$29,"A-",IF(C564&lt;'PlayerGrades+'!$Y$28,"A",IF(C564&lt;'PlayerGrades+'!$Y$27,"A+",IF(C564&lt;'PlayerGrades+'!$Y$26,"S-",IF(C564&lt;'PlayerGrades+'!$Y$25,"S","S+"))))))))))))))))))))</f>
        <v>B+</v>
      </c>
      <c r="C564" s="972">
        <f>('PlayerGrades+'!$Y$47*(VLOOKUP(E564, 'PlayerGrades+'!$X$3:$Y$23, 2, FALSE)))+('PlayerGrades+'!$Y$48*(VLOOKUP(G564, 'PlayerGrades+'!$X$3:$Y$23, 2, FALSE)))+('PlayerGrades+'!$Y$49*(VLOOKUP(I564, 'PlayerGrades+'!$X$3:$Y$23, 2, FALSE)))+('PlayerGrades+'!$Y$50*(VLOOKUP(K564, 'PlayerGrades+'!$X$3:$Y$23, 2, FALSE)))+('PlayerGrades+'!$Y$51*(VLOOKUP(M564, 'PlayerGrades+'!$X$3:$Y$23, 2, FALSE)))+('PlayerGrades+'!$Y$52*(VLOOKUP(O564, 'PlayerGrades+'!$X$3:$Y$23, 2, FALSE)))+('PlayerGrades+'!$Y$53*(VLOOKUP(Q564, 'PlayerGrades+'!$X$3:$Y$23, 2, FALSE)))+('PlayerGrades+'!$Y$54*(VLOOKUP(S564, 'PlayerGrades+'!$X$3:$Y$23, 2, FALSE)))+('PlayerGrades+'!$Y$55*(VLOOKUP(U564, 'PlayerGrades+'!$X$3:$Y$23, 2, FALSE)))</f>
        <v>23.95</v>
      </c>
      <c r="D564" s="973">
        <f t="shared" si="1"/>
        <v>0.266075388</v>
      </c>
      <c r="E564" s="973" t="str">
        <f>IF(D564&lt;'PlayerGrades+'!$AA$21,"F-",IF(D564&lt;'PlayerGrades+'!$AA$20,"F",IF(D564&lt;'PlayerGrades+'!$AA$19,"F+",IF(D564&lt;'PlayerGrades+'!$AA$18,"E-",IF(D564&lt;'PlayerGrades+'!$AA$17,"E",IF(D564&lt;'PlayerGrades+'!$AA$16,"E+",IF(D564&lt;'PlayerGrades+'!$AA$15,"D-",IF(D564&lt;'PlayerGrades+'!$AA$14,"D",IF(D564&lt;'PlayerGrades+'!$AA$13,"D+",IF(D564&lt;'PlayerGrades+'!$AA$12,"C-",IF(D564&lt;'PlayerGrades+'!$AA$11,"C",IF(D564&lt;'PlayerGrades+'!$AA$10,"C+",IF(D564&lt;'PlayerGrades+'!$AA$9,"B-",IF(D564&lt;'PlayerGrades+'!$AA$8,"B",IF(D564&lt;'PlayerGrades+'!$AA$7,"B+",IF(D564&lt;'PlayerGrades+'!$AA$6,"A-",IF(D564&lt;'PlayerGrades+'!$AA$5,"A",IF(D564&lt;'PlayerGrades+'!$AA$4,"A+",IF(D564&lt;'PlayerGrades+'!$AA$3,"S-",IF(D564&lt;'PlayerGrades+'!$AA$2,"S","S+"))))))))))))))))))))</f>
        <v>A-</v>
      </c>
      <c r="F564" s="973">
        <f t="shared" si="2"/>
        <v>0.133037694</v>
      </c>
      <c r="G564" s="973" t="str">
        <f>IF(F564&lt;'PlayerGrades+'!$AB$21,"F-",IF(F564&lt;'PlayerGrades+'!$AB$20,"F",IF(F564&lt;'PlayerGrades+'!$AB$19,"F+",IF(F564&lt;'PlayerGrades+'!$AB$18,"E-",IF(F564&lt;'PlayerGrades+'!$AB$17,"E",IF(F564&lt;'PlayerGrades+'!$AB$16,"E+",IF(F564&lt;'PlayerGrades+'!$AB$15,"D-",IF(F564&lt;'PlayerGrades+'!$AB$14,"D",IF(F564&lt;'PlayerGrades+'!$AB$13,"D+",IF(F564&lt;'PlayerGrades+'!$AB$12,"C-",IF(F564&lt;'PlayerGrades+'!$AB$11,"C",IF(F564&lt;'PlayerGrades+'!$AB$10,"C+",IF(F564&lt;'PlayerGrades+'!$AB$9,"B-",IF(F564&lt;'PlayerGrades+'!$AB$8,"B",IF(F564&lt;'PlayerGrades+'!$AB$7,"B+",IF(F564&lt;'PlayerGrades+'!$AB$6,"A-",IF(F564&lt;'PlayerGrades+'!$AB$5,"A",IF(F564&lt;'PlayerGrades+'!$AB$4,"A+",IF(F564&lt;'PlayerGrades+'!$AB$3,"S-",IF(F564&lt;'PlayerGrades+'!$AB$2,"S","S+"))))))))))))))))))))</f>
        <v>B+</v>
      </c>
      <c r="H564" s="973">
        <f t="shared" si="3"/>
        <v>0</v>
      </c>
      <c r="I564" s="973" t="str">
        <f>IF(H564&lt;'PlayerGrades+'!$AC$21,"F-",IF(H564&lt;'PlayerGrades+'!$AC$20,"F",IF(H564&lt;'PlayerGrades+'!$AC$19,"F+",IF(H564&lt;'PlayerGrades+'!$AC$18,"E-",IF(H564&lt;'PlayerGrades+'!$AC$17,"E",IF(H564&lt;'PlayerGrades+'!$AC$16,"E+",IF(H564&lt;'PlayerGrades+'!$AC$15,"D-",IF(H564&lt;'PlayerGrades+'!$AC$14,"D",IF(H564&lt;'PlayerGrades+'!$AC$13,"D+",IF(H564&lt;'PlayerGrades+'!$AC$12,"C-",IF(H564&lt;'PlayerGrades+'!$AC$11,"C",IF(H564&lt;'PlayerGrades+'!$AC$10,"C+",IF(H564&lt;'PlayerGrades+'!$AC$9,"B-",IF(H564&lt;'PlayerGrades+'!$AC$8,"B",IF(H564&lt;'PlayerGrades+'!$AC$7,"B+",IF(H564&lt;'PlayerGrades+'!$AC$6,"A-",IF(H564&lt;'PlayerGrades+'!$AC$5,"A",IF(H564&lt;'PlayerGrades+'!$AC$4,"A+",IF(H564&lt;'PlayerGrades+'!$AC$3,"S-",IF(H564&lt;'PlayerGrades+'!$AC$2,"S","S+"))))))))))))))))))))</f>
        <v>F-</v>
      </c>
      <c r="J564" s="973">
        <f t="shared" si="4"/>
        <v>0</v>
      </c>
      <c r="K564" s="973" t="str">
        <f>IF(J564&lt;'PlayerGrades+'!$AD$21,"F-",IF(J564&lt;'PlayerGrades+'!$AD$20,"F",IF(J564&lt;'PlayerGrades+'!$AD$19,"F+",IF(J564&lt;'PlayerGrades+'!$AD$18,"E-",IF(J564&lt;'PlayerGrades+'!$AD$17,"E",IF(J564&lt;'PlayerGrades+'!$AD$16,"E+",IF(J564&lt;'PlayerGrades+'!$AD$15,"D-",IF(J564&lt;'PlayerGrades+'!$AD$14,"D",IF(J564&lt;'PlayerGrades+'!$AD$13,"D+",IF(J564&lt;'PlayerGrades+'!$AD$12,"C-",IF(J564&lt;'PlayerGrades+'!$AD$11,"C",IF(J564&lt;'PlayerGrades+'!$AD$10,"C+",IF(J564&lt;'PlayerGrades+'!$AD$9,"B-",IF(J564&lt;'PlayerGrades+'!$AD$8,"B",IF(J564&lt;'PlayerGrades+'!$AD$7,"B+",IF(J564&lt;'PlayerGrades+'!$AD$6,"A-",IF(J564&lt;'PlayerGrades+'!$AD$5,"A",IF(J564&lt;'PlayerGrades+'!$AD$4,"A+",IF(J564&lt;'PlayerGrades+'!$AD$3,"S-",IF(J564&lt;'PlayerGrades+'!$AD$2,"S","S+"))))))))))))))))))))</f>
        <v>F-</v>
      </c>
      <c r="L564" s="974">
        <f t="shared" si="5"/>
        <v>0.7982261641</v>
      </c>
      <c r="M564" s="975" t="str">
        <f>IF(L564&lt;'PlayerGrades+'!$AE$21,"F-",IF(L564&lt;'PlayerGrades+'!$AE$20,"F",IF(L564&lt;'PlayerGrades+'!$AE$19,"F+",IF(L564&lt;'PlayerGrades+'!$AE$18,"E-",IF(L564&lt;'PlayerGrades+'!$AE$17,"E",IF(L564&lt;'PlayerGrades+'!$AE$16,"E+",IF(L564&lt;'PlayerGrades+'!$AE$15,"D-",IF(L564&lt;'PlayerGrades+'!$AE$14,"D",IF(L564&lt;'PlayerGrades+'!$AE$13,"D+",IF(L564&lt;'PlayerGrades+'!$AE$12,"C-",IF(L564&lt;'PlayerGrades+'!$AE$11,"C",IF(L564&lt;'PlayerGrades+'!$AE$10,"C+",IF(L564&lt;'PlayerGrades+'!$AE$9,"B-",IF(L564&lt;'PlayerGrades+'!$AE$8,"B",IF(L564&lt;'PlayerGrades+'!$AE$7,"B+",IF(L564&lt;'PlayerGrades+'!$AE$6,"A-",IF(L564&lt;'PlayerGrades+'!$AE$5,"A",IF(L564&lt;'PlayerGrades+'!$AE$4,"A+",IF(L564&lt;'PlayerGrades+'!$AE$3,"S-",IF(L564&lt;'PlayerGrades+'!$AE$2,"S","S+"))))))))))))))))))))</f>
        <v>S+</v>
      </c>
      <c r="N564" s="973">
        <f t="shared" si="6"/>
        <v>0.133037694</v>
      </c>
      <c r="O564" s="973" t="str">
        <f>IF(N564&lt;'PlayerGrades+'!$AF$21,"F-",IF(N564&lt;'PlayerGrades+'!$AF$20,"F",IF(N564&lt;'PlayerGrades+'!$AF$19,"F+",IF(N564&lt;'PlayerGrades+'!$AF$18,"E-",IF(N564&lt;'PlayerGrades+'!$AF$17,"E",IF(N564&lt;'PlayerGrades+'!$AF$16,"E+",IF(N564&lt;'PlayerGrades+'!$AF$15,"D-",IF(N564&lt;'PlayerGrades+'!$AF$14,"D",IF(N564&lt;'PlayerGrades+'!$AF$13,"D+",IF(N564&lt;'PlayerGrades+'!$AF$12,"C-",IF(N564&lt;'PlayerGrades+'!$AF$11,"C",IF(N564&lt;'PlayerGrades+'!$AF$10,"C+",IF(N564&lt;'PlayerGrades+'!$AF$9,"B-",IF(N564&lt;'PlayerGrades+'!$AF$8,"B",IF(N564&lt;'PlayerGrades+'!$AF$7,"B+",IF(N564&lt;'PlayerGrades+'!$AF$6,"A-",IF(N564&lt;'PlayerGrades+'!$AF$5,"A",IF(N564&lt;'PlayerGrades+'!$AF$4,"A+",IF(N564&lt;'PlayerGrades+'!$AF$3,"S-",IF(N564&lt;'PlayerGrades+'!$AF$2,"S","S+"))))))))))))))))))))</f>
        <v>S</v>
      </c>
      <c r="P564" s="973">
        <f t="shared" si="7"/>
        <v>0</v>
      </c>
      <c r="Q564" s="973" t="str">
        <f>IF(P564&lt;'PlayerGrades+'!$AG$21,"F-",IF(P564&lt;'PlayerGrades+'!$AG$20,"F",IF(P564&lt;'PlayerGrades+'!$AG$19,"F+",IF(P564&lt;'PlayerGrades+'!$AG$18,"E-",IF(P564&lt;'PlayerGrades+'!$AG$17,"E",IF(P564&lt;'PlayerGrades+'!$AG$16,"E+",IF(P564&lt;'PlayerGrades+'!$AG$15,"D-",IF(P564&lt;'PlayerGrades+'!$AG$14,"D",IF(P564&lt;'PlayerGrades+'!$AG$13,"D+",IF(P564&lt;'PlayerGrades+'!$AG$12,"C-",IF(P564&lt;'PlayerGrades+'!$AG$11,"C",IF(P564&lt;'PlayerGrades+'!$AG$10,"C+",IF(P564&lt;'PlayerGrades+'!$AG$9,"B-",IF(P564&lt;'PlayerGrades+'!$AG$8,"B",IF(P564&lt;'PlayerGrades+'!$AG$7,"B+",IF(P564&lt;'PlayerGrades+'!$AG$6,"A-",IF(P564&lt;'PlayerGrades+'!$AG$5,"A",IF(P564&lt;'PlayerGrades+'!$AG$4,"A+",IF(P564&lt;'PlayerGrades+'!$AG$3,"S-",IF(P564&lt;'PlayerGrades+'!$AG$2,"S","S+"))))))))))))))))))))</f>
        <v>F</v>
      </c>
      <c r="R564" s="973">
        <f t="shared" si="8"/>
        <v>0.6651884701</v>
      </c>
      <c r="S564" s="973" t="str">
        <f>IF(R564&lt;'PlayerGrades+'!$AH$21,"F-",IF(R564&lt;'PlayerGrades+'!$AH$20,"F",IF(R564&lt;'PlayerGrades+'!$AH$19,"F+",IF(R564&lt;'PlayerGrades+'!$AH$18,"E-",IF(R564&lt;'PlayerGrades+'!$AH$17,"E",IF(R564&lt;'PlayerGrades+'!$AH$16,"E+",IF(R564&lt;'PlayerGrades+'!$AH$15,"D-",IF(R564&lt;'PlayerGrades+'!$AH$14,"D",IF(R564&lt;'PlayerGrades+'!$AH$13,"D+",IF(R564&lt;'PlayerGrades+'!$AH$12,"C-",IF(R564&lt;'PlayerGrades+'!$AH$11,"C",IF(R564&lt;'PlayerGrades+'!$AH$10,"C+",IF(R564&lt;'PlayerGrades+'!$AH$9,"B-",IF(R564&lt;'PlayerGrades+'!$AH$8,"B",IF(R564&lt;'PlayerGrades+'!$AH$7,"B+",IF(R564&lt;'PlayerGrades+'!$AH$6,"A-",IF(R564&lt;'PlayerGrades+'!$AH$5,"A",IF(R564&lt;'PlayerGrades+'!$AH$4,"A+",IF(R564&lt;'PlayerGrades+'!$AH$3,"S-",IF(R564&lt;'PlayerGrades+'!$AH$2,"S","S+"))))))))))))))))))))</f>
        <v>A+</v>
      </c>
      <c r="T564" s="973">
        <f t="shared" si="9"/>
        <v>0</v>
      </c>
      <c r="U564" s="973" t="str">
        <f>IF(T564&lt;'PlayerGrades+'!$AI$21,"F-",IF(T564&lt;'PlayerGrades+'!$AI$20,"F",IF(T564&lt;'PlayerGrades+'!$AI$19,"F+",IF(T564&lt;'PlayerGrades+'!$AI$18,"E-",IF(T564&lt;'PlayerGrades+'!$AI$17,"E",IF(T564&lt;'PlayerGrades+'!$AI$16,"E+",IF(T564&lt;'PlayerGrades+'!$AI$15,"D-",IF(T564&lt;'PlayerGrades+'!$AI$14,"D",IF(T564&lt;'PlayerGrades+'!$AI$13,"D+",IF(T564&lt;'PlayerGrades+'!$AI$12,"C-",IF(T564&lt;'PlayerGrades+'!$AI$11,"C",IF(T564&lt;'PlayerGrades+'!$AI$10,"C+",IF(T564&lt;'PlayerGrades+'!$AI$9,"B-",IF(T564&lt;'PlayerGrades+'!$AI$8,"B",IF(T564&lt;'PlayerGrades+'!$AI$7,"B+",IF(T564&lt;'PlayerGrades+'!$AI$6,"A-",IF(T564&lt;'PlayerGrades+'!$AI$5,"A",IF(T564&lt;'PlayerGrades+'!$AI$4,"A+",IF(T564&lt;'PlayerGrades+'!$AI$3,"S-",IF(T564&lt;'PlayerGrades+'!$AI$2,"S","S+"))))))))))))))))))))</f>
        <v>F-</v>
      </c>
      <c r="V564" s="983">
        <v>1.0</v>
      </c>
      <c r="W564" s="983">
        <v>1.0</v>
      </c>
      <c r="X564" s="983">
        <v>0.0</v>
      </c>
      <c r="Y564" s="983">
        <v>1.0</v>
      </c>
      <c r="Z564" s="983">
        <v>1.0</v>
      </c>
      <c r="AA564" s="983">
        <v>28.0</v>
      </c>
      <c r="AB564" s="983">
        <v>27.0</v>
      </c>
      <c r="AC564" s="983">
        <v>1.0</v>
      </c>
      <c r="AD564" s="983">
        <v>0.0</v>
      </c>
      <c r="AE564" s="983">
        <v>3.0</v>
      </c>
      <c r="AF564" s="983">
        <v>1.0</v>
      </c>
      <c r="AG564" s="983">
        <v>290.0</v>
      </c>
      <c r="AH564" s="983">
        <v>451.0</v>
      </c>
      <c r="AI564" s="983">
        <v>10.0</v>
      </c>
      <c r="AJ564" s="983">
        <v>11.0</v>
      </c>
      <c r="AK564" s="983">
        <v>0.0</v>
      </c>
      <c r="AL564" s="983">
        <v>0.0</v>
      </c>
      <c r="AM564" s="983">
        <v>0.0</v>
      </c>
      <c r="AN564" s="983">
        <v>0.0</v>
      </c>
      <c r="AO564" s="983">
        <v>0.0</v>
      </c>
      <c r="AP564" s="983">
        <v>0.0</v>
      </c>
      <c r="AQ564" s="983">
        <v>0.0</v>
      </c>
      <c r="AR564" s="983">
        <v>6.0</v>
      </c>
      <c r="AS564" s="983">
        <v>1.0</v>
      </c>
      <c r="AT564" s="983">
        <v>0.0</v>
      </c>
      <c r="AU564" s="983">
        <v>0.0</v>
      </c>
      <c r="AV564" s="983">
        <v>0.0</v>
      </c>
      <c r="AW564" s="983">
        <v>0.0</v>
      </c>
      <c r="AX564" s="983">
        <v>0.0</v>
      </c>
      <c r="AY564" s="983">
        <v>0.0</v>
      </c>
      <c r="AZ564" s="983">
        <v>0.0</v>
      </c>
      <c r="BA564" s="983">
        <v>0.0</v>
      </c>
      <c r="BB564" s="983">
        <v>0.0</v>
      </c>
      <c r="BC564" s="983">
        <v>0.0</v>
      </c>
      <c r="BD564" s="983">
        <v>5.0</v>
      </c>
      <c r="BE564" s="983">
        <v>0.0</v>
      </c>
      <c r="BF564" s="983">
        <v>0.0</v>
      </c>
      <c r="BG564" s="984">
        <v>0.0</v>
      </c>
    </row>
    <row r="565">
      <c r="A565" s="935" t="s">
        <v>132</v>
      </c>
      <c r="B565" s="421" t="str">
        <f>IF(C565&lt;'PlayerGrades+'!$Y$44,"F-",IF(C565&lt;'PlayerGrades+'!$Y$43,"F",IF(C565&lt;'PlayerGrades+'!$Y$42,"F+",IF(C565&lt;'PlayerGrades+'!$Y$41,"E-",IF(C565&lt;'PlayerGrades+'!$Y$40,"E",IF(C565&lt;'PlayerGrades+'!$Y$39,"E+",IF(C565&lt;'PlayerGrades+'!$Y$38,"D-",IF(C565&lt;'PlayerGrades+'!$Y$37,"D",IF(C565&lt;'PlayerGrades+'!$Y$36,"D+",IF(C565&lt;'PlayerGrades+'!$Y$35,"C-",IF(C565&lt;'PlayerGrades+'!$Y$34,"C",IF(C565&lt;'PlayerGrades+'!$Y$33,"C+",IF(C565&lt;'PlayerGrades+'!$Y$32,"B-",IF(C565&lt;'PlayerGrades+'!$Y$31,"B",IF(C565&lt;'PlayerGrades+'!$Y$30,"B+",IF(C565&lt;'PlayerGrades+'!$Y$29,"A-",IF(C565&lt;'PlayerGrades+'!$Y$28,"A",IF(C565&lt;'PlayerGrades+'!$Y$27,"A+",IF(C565&lt;'PlayerGrades+'!$Y$26,"S-",IF(C565&lt;'PlayerGrades+'!$Y$25,"S","S+"))))))))))))))))))))</f>
        <v>C</v>
      </c>
      <c r="C565" s="972">
        <f>('PlayerGrades+'!$Y$47*(VLOOKUP(E565, 'PlayerGrades+'!$X$3:$Y$23, 2, FALSE)))+('PlayerGrades+'!$Y$48*(VLOOKUP(G565, 'PlayerGrades+'!$X$3:$Y$23, 2, FALSE)))+('PlayerGrades+'!$Y$49*(VLOOKUP(I565, 'PlayerGrades+'!$X$3:$Y$23, 2, FALSE)))+('PlayerGrades+'!$Y$50*(VLOOKUP(K565, 'PlayerGrades+'!$X$3:$Y$23, 2, FALSE)))+('PlayerGrades+'!$Y$51*(VLOOKUP(M565, 'PlayerGrades+'!$X$3:$Y$23, 2, FALSE)))+('PlayerGrades+'!$Y$52*(VLOOKUP(O565, 'PlayerGrades+'!$X$3:$Y$23, 2, FALSE)))+('PlayerGrades+'!$Y$53*(VLOOKUP(Q565, 'PlayerGrades+'!$X$3:$Y$23, 2, FALSE)))+('PlayerGrades+'!$Y$54*(VLOOKUP(S565, 'PlayerGrades+'!$X$3:$Y$23, 2, FALSE)))+('PlayerGrades+'!$Y$55*(VLOOKUP(U565, 'PlayerGrades+'!$X$3:$Y$23, 2, FALSE)))</f>
        <v>19.7</v>
      </c>
      <c r="D565" s="973">
        <f t="shared" si="1"/>
        <v>0</v>
      </c>
      <c r="E565" s="973" t="str">
        <f>IF(D565&lt;'PlayerGrades+'!$AA$21,"F-",IF(D565&lt;'PlayerGrades+'!$AA$20,"F",IF(D565&lt;'PlayerGrades+'!$AA$19,"F+",IF(D565&lt;'PlayerGrades+'!$AA$18,"E-",IF(D565&lt;'PlayerGrades+'!$AA$17,"E",IF(D565&lt;'PlayerGrades+'!$AA$16,"E+",IF(D565&lt;'PlayerGrades+'!$AA$15,"D-",IF(D565&lt;'PlayerGrades+'!$AA$14,"D",IF(D565&lt;'PlayerGrades+'!$AA$13,"D+",IF(D565&lt;'PlayerGrades+'!$AA$12,"C-",IF(D565&lt;'PlayerGrades+'!$AA$11,"C",IF(D565&lt;'PlayerGrades+'!$AA$10,"C+",IF(D565&lt;'PlayerGrades+'!$AA$9,"B-",IF(D565&lt;'PlayerGrades+'!$AA$8,"B",IF(D565&lt;'PlayerGrades+'!$AA$7,"B+",IF(D565&lt;'PlayerGrades+'!$AA$6,"A-",IF(D565&lt;'PlayerGrades+'!$AA$5,"A",IF(D565&lt;'PlayerGrades+'!$AA$4,"A+",IF(D565&lt;'PlayerGrades+'!$AA$3,"S-",IF(D565&lt;'PlayerGrades+'!$AA$2,"S","S+"))))))))))))))))))))</f>
        <v>F-</v>
      </c>
      <c r="F565" s="973">
        <f t="shared" si="2"/>
        <v>0.5321507761</v>
      </c>
      <c r="G565" s="973" t="str">
        <f>IF(F565&lt;'PlayerGrades+'!$AB$21,"F-",IF(F565&lt;'PlayerGrades+'!$AB$20,"F",IF(F565&lt;'PlayerGrades+'!$AB$19,"F+",IF(F565&lt;'PlayerGrades+'!$AB$18,"E-",IF(F565&lt;'PlayerGrades+'!$AB$17,"E",IF(F565&lt;'PlayerGrades+'!$AB$16,"E+",IF(F565&lt;'PlayerGrades+'!$AB$15,"D-",IF(F565&lt;'PlayerGrades+'!$AB$14,"D",IF(F565&lt;'PlayerGrades+'!$AB$13,"D+",IF(F565&lt;'PlayerGrades+'!$AB$12,"C-",IF(F565&lt;'PlayerGrades+'!$AB$11,"C",IF(F565&lt;'PlayerGrades+'!$AB$10,"C+",IF(F565&lt;'PlayerGrades+'!$AB$9,"B-",IF(F565&lt;'PlayerGrades+'!$AB$8,"B",IF(F565&lt;'PlayerGrades+'!$AB$7,"B+",IF(F565&lt;'PlayerGrades+'!$AB$6,"A-",IF(F565&lt;'PlayerGrades+'!$AB$5,"A",IF(F565&lt;'PlayerGrades+'!$AB$4,"A+",IF(F565&lt;'PlayerGrades+'!$AB$3,"S-",IF(F565&lt;'PlayerGrades+'!$AB$2,"S","S+"))))))))))))))))))))</f>
        <v>A+</v>
      </c>
      <c r="H565" s="973">
        <f t="shared" si="3"/>
        <v>0.133037694</v>
      </c>
      <c r="I565" s="973" t="str">
        <f>IF(H565&lt;'PlayerGrades+'!$AC$21,"F-",IF(H565&lt;'PlayerGrades+'!$AC$20,"F",IF(H565&lt;'PlayerGrades+'!$AC$19,"F+",IF(H565&lt;'PlayerGrades+'!$AC$18,"E-",IF(H565&lt;'PlayerGrades+'!$AC$17,"E",IF(H565&lt;'PlayerGrades+'!$AC$16,"E+",IF(H565&lt;'PlayerGrades+'!$AC$15,"D-",IF(H565&lt;'PlayerGrades+'!$AC$14,"D",IF(H565&lt;'PlayerGrades+'!$AC$13,"D+",IF(H565&lt;'PlayerGrades+'!$AC$12,"C-",IF(H565&lt;'PlayerGrades+'!$AC$11,"C",IF(H565&lt;'PlayerGrades+'!$AC$10,"C+",IF(H565&lt;'PlayerGrades+'!$AC$9,"B-",IF(H565&lt;'PlayerGrades+'!$AC$8,"B",IF(H565&lt;'PlayerGrades+'!$AC$7,"B+",IF(H565&lt;'PlayerGrades+'!$AC$6,"A-",IF(H565&lt;'PlayerGrades+'!$AC$5,"A",IF(H565&lt;'PlayerGrades+'!$AC$4,"A+",IF(H565&lt;'PlayerGrades+'!$AC$3,"S-",IF(H565&lt;'PlayerGrades+'!$AC$2,"S","S+"))))))))))))))))))))</f>
        <v>B</v>
      </c>
      <c r="J565" s="973">
        <f t="shared" si="4"/>
        <v>0</v>
      </c>
      <c r="K565" s="973" t="str">
        <f>IF(J565&lt;'PlayerGrades+'!$AD$21,"F-",IF(J565&lt;'PlayerGrades+'!$AD$20,"F",IF(J565&lt;'PlayerGrades+'!$AD$19,"F+",IF(J565&lt;'PlayerGrades+'!$AD$18,"E-",IF(J565&lt;'PlayerGrades+'!$AD$17,"E",IF(J565&lt;'PlayerGrades+'!$AD$16,"E+",IF(J565&lt;'PlayerGrades+'!$AD$15,"D-",IF(J565&lt;'PlayerGrades+'!$AD$14,"D",IF(J565&lt;'PlayerGrades+'!$AD$13,"D+",IF(J565&lt;'PlayerGrades+'!$AD$12,"C-",IF(J565&lt;'PlayerGrades+'!$AD$11,"C",IF(J565&lt;'PlayerGrades+'!$AD$10,"C+",IF(J565&lt;'PlayerGrades+'!$AD$9,"B-",IF(J565&lt;'PlayerGrades+'!$AD$8,"B",IF(J565&lt;'PlayerGrades+'!$AD$7,"B+",IF(J565&lt;'PlayerGrades+'!$AD$6,"A-",IF(J565&lt;'PlayerGrades+'!$AD$5,"A",IF(J565&lt;'PlayerGrades+'!$AD$4,"A+",IF(J565&lt;'PlayerGrades+'!$AD$3,"S-",IF(J565&lt;'PlayerGrades+'!$AD$2,"S","S+"))))))))))))))))))))</f>
        <v>F-</v>
      </c>
      <c r="L565" s="974">
        <f t="shared" si="5"/>
        <v>0.6651884701</v>
      </c>
      <c r="M565" s="975" t="str">
        <f>IF(L565&lt;'PlayerGrades+'!$AE$21,"F-",IF(L565&lt;'PlayerGrades+'!$AE$20,"F",IF(L565&lt;'PlayerGrades+'!$AE$19,"F+",IF(L565&lt;'PlayerGrades+'!$AE$18,"E-",IF(L565&lt;'PlayerGrades+'!$AE$17,"E",IF(L565&lt;'PlayerGrades+'!$AE$16,"E+",IF(L565&lt;'PlayerGrades+'!$AE$15,"D-",IF(L565&lt;'PlayerGrades+'!$AE$14,"D",IF(L565&lt;'PlayerGrades+'!$AE$13,"D+",IF(L565&lt;'PlayerGrades+'!$AE$12,"C-",IF(L565&lt;'PlayerGrades+'!$AE$11,"C",IF(L565&lt;'PlayerGrades+'!$AE$10,"C+",IF(L565&lt;'PlayerGrades+'!$AE$9,"B-",IF(L565&lt;'PlayerGrades+'!$AE$8,"B",IF(L565&lt;'PlayerGrades+'!$AE$7,"B+",IF(L565&lt;'PlayerGrades+'!$AE$6,"A-",IF(L565&lt;'PlayerGrades+'!$AE$5,"A",IF(L565&lt;'PlayerGrades+'!$AE$4,"A+",IF(L565&lt;'PlayerGrades+'!$AE$3,"S-",IF(L565&lt;'PlayerGrades+'!$AE$2,"S","S+"))))))))))))))))))))</f>
        <v>S</v>
      </c>
      <c r="N565" s="973">
        <f t="shared" si="6"/>
        <v>0</v>
      </c>
      <c r="O565" s="973" t="str">
        <f>IF(N565&lt;'PlayerGrades+'!$AF$21,"F-",IF(N565&lt;'PlayerGrades+'!$AF$20,"F",IF(N565&lt;'PlayerGrades+'!$AF$19,"F+",IF(N565&lt;'PlayerGrades+'!$AF$18,"E-",IF(N565&lt;'PlayerGrades+'!$AF$17,"E",IF(N565&lt;'PlayerGrades+'!$AF$16,"E+",IF(N565&lt;'PlayerGrades+'!$AF$15,"D-",IF(N565&lt;'PlayerGrades+'!$AF$14,"D",IF(N565&lt;'PlayerGrades+'!$AF$13,"D+",IF(N565&lt;'PlayerGrades+'!$AF$12,"C-",IF(N565&lt;'PlayerGrades+'!$AF$11,"C",IF(N565&lt;'PlayerGrades+'!$AF$10,"C+",IF(N565&lt;'PlayerGrades+'!$AF$9,"B-",IF(N565&lt;'PlayerGrades+'!$AF$8,"B",IF(N565&lt;'PlayerGrades+'!$AF$7,"B+",IF(N565&lt;'PlayerGrades+'!$AF$6,"A-",IF(N565&lt;'PlayerGrades+'!$AF$5,"A",IF(N565&lt;'PlayerGrades+'!$AF$4,"A+",IF(N565&lt;'PlayerGrades+'!$AF$3,"S-",IF(N565&lt;'PlayerGrades+'!$AF$2,"S","S+"))))))))))))))))))))</f>
        <v>F-</v>
      </c>
      <c r="P565" s="973">
        <f t="shared" si="7"/>
        <v>0</v>
      </c>
      <c r="Q565" s="973" t="str">
        <f>IF(P565&lt;'PlayerGrades+'!$AG$21,"F-",IF(P565&lt;'PlayerGrades+'!$AG$20,"F",IF(P565&lt;'PlayerGrades+'!$AG$19,"F+",IF(P565&lt;'PlayerGrades+'!$AG$18,"E-",IF(P565&lt;'PlayerGrades+'!$AG$17,"E",IF(P565&lt;'PlayerGrades+'!$AG$16,"E+",IF(P565&lt;'PlayerGrades+'!$AG$15,"D-",IF(P565&lt;'PlayerGrades+'!$AG$14,"D",IF(P565&lt;'PlayerGrades+'!$AG$13,"D+",IF(P565&lt;'PlayerGrades+'!$AG$12,"C-",IF(P565&lt;'PlayerGrades+'!$AG$11,"C",IF(P565&lt;'PlayerGrades+'!$AG$10,"C+",IF(P565&lt;'PlayerGrades+'!$AG$9,"B-",IF(P565&lt;'PlayerGrades+'!$AG$8,"B",IF(P565&lt;'PlayerGrades+'!$AG$7,"B+",IF(P565&lt;'PlayerGrades+'!$AG$6,"A-",IF(P565&lt;'PlayerGrades+'!$AG$5,"A",IF(P565&lt;'PlayerGrades+'!$AG$4,"A+",IF(P565&lt;'PlayerGrades+'!$AG$3,"S-",IF(P565&lt;'PlayerGrades+'!$AG$2,"S","S+"))))))))))))))))))))</f>
        <v>F</v>
      </c>
      <c r="R565" s="973">
        <f t="shared" si="8"/>
        <v>0.6651884701</v>
      </c>
      <c r="S565" s="973" t="str">
        <f>IF(R565&lt;'PlayerGrades+'!$AH$21,"F-",IF(R565&lt;'PlayerGrades+'!$AH$20,"F",IF(R565&lt;'PlayerGrades+'!$AH$19,"F+",IF(R565&lt;'PlayerGrades+'!$AH$18,"E-",IF(R565&lt;'PlayerGrades+'!$AH$17,"E",IF(R565&lt;'PlayerGrades+'!$AH$16,"E+",IF(R565&lt;'PlayerGrades+'!$AH$15,"D-",IF(R565&lt;'PlayerGrades+'!$AH$14,"D",IF(R565&lt;'PlayerGrades+'!$AH$13,"D+",IF(R565&lt;'PlayerGrades+'!$AH$12,"C-",IF(R565&lt;'PlayerGrades+'!$AH$11,"C",IF(R565&lt;'PlayerGrades+'!$AH$10,"C+",IF(R565&lt;'PlayerGrades+'!$AH$9,"B-",IF(R565&lt;'PlayerGrades+'!$AH$8,"B",IF(R565&lt;'PlayerGrades+'!$AH$7,"B+",IF(R565&lt;'PlayerGrades+'!$AH$6,"A-",IF(R565&lt;'PlayerGrades+'!$AH$5,"A",IF(R565&lt;'PlayerGrades+'!$AH$4,"A+",IF(R565&lt;'PlayerGrades+'!$AH$3,"S-",IF(R565&lt;'PlayerGrades+'!$AH$2,"S","S+"))))))))))))))))))))</f>
        <v>A+</v>
      </c>
      <c r="T565" s="973">
        <f t="shared" si="9"/>
        <v>1.399113082</v>
      </c>
      <c r="U565" s="973" t="str">
        <f>IF(T565&lt;'PlayerGrades+'!$AI$21,"F-",IF(T565&lt;'PlayerGrades+'!$AI$20,"F",IF(T565&lt;'PlayerGrades+'!$AI$19,"F+",IF(T565&lt;'PlayerGrades+'!$AI$18,"E-",IF(T565&lt;'PlayerGrades+'!$AI$17,"E",IF(T565&lt;'PlayerGrades+'!$AI$16,"E+",IF(T565&lt;'PlayerGrades+'!$AI$15,"D-",IF(T565&lt;'PlayerGrades+'!$AI$14,"D",IF(T565&lt;'PlayerGrades+'!$AI$13,"D+",IF(T565&lt;'PlayerGrades+'!$AI$12,"C-",IF(T565&lt;'PlayerGrades+'!$AI$11,"C",IF(T565&lt;'PlayerGrades+'!$AI$10,"C+",IF(T565&lt;'PlayerGrades+'!$AI$9,"B-",IF(T565&lt;'PlayerGrades+'!$AI$8,"B",IF(T565&lt;'PlayerGrades+'!$AI$7,"B+",IF(T565&lt;'PlayerGrades+'!$AI$6,"A-",IF(T565&lt;'PlayerGrades+'!$AI$5,"A",IF(T565&lt;'PlayerGrades+'!$AI$4,"A+",IF(T565&lt;'PlayerGrades+'!$AI$3,"S-",IF(T565&lt;'PlayerGrades+'!$AI$2,"S","S+"))))))))))))))))))))</f>
        <v>B</v>
      </c>
      <c r="V565" s="983">
        <v>1.0</v>
      </c>
      <c r="W565" s="983">
        <v>1.0</v>
      </c>
      <c r="X565" s="983">
        <v>0.0</v>
      </c>
      <c r="Y565" s="983">
        <v>0.0</v>
      </c>
      <c r="Z565" s="983">
        <v>0.0</v>
      </c>
      <c r="AA565" s="983">
        <v>26.0</v>
      </c>
      <c r="AB565" s="983">
        <v>22.0</v>
      </c>
      <c r="AC565" s="983">
        <v>4.0</v>
      </c>
      <c r="AD565" s="983">
        <v>2.0</v>
      </c>
      <c r="AE565" s="983">
        <v>4.0</v>
      </c>
      <c r="AF565" s="983">
        <v>1.0</v>
      </c>
      <c r="AG565" s="983">
        <v>308.0</v>
      </c>
      <c r="AH565" s="983">
        <v>451.0</v>
      </c>
      <c r="AI565" s="983">
        <v>14.0</v>
      </c>
      <c r="AJ565" s="983">
        <v>0.0</v>
      </c>
      <c r="AK565" s="983">
        <v>0.0</v>
      </c>
      <c r="AL565" s="983">
        <v>0.0</v>
      </c>
      <c r="AM565" s="983">
        <v>0.0</v>
      </c>
      <c r="AN565" s="983">
        <v>0.0</v>
      </c>
      <c r="AO565" s="983">
        <v>0.0</v>
      </c>
      <c r="AP565" s="983">
        <v>0.0</v>
      </c>
      <c r="AQ565" s="983">
        <v>0.0</v>
      </c>
      <c r="AR565" s="983">
        <v>5.0</v>
      </c>
      <c r="AS565" s="983">
        <v>0.0</v>
      </c>
      <c r="AT565" s="983">
        <v>0.0</v>
      </c>
      <c r="AU565" s="983">
        <v>0.0</v>
      </c>
      <c r="AV565" s="983">
        <v>0.0</v>
      </c>
      <c r="AW565" s="983">
        <v>0.0</v>
      </c>
      <c r="AX565" s="983">
        <v>0.0</v>
      </c>
      <c r="AY565" s="983">
        <v>0.0</v>
      </c>
      <c r="AZ565" s="983">
        <v>0.0</v>
      </c>
      <c r="BA565" s="983">
        <v>0.0</v>
      </c>
      <c r="BB565" s="983">
        <v>1.0</v>
      </c>
      <c r="BC565" s="983">
        <v>0.0</v>
      </c>
      <c r="BD565" s="983">
        <v>3.0</v>
      </c>
      <c r="BE565" s="983">
        <v>3.0</v>
      </c>
      <c r="BF565" s="983">
        <v>1.0</v>
      </c>
      <c r="BG565" s="984">
        <v>0.0</v>
      </c>
    </row>
    <row r="566">
      <c r="A566" s="935" t="s">
        <v>119</v>
      </c>
      <c r="B566" s="421" t="str">
        <f>IF(C566&lt;'PlayerGrades+'!$Y$44,"F-",IF(C566&lt;'PlayerGrades+'!$Y$43,"F",IF(C566&lt;'PlayerGrades+'!$Y$42,"F+",IF(C566&lt;'PlayerGrades+'!$Y$41,"E-",IF(C566&lt;'PlayerGrades+'!$Y$40,"E",IF(C566&lt;'PlayerGrades+'!$Y$39,"E+",IF(C566&lt;'PlayerGrades+'!$Y$38,"D-",IF(C566&lt;'PlayerGrades+'!$Y$37,"D",IF(C566&lt;'PlayerGrades+'!$Y$36,"D+",IF(C566&lt;'PlayerGrades+'!$Y$35,"C-",IF(C566&lt;'PlayerGrades+'!$Y$34,"C",IF(C566&lt;'PlayerGrades+'!$Y$33,"C+",IF(C566&lt;'PlayerGrades+'!$Y$32,"B-",IF(C566&lt;'PlayerGrades+'!$Y$31,"B",IF(C566&lt;'PlayerGrades+'!$Y$30,"B+",IF(C566&lt;'PlayerGrades+'!$Y$29,"A-",IF(C566&lt;'PlayerGrades+'!$Y$28,"A",IF(C566&lt;'PlayerGrades+'!$Y$27,"A+",IF(C566&lt;'PlayerGrades+'!$Y$26,"S-",IF(C566&lt;'PlayerGrades+'!$Y$25,"S","S+"))))))))))))))))))))</f>
        <v>F+</v>
      </c>
      <c r="C566" s="972">
        <f>('PlayerGrades+'!$Y$47*(VLOOKUP(E566, 'PlayerGrades+'!$X$3:$Y$23, 2, FALSE)))+('PlayerGrades+'!$Y$48*(VLOOKUP(G566, 'PlayerGrades+'!$X$3:$Y$23, 2, FALSE)))+('PlayerGrades+'!$Y$49*(VLOOKUP(I566, 'PlayerGrades+'!$X$3:$Y$23, 2, FALSE)))+('PlayerGrades+'!$Y$50*(VLOOKUP(K566, 'PlayerGrades+'!$X$3:$Y$23, 2, FALSE)))+('PlayerGrades+'!$Y$51*(VLOOKUP(M566, 'PlayerGrades+'!$X$3:$Y$23, 2, FALSE)))+('PlayerGrades+'!$Y$52*(VLOOKUP(O566, 'PlayerGrades+'!$X$3:$Y$23, 2, FALSE)))+('PlayerGrades+'!$Y$53*(VLOOKUP(Q566, 'PlayerGrades+'!$X$3:$Y$23, 2, FALSE)))+('PlayerGrades+'!$Y$54*(VLOOKUP(S566, 'PlayerGrades+'!$X$3:$Y$23, 2, FALSE)))+('PlayerGrades+'!$Y$55*(VLOOKUP(U566, 'PlayerGrades+'!$X$3:$Y$23, 2, FALSE)))</f>
        <v>10.5</v>
      </c>
      <c r="D566" s="973">
        <f t="shared" si="1"/>
        <v>0.399113082</v>
      </c>
      <c r="E566" s="973" t="str">
        <f>IF(D566&lt;'PlayerGrades+'!$AA$21,"F-",IF(D566&lt;'PlayerGrades+'!$AA$20,"F",IF(D566&lt;'PlayerGrades+'!$AA$19,"F+",IF(D566&lt;'PlayerGrades+'!$AA$18,"E-",IF(D566&lt;'PlayerGrades+'!$AA$17,"E",IF(D566&lt;'PlayerGrades+'!$AA$16,"E+",IF(D566&lt;'PlayerGrades+'!$AA$15,"D-",IF(D566&lt;'PlayerGrades+'!$AA$14,"D",IF(D566&lt;'PlayerGrades+'!$AA$13,"D+",IF(D566&lt;'PlayerGrades+'!$AA$12,"C-",IF(D566&lt;'PlayerGrades+'!$AA$11,"C",IF(D566&lt;'PlayerGrades+'!$AA$10,"C+",IF(D566&lt;'PlayerGrades+'!$AA$9,"B-",IF(D566&lt;'PlayerGrades+'!$AA$8,"B",IF(D566&lt;'PlayerGrades+'!$AA$7,"B+",IF(D566&lt;'PlayerGrades+'!$AA$6,"A-",IF(D566&lt;'PlayerGrades+'!$AA$5,"A",IF(D566&lt;'PlayerGrades+'!$AA$4,"A+",IF(D566&lt;'PlayerGrades+'!$AA$3,"S-",IF(D566&lt;'PlayerGrades+'!$AA$2,"S","S+"))))))))))))))))))))</f>
        <v>A+</v>
      </c>
      <c r="F566" s="973">
        <f t="shared" si="2"/>
        <v>-2.394678492</v>
      </c>
      <c r="G566" s="973" t="str">
        <f>IF(F566&lt;'PlayerGrades+'!$AB$21,"F-",IF(F566&lt;'PlayerGrades+'!$AB$20,"F",IF(F566&lt;'PlayerGrades+'!$AB$19,"F+",IF(F566&lt;'PlayerGrades+'!$AB$18,"E-",IF(F566&lt;'PlayerGrades+'!$AB$17,"E",IF(F566&lt;'PlayerGrades+'!$AB$16,"E+",IF(F566&lt;'PlayerGrades+'!$AB$15,"D-",IF(F566&lt;'PlayerGrades+'!$AB$14,"D",IF(F566&lt;'PlayerGrades+'!$AB$13,"D+",IF(F566&lt;'PlayerGrades+'!$AB$12,"C-",IF(F566&lt;'PlayerGrades+'!$AB$11,"C",IF(F566&lt;'PlayerGrades+'!$AB$10,"C+",IF(F566&lt;'PlayerGrades+'!$AB$9,"B-",IF(F566&lt;'PlayerGrades+'!$AB$8,"B",IF(F566&lt;'PlayerGrades+'!$AB$7,"B+",IF(F566&lt;'PlayerGrades+'!$AB$6,"A-",IF(F566&lt;'PlayerGrades+'!$AB$5,"A",IF(F566&lt;'PlayerGrades+'!$AB$4,"A+",IF(F566&lt;'PlayerGrades+'!$AB$3,"S-",IF(F566&lt;'PlayerGrades+'!$AB$2,"S","S+"))))))))))))))))))))</f>
        <v>F-</v>
      </c>
      <c r="H566" s="973">
        <f t="shared" si="3"/>
        <v>0.133037694</v>
      </c>
      <c r="I566" s="973" t="str">
        <f>IF(H566&lt;'PlayerGrades+'!$AC$21,"F-",IF(H566&lt;'PlayerGrades+'!$AC$20,"F",IF(H566&lt;'PlayerGrades+'!$AC$19,"F+",IF(H566&lt;'PlayerGrades+'!$AC$18,"E-",IF(H566&lt;'PlayerGrades+'!$AC$17,"E",IF(H566&lt;'PlayerGrades+'!$AC$16,"E+",IF(H566&lt;'PlayerGrades+'!$AC$15,"D-",IF(H566&lt;'PlayerGrades+'!$AC$14,"D",IF(H566&lt;'PlayerGrades+'!$AC$13,"D+",IF(H566&lt;'PlayerGrades+'!$AC$12,"C-",IF(H566&lt;'PlayerGrades+'!$AC$11,"C",IF(H566&lt;'PlayerGrades+'!$AC$10,"C+",IF(H566&lt;'PlayerGrades+'!$AC$9,"B-",IF(H566&lt;'PlayerGrades+'!$AC$8,"B",IF(H566&lt;'PlayerGrades+'!$AC$7,"B+",IF(H566&lt;'PlayerGrades+'!$AC$6,"A-",IF(H566&lt;'PlayerGrades+'!$AC$5,"A",IF(H566&lt;'PlayerGrades+'!$AC$4,"A+",IF(H566&lt;'PlayerGrades+'!$AC$3,"S-",IF(H566&lt;'PlayerGrades+'!$AC$2,"S","S+"))))))))))))))))))))</f>
        <v>B</v>
      </c>
      <c r="J566" s="973">
        <f t="shared" si="4"/>
        <v>0</v>
      </c>
      <c r="K566" s="973" t="str">
        <f>IF(J566&lt;'PlayerGrades+'!$AD$21,"F-",IF(J566&lt;'PlayerGrades+'!$AD$20,"F",IF(J566&lt;'PlayerGrades+'!$AD$19,"F+",IF(J566&lt;'PlayerGrades+'!$AD$18,"E-",IF(J566&lt;'PlayerGrades+'!$AD$17,"E",IF(J566&lt;'PlayerGrades+'!$AD$16,"E+",IF(J566&lt;'PlayerGrades+'!$AD$15,"D-",IF(J566&lt;'PlayerGrades+'!$AD$14,"D",IF(J566&lt;'PlayerGrades+'!$AD$13,"D+",IF(J566&lt;'PlayerGrades+'!$AD$12,"C-",IF(J566&lt;'PlayerGrades+'!$AD$11,"C",IF(J566&lt;'PlayerGrades+'!$AD$10,"C+",IF(J566&lt;'PlayerGrades+'!$AD$9,"B-",IF(J566&lt;'PlayerGrades+'!$AD$8,"B",IF(J566&lt;'PlayerGrades+'!$AD$7,"B+",IF(J566&lt;'PlayerGrades+'!$AD$6,"A-",IF(J566&lt;'PlayerGrades+'!$AD$5,"A",IF(J566&lt;'PlayerGrades+'!$AD$4,"A+",IF(J566&lt;'PlayerGrades+'!$AD$3,"S-",IF(J566&lt;'PlayerGrades+'!$AD$2,"S","S+"))))))))))))))))))))</f>
        <v>F-</v>
      </c>
      <c r="L566" s="974">
        <f t="shared" si="5"/>
        <v>0</v>
      </c>
      <c r="M566" s="975" t="str">
        <f>IF(L566&lt;'PlayerGrades+'!$AE$21,"F-",IF(L566&lt;'PlayerGrades+'!$AE$20,"F",IF(L566&lt;'PlayerGrades+'!$AE$19,"F+",IF(L566&lt;'PlayerGrades+'!$AE$18,"E-",IF(L566&lt;'PlayerGrades+'!$AE$17,"E",IF(L566&lt;'PlayerGrades+'!$AE$16,"E+",IF(L566&lt;'PlayerGrades+'!$AE$15,"D-",IF(L566&lt;'PlayerGrades+'!$AE$14,"D",IF(L566&lt;'PlayerGrades+'!$AE$13,"D+",IF(L566&lt;'PlayerGrades+'!$AE$12,"C-",IF(L566&lt;'PlayerGrades+'!$AE$11,"C",IF(L566&lt;'PlayerGrades+'!$AE$10,"C+",IF(L566&lt;'PlayerGrades+'!$AE$9,"B-",IF(L566&lt;'PlayerGrades+'!$AE$8,"B",IF(L566&lt;'PlayerGrades+'!$AE$7,"B+",IF(L566&lt;'PlayerGrades+'!$AE$6,"A-",IF(L566&lt;'PlayerGrades+'!$AE$5,"A",IF(L566&lt;'PlayerGrades+'!$AE$4,"A+",IF(L566&lt;'PlayerGrades+'!$AE$3,"S-",IF(L566&lt;'PlayerGrades+'!$AE$2,"S","S+"))))))))))))))))))))</f>
        <v>F-</v>
      </c>
      <c r="N566" s="973">
        <f t="shared" si="6"/>
        <v>0</v>
      </c>
      <c r="O566" s="973" t="str">
        <f>IF(N566&lt;'PlayerGrades+'!$AF$21,"F-",IF(N566&lt;'PlayerGrades+'!$AF$20,"F",IF(N566&lt;'PlayerGrades+'!$AF$19,"F+",IF(N566&lt;'PlayerGrades+'!$AF$18,"E-",IF(N566&lt;'PlayerGrades+'!$AF$17,"E",IF(N566&lt;'PlayerGrades+'!$AF$16,"E+",IF(N566&lt;'PlayerGrades+'!$AF$15,"D-",IF(N566&lt;'PlayerGrades+'!$AF$14,"D",IF(N566&lt;'PlayerGrades+'!$AF$13,"D+",IF(N566&lt;'PlayerGrades+'!$AF$12,"C-",IF(N566&lt;'PlayerGrades+'!$AF$11,"C",IF(N566&lt;'PlayerGrades+'!$AF$10,"C+",IF(N566&lt;'PlayerGrades+'!$AF$9,"B-",IF(N566&lt;'PlayerGrades+'!$AF$8,"B",IF(N566&lt;'PlayerGrades+'!$AF$7,"B+",IF(N566&lt;'PlayerGrades+'!$AF$6,"A-",IF(N566&lt;'PlayerGrades+'!$AF$5,"A",IF(N566&lt;'PlayerGrades+'!$AF$4,"A+",IF(N566&lt;'PlayerGrades+'!$AF$3,"S-",IF(N566&lt;'PlayerGrades+'!$AF$2,"S","S+"))))))))))))))))))))</f>
        <v>F-</v>
      </c>
      <c r="P566" s="973">
        <f t="shared" si="7"/>
        <v>0</v>
      </c>
      <c r="Q566" s="973" t="str">
        <f>IF(P566&lt;'PlayerGrades+'!$AG$21,"F-",IF(P566&lt;'PlayerGrades+'!$AG$20,"F",IF(P566&lt;'PlayerGrades+'!$AG$19,"F+",IF(P566&lt;'PlayerGrades+'!$AG$18,"E-",IF(P566&lt;'PlayerGrades+'!$AG$17,"E",IF(P566&lt;'PlayerGrades+'!$AG$16,"E+",IF(P566&lt;'PlayerGrades+'!$AG$15,"D-",IF(P566&lt;'PlayerGrades+'!$AG$14,"D",IF(P566&lt;'PlayerGrades+'!$AG$13,"D+",IF(P566&lt;'PlayerGrades+'!$AG$12,"C-",IF(P566&lt;'PlayerGrades+'!$AG$11,"C",IF(P566&lt;'PlayerGrades+'!$AG$10,"C+",IF(P566&lt;'PlayerGrades+'!$AG$9,"B-",IF(P566&lt;'PlayerGrades+'!$AG$8,"B",IF(P566&lt;'PlayerGrades+'!$AG$7,"B+",IF(P566&lt;'PlayerGrades+'!$AG$6,"A-",IF(P566&lt;'PlayerGrades+'!$AG$5,"A",IF(P566&lt;'PlayerGrades+'!$AG$4,"A+",IF(P566&lt;'PlayerGrades+'!$AG$3,"S-",IF(P566&lt;'PlayerGrades+'!$AG$2,"S","S+"))))))))))))))))))))</f>
        <v>F</v>
      </c>
      <c r="R566" s="973">
        <f t="shared" si="8"/>
        <v>0.399113082</v>
      </c>
      <c r="S566" s="973" t="str">
        <f>IF(R566&lt;'PlayerGrades+'!$AH$21,"F-",IF(R566&lt;'PlayerGrades+'!$AH$20,"F",IF(R566&lt;'PlayerGrades+'!$AH$19,"F+",IF(R566&lt;'PlayerGrades+'!$AH$18,"E-",IF(R566&lt;'PlayerGrades+'!$AH$17,"E",IF(R566&lt;'PlayerGrades+'!$AH$16,"E+",IF(R566&lt;'PlayerGrades+'!$AH$15,"D-",IF(R566&lt;'PlayerGrades+'!$AH$14,"D",IF(R566&lt;'PlayerGrades+'!$AH$13,"D+",IF(R566&lt;'PlayerGrades+'!$AH$12,"C-",IF(R566&lt;'PlayerGrades+'!$AH$11,"C",IF(R566&lt;'PlayerGrades+'!$AH$10,"C+",IF(R566&lt;'PlayerGrades+'!$AH$9,"B-",IF(R566&lt;'PlayerGrades+'!$AH$8,"B",IF(R566&lt;'PlayerGrades+'!$AH$7,"B+",IF(R566&lt;'PlayerGrades+'!$AH$6,"A-",IF(R566&lt;'PlayerGrades+'!$AH$5,"A",IF(R566&lt;'PlayerGrades+'!$AH$4,"A+",IF(R566&lt;'PlayerGrades+'!$AH$3,"S-",IF(R566&lt;'PlayerGrades+'!$AH$2,"S","S+"))))))))))))))))))))</f>
        <v>F+</v>
      </c>
      <c r="T566" s="973">
        <f t="shared" si="9"/>
        <v>1</v>
      </c>
      <c r="U566" s="973" t="str">
        <f>IF(T566&lt;'PlayerGrades+'!$AI$21,"F-",IF(T566&lt;'PlayerGrades+'!$AI$20,"F",IF(T566&lt;'PlayerGrades+'!$AI$19,"F+",IF(T566&lt;'PlayerGrades+'!$AI$18,"E-",IF(T566&lt;'PlayerGrades+'!$AI$17,"E",IF(T566&lt;'PlayerGrades+'!$AI$16,"E+",IF(T566&lt;'PlayerGrades+'!$AI$15,"D-",IF(T566&lt;'PlayerGrades+'!$AI$14,"D",IF(T566&lt;'PlayerGrades+'!$AI$13,"D+",IF(T566&lt;'PlayerGrades+'!$AI$12,"C-",IF(T566&lt;'PlayerGrades+'!$AI$11,"C",IF(T566&lt;'PlayerGrades+'!$AI$10,"C+",IF(T566&lt;'PlayerGrades+'!$AI$9,"B-",IF(T566&lt;'PlayerGrades+'!$AI$8,"B",IF(T566&lt;'PlayerGrades+'!$AI$7,"B+",IF(T566&lt;'PlayerGrades+'!$AI$6,"A-",IF(T566&lt;'PlayerGrades+'!$AI$5,"A",IF(T566&lt;'PlayerGrades+'!$AI$4,"A+",IF(T566&lt;'PlayerGrades+'!$AI$3,"S-",IF(T566&lt;'PlayerGrades+'!$AI$2,"S","S+"))))))))))))))))))))</f>
        <v>E+</v>
      </c>
      <c r="V566" s="983">
        <v>1.0</v>
      </c>
      <c r="W566" s="983">
        <v>0.0</v>
      </c>
      <c r="X566" s="983">
        <v>1.0</v>
      </c>
      <c r="Y566" s="983">
        <v>1.0</v>
      </c>
      <c r="Z566" s="983">
        <v>2.0</v>
      </c>
      <c r="AA566" s="983">
        <v>8.0</v>
      </c>
      <c r="AB566" s="983">
        <v>26.0</v>
      </c>
      <c r="AC566" s="983">
        <v>-18.0</v>
      </c>
      <c r="AD566" s="983">
        <v>1.0</v>
      </c>
      <c r="AE566" s="983">
        <v>1.0</v>
      </c>
      <c r="AF566" s="983">
        <v>0.0</v>
      </c>
      <c r="AG566" s="983">
        <v>298.0</v>
      </c>
      <c r="AH566" s="983">
        <v>451.0</v>
      </c>
      <c r="AI566" s="983">
        <v>11.0</v>
      </c>
      <c r="AJ566" s="983">
        <v>142.0</v>
      </c>
      <c r="AK566" s="983">
        <v>0.0</v>
      </c>
      <c r="AL566" s="983">
        <v>0.0</v>
      </c>
      <c r="AM566" s="983">
        <v>0.0</v>
      </c>
      <c r="AN566" s="983">
        <v>0.0</v>
      </c>
      <c r="AO566" s="983">
        <v>0.0</v>
      </c>
      <c r="AP566" s="983">
        <v>0.0</v>
      </c>
      <c r="AQ566" s="983">
        <v>0.0</v>
      </c>
      <c r="AR566" s="983">
        <v>0.0</v>
      </c>
      <c r="AS566" s="983">
        <v>0.0</v>
      </c>
      <c r="AT566" s="983">
        <v>0.0</v>
      </c>
      <c r="AU566" s="983">
        <v>0.0</v>
      </c>
      <c r="AV566" s="983">
        <v>0.0</v>
      </c>
      <c r="AW566" s="983">
        <v>0.0</v>
      </c>
      <c r="AX566" s="983">
        <v>0.0</v>
      </c>
      <c r="AY566" s="983">
        <v>0.0</v>
      </c>
      <c r="AZ566" s="983">
        <v>0.0</v>
      </c>
      <c r="BA566" s="983">
        <v>0.0</v>
      </c>
      <c r="BB566" s="983">
        <v>1.0</v>
      </c>
      <c r="BC566" s="983">
        <v>0.0</v>
      </c>
      <c r="BD566" s="983">
        <v>2.0</v>
      </c>
      <c r="BE566" s="983">
        <v>0.0</v>
      </c>
      <c r="BF566" s="983">
        <v>1.0</v>
      </c>
      <c r="BG566" s="985">
        <v>1.0</v>
      </c>
    </row>
    <row r="567">
      <c r="A567" s="935" t="s">
        <v>152</v>
      </c>
      <c r="B567" s="421" t="str">
        <f>IF(C567&lt;'PlayerGrades+'!$Y$44,"F-",IF(C567&lt;'PlayerGrades+'!$Y$43,"F",IF(C567&lt;'PlayerGrades+'!$Y$42,"F+",IF(C567&lt;'PlayerGrades+'!$Y$41,"E-",IF(C567&lt;'PlayerGrades+'!$Y$40,"E",IF(C567&lt;'PlayerGrades+'!$Y$39,"E+",IF(C567&lt;'PlayerGrades+'!$Y$38,"D-",IF(C567&lt;'PlayerGrades+'!$Y$37,"D",IF(C567&lt;'PlayerGrades+'!$Y$36,"D+",IF(C567&lt;'PlayerGrades+'!$Y$35,"C-",IF(C567&lt;'PlayerGrades+'!$Y$34,"C",IF(C567&lt;'PlayerGrades+'!$Y$33,"C+",IF(C567&lt;'PlayerGrades+'!$Y$32,"B-",IF(C567&lt;'PlayerGrades+'!$Y$31,"B",IF(C567&lt;'PlayerGrades+'!$Y$30,"B+",IF(C567&lt;'PlayerGrades+'!$Y$29,"A-",IF(C567&lt;'PlayerGrades+'!$Y$28,"A",IF(C567&lt;'PlayerGrades+'!$Y$27,"A+",IF(C567&lt;'PlayerGrades+'!$Y$26,"S-",IF(C567&lt;'PlayerGrades+'!$Y$25,"S","S+"))))))))))))))))))))</f>
        <v>F-</v>
      </c>
      <c r="C567" s="972">
        <f>('PlayerGrades+'!$Y$47*(VLOOKUP(E567, 'PlayerGrades+'!$X$3:$Y$23, 2, FALSE)))+('PlayerGrades+'!$Y$48*(VLOOKUP(G567, 'PlayerGrades+'!$X$3:$Y$23, 2, FALSE)))+('PlayerGrades+'!$Y$49*(VLOOKUP(I567, 'PlayerGrades+'!$X$3:$Y$23, 2, FALSE)))+('PlayerGrades+'!$Y$50*(VLOOKUP(K567, 'PlayerGrades+'!$X$3:$Y$23, 2, FALSE)))+('PlayerGrades+'!$Y$51*(VLOOKUP(M567, 'PlayerGrades+'!$X$3:$Y$23, 2, FALSE)))+('PlayerGrades+'!$Y$52*(VLOOKUP(O567, 'PlayerGrades+'!$X$3:$Y$23, 2, FALSE)))+('PlayerGrades+'!$Y$53*(VLOOKUP(Q567, 'PlayerGrades+'!$X$3:$Y$23, 2, FALSE)))+('PlayerGrades+'!$Y$54*(VLOOKUP(S567, 'PlayerGrades+'!$X$3:$Y$23, 2, FALSE)))+('PlayerGrades+'!$Y$55*(VLOOKUP(U567, 'PlayerGrades+'!$X$3:$Y$23, 2, FALSE)))</f>
        <v>7.05</v>
      </c>
      <c r="D567" s="973">
        <f t="shared" si="1"/>
        <v>0</v>
      </c>
      <c r="E567" s="973" t="str">
        <f>IF(D567&lt;'PlayerGrades+'!$AA$21,"F-",IF(D567&lt;'PlayerGrades+'!$AA$20,"F",IF(D567&lt;'PlayerGrades+'!$AA$19,"F+",IF(D567&lt;'PlayerGrades+'!$AA$18,"E-",IF(D567&lt;'PlayerGrades+'!$AA$17,"E",IF(D567&lt;'PlayerGrades+'!$AA$16,"E+",IF(D567&lt;'PlayerGrades+'!$AA$15,"D-",IF(D567&lt;'PlayerGrades+'!$AA$14,"D",IF(D567&lt;'PlayerGrades+'!$AA$13,"D+",IF(D567&lt;'PlayerGrades+'!$AA$12,"C-",IF(D567&lt;'PlayerGrades+'!$AA$11,"C",IF(D567&lt;'PlayerGrades+'!$AA$10,"C+",IF(D567&lt;'PlayerGrades+'!$AA$9,"B-",IF(D567&lt;'PlayerGrades+'!$AA$8,"B",IF(D567&lt;'PlayerGrades+'!$AA$7,"B+",IF(D567&lt;'PlayerGrades+'!$AA$6,"A-",IF(D567&lt;'PlayerGrades+'!$AA$5,"A",IF(D567&lt;'PlayerGrades+'!$AA$4,"A+",IF(D567&lt;'PlayerGrades+'!$AA$3,"S-",IF(D567&lt;'PlayerGrades+'!$AA$2,"S","S+"))))))))))))))))))))</f>
        <v>F-</v>
      </c>
      <c r="F567" s="973">
        <f t="shared" si="2"/>
        <v>-1.064301552</v>
      </c>
      <c r="G567" s="973" t="str">
        <f>IF(F567&lt;'PlayerGrades+'!$AB$21,"F-",IF(F567&lt;'PlayerGrades+'!$AB$20,"F",IF(F567&lt;'PlayerGrades+'!$AB$19,"F+",IF(F567&lt;'PlayerGrades+'!$AB$18,"E-",IF(F567&lt;'PlayerGrades+'!$AB$17,"E",IF(F567&lt;'PlayerGrades+'!$AB$16,"E+",IF(F567&lt;'PlayerGrades+'!$AB$15,"D-",IF(F567&lt;'PlayerGrades+'!$AB$14,"D",IF(F567&lt;'PlayerGrades+'!$AB$13,"D+",IF(F567&lt;'PlayerGrades+'!$AB$12,"C-",IF(F567&lt;'PlayerGrades+'!$AB$11,"C",IF(F567&lt;'PlayerGrades+'!$AB$10,"C+",IF(F567&lt;'PlayerGrades+'!$AB$9,"B-",IF(F567&lt;'PlayerGrades+'!$AB$8,"B",IF(F567&lt;'PlayerGrades+'!$AB$7,"B+",IF(F567&lt;'PlayerGrades+'!$AB$6,"A-",IF(F567&lt;'PlayerGrades+'!$AB$5,"A",IF(F567&lt;'PlayerGrades+'!$AB$4,"A+",IF(F567&lt;'PlayerGrades+'!$AB$3,"S-",IF(F567&lt;'PlayerGrades+'!$AB$2,"S","S+"))))))))))))))))))))</f>
        <v>F</v>
      </c>
      <c r="H567" s="973">
        <f t="shared" si="3"/>
        <v>0</v>
      </c>
      <c r="I567" s="973" t="str">
        <f>IF(H567&lt;'PlayerGrades+'!$AC$21,"F-",IF(H567&lt;'PlayerGrades+'!$AC$20,"F",IF(H567&lt;'PlayerGrades+'!$AC$19,"F+",IF(H567&lt;'PlayerGrades+'!$AC$18,"E-",IF(H567&lt;'PlayerGrades+'!$AC$17,"E",IF(H567&lt;'PlayerGrades+'!$AC$16,"E+",IF(H567&lt;'PlayerGrades+'!$AC$15,"D-",IF(H567&lt;'PlayerGrades+'!$AC$14,"D",IF(H567&lt;'PlayerGrades+'!$AC$13,"D+",IF(H567&lt;'PlayerGrades+'!$AC$12,"C-",IF(H567&lt;'PlayerGrades+'!$AC$11,"C",IF(H567&lt;'PlayerGrades+'!$AC$10,"C+",IF(H567&lt;'PlayerGrades+'!$AC$9,"B-",IF(H567&lt;'PlayerGrades+'!$AC$8,"B",IF(H567&lt;'PlayerGrades+'!$AC$7,"B+",IF(H567&lt;'PlayerGrades+'!$AC$6,"A-",IF(H567&lt;'PlayerGrades+'!$AC$5,"A",IF(H567&lt;'PlayerGrades+'!$AC$4,"A+",IF(H567&lt;'PlayerGrades+'!$AC$3,"S-",IF(H567&lt;'PlayerGrades+'!$AC$2,"S","S+"))))))))))))))))))))</f>
        <v>F-</v>
      </c>
      <c r="J567" s="973">
        <f t="shared" si="4"/>
        <v>0</v>
      </c>
      <c r="K567" s="973" t="str">
        <f>IF(J567&lt;'PlayerGrades+'!$AD$21,"F-",IF(J567&lt;'PlayerGrades+'!$AD$20,"F",IF(J567&lt;'PlayerGrades+'!$AD$19,"F+",IF(J567&lt;'PlayerGrades+'!$AD$18,"E-",IF(J567&lt;'PlayerGrades+'!$AD$17,"E",IF(J567&lt;'PlayerGrades+'!$AD$16,"E+",IF(J567&lt;'PlayerGrades+'!$AD$15,"D-",IF(J567&lt;'PlayerGrades+'!$AD$14,"D",IF(J567&lt;'PlayerGrades+'!$AD$13,"D+",IF(J567&lt;'PlayerGrades+'!$AD$12,"C-",IF(J567&lt;'PlayerGrades+'!$AD$11,"C",IF(J567&lt;'PlayerGrades+'!$AD$10,"C+",IF(J567&lt;'PlayerGrades+'!$AD$9,"B-",IF(J567&lt;'PlayerGrades+'!$AD$8,"B",IF(J567&lt;'PlayerGrades+'!$AD$7,"B+",IF(J567&lt;'PlayerGrades+'!$AD$6,"A-",IF(J567&lt;'PlayerGrades+'!$AD$5,"A",IF(J567&lt;'PlayerGrades+'!$AD$4,"A+",IF(J567&lt;'PlayerGrades+'!$AD$3,"S-",IF(J567&lt;'PlayerGrades+'!$AD$2,"S","S+"))))))))))))))))))))</f>
        <v>F-</v>
      </c>
      <c r="L567" s="974">
        <f t="shared" si="5"/>
        <v>0.399113082</v>
      </c>
      <c r="M567" s="975" t="str">
        <f>IF(L567&lt;'PlayerGrades+'!$AE$21,"F-",IF(L567&lt;'PlayerGrades+'!$AE$20,"F",IF(L567&lt;'PlayerGrades+'!$AE$19,"F+",IF(L567&lt;'PlayerGrades+'!$AE$18,"E-",IF(L567&lt;'PlayerGrades+'!$AE$17,"E",IF(L567&lt;'PlayerGrades+'!$AE$16,"E+",IF(L567&lt;'PlayerGrades+'!$AE$15,"D-",IF(L567&lt;'PlayerGrades+'!$AE$14,"D",IF(L567&lt;'PlayerGrades+'!$AE$13,"D+",IF(L567&lt;'PlayerGrades+'!$AE$12,"C-",IF(L567&lt;'PlayerGrades+'!$AE$11,"C",IF(L567&lt;'PlayerGrades+'!$AE$10,"C+",IF(L567&lt;'PlayerGrades+'!$AE$9,"B-",IF(L567&lt;'PlayerGrades+'!$AE$8,"B",IF(L567&lt;'PlayerGrades+'!$AE$7,"B+",IF(L567&lt;'PlayerGrades+'!$AE$6,"A-",IF(L567&lt;'PlayerGrades+'!$AE$5,"A",IF(L567&lt;'PlayerGrades+'!$AE$4,"A+",IF(L567&lt;'PlayerGrades+'!$AE$3,"S-",IF(L567&lt;'PlayerGrades+'!$AE$2,"S","S+"))))))))))))))))))))</f>
        <v>C</v>
      </c>
      <c r="N567" s="973">
        <f t="shared" si="6"/>
        <v>0</v>
      </c>
      <c r="O567" s="973" t="str">
        <f>IF(N567&lt;'PlayerGrades+'!$AF$21,"F-",IF(N567&lt;'PlayerGrades+'!$AF$20,"F",IF(N567&lt;'PlayerGrades+'!$AF$19,"F+",IF(N567&lt;'PlayerGrades+'!$AF$18,"E-",IF(N567&lt;'PlayerGrades+'!$AF$17,"E",IF(N567&lt;'PlayerGrades+'!$AF$16,"E+",IF(N567&lt;'PlayerGrades+'!$AF$15,"D-",IF(N567&lt;'PlayerGrades+'!$AF$14,"D",IF(N567&lt;'PlayerGrades+'!$AF$13,"D+",IF(N567&lt;'PlayerGrades+'!$AF$12,"C-",IF(N567&lt;'PlayerGrades+'!$AF$11,"C",IF(N567&lt;'PlayerGrades+'!$AF$10,"C+",IF(N567&lt;'PlayerGrades+'!$AF$9,"B-",IF(N567&lt;'PlayerGrades+'!$AF$8,"B",IF(N567&lt;'PlayerGrades+'!$AF$7,"B+",IF(N567&lt;'PlayerGrades+'!$AF$6,"A-",IF(N567&lt;'PlayerGrades+'!$AF$5,"A",IF(N567&lt;'PlayerGrades+'!$AF$4,"A+",IF(N567&lt;'PlayerGrades+'!$AF$3,"S-",IF(N567&lt;'PlayerGrades+'!$AF$2,"S","S+"))))))))))))))))))))</f>
        <v>F-</v>
      </c>
      <c r="P567" s="973">
        <f t="shared" si="7"/>
        <v>0</v>
      </c>
      <c r="Q567" s="973" t="str">
        <f>IF(P567&lt;'PlayerGrades+'!$AG$21,"F-",IF(P567&lt;'PlayerGrades+'!$AG$20,"F",IF(P567&lt;'PlayerGrades+'!$AG$19,"F+",IF(P567&lt;'PlayerGrades+'!$AG$18,"E-",IF(P567&lt;'PlayerGrades+'!$AG$17,"E",IF(P567&lt;'PlayerGrades+'!$AG$16,"E+",IF(P567&lt;'PlayerGrades+'!$AG$15,"D-",IF(P567&lt;'PlayerGrades+'!$AG$14,"D",IF(P567&lt;'PlayerGrades+'!$AG$13,"D+",IF(P567&lt;'PlayerGrades+'!$AG$12,"C-",IF(P567&lt;'PlayerGrades+'!$AG$11,"C",IF(P567&lt;'PlayerGrades+'!$AG$10,"C+",IF(P567&lt;'PlayerGrades+'!$AG$9,"B-",IF(P567&lt;'PlayerGrades+'!$AG$8,"B",IF(P567&lt;'PlayerGrades+'!$AG$7,"B+",IF(P567&lt;'PlayerGrades+'!$AG$6,"A-",IF(P567&lt;'PlayerGrades+'!$AG$5,"A",IF(P567&lt;'PlayerGrades+'!$AG$4,"A+",IF(P567&lt;'PlayerGrades+'!$AG$3,"S-",IF(P567&lt;'PlayerGrades+'!$AG$2,"S","S+"))))))))))))))))))))</f>
        <v>F</v>
      </c>
      <c r="R567" s="973">
        <f t="shared" si="8"/>
        <v>0.266075388</v>
      </c>
      <c r="S567" s="973" t="str">
        <f>IF(R567&lt;'PlayerGrades+'!$AH$21,"F-",IF(R567&lt;'PlayerGrades+'!$AH$20,"F",IF(R567&lt;'PlayerGrades+'!$AH$19,"F+",IF(R567&lt;'PlayerGrades+'!$AH$18,"E-",IF(R567&lt;'PlayerGrades+'!$AH$17,"E",IF(R567&lt;'PlayerGrades+'!$AH$16,"E+",IF(R567&lt;'PlayerGrades+'!$AH$15,"D-",IF(R567&lt;'PlayerGrades+'!$AH$14,"D",IF(R567&lt;'PlayerGrades+'!$AH$13,"D+",IF(R567&lt;'PlayerGrades+'!$AH$12,"C-",IF(R567&lt;'PlayerGrades+'!$AH$11,"C",IF(R567&lt;'PlayerGrades+'!$AH$10,"C+",IF(R567&lt;'PlayerGrades+'!$AH$9,"B-",IF(R567&lt;'PlayerGrades+'!$AH$8,"B",IF(R567&lt;'PlayerGrades+'!$AH$7,"B+",IF(R567&lt;'PlayerGrades+'!$AH$6,"A-",IF(R567&lt;'PlayerGrades+'!$AH$5,"A",IF(R567&lt;'PlayerGrades+'!$AH$4,"A+",IF(R567&lt;'PlayerGrades+'!$AH$3,"S-",IF(R567&lt;'PlayerGrades+'!$AH$2,"S","S+"))))))))))))))))))))</f>
        <v>F-</v>
      </c>
      <c r="T567" s="973">
        <f t="shared" si="9"/>
        <v>1.399113082</v>
      </c>
      <c r="U567" s="973" t="str">
        <f>IF(T567&lt;'PlayerGrades+'!$AI$21,"F-",IF(T567&lt;'PlayerGrades+'!$AI$20,"F",IF(T567&lt;'PlayerGrades+'!$AI$19,"F+",IF(T567&lt;'PlayerGrades+'!$AI$18,"E-",IF(T567&lt;'PlayerGrades+'!$AI$17,"E",IF(T567&lt;'PlayerGrades+'!$AI$16,"E+",IF(T567&lt;'PlayerGrades+'!$AI$15,"D-",IF(T567&lt;'PlayerGrades+'!$AI$14,"D",IF(T567&lt;'PlayerGrades+'!$AI$13,"D+",IF(T567&lt;'PlayerGrades+'!$AI$12,"C-",IF(T567&lt;'PlayerGrades+'!$AI$11,"C",IF(T567&lt;'PlayerGrades+'!$AI$10,"C+",IF(T567&lt;'PlayerGrades+'!$AI$9,"B-",IF(T567&lt;'PlayerGrades+'!$AI$8,"B",IF(T567&lt;'PlayerGrades+'!$AI$7,"B+",IF(T567&lt;'PlayerGrades+'!$AI$6,"A-",IF(T567&lt;'PlayerGrades+'!$AI$5,"A",IF(T567&lt;'PlayerGrades+'!$AI$4,"A+",IF(T567&lt;'PlayerGrades+'!$AI$3,"S-",IF(T567&lt;'PlayerGrades+'!$AI$2,"S","S+"))))))))))))))))))))</f>
        <v>B</v>
      </c>
      <c r="V567" s="983">
        <v>1.0</v>
      </c>
      <c r="W567" s="983">
        <v>0.0</v>
      </c>
      <c r="X567" s="983">
        <v>1.0</v>
      </c>
      <c r="Y567" s="983">
        <v>0.0</v>
      </c>
      <c r="Z567" s="983">
        <v>0.0</v>
      </c>
      <c r="AA567" s="983">
        <v>22.0</v>
      </c>
      <c r="AB567" s="983">
        <v>30.0</v>
      </c>
      <c r="AC567" s="983">
        <v>-8.0</v>
      </c>
      <c r="AD567" s="983">
        <v>0.0</v>
      </c>
      <c r="AE567" s="983">
        <v>3.0</v>
      </c>
      <c r="AF567" s="983">
        <v>0.0</v>
      </c>
      <c r="AG567" s="983">
        <v>282.0</v>
      </c>
      <c r="AH567" s="983">
        <v>451.0</v>
      </c>
      <c r="AI567" s="983">
        <v>9.0</v>
      </c>
      <c r="AJ567" s="983">
        <v>0.0</v>
      </c>
      <c r="AK567" s="983">
        <v>0.0</v>
      </c>
      <c r="AL567" s="983">
        <v>0.0</v>
      </c>
      <c r="AM567" s="983">
        <v>0.0</v>
      </c>
      <c r="AN567" s="983">
        <v>0.0</v>
      </c>
      <c r="AO567" s="983">
        <v>0.0</v>
      </c>
      <c r="AP567" s="983">
        <v>0.0</v>
      </c>
      <c r="AQ567" s="983">
        <v>0.0</v>
      </c>
      <c r="AR567" s="983">
        <v>3.0</v>
      </c>
      <c r="AS567" s="983">
        <v>0.0</v>
      </c>
      <c r="AT567" s="983">
        <v>0.0</v>
      </c>
      <c r="AU567" s="983">
        <v>0.0</v>
      </c>
      <c r="AV567" s="983">
        <v>0.0</v>
      </c>
      <c r="AW567" s="983">
        <v>0.0</v>
      </c>
      <c r="AX567" s="983">
        <v>0.0</v>
      </c>
      <c r="AY567" s="983">
        <v>0.0</v>
      </c>
      <c r="AZ567" s="983">
        <v>0.0</v>
      </c>
      <c r="BA567" s="983">
        <v>0.0</v>
      </c>
      <c r="BB567" s="983">
        <v>0.0</v>
      </c>
      <c r="BC567" s="983">
        <v>0.0</v>
      </c>
      <c r="BD567" s="983">
        <v>2.0</v>
      </c>
      <c r="BE567" s="983">
        <v>3.0</v>
      </c>
      <c r="BF567" s="983">
        <v>1.0</v>
      </c>
      <c r="BG567" s="985">
        <v>1.0</v>
      </c>
    </row>
    <row r="568">
      <c r="A568" s="935" t="s">
        <v>141</v>
      </c>
      <c r="B568" s="421" t="str">
        <f>IF(C568&lt;'PlayerGrades+'!$Y$44,"F-",IF(C568&lt;'PlayerGrades+'!$Y$43,"F",IF(C568&lt;'PlayerGrades+'!$Y$42,"F+",IF(C568&lt;'PlayerGrades+'!$Y$41,"E-",IF(C568&lt;'PlayerGrades+'!$Y$40,"E",IF(C568&lt;'PlayerGrades+'!$Y$39,"E+",IF(C568&lt;'PlayerGrades+'!$Y$38,"D-",IF(C568&lt;'PlayerGrades+'!$Y$37,"D",IF(C568&lt;'PlayerGrades+'!$Y$36,"D+",IF(C568&lt;'PlayerGrades+'!$Y$35,"C-",IF(C568&lt;'PlayerGrades+'!$Y$34,"C",IF(C568&lt;'PlayerGrades+'!$Y$33,"C+",IF(C568&lt;'PlayerGrades+'!$Y$32,"B-",IF(C568&lt;'PlayerGrades+'!$Y$31,"B",IF(C568&lt;'PlayerGrades+'!$Y$30,"B+",IF(C568&lt;'PlayerGrades+'!$Y$29,"A-",IF(C568&lt;'PlayerGrades+'!$Y$28,"A",IF(C568&lt;'PlayerGrades+'!$Y$27,"A+",IF(C568&lt;'PlayerGrades+'!$Y$26,"S-",IF(C568&lt;'PlayerGrades+'!$Y$25,"S","S+"))))))))))))))))))))</f>
        <v>B</v>
      </c>
      <c r="C568" s="972">
        <f>('PlayerGrades+'!$Y$47*(VLOOKUP(E568, 'PlayerGrades+'!$X$3:$Y$23, 2, FALSE)))+('PlayerGrades+'!$Y$48*(VLOOKUP(G568, 'PlayerGrades+'!$X$3:$Y$23, 2, FALSE)))+('PlayerGrades+'!$Y$49*(VLOOKUP(I568, 'PlayerGrades+'!$X$3:$Y$23, 2, FALSE)))+('PlayerGrades+'!$Y$50*(VLOOKUP(K568, 'PlayerGrades+'!$X$3:$Y$23, 2, FALSE)))+('PlayerGrades+'!$Y$51*(VLOOKUP(M568, 'PlayerGrades+'!$X$3:$Y$23, 2, FALSE)))+('PlayerGrades+'!$Y$52*(VLOOKUP(O568, 'PlayerGrades+'!$X$3:$Y$23, 2, FALSE)))+('PlayerGrades+'!$Y$53*(VLOOKUP(Q568, 'PlayerGrades+'!$X$3:$Y$23, 2, FALSE)))+('PlayerGrades+'!$Y$54*(VLOOKUP(S568, 'PlayerGrades+'!$X$3:$Y$23, 2, FALSE)))+('PlayerGrades+'!$Y$55*(VLOOKUP(U568, 'PlayerGrades+'!$X$3:$Y$23, 2, FALSE)))</f>
        <v>23.05</v>
      </c>
      <c r="D568" s="973">
        <f t="shared" si="1"/>
        <v>0.133037694</v>
      </c>
      <c r="E568" s="973" t="str">
        <f>IF(D568&lt;'PlayerGrades+'!$AA$21,"F-",IF(D568&lt;'PlayerGrades+'!$AA$20,"F",IF(D568&lt;'PlayerGrades+'!$AA$19,"F+",IF(D568&lt;'PlayerGrades+'!$AA$18,"E-",IF(D568&lt;'PlayerGrades+'!$AA$17,"E",IF(D568&lt;'PlayerGrades+'!$AA$16,"E+",IF(D568&lt;'PlayerGrades+'!$AA$15,"D-",IF(D568&lt;'PlayerGrades+'!$AA$14,"D",IF(D568&lt;'PlayerGrades+'!$AA$13,"D+",IF(D568&lt;'PlayerGrades+'!$AA$12,"C-",IF(D568&lt;'PlayerGrades+'!$AA$11,"C",IF(D568&lt;'PlayerGrades+'!$AA$10,"C+",IF(D568&lt;'PlayerGrades+'!$AA$9,"B-",IF(D568&lt;'PlayerGrades+'!$AA$8,"B",IF(D568&lt;'PlayerGrades+'!$AA$7,"B+",IF(D568&lt;'PlayerGrades+'!$AA$6,"A-",IF(D568&lt;'PlayerGrades+'!$AA$5,"A",IF(D568&lt;'PlayerGrades+'!$AA$4,"A+",IF(D568&lt;'PlayerGrades+'!$AA$3,"S-",IF(D568&lt;'PlayerGrades+'!$AA$2,"S","S+"))))))))))))))))))))</f>
        <v>B+</v>
      </c>
      <c r="F568" s="973">
        <f t="shared" si="2"/>
        <v>-1.064301552</v>
      </c>
      <c r="G568" s="973" t="str">
        <f>IF(F568&lt;'PlayerGrades+'!$AB$21,"F-",IF(F568&lt;'PlayerGrades+'!$AB$20,"F",IF(F568&lt;'PlayerGrades+'!$AB$19,"F+",IF(F568&lt;'PlayerGrades+'!$AB$18,"E-",IF(F568&lt;'PlayerGrades+'!$AB$17,"E",IF(F568&lt;'PlayerGrades+'!$AB$16,"E+",IF(F568&lt;'PlayerGrades+'!$AB$15,"D-",IF(F568&lt;'PlayerGrades+'!$AB$14,"D",IF(F568&lt;'PlayerGrades+'!$AB$13,"D+",IF(F568&lt;'PlayerGrades+'!$AB$12,"C-",IF(F568&lt;'PlayerGrades+'!$AB$11,"C",IF(F568&lt;'PlayerGrades+'!$AB$10,"C+",IF(F568&lt;'PlayerGrades+'!$AB$9,"B-",IF(F568&lt;'PlayerGrades+'!$AB$8,"B",IF(F568&lt;'PlayerGrades+'!$AB$7,"B+",IF(F568&lt;'PlayerGrades+'!$AB$6,"A-",IF(F568&lt;'PlayerGrades+'!$AB$5,"A",IF(F568&lt;'PlayerGrades+'!$AB$4,"A+",IF(F568&lt;'PlayerGrades+'!$AB$3,"S-",IF(F568&lt;'PlayerGrades+'!$AB$2,"S","S+"))))))))))))))))))))</f>
        <v>F</v>
      </c>
      <c r="H568" s="973">
        <f t="shared" si="3"/>
        <v>0</v>
      </c>
      <c r="I568" s="973" t="str">
        <f>IF(H568&lt;'PlayerGrades+'!$AC$21,"F-",IF(H568&lt;'PlayerGrades+'!$AC$20,"F",IF(H568&lt;'PlayerGrades+'!$AC$19,"F+",IF(H568&lt;'PlayerGrades+'!$AC$18,"E-",IF(H568&lt;'PlayerGrades+'!$AC$17,"E",IF(H568&lt;'PlayerGrades+'!$AC$16,"E+",IF(H568&lt;'PlayerGrades+'!$AC$15,"D-",IF(H568&lt;'PlayerGrades+'!$AC$14,"D",IF(H568&lt;'PlayerGrades+'!$AC$13,"D+",IF(H568&lt;'PlayerGrades+'!$AC$12,"C-",IF(H568&lt;'PlayerGrades+'!$AC$11,"C",IF(H568&lt;'PlayerGrades+'!$AC$10,"C+",IF(H568&lt;'PlayerGrades+'!$AC$9,"B-",IF(H568&lt;'PlayerGrades+'!$AC$8,"B",IF(H568&lt;'PlayerGrades+'!$AC$7,"B+",IF(H568&lt;'PlayerGrades+'!$AC$6,"A-",IF(H568&lt;'PlayerGrades+'!$AC$5,"A",IF(H568&lt;'PlayerGrades+'!$AC$4,"A+",IF(H568&lt;'PlayerGrades+'!$AC$3,"S-",IF(H568&lt;'PlayerGrades+'!$AC$2,"S","S+"))))))))))))))))))))</f>
        <v>F-</v>
      </c>
      <c r="J568" s="973">
        <f t="shared" si="4"/>
        <v>0</v>
      </c>
      <c r="K568" s="973" t="str">
        <f>IF(J568&lt;'PlayerGrades+'!$AD$21,"F-",IF(J568&lt;'PlayerGrades+'!$AD$20,"F",IF(J568&lt;'PlayerGrades+'!$AD$19,"F+",IF(J568&lt;'PlayerGrades+'!$AD$18,"E-",IF(J568&lt;'PlayerGrades+'!$AD$17,"E",IF(J568&lt;'PlayerGrades+'!$AD$16,"E+",IF(J568&lt;'PlayerGrades+'!$AD$15,"D-",IF(J568&lt;'PlayerGrades+'!$AD$14,"D",IF(J568&lt;'PlayerGrades+'!$AD$13,"D+",IF(J568&lt;'PlayerGrades+'!$AD$12,"C-",IF(J568&lt;'PlayerGrades+'!$AD$11,"C",IF(J568&lt;'PlayerGrades+'!$AD$10,"C+",IF(J568&lt;'PlayerGrades+'!$AD$9,"B-",IF(J568&lt;'PlayerGrades+'!$AD$8,"B",IF(J568&lt;'PlayerGrades+'!$AD$7,"B+",IF(J568&lt;'PlayerGrades+'!$AD$6,"A-",IF(J568&lt;'PlayerGrades+'!$AD$5,"A",IF(J568&lt;'PlayerGrades+'!$AD$4,"A+",IF(J568&lt;'PlayerGrades+'!$AD$3,"S-",IF(J568&lt;'PlayerGrades+'!$AD$2,"S","S+"))))))))))))))))))))</f>
        <v>F-</v>
      </c>
      <c r="L568" s="974">
        <f t="shared" si="5"/>
        <v>0.6651884701</v>
      </c>
      <c r="M568" s="975" t="str">
        <f>IF(L568&lt;'PlayerGrades+'!$AE$21,"F-",IF(L568&lt;'PlayerGrades+'!$AE$20,"F",IF(L568&lt;'PlayerGrades+'!$AE$19,"F+",IF(L568&lt;'PlayerGrades+'!$AE$18,"E-",IF(L568&lt;'PlayerGrades+'!$AE$17,"E",IF(L568&lt;'PlayerGrades+'!$AE$16,"E+",IF(L568&lt;'PlayerGrades+'!$AE$15,"D-",IF(L568&lt;'PlayerGrades+'!$AE$14,"D",IF(L568&lt;'PlayerGrades+'!$AE$13,"D+",IF(L568&lt;'PlayerGrades+'!$AE$12,"C-",IF(L568&lt;'PlayerGrades+'!$AE$11,"C",IF(L568&lt;'PlayerGrades+'!$AE$10,"C+",IF(L568&lt;'PlayerGrades+'!$AE$9,"B-",IF(L568&lt;'PlayerGrades+'!$AE$8,"B",IF(L568&lt;'PlayerGrades+'!$AE$7,"B+",IF(L568&lt;'PlayerGrades+'!$AE$6,"A-",IF(L568&lt;'PlayerGrades+'!$AE$5,"A",IF(L568&lt;'PlayerGrades+'!$AE$4,"A+",IF(L568&lt;'PlayerGrades+'!$AE$3,"S-",IF(L568&lt;'PlayerGrades+'!$AE$2,"S","S+"))))))))))))))))))))</f>
        <v>S</v>
      </c>
      <c r="N568" s="973">
        <f t="shared" si="6"/>
        <v>0.133037694</v>
      </c>
      <c r="O568" s="973" t="str">
        <f>IF(N568&lt;'PlayerGrades+'!$AF$21,"F-",IF(N568&lt;'PlayerGrades+'!$AF$20,"F",IF(N568&lt;'PlayerGrades+'!$AF$19,"F+",IF(N568&lt;'PlayerGrades+'!$AF$18,"E-",IF(N568&lt;'PlayerGrades+'!$AF$17,"E",IF(N568&lt;'PlayerGrades+'!$AF$16,"E+",IF(N568&lt;'PlayerGrades+'!$AF$15,"D-",IF(N568&lt;'PlayerGrades+'!$AF$14,"D",IF(N568&lt;'PlayerGrades+'!$AF$13,"D+",IF(N568&lt;'PlayerGrades+'!$AF$12,"C-",IF(N568&lt;'PlayerGrades+'!$AF$11,"C",IF(N568&lt;'PlayerGrades+'!$AF$10,"C+",IF(N568&lt;'PlayerGrades+'!$AF$9,"B-",IF(N568&lt;'PlayerGrades+'!$AF$8,"B",IF(N568&lt;'PlayerGrades+'!$AF$7,"B+",IF(N568&lt;'PlayerGrades+'!$AF$6,"A-",IF(N568&lt;'PlayerGrades+'!$AF$5,"A",IF(N568&lt;'PlayerGrades+'!$AF$4,"A+",IF(N568&lt;'PlayerGrades+'!$AF$3,"S-",IF(N568&lt;'PlayerGrades+'!$AF$2,"S","S+"))))))))))))))))))))</f>
        <v>S</v>
      </c>
      <c r="P568" s="973">
        <f t="shared" si="7"/>
        <v>0</v>
      </c>
      <c r="Q568" s="973" t="str">
        <f>IF(P568&lt;'PlayerGrades+'!$AG$21,"F-",IF(P568&lt;'PlayerGrades+'!$AG$20,"F",IF(P568&lt;'PlayerGrades+'!$AG$19,"F+",IF(P568&lt;'PlayerGrades+'!$AG$18,"E-",IF(P568&lt;'PlayerGrades+'!$AG$17,"E",IF(P568&lt;'PlayerGrades+'!$AG$16,"E+",IF(P568&lt;'PlayerGrades+'!$AG$15,"D-",IF(P568&lt;'PlayerGrades+'!$AG$14,"D",IF(P568&lt;'PlayerGrades+'!$AG$13,"D+",IF(P568&lt;'PlayerGrades+'!$AG$12,"C-",IF(P568&lt;'PlayerGrades+'!$AG$11,"C",IF(P568&lt;'PlayerGrades+'!$AG$10,"C+",IF(P568&lt;'PlayerGrades+'!$AG$9,"B-",IF(P568&lt;'PlayerGrades+'!$AG$8,"B",IF(P568&lt;'PlayerGrades+'!$AG$7,"B+",IF(P568&lt;'PlayerGrades+'!$AG$6,"A-",IF(P568&lt;'PlayerGrades+'!$AG$5,"A",IF(P568&lt;'PlayerGrades+'!$AG$4,"A+",IF(P568&lt;'PlayerGrades+'!$AG$3,"S-",IF(P568&lt;'PlayerGrades+'!$AG$2,"S","S+"))))))))))))))))))))</f>
        <v>F</v>
      </c>
      <c r="R568" s="973">
        <f t="shared" si="8"/>
        <v>0.7982261641</v>
      </c>
      <c r="S568" s="973" t="str">
        <f>IF(R568&lt;'PlayerGrades+'!$AH$21,"F-",IF(R568&lt;'PlayerGrades+'!$AH$20,"F",IF(R568&lt;'PlayerGrades+'!$AH$19,"F+",IF(R568&lt;'PlayerGrades+'!$AH$18,"E-",IF(R568&lt;'PlayerGrades+'!$AH$17,"E",IF(R568&lt;'PlayerGrades+'!$AH$16,"E+",IF(R568&lt;'PlayerGrades+'!$AH$15,"D-",IF(R568&lt;'PlayerGrades+'!$AH$14,"D",IF(R568&lt;'PlayerGrades+'!$AH$13,"D+",IF(R568&lt;'PlayerGrades+'!$AH$12,"C-",IF(R568&lt;'PlayerGrades+'!$AH$11,"C",IF(R568&lt;'PlayerGrades+'!$AH$10,"C+",IF(R568&lt;'PlayerGrades+'!$AH$9,"B-",IF(R568&lt;'PlayerGrades+'!$AH$8,"B",IF(R568&lt;'PlayerGrades+'!$AH$7,"B+",IF(R568&lt;'PlayerGrades+'!$AH$6,"A-",IF(R568&lt;'PlayerGrades+'!$AH$5,"A",IF(R568&lt;'PlayerGrades+'!$AH$4,"A+",IF(R568&lt;'PlayerGrades+'!$AH$3,"S-",IF(R568&lt;'PlayerGrades+'!$AH$2,"S","S+"))))))))))))))))))))</f>
        <v>S+</v>
      </c>
      <c r="T568" s="973">
        <f t="shared" si="9"/>
        <v>2.66518847</v>
      </c>
      <c r="U568" s="973" t="str">
        <f>IF(T568&lt;'PlayerGrades+'!$AI$21,"F-",IF(T568&lt;'PlayerGrades+'!$AI$20,"F",IF(T568&lt;'PlayerGrades+'!$AI$19,"F+",IF(T568&lt;'PlayerGrades+'!$AI$18,"E-",IF(T568&lt;'PlayerGrades+'!$AI$17,"E",IF(T568&lt;'PlayerGrades+'!$AI$16,"E+",IF(T568&lt;'PlayerGrades+'!$AI$15,"D-",IF(T568&lt;'PlayerGrades+'!$AI$14,"D",IF(T568&lt;'PlayerGrades+'!$AI$13,"D+",IF(T568&lt;'PlayerGrades+'!$AI$12,"C-",IF(T568&lt;'PlayerGrades+'!$AI$11,"C",IF(T568&lt;'PlayerGrades+'!$AI$10,"C+",IF(T568&lt;'PlayerGrades+'!$AI$9,"B-",IF(T568&lt;'PlayerGrades+'!$AI$8,"B",IF(T568&lt;'PlayerGrades+'!$AI$7,"B+",IF(T568&lt;'PlayerGrades+'!$AI$6,"A-",IF(T568&lt;'PlayerGrades+'!$AI$5,"A",IF(T568&lt;'PlayerGrades+'!$AI$4,"A+",IF(T568&lt;'PlayerGrades+'!$AI$3,"S-",IF(T568&lt;'PlayerGrades+'!$AI$2,"S","S+"))))))))))))))))))))</f>
        <v>S+</v>
      </c>
      <c r="V568" s="983">
        <v>1.0</v>
      </c>
      <c r="W568" s="983">
        <v>0.0</v>
      </c>
      <c r="X568" s="983">
        <v>1.0</v>
      </c>
      <c r="Y568" s="983">
        <v>0.0</v>
      </c>
      <c r="Z568" s="983">
        <v>1.0</v>
      </c>
      <c r="AA568" s="983">
        <v>24.0</v>
      </c>
      <c r="AB568" s="983">
        <v>32.0</v>
      </c>
      <c r="AC568" s="983">
        <v>-8.0</v>
      </c>
      <c r="AD568" s="983">
        <v>3.0</v>
      </c>
      <c r="AE568" s="983">
        <v>3.0</v>
      </c>
      <c r="AF568" s="983">
        <v>2.0</v>
      </c>
      <c r="AG568" s="983">
        <v>279.0</v>
      </c>
      <c r="AH568" s="983">
        <v>451.0</v>
      </c>
      <c r="AI568" s="983">
        <v>8.0</v>
      </c>
      <c r="AJ568" s="983">
        <v>12.0</v>
      </c>
      <c r="AK568" s="983">
        <v>0.0</v>
      </c>
      <c r="AL568" s="983">
        <v>0.0</v>
      </c>
      <c r="AM568" s="983">
        <v>0.0</v>
      </c>
      <c r="AN568" s="983">
        <v>0.0</v>
      </c>
      <c r="AO568" s="983">
        <v>0.0</v>
      </c>
      <c r="AP568" s="983">
        <v>0.0</v>
      </c>
      <c r="AQ568" s="983">
        <v>0.0</v>
      </c>
      <c r="AR568" s="983">
        <v>5.0</v>
      </c>
      <c r="AS568" s="983">
        <v>1.0</v>
      </c>
      <c r="AT568" s="983">
        <v>0.0</v>
      </c>
      <c r="AU568" s="983">
        <v>0.0</v>
      </c>
      <c r="AV568" s="983">
        <v>0.0</v>
      </c>
      <c r="AW568" s="983">
        <v>0.0</v>
      </c>
      <c r="AX568" s="983">
        <v>0.0</v>
      </c>
      <c r="AY568" s="983">
        <v>0.0</v>
      </c>
      <c r="AZ568" s="983">
        <v>0.0</v>
      </c>
      <c r="BA568" s="983">
        <v>0.0</v>
      </c>
      <c r="BB568" s="983">
        <v>0.0</v>
      </c>
      <c r="BC568" s="983">
        <v>0.0</v>
      </c>
      <c r="BD568" s="983">
        <v>3.0</v>
      </c>
      <c r="BE568" s="983">
        <v>5.0</v>
      </c>
      <c r="BF568" s="983">
        <v>2.0</v>
      </c>
      <c r="BG568" s="985">
        <v>1.0</v>
      </c>
    </row>
    <row r="569">
      <c r="A569" s="943" t="s">
        <v>130</v>
      </c>
      <c r="B569" s="421" t="str">
        <f>IF(C569&lt;'PlayerGrades+'!$Y$44,"F-",IF(C569&lt;'PlayerGrades+'!$Y$43,"F",IF(C569&lt;'PlayerGrades+'!$Y$42,"F+",IF(C569&lt;'PlayerGrades+'!$Y$41,"E-",IF(C569&lt;'PlayerGrades+'!$Y$40,"E",IF(C569&lt;'PlayerGrades+'!$Y$39,"E+",IF(C569&lt;'PlayerGrades+'!$Y$38,"D-",IF(C569&lt;'PlayerGrades+'!$Y$37,"D",IF(C569&lt;'PlayerGrades+'!$Y$36,"D+",IF(C569&lt;'PlayerGrades+'!$Y$35,"C-",IF(C569&lt;'PlayerGrades+'!$Y$34,"C",IF(C569&lt;'PlayerGrades+'!$Y$33,"C+",IF(C569&lt;'PlayerGrades+'!$Y$32,"B-",IF(C569&lt;'PlayerGrades+'!$Y$31,"B",IF(C569&lt;'PlayerGrades+'!$Y$30,"B+",IF(C569&lt;'PlayerGrades+'!$Y$29,"A-",IF(C569&lt;'PlayerGrades+'!$Y$28,"A",IF(C569&lt;'PlayerGrades+'!$Y$27,"A+",IF(C569&lt;'PlayerGrades+'!$Y$26,"S-",IF(C569&lt;'PlayerGrades+'!$Y$25,"S","S+"))))))))))))))))))))</f>
        <v>E-</v>
      </c>
      <c r="C569" s="972">
        <f>('PlayerGrades+'!$Y$47*(VLOOKUP(E569, 'PlayerGrades+'!$X$3:$Y$23, 2, FALSE)))+('PlayerGrades+'!$Y$48*(VLOOKUP(G569, 'PlayerGrades+'!$X$3:$Y$23, 2, FALSE)))+('PlayerGrades+'!$Y$49*(VLOOKUP(I569, 'PlayerGrades+'!$X$3:$Y$23, 2, FALSE)))+('PlayerGrades+'!$Y$50*(VLOOKUP(K569, 'PlayerGrades+'!$X$3:$Y$23, 2, FALSE)))+('PlayerGrades+'!$Y$51*(VLOOKUP(M569, 'PlayerGrades+'!$X$3:$Y$23, 2, FALSE)))+('PlayerGrades+'!$Y$52*(VLOOKUP(O569, 'PlayerGrades+'!$X$3:$Y$23, 2, FALSE)))+('PlayerGrades+'!$Y$53*(VLOOKUP(Q569, 'PlayerGrades+'!$X$3:$Y$23, 2, FALSE)))+('PlayerGrades+'!$Y$54*(VLOOKUP(S569, 'PlayerGrades+'!$X$3:$Y$23, 2, FALSE)))+('PlayerGrades+'!$Y$55*(VLOOKUP(U569, 'PlayerGrades+'!$X$3:$Y$23, 2, FALSE)))</f>
        <v>11.3</v>
      </c>
      <c r="D569" s="973">
        <f t="shared" si="1"/>
        <v>0</v>
      </c>
      <c r="E569" s="973" t="str">
        <f>IF(D569&lt;'PlayerGrades+'!$AA$21,"F-",IF(D569&lt;'PlayerGrades+'!$AA$20,"F",IF(D569&lt;'PlayerGrades+'!$AA$19,"F+",IF(D569&lt;'PlayerGrades+'!$AA$18,"E-",IF(D569&lt;'PlayerGrades+'!$AA$17,"E",IF(D569&lt;'PlayerGrades+'!$AA$16,"E+",IF(D569&lt;'PlayerGrades+'!$AA$15,"D-",IF(D569&lt;'PlayerGrades+'!$AA$14,"D",IF(D569&lt;'PlayerGrades+'!$AA$13,"D+",IF(D569&lt;'PlayerGrades+'!$AA$12,"C-",IF(D569&lt;'PlayerGrades+'!$AA$11,"C",IF(D569&lt;'PlayerGrades+'!$AA$10,"C+",IF(D569&lt;'PlayerGrades+'!$AA$9,"B-",IF(D569&lt;'PlayerGrades+'!$AA$8,"B",IF(D569&lt;'PlayerGrades+'!$AA$7,"B+",IF(D569&lt;'PlayerGrades+'!$AA$6,"A-",IF(D569&lt;'PlayerGrades+'!$AA$5,"A",IF(D569&lt;'PlayerGrades+'!$AA$4,"A+",IF(D569&lt;'PlayerGrades+'!$AA$3,"S-",IF(D569&lt;'PlayerGrades+'!$AA$2,"S","S+"))))))))))))))))))))</f>
        <v>F-</v>
      </c>
      <c r="F569" s="973">
        <f t="shared" si="2"/>
        <v>0.266075388</v>
      </c>
      <c r="G569" s="973" t="str">
        <f>IF(F569&lt;'PlayerGrades+'!$AB$21,"F-",IF(F569&lt;'PlayerGrades+'!$AB$20,"F",IF(F569&lt;'PlayerGrades+'!$AB$19,"F+",IF(F569&lt;'PlayerGrades+'!$AB$18,"E-",IF(F569&lt;'PlayerGrades+'!$AB$17,"E",IF(F569&lt;'PlayerGrades+'!$AB$16,"E+",IF(F569&lt;'PlayerGrades+'!$AB$15,"D-",IF(F569&lt;'PlayerGrades+'!$AB$14,"D",IF(F569&lt;'PlayerGrades+'!$AB$13,"D+",IF(F569&lt;'PlayerGrades+'!$AB$12,"C-",IF(F569&lt;'PlayerGrades+'!$AB$11,"C",IF(F569&lt;'PlayerGrades+'!$AB$10,"C+",IF(F569&lt;'PlayerGrades+'!$AB$9,"B-",IF(F569&lt;'PlayerGrades+'!$AB$8,"B",IF(F569&lt;'PlayerGrades+'!$AB$7,"B+",IF(F569&lt;'PlayerGrades+'!$AB$6,"A-",IF(F569&lt;'PlayerGrades+'!$AB$5,"A",IF(F569&lt;'PlayerGrades+'!$AB$4,"A+",IF(F569&lt;'PlayerGrades+'!$AB$3,"S-",IF(F569&lt;'PlayerGrades+'!$AB$2,"S","S+"))))))))))))))))))))</f>
        <v>B+</v>
      </c>
      <c r="H569" s="973">
        <f t="shared" si="3"/>
        <v>0.133037694</v>
      </c>
      <c r="I569" s="973" t="str">
        <f>IF(H569&lt;'PlayerGrades+'!$AC$21,"F-",IF(H569&lt;'PlayerGrades+'!$AC$20,"F",IF(H569&lt;'PlayerGrades+'!$AC$19,"F+",IF(H569&lt;'PlayerGrades+'!$AC$18,"E-",IF(H569&lt;'PlayerGrades+'!$AC$17,"E",IF(H569&lt;'PlayerGrades+'!$AC$16,"E+",IF(H569&lt;'PlayerGrades+'!$AC$15,"D-",IF(H569&lt;'PlayerGrades+'!$AC$14,"D",IF(H569&lt;'PlayerGrades+'!$AC$13,"D+",IF(H569&lt;'PlayerGrades+'!$AC$12,"C-",IF(H569&lt;'PlayerGrades+'!$AC$11,"C",IF(H569&lt;'PlayerGrades+'!$AC$10,"C+",IF(H569&lt;'PlayerGrades+'!$AC$9,"B-",IF(H569&lt;'PlayerGrades+'!$AC$8,"B",IF(H569&lt;'PlayerGrades+'!$AC$7,"B+",IF(H569&lt;'PlayerGrades+'!$AC$6,"A-",IF(H569&lt;'PlayerGrades+'!$AC$5,"A",IF(H569&lt;'PlayerGrades+'!$AC$4,"A+",IF(H569&lt;'PlayerGrades+'!$AC$3,"S-",IF(H569&lt;'PlayerGrades+'!$AC$2,"S","S+"))))))))))))))))))))</f>
        <v>B</v>
      </c>
      <c r="J569" s="973">
        <f t="shared" si="4"/>
        <v>0</v>
      </c>
      <c r="K569" s="973" t="str">
        <f>IF(J569&lt;'PlayerGrades+'!$AD$21,"F-",IF(J569&lt;'PlayerGrades+'!$AD$20,"F",IF(J569&lt;'PlayerGrades+'!$AD$19,"F+",IF(J569&lt;'PlayerGrades+'!$AD$18,"E-",IF(J569&lt;'PlayerGrades+'!$AD$17,"E",IF(J569&lt;'PlayerGrades+'!$AD$16,"E+",IF(J569&lt;'PlayerGrades+'!$AD$15,"D-",IF(J569&lt;'PlayerGrades+'!$AD$14,"D",IF(J569&lt;'PlayerGrades+'!$AD$13,"D+",IF(J569&lt;'PlayerGrades+'!$AD$12,"C-",IF(J569&lt;'PlayerGrades+'!$AD$11,"C",IF(J569&lt;'PlayerGrades+'!$AD$10,"C+",IF(J569&lt;'PlayerGrades+'!$AD$9,"B-",IF(J569&lt;'PlayerGrades+'!$AD$8,"B",IF(J569&lt;'PlayerGrades+'!$AD$7,"B+",IF(J569&lt;'PlayerGrades+'!$AD$6,"A-",IF(J569&lt;'PlayerGrades+'!$AD$5,"A",IF(J569&lt;'PlayerGrades+'!$AD$4,"A+",IF(J569&lt;'PlayerGrades+'!$AD$3,"S-",IF(J569&lt;'PlayerGrades+'!$AD$2,"S","S+"))))))))))))))))))))</f>
        <v>F-</v>
      </c>
      <c r="L569" s="974">
        <f t="shared" si="5"/>
        <v>0.266075388</v>
      </c>
      <c r="M569" s="975" t="str">
        <f>IF(L569&lt;'PlayerGrades+'!$AE$21,"F-",IF(L569&lt;'PlayerGrades+'!$AE$20,"F",IF(L569&lt;'PlayerGrades+'!$AE$19,"F+",IF(L569&lt;'PlayerGrades+'!$AE$18,"E-",IF(L569&lt;'PlayerGrades+'!$AE$17,"E",IF(L569&lt;'PlayerGrades+'!$AE$16,"E+",IF(L569&lt;'PlayerGrades+'!$AE$15,"D-",IF(L569&lt;'PlayerGrades+'!$AE$14,"D",IF(L569&lt;'PlayerGrades+'!$AE$13,"D+",IF(L569&lt;'PlayerGrades+'!$AE$12,"C-",IF(L569&lt;'PlayerGrades+'!$AE$11,"C",IF(L569&lt;'PlayerGrades+'!$AE$10,"C+",IF(L569&lt;'PlayerGrades+'!$AE$9,"B-",IF(L569&lt;'PlayerGrades+'!$AE$8,"B",IF(L569&lt;'PlayerGrades+'!$AE$7,"B+",IF(L569&lt;'PlayerGrades+'!$AE$6,"A-",IF(L569&lt;'PlayerGrades+'!$AE$5,"A",IF(L569&lt;'PlayerGrades+'!$AE$4,"A+",IF(L569&lt;'PlayerGrades+'!$AE$3,"S-",IF(L569&lt;'PlayerGrades+'!$AE$2,"S","S+"))))))))))))))))))))</f>
        <v>F</v>
      </c>
      <c r="N569" s="973">
        <f t="shared" si="6"/>
        <v>0</v>
      </c>
      <c r="O569" s="973" t="str">
        <f>IF(N569&lt;'PlayerGrades+'!$AF$21,"F-",IF(N569&lt;'PlayerGrades+'!$AF$20,"F",IF(N569&lt;'PlayerGrades+'!$AF$19,"F+",IF(N569&lt;'PlayerGrades+'!$AF$18,"E-",IF(N569&lt;'PlayerGrades+'!$AF$17,"E",IF(N569&lt;'PlayerGrades+'!$AF$16,"E+",IF(N569&lt;'PlayerGrades+'!$AF$15,"D-",IF(N569&lt;'PlayerGrades+'!$AF$14,"D",IF(N569&lt;'PlayerGrades+'!$AF$13,"D+",IF(N569&lt;'PlayerGrades+'!$AF$12,"C-",IF(N569&lt;'PlayerGrades+'!$AF$11,"C",IF(N569&lt;'PlayerGrades+'!$AF$10,"C+",IF(N569&lt;'PlayerGrades+'!$AF$9,"B-",IF(N569&lt;'PlayerGrades+'!$AF$8,"B",IF(N569&lt;'PlayerGrades+'!$AF$7,"B+",IF(N569&lt;'PlayerGrades+'!$AF$6,"A-",IF(N569&lt;'PlayerGrades+'!$AF$5,"A",IF(N569&lt;'PlayerGrades+'!$AF$4,"A+",IF(N569&lt;'PlayerGrades+'!$AF$3,"S-",IF(N569&lt;'PlayerGrades+'!$AF$2,"S","S+"))))))))))))))))))))</f>
        <v>F-</v>
      </c>
      <c r="P569" s="973">
        <f t="shared" si="7"/>
        <v>0</v>
      </c>
      <c r="Q569" s="973" t="str">
        <f>IF(P569&lt;'PlayerGrades+'!$AG$21,"F-",IF(P569&lt;'PlayerGrades+'!$AG$20,"F",IF(P569&lt;'PlayerGrades+'!$AG$19,"F+",IF(P569&lt;'PlayerGrades+'!$AG$18,"E-",IF(P569&lt;'PlayerGrades+'!$AG$17,"E",IF(P569&lt;'PlayerGrades+'!$AG$16,"E+",IF(P569&lt;'PlayerGrades+'!$AG$15,"D-",IF(P569&lt;'PlayerGrades+'!$AG$14,"D",IF(P569&lt;'PlayerGrades+'!$AG$13,"D+",IF(P569&lt;'PlayerGrades+'!$AG$12,"C-",IF(P569&lt;'PlayerGrades+'!$AG$11,"C",IF(P569&lt;'PlayerGrades+'!$AG$10,"C+",IF(P569&lt;'PlayerGrades+'!$AG$9,"B-",IF(P569&lt;'PlayerGrades+'!$AG$8,"B",IF(P569&lt;'PlayerGrades+'!$AG$7,"B+",IF(P569&lt;'PlayerGrades+'!$AG$6,"A-",IF(P569&lt;'PlayerGrades+'!$AG$5,"A",IF(P569&lt;'PlayerGrades+'!$AG$4,"A+",IF(P569&lt;'PlayerGrades+'!$AG$3,"S-",IF(P569&lt;'PlayerGrades+'!$AG$2,"S","S+"))))))))))))))))))))</f>
        <v>F</v>
      </c>
      <c r="R569" s="973">
        <f t="shared" si="8"/>
        <v>0.399113082</v>
      </c>
      <c r="S569" s="973" t="str">
        <f>IF(R569&lt;'PlayerGrades+'!$AH$21,"F-",IF(R569&lt;'PlayerGrades+'!$AH$20,"F",IF(R569&lt;'PlayerGrades+'!$AH$19,"F+",IF(R569&lt;'PlayerGrades+'!$AH$18,"E-",IF(R569&lt;'PlayerGrades+'!$AH$17,"E",IF(R569&lt;'PlayerGrades+'!$AH$16,"E+",IF(R569&lt;'PlayerGrades+'!$AH$15,"D-",IF(R569&lt;'PlayerGrades+'!$AH$14,"D",IF(R569&lt;'PlayerGrades+'!$AH$13,"D+",IF(R569&lt;'PlayerGrades+'!$AH$12,"C-",IF(R569&lt;'PlayerGrades+'!$AH$11,"C",IF(R569&lt;'PlayerGrades+'!$AH$10,"C+",IF(R569&lt;'PlayerGrades+'!$AH$9,"B-",IF(R569&lt;'PlayerGrades+'!$AH$8,"B",IF(R569&lt;'PlayerGrades+'!$AH$7,"B+",IF(R569&lt;'PlayerGrades+'!$AH$6,"A-",IF(R569&lt;'PlayerGrades+'!$AH$5,"A",IF(R569&lt;'PlayerGrades+'!$AH$4,"A+",IF(R569&lt;'PlayerGrades+'!$AH$3,"S-",IF(R569&lt;'PlayerGrades+'!$AH$2,"S","S+"))))))))))))))))))))</f>
        <v>F+</v>
      </c>
      <c r="T569" s="973">
        <f t="shared" si="9"/>
        <v>1.266075388</v>
      </c>
      <c r="U569" s="973" t="str">
        <f>IF(T569&lt;'PlayerGrades+'!$AI$21,"F-",IF(T569&lt;'PlayerGrades+'!$AI$20,"F",IF(T569&lt;'PlayerGrades+'!$AI$19,"F+",IF(T569&lt;'PlayerGrades+'!$AI$18,"E-",IF(T569&lt;'PlayerGrades+'!$AI$17,"E",IF(T569&lt;'PlayerGrades+'!$AI$16,"E+",IF(T569&lt;'PlayerGrades+'!$AI$15,"D-",IF(T569&lt;'PlayerGrades+'!$AI$14,"D",IF(T569&lt;'PlayerGrades+'!$AI$13,"D+",IF(T569&lt;'PlayerGrades+'!$AI$12,"C-",IF(T569&lt;'PlayerGrades+'!$AI$11,"C",IF(T569&lt;'PlayerGrades+'!$AI$10,"C+",IF(T569&lt;'PlayerGrades+'!$AI$9,"B-",IF(T569&lt;'PlayerGrades+'!$AI$8,"B",IF(T569&lt;'PlayerGrades+'!$AI$7,"B+",IF(T569&lt;'PlayerGrades+'!$AI$6,"A-",IF(T569&lt;'PlayerGrades+'!$AI$5,"A",IF(T569&lt;'PlayerGrades+'!$AI$4,"A+",IF(T569&lt;'PlayerGrades+'!$AI$3,"S-",IF(T569&lt;'PlayerGrades+'!$AI$2,"S","S+"))))))))))))))))))))</f>
        <v>C</v>
      </c>
      <c r="V569" s="986">
        <v>1.0</v>
      </c>
      <c r="W569" s="986">
        <v>0.0</v>
      </c>
      <c r="X569" s="986">
        <v>1.0</v>
      </c>
      <c r="Y569" s="986">
        <v>0.0</v>
      </c>
      <c r="Z569" s="986">
        <v>0.0</v>
      </c>
      <c r="AA569" s="986">
        <v>23.0</v>
      </c>
      <c r="AB569" s="986">
        <v>21.0</v>
      </c>
      <c r="AC569" s="986">
        <v>2.0</v>
      </c>
      <c r="AD569" s="986">
        <v>2.0</v>
      </c>
      <c r="AE569" s="986">
        <v>3.0</v>
      </c>
      <c r="AF569" s="986">
        <v>1.0</v>
      </c>
      <c r="AG569" s="986">
        <v>308.0</v>
      </c>
      <c r="AH569" s="986">
        <v>451.0</v>
      </c>
      <c r="AI569" s="986">
        <v>14.0</v>
      </c>
      <c r="AJ569" s="986">
        <v>2.0</v>
      </c>
      <c r="AK569" s="986">
        <v>0.0</v>
      </c>
      <c r="AL569" s="986">
        <v>0.0</v>
      </c>
      <c r="AM569" s="986">
        <v>0.0</v>
      </c>
      <c r="AN569" s="986">
        <v>0.0</v>
      </c>
      <c r="AO569" s="986">
        <v>0.0</v>
      </c>
      <c r="AP569" s="986">
        <v>0.0</v>
      </c>
      <c r="AQ569" s="986">
        <v>0.0</v>
      </c>
      <c r="AR569" s="986">
        <v>2.0</v>
      </c>
      <c r="AS569" s="986">
        <v>0.0</v>
      </c>
      <c r="AT569" s="986">
        <v>0.0</v>
      </c>
      <c r="AU569" s="986">
        <v>0.0</v>
      </c>
      <c r="AV569" s="986">
        <v>0.0</v>
      </c>
      <c r="AW569" s="986">
        <v>0.0</v>
      </c>
      <c r="AX569" s="986">
        <v>0.0</v>
      </c>
      <c r="AY569" s="986">
        <v>0.0</v>
      </c>
      <c r="AZ569" s="986">
        <v>0.0</v>
      </c>
      <c r="BA569" s="986">
        <v>0.0</v>
      </c>
      <c r="BB569" s="986">
        <v>1.0</v>
      </c>
      <c r="BC569" s="986">
        <v>0.0</v>
      </c>
      <c r="BD569" s="986">
        <v>1.0</v>
      </c>
      <c r="BE569" s="986">
        <v>2.0</v>
      </c>
      <c r="BF569" s="986">
        <v>1.0</v>
      </c>
      <c r="BG569" s="987">
        <v>1.0</v>
      </c>
    </row>
    <row r="570">
      <c r="A570" s="1" t="s">
        <v>119</v>
      </c>
      <c r="B570" s="421" t="str">
        <f>IF(C570&lt;'PlayerGrades+'!$Y$44,"F-",IF(C570&lt;'PlayerGrades+'!$Y$43,"F",IF(C570&lt;'PlayerGrades+'!$Y$42,"F+",IF(C570&lt;'PlayerGrades+'!$Y$41,"E-",IF(C570&lt;'PlayerGrades+'!$Y$40,"E",IF(C570&lt;'PlayerGrades+'!$Y$39,"E+",IF(C570&lt;'PlayerGrades+'!$Y$38,"D-",IF(C570&lt;'PlayerGrades+'!$Y$37,"D",IF(C570&lt;'PlayerGrades+'!$Y$36,"D+",IF(C570&lt;'PlayerGrades+'!$Y$35,"C-",IF(C570&lt;'PlayerGrades+'!$Y$34,"C",IF(C570&lt;'PlayerGrades+'!$Y$33,"C+",IF(C570&lt;'PlayerGrades+'!$Y$32,"B-",IF(C570&lt;'PlayerGrades+'!$Y$31,"B",IF(C570&lt;'PlayerGrades+'!$Y$30,"B+",IF(C570&lt;'PlayerGrades+'!$Y$29,"A-",IF(C570&lt;'PlayerGrades+'!$Y$28,"A",IF(C570&lt;'PlayerGrades+'!$Y$27,"A+",IF(C570&lt;'PlayerGrades+'!$Y$26,"S-",IF(C570&lt;'PlayerGrades+'!$Y$25,"S","S+"))))))))))))))))))))</f>
        <v>C-</v>
      </c>
      <c r="C570" s="972">
        <f>('PlayerGrades+'!$Y$47*(VLOOKUP(E570, 'PlayerGrades+'!$X$3:$Y$23, 2, FALSE)))+('PlayerGrades+'!$Y$48*(VLOOKUP(G570, 'PlayerGrades+'!$X$3:$Y$23, 2, FALSE)))+('PlayerGrades+'!$Y$49*(VLOOKUP(I570, 'PlayerGrades+'!$X$3:$Y$23, 2, FALSE)))+('PlayerGrades+'!$Y$50*(VLOOKUP(K570, 'PlayerGrades+'!$X$3:$Y$23, 2, FALSE)))+('PlayerGrades+'!$Y$51*(VLOOKUP(M570, 'PlayerGrades+'!$X$3:$Y$23, 2, FALSE)))+('PlayerGrades+'!$Y$52*(VLOOKUP(O570, 'PlayerGrades+'!$X$3:$Y$23, 2, FALSE)))+('PlayerGrades+'!$Y$53*(VLOOKUP(Q570, 'PlayerGrades+'!$X$3:$Y$23, 2, FALSE)))+('PlayerGrades+'!$Y$54*(VLOOKUP(S570, 'PlayerGrades+'!$X$3:$Y$23, 2, FALSE)))+('PlayerGrades+'!$Y$55*(VLOOKUP(U570, 'PlayerGrades+'!$X$3:$Y$23, 2, FALSE)))</f>
        <v>18.3</v>
      </c>
      <c r="D570" s="973">
        <f t="shared" si="1"/>
        <v>0.5909797823</v>
      </c>
      <c r="E570" s="973" t="str">
        <f>IF(D570&lt;'PlayerGrades+'!$AA$21,"F-",IF(D570&lt;'PlayerGrades+'!$AA$20,"F",IF(D570&lt;'PlayerGrades+'!$AA$19,"F+",IF(D570&lt;'PlayerGrades+'!$AA$18,"E-",IF(D570&lt;'PlayerGrades+'!$AA$17,"E",IF(D570&lt;'PlayerGrades+'!$AA$16,"E+",IF(D570&lt;'PlayerGrades+'!$AA$15,"D-",IF(D570&lt;'PlayerGrades+'!$AA$14,"D",IF(D570&lt;'PlayerGrades+'!$AA$13,"D+",IF(D570&lt;'PlayerGrades+'!$AA$12,"C-",IF(D570&lt;'PlayerGrades+'!$AA$11,"C",IF(D570&lt;'PlayerGrades+'!$AA$10,"C+",IF(D570&lt;'PlayerGrades+'!$AA$9,"B-",IF(D570&lt;'PlayerGrades+'!$AA$8,"B",IF(D570&lt;'PlayerGrades+'!$AA$7,"B+",IF(D570&lt;'PlayerGrades+'!$AA$6,"A-",IF(D570&lt;'PlayerGrades+'!$AA$5,"A",IF(D570&lt;'PlayerGrades+'!$AA$4,"A+",IF(D570&lt;'PlayerGrades+'!$AA$3,"S-",IF(D570&lt;'PlayerGrades+'!$AA$2,"S","S+"))))))))))))))))))))</f>
        <v>S-</v>
      </c>
      <c r="F570" s="973">
        <f t="shared" si="2"/>
        <v>-0.03110419907</v>
      </c>
      <c r="G570" s="973" t="str">
        <f>IF(F570&lt;'PlayerGrades+'!$AB$21,"F-",IF(F570&lt;'PlayerGrades+'!$AB$20,"F",IF(F570&lt;'PlayerGrades+'!$AB$19,"F+",IF(F570&lt;'PlayerGrades+'!$AB$18,"E-",IF(F570&lt;'PlayerGrades+'!$AB$17,"E",IF(F570&lt;'PlayerGrades+'!$AB$16,"E+",IF(F570&lt;'PlayerGrades+'!$AB$15,"D-",IF(F570&lt;'PlayerGrades+'!$AB$14,"D",IF(F570&lt;'PlayerGrades+'!$AB$13,"D+",IF(F570&lt;'PlayerGrades+'!$AB$12,"C-",IF(F570&lt;'PlayerGrades+'!$AB$11,"C",IF(F570&lt;'PlayerGrades+'!$AB$10,"C+",IF(F570&lt;'PlayerGrades+'!$AB$9,"B-",IF(F570&lt;'PlayerGrades+'!$AB$8,"B",IF(F570&lt;'PlayerGrades+'!$AB$7,"B+",IF(F570&lt;'PlayerGrades+'!$AB$6,"A-",IF(F570&lt;'PlayerGrades+'!$AB$5,"A",IF(F570&lt;'PlayerGrades+'!$AB$4,"A+",IF(F570&lt;'PlayerGrades+'!$AB$3,"S-",IF(F570&lt;'PlayerGrades+'!$AB$2,"S","S+"))))))))))))))))))))</f>
        <v>B-</v>
      </c>
      <c r="H570" s="973">
        <f t="shared" si="3"/>
        <v>0</v>
      </c>
      <c r="I570" s="973" t="str">
        <f>IF(H570&lt;'PlayerGrades+'!$AC$21,"F-",IF(H570&lt;'PlayerGrades+'!$AC$20,"F",IF(H570&lt;'PlayerGrades+'!$AC$19,"F+",IF(H570&lt;'PlayerGrades+'!$AC$18,"E-",IF(H570&lt;'PlayerGrades+'!$AC$17,"E",IF(H570&lt;'PlayerGrades+'!$AC$16,"E+",IF(H570&lt;'PlayerGrades+'!$AC$15,"D-",IF(H570&lt;'PlayerGrades+'!$AC$14,"D",IF(H570&lt;'PlayerGrades+'!$AC$13,"D+",IF(H570&lt;'PlayerGrades+'!$AC$12,"C-",IF(H570&lt;'PlayerGrades+'!$AC$11,"C",IF(H570&lt;'PlayerGrades+'!$AC$10,"C+",IF(H570&lt;'PlayerGrades+'!$AC$9,"B-",IF(H570&lt;'PlayerGrades+'!$AC$8,"B",IF(H570&lt;'PlayerGrades+'!$AC$7,"B+",IF(H570&lt;'PlayerGrades+'!$AC$6,"A-",IF(H570&lt;'PlayerGrades+'!$AC$5,"A",IF(H570&lt;'PlayerGrades+'!$AC$4,"A+",IF(H570&lt;'PlayerGrades+'!$AC$3,"S-",IF(H570&lt;'PlayerGrades+'!$AC$2,"S","S+"))))))))))))))))))))</f>
        <v>F-</v>
      </c>
      <c r="J570" s="973">
        <f t="shared" si="4"/>
        <v>0.03110419907</v>
      </c>
      <c r="K570" s="973" t="str">
        <f>IF(J570&lt;'PlayerGrades+'!$AD$21,"F-",IF(J570&lt;'PlayerGrades+'!$AD$20,"F",IF(J570&lt;'PlayerGrades+'!$AD$19,"F+",IF(J570&lt;'PlayerGrades+'!$AD$18,"E-",IF(J570&lt;'PlayerGrades+'!$AD$17,"E",IF(J570&lt;'PlayerGrades+'!$AD$16,"E+",IF(J570&lt;'PlayerGrades+'!$AD$15,"D-",IF(J570&lt;'PlayerGrades+'!$AD$14,"D",IF(J570&lt;'PlayerGrades+'!$AD$13,"D+",IF(J570&lt;'PlayerGrades+'!$AD$12,"C-",IF(J570&lt;'PlayerGrades+'!$AD$11,"C",IF(J570&lt;'PlayerGrades+'!$AD$10,"C+",IF(J570&lt;'PlayerGrades+'!$AD$9,"B-",IF(J570&lt;'PlayerGrades+'!$AD$8,"B",IF(J570&lt;'PlayerGrades+'!$AD$7,"B+",IF(J570&lt;'PlayerGrades+'!$AD$6,"A-",IF(J570&lt;'PlayerGrades+'!$AD$5,"A",IF(J570&lt;'PlayerGrades+'!$AD$4,"A+",IF(J570&lt;'PlayerGrades+'!$AD$3,"S-",IF(J570&lt;'PlayerGrades+'!$AD$2,"S","S+"))))))))))))))))))))</f>
        <v>C</v>
      </c>
      <c r="L570" s="974">
        <f t="shared" si="5"/>
        <v>0.4354587869</v>
      </c>
      <c r="M570" s="975" t="str">
        <f>IF(L570&lt;'PlayerGrades+'!$AE$21,"F-",IF(L570&lt;'PlayerGrades+'!$AE$20,"F",IF(L570&lt;'PlayerGrades+'!$AE$19,"F+",IF(L570&lt;'PlayerGrades+'!$AE$18,"E-",IF(L570&lt;'PlayerGrades+'!$AE$17,"E",IF(L570&lt;'PlayerGrades+'!$AE$16,"E+",IF(L570&lt;'PlayerGrades+'!$AE$15,"D-",IF(L570&lt;'PlayerGrades+'!$AE$14,"D",IF(L570&lt;'PlayerGrades+'!$AE$13,"D+",IF(L570&lt;'PlayerGrades+'!$AE$12,"C-",IF(L570&lt;'PlayerGrades+'!$AE$11,"C",IF(L570&lt;'PlayerGrades+'!$AE$10,"C+",IF(L570&lt;'PlayerGrades+'!$AE$9,"B-",IF(L570&lt;'PlayerGrades+'!$AE$8,"B",IF(L570&lt;'PlayerGrades+'!$AE$7,"B+",IF(L570&lt;'PlayerGrades+'!$AE$6,"A-",IF(L570&lt;'PlayerGrades+'!$AE$5,"A",IF(L570&lt;'PlayerGrades+'!$AE$4,"A+",IF(L570&lt;'PlayerGrades+'!$AE$3,"S-",IF(L570&lt;'PlayerGrades+'!$AE$2,"S","S+"))))))))))))))))))))</f>
        <v>B-</v>
      </c>
      <c r="N570" s="973">
        <f t="shared" si="6"/>
        <v>0.03110419907</v>
      </c>
      <c r="O570" s="973" t="str">
        <f>IF(N570&lt;'PlayerGrades+'!$AF$21,"F-",IF(N570&lt;'PlayerGrades+'!$AF$20,"F",IF(N570&lt;'PlayerGrades+'!$AF$19,"F+",IF(N570&lt;'PlayerGrades+'!$AF$18,"E-",IF(N570&lt;'PlayerGrades+'!$AF$17,"E",IF(N570&lt;'PlayerGrades+'!$AF$16,"E+",IF(N570&lt;'PlayerGrades+'!$AF$15,"D-",IF(N570&lt;'PlayerGrades+'!$AF$14,"D",IF(N570&lt;'PlayerGrades+'!$AF$13,"D+",IF(N570&lt;'PlayerGrades+'!$AF$12,"C-",IF(N570&lt;'PlayerGrades+'!$AF$11,"C",IF(N570&lt;'PlayerGrades+'!$AF$10,"C+",IF(N570&lt;'PlayerGrades+'!$AF$9,"B-",IF(N570&lt;'PlayerGrades+'!$AF$8,"B",IF(N570&lt;'PlayerGrades+'!$AF$7,"B+",IF(N570&lt;'PlayerGrades+'!$AF$6,"A-",IF(N570&lt;'PlayerGrades+'!$AF$5,"A",IF(N570&lt;'PlayerGrades+'!$AF$4,"A+",IF(N570&lt;'PlayerGrades+'!$AF$3,"S-",IF(N570&lt;'PlayerGrades+'!$AF$2,"S","S+"))))))))))))))))))))</f>
        <v>F</v>
      </c>
      <c r="P570" s="973">
        <f t="shared" si="7"/>
        <v>0</v>
      </c>
      <c r="Q570" s="973" t="str">
        <f>IF(P570&lt;'PlayerGrades+'!$AG$21,"F-",IF(P570&lt;'PlayerGrades+'!$AG$20,"F",IF(P570&lt;'PlayerGrades+'!$AG$19,"F+",IF(P570&lt;'PlayerGrades+'!$AG$18,"E-",IF(P570&lt;'PlayerGrades+'!$AG$17,"E",IF(P570&lt;'PlayerGrades+'!$AG$16,"E+",IF(P570&lt;'PlayerGrades+'!$AG$15,"D-",IF(P570&lt;'PlayerGrades+'!$AG$14,"D",IF(P570&lt;'PlayerGrades+'!$AG$13,"D+",IF(P570&lt;'PlayerGrades+'!$AG$12,"C-",IF(P570&lt;'PlayerGrades+'!$AG$11,"C",IF(P570&lt;'PlayerGrades+'!$AG$10,"C+",IF(P570&lt;'PlayerGrades+'!$AG$9,"B-",IF(P570&lt;'PlayerGrades+'!$AG$8,"B",IF(P570&lt;'PlayerGrades+'!$AG$7,"B+",IF(P570&lt;'PlayerGrades+'!$AG$6,"A-",IF(P570&lt;'PlayerGrades+'!$AG$5,"A",IF(P570&lt;'PlayerGrades+'!$AG$4,"A+",IF(P570&lt;'PlayerGrades+'!$AG$3,"S-",IF(P570&lt;'PlayerGrades+'!$AG$2,"S","S+"))))))))))))))))))))</f>
        <v>F</v>
      </c>
      <c r="R570" s="973">
        <f t="shared" si="8"/>
        <v>0.5287713841</v>
      </c>
      <c r="S570" s="973" t="str">
        <f>IF(R570&lt;'PlayerGrades+'!$AH$21,"F-",IF(R570&lt;'PlayerGrades+'!$AH$20,"F",IF(R570&lt;'PlayerGrades+'!$AH$19,"F+",IF(R570&lt;'PlayerGrades+'!$AH$18,"E-",IF(R570&lt;'PlayerGrades+'!$AH$17,"E",IF(R570&lt;'PlayerGrades+'!$AH$16,"E+",IF(R570&lt;'PlayerGrades+'!$AH$15,"D-",IF(R570&lt;'PlayerGrades+'!$AH$14,"D",IF(R570&lt;'PlayerGrades+'!$AH$13,"D+",IF(R570&lt;'PlayerGrades+'!$AH$12,"C-",IF(R570&lt;'PlayerGrades+'!$AH$11,"C",IF(R570&lt;'PlayerGrades+'!$AH$10,"C+",IF(R570&lt;'PlayerGrades+'!$AH$9,"B-",IF(R570&lt;'PlayerGrades+'!$AH$8,"B",IF(R570&lt;'PlayerGrades+'!$AH$7,"B+",IF(R570&lt;'PlayerGrades+'!$AH$6,"A-",IF(R570&lt;'PlayerGrades+'!$AH$5,"A",IF(R570&lt;'PlayerGrades+'!$AH$4,"A+",IF(R570&lt;'PlayerGrades+'!$AH$3,"S-",IF(R570&lt;'PlayerGrades+'!$AH$2,"S","S+"))))))))))))))))))))</f>
        <v>C</v>
      </c>
      <c r="T570" s="973">
        <f t="shared" si="9"/>
        <v>3.248833593</v>
      </c>
      <c r="U570" s="973" t="str">
        <f>IF(T570&lt;'PlayerGrades+'!$AI$21,"F-",IF(T570&lt;'PlayerGrades+'!$AI$20,"F",IF(T570&lt;'PlayerGrades+'!$AI$19,"F+",IF(T570&lt;'PlayerGrades+'!$AI$18,"E-",IF(T570&lt;'PlayerGrades+'!$AI$17,"E",IF(T570&lt;'PlayerGrades+'!$AI$16,"E+",IF(T570&lt;'PlayerGrades+'!$AI$15,"D-",IF(T570&lt;'PlayerGrades+'!$AI$14,"D",IF(T570&lt;'PlayerGrades+'!$AI$13,"D+",IF(T570&lt;'PlayerGrades+'!$AI$12,"C-",IF(T570&lt;'PlayerGrades+'!$AI$11,"C",IF(T570&lt;'PlayerGrades+'!$AI$10,"C+",IF(T570&lt;'PlayerGrades+'!$AI$9,"B-",IF(T570&lt;'PlayerGrades+'!$AI$8,"B",IF(T570&lt;'PlayerGrades+'!$AI$7,"B+",IF(T570&lt;'PlayerGrades+'!$AI$6,"A-",IF(T570&lt;'PlayerGrades+'!$AI$5,"A",IF(T570&lt;'PlayerGrades+'!$AI$4,"A+",IF(T570&lt;'PlayerGrades+'!$AI$3,"S-",IF(T570&lt;'PlayerGrades+'!$AI$2,"S","S+"))))))))))))))))))))</f>
        <v>S+</v>
      </c>
      <c r="V570" s="983">
        <v>1.0</v>
      </c>
      <c r="W570" s="983">
        <v>1.0</v>
      </c>
      <c r="X570" s="983">
        <v>0.0</v>
      </c>
      <c r="Y570" s="983">
        <v>3.0</v>
      </c>
      <c r="Z570" s="983">
        <v>16.0</v>
      </c>
      <c r="AA570" s="983">
        <v>87.0</v>
      </c>
      <c r="AB570" s="983">
        <v>88.0</v>
      </c>
      <c r="AC570" s="983">
        <v>-1.0</v>
      </c>
      <c r="AD570" s="983">
        <v>3.0</v>
      </c>
      <c r="AE570" s="983">
        <v>6.0</v>
      </c>
      <c r="AF570" s="983">
        <v>2.0</v>
      </c>
      <c r="AG570" s="983">
        <v>1571.0</v>
      </c>
      <c r="AH570" s="983">
        <v>1929.0</v>
      </c>
      <c r="AI570" s="983">
        <v>17.0</v>
      </c>
      <c r="AJ570" s="983">
        <v>668.0</v>
      </c>
      <c r="AK570" s="983">
        <v>0.0</v>
      </c>
      <c r="AL570" s="983">
        <v>1.0</v>
      </c>
      <c r="AM570" s="983">
        <v>0.0</v>
      </c>
      <c r="AN570" s="983">
        <v>0.0</v>
      </c>
      <c r="AO570" s="983">
        <v>0.0</v>
      </c>
      <c r="AP570" s="983">
        <v>0.0</v>
      </c>
      <c r="AQ570" s="983">
        <v>0.0</v>
      </c>
      <c r="AR570" s="983">
        <v>14.0</v>
      </c>
      <c r="AS570" s="983">
        <v>1.0</v>
      </c>
      <c r="AT570" s="983">
        <v>0.0</v>
      </c>
      <c r="AU570" s="983">
        <v>0.0</v>
      </c>
      <c r="AV570" s="983">
        <v>0.0</v>
      </c>
      <c r="AW570" s="983">
        <v>0.0</v>
      </c>
      <c r="AX570" s="983">
        <v>0.0</v>
      </c>
      <c r="AY570" s="983">
        <v>0.0</v>
      </c>
      <c r="AZ570" s="983">
        <v>0.0</v>
      </c>
      <c r="BA570" s="983">
        <v>0.0</v>
      </c>
      <c r="BB570" s="983">
        <v>0.0</v>
      </c>
      <c r="BC570" s="983">
        <v>0.0</v>
      </c>
      <c r="BD570" s="983">
        <v>14.0</v>
      </c>
      <c r="BE570" s="983">
        <v>8.0</v>
      </c>
      <c r="BF570" s="983">
        <v>3.0</v>
      </c>
      <c r="BG570" s="988">
        <v>1.0</v>
      </c>
    </row>
    <row r="571">
      <c r="A571" s="1" t="s">
        <v>130</v>
      </c>
      <c r="B571" s="421" t="str">
        <f>IF(C571&lt;'PlayerGrades+'!$Y$44,"F-",IF(C571&lt;'PlayerGrades+'!$Y$43,"F",IF(C571&lt;'PlayerGrades+'!$Y$42,"F+",IF(C571&lt;'PlayerGrades+'!$Y$41,"E-",IF(C571&lt;'PlayerGrades+'!$Y$40,"E",IF(C571&lt;'PlayerGrades+'!$Y$39,"E+",IF(C571&lt;'PlayerGrades+'!$Y$38,"D-",IF(C571&lt;'PlayerGrades+'!$Y$37,"D",IF(C571&lt;'PlayerGrades+'!$Y$36,"D+",IF(C571&lt;'PlayerGrades+'!$Y$35,"C-",IF(C571&lt;'PlayerGrades+'!$Y$34,"C",IF(C571&lt;'PlayerGrades+'!$Y$33,"C+",IF(C571&lt;'PlayerGrades+'!$Y$32,"B-",IF(C571&lt;'PlayerGrades+'!$Y$31,"B",IF(C571&lt;'PlayerGrades+'!$Y$30,"B+",IF(C571&lt;'PlayerGrades+'!$Y$29,"A-",IF(C571&lt;'PlayerGrades+'!$Y$28,"A",IF(C571&lt;'PlayerGrades+'!$Y$27,"A+",IF(C571&lt;'PlayerGrades+'!$Y$26,"S-",IF(C571&lt;'PlayerGrades+'!$Y$25,"S","S+"))))))))))))))))))))</f>
        <v>A</v>
      </c>
      <c r="C571" s="972">
        <f>('PlayerGrades+'!$Y$47*(VLOOKUP(E571, 'PlayerGrades+'!$X$3:$Y$23, 2, FALSE)))+('PlayerGrades+'!$Y$48*(VLOOKUP(G571, 'PlayerGrades+'!$X$3:$Y$23, 2, FALSE)))+('PlayerGrades+'!$Y$49*(VLOOKUP(I571, 'PlayerGrades+'!$X$3:$Y$23, 2, FALSE)))+('PlayerGrades+'!$Y$50*(VLOOKUP(K571, 'PlayerGrades+'!$X$3:$Y$23, 2, FALSE)))+('PlayerGrades+'!$Y$51*(VLOOKUP(M571, 'PlayerGrades+'!$X$3:$Y$23, 2, FALSE)))+('PlayerGrades+'!$Y$52*(VLOOKUP(O571, 'PlayerGrades+'!$X$3:$Y$23, 2, FALSE)))+('PlayerGrades+'!$Y$53*(VLOOKUP(Q571, 'PlayerGrades+'!$X$3:$Y$23, 2, FALSE)))+('PlayerGrades+'!$Y$54*(VLOOKUP(S571, 'PlayerGrades+'!$X$3:$Y$23, 2, FALSE)))+('PlayerGrades+'!$Y$55*(VLOOKUP(U571, 'PlayerGrades+'!$X$3:$Y$23, 2, FALSE)))</f>
        <v>26.4</v>
      </c>
      <c r="D571" s="973">
        <f t="shared" si="1"/>
        <v>0.03110419907</v>
      </c>
      <c r="E571" s="973" t="str">
        <f>IF(D571&lt;'PlayerGrades+'!$AA$21,"F-",IF(D571&lt;'PlayerGrades+'!$AA$20,"F",IF(D571&lt;'PlayerGrades+'!$AA$19,"F+",IF(D571&lt;'PlayerGrades+'!$AA$18,"E-",IF(D571&lt;'PlayerGrades+'!$AA$17,"E",IF(D571&lt;'PlayerGrades+'!$AA$16,"E+",IF(D571&lt;'PlayerGrades+'!$AA$15,"D-",IF(D571&lt;'PlayerGrades+'!$AA$14,"D",IF(D571&lt;'PlayerGrades+'!$AA$13,"D+",IF(D571&lt;'PlayerGrades+'!$AA$12,"C-",IF(D571&lt;'PlayerGrades+'!$AA$11,"C",IF(D571&lt;'PlayerGrades+'!$AA$10,"C+",IF(D571&lt;'PlayerGrades+'!$AA$9,"B-",IF(D571&lt;'PlayerGrades+'!$AA$8,"B",IF(D571&lt;'PlayerGrades+'!$AA$7,"B+",IF(D571&lt;'PlayerGrades+'!$AA$6,"A-",IF(D571&lt;'PlayerGrades+'!$AA$5,"A",IF(D571&lt;'PlayerGrades+'!$AA$4,"A+",IF(D571&lt;'PlayerGrades+'!$AA$3,"S-",IF(D571&lt;'PlayerGrades+'!$AA$2,"S","S+"))))))))))))))))))))</f>
        <v>D+</v>
      </c>
      <c r="F571" s="973">
        <f t="shared" si="2"/>
        <v>0.7776049767</v>
      </c>
      <c r="G571" s="973" t="str">
        <f>IF(F571&lt;'PlayerGrades+'!$AB$21,"F-",IF(F571&lt;'PlayerGrades+'!$AB$20,"F",IF(F571&lt;'PlayerGrades+'!$AB$19,"F+",IF(F571&lt;'PlayerGrades+'!$AB$18,"E-",IF(F571&lt;'PlayerGrades+'!$AB$17,"E",IF(F571&lt;'PlayerGrades+'!$AB$16,"E+",IF(F571&lt;'PlayerGrades+'!$AB$15,"D-",IF(F571&lt;'PlayerGrades+'!$AB$14,"D",IF(F571&lt;'PlayerGrades+'!$AB$13,"D+",IF(F571&lt;'PlayerGrades+'!$AB$12,"C-",IF(F571&lt;'PlayerGrades+'!$AB$11,"C",IF(F571&lt;'PlayerGrades+'!$AB$10,"C+",IF(F571&lt;'PlayerGrades+'!$AB$9,"B-",IF(F571&lt;'PlayerGrades+'!$AB$8,"B",IF(F571&lt;'PlayerGrades+'!$AB$7,"B+",IF(F571&lt;'PlayerGrades+'!$AB$6,"A-",IF(F571&lt;'PlayerGrades+'!$AB$5,"A",IF(F571&lt;'PlayerGrades+'!$AB$4,"A+",IF(F571&lt;'PlayerGrades+'!$AB$3,"S-",IF(F571&lt;'PlayerGrades+'!$AB$2,"S","S+"))))))))))))))))))))</f>
        <v>S</v>
      </c>
      <c r="H571" s="973">
        <f t="shared" si="3"/>
        <v>0.06220839813</v>
      </c>
      <c r="I571" s="973" t="str">
        <f>IF(H571&lt;'PlayerGrades+'!$AC$21,"F-",IF(H571&lt;'PlayerGrades+'!$AC$20,"F",IF(H571&lt;'PlayerGrades+'!$AC$19,"F+",IF(H571&lt;'PlayerGrades+'!$AC$18,"E-",IF(H571&lt;'PlayerGrades+'!$AC$17,"E",IF(H571&lt;'PlayerGrades+'!$AC$16,"E+",IF(H571&lt;'PlayerGrades+'!$AC$15,"D-",IF(H571&lt;'PlayerGrades+'!$AC$14,"D",IF(H571&lt;'PlayerGrades+'!$AC$13,"D+",IF(H571&lt;'PlayerGrades+'!$AC$12,"C-",IF(H571&lt;'PlayerGrades+'!$AC$11,"C",IF(H571&lt;'PlayerGrades+'!$AC$10,"C+",IF(H571&lt;'PlayerGrades+'!$AC$9,"B-",IF(H571&lt;'PlayerGrades+'!$AC$8,"B",IF(H571&lt;'PlayerGrades+'!$AC$7,"B+",IF(H571&lt;'PlayerGrades+'!$AC$6,"A-",IF(H571&lt;'PlayerGrades+'!$AC$5,"A",IF(H571&lt;'PlayerGrades+'!$AC$4,"A+",IF(H571&lt;'PlayerGrades+'!$AC$3,"S-",IF(H571&lt;'PlayerGrades+'!$AC$2,"S","S+"))))))))))))))))))))</f>
        <v>E-</v>
      </c>
      <c r="J571" s="973">
        <f t="shared" si="4"/>
        <v>0.1244167963</v>
      </c>
      <c r="K571" s="973" t="str">
        <f>IF(J571&lt;'PlayerGrades+'!$AD$21,"F-",IF(J571&lt;'PlayerGrades+'!$AD$20,"F",IF(J571&lt;'PlayerGrades+'!$AD$19,"F+",IF(J571&lt;'PlayerGrades+'!$AD$18,"E-",IF(J571&lt;'PlayerGrades+'!$AD$17,"E",IF(J571&lt;'PlayerGrades+'!$AD$16,"E+",IF(J571&lt;'PlayerGrades+'!$AD$15,"D-",IF(J571&lt;'PlayerGrades+'!$AD$14,"D",IF(J571&lt;'PlayerGrades+'!$AD$13,"D+",IF(J571&lt;'PlayerGrades+'!$AD$12,"C-",IF(J571&lt;'PlayerGrades+'!$AD$11,"C",IF(J571&lt;'PlayerGrades+'!$AD$10,"C+",IF(J571&lt;'PlayerGrades+'!$AD$9,"B-",IF(J571&lt;'PlayerGrades+'!$AD$8,"B",IF(J571&lt;'PlayerGrades+'!$AD$7,"B+",IF(J571&lt;'PlayerGrades+'!$AD$6,"A-",IF(J571&lt;'PlayerGrades+'!$AD$5,"A",IF(J571&lt;'PlayerGrades+'!$AD$4,"A+",IF(J571&lt;'PlayerGrades+'!$AD$3,"S-",IF(J571&lt;'PlayerGrades+'!$AD$2,"S","S+"))))))))))))))))))))</f>
        <v>S+</v>
      </c>
      <c r="L571" s="974">
        <f t="shared" si="5"/>
        <v>0.3732503888</v>
      </c>
      <c r="M571" s="975" t="str">
        <f>IF(L571&lt;'PlayerGrades+'!$AE$21,"F-",IF(L571&lt;'PlayerGrades+'!$AE$20,"F",IF(L571&lt;'PlayerGrades+'!$AE$19,"F+",IF(L571&lt;'PlayerGrades+'!$AE$18,"E-",IF(L571&lt;'PlayerGrades+'!$AE$17,"E",IF(L571&lt;'PlayerGrades+'!$AE$16,"E+",IF(L571&lt;'PlayerGrades+'!$AE$15,"D-",IF(L571&lt;'PlayerGrades+'!$AE$14,"D",IF(L571&lt;'PlayerGrades+'!$AE$13,"D+",IF(L571&lt;'PlayerGrades+'!$AE$12,"C-",IF(L571&lt;'PlayerGrades+'!$AE$11,"C",IF(L571&lt;'PlayerGrades+'!$AE$10,"C+",IF(L571&lt;'PlayerGrades+'!$AE$9,"B-",IF(L571&lt;'PlayerGrades+'!$AE$8,"B",IF(L571&lt;'PlayerGrades+'!$AE$7,"B+",IF(L571&lt;'PlayerGrades+'!$AE$6,"A-",IF(L571&lt;'PlayerGrades+'!$AE$5,"A",IF(L571&lt;'PlayerGrades+'!$AE$4,"A+",IF(L571&lt;'PlayerGrades+'!$AE$3,"S-",IF(L571&lt;'PlayerGrades+'!$AE$2,"S","S+"))))))))))))))))))))</f>
        <v>C-</v>
      </c>
      <c r="N571" s="973">
        <f t="shared" si="6"/>
        <v>0.0933125972</v>
      </c>
      <c r="O571" s="973" t="str">
        <f>IF(N571&lt;'PlayerGrades+'!$AF$21,"F-",IF(N571&lt;'PlayerGrades+'!$AF$20,"F",IF(N571&lt;'PlayerGrades+'!$AF$19,"F+",IF(N571&lt;'PlayerGrades+'!$AF$18,"E-",IF(N571&lt;'PlayerGrades+'!$AF$17,"E",IF(N571&lt;'PlayerGrades+'!$AF$16,"E+",IF(N571&lt;'PlayerGrades+'!$AF$15,"D-",IF(N571&lt;'PlayerGrades+'!$AF$14,"D",IF(N571&lt;'PlayerGrades+'!$AF$13,"D+",IF(N571&lt;'PlayerGrades+'!$AF$12,"C-",IF(N571&lt;'PlayerGrades+'!$AF$11,"C",IF(N571&lt;'PlayerGrades+'!$AF$10,"C+",IF(N571&lt;'PlayerGrades+'!$AF$9,"B-",IF(N571&lt;'PlayerGrades+'!$AF$8,"B",IF(N571&lt;'PlayerGrades+'!$AF$7,"B+",IF(N571&lt;'PlayerGrades+'!$AF$6,"A-",IF(N571&lt;'PlayerGrades+'!$AF$5,"A",IF(N571&lt;'PlayerGrades+'!$AF$4,"A+",IF(N571&lt;'PlayerGrades+'!$AF$3,"S-",IF(N571&lt;'PlayerGrades+'!$AF$2,"S","S+"))))))))))))))))))))</f>
        <v>A-</v>
      </c>
      <c r="P571" s="973">
        <f t="shared" si="7"/>
        <v>0.1244167963</v>
      </c>
      <c r="Q571" s="973" t="str">
        <f>IF(P571&lt;'PlayerGrades+'!$AG$21,"F-",IF(P571&lt;'PlayerGrades+'!$AG$20,"F",IF(P571&lt;'PlayerGrades+'!$AG$19,"F+",IF(P571&lt;'PlayerGrades+'!$AG$18,"E-",IF(P571&lt;'PlayerGrades+'!$AG$17,"E",IF(P571&lt;'PlayerGrades+'!$AG$16,"E+",IF(P571&lt;'PlayerGrades+'!$AG$15,"D-",IF(P571&lt;'PlayerGrades+'!$AG$14,"D",IF(P571&lt;'PlayerGrades+'!$AG$13,"D+",IF(P571&lt;'PlayerGrades+'!$AG$12,"C-",IF(P571&lt;'PlayerGrades+'!$AG$11,"C",IF(P571&lt;'PlayerGrades+'!$AG$10,"C+",IF(P571&lt;'PlayerGrades+'!$AG$9,"B-",IF(P571&lt;'PlayerGrades+'!$AG$8,"B",IF(P571&lt;'PlayerGrades+'!$AG$7,"B+",IF(P571&lt;'PlayerGrades+'!$AG$6,"A-",IF(P571&lt;'PlayerGrades+'!$AG$5,"A",IF(P571&lt;'PlayerGrades+'!$AG$4,"A+",IF(P571&lt;'PlayerGrades+'!$AG$3,"S-",IF(P571&lt;'PlayerGrades+'!$AG$2,"S","S+"))))))))))))))))))))</f>
        <v>S+</v>
      </c>
      <c r="R571" s="973">
        <f t="shared" si="8"/>
        <v>0.6531881804</v>
      </c>
      <c r="S571" s="973" t="str">
        <f>IF(R571&lt;'PlayerGrades+'!$AH$21,"F-",IF(R571&lt;'PlayerGrades+'!$AH$20,"F",IF(R571&lt;'PlayerGrades+'!$AH$19,"F+",IF(R571&lt;'PlayerGrades+'!$AH$18,"E-",IF(R571&lt;'PlayerGrades+'!$AH$17,"E",IF(R571&lt;'PlayerGrades+'!$AH$16,"E+",IF(R571&lt;'PlayerGrades+'!$AH$15,"D-",IF(R571&lt;'PlayerGrades+'!$AH$14,"D",IF(R571&lt;'PlayerGrades+'!$AH$13,"D+",IF(R571&lt;'PlayerGrades+'!$AH$12,"C-",IF(R571&lt;'PlayerGrades+'!$AH$11,"C",IF(R571&lt;'PlayerGrades+'!$AH$10,"C+",IF(R571&lt;'PlayerGrades+'!$AH$9,"B-",IF(R571&lt;'PlayerGrades+'!$AH$8,"B",IF(R571&lt;'PlayerGrades+'!$AH$7,"B+",IF(R571&lt;'PlayerGrades+'!$AH$6,"A-",IF(R571&lt;'PlayerGrades+'!$AH$5,"A",IF(R571&lt;'PlayerGrades+'!$AH$4,"A+",IF(R571&lt;'PlayerGrades+'!$AH$3,"S-",IF(R571&lt;'PlayerGrades+'!$AH$2,"S","S+"))))))))))))))))))))</f>
        <v>A+</v>
      </c>
      <c r="T571" s="973">
        <f t="shared" si="9"/>
        <v>1.497667185</v>
      </c>
      <c r="U571" s="973" t="str">
        <f>IF(T571&lt;'PlayerGrades+'!$AI$21,"F-",IF(T571&lt;'PlayerGrades+'!$AI$20,"F",IF(T571&lt;'PlayerGrades+'!$AI$19,"F+",IF(T571&lt;'PlayerGrades+'!$AI$18,"E-",IF(T571&lt;'PlayerGrades+'!$AI$17,"E",IF(T571&lt;'PlayerGrades+'!$AI$16,"E+",IF(T571&lt;'PlayerGrades+'!$AI$15,"D-",IF(T571&lt;'PlayerGrades+'!$AI$14,"D",IF(T571&lt;'PlayerGrades+'!$AI$13,"D+",IF(T571&lt;'PlayerGrades+'!$AI$12,"C-",IF(T571&lt;'PlayerGrades+'!$AI$11,"C",IF(T571&lt;'PlayerGrades+'!$AI$10,"C+",IF(T571&lt;'PlayerGrades+'!$AI$9,"B-",IF(T571&lt;'PlayerGrades+'!$AI$8,"B",IF(T571&lt;'PlayerGrades+'!$AI$7,"B+",IF(T571&lt;'PlayerGrades+'!$AI$6,"A-",IF(T571&lt;'PlayerGrades+'!$AI$5,"A",IF(T571&lt;'PlayerGrades+'!$AI$4,"A+",IF(T571&lt;'PlayerGrades+'!$AI$3,"S-",IF(T571&lt;'PlayerGrades+'!$AI$2,"S","S+"))))))))))))))))))))</f>
        <v>A-</v>
      </c>
      <c r="V571" s="983">
        <v>1.0</v>
      </c>
      <c r="W571" s="983">
        <v>1.0</v>
      </c>
      <c r="X571" s="983">
        <v>0.0</v>
      </c>
      <c r="Y571" s="983">
        <v>1.0</v>
      </c>
      <c r="Z571" s="983">
        <v>0.0</v>
      </c>
      <c r="AA571" s="983">
        <v>106.0</v>
      </c>
      <c r="AB571" s="983">
        <v>81.0</v>
      </c>
      <c r="AC571" s="983">
        <v>25.0</v>
      </c>
      <c r="AD571" s="983">
        <v>7.0</v>
      </c>
      <c r="AE571" s="983">
        <v>7.0</v>
      </c>
      <c r="AF571" s="983">
        <v>3.0</v>
      </c>
      <c r="AG571" s="983">
        <v>1593.0</v>
      </c>
      <c r="AH571" s="983">
        <v>1929.0</v>
      </c>
      <c r="AI571" s="983">
        <v>19.0</v>
      </c>
      <c r="AJ571" s="983">
        <v>37.0</v>
      </c>
      <c r="AK571" s="983">
        <v>0.0</v>
      </c>
      <c r="AL571" s="983">
        <v>4.0</v>
      </c>
      <c r="AM571" s="983">
        <v>0.0</v>
      </c>
      <c r="AN571" s="983">
        <v>0.0</v>
      </c>
      <c r="AO571" s="983">
        <v>0.0</v>
      </c>
      <c r="AP571" s="983">
        <v>4.0</v>
      </c>
      <c r="AQ571" s="983">
        <v>0.0</v>
      </c>
      <c r="AR571" s="983">
        <v>12.0</v>
      </c>
      <c r="AS571" s="983">
        <v>3.0</v>
      </c>
      <c r="AT571" s="983">
        <v>1.0</v>
      </c>
      <c r="AU571" s="983">
        <v>0.0</v>
      </c>
      <c r="AV571" s="983">
        <v>0.0</v>
      </c>
      <c r="AW571" s="983">
        <v>0.0</v>
      </c>
      <c r="AX571" s="983">
        <v>0.0</v>
      </c>
      <c r="AY571" s="983">
        <v>0.0</v>
      </c>
      <c r="AZ571" s="983">
        <v>0.0</v>
      </c>
      <c r="BA571" s="983">
        <v>0.0</v>
      </c>
      <c r="BB571" s="983">
        <v>2.0</v>
      </c>
      <c r="BC571" s="983">
        <v>0.0</v>
      </c>
      <c r="BD571" s="983">
        <v>14.0</v>
      </c>
      <c r="BE571" s="983">
        <v>16.0</v>
      </c>
      <c r="BF571" s="983">
        <v>1.0</v>
      </c>
      <c r="BG571" s="988">
        <v>1.0</v>
      </c>
    </row>
    <row r="572">
      <c r="A572" s="1" t="s">
        <v>152</v>
      </c>
      <c r="B572" s="421" t="str">
        <f>IF(C572&lt;'PlayerGrades+'!$Y$44,"F-",IF(C572&lt;'PlayerGrades+'!$Y$43,"F",IF(C572&lt;'PlayerGrades+'!$Y$42,"F+",IF(C572&lt;'PlayerGrades+'!$Y$41,"E-",IF(C572&lt;'PlayerGrades+'!$Y$40,"E",IF(C572&lt;'PlayerGrades+'!$Y$39,"E+",IF(C572&lt;'PlayerGrades+'!$Y$38,"D-",IF(C572&lt;'PlayerGrades+'!$Y$37,"D",IF(C572&lt;'PlayerGrades+'!$Y$36,"D+",IF(C572&lt;'PlayerGrades+'!$Y$35,"C-",IF(C572&lt;'PlayerGrades+'!$Y$34,"C",IF(C572&lt;'PlayerGrades+'!$Y$33,"C+",IF(C572&lt;'PlayerGrades+'!$Y$32,"B-",IF(C572&lt;'PlayerGrades+'!$Y$31,"B",IF(C572&lt;'PlayerGrades+'!$Y$30,"B+",IF(C572&lt;'PlayerGrades+'!$Y$29,"A-",IF(C572&lt;'PlayerGrades+'!$Y$28,"A",IF(C572&lt;'PlayerGrades+'!$Y$27,"A+",IF(C572&lt;'PlayerGrades+'!$Y$26,"S-",IF(C572&lt;'PlayerGrades+'!$Y$25,"S","S+"))))))))))))))))))))</f>
        <v>D-</v>
      </c>
      <c r="C572" s="972">
        <f>('PlayerGrades+'!$Y$47*(VLOOKUP(E572, 'PlayerGrades+'!$X$3:$Y$23, 2, FALSE)))+('PlayerGrades+'!$Y$48*(VLOOKUP(G572, 'PlayerGrades+'!$X$3:$Y$23, 2, FALSE)))+('PlayerGrades+'!$Y$49*(VLOOKUP(I572, 'PlayerGrades+'!$X$3:$Y$23, 2, FALSE)))+('PlayerGrades+'!$Y$50*(VLOOKUP(K572, 'PlayerGrades+'!$X$3:$Y$23, 2, FALSE)))+('PlayerGrades+'!$Y$51*(VLOOKUP(M572, 'PlayerGrades+'!$X$3:$Y$23, 2, FALSE)))+('PlayerGrades+'!$Y$52*(VLOOKUP(O572, 'PlayerGrades+'!$X$3:$Y$23, 2, FALSE)))+('PlayerGrades+'!$Y$53*(VLOOKUP(Q572, 'PlayerGrades+'!$X$3:$Y$23, 2, FALSE)))+('PlayerGrades+'!$Y$54*(VLOOKUP(S572, 'PlayerGrades+'!$X$3:$Y$23, 2, FALSE)))+('PlayerGrades+'!$Y$55*(VLOOKUP(U572, 'PlayerGrades+'!$X$3:$Y$23, 2, FALSE)))</f>
        <v>14.8</v>
      </c>
      <c r="D572" s="973">
        <f t="shared" si="1"/>
        <v>0.0933125972</v>
      </c>
      <c r="E572" s="973" t="str">
        <f>IF(D572&lt;'PlayerGrades+'!$AA$21,"F-",IF(D572&lt;'PlayerGrades+'!$AA$20,"F",IF(D572&lt;'PlayerGrades+'!$AA$19,"F+",IF(D572&lt;'PlayerGrades+'!$AA$18,"E-",IF(D572&lt;'PlayerGrades+'!$AA$17,"E",IF(D572&lt;'PlayerGrades+'!$AA$16,"E+",IF(D572&lt;'PlayerGrades+'!$AA$15,"D-",IF(D572&lt;'PlayerGrades+'!$AA$14,"D",IF(D572&lt;'PlayerGrades+'!$AA$13,"D+",IF(D572&lt;'PlayerGrades+'!$AA$12,"C-",IF(D572&lt;'PlayerGrades+'!$AA$11,"C",IF(D572&lt;'PlayerGrades+'!$AA$10,"C+",IF(D572&lt;'PlayerGrades+'!$AA$9,"B-",IF(D572&lt;'PlayerGrades+'!$AA$8,"B",IF(D572&lt;'PlayerGrades+'!$AA$7,"B+",IF(D572&lt;'PlayerGrades+'!$AA$6,"A-",IF(D572&lt;'PlayerGrades+'!$AA$5,"A",IF(D572&lt;'PlayerGrades+'!$AA$4,"A+",IF(D572&lt;'PlayerGrades+'!$AA$3,"S-",IF(D572&lt;'PlayerGrades+'!$AA$2,"S","S+"))))))))))))))))))))</f>
        <v>B</v>
      </c>
      <c r="F572" s="973">
        <f t="shared" si="2"/>
        <v>-1.026438569</v>
      </c>
      <c r="G572" s="973" t="str">
        <f>IF(F572&lt;'PlayerGrades+'!$AB$21,"F-",IF(F572&lt;'PlayerGrades+'!$AB$20,"F",IF(F572&lt;'PlayerGrades+'!$AB$19,"F+",IF(F572&lt;'PlayerGrades+'!$AB$18,"E-",IF(F572&lt;'PlayerGrades+'!$AB$17,"E",IF(F572&lt;'PlayerGrades+'!$AB$16,"E+",IF(F572&lt;'PlayerGrades+'!$AB$15,"D-",IF(F572&lt;'PlayerGrades+'!$AB$14,"D",IF(F572&lt;'PlayerGrades+'!$AB$13,"D+",IF(F572&lt;'PlayerGrades+'!$AB$12,"C-",IF(F572&lt;'PlayerGrades+'!$AB$11,"C",IF(F572&lt;'PlayerGrades+'!$AB$10,"C+",IF(F572&lt;'PlayerGrades+'!$AB$9,"B-",IF(F572&lt;'PlayerGrades+'!$AB$8,"B",IF(F572&lt;'PlayerGrades+'!$AB$7,"B+",IF(F572&lt;'PlayerGrades+'!$AB$6,"A-",IF(F572&lt;'PlayerGrades+'!$AB$5,"A",IF(F572&lt;'PlayerGrades+'!$AB$4,"A+",IF(F572&lt;'PlayerGrades+'!$AB$3,"S-",IF(F572&lt;'PlayerGrades+'!$AB$2,"S","S+"))))))))))))))))))))</f>
        <v>F</v>
      </c>
      <c r="H572" s="973">
        <f t="shared" si="3"/>
        <v>0.06220839813</v>
      </c>
      <c r="I572" s="973" t="str">
        <f>IF(H572&lt;'PlayerGrades+'!$AC$21,"F-",IF(H572&lt;'PlayerGrades+'!$AC$20,"F",IF(H572&lt;'PlayerGrades+'!$AC$19,"F+",IF(H572&lt;'PlayerGrades+'!$AC$18,"E-",IF(H572&lt;'PlayerGrades+'!$AC$17,"E",IF(H572&lt;'PlayerGrades+'!$AC$16,"E+",IF(H572&lt;'PlayerGrades+'!$AC$15,"D-",IF(H572&lt;'PlayerGrades+'!$AC$14,"D",IF(H572&lt;'PlayerGrades+'!$AC$13,"D+",IF(H572&lt;'PlayerGrades+'!$AC$12,"C-",IF(H572&lt;'PlayerGrades+'!$AC$11,"C",IF(H572&lt;'PlayerGrades+'!$AC$10,"C+",IF(H572&lt;'PlayerGrades+'!$AC$9,"B-",IF(H572&lt;'PlayerGrades+'!$AC$8,"B",IF(H572&lt;'PlayerGrades+'!$AC$7,"B+",IF(H572&lt;'PlayerGrades+'!$AC$6,"A-",IF(H572&lt;'PlayerGrades+'!$AC$5,"A",IF(H572&lt;'PlayerGrades+'!$AC$4,"A+",IF(H572&lt;'PlayerGrades+'!$AC$3,"S-",IF(H572&lt;'PlayerGrades+'!$AC$2,"S","S+"))))))))))))))))))))</f>
        <v>E-</v>
      </c>
      <c r="J572" s="973">
        <f t="shared" si="4"/>
        <v>0</v>
      </c>
      <c r="K572" s="973" t="str">
        <f>IF(J572&lt;'PlayerGrades+'!$AD$21,"F-",IF(J572&lt;'PlayerGrades+'!$AD$20,"F",IF(J572&lt;'PlayerGrades+'!$AD$19,"F+",IF(J572&lt;'PlayerGrades+'!$AD$18,"E-",IF(J572&lt;'PlayerGrades+'!$AD$17,"E",IF(J572&lt;'PlayerGrades+'!$AD$16,"E+",IF(J572&lt;'PlayerGrades+'!$AD$15,"D-",IF(J572&lt;'PlayerGrades+'!$AD$14,"D",IF(J572&lt;'PlayerGrades+'!$AD$13,"D+",IF(J572&lt;'PlayerGrades+'!$AD$12,"C-",IF(J572&lt;'PlayerGrades+'!$AD$11,"C",IF(J572&lt;'PlayerGrades+'!$AD$10,"C+",IF(J572&lt;'PlayerGrades+'!$AD$9,"B-",IF(J572&lt;'PlayerGrades+'!$AD$8,"B",IF(J572&lt;'PlayerGrades+'!$AD$7,"B+",IF(J572&lt;'PlayerGrades+'!$AD$6,"A-",IF(J572&lt;'PlayerGrades+'!$AD$5,"A",IF(J572&lt;'PlayerGrades+'!$AD$4,"A+",IF(J572&lt;'PlayerGrades+'!$AD$3,"S-",IF(J572&lt;'PlayerGrades+'!$AD$2,"S","S+"))))))))))))))))))))</f>
        <v>F-</v>
      </c>
      <c r="L572" s="974">
        <f t="shared" si="5"/>
        <v>0.2799377916</v>
      </c>
      <c r="M572" s="975" t="str">
        <f>IF(L572&lt;'PlayerGrades+'!$AE$21,"F-",IF(L572&lt;'PlayerGrades+'!$AE$20,"F",IF(L572&lt;'PlayerGrades+'!$AE$19,"F+",IF(L572&lt;'PlayerGrades+'!$AE$18,"E-",IF(L572&lt;'PlayerGrades+'!$AE$17,"E",IF(L572&lt;'PlayerGrades+'!$AE$16,"E+",IF(L572&lt;'PlayerGrades+'!$AE$15,"D-",IF(L572&lt;'PlayerGrades+'!$AE$14,"D",IF(L572&lt;'PlayerGrades+'!$AE$13,"D+",IF(L572&lt;'PlayerGrades+'!$AE$12,"C-",IF(L572&lt;'PlayerGrades+'!$AE$11,"C",IF(L572&lt;'PlayerGrades+'!$AE$10,"C+",IF(L572&lt;'PlayerGrades+'!$AE$9,"B-",IF(L572&lt;'PlayerGrades+'!$AE$8,"B",IF(L572&lt;'PlayerGrades+'!$AE$7,"B+",IF(L572&lt;'PlayerGrades+'!$AE$6,"A-",IF(L572&lt;'PlayerGrades+'!$AE$5,"A",IF(L572&lt;'PlayerGrades+'!$AE$4,"A+",IF(L572&lt;'PlayerGrades+'!$AE$3,"S-",IF(L572&lt;'PlayerGrades+'!$AE$2,"S","S+"))))))))))))))))))))</f>
        <v>F+</v>
      </c>
      <c r="N572" s="973">
        <f t="shared" si="6"/>
        <v>0.06220839813</v>
      </c>
      <c r="O572" s="973" t="str">
        <f>IF(N572&lt;'PlayerGrades+'!$AF$21,"F-",IF(N572&lt;'PlayerGrades+'!$AF$20,"F",IF(N572&lt;'PlayerGrades+'!$AF$19,"F+",IF(N572&lt;'PlayerGrades+'!$AF$18,"E-",IF(N572&lt;'PlayerGrades+'!$AF$17,"E",IF(N572&lt;'PlayerGrades+'!$AF$16,"E+",IF(N572&lt;'PlayerGrades+'!$AF$15,"D-",IF(N572&lt;'PlayerGrades+'!$AF$14,"D",IF(N572&lt;'PlayerGrades+'!$AF$13,"D+",IF(N572&lt;'PlayerGrades+'!$AF$12,"C-",IF(N572&lt;'PlayerGrades+'!$AF$11,"C",IF(N572&lt;'PlayerGrades+'!$AF$10,"C+",IF(N572&lt;'PlayerGrades+'!$AF$9,"B-",IF(N572&lt;'PlayerGrades+'!$AF$8,"B",IF(N572&lt;'PlayerGrades+'!$AF$7,"B+",IF(N572&lt;'PlayerGrades+'!$AF$6,"A-",IF(N572&lt;'PlayerGrades+'!$AF$5,"A",IF(N572&lt;'PlayerGrades+'!$AF$4,"A+",IF(N572&lt;'PlayerGrades+'!$AF$3,"S-",IF(N572&lt;'PlayerGrades+'!$AF$2,"S","S+"))))))))))))))))))))</f>
        <v>C-</v>
      </c>
      <c r="P572" s="973">
        <f t="shared" si="7"/>
        <v>0</v>
      </c>
      <c r="Q572" s="973" t="str">
        <f>IF(P572&lt;'PlayerGrades+'!$AG$21,"F-",IF(P572&lt;'PlayerGrades+'!$AG$20,"F",IF(P572&lt;'PlayerGrades+'!$AG$19,"F+",IF(P572&lt;'PlayerGrades+'!$AG$18,"E-",IF(P572&lt;'PlayerGrades+'!$AG$17,"E",IF(P572&lt;'PlayerGrades+'!$AG$16,"E+",IF(P572&lt;'PlayerGrades+'!$AG$15,"D-",IF(P572&lt;'PlayerGrades+'!$AG$14,"D",IF(P572&lt;'PlayerGrades+'!$AG$13,"D+",IF(P572&lt;'PlayerGrades+'!$AG$12,"C-",IF(P572&lt;'PlayerGrades+'!$AG$11,"C",IF(P572&lt;'PlayerGrades+'!$AG$10,"C+",IF(P572&lt;'PlayerGrades+'!$AG$9,"B-",IF(P572&lt;'PlayerGrades+'!$AG$8,"B",IF(P572&lt;'PlayerGrades+'!$AG$7,"B+",IF(P572&lt;'PlayerGrades+'!$AG$6,"A-",IF(P572&lt;'PlayerGrades+'!$AG$5,"A",IF(P572&lt;'PlayerGrades+'!$AG$4,"A+",IF(P572&lt;'PlayerGrades+'!$AG$3,"S-",IF(P572&lt;'PlayerGrades+'!$AG$2,"S","S+"))))))))))))))))))))</f>
        <v>F</v>
      </c>
      <c r="R572" s="973">
        <f t="shared" si="8"/>
        <v>0.7153965785</v>
      </c>
      <c r="S572" s="973" t="str">
        <f>IF(R572&lt;'PlayerGrades+'!$AH$21,"F-",IF(R572&lt;'PlayerGrades+'!$AH$20,"F",IF(R572&lt;'PlayerGrades+'!$AH$19,"F+",IF(R572&lt;'PlayerGrades+'!$AH$18,"E-",IF(R572&lt;'PlayerGrades+'!$AH$17,"E",IF(R572&lt;'PlayerGrades+'!$AH$16,"E+",IF(R572&lt;'PlayerGrades+'!$AH$15,"D-",IF(R572&lt;'PlayerGrades+'!$AH$14,"D",IF(R572&lt;'PlayerGrades+'!$AH$13,"D+",IF(R572&lt;'PlayerGrades+'!$AH$12,"C-",IF(R572&lt;'PlayerGrades+'!$AH$11,"C",IF(R572&lt;'PlayerGrades+'!$AH$10,"C+",IF(R572&lt;'PlayerGrades+'!$AH$9,"B-",IF(R572&lt;'PlayerGrades+'!$AH$8,"B",IF(R572&lt;'PlayerGrades+'!$AH$7,"B+",IF(R572&lt;'PlayerGrades+'!$AH$6,"A-",IF(R572&lt;'PlayerGrades+'!$AH$5,"A",IF(R572&lt;'PlayerGrades+'!$AH$4,"A+",IF(R572&lt;'PlayerGrades+'!$AH$3,"S-",IF(R572&lt;'PlayerGrades+'!$AH$2,"S","S+"))))))))))))))))))))</f>
        <v>S</v>
      </c>
      <c r="T572" s="973">
        <f t="shared" si="9"/>
        <v>0.3421461897</v>
      </c>
      <c r="U572" s="973" t="str">
        <f>IF(T572&lt;'PlayerGrades+'!$AI$21,"F-",IF(T572&lt;'PlayerGrades+'!$AI$20,"F",IF(T572&lt;'PlayerGrades+'!$AI$19,"F+",IF(T572&lt;'PlayerGrades+'!$AI$18,"E-",IF(T572&lt;'PlayerGrades+'!$AI$17,"E",IF(T572&lt;'PlayerGrades+'!$AI$16,"E+",IF(T572&lt;'PlayerGrades+'!$AI$15,"D-",IF(T572&lt;'PlayerGrades+'!$AI$14,"D",IF(T572&lt;'PlayerGrades+'!$AI$13,"D+",IF(T572&lt;'PlayerGrades+'!$AI$12,"C-",IF(T572&lt;'PlayerGrades+'!$AI$11,"C",IF(T572&lt;'PlayerGrades+'!$AI$10,"C+",IF(T572&lt;'PlayerGrades+'!$AI$9,"B-",IF(T572&lt;'PlayerGrades+'!$AI$8,"B",IF(T572&lt;'PlayerGrades+'!$AI$7,"B+",IF(T572&lt;'PlayerGrades+'!$AI$6,"A-",IF(T572&lt;'PlayerGrades+'!$AI$5,"A",IF(T572&lt;'PlayerGrades+'!$AI$4,"A+",IF(T572&lt;'PlayerGrades+'!$AI$3,"S-",IF(T572&lt;'PlayerGrades+'!$AI$2,"S","S+"))))))))))))))))))))</f>
        <v>F-</v>
      </c>
      <c r="V572" s="983">
        <v>1.0</v>
      </c>
      <c r="W572" s="983">
        <v>1.0</v>
      </c>
      <c r="X572" s="983">
        <v>0.0</v>
      </c>
      <c r="Y572" s="983">
        <v>1.0</v>
      </c>
      <c r="Z572" s="983">
        <v>2.0</v>
      </c>
      <c r="AA572" s="983">
        <v>99.0</v>
      </c>
      <c r="AB572" s="983">
        <v>132.0</v>
      </c>
      <c r="AC572" s="983">
        <v>-33.0</v>
      </c>
      <c r="AD572" s="983">
        <v>6.0</v>
      </c>
      <c r="AE572" s="983">
        <v>4.0</v>
      </c>
      <c r="AF572" s="983">
        <v>1.0</v>
      </c>
      <c r="AG572" s="983">
        <v>1441.0</v>
      </c>
      <c r="AH572" s="983">
        <v>1929.0</v>
      </c>
      <c r="AI572" s="983">
        <v>10.0</v>
      </c>
      <c r="AJ572" s="983">
        <v>14.0</v>
      </c>
      <c r="AK572" s="983">
        <v>0.0</v>
      </c>
      <c r="AL572" s="983">
        <v>0.0</v>
      </c>
      <c r="AM572" s="983">
        <v>0.0</v>
      </c>
      <c r="AN572" s="983">
        <v>0.0</v>
      </c>
      <c r="AO572" s="983">
        <v>0.0</v>
      </c>
      <c r="AP572" s="983">
        <v>0.0</v>
      </c>
      <c r="AQ572" s="983">
        <v>0.0</v>
      </c>
      <c r="AR572" s="983">
        <v>9.0</v>
      </c>
      <c r="AS572" s="983">
        <v>2.0</v>
      </c>
      <c r="AT572" s="983">
        <v>2.0</v>
      </c>
      <c r="AU572" s="983">
        <v>0.0</v>
      </c>
      <c r="AV572" s="983">
        <v>0.0</v>
      </c>
      <c r="AW572" s="983">
        <v>0.0</v>
      </c>
      <c r="AX572" s="983">
        <v>0.0</v>
      </c>
      <c r="AY572" s="983">
        <v>0.0</v>
      </c>
      <c r="AZ572" s="983">
        <v>0.0</v>
      </c>
      <c r="BA572" s="983">
        <v>0.0</v>
      </c>
      <c r="BB572" s="983">
        <v>2.0</v>
      </c>
      <c r="BC572" s="983">
        <v>0.0</v>
      </c>
      <c r="BD572" s="983">
        <v>17.0</v>
      </c>
      <c r="BE572" s="983">
        <v>11.0</v>
      </c>
      <c r="BF572" s="983">
        <v>0.0</v>
      </c>
      <c r="BG572" s="988">
        <v>1.0</v>
      </c>
    </row>
    <row r="573">
      <c r="A573" s="1" t="s">
        <v>141</v>
      </c>
      <c r="B573" s="421" t="str">
        <f>IF(C573&lt;'PlayerGrades+'!$Y$44,"F-",IF(C573&lt;'PlayerGrades+'!$Y$43,"F",IF(C573&lt;'PlayerGrades+'!$Y$42,"F+",IF(C573&lt;'PlayerGrades+'!$Y$41,"E-",IF(C573&lt;'PlayerGrades+'!$Y$40,"E",IF(C573&lt;'PlayerGrades+'!$Y$39,"E+",IF(C573&lt;'PlayerGrades+'!$Y$38,"D-",IF(C573&lt;'PlayerGrades+'!$Y$37,"D",IF(C573&lt;'PlayerGrades+'!$Y$36,"D+",IF(C573&lt;'PlayerGrades+'!$Y$35,"C-",IF(C573&lt;'PlayerGrades+'!$Y$34,"C",IF(C573&lt;'PlayerGrades+'!$Y$33,"C+",IF(C573&lt;'PlayerGrades+'!$Y$32,"B-",IF(C573&lt;'PlayerGrades+'!$Y$31,"B",IF(C573&lt;'PlayerGrades+'!$Y$30,"B+",IF(C573&lt;'PlayerGrades+'!$Y$29,"A-",IF(C573&lt;'PlayerGrades+'!$Y$28,"A",IF(C573&lt;'PlayerGrades+'!$Y$27,"A+",IF(C573&lt;'PlayerGrades+'!$Y$26,"S-",IF(C573&lt;'PlayerGrades+'!$Y$25,"S","S+"))))))))))))))))))))</f>
        <v>A-</v>
      </c>
      <c r="C573" s="972">
        <f>('PlayerGrades+'!$Y$47*(VLOOKUP(E573, 'PlayerGrades+'!$X$3:$Y$23, 2, FALSE)))+('PlayerGrades+'!$Y$48*(VLOOKUP(G573, 'PlayerGrades+'!$X$3:$Y$23, 2, FALSE)))+('PlayerGrades+'!$Y$49*(VLOOKUP(I573, 'PlayerGrades+'!$X$3:$Y$23, 2, FALSE)))+('PlayerGrades+'!$Y$50*(VLOOKUP(K573, 'PlayerGrades+'!$X$3:$Y$23, 2, FALSE)))+('PlayerGrades+'!$Y$51*(VLOOKUP(M573, 'PlayerGrades+'!$X$3:$Y$23, 2, FALSE)))+('PlayerGrades+'!$Y$52*(VLOOKUP(O573, 'PlayerGrades+'!$X$3:$Y$23, 2, FALSE)))+('PlayerGrades+'!$Y$53*(VLOOKUP(Q573, 'PlayerGrades+'!$X$3:$Y$23, 2, FALSE)))+('PlayerGrades+'!$Y$54*(VLOOKUP(S573, 'PlayerGrades+'!$X$3:$Y$23, 2, FALSE)))+('PlayerGrades+'!$Y$55*(VLOOKUP(U573, 'PlayerGrades+'!$X$3:$Y$23, 2, FALSE)))</f>
        <v>24.5</v>
      </c>
      <c r="D573" s="973">
        <f t="shared" si="1"/>
        <v>0.06220839813</v>
      </c>
      <c r="E573" s="973" t="str">
        <f>IF(D573&lt;'PlayerGrades+'!$AA$21,"F-",IF(D573&lt;'PlayerGrades+'!$AA$20,"F",IF(D573&lt;'PlayerGrades+'!$AA$19,"F+",IF(D573&lt;'PlayerGrades+'!$AA$18,"E-",IF(D573&lt;'PlayerGrades+'!$AA$17,"E",IF(D573&lt;'PlayerGrades+'!$AA$16,"E+",IF(D573&lt;'PlayerGrades+'!$AA$15,"D-",IF(D573&lt;'PlayerGrades+'!$AA$14,"D",IF(D573&lt;'PlayerGrades+'!$AA$13,"D+",IF(D573&lt;'PlayerGrades+'!$AA$12,"C-",IF(D573&lt;'PlayerGrades+'!$AA$11,"C",IF(D573&lt;'PlayerGrades+'!$AA$10,"C+",IF(D573&lt;'PlayerGrades+'!$AA$9,"B-",IF(D573&lt;'PlayerGrades+'!$AA$8,"B",IF(D573&lt;'PlayerGrades+'!$AA$7,"B+",IF(D573&lt;'PlayerGrades+'!$AA$6,"A-",IF(D573&lt;'PlayerGrades+'!$AA$5,"A",IF(D573&lt;'PlayerGrades+'!$AA$4,"A+",IF(D573&lt;'PlayerGrades+'!$AA$3,"S-",IF(D573&lt;'PlayerGrades+'!$AA$2,"S","S+"))))))))))))))))))))</f>
        <v>B-</v>
      </c>
      <c r="F573" s="973">
        <f t="shared" si="2"/>
        <v>-0.3732503888</v>
      </c>
      <c r="G573" s="973" t="str">
        <f>IF(F573&lt;'PlayerGrades+'!$AB$21,"F-",IF(F573&lt;'PlayerGrades+'!$AB$20,"F",IF(F573&lt;'PlayerGrades+'!$AB$19,"F+",IF(F573&lt;'PlayerGrades+'!$AB$18,"E-",IF(F573&lt;'PlayerGrades+'!$AB$17,"E",IF(F573&lt;'PlayerGrades+'!$AB$16,"E+",IF(F573&lt;'PlayerGrades+'!$AB$15,"D-",IF(F573&lt;'PlayerGrades+'!$AB$14,"D",IF(F573&lt;'PlayerGrades+'!$AB$13,"D+",IF(F573&lt;'PlayerGrades+'!$AB$12,"C-",IF(F573&lt;'PlayerGrades+'!$AB$11,"C",IF(F573&lt;'PlayerGrades+'!$AB$10,"C+",IF(F573&lt;'PlayerGrades+'!$AB$9,"B-",IF(F573&lt;'PlayerGrades+'!$AB$8,"B",IF(F573&lt;'PlayerGrades+'!$AB$7,"B+",IF(F573&lt;'PlayerGrades+'!$AB$6,"A-",IF(F573&lt;'PlayerGrades+'!$AB$5,"A",IF(F573&lt;'PlayerGrades+'!$AB$4,"A+",IF(F573&lt;'PlayerGrades+'!$AB$3,"S-",IF(F573&lt;'PlayerGrades+'!$AB$2,"S","S+"))))))))))))))))))))</f>
        <v>C-</v>
      </c>
      <c r="H573" s="973">
        <f t="shared" si="3"/>
        <v>0</v>
      </c>
      <c r="I573" s="973" t="str">
        <f>IF(H573&lt;'PlayerGrades+'!$AC$21,"F-",IF(H573&lt;'PlayerGrades+'!$AC$20,"F",IF(H573&lt;'PlayerGrades+'!$AC$19,"F+",IF(H573&lt;'PlayerGrades+'!$AC$18,"E-",IF(H573&lt;'PlayerGrades+'!$AC$17,"E",IF(H573&lt;'PlayerGrades+'!$AC$16,"E+",IF(H573&lt;'PlayerGrades+'!$AC$15,"D-",IF(H573&lt;'PlayerGrades+'!$AC$14,"D",IF(H573&lt;'PlayerGrades+'!$AC$13,"D+",IF(H573&lt;'PlayerGrades+'!$AC$12,"C-",IF(H573&lt;'PlayerGrades+'!$AC$11,"C",IF(H573&lt;'PlayerGrades+'!$AC$10,"C+",IF(H573&lt;'PlayerGrades+'!$AC$9,"B-",IF(H573&lt;'PlayerGrades+'!$AC$8,"B",IF(H573&lt;'PlayerGrades+'!$AC$7,"B+",IF(H573&lt;'PlayerGrades+'!$AC$6,"A-",IF(H573&lt;'PlayerGrades+'!$AC$5,"A",IF(H573&lt;'PlayerGrades+'!$AC$4,"A+",IF(H573&lt;'PlayerGrades+'!$AC$3,"S-",IF(H573&lt;'PlayerGrades+'!$AC$2,"S","S+"))))))))))))))))))))</f>
        <v>F-</v>
      </c>
      <c r="J573" s="973">
        <f t="shared" si="4"/>
        <v>0.06220839813</v>
      </c>
      <c r="K573" s="973" t="str">
        <f>IF(J573&lt;'PlayerGrades+'!$AD$21,"F-",IF(J573&lt;'PlayerGrades+'!$AD$20,"F",IF(J573&lt;'PlayerGrades+'!$AD$19,"F+",IF(J573&lt;'PlayerGrades+'!$AD$18,"E-",IF(J573&lt;'PlayerGrades+'!$AD$17,"E",IF(J573&lt;'PlayerGrades+'!$AD$16,"E+",IF(J573&lt;'PlayerGrades+'!$AD$15,"D-",IF(J573&lt;'PlayerGrades+'!$AD$14,"D",IF(J573&lt;'PlayerGrades+'!$AD$13,"D+",IF(J573&lt;'PlayerGrades+'!$AD$12,"C-",IF(J573&lt;'PlayerGrades+'!$AD$11,"C",IF(J573&lt;'PlayerGrades+'!$AD$10,"C+",IF(J573&lt;'PlayerGrades+'!$AD$9,"B-",IF(J573&lt;'PlayerGrades+'!$AD$8,"B",IF(J573&lt;'PlayerGrades+'!$AD$7,"B+",IF(J573&lt;'PlayerGrades+'!$AD$6,"A-",IF(J573&lt;'PlayerGrades+'!$AD$5,"A",IF(J573&lt;'PlayerGrades+'!$AD$4,"A+",IF(J573&lt;'PlayerGrades+'!$AD$3,"S-",IF(J573&lt;'PlayerGrades+'!$AD$2,"S","S+"))))))))))))))))))))</f>
        <v>A-</v>
      </c>
      <c r="L573" s="974">
        <f t="shared" si="5"/>
        <v>0.5909797823</v>
      </c>
      <c r="M573" s="975" t="str">
        <f>IF(L573&lt;'PlayerGrades+'!$AE$21,"F-",IF(L573&lt;'PlayerGrades+'!$AE$20,"F",IF(L573&lt;'PlayerGrades+'!$AE$19,"F+",IF(L573&lt;'PlayerGrades+'!$AE$18,"E-",IF(L573&lt;'PlayerGrades+'!$AE$17,"E",IF(L573&lt;'PlayerGrades+'!$AE$16,"E+",IF(L573&lt;'PlayerGrades+'!$AE$15,"D-",IF(L573&lt;'PlayerGrades+'!$AE$14,"D",IF(L573&lt;'PlayerGrades+'!$AE$13,"D+",IF(L573&lt;'PlayerGrades+'!$AE$12,"C-",IF(L573&lt;'PlayerGrades+'!$AE$11,"C",IF(L573&lt;'PlayerGrades+'!$AE$10,"C+",IF(L573&lt;'PlayerGrades+'!$AE$9,"B-",IF(L573&lt;'PlayerGrades+'!$AE$8,"B",IF(L573&lt;'PlayerGrades+'!$AE$7,"B+",IF(L573&lt;'PlayerGrades+'!$AE$6,"A-",IF(L573&lt;'PlayerGrades+'!$AE$5,"A",IF(L573&lt;'PlayerGrades+'!$AE$4,"A+",IF(L573&lt;'PlayerGrades+'!$AE$3,"S-",IF(L573&lt;'PlayerGrades+'!$AE$2,"S","S+"))))))))))))))))))))</f>
        <v>A+</v>
      </c>
      <c r="N573" s="973">
        <f t="shared" si="6"/>
        <v>0.1866251944</v>
      </c>
      <c r="O573" s="973" t="str">
        <f>IF(N573&lt;'PlayerGrades+'!$AF$21,"F-",IF(N573&lt;'PlayerGrades+'!$AF$20,"F",IF(N573&lt;'PlayerGrades+'!$AF$19,"F+",IF(N573&lt;'PlayerGrades+'!$AF$18,"E-",IF(N573&lt;'PlayerGrades+'!$AF$17,"E",IF(N573&lt;'PlayerGrades+'!$AF$16,"E+",IF(N573&lt;'PlayerGrades+'!$AF$15,"D-",IF(N573&lt;'PlayerGrades+'!$AF$14,"D",IF(N573&lt;'PlayerGrades+'!$AF$13,"D+",IF(N573&lt;'PlayerGrades+'!$AF$12,"C-",IF(N573&lt;'PlayerGrades+'!$AF$11,"C",IF(N573&lt;'PlayerGrades+'!$AF$10,"C+",IF(N573&lt;'PlayerGrades+'!$AF$9,"B-",IF(N573&lt;'PlayerGrades+'!$AF$8,"B",IF(N573&lt;'PlayerGrades+'!$AF$7,"B+",IF(N573&lt;'PlayerGrades+'!$AF$6,"A-",IF(N573&lt;'PlayerGrades+'!$AF$5,"A",IF(N573&lt;'PlayerGrades+'!$AF$4,"A+",IF(N573&lt;'PlayerGrades+'!$AF$3,"S-",IF(N573&lt;'PlayerGrades+'!$AF$2,"S","S+"))))))))))))))))))))</f>
        <v>S+</v>
      </c>
      <c r="P573" s="973">
        <f t="shared" si="7"/>
        <v>0.03110419907</v>
      </c>
      <c r="Q573" s="973" t="str">
        <f>IF(P573&lt;'PlayerGrades+'!$AG$21,"F-",IF(P573&lt;'PlayerGrades+'!$AG$20,"F",IF(P573&lt;'PlayerGrades+'!$AG$19,"F+",IF(P573&lt;'PlayerGrades+'!$AG$18,"E-",IF(P573&lt;'PlayerGrades+'!$AG$17,"E",IF(P573&lt;'PlayerGrades+'!$AG$16,"E+",IF(P573&lt;'PlayerGrades+'!$AG$15,"D-",IF(P573&lt;'PlayerGrades+'!$AG$14,"D",IF(P573&lt;'PlayerGrades+'!$AG$13,"D+",IF(P573&lt;'PlayerGrades+'!$AG$12,"C-",IF(P573&lt;'PlayerGrades+'!$AG$11,"C",IF(P573&lt;'PlayerGrades+'!$AG$10,"C+",IF(P573&lt;'PlayerGrades+'!$AG$9,"B-",IF(P573&lt;'PlayerGrades+'!$AG$8,"B",IF(P573&lt;'PlayerGrades+'!$AG$7,"B+",IF(P573&lt;'PlayerGrades+'!$AG$6,"A-",IF(P573&lt;'PlayerGrades+'!$AG$5,"A",IF(P573&lt;'PlayerGrades+'!$AG$4,"A+",IF(P573&lt;'PlayerGrades+'!$AG$3,"S-",IF(P573&lt;'PlayerGrades+'!$AG$2,"S","S+"))))))))))))))))))))</f>
        <v>B</v>
      </c>
      <c r="R573" s="973">
        <f t="shared" si="8"/>
        <v>0.6531881804</v>
      </c>
      <c r="S573" s="973" t="str">
        <f>IF(R573&lt;'PlayerGrades+'!$AH$21,"F-",IF(R573&lt;'PlayerGrades+'!$AH$20,"F",IF(R573&lt;'PlayerGrades+'!$AH$19,"F+",IF(R573&lt;'PlayerGrades+'!$AH$18,"E-",IF(R573&lt;'PlayerGrades+'!$AH$17,"E",IF(R573&lt;'PlayerGrades+'!$AH$16,"E+",IF(R573&lt;'PlayerGrades+'!$AH$15,"D-",IF(R573&lt;'PlayerGrades+'!$AH$14,"D",IF(R573&lt;'PlayerGrades+'!$AH$13,"D+",IF(R573&lt;'PlayerGrades+'!$AH$12,"C-",IF(R573&lt;'PlayerGrades+'!$AH$11,"C",IF(R573&lt;'PlayerGrades+'!$AH$10,"C+",IF(R573&lt;'PlayerGrades+'!$AH$9,"B-",IF(R573&lt;'PlayerGrades+'!$AH$8,"B",IF(R573&lt;'PlayerGrades+'!$AH$7,"B+",IF(R573&lt;'PlayerGrades+'!$AH$6,"A-",IF(R573&lt;'PlayerGrades+'!$AH$5,"A",IF(R573&lt;'PlayerGrades+'!$AH$4,"A+",IF(R573&lt;'PlayerGrades+'!$AH$3,"S-",IF(R573&lt;'PlayerGrades+'!$AH$2,"S","S+"))))))))))))))))))))</f>
        <v>A+</v>
      </c>
      <c r="T573" s="973">
        <f t="shared" si="9"/>
        <v>0.4043545879</v>
      </c>
      <c r="U573" s="973" t="str">
        <f>IF(T573&lt;'PlayerGrades+'!$AI$21,"F-",IF(T573&lt;'PlayerGrades+'!$AI$20,"F",IF(T573&lt;'PlayerGrades+'!$AI$19,"F+",IF(T573&lt;'PlayerGrades+'!$AI$18,"E-",IF(T573&lt;'PlayerGrades+'!$AI$17,"E",IF(T573&lt;'PlayerGrades+'!$AI$16,"E+",IF(T573&lt;'PlayerGrades+'!$AI$15,"D-",IF(T573&lt;'PlayerGrades+'!$AI$14,"D",IF(T573&lt;'PlayerGrades+'!$AI$13,"D+",IF(T573&lt;'PlayerGrades+'!$AI$12,"C-",IF(T573&lt;'PlayerGrades+'!$AI$11,"C",IF(T573&lt;'PlayerGrades+'!$AI$10,"C+",IF(T573&lt;'PlayerGrades+'!$AI$9,"B-",IF(T573&lt;'PlayerGrades+'!$AI$8,"B",IF(T573&lt;'PlayerGrades+'!$AI$7,"B+",IF(T573&lt;'PlayerGrades+'!$AI$6,"A-",IF(T573&lt;'PlayerGrades+'!$AI$5,"A",IF(T573&lt;'PlayerGrades+'!$AI$4,"A+",IF(T573&lt;'PlayerGrades+'!$AI$3,"S-",IF(T573&lt;'PlayerGrades+'!$AI$2,"S","S+"))))))))))))))))))))</f>
        <v>F-</v>
      </c>
      <c r="V573" s="983">
        <v>1.0</v>
      </c>
      <c r="W573" s="983">
        <v>1.0</v>
      </c>
      <c r="X573" s="983">
        <v>0.0</v>
      </c>
      <c r="Y573" s="983">
        <v>0.0</v>
      </c>
      <c r="Z573" s="983">
        <v>2.0</v>
      </c>
      <c r="AA573" s="983">
        <v>101.0</v>
      </c>
      <c r="AB573" s="983">
        <v>113.0</v>
      </c>
      <c r="AC573" s="983">
        <v>-12.0</v>
      </c>
      <c r="AD573" s="983">
        <v>11.0</v>
      </c>
      <c r="AE573" s="983">
        <v>5.0</v>
      </c>
      <c r="AF573" s="983">
        <v>2.0</v>
      </c>
      <c r="AG573" s="983">
        <v>1493.0</v>
      </c>
      <c r="AH573" s="983">
        <v>1929.0</v>
      </c>
      <c r="AI573" s="983">
        <v>13.0</v>
      </c>
      <c r="AJ573" s="983">
        <v>61.0</v>
      </c>
      <c r="AK573" s="983">
        <v>0.0</v>
      </c>
      <c r="AL573" s="983">
        <v>2.0</v>
      </c>
      <c r="AM573" s="983">
        <v>0.0</v>
      </c>
      <c r="AN573" s="983">
        <v>0.0</v>
      </c>
      <c r="AO573" s="983">
        <v>0.0</v>
      </c>
      <c r="AP573" s="983">
        <v>1.0</v>
      </c>
      <c r="AQ573" s="983">
        <v>0.0</v>
      </c>
      <c r="AR573" s="983">
        <v>19.0</v>
      </c>
      <c r="AS573" s="983">
        <v>6.0</v>
      </c>
      <c r="AT573" s="983">
        <v>0.0</v>
      </c>
      <c r="AU573" s="983">
        <v>0.0</v>
      </c>
      <c r="AV573" s="983">
        <v>0.0</v>
      </c>
      <c r="AW573" s="983">
        <v>0.0</v>
      </c>
      <c r="AX573" s="983">
        <v>0.0</v>
      </c>
      <c r="AY573" s="983">
        <v>0.0</v>
      </c>
      <c r="AZ573" s="983">
        <v>0.0</v>
      </c>
      <c r="BA573" s="983">
        <v>0.0</v>
      </c>
      <c r="BB573" s="983">
        <v>0.0</v>
      </c>
      <c r="BC573" s="983">
        <v>0.0</v>
      </c>
      <c r="BD573" s="983">
        <v>10.0</v>
      </c>
      <c r="BE573" s="983">
        <v>13.0</v>
      </c>
      <c r="BF573" s="983">
        <v>0.0</v>
      </c>
      <c r="BG573" s="988">
        <v>1.0</v>
      </c>
    </row>
    <row r="574">
      <c r="A574" s="1" t="s">
        <v>132</v>
      </c>
      <c r="B574" s="421" t="str">
        <f>IF(C574&lt;'PlayerGrades+'!$Y$44,"F-",IF(C574&lt;'PlayerGrades+'!$Y$43,"F",IF(C574&lt;'PlayerGrades+'!$Y$42,"F+",IF(C574&lt;'PlayerGrades+'!$Y$41,"E-",IF(C574&lt;'PlayerGrades+'!$Y$40,"E",IF(C574&lt;'PlayerGrades+'!$Y$39,"E+",IF(C574&lt;'PlayerGrades+'!$Y$38,"D-",IF(C574&lt;'PlayerGrades+'!$Y$37,"D",IF(C574&lt;'PlayerGrades+'!$Y$36,"D+",IF(C574&lt;'PlayerGrades+'!$Y$35,"C-",IF(C574&lt;'PlayerGrades+'!$Y$34,"C",IF(C574&lt;'PlayerGrades+'!$Y$33,"C+",IF(C574&lt;'PlayerGrades+'!$Y$32,"B-",IF(C574&lt;'PlayerGrades+'!$Y$31,"B",IF(C574&lt;'PlayerGrades+'!$Y$30,"B+",IF(C574&lt;'PlayerGrades+'!$Y$29,"A-",IF(C574&lt;'PlayerGrades+'!$Y$28,"A",IF(C574&lt;'PlayerGrades+'!$Y$27,"A+",IF(C574&lt;'PlayerGrades+'!$Y$26,"S-",IF(C574&lt;'PlayerGrades+'!$Y$25,"S","S+"))))))))))))))))))))</f>
        <v>C+</v>
      </c>
      <c r="C574" s="972">
        <f>('PlayerGrades+'!$Y$47*(VLOOKUP(E574, 'PlayerGrades+'!$X$3:$Y$23, 2, FALSE)))+('PlayerGrades+'!$Y$48*(VLOOKUP(G574, 'PlayerGrades+'!$X$3:$Y$23, 2, FALSE)))+('PlayerGrades+'!$Y$49*(VLOOKUP(I574, 'PlayerGrades+'!$X$3:$Y$23, 2, FALSE)))+('PlayerGrades+'!$Y$50*(VLOOKUP(K574, 'PlayerGrades+'!$X$3:$Y$23, 2, FALSE)))+('PlayerGrades+'!$Y$51*(VLOOKUP(M574, 'PlayerGrades+'!$X$3:$Y$23, 2, FALSE)))+('PlayerGrades+'!$Y$52*(VLOOKUP(O574, 'PlayerGrades+'!$X$3:$Y$23, 2, FALSE)))+('PlayerGrades+'!$Y$53*(VLOOKUP(Q574, 'PlayerGrades+'!$X$3:$Y$23, 2, FALSE)))+('PlayerGrades+'!$Y$54*(VLOOKUP(S574, 'PlayerGrades+'!$X$3:$Y$23, 2, FALSE)))+('PlayerGrades+'!$Y$55*(VLOOKUP(U574, 'PlayerGrades+'!$X$3:$Y$23, 2, FALSE)))</f>
        <v>21.3</v>
      </c>
      <c r="D574" s="973">
        <f t="shared" si="1"/>
        <v>0.5909797823</v>
      </c>
      <c r="E574" s="973" t="str">
        <f>IF(D574&lt;'PlayerGrades+'!$AA$21,"F-",IF(D574&lt;'PlayerGrades+'!$AA$20,"F",IF(D574&lt;'PlayerGrades+'!$AA$19,"F+",IF(D574&lt;'PlayerGrades+'!$AA$18,"E-",IF(D574&lt;'PlayerGrades+'!$AA$17,"E",IF(D574&lt;'PlayerGrades+'!$AA$16,"E+",IF(D574&lt;'PlayerGrades+'!$AA$15,"D-",IF(D574&lt;'PlayerGrades+'!$AA$14,"D",IF(D574&lt;'PlayerGrades+'!$AA$13,"D+",IF(D574&lt;'PlayerGrades+'!$AA$12,"C-",IF(D574&lt;'PlayerGrades+'!$AA$11,"C",IF(D574&lt;'PlayerGrades+'!$AA$10,"C+",IF(D574&lt;'PlayerGrades+'!$AA$9,"B-",IF(D574&lt;'PlayerGrades+'!$AA$8,"B",IF(D574&lt;'PlayerGrades+'!$AA$7,"B+",IF(D574&lt;'PlayerGrades+'!$AA$6,"A-",IF(D574&lt;'PlayerGrades+'!$AA$5,"A",IF(D574&lt;'PlayerGrades+'!$AA$4,"A+",IF(D574&lt;'PlayerGrades+'!$AA$3,"S-",IF(D574&lt;'PlayerGrades+'!$AA$2,"S","S+"))))))))))))))))))))</f>
        <v>S-</v>
      </c>
      <c r="F574" s="973">
        <f t="shared" si="2"/>
        <v>0.5598755832</v>
      </c>
      <c r="G574" s="973" t="str">
        <f>IF(F574&lt;'PlayerGrades+'!$AB$21,"F-",IF(F574&lt;'PlayerGrades+'!$AB$20,"F",IF(F574&lt;'PlayerGrades+'!$AB$19,"F+",IF(F574&lt;'PlayerGrades+'!$AB$18,"E-",IF(F574&lt;'PlayerGrades+'!$AB$17,"E",IF(F574&lt;'PlayerGrades+'!$AB$16,"E+",IF(F574&lt;'PlayerGrades+'!$AB$15,"D-",IF(F574&lt;'PlayerGrades+'!$AB$14,"D",IF(F574&lt;'PlayerGrades+'!$AB$13,"D+",IF(F574&lt;'PlayerGrades+'!$AB$12,"C-",IF(F574&lt;'PlayerGrades+'!$AB$11,"C",IF(F574&lt;'PlayerGrades+'!$AB$10,"C+",IF(F574&lt;'PlayerGrades+'!$AB$9,"B-",IF(F574&lt;'PlayerGrades+'!$AB$8,"B",IF(F574&lt;'PlayerGrades+'!$AB$7,"B+",IF(F574&lt;'PlayerGrades+'!$AB$6,"A-",IF(F574&lt;'PlayerGrades+'!$AB$5,"A",IF(F574&lt;'PlayerGrades+'!$AB$4,"A+",IF(F574&lt;'PlayerGrades+'!$AB$3,"S-",IF(F574&lt;'PlayerGrades+'!$AB$2,"S","S+"))))))))))))))))))))</f>
        <v>S-</v>
      </c>
      <c r="H574" s="973">
        <f t="shared" si="3"/>
        <v>0.1244167963</v>
      </c>
      <c r="I574" s="973" t="str">
        <f>IF(H574&lt;'PlayerGrades+'!$AC$21,"F-",IF(H574&lt;'PlayerGrades+'!$AC$20,"F",IF(H574&lt;'PlayerGrades+'!$AC$19,"F+",IF(H574&lt;'PlayerGrades+'!$AC$18,"E-",IF(H574&lt;'PlayerGrades+'!$AC$17,"E",IF(H574&lt;'PlayerGrades+'!$AC$16,"E+",IF(H574&lt;'PlayerGrades+'!$AC$15,"D-",IF(H574&lt;'PlayerGrades+'!$AC$14,"D",IF(H574&lt;'PlayerGrades+'!$AC$13,"D+",IF(H574&lt;'PlayerGrades+'!$AC$12,"C-",IF(H574&lt;'PlayerGrades+'!$AC$11,"C",IF(H574&lt;'PlayerGrades+'!$AC$10,"C+",IF(H574&lt;'PlayerGrades+'!$AC$9,"B-",IF(H574&lt;'PlayerGrades+'!$AC$8,"B",IF(H574&lt;'PlayerGrades+'!$AC$7,"B+",IF(H574&lt;'PlayerGrades+'!$AC$6,"A-",IF(H574&lt;'PlayerGrades+'!$AC$5,"A",IF(H574&lt;'PlayerGrades+'!$AC$4,"A+",IF(H574&lt;'PlayerGrades+'!$AC$3,"S-",IF(H574&lt;'PlayerGrades+'!$AC$2,"S","S+"))))))))))))))))))))</f>
        <v>B-</v>
      </c>
      <c r="J574" s="973">
        <f t="shared" si="4"/>
        <v>0.0933125972</v>
      </c>
      <c r="K574" s="973" t="str">
        <f>IF(J574&lt;'PlayerGrades+'!$AD$21,"F-",IF(J574&lt;'PlayerGrades+'!$AD$20,"F",IF(J574&lt;'PlayerGrades+'!$AD$19,"F+",IF(J574&lt;'PlayerGrades+'!$AD$18,"E-",IF(J574&lt;'PlayerGrades+'!$AD$17,"E",IF(J574&lt;'PlayerGrades+'!$AD$16,"E+",IF(J574&lt;'PlayerGrades+'!$AD$15,"D-",IF(J574&lt;'PlayerGrades+'!$AD$14,"D",IF(J574&lt;'PlayerGrades+'!$AD$13,"D+",IF(J574&lt;'PlayerGrades+'!$AD$12,"C-",IF(J574&lt;'PlayerGrades+'!$AD$11,"C",IF(J574&lt;'PlayerGrades+'!$AD$10,"C+",IF(J574&lt;'PlayerGrades+'!$AD$9,"B-",IF(J574&lt;'PlayerGrades+'!$AD$8,"B",IF(J574&lt;'PlayerGrades+'!$AD$7,"B+",IF(J574&lt;'PlayerGrades+'!$AD$6,"A-",IF(J574&lt;'PlayerGrades+'!$AD$5,"A",IF(J574&lt;'PlayerGrades+'!$AD$4,"A+",IF(J574&lt;'PlayerGrades+'!$AD$3,"S-",IF(J574&lt;'PlayerGrades+'!$AD$2,"S","S+"))))))))))))))))))))</f>
        <v>S-</v>
      </c>
      <c r="L574" s="974">
        <f t="shared" si="5"/>
        <v>0.4043545879</v>
      </c>
      <c r="M574" s="975" t="str">
        <f>IF(L574&lt;'PlayerGrades+'!$AE$21,"F-",IF(L574&lt;'PlayerGrades+'!$AE$20,"F",IF(L574&lt;'PlayerGrades+'!$AE$19,"F+",IF(L574&lt;'PlayerGrades+'!$AE$18,"E-",IF(L574&lt;'PlayerGrades+'!$AE$17,"E",IF(L574&lt;'PlayerGrades+'!$AE$16,"E+",IF(L574&lt;'PlayerGrades+'!$AE$15,"D-",IF(L574&lt;'PlayerGrades+'!$AE$14,"D",IF(L574&lt;'PlayerGrades+'!$AE$13,"D+",IF(L574&lt;'PlayerGrades+'!$AE$12,"C-",IF(L574&lt;'PlayerGrades+'!$AE$11,"C",IF(L574&lt;'PlayerGrades+'!$AE$10,"C+",IF(L574&lt;'PlayerGrades+'!$AE$9,"B-",IF(L574&lt;'PlayerGrades+'!$AE$8,"B",IF(L574&lt;'PlayerGrades+'!$AE$7,"B+",IF(L574&lt;'PlayerGrades+'!$AE$6,"A-",IF(L574&lt;'PlayerGrades+'!$AE$5,"A",IF(L574&lt;'PlayerGrades+'!$AE$4,"A+",IF(L574&lt;'PlayerGrades+'!$AE$3,"S-",IF(L574&lt;'PlayerGrades+'!$AE$2,"S","S+"))))))))))))))))))))</f>
        <v>C</v>
      </c>
      <c r="N574" s="973">
        <f t="shared" si="6"/>
        <v>0</v>
      </c>
      <c r="O574" s="973" t="str">
        <f>IF(N574&lt;'PlayerGrades+'!$AF$21,"F-",IF(N574&lt;'PlayerGrades+'!$AF$20,"F",IF(N574&lt;'PlayerGrades+'!$AF$19,"F+",IF(N574&lt;'PlayerGrades+'!$AF$18,"E-",IF(N574&lt;'PlayerGrades+'!$AF$17,"E",IF(N574&lt;'PlayerGrades+'!$AF$16,"E+",IF(N574&lt;'PlayerGrades+'!$AF$15,"D-",IF(N574&lt;'PlayerGrades+'!$AF$14,"D",IF(N574&lt;'PlayerGrades+'!$AF$13,"D+",IF(N574&lt;'PlayerGrades+'!$AF$12,"C-",IF(N574&lt;'PlayerGrades+'!$AF$11,"C",IF(N574&lt;'PlayerGrades+'!$AF$10,"C+",IF(N574&lt;'PlayerGrades+'!$AF$9,"B-",IF(N574&lt;'PlayerGrades+'!$AF$8,"B",IF(N574&lt;'PlayerGrades+'!$AF$7,"B+",IF(N574&lt;'PlayerGrades+'!$AF$6,"A-",IF(N574&lt;'PlayerGrades+'!$AF$5,"A",IF(N574&lt;'PlayerGrades+'!$AF$4,"A+",IF(N574&lt;'PlayerGrades+'!$AF$3,"S-",IF(N574&lt;'PlayerGrades+'!$AF$2,"S","S+"))))))))))))))))))))</f>
        <v>F-</v>
      </c>
      <c r="P574" s="973">
        <f t="shared" si="7"/>
        <v>0</v>
      </c>
      <c r="Q574" s="973" t="str">
        <f>IF(P574&lt;'PlayerGrades+'!$AG$21,"F-",IF(P574&lt;'PlayerGrades+'!$AG$20,"F",IF(P574&lt;'PlayerGrades+'!$AG$19,"F+",IF(P574&lt;'PlayerGrades+'!$AG$18,"E-",IF(P574&lt;'PlayerGrades+'!$AG$17,"E",IF(P574&lt;'PlayerGrades+'!$AG$16,"E+",IF(P574&lt;'PlayerGrades+'!$AG$15,"D-",IF(P574&lt;'PlayerGrades+'!$AG$14,"D",IF(P574&lt;'PlayerGrades+'!$AG$13,"D+",IF(P574&lt;'PlayerGrades+'!$AG$12,"C-",IF(P574&lt;'PlayerGrades+'!$AG$11,"C",IF(P574&lt;'PlayerGrades+'!$AG$10,"C+",IF(P574&lt;'PlayerGrades+'!$AG$9,"B-",IF(P574&lt;'PlayerGrades+'!$AG$8,"B",IF(P574&lt;'PlayerGrades+'!$AG$7,"B+",IF(P574&lt;'PlayerGrades+'!$AG$6,"A-",IF(P574&lt;'PlayerGrades+'!$AG$5,"A",IF(P574&lt;'PlayerGrades+'!$AG$4,"A+",IF(P574&lt;'PlayerGrades+'!$AG$3,"S-",IF(P574&lt;'PlayerGrades+'!$AG$2,"S","S+"))))))))))))))))))))</f>
        <v>F</v>
      </c>
      <c r="R574" s="973">
        <f t="shared" si="8"/>
        <v>0.4976671851</v>
      </c>
      <c r="S574" s="973" t="str">
        <f>IF(R574&lt;'PlayerGrades+'!$AH$21,"F-",IF(R574&lt;'PlayerGrades+'!$AH$20,"F",IF(R574&lt;'PlayerGrades+'!$AH$19,"F+",IF(R574&lt;'PlayerGrades+'!$AH$18,"E-",IF(R574&lt;'PlayerGrades+'!$AH$17,"E",IF(R574&lt;'PlayerGrades+'!$AH$16,"E+",IF(R574&lt;'PlayerGrades+'!$AH$15,"D-",IF(R574&lt;'PlayerGrades+'!$AH$14,"D",IF(R574&lt;'PlayerGrades+'!$AH$13,"D+",IF(R574&lt;'PlayerGrades+'!$AH$12,"C-",IF(R574&lt;'PlayerGrades+'!$AH$11,"C",IF(R574&lt;'PlayerGrades+'!$AH$10,"C+",IF(R574&lt;'PlayerGrades+'!$AH$9,"B-",IF(R574&lt;'PlayerGrades+'!$AH$8,"B",IF(R574&lt;'PlayerGrades+'!$AH$7,"B+",IF(R574&lt;'PlayerGrades+'!$AH$6,"A-",IF(R574&lt;'PlayerGrades+'!$AH$5,"A",IF(R574&lt;'PlayerGrades+'!$AH$4,"A+",IF(R574&lt;'PlayerGrades+'!$AH$3,"S-",IF(R574&lt;'PlayerGrades+'!$AH$2,"S","S+"))))))))))))))))))))</f>
        <v>D-</v>
      </c>
      <c r="T574" s="973">
        <f t="shared" si="9"/>
        <v>2.466562986</v>
      </c>
      <c r="U574" s="973" t="str">
        <f>IF(T574&lt;'PlayerGrades+'!$AI$21,"F-",IF(T574&lt;'PlayerGrades+'!$AI$20,"F",IF(T574&lt;'PlayerGrades+'!$AI$19,"F+",IF(T574&lt;'PlayerGrades+'!$AI$18,"E-",IF(T574&lt;'PlayerGrades+'!$AI$17,"E",IF(T574&lt;'PlayerGrades+'!$AI$16,"E+",IF(T574&lt;'PlayerGrades+'!$AI$15,"D-",IF(T574&lt;'PlayerGrades+'!$AI$14,"D",IF(T574&lt;'PlayerGrades+'!$AI$13,"D+",IF(T574&lt;'PlayerGrades+'!$AI$12,"C-",IF(T574&lt;'PlayerGrades+'!$AI$11,"C",IF(T574&lt;'PlayerGrades+'!$AI$10,"C+",IF(T574&lt;'PlayerGrades+'!$AI$9,"B-",IF(T574&lt;'PlayerGrades+'!$AI$8,"B",IF(T574&lt;'PlayerGrades+'!$AI$7,"B+",IF(T574&lt;'PlayerGrades+'!$AI$6,"A-",IF(T574&lt;'PlayerGrades+'!$AI$5,"A",IF(T574&lt;'PlayerGrades+'!$AI$4,"A+",IF(T574&lt;'PlayerGrades+'!$AI$3,"S-",IF(T574&lt;'PlayerGrades+'!$AI$2,"S","S+"))))))))))))))))))))</f>
        <v>S+</v>
      </c>
      <c r="V574" s="983">
        <v>1.0</v>
      </c>
      <c r="W574" s="983">
        <v>0.0</v>
      </c>
      <c r="X574" s="983">
        <v>1.0</v>
      </c>
      <c r="Y574" s="983">
        <v>2.0</v>
      </c>
      <c r="Z574" s="983">
        <v>17.0</v>
      </c>
      <c r="AA574" s="983">
        <v>87.0</v>
      </c>
      <c r="AB574" s="983">
        <v>69.0</v>
      </c>
      <c r="AC574" s="983">
        <v>18.0</v>
      </c>
      <c r="AD574" s="983">
        <v>2.0</v>
      </c>
      <c r="AE574" s="983">
        <v>6.0</v>
      </c>
      <c r="AF574" s="983">
        <v>2.0</v>
      </c>
      <c r="AG574" s="983">
        <v>1623.0</v>
      </c>
      <c r="AH574" s="983">
        <v>1929.0</v>
      </c>
      <c r="AI574" s="983">
        <v>23.0</v>
      </c>
      <c r="AJ574" s="983">
        <v>738.0</v>
      </c>
      <c r="AK574" s="983">
        <v>0.0</v>
      </c>
      <c r="AL574" s="983">
        <v>3.0</v>
      </c>
      <c r="AM574" s="983">
        <v>0.0</v>
      </c>
      <c r="AN574" s="983">
        <v>0.0</v>
      </c>
      <c r="AO574" s="983">
        <v>0.0</v>
      </c>
      <c r="AP574" s="983">
        <v>0.0</v>
      </c>
      <c r="AQ574" s="983">
        <v>0.0</v>
      </c>
      <c r="AR574" s="983">
        <v>13.0</v>
      </c>
      <c r="AS574" s="983">
        <v>0.0</v>
      </c>
      <c r="AT574" s="983">
        <v>0.0</v>
      </c>
      <c r="AU574" s="983">
        <v>0.0</v>
      </c>
      <c r="AV574" s="983">
        <v>0.0</v>
      </c>
      <c r="AW574" s="983">
        <v>0.0</v>
      </c>
      <c r="AX574" s="983">
        <v>0.0</v>
      </c>
      <c r="AY574" s="983">
        <v>0.0</v>
      </c>
      <c r="AZ574" s="983">
        <v>0.0</v>
      </c>
      <c r="BA574" s="983">
        <v>0.0</v>
      </c>
      <c r="BB574" s="983">
        <v>4.0</v>
      </c>
      <c r="BC574" s="983">
        <v>0.0</v>
      </c>
      <c r="BD574" s="983">
        <v>14.0</v>
      </c>
      <c r="BE574" s="983">
        <v>15.0</v>
      </c>
      <c r="BF574" s="983">
        <v>2.0</v>
      </c>
      <c r="BG574" s="989">
        <v>0.0</v>
      </c>
    </row>
    <row r="575">
      <c r="A575" s="1" t="s">
        <v>114</v>
      </c>
      <c r="B575" s="421" t="str">
        <f>IF(C575&lt;'PlayerGrades+'!$Y$44,"F-",IF(C575&lt;'PlayerGrades+'!$Y$43,"F",IF(C575&lt;'PlayerGrades+'!$Y$42,"F+",IF(C575&lt;'PlayerGrades+'!$Y$41,"E-",IF(C575&lt;'PlayerGrades+'!$Y$40,"E",IF(C575&lt;'PlayerGrades+'!$Y$39,"E+",IF(C575&lt;'PlayerGrades+'!$Y$38,"D-",IF(C575&lt;'PlayerGrades+'!$Y$37,"D",IF(C575&lt;'PlayerGrades+'!$Y$36,"D+",IF(C575&lt;'PlayerGrades+'!$Y$35,"C-",IF(C575&lt;'PlayerGrades+'!$Y$34,"C",IF(C575&lt;'PlayerGrades+'!$Y$33,"C+",IF(C575&lt;'PlayerGrades+'!$Y$32,"B-",IF(C575&lt;'PlayerGrades+'!$Y$31,"B",IF(C575&lt;'PlayerGrades+'!$Y$30,"B+",IF(C575&lt;'PlayerGrades+'!$Y$29,"A-",IF(C575&lt;'PlayerGrades+'!$Y$28,"A",IF(C575&lt;'PlayerGrades+'!$Y$27,"A+",IF(C575&lt;'PlayerGrades+'!$Y$26,"S-",IF(C575&lt;'PlayerGrades+'!$Y$25,"S","S+"))))))))))))))))))))</f>
        <v>C+</v>
      </c>
      <c r="C575" s="972">
        <f>('PlayerGrades+'!$Y$47*(VLOOKUP(E575, 'PlayerGrades+'!$X$3:$Y$23, 2, FALSE)))+('PlayerGrades+'!$Y$48*(VLOOKUP(G575, 'PlayerGrades+'!$X$3:$Y$23, 2, FALSE)))+('PlayerGrades+'!$Y$49*(VLOOKUP(I575, 'PlayerGrades+'!$X$3:$Y$23, 2, FALSE)))+('PlayerGrades+'!$Y$50*(VLOOKUP(K575, 'PlayerGrades+'!$X$3:$Y$23, 2, FALSE)))+('PlayerGrades+'!$Y$51*(VLOOKUP(M575, 'PlayerGrades+'!$X$3:$Y$23, 2, FALSE)))+('PlayerGrades+'!$Y$52*(VLOOKUP(O575, 'PlayerGrades+'!$X$3:$Y$23, 2, FALSE)))+('PlayerGrades+'!$Y$53*(VLOOKUP(Q575, 'PlayerGrades+'!$X$3:$Y$23, 2, FALSE)))+('PlayerGrades+'!$Y$54*(VLOOKUP(S575, 'PlayerGrades+'!$X$3:$Y$23, 2, FALSE)))+('PlayerGrades+'!$Y$55*(VLOOKUP(U575, 'PlayerGrades+'!$X$3:$Y$23, 2, FALSE)))</f>
        <v>21.4</v>
      </c>
      <c r="D575" s="973">
        <f t="shared" si="1"/>
        <v>0.1244167963</v>
      </c>
      <c r="E575" s="973" t="str">
        <f>IF(D575&lt;'PlayerGrades+'!$AA$21,"F-",IF(D575&lt;'PlayerGrades+'!$AA$20,"F",IF(D575&lt;'PlayerGrades+'!$AA$19,"F+",IF(D575&lt;'PlayerGrades+'!$AA$18,"E-",IF(D575&lt;'PlayerGrades+'!$AA$17,"E",IF(D575&lt;'PlayerGrades+'!$AA$16,"E+",IF(D575&lt;'PlayerGrades+'!$AA$15,"D-",IF(D575&lt;'PlayerGrades+'!$AA$14,"D",IF(D575&lt;'PlayerGrades+'!$AA$13,"D+",IF(D575&lt;'PlayerGrades+'!$AA$12,"C-",IF(D575&lt;'PlayerGrades+'!$AA$11,"C",IF(D575&lt;'PlayerGrades+'!$AA$10,"C+",IF(D575&lt;'PlayerGrades+'!$AA$9,"B-",IF(D575&lt;'PlayerGrades+'!$AA$8,"B",IF(D575&lt;'PlayerGrades+'!$AA$7,"B+",IF(D575&lt;'PlayerGrades+'!$AA$6,"A-",IF(D575&lt;'PlayerGrades+'!$AA$5,"A",IF(D575&lt;'PlayerGrades+'!$AA$4,"A+",IF(D575&lt;'PlayerGrades+'!$AA$3,"S-",IF(D575&lt;'PlayerGrades+'!$AA$2,"S","S+"))))))))))))))))))))</f>
        <v>B</v>
      </c>
      <c r="F575" s="973">
        <f t="shared" si="2"/>
        <v>0.3732503888</v>
      </c>
      <c r="G575" s="973" t="str">
        <f>IF(F575&lt;'PlayerGrades+'!$AB$21,"F-",IF(F575&lt;'PlayerGrades+'!$AB$20,"F",IF(F575&lt;'PlayerGrades+'!$AB$19,"F+",IF(F575&lt;'PlayerGrades+'!$AB$18,"E-",IF(F575&lt;'PlayerGrades+'!$AB$17,"E",IF(F575&lt;'PlayerGrades+'!$AB$16,"E+",IF(F575&lt;'PlayerGrades+'!$AB$15,"D-",IF(F575&lt;'PlayerGrades+'!$AB$14,"D",IF(F575&lt;'PlayerGrades+'!$AB$13,"D+",IF(F575&lt;'PlayerGrades+'!$AB$12,"C-",IF(F575&lt;'PlayerGrades+'!$AB$11,"C",IF(F575&lt;'PlayerGrades+'!$AB$10,"C+",IF(F575&lt;'PlayerGrades+'!$AB$9,"B-",IF(F575&lt;'PlayerGrades+'!$AB$8,"B",IF(F575&lt;'PlayerGrades+'!$AB$7,"B+",IF(F575&lt;'PlayerGrades+'!$AB$6,"A-",IF(F575&lt;'PlayerGrades+'!$AB$5,"A",IF(F575&lt;'PlayerGrades+'!$AB$4,"A+",IF(F575&lt;'PlayerGrades+'!$AB$3,"S-",IF(F575&lt;'PlayerGrades+'!$AB$2,"S","S+"))))))))))))))))))))</f>
        <v>A</v>
      </c>
      <c r="H575" s="973">
        <f t="shared" si="3"/>
        <v>0.06220839813</v>
      </c>
      <c r="I575" s="973" t="str">
        <f>IF(H575&lt;'PlayerGrades+'!$AC$21,"F-",IF(H575&lt;'PlayerGrades+'!$AC$20,"F",IF(H575&lt;'PlayerGrades+'!$AC$19,"F+",IF(H575&lt;'PlayerGrades+'!$AC$18,"E-",IF(H575&lt;'PlayerGrades+'!$AC$17,"E",IF(H575&lt;'PlayerGrades+'!$AC$16,"E+",IF(H575&lt;'PlayerGrades+'!$AC$15,"D-",IF(H575&lt;'PlayerGrades+'!$AC$14,"D",IF(H575&lt;'PlayerGrades+'!$AC$13,"D+",IF(H575&lt;'PlayerGrades+'!$AC$12,"C-",IF(H575&lt;'PlayerGrades+'!$AC$11,"C",IF(H575&lt;'PlayerGrades+'!$AC$10,"C+",IF(H575&lt;'PlayerGrades+'!$AC$9,"B-",IF(H575&lt;'PlayerGrades+'!$AC$8,"B",IF(H575&lt;'PlayerGrades+'!$AC$7,"B+",IF(H575&lt;'PlayerGrades+'!$AC$6,"A-",IF(H575&lt;'PlayerGrades+'!$AC$5,"A",IF(H575&lt;'PlayerGrades+'!$AC$4,"A+",IF(H575&lt;'PlayerGrades+'!$AC$3,"S-",IF(H575&lt;'PlayerGrades+'!$AC$2,"S","S+"))))))))))))))))))))</f>
        <v>E-</v>
      </c>
      <c r="J575" s="973">
        <f t="shared" si="4"/>
        <v>0.03110419907</v>
      </c>
      <c r="K575" s="973" t="str">
        <f>IF(J575&lt;'PlayerGrades+'!$AD$21,"F-",IF(J575&lt;'PlayerGrades+'!$AD$20,"F",IF(J575&lt;'PlayerGrades+'!$AD$19,"F+",IF(J575&lt;'PlayerGrades+'!$AD$18,"E-",IF(J575&lt;'PlayerGrades+'!$AD$17,"E",IF(J575&lt;'PlayerGrades+'!$AD$16,"E+",IF(J575&lt;'PlayerGrades+'!$AD$15,"D-",IF(J575&lt;'PlayerGrades+'!$AD$14,"D",IF(J575&lt;'PlayerGrades+'!$AD$13,"D+",IF(J575&lt;'PlayerGrades+'!$AD$12,"C-",IF(J575&lt;'PlayerGrades+'!$AD$11,"C",IF(J575&lt;'PlayerGrades+'!$AD$10,"C+",IF(J575&lt;'PlayerGrades+'!$AD$9,"B-",IF(J575&lt;'PlayerGrades+'!$AD$8,"B",IF(J575&lt;'PlayerGrades+'!$AD$7,"B+",IF(J575&lt;'PlayerGrades+'!$AD$6,"A-",IF(J575&lt;'PlayerGrades+'!$AD$5,"A",IF(J575&lt;'PlayerGrades+'!$AD$4,"A+",IF(J575&lt;'PlayerGrades+'!$AD$3,"S-",IF(J575&lt;'PlayerGrades+'!$AD$2,"S","S+"))))))))))))))))))))</f>
        <v>C</v>
      </c>
      <c r="L575" s="974">
        <f t="shared" si="5"/>
        <v>0.3421461897</v>
      </c>
      <c r="M575" s="975" t="str">
        <f>IF(L575&lt;'PlayerGrades+'!$AE$21,"F-",IF(L575&lt;'PlayerGrades+'!$AE$20,"F",IF(L575&lt;'PlayerGrades+'!$AE$19,"F+",IF(L575&lt;'PlayerGrades+'!$AE$18,"E-",IF(L575&lt;'PlayerGrades+'!$AE$17,"E",IF(L575&lt;'PlayerGrades+'!$AE$16,"E+",IF(L575&lt;'PlayerGrades+'!$AE$15,"D-",IF(L575&lt;'PlayerGrades+'!$AE$14,"D",IF(L575&lt;'PlayerGrades+'!$AE$13,"D+",IF(L575&lt;'PlayerGrades+'!$AE$12,"C-",IF(L575&lt;'PlayerGrades+'!$AE$11,"C",IF(L575&lt;'PlayerGrades+'!$AE$10,"C+",IF(L575&lt;'PlayerGrades+'!$AE$9,"B-",IF(L575&lt;'PlayerGrades+'!$AE$8,"B",IF(L575&lt;'PlayerGrades+'!$AE$7,"B+",IF(L575&lt;'PlayerGrades+'!$AE$6,"A-",IF(L575&lt;'PlayerGrades+'!$AE$5,"A",IF(L575&lt;'PlayerGrades+'!$AE$4,"A+",IF(L575&lt;'PlayerGrades+'!$AE$3,"S-",IF(L575&lt;'PlayerGrades+'!$AE$2,"S","S+"))))))))))))))))))))</f>
        <v>D-</v>
      </c>
      <c r="N575" s="973">
        <f t="shared" si="6"/>
        <v>0.1244167963</v>
      </c>
      <c r="O575" s="973" t="str">
        <f>IF(N575&lt;'PlayerGrades+'!$AF$21,"F-",IF(N575&lt;'PlayerGrades+'!$AF$20,"F",IF(N575&lt;'PlayerGrades+'!$AF$19,"F+",IF(N575&lt;'PlayerGrades+'!$AF$18,"E-",IF(N575&lt;'PlayerGrades+'!$AF$17,"E",IF(N575&lt;'PlayerGrades+'!$AF$16,"E+",IF(N575&lt;'PlayerGrades+'!$AF$15,"D-",IF(N575&lt;'PlayerGrades+'!$AF$14,"D",IF(N575&lt;'PlayerGrades+'!$AF$13,"D+",IF(N575&lt;'PlayerGrades+'!$AF$12,"C-",IF(N575&lt;'PlayerGrades+'!$AF$11,"C",IF(N575&lt;'PlayerGrades+'!$AF$10,"C+",IF(N575&lt;'PlayerGrades+'!$AF$9,"B-",IF(N575&lt;'PlayerGrades+'!$AF$8,"B",IF(N575&lt;'PlayerGrades+'!$AF$7,"B+",IF(N575&lt;'PlayerGrades+'!$AF$6,"A-",IF(N575&lt;'PlayerGrades+'!$AF$5,"A",IF(N575&lt;'PlayerGrades+'!$AF$4,"A+",IF(N575&lt;'PlayerGrades+'!$AF$3,"S-",IF(N575&lt;'PlayerGrades+'!$AF$2,"S","S+"))))))))))))))))))))</f>
        <v>S</v>
      </c>
      <c r="P575" s="973">
        <f t="shared" si="7"/>
        <v>0</v>
      </c>
      <c r="Q575" s="973" t="str">
        <f>IF(P575&lt;'PlayerGrades+'!$AG$21,"F-",IF(P575&lt;'PlayerGrades+'!$AG$20,"F",IF(P575&lt;'PlayerGrades+'!$AG$19,"F+",IF(P575&lt;'PlayerGrades+'!$AG$18,"E-",IF(P575&lt;'PlayerGrades+'!$AG$17,"E",IF(P575&lt;'PlayerGrades+'!$AG$16,"E+",IF(P575&lt;'PlayerGrades+'!$AG$15,"D-",IF(P575&lt;'PlayerGrades+'!$AG$14,"D",IF(P575&lt;'PlayerGrades+'!$AG$13,"D+",IF(P575&lt;'PlayerGrades+'!$AG$12,"C-",IF(P575&lt;'PlayerGrades+'!$AG$11,"C",IF(P575&lt;'PlayerGrades+'!$AG$10,"C+",IF(P575&lt;'PlayerGrades+'!$AG$9,"B-",IF(P575&lt;'PlayerGrades+'!$AG$8,"B",IF(P575&lt;'PlayerGrades+'!$AG$7,"B+",IF(P575&lt;'PlayerGrades+'!$AG$6,"A-",IF(P575&lt;'PlayerGrades+'!$AG$5,"A",IF(P575&lt;'PlayerGrades+'!$AG$4,"A+",IF(P575&lt;'PlayerGrades+'!$AG$3,"S-",IF(P575&lt;'PlayerGrades+'!$AG$2,"S","S+"))))))))))))))))))))</f>
        <v>F</v>
      </c>
      <c r="R575" s="973">
        <f t="shared" si="8"/>
        <v>0.4976671851</v>
      </c>
      <c r="S575" s="973" t="str">
        <f>IF(R575&lt;'PlayerGrades+'!$AH$21,"F-",IF(R575&lt;'PlayerGrades+'!$AH$20,"F",IF(R575&lt;'PlayerGrades+'!$AH$19,"F+",IF(R575&lt;'PlayerGrades+'!$AH$18,"E-",IF(R575&lt;'PlayerGrades+'!$AH$17,"E",IF(R575&lt;'PlayerGrades+'!$AH$16,"E+",IF(R575&lt;'PlayerGrades+'!$AH$15,"D-",IF(R575&lt;'PlayerGrades+'!$AH$14,"D",IF(R575&lt;'PlayerGrades+'!$AH$13,"D+",IF(R575&lt;'PlayerGrades+'!$AH$12,"C-",IF(R575&lt;'PlayerGrades+'!$AH$11,"C",IF(R575&lt;'PlayerGrades+'!$AH$10,"C+",IF(R575&lt;'PlayerGrades+'!$AH$9,"B-",IF(R575&lt;'PlayerGrades+'!$AH$8,"B",IF(R575&lt;'PlayerGrades+'!$AH$7,"B+",IF(R575&lt;'PlayerGrades+'!$AH$6,"A-",IF(R575&lt;'PlayerGrades+'!$AH$5,"A",IF(R575&lt;'PlayerGrades+'!$AH$4,"A+",IF(R575&lt;'PlayerGrades+'!$AH$3,"S-",IF(R575&lt;'PlayerGrades+'!$AH$2,"S","S+"))))))))))))))))))))</f>
        <v>D-</v>
      </c>
      <c r="T575" s="973">
        <f t="shared" si="9"/>
        <v>1.373250389</v>
      </c>
      <c r="U575" s="973" t="str">
        <f>IF(T575&lt;'PlayerGrades+'!$AI$21,"F-",IF(T575&lt;'PlayerGrades+'!$AI$20,"F",IF(T575&lt;'PlayerGrades+'!$AI$19,"F+",IF(T575&lt;'PlayerGrades+'!$AI$18,"E-",IF(T575&lt;'PlayerGrades+'!$AI$17,"E",IF(T575&lt;'PlayerGrades+'!$AI$16,"E+",IF(T575&lt;'PlayerGrades+'!$AI$15,"D-",IF(T575&lt;'PlayerGrades+'!$AI$14,"D",IF(T575&lt;'PlayerGrades+'!$AI$13,"D+",IF(T575&lt;'PlayerGrades+'!$AI$12,"C-",IF(T575&lt;'PlayerGrades+'!$AI$11,"C",IF(T575&lt;'PlayerGrades+'!$AI$10,"C+",IF(T575&lt;'PlayerGrades+'!$AI$9,"B-",IF(T575&lt;'PlayerGrades+'!$AI$8,"B",IF(T575&lt;'PlayerGrades+'!$AI$7,"B+",IF(T575&lt;'PlayerGrades+'!$AI$6,"A-",IF(T575&lt;'PlayerGrades+'!$AI$5,"A",IF(T575&lt;'PlayerGrades+'!$AI$4,"A+",IF(T575&lt;'PlayerGrades+'!$AI$3,"S-",IF(T575&lt;'PlayerGrades+'!$AI$2,"S","S+"))))))))))))))))))))</f>
        <v>B</v>
      </c>
      <c r="V575" s="983">
        <v>1.0</v>
      </c>
      <c r="W575" s="983">
        <v>0.0</v>
      </c>
      <c r="X575" s="983">
        <v>1.0</v>
      </c>
      <c r="Y575" s="983">
        <v>0.0</v>
      </c>
      <c r="Z575" s="983">
        <v>4.0</v>
      </c>
      <c r="AA575" s="983">
        <v>95.0</v>
      </c>
      <c r="AB575" s="983">
        <v>83.0</v>
      </c>
      <c r="AC575" s="983">
        <v>12.0</v>
      </c>
      <c r="AD575" s="983">
        <v>6.0</v>
      </c>
      <c r="AE575" s="983">
        <v>5.0</v>
      </c>
      <c r="AF575" s="983">
        <v>1.0</v>
      </c>
      <c r="AG575" s="983">
        <v>1584.0</v>
      </c>
      <c r="AH575" s="983">
        <v>1929.0</v>
      </c>
      <c r="AI575" s="983">
        <v>19.0</v>
      </c>
      <c r="AJ575" s="983">
        <v>183.0</v>
      </c>
      <c r="AK575" s="983">
        <v>0.0</v>
      </c>
      <c r="AL575" s="983">
        <v>1.0</v>
      </c>
      <c r="AM575" s="983">
        <v>0.0</v>
      </c>
      <c r="AN575" s="983">
        <v>0.0</v>
      </c>
      <c r="AO575" s="983">
        <v>0.0</v>
      </c>
      <c r="AP575" s="983">
        <v>0.0</v>
      </c>
      <c r="AQ575" s="983">
        <v>0.0</v>
      </c>
      <c r="AR575" s="983">
        <v>11.0</v>
      </c>
      <c r="AS575" s="983">
        <v>4.0</v>
      </c>
      <c r="AT575" s="983">
        <v>0.0</v>
      </c>
      <c r="AU575" s="983">
        <v>0.0</v>
      </c>
      <c r="AV575" s="983">
        <v>0.0</v>
      </c>
      <c r="AW575" s="983">
        <v>0.0</v>
      </c>
      <c r="AX575" s="983">
        <v>0.0</v>
      </c>
      <c r="AY575" s="983">
        <v>0.0</v>
      </c>
      <c r="AZ575" s="983">
        <v>0.0</v>
      </c>
      <c r="BA575" s="983">
        <v>0.0</v>
      </c>
      <c r="BB575" s="983">
        <v>2.0</v>
      </c>
      <c r="BC575" s="983">
        <v>0.0</v>
      </c>
      <c r="BD575" s="983">
        <v>10.0</v>
      </c>
      <c r="BE575" s="983">
        <v>12.0</v>
      </c>
      <c r="BF575" s="983">
        <v>1.0</v>
      </c>
      <c r="BG575" s="989">
        <v>0.0</v>
      </c>
    </row>
    <row r="576">
      <c r="A576" s="1" t="s">
        <v>147</v>
      </c>
      <c r="B576" s="421" t="str">
        <f>IF(C576&lt;'PlayerGrades+'!$Y$44,"F-",IF(C576&lt;'PlayerGrades+'!$Y$43,"F",IF(C576&lt;'PlayerGrades+'!$Y$42,"F+",IF(C576&lt;'PlayerGrades+'!$Y$41,"E-",IF(C576&lt;'PlayerGrades+'!$Y$40,"E",IF(C576&lt;'PlayerGrades+'!$Y$39,"E+",IF(C576&lt;'PlayerGrades+'!$Y$38,"D-",IF(C576&lt;'PlayerGrades+'!$Y$37,"D",IF(C576&lt;'PlayerGrades+'!$Y$36,"D+",IF(C576&lt;'PlayerGrades+'!$Y$35,"C-",IF(C576&lt;'PlayerGrades+'!$Y$34,"C",IF(C576&lt;'PlayerGrades+'!$Y$33,"C+",IF(C576&lt;'PlayerGrades+'!$Y$32,"B-",IF(C576&lt;'PlayerGrades+'!$Y$31,"B",IF(C576&lt;'PlayerGrades+'!$Y$30,"B+",IF(C576&lt;'PlayerGrades+'!$Y$29,"A-",IF(C576&lt;'PlayerGrades+'!$Y$28,"A",IF(C576&lt;'PlayerGrades+'!$Y$27,"A+",IF(C576&lt;'PlayerGrades+'!$Y$26,"S-",IF(C576&lt;'PlayerGrades+'!$Y$25,"S","S+"))))))))))))))))))))</f>
        <v>C-</v>
      </c>
      <c r="C576" s="972">
        <f>('PlayerGrades+'!$Y$47*(VLOOKUP(E576, 'PlayerGrades+'!$X$3:$Y$23, 2, FALSE)))+('PlayerGrades+'!$Y$48*(VLOOKUP(G576, 'PlayerGrades+'!$X$3:$Y$23, 2, FALSE)))+('PlayerGrades+'!$Y$49*(VLOOKUP(I576, 'PlayerGrades+'!$X$3:$Y$23, 2, FALSE)))+('PlayerGrades+'!$Y$50*(VLOOKUP(K576, 'PlayerGrades+'!$X$3:$Y$23, 2, FALSE)))+('PlayerGrades+'!$Y$51*(VLOOKUP(M576, 'PlayerGrades+'!$X$3:$Y$23, 2, FALSE)))+('PlayerGrades+'!$Y$52*(VLOOKUP(O576, 'PlayerGrades+'!$X$3:$Y$23, 2, FALSE)))+('PlayerGrades+'!$Y$53*(VLOOKUP(Q576, 'PlayerGrades+'!$X$3:$Y$23, 2, FALSE)))+('PlayerGrades+'!$Y$54*(VLOOKUP(S576, 'PlayerGrades+'!$X$3:$Y$23, 2, FALSE)))+('PlayerGrades+'!$Y$55*(VLOOKUP(U576, 'PlayerGrades+'!$X$3:$Y$23, 2, FALSE)))</f>
        <v>19.35</v>
      </c>
      <c r="D576" s="973">
        <f t="shared" si="1"/>
        <v>0.03110419907</v>
      </c>
      <c r="E576" s="973" t="str">
        <f>IF(D576&lt;'PlayerGrades+'!$AA$21,"F-",IF(D576&lt;'PlayerGrades+'!$AA$20,"F",IF(D576&lt;'PlayerGrades+'!$AA$19,"F+",IF(D576&lt;'PlayerGrades+'!$AA$18,"E-",IF(D576&lt;'PlayerGrades+'!$AA$17,"E",IF(D576&lt;'PlayerGrades+'!$AA$16,"E+",IF(D576&lt;'PlayerGrades+'!$AA$15,"D-",IF(D576&lt;'PlayerGrades+'!$AA$14,"D",IF(D576&lt;'PlayerGrades+'!$AA$13,"D+",IF(D576&lt;'PlayerGrades+'!$AA$12,"C-",IF(D576&lt;'PlayerGrades+'!$AA$11,"C",IF(D576&lt;'PlayerGrades+'!$AA$10,"C+",IF(D576&lt;'PlayerGrades+'!$AA$9,"B-",IF(D576&lt;'PlayerGrades+'!$AA$8,"B",IF(D576&lt;'PlayerGrades+'!$AA$7,"B+",IF(D576&lt;'PlayerGrades+'!$AA$6,"A-",IF(D576&lt;'PlayerGrades+'!$AA$5,"A",IF(D576&lt;'PlayerGrades+'!$AA$4,"A+",IF(D576&lt;'PlayerGrades+'!$AA$3,"S-",IF(D576&lt;'PlayerGrades+'!$AA$2,"S","S+"))))))))))))))))))))</f>
        <v>D+</v>
      </c>
      <c r="F576" s="973">
        <f t="shared" si="2"/>
        <v>-0.9020217729</v>
      </c>
      <c r="G576" s="973" t="str">
        <f>IF(F576&lt;'PlayerGrades+'!$AB$21,"F-",IF(F576&lt;'PlayerGrades+'!$AB$20,"F",IF(F576&lt;'PlayerGrades+'!$AB$19,"F+",IF(F576&lt;'PlayerGrades+'!$AB$18,"E-",IF(F576&lt;'PlayerGrades+'!$AB$17,"E",IF(F576&lt;'PlayerGrades+'!$AB$16,"E+",IF(F576&lt;'PlayerGrades+'!$AB$15,"D-",IF(F576&lt;'PlayerGrades+'!$AB$14,"D",IF(F576&lt;'PlayerGrades+'!$AB$13,"D+",IF(F576&lt;'PlayerGrades+'!$AB$12,"C-",IF(F576&lt;'PlayerGrades+'!$AB$11,"C",IF(F576&lt;'PlayerGrades+'!$AB$10,"C+",IF(F576&lt;'PlayerGrades+'!$AB$9,"B-",IF(F576&lt;'PlayerGrades+'!$AB$8,"B",IF(F576&lt;'PlayerGrades+'!$AB$7,"B+",IF(F576&lt;'PlayerGrades+'!$AB$6,"A-",IF(F576&lt;'PlayerGrades+'!$AB$5,"A",IF(F576&lt;'PlayerGrades+'!$AB$4,"A+",IF(F576&lt;'PlayerGrades+'!$AB$3,"S-",IF(F576&lt;'PlayerGrades+'!$AB$2,"S","S+"))))))))))))))))))))</f>
        <v>E-</v>
      </c>
      <c r="H576" s="973">
        <f t="shared" si="3"/>
        <v>0.2488335925</v>
      </c>
      <c r="I576" s="973" t="str">
        <f>IF(H576&lt;'PlayerGrades+'!$AC$21,"F-",IF(H576&lt;'PlayerGrades+'!$AC$20,"F",IF(H576&lt;'PlayerGrades+'!$AC$19,"F+",IF(H576&lt;'PlayerGrades+'!$AC$18,"E-",IF(H576&lt;'PlayerGrades+'!$AC$17,"E",IF(H576&lt;'PlayerGrades+'!$AC$16,"E+",IF(H576&lt;'PlayerGrades+'!$AC$15,"D-",IF(H576&lt;'PlayerGrades+'!$AC$14,"D",IF(H576&lt;'PlayerGrades+'!$AC$13,"D+",IF(H576&lt;'PlayerGrades+'!$AC$12,"C-",IF(H576&lt;'PlayerGrades+'!$AC$11,"C",IF(H576&lt;'PlayerGrades+'!$AC$10,"C+",IF(H576&lt;'PlayerGrades+'!$AC$9,"B-",IF(H576&lt;'PlayerGrades+'!$AC$8,"B",IF(H576&lt;'PlayerGrades+'!$AC$7,"B+",IF(H576&lt;'PlayerGrades+'!$AC$6,"A-",IF(H576&lt;'PlayerGrades+'!$AC$5,"A",IF(H576&lt;'PlayerGrades+'!$AC$4,"A+",IF(H576&lt;'PlayerGrades+'!$AC$3,"S-",IF(H576&lt;'PlayerGrades+'!$AC$2,"S","S+"))))))))))))))))))))</f>
        <v>S</v>
      </c>
      <c r="J576" s="973">
        <f t="shared" si="4"/>
        <v>0</v>
      </c>
      <c r="K576" s="973" t="str">
        <f>IF(J576&lt;'PlayerGrades+'!$AD$21,"F-",IF(J576&lt;'PlayerGrades+'!$AD$20,"F",IF(J576&lt;'PlayerGrades+'!$AD$19,"F+",IF(J576&lt;'PlayerGrades+'!$AD$18,"E-",IF(J576&lt;'PlayerGrades+'!$AD$17,"E",IF(J576&lt;'PlayerGrades+'!$AD$16,"E+",IF(J576&lt;'PlayerGrades+'!$AD$15,"D-",IF(J576&lt;'PlayerGrades+'!$AD$14,"D",IF(J576&lt;'PlayerGrades+'!$AD$13,"D+",IF(J576&lt;'PlayerGrades+'!$AD$12,"C-",IF(J576&lt;'PlayerGrades+'!$AD$11,"C",IF(J576&lt;'PlayerGrades+'!$AD$10,"C+",IF(J576&lt;'PlayerGrades+'!$AD$9,"B-",IF(J576&lt;'PlayerGrades+'!$AD$8,"B",IF(J576&lt;'PlayerGrades+'!$AD$7,"B+",IF(J576&lt;'PlayerGrades+'!$AD$6,"A-",IF(J576&lt;'PlayerGrades+'!$AD$5,"A",IF(J576&lt;'PlayerGrades+'!$AD$4,"A+",IF(J576&lt;'PlayerGrades+'!$AD$3,"S-",IF(J576&lt;'PlayerGrades+'!$AD$2,"S","S+"))))))))))))))))))))</f>
        <v>F-</v>
      </c>
      <c r="L576" s="974">
        <f t="shared" si="5"/>
        <v>0.2488335925</v>
      </c>
      <c r="M576" s="975" t="str">
        <f>IF(L576&lt;'PlayerGrades+'!$AE$21,"F-",IF(L576&lt;'PlayerGrades+'!$AE$20,"F",IF(L576&lt;'PlayerGrades+'!$AE$19,"F+",IF(L576&lt;'PlayerGrades+'!$AE$18,"E-",IF(L576&lt;'PlayerGrades+'!$AE$17,"E",IF(L576&lt;'PlayerGrades+'!$AE$16,"E+",IF(L576&lt;'PlayerGrades+'!$AE$15,"D-",IF(L576&lt;'PlayerGrades+'!$AE$14,"D",IF(L576&lt;'PlayerGrades+'!$AE$13,"D+",IF(L576&lt;'PlayerGrades+'!$AE$12,"C-",IF(L576&lt;'PlayerGrades+'!$AE$11,"C",IF(L576&lt;'PlayerGrades+'!$AE$10,"C+",IF(L576&lt;'PlayerGrades+'!$AE$9,"B-",IF(L576&lt;'PlayerGrades+'!$AE$8,"B",IF(L576&lt;'PlayerGrades+'!$AE$7,"B+",IF(L576&lt;'PlayerGrades+'!$AE$6,"A-",IF(L576&lt;'PlayerGrades+'!$AE$5,"A",IF(L576&lt;'PlayerGrades+'!$AE$4,"A+",IF(L576&lt;'PlayerGrades+'!$AE$3,"S-",IF(L576&lt;'PlayerGrades+'!$AE$2,"S","S+"))))))))))))))))))))</f>
        <v>F</v>
      </c>
      <c r="N576" s="973">
        <f t="shared" si="6"/>
        <v>0.0933125972</v>
      </c>
      <c r="O576" s="973" t="str">
        <f>IF(N576&lt;'PlayerGrades+'!$AF$21,"F-",IF(N576&lt;'PlayerGrades+'!$AF$20,"F",IF(N576&lt;'PlayerGrades+'!$AF$19,"F+",IF(N576&lt;'PlayerGrades+'!$AF$18,"E-",IF(N576&lt;'PlayerGrades+'!$AF$17,"E",IF(N576&lt;'PlayerGrades+'!$AF$16,"E+",IF(N576&lt;'PlayerGrades+'!$AF$15,"D-",IF(N576&lt;'PlayerGrades+'!$AF$14,"D",IF(N576&lt;'PlayerGrades+'!$AF$13,"D+",IF(N576&lt;'PlayerGrades+'!$AF$12,"C-",IF(N576&lt;'PlayerGrades+'!$AF$11,"C",IF(N576&lt;'PlayerGrades+'!$AF$10,"C+",IF(N576&lt;'PlayerGrades+'!$AF$9,"B-",IF(N576&lt;'PlayerGrades+'!$AF$8,"B",IF(N576&lt;'PlayerGrades+'!$AF$7,"B+",IF(N576&lt;'PlayerGrades+'!$AF$6,"A-",IF(N576&lt;'PlayerGrades+'!$AF$5,"A",IF(N576&lt;'PlayerGrades+'!$AF$4,"A+",IF(N576&lt;'PlayerGrades+'!$AF$3,"S-",IF(N576&lt;'PlayerGrades+'!$AF$2,"S","S+"))))))))))))))))))))</f>
        <v>A-</v>
      </c>
      <c r="P576" s="973">
        <f t="shared" si="7"/>
        <v>0</v>
      </c>
      <c r="Q576" s="973" t="str">
        <f>IF(P576&lt;'PlayerGrades+'!$AG$21,"F-",IF(P576&lt;'PlayerGrades+'!$AG$20,"F",IF(P576&lt;'PlayerGrades+'!$AG$19,"F+",IF(P576&lt;'PlayerGrades+'!$AG$18,"E-",IF(P576&lt;'PlayerGrades+'!$AG$17,"E",IF(P576&lt;'PlayerGrades+'!$AG$16,"E+",IF(P576&lt;'PlayerGrades+'!$AG$15,"D-",IF(P576&lt;'PlayerGrades+'!$AG$14,"D",IF(P576&lt;'PlayerGrades+'!$AG$13,"D+",IF(P576&lt;'PlayerGrades+'!$AG$12,"C-",IF(P576&lt;'PlayerGrades+'!$AG$11,"C",IF(P576&lt;'PlayerGrades+'!$AG$10,"C+",IF(P576&lt;'PlayerGrades+'!$AG$9,"B-",IF(P576&lt;'PlayerGrades+'!$AG$8,"B",IF(P576&lt;'PlayerGrades+'!$AG$7,"B+",IF(P576&lt;'PlayerGrades+'!$AG$6,"A-",IF(P576&lt;'PlayerGrades+'!$AG$5,"A",IF(P576&lt;'PlayerGrades+'!$AG$4,"A+",IF(P576&lt;'PlayerGrades+'!$AG$3,"S-",IF(P576&lt;'PlayerGrades+'!$AG$2,"S","S+"))))))))))))))))))))</f>
        <v>F</v>
      </c>
      <c r="R576" s="973">
        <f t="shared" si="8"/>
        <v>0.7776049767</v>
      </c>
      <c r="S576" s="973" t="str">
        <f>IF(R576&lt;'PlayerGrades+'!$AH$21,"F-",IF(R576&lt;'PlayerGrades+'!$AH$20,"F",IF(R576&lt;'PlayerGrades+'!$AH$19,"F+",IF(R576&lt;'PlayerGrades+'!$AH$18,"E-",IF(R576&lt;'PlayerGrades+'!$AH$17,"E",IF(R576&lt;'PlayerGrades+'!$AH$16,"E+",IF(R576&lt;'PlayerGrades+'!$AH$15,"D-",IF(R576&lt;'PlayerGrades+'!$AH$14,"D",IF(R576&lt;'PlayerGrades+'!$AH$13,"D+",IF(R576&lt;'PlayerGrades+'!$AH$12,"C-",IF(R576&lt;'PlayerGrades+'!$AH$11,"C",IF(R576&lt;'PlayerGrades+'!$AH$10,"C+",IF(R576&lt;'PlayerGrades+'!$AH$9,"B-",IF(R576&lt;'PlayerGrades+'!$AH$8,"B",IF(R576&lt;'PlayerGrades+'!$AH$7,"B+",IF(R576&lt;'PlayerGrades+'!$AH$6,"A-",IF(R576&lt;'PlayerGrades+'!$AH$5,"A",IF(R576&lt;'PlayerGrades+'!$AH$4,"A+",IF(R576&lt;'PlayerGrades+'!$AH$3,"S-",IF(R576&lt;'PlayerGrades+'!$AH$2,"S","S+"))))))))))))))))))))</f>
        <v>S+</v>
      </c>
      <c r="T576" s="973">
        <f t="shared" si="9"/>
        <v>0.2799377916</v>
      </c>
      <c r="U576" s="973" t="str">
        <f>IF(T576&lt;'PlayerGrades+'!$AI$21,"F-",IF(T576&lt;'PlayerGrades+'!$AI$20,"F",IF(T576&lt;'PlayerGrades+'!$AI$19,"F+",IF(T576&lt;'PlayerGrades+'!$AI$18,"E-",IF(T576&lt;'PlayerGrades+'!$AI$17,"E",IF(T576&lt;'PlayerGrades+'!$AI$16,"E+",IF(T576&lt;'PlayerGrades+'!$AI$15,"D-",IF(T576&lt;'PlayerGrades+'!$AI$14,"D",IF(T576&lt;'PlayerGrades+'!$AI$13,"D+",IF(T576&lt;'PlayerGrades+'!$AI$12,"C-",IF(T576&lt;'PlayerGrades+'!$AI$11,"C",IF(T576&lt;'PlayerGrades+'!$AI$10,"C+",IF(T576&lt;'PlayerGrades+'!$AI$9,"B-",IF(T576&lt;'PlayerGrades+'!$AI$8,"B",IF(T576&lt;'PlayerGrades+'!$AI$7,"B+",IF(T576&lt;'PlayerGrades+'!$AI$6,"A-",IF(T576&lt;'PlayerGrades+'!$AI$5,"A",IF(T576&lt;'PlayerGrades+'!$AI$4,"A+",IF(T576&lt;'PlayerGrades+'!$AI$3,"S-",IF(T576&lt;'PlayerGrades+'!$AI$2,"S","S+"))))))))))))))))))))</f>
        <v>F-</v>
      </c>
      <c r="V576" s="983">
        <v>1.0</v>
      </c>
      <c r="W576" s="983">
        <v>0.0</v>
      </c>
      <c r="X576" s="983">
        <v>1.0</v>
      </c>
      <c r="Y576" s="983">
        <v>0.0</v>
      </c>
      <c r="Z576" s="983">
        <v>1.0</v>
      </c>
      <c r="AA576" s="983">
        <v>84.0</v>
      </c>
      <c r="AB576" s="983">
        <v>113.0</v>
      </c>
      <c r="AC576" s="983">
        <v>-29.0</v>
      </c>
      <c r="AD576" s="983">
        <v>9.0</v>
      </c>
      <c r="AE576" s="983">
        <v>4.0</v>
      </c>
      <c r="AF576" s="983">
        <v>3.0</v>
      </c>
      <c r="AG576" s="983">
        <v>1495.0</v>
      </c>
      <c r="AH576" s="983">
        <v>1929.0</v>
      </c>
      <c r="AI576" s="983">
        <v>13.0</v>
      </c>
      <c r="AJ576" s="983">
        <v>7.0</v>
      </c>
      <c r="AK576" s="983">
        <v>0.0</v>
      </c>
      <c r="AL576" s="983">
        <v>0.0</v>
      </c>
      <c r="AM576" s="983">
        <v>0.0</v>
      </c>
      <c r="AN576" s="983">
        <v>0.0</v>
      </c>
      <c r="AO576" s="983">
        <v>0.0</v>
      </c>
      <c r="AP576" s="983">
        <v>0.0</v>
      </c>
      <c r="AQ576" s="983">
        <v>0.0</v>
      </c>
      <c r="AR576" s="983">
        <v>8.0</v>
      </c>
      <c r="AS576" s="983">
        <v>3.0</v>
      </c>
      <c r="AT576" s="983">
        <v>1.0</v>
      </c>
      <c r="AU576" s="983">
        <v>0.0</v>
      </c>
      <c r="AV576" s="983">
        <v>0.0</v>
      </c>
      <c r="AW576" s="983">
        <v>0.0</v>
      </c>
      <c r="AX576" s="983">
        <v>0.0</v>
      </c>
      <c r="AY576" s="983">
        <v>0.0</v>
      </c>
      <c r="AZ576" s="983">
        <v>0.0</v>
      </c>
      <c r="BA576" s="983">
        <v>0.0</v>
      </c>
      <c r="BB576" s="983">
        <v>8.0</v>
      </c>
      <c r="BC576" s="983">
        <v>0.0</v>
      </c>
      <c r="BD576" s="983">
        <v>16.0</v>
      </c>
      <c r="BE576" s="983">
        <v>9.0</v>
      </c>
      <c r="BF576" s="983">
        <v>0.0</v>
      </c>
      <c r="BG576" s="989">
        <v>0.0</v>
      </c>
    </row>
    <row r="577">
      <c r="A577" s="882" t="s">
        <v>136</v>
      </c>
      <c r="B577" s="421" t="str">
        <f>IF(C577&lt;'PlayerGrades+'!$Y$44,"F-",IF(C577&lt;'PlayerGrades+'!$Y$43,"F",IF(C577&lt;'PlayerGrades+'!$Y$42,"F+",IF(C577&lt;'PlayerGrades+'!$Y$41,"E-",IF(C577&lt;'PlayerGrades+'!$Y$40,"E",IF(C577&lt;'PlayerGrades+'!$Y$39,"E+",IF(C577&lt;'PlayerGrades+'!$Y$38,"D-",IF(C577&lt;'PlayerGrades+'!$Y$37,"D",IF(C577&lt;'PlayerGrades+'!$Y$36,"D+",IF(C577&lt;'PlayerGrades+'!$Y$35,"C-",IF(C577&lt;'PlayerGrades+'!$Y$34,"C",IF(C577&lt;'PlayerGrades+'!$Y$33,"C+",IF(C577&lt;'PlayerGrades+'!$Y$32,"B-",IF(C577&lt;'PlayerGrades+'!$Y$31,"B",IF(C577&lt;'PlayerGrades+'!$Y$30,"B+",IF(C577&lt;'PlayerGrades+'!$Y$29,"A-",IF(C577&lt;'PlayerGrades+'!$Y$28,"A",IF(C577&lt;'PlayerGrades+'!$Y$27,"A+",IF(C577&lt;'PlayerGrades+'!$Y$26,"S-",IF(C577&lt;'PlayerGrades+'!$Y$25,"S","S+"))))))))))))))))))))</f>
        <v>A</v>
      </c>
      <c r="C577" s="972">
        <f>('PlayerGrades+'!$Y$47*(VLOOKUP(E577, 'PlayerGrades+'!$X$3:$Y$23, 2, FALSE)))+('PlayerGrades+'!$Y$48*(VLOOKUP(G577, 'PlayerGrades+'!$X$3:$Y$23, 2, FALSE)))+('PlayerGrades+'!$Y$49*(VLOOKUP(I577, 'PlayerGrades+'!$X$3:$Y$23, 2, FALSE)))+('PlayerGrades+'!$Y$50*(VLOOKUP(K577, 'PlayerGrades+'!$X$3:$Y$23, 2, FALSE)))+('PlayerGrades+'!$Y$51*(VLOOKUP(M577, 'PlayerGrades+'!$X$3:$Y$23, 2, FALSE)))+('PlayerGrades+'!$Y$52*(VLOOKUP(O577, 'PlayerGrades+'!$X$3:$Y$23, 2, FALSE)))+('PlayerGrades+'!$Y$53*(VLOOKUP(Q577, 'PlayerGrades+'!$X$3:$Y$23, 2, FALSE)))+('PlayerGrades+'!$Y$54*(VLOOKUP(S577, 'PlayerGrades+'!$X$3:$Y$23, 2, FALSE)))+('PlayerGrades+'!$Y$55*(VLOOKUP(U577, 'PlayerGrades+'!$X$3:$Y$23, 2, FALSE)))</f>
        <v>26.4</v>
      </c>
      <c r="D577" s="973">
        <f t="shared" si="1"/>
        <v>0</v>
      </c>
      <c r="E577" s="973" t="str">
        <f>IF(D577&lt;'PlayerGrades+'!$AA$21,"F-",IF(D577&lt;'PlayerGrades+'!$AA$20,"F",IF(D577&lt;'PlayerGrades+'!$AA$19,"F+",IF(D577&lt;'PlayerGrades+'!$AA$18,"E-",IF(D577&lt;'PlayerGrades+'!$AA$17,"E",IF(D577&lt;'PlayerGrades+'!$AA$16,"E+",IF(D577&lt;'PlayerGrades+'!$AA$15,"D-",IF(D577&lt;'PlayerGrades+'!$AA$14,"D",IF(D577&lt;'PlayerGrades+'!$AA$13,"D+",IF(D577&lt;'PlayerGrades+'!$AA$12,"C-",IF(D577&lt;'PlayerGrades+'!$AA$11,"C",IF(D577&lt;'PlayerGrades+'!$AA$10,"C+",IF(D577&lt;'PlayerGrades+'!$AA$9,"B-",IF(D577&lt;'PlayerGrades+'!$AA$8,"B",IF(D577&lt;'PlayerGrades+'!$AA$7,"B+",IF(D577&lt;'PlayerGrades+'!$AA$6,"A-",IF(D577&lt;'PlayerGrades+'!$AA$5,"A",IF(D577&lt;'PlayerGrades+'!$AA$4,"A+",IF(D577&lt;'PlayerGrades+'!$AA$3,"S-",IF(D577&lt;'PlayerGrades+'!$AA$2,"S","S+"))))))))))))))))))))</f>
        <v>F-</v>
      </c>
      <c r="F577" s="973">
        <f t="shared" si="2"/>
        <v>-0.2799377916</v>
      </c>
      <c r="G577" s="973" t="str">
        <f>IF(F577&lt;'PlayerGrades+'!$AB$21,"F-",IF(F577&lt;'PlayerGrades+'!$AB$20,"F",IF(F577&lt;'PlayerGrades+'!$AB$19,"F+",IF(F577&lt;'PlayerGrades+'!$AB$18,"E-",IF(F577&lt;'PlayerGrades+'!$AB$17,"E",IF(F577&lt;'PlayerGrades+'!$AB$16,"E+",IF(F577&lt;'PlayerGrades+'!$AB$15,"D-",IF(F577&lt;'PlayerGrades+'!$AB$14,"D",IF(F577&lt;'PlayerGrades+'!$AB$13,"D+",IF(F577&lt;'PlayerGrades+'!$AB$12,"C-",IF(F577&lt;'PlayerGrades+'!$AB$11,"C",IF(F577&lt;'PlayerGrades+'!$AB$10,"C+",IF(F577&lt;'PlayerGrades+'!$AB$9,"B-",IF(F577&lt;'PlayerGrades+'!$AB$8,"B",IF(F577&lt;'PlayerGrades+'!$AB$7,"B+",IF(F577&lt;'PlayerGrades+'!$AB$6,"A-",IF(F577&lt;'PlayerGrades+'!$AB$5,"A",IF(F577&lt;'PlayerGrades+'!$AB$4,"A+",IF(F577&lt;'PlayerGrades+'!$AB$3,"S-",IF(F577&lt;'PlayerGrades+'!$AB$2,"S","S+"))))))))))))))))))))</f>
        <v>C</v>
      </c>
      <c r="H577" s="973">
        <f t="shared" si="3"/>
        <v>0.1555209953</v>
      </c>
      <c r="I577" s="973" t="str">
        <f>IF(H577&lt;'PlayerGrades+'!$AC$21,"F-",IF(H577&lt;'PlayerGrades+'!$AC$20,"F",IF(H577&lt;'PlayerGrades+'!$AC$19,"F+",IF(H577&lt;'PlayerGrades+'!$AC$18,"E-",IF(H577&lt;'PlayerGrades+'!$AC$17,"E",IF(H577&lt;'PlayerGrades+'!$AC$16,"E+",IF(H577&lt;'PlayerGrades+'!$AC$15,"D-",IF(H577&lt;'PlayerGrades+'!$AC$14,"D",IF(H577&lt;'PlayerGrades+'!$AC$13,"D+",IF(H577&lt;'PlayerGrades+'!$AC$12,"C-",IF(H577&lt;'PlayerGrades+'!$AC$11,"C",IF(H577&lt;'PlayerGrades+'!$AC$10,"C+",IF(H577&lt;'PlayerGrades+'!$AC$9,"B-",IF(H577&lt;'PlayerGrades+'!$AC$8,"B",IF(H577&lt;'PlayerGrades+'!$AC$7,"B+",IF(H577&lt;'PlayerGrades+'!$AC$6,"A-",IF(H577&lt;'PlayerGrades+'!$AC$5,"A",IF(H577&lt;'PlayerGrades+'!$AC$4,"A+",IF(H577&lt;'PlayerGrades+'!$AC$3,"S-",IF(H577&lt;'PlayerGrades+'!$AC$2,"S","S+"))))))))))))))))))))</f>
        <v>A</v>
      </c>
      <c r="J577" s="973">
        <f t="shared" si="4"/>
        <v>0.06220839813</v>
      </c>
      <c r="K577" s="973" t="str">
        <f>IF(J577&lt;'PlayerGrades+'!$AD$21,"F-",IF(J577&lt;'PlayerGrades+'!$AD$20,"F",IF(J577&lt;'PlayerGrades+'!$AD$19,"F+",IF(J577&lt;'PlayerGrades+'!$AD$18,"E-",IF(J577&lt;'PlayerGrades+'!$AD$17,"E",IF(J577&lt;'PlayerGrades+'!$AD$16,"E+",IF(J577&lt;'PlayerGrades+'!$AD$15,"D-",IF(J577&lt;'PlayerGrades+'!$AD$14,"D",IF(J577&lt;'PlayerGrades+'!$AD$13,"D+",IF(J577&lt;'PlayerGrades+'!$AD$12,"C-",IF(J577&lt;'PlayerGrades+'!$AD$11,"C",IF(J577&lt;'PlayerGrades+'!$AD$10,"C+",IF(J577&lt;'PlayerGrades+'!$AD$9,"B-",IF(J577&lt;'PlayerGrades+'!$AD$8,"B",IF(J577&lt;'PlayerGrades+'!$AD$7,"B+",IF(J577&lt;'PlayerGrades+'!$AD$6,"A-",IF(J577&lt;'PlayerGrades+'!$AD$5,"A",IF(J577&lt;'PlayerGrades+'!$AD$4,"A+",IF(J577&lt;'PlayerGrades+'!$AD$3,"S-",IF(J577&lt;'PlayerGrades+'!$AD$2,"S","S+"))))))))))))))))))))</f>
        <v>A-</v>
      </c>
      <c r="L577" s="974">
        <f t="shared" si="5"/>
        <v>0.7465007776</v>
      </c>
      <c r="M577" s="975" t="str">
        <f>IF(L577&lt;'PlayerGrades+'!$AE$21,"F-",IF(L577&lt;'PlayerGrades+'!$AE$20,"F",IF(L577&lt;'PlayerGrades+'!$AE$19,"F+",IF(L577&lt;'PlayerGrades+'!$AE$18,"E-",IF(L577&lt;'PlayerGrades+'!$AE$17,"E",IF(L577&lt;'PlayerGrades+'!$AE$16,"E+",IF(L577&lt;'PlayerGrades+'!$AE$15,"D-",IF(L577&lt;'PlayerGrades+'!$AE$14,"D",IF(L577&lt;'PlayerGrades+'!$AE$13,"D+",IF(L577&lt;'PlayerGrades+'!$AE$12,"C-",IF(L577&lt;'PlayerGrades+'!$AE$11,"C",IF(L577&lt;'PlayerGrades+'!$AE$10,"C+",IF(L577&lt;'PlayerGrades+'!$AE$9,"B-",IF(L577&lt;'PlayerGrades+'!$AE$8,"B",IF(L577&lt;'PlayerGrades+'!$AE$7,"B+",IF(L577&lt;'PlayerGrades+'!$AE$6,"A-",IF(L577&lt;'PlayerGrades+'!$AE$5,"A",IF(L577&lt;'PlayerGrades+'!$AE$4,"A+",IF(L577&lt;'PlayerGrades+'!$AE$3,"S-",IF(L577&lt;'PlayerGrades+'!$AE$2,"S","S+"))))))))))))))))))))</f>
        <v>S+</v>
      </c>
      <c r="N577" s="973">
        <f t="shared" si="6"/>
        <v>0.1866251944</v>
      </c>
      <c r="O577" s="973" t="str">
        <f>IF(N577&lt;'PlayerGrades+'!$AF$21,"F-",IF(N577&lt;'PlayerGrades+'!$AF$20,"F",IF(N577&lt;'PlayerGrades+'!$AF$19,"F+",IF(N577&lt;'PlayerGrades+'!$AF$18,"E-",IF(N577&lt;'PlayerGrades+'!$AF$17,"E",IF(N577&lt;'PlayerGrades+'!$AF$16,"E+",IF(N577&lt;'PlayerGrades+'!$AF$15,"D-",IF(N577&lt;'PlayerGrades+'!$AF$14,"D",IF(N577&lt;'PlayerGrades+'!$AF$13,"D+",IF(N577&lt;'PlayerGrades+'!$AF$12,"C-",IF(N577&lt;'PlayerGrades+'!$AF$11,"C",IF(N577&lt;'PlayerGrades+'!$AF$10,"C+",IF(N577&lt;'PlayerGrades+'!$AF$9,"B-",IF(N577&lt;'PlayerGrades+'!$AF$8,"B",IF(N577&lt;'PlayerGrades+'!$AF$7,"B+",IF(N577&lt;'PlayerGrades+'!$AF$6,"A-",IF(N577&lt;'PlayerGrades+'!$AF$5,"A",IF(N577&lt;'PlayerGrades+'!$AF$4,"A+",IF(N577&lt;'PlayerGrades+'!$AF$3,"S-",IF(N577&lt;'PlayerGrades+'!$AF$2,"S","S+"))))))))))))))))))))</f>
        <v>S+</v>
      </c>
      <c r="P577" s="973">
        <f t="shared" si="7"/>
        <v>0.03110419907</v>
      </c>
      <c r="Q577" s="973" t="str">
        <f>IF(P577&lt;'PlayerGrades+'!$AG$21,"F-",IF(P577&lt;'PlayerGrades+'!$AG$20,"F",IF(P577&lt;'PlayerGrades+'!$AG$19,"F+",IF(P577&lt;'PlayerGrades+'!$AG$18,"E-",IF(P577&lt;'PlayerGrades+'!$AG$17,"E",IF(P577&lt;'PlayerGrades+'!$AG$16,"E+",IF(P577&lt;'PlayerGrades+'!$AG$15,"D-",IF(P577&lt;'PlayerGrades+'!$AG$14,"D",IF(P577&lt;'PlayerGrades+'!$AG$13,"D+",IF(P577&lt;'PlayerGrades+'!$AG$12,"C-",IF(P577&lt;'PlayerGrades+'!$AG$11,"C",IF(P577&lt;'PlayerGrades+'!$AG$10,"C+",IF(P577&lt;'PlayerGrades+'!$AG$9,"B-",IF(P577&lt;'PlayerGrades+'!$AG$8,"B",IF(P577&lt;'PlayerGrades+'!$AG$7,"B+",IF(P577&lt;'PlayerGrades+'!$AG$6,"A-",IF(P577&lt;'PlayerGrades+'!$AG$5,"A",IF(P577&lt;'PlayerGrades+'!$AG$4,"A+",IF(P577&lt;'PlayerGrades+'!$AG$3,"S-",IF(P577&lt;'PlayerGrades+'!$AG$2,"S","S+"))))))))))))))))))))</f>
        <v>B</v>
      </c>
      <c r="R577" s="973">
        <f t="shared" si="8"/>
        <v>0.6842923795</v>
      </c>
      <c r="S577" s="973" t="str">
        <f>IF(R577&lt;'PlayerGrades+'!$AH$21,"F-",IF(R577&lt;'PlayerGrades+'!$AH$20,"F",IF(R577&lt;'PlayerGrades+'!$AH$19,"F+",IF(R577&lt;'PlayerGrades+'!$AH$18,"E-",IF(R577&lt;'PlayerGrades+'!$AH$17,"E",IF(R577&lt;'PlayerGrades+'!$AH$16,"E+",IF(R577&lt;'PlayerGrades+'!$AH$15,"D-",IF(R577&lt;'PlayerGrades+'!$AH$14,"D",IF(R577&lt;'PlayerGrades+'!$AH$13,"D+",IF(R577&lt;'PlayerGrades+'!$AH$12,"C-",IF(R577&lt;'PlayerGrades+'!$AH$11,"C",IF(R577&lt;'PlayerGrades+'!$AH$10,"C+",IF(R577&lt;'PlayerGrades+'!$AH$9,"B-",IF(R577&lt;'PlayerGrades+'!$AH$8,"B",IF(R577&lt;'PlayerGrades+'!$AH$7,"B+",IF(R577&lt;'PlayerGrades+'!$AH$6,"A-",IF(R577&lt;'PlayerGrades+'!$AH$5,"A",IF(R577&lt;'PlayerGrades+'!$AH$4,"A+",IF(R577&lt;'PlayerGrades+'!$AH$3,"S-",IF(R577&lt;'PlayerGrades+'!$AH$2,"S","S+"))))))))))))))))))))</f>
        <v>S-</v>
      </c>
      <c r="T577" s="973">
        <f t="shared" si="9"/>
        <v>0.5287713841</v>
      </c>
      <c r="U577" s="973" t="str">
        <f>IF(T577&lt;'PlayerGrades+'!$AI$21,"F-",IF(T577&lt;'PlayerGrades+'!$AI$20,"F",IF(T577&lt;'PlayerGrades+'!$AI$19,"F+",IF(T577&lt;'PlayerGrades+'!$AI$18,"E-",IF(T577&lt;'PlayerGrades+'!$AI$17,"E",IF(T577&lt;'PlayerGrades+'!$AI$16,"E+",IF(T577&lt;'PlayerGrades+'!$AI$15,"D-",IF(T577&lt;'PlayerGrades+'!$AI$14,"D",IF(T577&lt;'PlayerGrades+'!$AI$13,"D+",IF(T577&lt;'PlayerGrades+'!$AI$12,"C-",IF(T577&lt;'PlayerGrades+'!$AI$11,"C",IF(T577&lt;'PlayerGrades+'!$AI$10,"C+",IF(T577&lt;'PlayerGrades+'!$AI$9,"B-",IF(T577&lt;'PlayerGrades+'!$AI$8,"B",IF(T577&lt;'PlayerGrades+'!$AI$7,"B+",IF(T577&lt;'PlayerGrades+'!$AI$6,"A-",IF(T577&lt;'PlayerGrades+'!$AI$5,"A",IF(T577&lt;'PlayerGrades+'!$AI$4,"A+",IF(T577&lt;'PlayerGrades+'!$AI$3,"S-",IF(T577&lt;'PlayerGrades+'!$AI$2,"S","S+"))))))))))))))))))))</f>
        <v>F-</v>
      </c>
      <c r="V577" s="986">
        <v>1.0</v>
      </c>
      <c r="W577" s="986">
        <v>0.0</v>
      </c>
      <c r="X577" s="986">
        <v>1.0</v>
      </c>
      <c r="Y577" s="986">
        <v>0.0</v>
      </c>
      <c r="Z577" s="986">
        <v>0.0</v>
      </c>
      <c r="AA577" s="986">
        <v>136.0</v>
      </c>
      <c r="AB577" s="986">
        <v>145.0</v>
      </c>
      <c r="AC577" s="986">
        <v>-9.0</v>
      </c>
      <c r="AD577" s="986">
        <v>11.0</v>
      </c>
      <c r="AE577" s="986">
        <v>5.0</v>
      </c>
      <c r="AF577" s="986">
        <v>2.0</v>
      </c>
      <c r="AG577" s="986">
        <v>1404.0</v>
      </c>
      <c r="AH577" s="986">
        <v>1929.0</v>
      </c>
      <c r="AI577" s="986">
        <v>9.0</v>
      </c>
      <c r="AJ577" s="986">
        <v>9.0</v>
      </c>
      <c r="AK577" s="986">
        <v>0.0</v>
      </c>
      <c r="AL577" s="986">
        <v>2.0</v>
      </c>
      <c r="AM577" s="986">
        <v>0.0</v>
      </c>
      <c r="AN577" s="986">
        <v>0.0</v>
      </c>
      <c r="AO577" s="986">
        <v>0.0</v>
      </c>
      <c r="AP577" s="986">
        <v>1.0</v>
      </c>
      <c r="AQ577" s="986">
        <v>0.0</v>
      </c>
      <c r="AR577" s="986">
        <v>24.0</v>
      </c>
      <c r="AS577" s="986">
        <v>6.0</v>
      </c>
      <c r="AT577" s="986">
        <v>1.0</v>
      </c>
      <c r="AU577" s="986">
        <v>0.0</v>
      </c>
      <c r="AV577" s="986">
        <v>0.0</v>
      </c>
      <c r="AW577" s="986">
        <v>0.0</v>
      </c>
      <c r="AX577" s="986">
        <v>0.0</v>
      </c>
      <c r="AY577" s="986">
        <v>0.0</v>
      </c>
      <c r="AZ577" s="986">
        <v>0.0</v>
      </c>
      <c r="BA577" s="986">
        <v>0.0</v>
      </c>
      <c r="BB577" s="986">
        <v>5.0</v>
      </c>
      <c r="BC577" s="986">
        <v>0.0</v>
      </c>
      <c r="BD577" s="986">
        <v>11.0</v>
      </c>
      <c r="BE577" s="986">
        <v>17.0</v>
      </c>
      <c r="BF577" s="986">
        <v>0.0</v>
      </c>
      <c r="BG577" s="990">
        <v>0.0</v>
      </c>
    </row>
    <row r="578">
      <c r="A578" s="1" t="s">
        <v>114</v>
      </c>
      <c r="B578" s="421" t="str">
        <f>IF(C578&lt;'PlayerGrades+'!$Y$44,"F-",IF(C578&lt;'PlayerGrades+'!$Y$43,"F",IF(C578&lt;'PlayerGrades+'!$Y$42,"F+",IF(C578&lt;'PlayerGrades+'!$Y$41,"E-",IF(C578&lt;'PlayerGrades+'!$Y$40,"E",IF(C578&lt;'PlayerGrades+'!$Y$39,"E+",IF(C578&lt;'PlayerGrades+'!$Y$38,"D-",IF(C578&lt;'PlayerGrades+'!$Y$37,"D",IF(C578&lt;'PlayerGrades+'!$Y$36,"D+",IF(C578&lt;'PlayerGrades+'!$Y$35,"C-",IF(C578&lt;'PlayerGrades+'!$Y$34,"C",IF(C578&lt;'PlayerGrades+'!$Y$33,"C+",IF(C578&lt;'PlayerGrades+'!$Y$32,"B-",IF(C578&lt;'PlayerGrades+'!$Y$31,"B",IF(C578&lt;'PlayerGrades+'!$Y$30,"B+",IF(C578&lt;'PlayerGrades+'!$Y$29,"A-",IF(C578&lt;'PlayerGrades+'!$Y$28,"A",IF(C578&lt;'PlayerGrades+'!$Y$27,"A+",IF(C578&lt;'PlayerGrades+'!$Y$26,"S-",IF(C578&lt;'PlayerGrades+'!$Y$25,"S","S+"))))))))))))))))))))</f>
        <v>E</v>
      </c>
      <c r="C578" s="972">
        <f>('PlayerGrades+'!$Y$47*(VLOOKUP(E578, 'PlayerGrades+'!$X$3:$Y$23, 2, FALSE)))+('PlayerGrades+'!$Y$48*(VLOOKUP(G578, 'PlayerGrades+'!$X$3:$Y$23, 2, FALSE)))+('PlayerGrades+'!$Y$49*(VLOOKUP(I578, 'PlayerGrades+'!$X$3:$Y$23, 2, FALSE)))+('PlayerGrades+'!$Y$50*(VLOOKUP(K578, 'PlayerGrades+'!$X$3:$Y$23, 2, FALSE)))+('PlayerGrades+'!$Y$51*(VLOOKUP(M578, 'PlayerGrades+'!$X$3:$Y$23, 2, FALSE)))+('PlayerGrades+'!$Y$52*(VLOOKUP(O578, 'PlayerGrades+'!$X$3:$Y$23, 2, FALSE)))+('PlayerGrades+'!$Y$53*(VLOOKUP(Q578, 'PlayerGrades+'!$X$3:$Y$23, 2, FALSE)))+('PlayerGrades+'!$Y$54*(VLOOKUP(S578, 'PlayerGrades+'!$X$3:$Y$23, 2, FALSE)))+('PlayerGrades+'!$Y$55*(VLOOKUP(U578, 'PlayerGrades+'!$X$3:$Y$23, 2, FALSE)))</f>
        <v>12.7</v>
      </c>
      <c r="D578" s="973">
        <f t="shared" si="1"/>
        <v>0.7206068268</v>
      </c>
      <c r="E578" s="973" t="str">
        <f>IF(D578&lt;'PlayerGrades+'!$AA$21,"F-",IF(D578&lt;'PlayerGrades+'!$AA$20,"F",IF(D578&lt;'PlayerGrades+'!$AA$19,"F+",IF(D578&lt;'PlayerGrades+'!$AA$18,"E-",IF(D578&lt;'PlayerGrades+'!$AA$17,"E",IF(D578&lt;'PlayerGrades+'!$AA$16,"E+",IF(D578&lt;'PlayerGrades+'!$AA$15,"D-",IF(D578&lt;'PlayerGrades+'!$AA$14,"D",IF(D578&lt;'PlayerGrades+'!$AA$13,"D+",IF(D578&lt;'PlayerGrades+'!$AA$12,"C-",IF(D578&lt;'PlayerGrades+'!$AA$11,"C",IF(D578&lt;'PlayerGrades+'!$AA$10,"C+",IF(D578&lt;'PlayerGrades+'!$AA$9,"B-",IF(D578&lt;'PlayerGrades+'!$AA$8,"B",IF(D578&lt;'PlayerGrades+'!$AA$7,"B+",IF(D578&lt;'PlayerGrades+'!$AA$6,"A-",IF(D578&lt;'PlayerGrades+'!$AA$5,"A",IF(D578&lt;'PlayerGrades+'!$AA$4,"A+",IF(D578&lt;'PlayerGrades+'!$AA$3,"S-",IF(D578&lt;'PlayerGrades+'!$AA$2,"S","S+"))))))))))))))))))))</f>
        <v>S</v>
      </c>
      <c r="F578" s="973">
        <f t="shared" si="2"/>
        <v>0.03792667509</v>
      </c>
      <c r="G578" s="973" t="str">
        <f>IF(F578&lt;'PlayerGrades+'!$AB$21,"F-",IF(F578&lt;'PlayerGrades+'!$AB$20,"F",IF(F578&lt;'PlayerGrades+'!$AB$19,"F+",IF(F578&lt;'PlayerGrades+'!$AB$18,"E-",IF(F578&lt;'PlayerGrades+'!$AB$17,"E",IF(F578&lt;'PlayerGrades+'!$AB$16,"E+",IF(F578&lt;'PlayerGrades+'!$AB$15,"D-",IF(F578&lt;'PlayerGrades+'!$AB$14,"D",IF(F578&lt;'PlayerGrades+'!$AB$13,"D+",IF(F578&lt;'PlayerGrades+'!$AB$12,"C-",IF(F578&lt;'PlayerGrades+'!$AB$11,"C",IF(F578&lt;'PlayerGrades+'!$AB$10,"C+",IF(F578&lt;'PlayerGrades+'!$AB$9,"B-",IF(F578&lt;'PlayerGrades+'!$AB$8,"B",IF(F578&lt;'PlayerGrades+'!$AB$7,"B+",IF(F578&lt;'PlayerGrades+'!$AB$6,"A-",IF(F578&lt;'PlayerGrades+'!$AB$5,"A",IF(F578&lt;'PlayerGrades+'!$AB$4,"A+",IF(F578&lt;'PlayerGrades+'!$AB$3,"S-",IF(F578&lt;'PlayerGrades+'!$AB$2,"S","S+"))))))))))))))))))))</f>
        <v>B</v>
      </c>
      <c r="H578" s="973">
        <f t="shared" si="3"/>
        <v>0.03792667509</v>
      </c>
      <c r="I578" s="973" t="str">
        <f>IF(H578&lt;'PlayerGrades+'!$AC$21,"F-",IF(H578&lt;'PlayerGrades+'!$AC$20,"F",IF(H578&lt;'PlayerGrades+'!$AC$19,"F+",IF(H578&lt;'PlayerGrades+'!$AC$18,"E-",IF(H578&lt;'PlayerGrades+'!$AC$17,"E",IF(H578&lt;'PlayerGrades+'!$AC$16,"E+",IF(H578&lt;'PlayerGrades+'!$AC$15,"D-",IF(H578&lt;'PlayerGrades+'!$AC$14,"D",IF(H578&lt;'PlayerGrades+'!$AC$13,"D+",IF(H578&lt;'PlayerGrades+'!$AC$12,"C-",IF(H578&lt;'PlayerGrades+'!$AC$11,"C",IF(H578&lt;'PlayerGrades+'!$AC$10,"C+",IF(H578&lt;'PlayerGrades+'!$AC$9,"B-",IF(H578&lt;'PlayerGrades+'!$AC$8,"B",IF(H578&lt;'PlayerGrades+'!$AC$7,"B+",IF(H578&lt;'PlayerGrades+'!$AC$6,"A-",IF(H578&lt;'PlayerGrades+'!$AC$5,"A",IF(H578&lt;'PlayerGrades+'!$AC$4,"A+",IF(H578&lt;'PlayerGrades+'!$AC$3,"S-",IF(H578&lt;'PlayerGrades+'!$AC$2,"S","S+"))))))))))))))))))))</f>
        <v>F</v>
      </c>
      <c r="J578" s="973">
        <f t="shared" si="4"/>
        <v>0.07585335019</v>
      </c>
      <c r="K578" s="973" t="str">
        <f>IF(J578&lt;'PlayerGrades+'!$AD$21,"F-",IF(J578&lt;'PlayerGrades+'!$AD$20,"F",IF(J578&lt;'PlayerGrades+'!$AD$19,"F+",IF(J578&lt;'PlayerGrades+'!$AD$18,"E-",IF(J578&lt;'PlayerGrades+'!$AD$17,"E",IF(J578&lt;'PlayerGrades+'!$AD$16,"E+",IF(J578&lt;'PlayerGrades+'!$AD$15,"D-",IF(J578&lt;'PlayerGrades+'!$AD$14,"D",IF(J578&lt;'PlayerGrades+'!$AD$13,"D+",IF(J578&lt;'PlayerGrades+'!$AD$12,"C-",IF(J578&lt;'PlayerGrades+'!$AD$11,"C",IF(J578&lt;'PlayerGrades+'!$AD$10,"C+",IF(J578&lt;'PlayerGrades+'!$AD$9,"B-",IF(J578&lt;'PlayerGrades+'!$AD$8,"B",IF(J578&lt;'PlayerGrades+'!$AD$7,"B+",IF(J578&lt;'PlayerGrades+'!$AD$6,"A-",IF(J578&lt;'PlayerGrades+'!$AD$5,"A",IF(J578&lt;'PlayerGrades+'!$AD$4,"A+",IF(J578&lt;'PlayerGrades+'!$AD$3,"S-",IF(J578&lt;'PlayerGrades+'!$AD$2,"S","S+"))))))))))))))))))))</f>
        <v>A+</v>
      </c>
      <c r="L578" s="974">
        <f t="shared" si="5"/>
        <v>0.1517067004</v>
      </c>
      <c r="M578" s="975" t="str">
        <f>IF(L578&lt;'PlayerGrades+'!$AE$21,"F-",IF(L578&lt;'PlayerGrades+'!$AE$20,"F",IF(L578&lt;'PlayerGrades+'!$AE$19,"F+",IF(L578&lt;'PlayerGrades+'!$AE$18,"E-",IF(L578&lt;'PlayerGrades+'!$AE$17,"E",IF(L578&lt;'PlayerGrades+'!$AE$16,"E+",IF(L578&lt;'PlayerGrades+'!$AE$15,"D-",IF(L578&lt;'PlayerGrades+'!$AE$14,"D",IF(L578&lt;'PlayerGrades+'!$AE$13,"D+",IF(L578&lt;'PlayerGrades+'!$AE$12,"C-",IF(L578&lt;'PlayerGrades+'!$AE$11,"C",IF(L578&lt;'PlayerGrades+'!$AE$10,"C+",IF(L578&lt;'PlayerGrades+'!$AE$9,"B-",IF(L578&lt;'PlayerGrades+'!$AE$8,"B",IF(L578&lt;'PlayerGrades+'!$AE$7,"B+",IF(L578&lt;'PlayerGrades+'!$AE$6,"A-",IF(L578&lt;'PlayerGrades+'!$AE$5,"A",IF(L578&lt;'PlayerGrades+'!$AE$4,"A+",IF(L578&lt;'PlayerGrades+'!$AE$3,"S-",IF(L578&lt;'PlayerGrades+'!$AE$2,"S","S+"))))))))))))))))))))</f>
        <v>F-</v>
      </c>
      <c r="N578" s="973">
        <f t="shared" si="6"/>
        <v>0</v>
      </c>
      <c r="O578" s="973" t="str">
        <f>IF(N578&lt;'PlayerGrades+'!$AF$21,"F-",IF(N578&lt;'PlayerGrades+'!$AF$20,"F",IF(N578&lt;'PlayerGrades+'!$AF$19,"F+",IF(N578&lt;'PlayerGrades+'!$AF$18,"E-",IF(N578&lt;'PlayerGrades+'!$AF$17,"E",IF(N578&lt;'PlayerGrades+'!$AF$16,"E+",IF(N578&lt;'PlayerGrades+'!$AF$15,"D-",IF(N578&lt;'PlayerGrades+'!$AF$14,"D",IF(N578&lt;'PlayerGrades+'!$AF$13,"D+",IF(N578&lt;'PlayerGrades+'!$AF$12,"C-",IF(N578&lt;'PlayerGrades+'!$AF$11,"C",IF(N578&lt;'PlayerGrades+'!$AF$10,"C+",IF(N578&lt;'PlayerGrades+'!$AF$9,"B-",IF(N578&lt;'PlayerGrades+'!$AF$8,"B",IF(N578&lt;'PlayerGrades+'!$AF$7,"B+",IF(N578&lt;'PlayerGrades+'!$AF$6,"A-",IF(N578&lt;'PlayerGrades+'!$AF$5,"A",IF(N578&lt;'PlayerGrades+'!$AF$4,"A+",IF(N578&lt;'PlayerGrades+'!$AF$3,"S-",IF(N578&lt;'PlayerGrades+'!$AF$2,"S","S+"))))))))))))))))))))</f>
        <v>F-</v>
      </c>
      <c r="P578" s="973">
        <f t="shared" si="7"/>
        <v>0</v>
      </c>
      <c r="Q578" s="973" t="str">
        <f>IF(P578&lt;'PlayerGrades+'!$AG$21,"F-",IF(P578&lt;'PlayerGrades+'!$AG$20,"F",IF(P578&lt;'PlayerGrades+'!$AG$19,"F+",IF(P578&lt;'PlayerGrades+'!$AG$18,"E-",IF(P578&lt;'PlayerGrades+'!$AG$17,"E",IF(P578&lt;'PlayerGrades+'!$AG$16,"E+",IF(P578&lt;'PlayerGrades+'!$AG$15,"D-",IF(P578&lt;'PlayerGrades+'!$AG$14,"D",IF(P578&lt;'PlayerGrades+'!$AG$13,"D+",IF(P578&lt;'PlayerGrades+'!$AG$12,"C-",IF(P578&lt;'PlayerGrades+'!$AG$11,"C",IF(P578&lt;'PlayerGrades+'!$AG$10,"C+",IF(P578&lt;'PlayerGrades+'!$AG$9,"B-",IF(P578&lt;'PlayerGrades+'!$AG$8,"B",IF(P578&lt;'PlayerGrades+'!$AG$7,"B+",IF(P578&lt;'PlayerGrades+'!$AG$6,"A-",IF(P578&lt;'PlayerGrades+'!$AG$5,"A",IF(P578&lt;'PlayerGrades+'!$AG$4,"A+",IF(P578&lt;'PlayerGrades+'!$AG$3,"S-",IF(P578&lt;'PlayerGrades+'!$AG$2,"S","S+"))))))))))))))))))))</f>
        <v>F</v>
      </c>
      <c r="R578" s="973">
        <f t="shared" si="8"/>
        <v>0.3792667509</v>
      </c>
      <c r="S578" s="973" t="str">
        <f>IF(R578&lt;'PlayerGrades+'!$AH$21,"F-",IF(R578&lt;'PlayerGrades+'!$AH$20,"F",IF(R578&lt;'PlayerGrades+'!$AH$19,"F+",IF(R578&lt;'PlayerGrades+'!$AH$18,"E-",IF(R578&lt;'PlayerGrades+'!$AH$17,"E",IF(R578&lt;'PlayerGrades+'!$AH$16,"E+",IF(R578&lt;'PlayerGrades+'!$AH$15,"D-",IF(R578&lt;'PlayerGrades+'!$AH$14,"D",IF(R578&lt;'PlayerGrades+'!$AH$13,"D+",IF(R578&lt;'PlayerGrades+'!$AH$12,"C-",IF(R578&lt;'PlayerGrades+'!$AH$11,"C",IF(R578&lt;'PlayerGrades+'!$AH$10,"C+",IF(R578&lt;'PlayerGrades+'!$AH$9,"B-",IF(R578&lt;'PlayerGrades+'!$AH$8,"B",IF(R578&lt;'PlayerGrades+'!$AH$7,"B+",IF(R578&lt;'PlayerGrades+'!$AH$6,"A-",IF(R578&lt;'PlayerGrades+'!$AH$5,"A",IF(R578&lt;'PlayerGrades+'!$AH$4,"A+",IF(R578&lt;'PlayerGrades+'!$AH$3,"S-",IF(R578&lt;'PlayerGrades+'!$AH$2,"S","S+"))))))))))))))))))))</f>
        <v>F</v>
      </c>
      <c r="T578" s="973">
        <f t="shared" si="9"/>
        <v>0.1517067004</v>
      </c>
      <c r="U578" s="973" t="str">
        <f>IF(T578&lt;'PlayerGrades+'!$AI$21,"F-",IF(T578&lt;'PlayerGrades+'!$AI$20,"F",IF(T578&lt;'PlayerGrades+'!$AI$19,"F+",IF(T578&lt;'PlayerGrades+'!$AI$18,"E-",IF(T578&lt;'PlayerGrades+'!$AI$17,"E",IF(T578&lt;'PlayerGrades+'!$AI$16,"E+",IF(T578&lt;'PlayerGrades+'!$AI$15,"D-",IF(T578&lt;'PlayerGrades+'!$AI$14,"D",IF(T578&lt;'PlayerGrades+'!$AI$13,"D+",IF(T578&lt;'PlayerGrades+'!$AI$12,"C-",IF(T578&lt;'PlayerGrades+'!$AI$11,"C",IF(T578&lt;'PlayerGrades+'!$AI$10,"C+",IF(T578&lt;'PlayerGrades+'!$AI$9,"B-",IF(T578&lt;'PlayerGrades+'!$AI$8,"B",IF(T578&lt;'PlayerGrades+'!$AI$7,"B+",IF(T578&lt;'PlayerGrades+'!$AI$6,"A-",IF(T578&lt;'PlayerGrades+'!$AI$5,"A",IF(T578&lt;'PlayerGrades+'!$AI$4,"A+",IF(T578&lt;'PlayerGrades+'!$AI$3,"S-",IF(T578&lt;'PlayerGrades+'!$AI$2,"S","S+"))))))))))))))))))))</f>
        <v>F-</v>
      </c>
      <c r="V578" s="941">
        <v>1.0</v>
      </c>
      <c r="W578" s="941">
        <v>1.0</v>
      </c>
      <c r="X578" s="941">
        <v>0.0</v>
      </c>
      <c r="Y578" s="941">
        <v>5.0</v>
      </c>
      <c r="Z578" s="941">
        <v>14.0</v>
      </c>
      <c r="AA578" s="941">
        <v>52.0</v>
      </c>
      <c r="AB578" s="941">
        <v>51.0</v>
      </c>
      <c r="AC578" s="941">
        <v>1.0</v>
      </c>
      <c r="AD578" s="941">
        <v>2.0</v>
      </c>
      <c r="AE578" s="941">
        <v>7.0</v>
      </c>
      <c r="AF578" s="941">
        <v>2.0</v>
      </c>
      <c r="AG578" s="941">
        <v>1320.0</v>
      </c>
      <c r="AH578" s="941">
        <v>1582.0</v>
      </c>
      <c r="AI578" s="941">
        <v>25.0</v>
      </c>
      <c r="AJ578" s="941">
        <v>619.0</v>
      </c>
      <c r="AK578" s="941">
        <v>0.0</v>
      </c>
      <c r="AL578" s="941">
        <v>2.0</v>
      </c>
      <c r="AM578" s="941">
        <v>0.0</v>
      </c>
      <c r="AN578" s="941">
        <v>0.0</v>
      </c>
      <c r="AO578" s="941">
        <v>0.0</v>
      </c>
      <c r="AP578" s="941">
        <v>0.0</v>
      </c>
      <c r="AQ578" s="941">
        <v>0.0</v>
      </c>
      <c r="AR578" s="941">
        <v>4.0</v>
      </c>
      <c r="AS578" s="941">
        <v>0.0</v>
      </c>
      <c r="AT578" s="941">
        <v>0.0</v>
      </c>
      <c r="AU578" s="941">
        <v>0.0</v>
      </c>
      <c r="AV578" s="941">
        <v>0.0</v>
      </c>
      <c r="AW578" s="941">
        <v>0.0</v>
      </c>
      <c r="AX578" s="941">
        <v>0.0</v>
      </c>
      <c r="AY578" s="941">
        <v>0.0</v>
      </c>
      <c r="AZ578" s="941">
        <v>0.0</v>
      </c>
      <c r="BA578" s="941">
        <v>0.0</v>
      </c>
      <c r="BB578" s="941">
        <v>1.0</v>
      </c>
      <c r="BC578" s="941">
        <v>1.0</v>
      </c>
      <c r="BD578" s="941">
        <v>8.0</v>
      </c>
      <c r="BE578" s="941">
        <v>4.0</v>
      </c>
      <c r="BF578" s="941">
        <v>0.0</v>
      </c>
      <c r="BG578" s="941">
        <v>0.0</v>
      </c>
    </row>
    <row r="579">
      <c r="A579" s="1" t="s">
        <v>136</v>
      </c>
      <c r="B579" s="421" t="str">
        <f>IF(C579&lt;'PlayerGrades+'!$Y$44,"F-",IF(C579&lt;'PlayerGrades+'!$Y$43,"F",IF(C579&lt;'PlayerGrades+'!$Y$42,"F+",IF(C579&lt;'PlayerGrades+'!$Y$41,"E-",IF(C579&lt;'PlayerGrades+'!$Y$40,"E",IF(C579&lt;'PlayerGrades+'!$Y$39,"E+",IF(C579&lt;'PlayerGrades+'!$Y$38,"D-",IF(C579&lt;'PlayerGrades+'!$Y$37,"D",IF(C579&lt;'PlayerGrades+'!$Y$36,"D+",IF(C579&lt;'PlayerGrades+'!$Y$35,"C-",IF(C579&lt;'PlayerGrades+'!$Y$34,"C",IF(C579&lt;'PlayerGrades+'!$Y$33,"C+",IF(C579&lt;'PlayerGrades+'!$Y$32,"B-",IF(C579&lt;'PlayerGrades+'!$Y$31,"B",IF(C579&lt;'PlayerGrades+'!$Y$30,"B+",IF(C579&lt;'PlayerGrades+'!$Y$29,"A-",IF(C579&lt;'PlayerGrades+'!$Y$28,"A",IF(C579&lt;'PlayerGrades+'!$Y$27,"A+",IF(C579&lt;'PlayerGrades+'!$Y$26,"S-",IF(C579&lt;'PlayerGrades+'!$Y$25,"S","S+"))))))))))))))))))))</f>
        <v>D</v>
      </c>
      <c r="C579" s="972">
        <f>('PlayerGrades+'!$Y$47*(VLOOKUP(E579, 'PlayerGrades+'!$X$3:$Y$23, 2, FALSE)))+('PlayerGrades+'!$Y$48*(VLOOKUP(G579, 'PlayerGrades+'!$X$3:$Y$23, 2, FALSE)))+('PlayerGrades+'!$Y$49*(VLOOKUP(I579, 'PlayerGrades+'!$X$3:$Y$23, 2, FALSE)))+('PlayerGrades+'!$Y$50*(VLOOKUP(K579, 'PlayerGrades+'!$X$3:$Y$23, 2, FALSE)))+('PlayerGrades+'!$Y$51*(VLOOKUP(M579, 'PlayerGrades+'!$X$3:$Y$23, 2, FALSE)))+('PlayerGrades+'!$Y$52*(VLOOKUP(O579, 'PlayerGrades+'!$X$3:$Y$23, 2, FALSE)))+('PlayerGrades+'!$Y$53*(VLOOKUP(Q579, 'PlayerGrades+'!$X$3:$Y$23, 2, FALSE)))+('PlayerGrades+'!$Y$54*(VLOOKUP(S579, 'PlayerGrades+'!$X$3:$Y$23, 2, FALSE)))+('PlayerGrades+'!$Y$55*(VLOOKUP(U579, 'PlayerGrades+'!$X$3:$Y$23, 2, FALSE)))</f>
        <v>16.3</v>
      </c>
      <c r="D579" s="973">
        <f t="shared" si="1"/>
        <v>0</v>
      </c>
      <c r="E579" s="973" t="str">
        <f>IF(D579&lt;'PlayerGrades+'!$AA$21,"F-",IF(D579&lt;'PlayerGrades+'!$AA$20,"F",IF(D579&lt;'PlayerGrades+'!$AA$19,"F+",IF(D579&lt;'PlayerGrades+'!$AA$18,"E-",IF(D579&lt;'PlayerGrades+'!$AA$17,"E",IF(D579&lt;'PlayerGrades+'!$AA$16,"E+",IF(D579&lt;'PlayerGrades+'!$AA$15,"D-",IF(D579&lt;'PlayerGrades+'!$AA$14,"D",IF(D579&lt;'PlayerGrades+'!$AA$13,"D+",IF(D579&lt;'PlayerGrades+'!$AA$12,"C-",IF(D579&lt;'PlayerGrades+'!$AA$11,"C",IF(D579&lt;'PlayerGrades+'!$AA$10,"C+",IF(D579&lt;'PlayerGrades+'!$AA$9,"B-",IF(D579&lt;'PlayerGrades+'!$AA$8,"B",IF(D579&lt;'PlayerGrades+'!$AA$7,"B+",IF(D579&lt;'PlayerGrades+'!$AA$6,"A-",IF(D579&lt;'PlayerGrades+'!$AA$5,"A",IF(D579&lt;'PlayerGrades+'!$AA$4,"A+",IF(D579&lt;'PlayerGrades+'!$AA$3,"S-",IF(D579&lt;'PlayerGrades+'!$AA$2,"S","S+"))))))))))))))))))))</f>
        <v>F-</v>
      </c>
      <c r="F579" s="973">
        <f t="shared" si="2"/>
        <v>-0.7206068268</v>
      </c>
      <c r="G579" s="973" t="str">
        <f>IF(F579&lt;'PlayerGrades+'!$AB$21,"F-",IF(F579&lt;'PlayerGrades+'!$AB$20,"F",IF(F579&lt;'PlayerGrades+'!$AB$19,"F+",IF(F579&lt;'PlayerGrades+'!$AB$18,"E-",IF(F579&lt;'PlayerGrades+'!$AB$17,"E",IF(F579&lt;'PlayerGrades+'!$AB$16,"E+",IF(F579&lt;'PlayerGrades+'!$AB$15,"D-",IF(F579&lt;'PlayerGrades+'!$AB$14,"D",IF(F579&lt;'PlayerGrades+'!$AB$13,"D+",IF(F579&lt;'PlayerGrades+'!$AB$12,"C-",IF(F579&lt;'PlayerGrades+'!$AB$11,"C",IF(F579&lt;'PlayerGrades+'!$AB$10,"C+",IF(F579&lt;'PlayerGrades+'!$AB$9,"B-",IF(F579&lt;'PlayerGrades+'!$AB$8,"B",IF(F579&lt;'PlayerGrades+'!$AB$7,"B+",IF(F579&lt;'PlayerGrades+'!$AB$6,"A-",IF(F579&lt;'PlayerGrades+'!$AB$5,"A",IF(F579&lt;'PlayerGrades+'!$AB$4,"A+",IF(F579&lt;'PlayerGrades+'!$AB$3,"S-",IF(F579&lt;'PlayerGrades+'!$AB$2,"S","S+"))))))))))))))))))))</f>
        <v>E+</v>
      </c>
      <c r="H579" s="973">
        <f t="shared" si="3"/>
        <v>0.1517067004</v>
      </c>
      <c r="I579" s="973" t="str">
        <f>IF(H579&lt;'PlayerGrades+'!$AC$21,"F-",IF(H579&lt;'PlayerGrades+'!$AC$20,"F",IF(H579&lt;'PlayerGrades+'!$AC$19,"F+",IF(H579&lt;'PlayerGrades+'!$AC$18,"E-",IF(H579&lt;'PlayerGrades+'!$AC$17,"E",IF(H579&lt;'PlayerGrades+'!$AC$16,"E+",IF(H579&lt;'PlayerGrades+'!$AC$15,"D-",IF(H579&lt;'PlayerGrades+'!$AC$14,"D",IF(H579&lt;'PlayerGrades+'!$AC$13,"D+",IF(H579&lt;'PlayerGrades+'!$AC$12,"C-",IF(H579&lt;'PlayerGrades+'!$AC$11,"C",IF(H579&lt;'PlayerGrades+'!$AC$10,"C+",IF(H579&lt;'PlayerGrades+'!$AC$9,"B-",IF(H579&lt;'PlayerGrades+'!$AC$8,"B",IF(H579&lt;'PlayerGrades+'!$AC$7,"B+",IF(H579&lt;'PlayerGrades+'!$AC$6,"A-",IF(H579&lt;'PlayerGrades+'!$AC$5,"A",IF(H579&lt;'PlayerGrades+'!$AC$4,"A+",IF(H579&lt;'PlayerGrades+'!$AC$3,"S-",IF(H579&lt;'PlayerGrades+'!$AC$2,"S","S+"))))))))))))))))))))</f>
        <v>A</v>
      </c>
      <c r="J579" s="973">
        <f t="shared" si="4"/>
        <v>0.03792667509</v>
      </c>
      <c r="K579" s="973" t="str">
        <f>IF(J579&lt;'PlayerGrades+'!$AD$21,"F-",IF(J579&lt;'PlayerGrades+'!$AD$20,"F",IF(J579&lt;'PlayerGrades+'!$AD$19,"F+",IF(J579&lt;'PlayerGrades+'!$AD$18,"E-",IF(J579&lt;'PlayerGrades+'!$AD$17,"E",IF(J579&lt;'PlayerGrades+'!$AD$16,"E+",IF(J579&lt;'PlayerGrades+'!$AD$15,"D-",IF(J579&lt;'PlayerGrades+'!$AD$14,"D",IF(J579&lt;'PlayerGrades+'!$AD$13,"D+",IF(J579&lt;'PlayerGrades+'!$AD$12,"C-",IF(J579&lt;'PlayerGrades+'!$AD$11,"C",IF(J579&lt;'PlayerGrades+'!$AD$10,"C+",IF(J579&lt;'PlayerGrades+'!$AD$9,"B-",IF(J579&lt;'PlayerGrades+'!$AD$8,"B",IF(J579&lt;'PlayerGrades+'!$AD$7,"B+",IF(J579&lt;'PlayerGrades+'!$AD$6,"A-",IF(J579&lt;'PlayerGrades+'!$AD$5,"A",IF(J579&lt;'PlayerGrades+'!$AD$4,"A+",IF(J579&lt;'PlayerGrades+'!$AD$3,"S-",IF(J579&lt;'PlayerGrades+'!$AD$2,"S","S+"))))))))))))))))))))</f>
        <v>C</v>
      </c>
      <c r="L579" s="974">
        <f t="shared" si="5"/>
        <v>0.4551201011</v>
      </c>
      <c r="M579" s="975" t="str">
        <f>IF(L579&lt;'PlayerGrades+'!$AE$21,"F-",IF(L579&lt;'PlayerGrades+'!$AE$20,"F",IF(L579&lt;'PlayerGrades+'!$AE$19,"F+",IF(L579&lt;'PlayerGrades+'!$AE$18,"E-",IF(L579&lt;'PlayerGrades+'!$AE$17,"E",IF(L579&lt;'PlayerGrades+'!$AE$16,"E+",IF(L579&lt;'PlayerGrades+'!$AE$15,"D-",IF(L579&lt;'PlayerGrades+'!$AE$14,"D",IF(L579&lt;'PlayerGrades+'!$AE$13,"D+",IF(L579&lt;'PlayerGrades+'!$AE$12,"C-",IF(L579&lt;'PlayerGrades+'!$AE$11,"C",IF(L579&lt;'PlayerGrades+'!$AE$10,"C+",IF(L579&lt;'PlayerGrades+'!$AE$9,"B-",IF(L579&lt;'PlayerGrades+'!$AE$8,"B",IF(L579&lt;'PlayerGrades+'!$AE$7,"B+",IF(L579&lt;'PlayerGrades+'!$AE$6,"A-",IF(L579&lt;'PlayerGrades+'!$AE$5,"A",IF(L579&lt;'PlayerGrades+'!$AE$4,"A+",IF(L579&lt;'PlayerGrades+'!$AE$3,"S-",IF(L579&lt;'PlayerGrades+'!$AE$2,"S","S+"))))))))))))))))))))</f>
        <v>B+</v>
      </c>
      <c r="N579" s="973">
        <f t="shared" si="6"/>
        <v>0.03792667509</v>
      </c>
      <c r="O579" s="973" t="str">
        <f>IF(N579&lt;'PlayerGrades+'!$AF$21,"F-",IF(N579&lt;'PlayerGrades+'!$AF$20,"F",IF(N579&lt;'PlayerGrades+'!$AF$19,"F+",IF(N579&lt;'PlayerGrades+'!$AF$18,"E-",IF(N579&lt;'PlayerGrades+'!$AF$17,"E",IF(N579&lt;'PlayerGrades+'!$AF$16,"E+",IF(N579&lt;'PlayerGrades+'!$AF$15,"D-",IF(N579&lt;'PlayerGrades+'!$AF$14,"D",IF(N579&lt;'PlayerGrades+'!$AF$13,"D+",IF(N579&lt;'PlayerGrades+'!$AF$12,"C-",IF(N579&lt;'PlayerGrades+'!$AF$11,"C",IF(N579&lt;'PlayerGrades+'!$AF$10,"C+",IF(N579&lt;'PlayerGrades+'!$AF$9,"B-",IF(N579&lt;'PlayerGrades+'!$AF$8,"B",IF(N579&lt;'PlayerGrades+'!$AF$7,"B+",IF(N579&lt;'PlayerGrades+'!$AF$6,"A-",IF(N579&lt;'PlayerGrades+'!$AF$5,"A",IF(N579&lt;'PlayerGrades+'!$AF$4,"A+",IF(N579&lt;'PlayerGrades+'!$AF$3,"S-",IF(N579&lt;'PlayerGrades+'!$AF$2,"S","S+"))))))))))))))))))))</f>
        <v>E-</v>
      </c>
      <c r="P579" s="973">
        <f t="shared" si="7"/>
        <v>0.03792667509</v>
      </c>
      <c r="Q579" s="973" t="str">
        <f>IF(P579&lt;'PlayerGrades+'!$AG$21,"F-",IF(P579&lt;'PlayerGrades+'!$AG$20,"F",IF(P579&lt;'PlayerGrades+'!$AG$19,"F+",IF(P579&lt;'PlayerGrades+'!$AG$18,"E-",IF(P579&lt;'PlayerGrades+'!$AG$17,"E",IF(P579&lt;'PlayerGrades+'!$AG$16,"E+",IF(P579&lt;'PlayerGrades+'!$AG$15,"D-",IF(P579&lt;'PlayerGrades+'!$AG$14,"D",IF(P579&lt;'PlayerGrades+'!$AG$13,"D+",IF(P579&lt;'PlayerGrades+'!$AG$12,"C-",IF(P579&lt;'PlayerGrades+'!$AG$11,"C",IF(P579&lt;'PlayerGrades+'!$AG$10,"C+",IF(P579&lt;'PlayerGrades+'!$AG$9,"B-",IF(P579&lt;'PlayerGrades+'!$AG$8,"B",IF(P579&lt;'PlayerGrades+'!$AG$7,"B+",IF(P579&lt;'PlayerGrades+'!$AG$6,"A-",IF(P579&lt;'PlayerGrades+'!$AG$5,"A",IF(P579&lt;'PlayerGrades+'!$AG$4,"A+",IF(P579&lt;'PlayerGrades+'!$AG$3,"S-",IF(P579&lt;'PlayerGrades+'!$AG$2,"S","S+"))))))))))))))))))))</f>
        <v>A-</v>
      </c>
      <c r="R579" s="973">
        <f t="shared" si="8"/>
        <v>0.3792667509</v>
      </c>
      <c r="S579" s="973" t="str">
        <f>IF(R579&lt;'PlayerGrades+'!$AH$21,"F-",IF(R579&lt;'PlayerGrades+'!$AH$20,"F",IF(R579&lt;'PlayerGrades+'!$AH$19,"F+",IF(R579&lt;'PlayerGrades+'!$AH$18,"E-",IF(R579&lt;'PlayerGrades+'!$AH$17,"E",IF(R579&lt;'PlayerGrades+'!$AH$16,"E+",IF(R579&lt;'PlayerGrades+'!$AH$15,"D-",IF(R579&lt;'PlayerGrades+'!$AH$14,"D",IF(R579&lt;'PlayerGrades+'!$AH$13,"D+",IF(R579&lt;'PlayerGrades+'!$AH$12,"C-",IF(R579&lt;'PlayerGrades+'!$AH$11,"C",IF(R579&lt;'PlayerGrades+'!$AH$10,"C+",IF(R579&lt;'PlayerGrades+'!$AH$9,"B-",IF(R579&lt;'PlayerGrades+'!$AH$8,"B",IF(R579&lt;'PlayerGrades+'!$AH$7,"B+",IF(R579&lt;'PlayerGrades+'!$AH$6,"A-",IF(R579&lt;'PlayerGrades+'!$AH$5,"A",IF(R579&lt;'PlayerGrades+'!$AH$4,"A+",IF(R579&lt;'PlayerGrades+'!$AH$3,"S-",IF(R579&lt;'PlayerGrades+'!$AH$2,"S","S+"))))))))))))))))))))</f>
        <v>F</v>
      </c>
      <c r="T579" s="973">
        <f t="shared" si="9"/>
        <v>1.910240202</v>
      </c>
      <c r="U579" s="973" t="str">
        <f>IF(T579&lt;'PlayerGrades+'!$AI$21,"F-",IF(T579&lt;'PlayerGrades+'!$AI$20,"F",IF(T579&lt;'PlayerGrades+'!$AI$19,"F+",IF(T579&lt;'PlayerGrades+'!$AI$18,"E-",IF(T579&lt;'PlayerGrades+'!$AI$17,"E",IF(T579&lt;'PlayerGrades+'!$AI$16,"E+",IF(T579&lt;'PlayerGrades+'!$AI$15,"D-",IF(T579&lt;'PlayerGrades+'!$AI$14,"D",IF(T579&lt;'PlayerGrades+'!$AI$13,"D+",IF(T579&lt;'PlayerGrades+'!$AI$12,"C-",IF(T579&lt;'PlayerGrades+'!$AI$11,"C",IF(T579&lt;'PlayerGrades+'!$AI$10,"C+",IF(T579&lt;'PlayerGrades+'!$AI$9,"B-",IF(T579&lt;'PlayerGrades+'!$AI$8,"B",IF(T579&lt;'PlayerGrades+'!$AI$7,"B+",IF(T579&lt;'PlayerGrades+'!$AI$6,"A-",IF(T579&lt;'PlayerGrades+'!$AI$5,"A",IF(T579&lt;'PlayerGrades+'!$AI$4,"A+",IF(T579&lt;'PlayerGrades+'!$AI$3,"S-",IF(T579&lt;'PlayerGrades+'!$AI$2,"S","S+"))))))))))))))))))))</f>
        <v>S+</v>
      </c>
      <c r="V579" s="941">
        <v>1.0</v>
      </c>
      <c r="W579" s="941">
        <v>1.0</v>
      </c>
      <c r="X579" s="941">
        <v>0.0</v>
      </c>
      <c r="Y579" s="941">
        <v>0.0</v>
      </c>
      <c r="Z579" s="941">
        <v>0.0</v>
      </c>
      <c r="AA579" s="941">
        <v>86.0</v>
      </c>
      <c r="AB579" s="941">
        <v>105.0</v>
      </c>
      <c r="AC579" s="941">
        <v>-19.0</v>
      </c>
      <c r="AD579" s="941">
        <v>3.0</v>
      </c>
      <c r="AE579" s="941">
        <v>5.0</v>
      </c>
      <c r="AF579" s="941">
        <v>2.0</v>
      </c>
      <c r="AG579" s="941">
        <v>1159.0</v>
      </c>
      <c r="AH579" s="941">
        <v>1582.0</v>
      </c>
      <c r="AI579" s="941">
        <v>11.0</v>
      </c>
      <c r="AJ579" s="941">
        <v>6.0</v>
      </c>
      <c r="AK579" s="941">
        <v>0.0</v>
      </c>
      <c r="AL579" s="941">
        <v>1.0</v>
      </c>
      <c r="AM579" s="941">
        <v>0.0</v>
      </c>
      <c r="AN579" s="941">
        <v>0.0</v>
      </c>
      <c r="AO579" s="941">
        <v>0.0</v>
      </c>
      <c r="AP579" s="941">
        <v>1.0</v>
      </c>
      <c r="AQ579" s="941">
        <v>0.0</v>
      </c>
      <c r="AR579" s="941">
        <v>12.0</v>
      </c>
      <c r="AS579" s="941">
        <v>1.0</v>
      </c>
      <c r="AT579" s="941">
        <v>1.0</v>
      </c>
      <c r="AU579" s="941">
        <v>0.0</v>
      </c>
      <c r="AV579" s="941">
        <v>0.0</v>
      </c>
      <c r="AW579" s="941">
        <v>0.0</v>
      </c>
      <c r="AX579" s="941">
        <v>0.0</v>
      </c>
      <c r="AY579" s="941">
        <v>0.0</v>
      </c>
      <c r="AZ579" s="941">
        <v>0.0</v>
      </c>
      <c r="BA579" s="941">
        <v>0.0</v>
      </c>
      <c r="BB579" s="941">
        <v>4.0</v>
      </c>
      <c r="BC579" s="941">
        <v>0.0</v>
      </c>
      <c r="BD579" s="941">
        <v>7.0</v>
      </c>
      <c r="BE579" s="941">
        <v>24.0</v>
      </c>
      <c r="BF579" s="941">
        <v>1.0</v>
      </c>
      <c r="BG579" s="941">
        <v>0.0</v>
      </c>
    </row>
    <row r="580">
      <c r="A580" s="1" t="s">
        <v>147</v>
      </c>
      <c r="B580" s="421" t="str">
        <f>IF(C580&lt;'PlayerGrades+'!$Y$44,"F-",IF(C580&lt;'PlayerGrades+'!$Y$43,"F",IF(C580&lt;'PlayerGrades+'!$Y$42,"F+",IF(C580&lt;'PlayerGrades+'!$Y$41,"E-",IF(C580&lt;'PlayerGrades+'!$Y$40,"E",IF(C580&lt;'PlayerGrades+'!$Y$39,"E+",IF(C580&lt;'PlayerGrades+'!$Y$38,"D-",IF(C580&lt;'PlayerGrades+'!$Y$37,"D",IF(C580&lt;'PlayerGrades+'!$Y$36,"D+",IF(C580&lt;'PlayerGrades+'!$Y$35,"C-",IF(C580&lt;'PlayerGrades+'!$Y$34,"C",IF(C580&lt;'PlayerGrades+'!$Y$33,"C+",IF(C580&lt;'PlayerGrades+'!$Y$32,"B-",IF(C580&lt;'PlayerGrades+'!$Y$31,"B",IF(C580&lt;'PlayerGrades+'!$Y$30,"B+",IF(C580&lt;'PlayerGrades+'!$Y$29,"A-",IF(C580&lt;'PlayerGrades+'!$Y$28,"A",IF(C580&lt;'PlayerGrades+'!$Y$27,"A+",IF(C580&lt;'PlayerGrades+'!$Y$26,"S-",IF(C580&lt;'PlayerGrades+'!$Y$25,"S","S+"))))))))))))))))))))</f>
        <v>A+</v>
      </c>
      <c r="C580" s="972">
        <f>('PlayerGrades+'!$Y$47*(VLOOKUP(E580, 'PlayerGrades+'!$X$3:$Y$23, 2, FALSE)))+('PlayerGrades+'!$Y$48*(VLOOKUP(G580, 'PlayerGrades+'!$X$3:$Y$23, 2, FALSE)))+('PlayerGrades+'!$Y$49*(VLOOKUP(I580, 'PlayerGrades+'!$X$3:$Y$23, 2, FALSE)))+('PlayerGrades+'!$Y$50*(VLOOKUP(K580, 'PlayerGrades+'!$X$3:$Y$23, 2, FALSE)))+('PlayerGrades+'!$Y$51*(VLOOKUP(M580, 'PlayerGrades+'!$X$3:$Y$23, 2, FALSE)))+('PlayerGrades+'!$Y$52*(VLOOKUP(O580, 'PlayerGrades+'!$X$3:$Y$23, 2, FALSE)))+('PlayerGrades+'!$Y$53*(VLOOKUP(Q580, 'PlayerGrades+'!$X$3:$Y$23, 2, FALSE)))+('PlayerGrades+'!$Y$54*(VLOOKUP(S580, 'PlayerGrades+'!$X$3:$Y$23, 2, FALSE)))+('PlayerGrades+'!$Y$55*(VLOOKUP(U580, 'PlayerGrades+'!$X$3:$Y$23, 2, FALSE)))</f>
        <v>28.35</v>
      </c>
      <c r="D580" s="973">
        <f t="shared" si="1"/>
        <v>0</v>
      </c>
      <c r="E580" s="973" t="str">
        <f>IF(D580&lt;'PlayerGrades+'!$AA$21,"F-",IF(D580&lt;'PlayerGrades+'!$AA$20,"F",IF(D580&lt;'PlayerGrades+'!$AA$19,"F+",IF(D580&lt;'PlayerGrades+'!$AA$18,"E-",IF(D580&lt;'PlayerGrades+'!$AA$17,"E",IF(D580&lt;'PlayerGrades+'!$AA$16,"E+",IF(D580&lt;'PlayerGrades+'!$AA$15,"D-",IF(D580&lt;'PlayerGrades+'!$AA$14,"D",IF(D580&lt;'PlayerGrades+'!$AA$13,"D+",IF(D580&lt;'PlayerGrades+'!$AA$12,"C-",IF(D580&lt;'PlayerGrades+'!$AA$11,"C",IF(D580&lt;'PlayerGrades+'!$AA$10,"C+",IF(D580&lt;'PlayerGrades+'!$AA$9,"B-",IF(D580&lt;'PlayerGrades+'!$AA$8,"B",IF(D580&lt;'PlayerGrades+'!$AA$7,"B+",IF(D580&lt;'PlayerGrades+'!$AA$6,"A-",IF(D580&lt;'PlayerGrades+'!$AA$5,"A",IF(D580&lt;'PlayerGrades+'!$AA$4,"A+",IF(D580&lt;'PlayerGrades+'!$AA$3,"S-",IF(D580&lt;'PlayerGrades+'!$AA$2,"S","S+"))))))))))))))))))))</f>
        <v>F-</v>
      </c>
      <c r="F580" s="973">
        <f t="shared" si="2"/>
        <v>0</v>
      </c>
      <c r="G580" s="973" t="str">
        <f>IF(F580&lt;'PlayerGrades+'!$AB$21,"F-",IF(F580&lt;'PlayerGrades+'!$AB$20,"F",IF(F580&lt;'PlayerGrades+'!$AB$19,"F+",IF(F580&lt;'PlayerGrades+'!$AB$18,"E-",IF(F580&lt;'PlayerGrades+'!$AB$17,"E",IF(F580&lt;'PlayerGrades+'!$AB$16,"E+",IF(F580&lt;'PlayerGrades+'!$AB$15,"D-",IF(F580&lt;'PlayerGrades+'!$AB$14,"D",IF(F580&lt;'PlayerGrades+'!$AB$13,"D+",IF(F580&lt;'PlayerGrades+'!$AB$12,"C-",IF(F580&lt;'PlayerGrades+'!$AB$11,"C",IF(F580&lt;'PlayerGrades+'!$AB$10,"C+",IF(F580&lt;'PlayerGrades+'!$AB$9,"B-",IF(F580&lt;'PlayerGrades+'!$AB$8,"B",IF(F580&lt;'PlayerGrades+'!$AB$7,"B+",IF(F580&lt;'PlayerGrades+'!$AB$6,"A-",IF(F580&lt;'PlayerGrades+'!$AB$5,"A",IF(F580&lt;'PlayerGrades+'!$AB$4,"A+",IF(F580&lt;'PlayerGrades+'!$AB$3,"S-",IF(F580&lt;'PlayerGrades+'!$AB$2,"S","S+"))))))))))))))))))))</f>
        <v>B</v>
      </c>
      <c r="H580" s="973">
        <f t="shared" si="3"/>
        <v>0.2275600506</v>
      </c>
      <c r="I580" s="973" t="str">
        <f>IF(H580&lt;'PlayerGrades+'!$AC$21,"F-",IF(H580&lt;'PlayerGrades+'!$AC$20,"F",IF(H580&lt;'PlayerGrades+'!$AC$19,"F+",IF(H580&lt;'PlayerGrades+'!$AC$18,"E-",IF(H580&lt;'PlayerGrades+'!$AC$17,"E",IF(H580&lt;'PlayerGrades+'!$AC$16,"E+",IF(H580&lt;'PlayerGrades+'!$AC$15,"D-",IF(H580&lt;'PlayerGrades+'!$AC$14,"D",IF(H580&lt;'PlayerGrades+'!$AC$13,"D+",IF(H580&lt;'PlayerGrades+'!$AC$12,"C-",IF(H580&lt;'PlayerGrades+'!$AC$11,"C",IF(H580&lt;'PlayerGrades+'!$AC$10,"C+",IF(H580&lt;'PlayerGrades+'!$AC$9,"B-",IF(H580&lt;'PlayerGrades+'!$AC$8,"B",IF(H580&lt;'PlayerGrades+'!$AC$7,"B+",IF(H580&lt;'PlayerGrades+'!$AC$6,"A-",IF(H580&lt;'PlayerGrades+'!$AC$5,"A",IF(H580&lt;'PlayerGrades+'!$AC$4,"A+",IF(H580&lt;'PlayerGrades+'!$AC$3,"S-",IF(H580&lt;'PlayerGrades+'!$AC$2,"S","S+"))))))))))))))))))))</f>
        <v>S</v>
      </c>
      <c r="J580" s="973">
        <f t="shared" si="4"/>
        <v>0.03792667509</v>
      </c>
      <c r="K580" s="973" t="str">
        <f>IF(J580&lt;'PlayerGrades+'!$AD$21,"F-",IF(J580&lt;'PlayerGrades+'!$AD$20,"F",IF(J580&lt;'PlayerGrades+'!$AD$19,"F+",IF(J580&lt;'PlayerGrades+'!$AD$18,"E-",IF(J580&lt;'PlayerGrades+'!$AD$17,"E",IF(J580&lt;'PlayerGrades+'!$AD$16,"E+",IF(J580&lt;'PlayerGrades+'!$AD$15,"D-",IF(J580&lt;'PlayerGrades+'!$AD$14,"D",IF(J580&lt;'PlayerGrades+'!$AD$13,"D+",IF(J580&lt;'PlayerGrades+'!$AD$12,"C-",IF(J580&lt;'PlayerGrades+'!$AD$11,"C",IF(J580&lt;'PlayerGrades+'!$AD$10,"C+",IF(J580&lt;'PlayerGrades+'!$AD$9,"B-",IF(J580&lt;'PlayerGrades+'!$AD$8,"B",IF(J580&lt;'PlayerGrades+'!$AD$7,"B+",IF(J580&lt;'PlayerGrades+'!$AD$6,"A-",IF(J580&lt;'PlayerGrades+'!$AD$5,"A",IF(J580&lt;'PlayerGrades+'!$AD$4,"A+",IF(J580&lt;'PlayerGrades+'!$AD$3,"S-",IF(J580&lt;'PlayerGrades+'!$AD$2,"S","S+"))))))))))))))))))))</f>
        <v>C</v>
      </c>
      <c r="L580" s="974">
        <f t="shared" si="5"/>
        <v>0.4930467762</v>
      </c>
      <c r="M580" s="975" t="str">
        <f>IF(L580&lt;'PlayerGrades+'!$AE$21,"F-",IF(L580&lt;'PlayerGrades+'!$AE$20,"F",IF(L580&lt;'PlayerGrades+'!$AE$19,"F+",IF(L580&lt;'PlayerGrades+'!$AE$18,"E-",IF(L580&lt;'PlayerGrades+'!$AE$17,"E",IF(L580&lt;'PlayerGrades+'!$AE$16,"E+",IF(L580&lt;'PlayerGrades+'!$AE$15,"D-",IF(L580&lt;'PlayerGrades+'!$AE$14,"D",IF(L580&lt;'PlayerGrades+'!$AE$13,"D+",IF(L580&lt;'PlayerGrades+'!$AE$12,"C-",IF(L580&lt;'PlayerGrades+'!$AE$11,"C",IF(L580&lt;'PlayerGrades+'!$AE$10,"C+",IF(L580&lt;'PlayerGrades+'!$AE$9,"B-",IF(L580&lt;'PlayerGrades+'!$AE$8,"B",IF(L580&lt;'PlayerGrades+'!$AE$7,"B+",IF(L580&lt;'PlayerGrades+'!$AE$6,"A-",IF(L580&lt;'PlayerGrades+'!$AE$5,"A",IF(L580&lt;'PlayerGrades+'!$AE$4,"A+",IF(L580&lt;'PlayerGrades+'!$AE$3,"S-",IF(L580&lt;'PlayerGrades+'!$AE$2,"S","S+"))))))))))))))))))))</f>
        <v>A-</v>
      </c>
      <c r="N580" s="973">
        <f t="shared" si="6"/>
        <v>0.1137800253</v>
      </c>
      <c r="O580" s="973" t="str">
        <f>IF(N580&lt;'PlayerGrades+'!$AF$21,"F-",IF(N580&lt;'PlayerGrades+'!$AF$20,"F",IF(N580&lt;'PlayerGrades+'!$AF$19,"F+",IF(N580&lt;'PlayerGrades+'!$AF$18,"E-",IF(N580&lt;'PlayerGrades+'!$AF$17,"E",IF(N580&lt;'PlayerGrades+'!$AF$16,"E+",IF(N580&lt;'PlayerGrades+'!$AF$15,"D-",IF(N580&lt;'PlayerGrades+'!$AF$14,"D",IF(N580&lt;'PlayerGrades+'!$AF$13,"D+",IF(N580&lt;'PlayerGrades+'!$AF$12,"C-",IF(N580&lt;'PlayerGrades+'!$AF$11,"C",IF(N580&lt;'PlayerGrades+'!$AF$10,"C+",IF(N580&lt;'PlayerGrades+'!$AF$9,"B-",IF(N580&lt;'PlayerGrades+'!$AF$8,"B",IF(N580&lt;'PlayerGrades+'!$AF$7,"B+",IF(N580&lt;'PlayerGrades+'!$AF$6,"A-",IF(N580&lt;'PlayerGrades+'!$AF$5,"A",IF(N580&lt;'PlayerGrades+'!$AF$4,"A+",IF(N580&lt;'PlayerGrades+'!$AF$3,"S-",IF(N580&lt;'PlayerGrades+'!$AF$2,"S","S+"))))))))))))))))))))</f>
        <v>S-</v>
      </c>
      <c r="P580" s="973">
        <f t="shared" si="7"/>
        <v>0.03792667509</v>
      </c>
      <c r="Q580" s="973" t="str">
        <f>IF(P580&lt;'PlayerGrades+'!$AG$21,"F-",IF(P580&lt;'PlayerGrades+'!$AG$20,"F",IF(P580&lt;'PlayerGrades+'!$AG$19,"F+",IF(P580&lt;'PlayerGrades+'!$AG$18,"E-",IF(P580&lt;'PlayerGrades+'!$AG$17,"E",IF(P580&lt;'PlayerGrades+'!$AG$16,"E+",IF(P580&lt;'PlayerGrades+'!$AG$15,"D-",IF(P580&lt;'PlayerGrades+'!$AG$14,"D",IF(P580&lt;'PlayerGrades+'!$AG$13,"D+",IF(P580&lt;'PlayerGrades+'!$AG$12,"C-",IF(P580&lt;'PlayerGrades+'!$AG$11,"C",IF(P580&lt;'PlayerGrades+'!$AG$10,"C+",IF(P580&lt;'PlayerGrades+'!$AG$9,"B-",IF(P580&lt;'PlayerGrades+'!$AG$8,"B",IF(P580&lt;'PlayerGrades+'!$AG$7,"B+",IF(P580&lt;'PlayerGrades+'!$AG$6,"A-",IF(P580&lt;'PlayerGrades+'!$AG$5,"A",IF(P580&lt;'PlayerGrades+'!$AG$4,"A+",IF(P580&lt;'PlayerGrades+'!$AG$3,"S-",IF(P580&lt;'PlayerGrades+'!$AG$2,"S","S+"))))))))))))))))))))</f>
        <v>A-</v>
      </c>
      <c r="R580" s="973">
        <f t="shared" si="8"/>
        <v>0.8343868521</v>
      </c>
      <c r="S580" s="973" t="str">
        <f>IF(R580&lt;'PlayerGrades+'!$AH$21,"F-",IF(R580&lt;'PlayerGrades+'!$AH$20,"F",IF(R580&lt;'PlayerGrades+'!$AH$19,"F+",IF(R580&lt;'PlayerGrades+'!$AH$18,"E-",IF(R580&lt;'PlayerGrades+'!$AH$17,"E",IF(R580&lt;'PlayerGrades+'!$AH$16,"E+",IF(R580&lt;'PlayerGrades+'!$AH$15,"D-",IF(R580&lt;'PlayerGrades+'!$AH$14,"D",IF(R580&lt;'PlayerGrades+'!$AH$13,"D+",IF(R580&lt;'PlayerGrades+'!$AH$12,"C-",IF(R580&lt;'PlayerGrades+'!$AH$11,"C",IF(R580&lt;'PlayerGrades+'!$AH$10,"C+",IF(R580&lt;'PlayerGrades+'!$AH$9,"B-",IF(R580&lt;'PlayerGrades+'!$AH$8,"B",IF(R580&lt;'PlayerGrades+'!$AH$7,"B+",IF(R580&lt;'PlayerGrades+'!$AH$6,"A-",IF(R580&lt;'PlayerGrades+'!$AH$5,"A",IF(R580&lt;'PlayerGrades+'!$AH$4,"A+",IF(R580&lt;'PlayerGrades+'!$AH$3,"S-",IF(R580&lt;'PlayerGrades+'!$AH$2,"S","S+"))))))))))))))))))))</f>
        <v>S+</v>
      </c>
      <c r="T580" s="973">
        <f t="shared" si="9"/>
        <v>3.303413401</v>
      </c>
      <c r="U580" s="973" t="str">
        <f>IF(T580&lt;'PlayerGrades+'!$AI$21,"F-",IF(T580&lt;'PlayerGrades+'!$AI$20,"F",IF(T580&lt;'PlayerGrades+'!$AI$19,"F+",IF(T580&lt;'PlayerGrades+'!$AI$18,"E-",IF(T580&lt;'PlayerGrades+'!$AI$17,"E",IF(T580&lt;'PlayerGrades+'!$AI$16,"E+",IF(T580&lt;'PlayerGrades+'!$AI$15,"D-",IF(T580&lt;'PlayerGrades+'!$AI$14,"D",IF(T580&lt;'PlayerGrades+'!$AI$13,"D+",IF(T580&lt;'PlayerGrades+'!$AI$12,"C-",IF(T580&lt;'PlayerGrades+'!$AI$11,"C",IF(T580&lt;'PlayerGrades+'!$AI$10,"C+",IF(T580&lt;'PlayerGrades+'!$AI$9,"B-",IF(T580&lt;'PlayerGrades+'!$AI$8,"B",IF(T580&lt;'PlayerGrades+'!$AI$7,"B+",IF(T580&lt;'PlayerGrades+'!$AI$6,"A-",IF(T580&lt;'PlayerGrades+'!$AI$5,"A",IF(T580&lt;'PlayerGrades+'!$AI$4,"A+",IF(T580&lt;'PlayerGrades+'!$AI$3,"S-",IF(T580&lt;'PlayerGrades+'!$AI$2,"S","S+"))))))))))))))))))))</f>
        <v>S+</v>
      </c>
      <c r="V580" s="941">
        <v>1.0</v>
      </c>
      <c r="W580" s="941">
        <v>1.0</v>
      </c>
      <c r="X580" s="941">
        <v>0.0</v>
      </c>
      <c r="Y580" s="941">
        <v>0.0</v>
      </c>
      <c r="Z580" s="941">
        <v>0.0</v>
      </c>
      <c r="AA580" s="941">
        <v>87.0</v>
      </c>
      <c r="AB580" s="941">
        <v>87.0</v>
      </c>
      <c r="AC580" s="941">
        <v>0.0</v>
      </c>
      <c r="AD580" s="941">
        <v>6.0</v>
      </c>
      <c r="AE580" s="941">
        <v>5.0</v>
      </c>
      <c r="AF580" s="941">
        <v>3.0</v>
      </c>
      <c r="AG580" s="941">
        <v>1210.0</v>
      </c>
      <c r="AH580" s="941">
        <v>1582.0</v>
      </c>
      <c r="AI580" s="941">
        <v>13.0</v>
      </c>
      <c r="AJ580" s="941">
        <v>24.0</v>
      </c>
      <c r="AK580" s="941">
        <v>0.0</v>
      </c>
      <c r="AL580" s="941">
        <v>1.0</v>
      </c>
      <c r="AM580" s="941">
        <v>0.0</v>
      </c>
      <c r="AN580" s="941">
        <v>0.0</v>
      </c>
      <c r="AO580" s="941">
        <v>0.0</v>
      </c>
      <c r="AP580" s="941">
        <v>1.0</v>
      </c>
      <c r="AQ580" s="941">
        <v>0.0</v>
      </c>
      <c r="AR580" s="941">
        <v>13.0</v>
      </c>
      <c r="AS580" s="941">
        <v>3.0</v>
      </c>
      <c r="AT580" s="941">
        <v>0.0</v>
      </c>
      <c r="AU580" s="941">
        <v>0.0</v>
      </c>
      <c r="AV580" s="941">
        <v>0.0</v>
      </c>
      <c r="AW580" s="941">
        <v>0.0</v>
      </c>
      <c r="AX580" s="941">
        <v>0.0</v>
      </c>
      <c r="AY580" s="941">
        <v>0.0</v>
      </c>
      <c r="AZ580" s="941">
        <v>0.0</v>
      </c>
      <c r="BA580" s="941">
        <v>0.0</v>
      </c>
      <c r="BB580" s="941">
        <v>6.0</v>
      </c>
      <c r="BC580" s="941">
        <v>0.0</v>
      </c>
      <c r="BD580" s="941">
        <v>16.0</v>
      </c>
      <c r="BE580" s="941">
        <v>8.0</v>
      </c>
      <c r="BF580" s="941">
        <v>3.0</v>
      </c>
      <c r="BG580" s="941">
        <v>0.0</v>
      </c>
    </row>
    <row r="581">
      <c r="A581" s="1" t="s">
        <v>132</v>
      </c>
      <c r="B581" s="421" t="str">
        <f>IF(C581&lt;'PlayerGrades+'!$Y$44,"F-",IF(C581&lt;'PlayerGrades+'!$Y$43,"F",IF(C581&lt;'PlayerGrades+'!$Y$42,"F+",IF(C581&lt;'PlayerGrades+'!$Y$41,"E-",IF(C581&lt;'PlayerGrades+'!$Y$40,"E",IF(C581&lt;'PlayerGrades+'!$Y$39,"E+",IF(C581&lt;'PlayerGrades+'!$Y$38,"D-",IF(C581&lt;'PlayerGrades+'!$Y$37,"D",IF(C581&lt;'PlayerGrades+'!$Y$36,"D+",IF(C581&lt;'PlayerGrades+'!$Y$35,"C-",IF(C581&lt;'PlayerGrades+'!$Y$34,"C",IF(C581&lt;'PlayerGrades+'!$Y$33,"C+",IF(C581&lt;'PlayerGrades+'!$Y$32,"B-",IF(C581&lt;'PlayerGrades+'!$Y$31,"B",IF(C581&lt;'PlayerGrades+'!$Y$30,"B+",IF(C581&lt;'PlayerGrades+'!$Y$29,"A-",IF(C581&lt;'PlayerGrades+'!$Y$28,"A",IF(C581&lt;'PlayerGrades+'!$Y$27,"A+",IF(C581&lt;'PlayerGrades+'!$Y$26,"S-",IF(C581&lt;'PlayerGrades+'!$Y$25,"S","S+"))))))))))))))))))))</f>
        <v>B+</v>
      </c>
      <c r="C581" s="972">
        <f>('PlayerGrades+'!$Y$47*(VLOOKUP(E581, 'PlayerGrades+'!$X$3:$Y$23, 2, FALSE)))+('PlayerGrades+'!$Y$48*(VLOOKUP(G581, 'PlayerGrades+'!$X$3:$Y$23, 2, FALSE)))+('PlayerGrades+'!$Y$49*(VLOOKUP(I581, 'PlayerGrades+'!$X$3:$Y$23, 2, FALSE)))+('PlayerGrades+'!$Y$50*(VLOOKUP(K581, 'PlayerGrades+'!$X$3:$Y$23, 2, FALSE)))+('PlayerGrades+'!$Y$51*(VLOOKUP(M581, 'PlayerGrades+'!$X$3:$Y$23, 2, FALSE)))+('PlayerGrades+'!$Y$52*(VLOOKUP(O581, 'PlayerGrades+'!$X$3:$Y$23, 2, FALSE)))+('PlayerGrades+'!$Y$53*(VLOOKUP(Q581, 'PlayerGrades+'!$X$3:$Y$23, 2, FALSE)))+('PlayerGrades+'!$Y$54*(VLOOKUP(S581, 'PlayerGrades+'!$X$3:$Y$23, 2, FALSE)))+('PlayerGrades+'!$Y$55*(VLOOKUP(U581, 'PlayerGrades+'!$X$3:$Y$23, 2, FALSE)))</f>
        <v>23.75</v>
      </c>
      <c r="D581" s="973">
        <f t="shared" si="1"/>
        <v>0.1517067004</v>
      </c>
      <c r="E581" s="973" t="str">
        <f>IF(D581&lt;'PlayerGrades+'!$AA$21,"F-",IF(D581&lt;'PlayerGrades+'!$AA$20,"F",IF(D581&lt;'PlayerGrades+'!$AA$19,"F+",IF(D581&lt;'PlayerGrades+'!$AA$18,"E-",IF(D581&lt;'PlayerGrades+'!$AA$17,"E",IF(D581&lt;'PlayerGrades+'!$AA$16,"E+",IF(D581&lt;'PlayerGrades+'!$AA$15,"D-",IF(D581&lt;'PlayerGrades+'!$AA$14,"D",IF(D581&lt;'PlayerGrades+'!$AA$13,"D+",IF(D581&lt;'PlayerGrades+'!$AA$12,"C-",IF(D581&lt;'PlayerGrades+'!$AA$11,"C",IF(D581&lt;'PlayerGrades+'!$AA$10,"C+",IF(D581&lt;'PlayerGrades+'!$AA$9,"B-",IF(D581&lt;'PlayerGrades+'!$AA$8,"B",IF(D581&lt;'PlayerGrades+'!$AA$7,"B+",IF(D581&lt;'PlayerGrades+'!$AA$6,"A-",IF(D581&lt;'PlayerGrades+'!$AA$5,"A",IF(D581&lt;'PlayerGrades+'!$AA$4,"A+",IF(D581&lt;'PlayerGrades+'!$AA$3,"S-",IF(D581&lt;'PlayerGrades+'!$AA$2,"S","S+"))))))))))))))))))))</f>
        <v>B+</v>
      </c>
      <c r="F581" s="973">
        <f t="shared" si="2"/>
        <v>-0.03792667509</v>
      </c>
      <c r="G581" s="973" t="str">
        <f>IF(F581&lt;'PlayerGrades+'!$AB$21,"F-",IF(F581&lt;'PlayerGrades+'!$AB$20,"F",IF(F581&lt;'PlayerGrades+'!$AB$19,"F+",IF(F581&lt;'PlayerGrades+'!$AB$18,"E-",IF(F581&lt;'PlayerGrades+'!$AB$17,"E",IF(F581&lt;'PlayerGrades+'!$AB$16,"E+",IF(F581&lt;'PlayerGrades+'!$AB$15,"D-",IF(F581&lt;'PlayerGrades+'!$AB$14,"D",IF(F581&lt;'PlayerGrades+'!$AB$13,"D+",IF(F581&lt;'PlayerGrades+'!$AB$12,"C-",IF(F581&lt;'PlayerGrades+'!$AB$11,"C",IF(F581&lt;'PlayerGrades+'!$AB$10,"C+",IF(F581&lt;'PlayerGrades+'!$AB$9,"B-",IF(F581&lt;'PlayerGrades+'!$AB$8,"B",IF(F581&lt;'PlayerGrades+'!$AB$7,"B+",IF(F581&lt;'PlayerGrades+'!$AB$6,"A-",IF(F581&lt;'PlayerGrades+'!$AB$5,"A",IF(F581&lt;'PlayerGrades+'!$AB$4,"A+",IF(F581&lt;'PlayerGrades+'!$AB$3,"S-",IF(F581&lt;'PlayerGrades+'!$AB$2,"S","S+"))))))))))))))))))))</f>
        <v>B-</v>
      </c>
      <c r="H581" s="973">
        <f t="shared" si="3"/>
        <v>0.417193426</v>
      </c>
      <c r="I581" s="973" t="str">
        <f>IF(H581&lt;'PlayerGrades+'!$AC$21,"F-",IF(H581&lt;'PlayerGrades+'!$AC$20,"F",IF(H581&lt;'PlayerGrades+'!$AC$19,"F+",IF(H581&lt;'PlayerGrades+'!$AC$18,"E-",IF(H581&lt;'PlayerGrades+'!$AC$17,"E",IF(H581&lt;'PlayerGrades+'!$AC$16,"E+",IF(H581&lt;'PlayerGrades+'!$AC$15,"D-",IF(H581&lt;'PlayerGrades+'!$AC$14,"D",IF(H581&lt;'PlayerGrades+'!$AC$13,"D+",IF(H581&lt;'PlayerGrades+'!$AC$12,"C-",IF(H581&lt;'PlayerGrades+'!$AC$11,"C",IF(H581&lt;'PlayerGrades+'!$AC$10,"C+",IF(H581&lt;'PlayerGrades+'!$AC$9,"B-",IF(H581&lt;'PlayerGrades+'!$AC$8,"B",IF(H581&lt;'PlayerGrades+'!$AC$7,"B+",IF(H581&lt;'PlayerGrades+'!$AC$6,"A-",IF(H581&lt;'PlayerGrades+'!$AC$5,"A",IF(H581&lt;'PlayerGrades+'!$AC$4,"A+",IF(H581&lt;'PlayerGrades+'!$AC$3,"S-",IF(H581&lt;'PlayerGrades+'!$AC$2,"S","S+"))))))))))))))))))))</f>
        <v>S+</v>
      </c>
      <c r="J581" s="973">
        <f t="shared" si="4"/>
        <v>0.03792667509</v>
      </c>
      <c r="K581" s="973" t="str">
        <f>IF(J581&lt;'PlayerGrades+'!$AD$21,"F-",IF(J581&lt;'PlayerGrades+'!$AD$20,"F",IF(J581&lt;'PlayerGrades+'!$AD$19,"F+",IF(J581&lt;'PlayerGrades+'!$AD$18,"E-",IF(J581&lt;'PlayerGrades+'!$AD$17,"E",IF(J581&lt;'PlayerGrades+'!$AD$16,"E+",IF(J581&lt;'PlayerGrades+'!$AD$15,"D-",IF(J581&lt;'PlayerGrades+'!$AD$14,"D",IF(J581&lt;'PlayerGrades+'!$AD$13,"D+",IF(J581&lt;'PlayerGrades+'!$AD$12,"C-",IF(J581&lt;'PlayerGrades+'!$AD$11,"C",IF(J581&lt;'PlayerGrades+'!$AD$10,"C+",IF(J581&lt;'PlayerGrades+'!$AD$9,"B-",IF(J581&lt;'PlayerGrades+'!$AD$8,"B",IF(J581&lt;'PlayerGrades+'!$AD$7,"B+",IF(J581&lt;'PlayerGrades+'!$AD$6,"A-",IF(J581&lt;'PlayerGrades+'!$AD$5,"A",IF(J581&lt;'PlayerGrades+'!$AD$4,"A+",IF(J581&lt;'PlayerGrades+'!$AD$3,"S-",IF(J581&lt;'PlayerGrades+'!$AD$2,"S","S+"))))))))))))))))))))</f>
        <v>C</v>
      </c>
      <c r="L581" s="974">
        <f t="shared" si="5"/>
        <v>0.417193426</v>
      </c>
      <c r="M581" s="975" t="str">
        <f>IF(L581&lt;'PlayerGrades+'!$AE$21,"F-",IF(L581&lt;'PlayerGrades+'!$AE$20,"F",IF(L581&lt;'PlayerGrades+'!$AE$19,"F+",IF(L581&lt;'PlayerGrades+'!$AE$18,"E-",IF(L581&lt;'PlayerGrades+'!$AE$17,"E",IF(L581&lt;'PlayerGrades+'!$AE$16,"E+",IF(L581&lt;'PlayerGrades+'!$AE$15,"D-",IF(L581&lt;'PlayerGrades+'!$AE$14,"D",IF(L581&lt;'PlayerGrades+'!$AE$13,"D+",IF(L581&lt;'PlayerGrades+'!$AE$12,"C-",IF(L581&lt;'PlayerGrades+'!$AE$11,"C",IF(L581&lt;'PlayerGrades+'!$AE$10,"C+",IF(L581&lt;'PlayerGrades+'!$AE$9,"B-",IF(L581&lt;'PlayerGrades+'!$AE$8,"B",IF(L581&lt;'PlayerGrades+'!$AE$7,"B+",IF(L581&lt;'PlayerGrades+'!$AE$6,"A-",IF(L581&lt;'PlayerGrades+'!$AE$5,"A",IF(L581&lt;'PlayerGrades+'!$AE$4,"A+",IF(L581&lt;'PlayerGrades+'!$AE$3,"S-",IF(L581&lt;'PlayerGrades+'!$AE$2,"S","S+"))))))))))))))))))))</f>
        <v>C+</v>
      </c>
      <c r="N581" s="973">
        <f t="shared" si="6"/>
        <v>0.07585335019</v>
      </c>
      <c r="O581" s="973" t="str">
        <f>IF(N581&lt;'PlayerGrades+'!$AF$21,"F-",IF(N581&lt;'PlayerGrades+'!$AF$20,"F",IF(N581&lt;'PlayerGrades+'!$AF$19,"F+",IF(N581&lt;'PlayerGrades+'!$AF$18,"E-",IF(N581&lt;'PlayerGrades+'!$AF$17,"E",IF(N581&lt;'PlayerGrades+'!$AF$16,"E+",IF(N581&lt;'PlayerGrades+'!$AF$15,"D-",IF(N581&lt;'PlayerGrades+'!$AF$14,"D",IF(N581&lt;'PlayerGrades+'!$AF$13,"D+",IF(N581&lt;'PlayerGrades+'!$AF$12,"C-",IF(N581&lt;'PlayerGrades+'!$AF$11,"C",IF(N581&lt;'PlayerGrades+'!$AF$10,"C+",IF(N581&lt;'PlayerGrades+'!$AF$9,"B-",IF(N581&lt;'PlayerGrades+'!$AF$8,"B",IF(N581&lt;'PlayerGrades+'!$AF$7,"B+",IF(N581&lt;'PlayerGrades+'!$AF$6,"A-",IF(N581&lt;'PlayerGrades+'!$AF$5,"A",IF(N581&lt;'PlayerGrades+'!$AF$4,"A+",IF(N581&lt;'PlayerGrades+'!$AF$3,"S-",IF(N581&lt;'PlayerGrades+'!$AF$2,"S","S+"))))))))))))))))))))</f>
        <v>B-</v>
      </c>
      <c r="P581" s="973">
        <f t="shared" si="7"/>
        <v>0.03792667509</v>
      </c>
      <c r="Q581" s="973" t="str">
        <f>IF(P581&lt;'PlayerGrades+'!$AG$21,"F-",IF(P581&lt;'PlayerGrades+'!$AG$20,"F",IF(P581&lt;'PlayerGrades+'!$AG$19,"F+",IF(P581&lt;'PlayerGrades+'!$AG$18,"E-",IF(P581&lt;'PlayerGrades+'!$AG$17,"E",IF(P581&lt;'PlayerGrades+'!$AG$16,"E+",IF(P581&lt;'PlayerGrades+'!$AG$15,"D-",IF(P581&lt;'PlayerGrades+'!$AG$14,"D",IF(P581&lt;'PlayerGrades+'!$AG$13,"D+",IF(P581&lt;'PlayerGrades+'!$AG$12,"C-",IF(P581&lt;'PlayerGrades+'!$AG$11,"C",IF(P581&lt;'PlayerGrades+'!$AG$10,"C+",IF(P581&lt;'PlayerGrades+'!$AG$9,"B-",IF(P581&lt;'PlayerGrades+'!$AG$8,"B",IF(P581&lt;'PlayerGrades+'!$AG$7,"B+",IF(P581&lt;'PlayerGrades+'!$AG$6,"A-",IF(P581&lt;'PlayerGrades+'!$AG$5,"A",IF(P581&lt;'PlayerGrades+'!$AG$4,"A+",IF(P581&lt;'PlayerGrades+'!$AG$3,"S-",IF(P581&lt;'PlayerGrades+'!$AG$2,"S","S+"))))))))))))))))))))</f>
        <v>A-</v>
      </c>
      <c r="R581" s="973">
        <f t="shared" si="8"/>
        <v>0.3792667509</v>
      </c>
      <c r="S581" s="973" t="str">
        <f>IF(R581&lt;'PlayerGrades+'!$AH$21,"F-",IF(R581&lt;'PlayerGrades+'!$AH$20,"F",IF(R581&lt;'PlayerGrades+'!$AH$19,"F+",IF(R581&lt;'PlayerGrades+'!$AH$18,"E-",IF(R581&lt;'PlayerGrades+'!$AH$17,"E",IF(R581&lt;'PlayerGrades+'!$AH$16,"E+",IF(R581&lt;'PlayerGrades+'!$AH$15,"D-",IF(R581&lt;'PlayerGrades+'!$AH$14,"D",IF(R581&lt;'PlayerGrades+'!$AH$13,"D+",IF(R581&lt;'PlayerGrades+'!$AH$12,"C-",IF(R581&lt;'PlayerGrades+'!$AH$11,"C",IF(R581&lt;'PlayerGrades+'!$AH$10,"C+",IF(R581&lt;'PlayerGrades+'!$AH$9,"B-",IF(R581&lt;'PlayerGrades+'!$AH$8,"B",IF(R581&lt;'PlayerGrades+'!$AH$7,"B+",IF(R581&lt;'PlayerGrades+'!$AH$6,"A-",IF(R581&lt;'PlayerGrades+'!$AH$5,"A",IF(R581&lt;'PlayerGrades+'!$AH$4,"A+",IF(R581&lt;'PlayerGrades+'!$AH$3,"S-",IF(R581&lt;'PlayerGrades+'!$AH$2,"S","S+"))))))))))))))))))))</f>
        <v>F</v>
      </c>
      <c r="T581" s="973">
        <f t="shared" si="9"/>
        <v>2.417193426</v>
      </c>
      <c r="U581" s="973" t="str">
        <f>IF(T581&lt;'PlayerGrades+'!$AI$21,"F-",IF(T581&lt;'PlayerGrades+'!$AI$20,"F",IF(T581&lt;'PlayerGrades+'!$AI$19,"F+",IF(T581&lt;'PlayerGrades+'!$AI$18,"E-",IF(T581&lt;'PlayerGrades+'!$AI$17,"E",IF(T581&lt;'PlayerGrades+'!$AI$16,"E+",IF(T581&lt;'PlayerGrades+'!$AI$15,"D-",IF(T581&lt;'PlayerGrades+'!$AI$14,"D",IF(T581&lt;'PlayerGrades+'!$AI$13,"D+",IF(T581&lt;'PlayerGrades+'!$AI$12,"C-",IF(T581&lt;'PlayerGrades+'!$AI$11,"C",IF(T581&lt;'PlayerGrades+'!$AI$10,"C+",IF(T581&lt;'PlayerGrades+'!$AI$9,"B-",IF(T581&lt;'PlayerGrades+'!$AI$8,"B",IF(T581&lt;'PlayerGrades+'!$AI$7,"B+",IF(T581&lt;'PlayerGrades+'!$AI$6,"A-",IF(T581&lt;'PlayerGrades+'!$AI$5,"A",IF(T581&lt;'PlayerGrades+'!$AI$4,"A+",IF(T581&lt;'PlayerGrades+'!$AI$3,"S-",IF(T581&lt;'PlayerGrades+'!$AI$2,"S","S+"))))))))))))))))))))</f>
        <v>S+</v>
      </c>
      <c r="V581" s="941">
        <v>1.0</v>
      </c>
      <c r="W581" s="941">
        <v>1.0</v>
      </c>
      <c r="X581" s="941">
        <v>0.0</v>
      </c>
      <c r="Y581" s="941">
        <v>0.0</v>
      </c>
      <c r="Z581" s="941">
        <v>4.0</v>
      </c>
      <c r="AA581" s="941">
        <v>90.0</v>
      </c>
      <c r="AB581" s="941">
        <v>91.0</v>
      </c>
      <c r="AC581" s="941">
        <v>-1.0</v>
      </c>
      <c r="AD581" s="941">
        <v>4.0</v>
      </c>
      <c r="AE581" s="941">
        <v>5.0</v>
      </c>
      <c r="AF581" s="941">
        <v>0.0</v>
      </c>
      <c r="AG581" s="941">
        <v>1206.0</v>
      </c>
      <c r="AH581" s="941">
        <v>1582.0</v>
      </c>
      <c r="AI581" s="941">
        <v>13.0</v>
      </c>
      <c r="AJ581" s="941">
        <v>155.0</v>
      </c>
      <c r="AK581" s="941">
        <v>0.0</v>
      </c>
      <c r="AL581" s="941">
        <v>1.0</v>
      </c>
      <c r="AM581" s="941">
        <v>0.0</v>
      </c>
      <c r="AN581" s="941">
        <v>0.0</v>
      </c>
      <c r="AO581" s="941">
        <v>0.0</v>
      </c>
      <c r="AP581" s="941">
        <v>1.0</v>
      </c>
      <c r="AQ581" s="941">
        <v>0.0</v>
      </c>
      <c r="AR581" s="941">
        <v>11.0</v>
      </c>
      <c r="AS581" s="941">
        <v>2.0</v>
      </c>
      <c r="AT581" s="941">
        <v>0.0</v>
      </c>
      <c r="AU581" s="941">
        <v>0.0</v>
      </c>
      <c r="AV581" s="941">
        <v>0.0</v>
      </c>
      <c r="AW581" s="941">
        <v>0.0</v>
      </c>
      <c r="AX581" s="941">
        <v>0.0</v>
      </c>
      <c r="AY581" s="941">
        <v>0.0</v>
      </c>
      <c r="AZ581" s="941">
        <v>0.0</v>
      </c>
      <c r="BA581" s="941">
        <v>0.0</v>
      </c>
      <c r="BB581" s="941">
        <v>11.0</v>
      </c>
      <c r="BC581" s="941">
        <v>0.0</v>
      </c>
      <c r="BD581" s="941">
        <v>6.0</v>
      </c>
      <c r="BE581" s="941">
        <v>11.0</v>
      </c>
      <c r="BF581" s="941">
        <v>2.0</v>
      </c>
      <c r="BG581" s="941">
        <v>0.0</v>
      </c>
    </row>
    <row r="582">
      <c r="A582" s="1" t="s">
        <v>119</v>
      </c>
      <c r="B582" s="421" t="str">
        <f>IF(C582&lt;'PlayerGrades+'!$Y$44,"F-",IF(C582&lt;'PlayerGrades+'!$Y$43,"F",IF(C582&lt;'PlayerGrades+'!$Y$42,"F+",IF(C582&lt;'PlayerGrades+'!$Y$41,"E-",IF(C582&lt;'PlayerGrades+'!$Y$40,"E",IF(C582&lt;'PlayerGrades+'!$Y$39,"E+",IF(C582&lt;'PlayerGrades+'!$Y$38,"D-",IF(C582&lt;'PlayerGrades+'!$Y$37,"D",IF(C582&lt;'PlayerGrades+'!$Y$36,"D+",IF(C582&lt;'PlayerGrades+'!$Y$35,"C-",IF(C582&lt;'PlayerGrades+'!$Y$34,"C",IF(C582&lt;'PlayerGrades+'!$Y$33,"C+",IF(C582&lt;'PlayerGrades+'!$Y$32,"B-",IF(C582&lt;'PlayerGrades+'!$Y$31,"B",IF(C582&lt;'PlayerGrades+'!$Y$30,"B+",IF(C582&lt;'PlayerGrades+'!$Y$29,"A-",IF(C582&lt;'PlayerGrades+'!$Y$28,"A",IF(C582&lt;'PlayerGrades+'!$Y$27,"A+",IF(C582&lt;'PlayerGrades+'!$Y$26,"S-",IF(C582&lt;'PlayerGrades+'!$Y$25,"S","S+"))))))))))))))))))))</f>
        <v>B-</v>
      </c>
      <c r="C582" s="972">
        <f>('PlayerGrades+'!$Y$47*(VLOOKUP(E582, 'PlayerGrades+'!$X$3:$Y$23, 2, FALSE)))+('PlayerGrades+'!$Y$48*(VLOOKUP(G582, 'PlayerGrades+'!$X$3:$Y$23, 2, FALSE)))+('PlayerGrades+'!$Y$49*(VLOOKUP(I582, 'PlayerGrades+'!$X$3:$Y$23, 2, FALSE)))+('PlayerGrades+'!$Y$50*(VLOOKUP(K582, 'PlayerGrades+'!$X$3:$Y$23, 2, FALSE)))+('PlayerGrades+'!$Y$51*(VLOOKUP(M582, 'PlayerGrades+'!$X$3:$Y$23, 2, FALSE)))+('PlayerGrades+'!$Y$52*(VLOOKUP(O582, 'PlayerGrades+'!$X$3:$Y$23, 2, FALSE)))+('PlayerGrades+'!$Y$53*(VLOOKUP(Q582, 'PlayerGrades+'!$X$3:$Y$23, 2, FALSE)))+('PlayerGrades+'!$Y$54*(VLOOKUP(S582, 'PlayerGrades+'!$X$3:$Y$23, 2, FALSE)))+('PlayerGrades+'!$Y$55*(VLOOKUP(U582, 'PlayerGrades+'!$X$3:$Y$23, 2, FALSE)))</f>
        <v>21.95</v>
      </c>
      <c r="D582" s="973">
        <f t="shared" si="1"/>
        <v>0.4930467762</v>
      </c>
      <c r="E582" s="973" t="str">
        <f>IF(D582&lt;'PlayerGrades+'!$AA$21,"F-",IF(D582&lt;'PlayerGrades+'!$AA$20,"F",IF(D582&lt;'PlayerGrades+'!$AA$19,"F+",IF(D582&lt;'PlayerGrades+'!$AA$18,"E-",IF(D582&lt;'PlayerGrades+'!$AA$17,"E",IF(D582&lt;'PlayerGrades+'!$AA$16,"E+",IF(D582&lt;'PlayerGrades+'!$AA$15,"D-",IF(D582&lt;'PlayerGrades+'!$AA$14,"D",IF(D582&lt;'PlayerGrades+'!$AA$13,"D+",IF(D582&lt;'PlayerGrades+'!$AA$12,"C-",IF(D582&lt;'PlayerGrades+'!$AA$11,"C",IF(D582&lt;'PlayerGrades+'!$AA$10,"C+",IF(D582&lt;'PlayerGrades+'!$AA$9,"B-",IF(D582&lt;'PlayerGrades+'!$AA$8,"B",IF(D582&lt;'PlayerGrades+'!$AA$7,"B+",IF(D582&lt;'PlayerGrades+'!$AA$6,"A-",IF(D582&lt;'PlayerGrades+'!$AA$5,"A",IF(D582&lt;'PlayerGrades+'!$AA$4,"A+",IF(D582&lt;'PlayerGrades+'!$AA$3,"S-",IF(D582&lt;'PlayerGrades+'!$AA$2,"S","S+"))))))))))))))))))))</f>
        <v>A+</v>
      </c>
      <c r="F582" s="973">
        <f t="shared" si="2"/>
        <v>0.03792667509</v>
      </c>
      <c r="G582" s="973" t="str">
        <f>IF(F582&lt;'PlayerGrades+'!$AB$21,"F-",IF(F582&lt;'PlayerGrades+'!$AB$20,"F",IF(F582&lt;'PlayerGrades+'!$AB$19,"F+",IF(F582&lt;'PlayerGrades+'!$AB$18,"E-",IF(F582&lt;'PlayerGrades+'!$AB$17,"E",IF(F582&lt;'PlayerGrades+'!$AB$16,"E+",IF(F582&lt;'PlayerGrades+'!$AB$15,"D-",IF(F582&lt;'PlayerGrades+'!$AB$14,"D",IF(F582&lt;'PlayerGrades+'!$AB$13,"D+",IF(F582&lt;'PlayerGrades+'!$AB$12,"C-",IF(F582&lt;'PlayerGrades+'!$AB$11,"C",IF(F582&lt;'PlayerGrades+'!$AB$10,"C+",IF(F582&lt;'PlayerGrades+'!$AB$9,"B-",IF(F582&lt;'PlayerGrades+'!$AB$8,"B",IF(F582&lt;'PlayerGrades+'!$AB$7,"B+",IF(F582&lt;'PlayerGrades+'!$AB$6,"A-",IF(F582&lt;'PlayerGrades+'!$AB$5,"A",IF(F582&lt;'PlayerGrades+'!$AB$4,"A+",IF(F582&lt;'PlayerGrades+'!$AB$3,"S-",IF(F582&lt;'PlayerGrades+'!$AB$2,"S","S+"))))))))))))))))))))</f>
        <v>B</v>
      </c>
      <c r="H582" s="973">
        <f t="shared" si="3"/>
        <v>0</v>
      </c>
      <c r="I582" s="973" t="str">
        <f>IF(H582&lt;'PlayerGrades+'!$AC$21,"F-",IF(H582&lt;'PlayerGrades+'!$AC$20,"F",IF(H582&lt;'PlayerGrades+'!$AC$19,"F+",IF(H582&lt;'PlayerGrades+'!$AC$18,"E-",IF(H582&lt;'PlayerGrades+'!$AC$17,"E",IF(H582&lt;'PlayerGrades+'!$AC$16,"E+",IF(H582&lt;'PlayerGrades+'!$AC$15,"D-",IF(H582&lt;'PlayerGrades+'!$AC$14,"D",IF(H582&lt;'PlayerGrades+'!$AC$13,"D+",IF(H582&lt;'PlayerGrades+'!$AC$12,"C-",IF(H582&lt;'PlayerGrades+'!$AC$11,"C",IF(H582&lt;'PlayerGrades+'!$AC$10,"C+",IF(H582&lt;'PlayerGrades+'!$AC$9,"B-",IF(H582&lt;'PlayerGrades+'!$AC$8,"B",IF(H582&lt;'PlayerGrades+'!$AC$7,"B+",IF(H582&lt;'PlayerGrades+'!$AC$6,"A-",IF(H582&lt;'PlayerGrades+'!$AC$5,"A",IF(H582&lt;'PlayerGrades+'!$AC$4,"A+",IF(H582&lt;'PlayerGrades+'!$AC$3,"S-",IF(H582&lt;'PlayerGrades+'!$AC$2,"S","S+"))))))))))))))))))))</f>
        <v>F-</v>
      </c>
      <c r="J582" s="973">
        <f t="shared" si="4"/>
        <v>0.07585335019</v>
      </c>
      <c r="K582" s="973" t="str">
        <f>IF(J582&lt;'PlayerGrades+'!$AD$21,"F-",IF(J582&lt;'PlayerGrades+'!$AD$20,"F",IF(J582&lt;'PlayerGrades+'!$AD$19,"F+",IF(J582&lt;'PlayerGrades+'!$AD$18,"E-",IF(J582&lt;'PlayerGrades+'!$AD$17,"E",IF(J582&lt;'PlayerGrades+'!$AD$16,"E+",IF(J582&lt;'PlayerGrades+'!$AD$15,"D-",IF(J582&lt;'PlayerGrades+'!$AD$14,"D",IF(J582&lt;'PlayerGrades+'!$AD$13,"D+",IF(J582&lt;'PlayerGrades+'!$AD$12,"C-",IF(J582&lt;'PlayerGrades+'!$AD$11,"C",IF(J582&lt;'PlayerGrades+'!$AD$10,"C+",IF(J582&lt;'PlayerGrades+'!$AD$9,"B-",IF(J582&lt;'PlayerGrades+'!$AD$8,"B",IF(J582&lt;'PlayerGrades+'!$AD$7,"B+",IF(J582&lt;'PlayerGrades+'!$AD$6,"A-",IF(J582&lt;'PlayerGrades+'!$AD$5,"A",IF(J582&lt;'PlayerGrades+'!$AD$4,"A+",IF(J582&lt;'PlayerGrades+'!$AD$3,"S-",IF(J582&lt;'PlayerGrades+'!$AD$2,"S","S+"))))))))))))))))))))</f>
        <v>A+</v>
      </c>
      <c r="L582" s="974">
        <f t="shared" si="5"/>
        <v>0.3034134008</v>
      </c>
      <c r="M582" s="975" t="str">
        <f>IF(L582&lt;'PlayerGrades+'!$AE$21,"F-",IF(L582&lt;'PlayerGrades+'!$AE$20,"F",IF(L582&lt;'PlayerGrades+'!$AE$19,"F+",IF(L582&lt;'PlayerGrades+'!$AE$18,"E-",IF(L582&lt;'PlayerGrades+'!$AE$17,"E",IF(L582&lt;'PlayerGrades+'!$AE$16,"E+",IF(L582&lt;'PlayerGrades+'!$AE$15,"D-",IF(L582&lt;'PlayerGrades+'!$AE$14,"D",IF(L582&lt;'PlayerGrades+'!$AE$13,"D+",IF(L582&lt;'PlayerGrades+'!$AE$12,"C-",IF(L582&lt;'PlayerGrades+'!$AE$11,"C",IF(L582&lt;'PlayerGrades+'!$AE$10,"C+",IF(L582&lt;'PlayerGrades+'!$AE$9,"B-",IF(L582&lt;'PlayerGrades+'!$AE$8,"B",IF(L582&lt;'PlayerGrades+'!$AE$7,"B+",IF(L582&lt;'PlayerGrades+'!$AE$6,"A-",IF(L582&lt;'PlayerGrades+'!$AE$5,"A",IF(L582&lt;'PlayerGrades+'!$AE$4,"A+",IF(L582&lt;'PlayerGrades+'!$AE$3,"S-",IF(L582&lt;'PlayerGrades+'!$AE$2,"S","S+"))))))))))))))))))))</f>
        <v>E-</v>
      </c>
      <c r="N582" s="973">
        <f t="shared" si="6"/>
        <v>0.07585335019</v>
      </c>
      <c r="O582" s="973" t="str">
        <f>IF(N582&lt;'PlayerGrades+'!$AF$21,"F-",IF(N582&lt;'PlayerGrades+'!$AF$20,"F",IF(N582&lt;'PlayerGrades+'!$AF$19,"F+",IF(N582&lt;'PlayerGrades+'!$AF$18,"E-",IF(N582&lt;'PlayerGrades+'!$AF$17,"E",IF(N582&lt;'PlayerGrades+'!$AF$16,"E+",IF(N582&lt;'PlayerGrades+'!$AF$15,"D-",IF(N582&lt;'PlayerGrades+'!$AF$14,"D",IF(N582&lt;'PlayerGrades+'!$AF$13,"D+",IF(N582&lt;'PlayerGrades+'!$AF$12,"C-",IF(N582&lt;'PlayerGrades+'!$AF$11,"C",IF(N582&lt;'PlayerGrades+'!$AF$10,"C+",IF(N582&lt;'PlayerGrades+'!$AF$9,"B-",IF(N582&lt;'PlayerGrades+'!$AF$8,"B",IF(N582&lt;'PlayerGrades+'!$AF$7,"B+",IF(N582&lt;'PlayerGrades+'!$AF$6,"A-",IF(N582&lt;'PlayerGrades+'!$AF$5,"A",IF(N582&lt;'PlayerGrades+'!$AF$4,"A+",IF(N582&lt;'PlayerGrades+'!$AF$3,"S-",IF(N582&lt;'PlayerGrades+'!$AF$2,"S","S+"))))))))))))))))))))</f>
        <v>B-</v>
      </c>
      <c r="P582" s="973">
        <f t="shared" si="7"/>
        <v>0.03792667509</v>
      </c>
      <c r="Q582" s="973" t="str">
        <f>IF(P582&lt;'PlayerGrades+'!$AG$21,"F-",IF(P582&lt;'PlayerGrades+'!$AG$20,"F",IF(P582&lt;'PlayerGrades+'!$AG$19,"F+",IF(P582&lt;'PlayerGrades+'!$AG$18,"E-",IF(P582&lt;'PlayerGrades+'!$AG$17,"E",IF(P582&lt;'PlayerGrades+'!$AG$16,"E+",IF(P582&lt;'PlayerGrades+'!$AG$15,"D-",IF(P582&lt;'PlayerGrades+'!$AG$14,"D",IF(P582&lt;'PlayerGrades+'!$AG$13,"D+",IF(P582&lt;'PlayerGrades+'!$AG$12,"C-",IF(P582&lt;'PlayerGrades+'!$AG$11,"C",IF(P582&lt;'PlayerGrades+'!$AG$10,"C+",IF(P582&lt;'PlayerGrades+'!$AG$9,"B-",IF(P582&lt;'PlayerGrades+'!$AG$8,"B",IF(P582&lt;'PlayerGrades+'!$AG$7,"B+",IF(P582&lt;'PlayerGrades+'!$AG$6,"A-",IF(P582&lt;'PlayerGrades+'!$AG$5,"A",IF(P582&lt;'PlayerGrades+'!$AG$4,"A+",IF(P582&lt;'PlayerGrades+'!$AG$3,"S-",IF(P582&lt;'PlayerGrades+'!$AG$2,"S","S+"))))))))))))))))))))</f>
        <v>A-</v>
      </c>
      <c r="R582" s="973">
        <f t="shared" si="8"/>
        <v>0.6826801517</v>
      </c>
      <c r="S582" s="973" t="str">
        <f>IF(R582&lt;'PlayerGrades+'!$AH$21,"F-",IF(R582&lt;'PlayerGrades+'!$AH$20,"F",IF(R582&lt;'PlayerGrades+'!$AH$19,"F+",IF(R582&lt;'PlayerGrades+'!$AH$18,"E-",IF(R582&lt;'PlayerGrades+'!$AH$17,"E",IF(R582&lt;'PlayerGrades+'!$AH$16,"E+",IF(R582&lt;'PlayerGrades+'!$AH$15,"D-",IF(R582&lt;'PlayerGrades+'!$AH$14,"D",IF(R582&lt;'PlayerGrades+'!$AH$13,"D+",IF(R582&lt;'PlayerGrades+'!$AH$12,"C-",IF(R582&lt;'PlayerGrades+'!$AH$11,"C",IF(R582&lt;'PlayerGrades+'!$AH$10,"C+",IF(R582&lt;'PlayerGrades+'!$AH$9,"B-",IF(R582&lt;'PlayerGrades+'!$AH$8,"B",IF(R582&lt;'PlayerGrades+'!$AH$7,"B+",IF(R582&lt;'PlayerGrades+'!$AH$6,"A-",IF(R582&lt;'PlayerGrades+'!$AH$5,"A",IF(R582&lt;'PlayerGrades+'!$AH$4,"A+",IF(R582&lt;'PlayerGrades+'!$AH$3,"S-",IF(R582&lt;'PlayerGrades+'!$AH$2,"S","S+"))))))))))))))))))))</f>
        <v>S-</v>
      </c>
      <c r="T582" s="973">
        <f t="shared" si="9"/>
        <v>0.2654867257</v>
      </c>
      <c r="U582" s="973" t="str">
        <f>IF(T582&lt;'PlayerGrades+'!$AI$21,"F-",IF(T582&lt;'PlayerGrades+'!$AI$20,"F",IF(T582&lt;'PlayerGrades+'!$AI$19,"F+",IF(T582&lt;'PlayerGrades+'!$AI$18,"E-",IF(T582&lt;'PlayerGrades+'!$AI$17,"E",IF(T582&lt;'PlayerGrades+'!$AI$16,"E+",IF(T582&lt;'PlayerGrades+'!$AI$15,"D-",IF(T582&lt;'PlayerGrades+'!$AI$14,"D",IF(T582&lt;'PlayerGrades+'!$AI$13,"D+",IF(T582&lt;'PlayerGrades+'!$AI$12,"C-",IF(T582&lt;'PlayerGrades+'!$AI$11,"C",IF(T582&lt;'PlayerGrades+'!$AI$10,"C+",IF(T582&lt;'PlayerGrades+'!$AI$9,"B-",IF(T582&lt;'PlayerGrades+'!$AI$8,"B",IF(T582&lt;'PlayerGrades+'!$AI$7,"B+",IF(T582&lt;'PlayerGrades+'!$AI$6,"A-",IF(T582&lt;'PlayerGrades+'!$AI$5,"A",IF(T582&lt;'PlayerGrades+'!$AI$4,"A+",IF(T582&lt;'PlayerGrades+'!$AI$3,"S-",IF(T582&lt;'PlayerGrades+'!$AI$2,"S","S+"))))))))))))))))))))</f>
        <v>F-</v>
      </c>
      <c r="V582" s="941">
        <v>1.0</v>
      </c>
      <c r="W582" s="941">
        <v>0.0</v>
      </c>
      <c r="X582" s="941">
        <v>1.0</v>
      </c>
      <c r="Y582" s="941">
        <v>2.0</v>
      </c>
      <c r="Z582" s="941">
        <v>11.0</v>
      </c>
      <c r="AA582" s="941">
        <v>74.0</v>
      </c>
      <c r="AB582" s="941">
        <v>73.0</v>
      </c>
      <c r="AC582" s="941">
        <v>1.0</v>
      </c>
      <c r="AD582" s="941">
        <v>5.0</v>
      </c>
      <c r="AE582" s="941">
        <v>5.0</v>
      </c>
      <c r="AF582" s="941">
        <v>4.0</v>
      </c>
      <c r="AG582" s="941">
        <v>1258.0</v>
      </c>
      <c r="AH582" s="941">
        <v>1582.0</v>
      </c>
      <c r="AI582" s="941">
        <v>17.0</v>
      </c>
      <c r="AJ582" s="941">
        <v>515.0</v>
      </c>
      <c r="AK582" s="941">
        <v>0.0</v>
      </c>
      <c r="AL582" s="941">
        <v>2.0</v>
      </c>
      <c r="AM582" s="941">
        <v>0.0</v>
      </c>
      <c r="AN582" s="941">
        <v>0.0</v>
      </c>
      <c r="AO582" s="941">
        <v>0.0</v>
      </c>
      <c r="AP582" s="941">
        <v>1.0</v>
      </c>
      <c r="AQ582" s="941">
        <v>0.0</v>
      </c>
      <c r="AR582" s="941">
        <v>8.0</v>
      </c>
      <c r="AS582" s="941">
        <v>2.0</v>
      </c>
      <c r="AT582" s="941">
        <v>0.0</v>
      </c>
      <c r="AU582" s="941">
        <v>0.0</v>
      </c>
      <c r="AV582" s="941">
        <v>0.0</v>
      </c>
      <c r="AW582" s="941">
        <v>0.0</v>
      </c>
      <c r="AX582" s="941">
        <v>0.0</v>
      </c>
      <c r="AY582" s="941">
        <v>0.0</v>
      </c>
      <c r="AZ582" s="941">
        <v>0.0</v>
      </c>
      <c r="BA582" s="941">
        <v>0.0</v>
      </c>
      <c r="BB582" s="941">
        <v>0.0</v>
      </c>
      <c r="BC582" s="941">
        <v>0.0</v>
      </c>
      <c r="BD582" s="941">
        <v>13.0</v>
      </c>
      <c r="BE582" s="941">
        <v>7.0</v>
      </c>
      <c r="BF582" s="941">
        <v>0.0</v>
      </c>
      <c r="BG582" s="941">
        <v>1.0</v>
      </c>
    </row>
    <row r="583">
      <c r="A583" s="1" t="s">
        <v>152</v>
      </c>
      <c r="B583" s="421" t="str">
        <f>IF(C583&lt;'PlayerGrades+'!$Y$44,"F-",IF(C583&lt;'PlayerGrades+'!$Y$43,"F",IF(C583&lt;'PlayerGrades+'!$Y$42,"F+",IF(C583&lt;'PlayerGrades+'!$Y$41,"E-",IF(C583&lt;'PlayerGrades+'!$Y$40,"E",IF(C583&lt;'PlayerGrades+'!$Y$39,"E+",IF(C583&lt;'PlayerGrades+'!$Y$38,"D-",IF(C583&lt;'PlayerGrades+'!$Y$37,"D",IF(C583&lt;'PlayerGrades+'!$Y$36,"D+",IF(C583&lt;'PlayerGrades+'!$Y$35,"C-",IF(C583&lt;'PlayerGrades+'!$Y$34,"C",IF(C583&lt;'PlayerGrades+'!$Y$33,"C+",IF(C583&lt;'PlayerGrades+'!$Y$32,"B-",IF(C583&lt;'PlayerGrades+'!$Y$31,"B",IF(C583&lt;'PlayerGrades+'!$Y$30,"B+",IF(C583&lt;'PlayerGrades+'!$Y$29,"A-",IF(C583&lt;'PlayerGrades+'!$Y$28,"A",IF(C583&lt;'PlayerGrades+'!$Y$27,"A+",IF(C583&lt;'PlayerGrades+'!$Y$26,"S-",IF(C583&lt;'PlayerGrades+'!$Y$25,"S","S+"))))))))))))))))))))</f>
        <v>D-</v>
      </c>
      <c r="C583" s="972">
        <f>('PlayerGrades+'!$Y$47*(VLOOKUP(E583, 'PlayerGrades+'!$X$3:$Y$23, 2, FALSE)))+('PlayerGrades+'!$Y$48*(VLOOKUP(G583, 'PlayerGrades+'!$X$3:$Y$23, 2, FALSE)))+('PlayerGrades+'!$Y$49*(VLOOKUP(I583, 'PlayerGrades+'!$X$3:$Y$23, 2, FALSE)))+('PlayerGrades+'!$Y$50*(VLOOKUP(K583, 'PlayerGrades+'!$X$3:$Y$23, 2, FALSE)))+('PlayerGrades+'!$Y$51*(VLOOKUP(M583, 'PlayerGrades+'!$X$3:$Y$23, 2, FALSE)))+('PlayerGrades+'!$Y$52*(VLOOKUP(O583, 'PlayerGrades+'!$X$3:$Y$23, 2, FALSE)))+('PlayerGrades+'!$Y$53*(VLOOKUP(Q583, 'PlayerGrades+'!$X$3:$Y$23, 2, FALSE)))+('PlayerGrades+'!$Y$54*(VLOOKUP(S583, 'PlayerGrades+'!$X$3:$Y$23, 2, FALSE)))+('PlayerGrades+'!$Y$55*(VLOOKUP(U583, 'PlayerGrades+'!$X$3:$Y$23, 2, FALSE)))</f>
        <v>14.2</v>
      </c>
      <c r="D583" s="973">
        <f t="shared" si="1"/>
        <v>0.07585335019</v>
      </c>
      <c r="E583" s="973" t="str">
        <f>IF(D583&lt;'PlayerGrades+'!$AA$21,"F-",IF(D583&lt;'PlayerGrades+'!$AA$20,"F",IF(D583&lt;'PlayerGrades+'!$AA$19,"F+",IF(D583&lt;'PlayerGrades+'!$AA$18,"E-",IF(D583&lt;'PlayerGrades+'!$AA$17,"E",IF(D583&lt;'PlayerGrades+'!$AA$16,"E+",IF(D583&lt;'PlayerGrades+'!$AA$15,"D-",IF(D583&lt;'PlayerGrades+'!$AA$14,"D",IF(D583&lt;'PlayerGrades+'!$AA$13,"D+",IF(D583&lt;'PlayerGrades+'!$AA$12,"C-",IF(D583&lt;'PlayerGrades+'!$AA$11,"C",IF(D583&lt;'PlayerGrades+'!$AA$10,"C+",IF(D583&lt;'PlayerGrades+'!$AA$9,"B-",IF(D583&lt;'PlayerGrades+'!$AA$8,"B",IF(D583&lt;'PlayerGrades+'!$AA$7,"B+",IF(D583&lt;'PlayerGrades+'!$AA$6,"A-",IF(D583&lt;'PlayerGrades+'!$AA$5,"A",IF(D583&lt;'PlayerGrades+'!$AA$4,"A+",IF(D583&lt;'PlayerGrades+'!$AA$3,"S-",IF(D583&lt;'PlayerGrades+'!$AA$2,"S","S+"))))))))))))))))))))</f>
        <v>B</v>
      </c>
      <c r="F583" s="973">
        <f t="shared" si="2"/>
        <v>-0.6826801517</v>
      </c>
      <c r="G583" s="973" t="str">
        <f>IF(F583&lt;'PlayerGrades+'!$AB$21,"F-",IF(F583&lt;'PlayerGrades+'!$AB$20,"F",IF(F583&lt;'PlayerGrades+'!$AB$19,"F+",IF(F583&lt;'PlayerGrades+'!$AB$18,"E-",IF(F583&lt;'PlayerGrades+'!$AB$17,"E",IF(F583&lt;'PlayerGrades+'!$AB$16,"E+",IF(F583&lt;'PlayerGrades+'!$AB$15,"D-",IF(F583&lt;'PlayerGrades+'!$AB$14,"D",IF(F583&lt;'PlayerGrades+'!$AB$13,"D+",IF(F583&lt;'PlayerGrades+'!$AB$12,"C-",IF(F583&lt;'PlayerGrades+'!$AB$11,"C",IF(F583&lt;'PlayerGrades+'!$AB$10,"C+",IF(F583&lt;'PlayerGrades+'!$AB$9,"B-",IF(F583&lt;'PlayerGrades+'!$AB$8,"B",IF(F583&lt;'PlayerGrades+'!$AB$7,"B+",IF(F583&lt;'PlayerGrades+'!$AB$6,"A-",IF(F583&lt;'PlayerGrades+'!$AB$5,"A",IF(F583&lt;'PlayerGrades+'!$AB$4,"A+",IF(F583&lt;'PlayerGrades+'!$AB$3,"S-",IF(F583&lt;'PlayerGrades+'!$AB$2,"S","S+"))))))))))))))))))))</f>
        <v>E+</v>
      </c>
      <c r="H583" s="973">
        <f t="shared" si="3"/>
        <v>0</v>
      </c>
      <c r="I583" s="973" t="str">
        <f>IF(H583&lt;'PlayerGrades+'!$AC$21,"F-",IF(H583&lt;'PlayerGrades+'!$AC$20,"F",IF(H583&lt;'PlayerGrades+'!$AC$19,"F+",IF(H583&lt;'PlayerGrades+'!$AC$18,"E-",IF(H583&lt;'PlayerGrades+'!$AC$17,"E",IF(H583&lt;'PlayerGrades+'!$AC$16,"E+",IF(H583&lt;'PlayerGrades+'!$AC$15,"D-",IF(H583&lt;'PlayerGrades+'!$AC$14,"D",IF(H583&lt;'PlayerGrades+'!$AC$13,"D+",IF(H583&lt;'PlayerGrades+'!$AC$12,"C-",IF(H583&lt;'PlayerGrades+'!$AC$11,"C",IF(H583&lt;'PlayerGrades+'!$AC$10,"C+",IF(H583&lt;'PlayerGrades+'!$AC$9,"B-",IF(H583&lt;'PlayerGrades+'!$AC$8,"B",IF(H583&lt;'PlayerGrades+'!$AC$7,"B+",IF(H583&lt;'PlayerGrades+'!$AC$6,"A-",IF(H583&lt;'PlayerGrades+'!$AC$5,"A",IF(H583&lt;'PlayerGrades+'!$AC$4,"A+",IF(H583&lt;'PlayerGrades+'!$AC$3,"S-",IF(H583&lt;'PlayerGrades+'!$AC$2,"S","S+"))))))))))))))))))))</f>
        <v>F-</v>
      </c>
      <c r="J583" s="973">
        <f t="shared" si="4"/>
        <v>0</v>
      </c>
      <c r="K583" s="973" t="str">
        <f>IF(J583&lt;'PlayerGrades+'!$AD$21,"F-",IF(J583&lt;'PlayerGrades+'!$AD$20,"F",IF(J583&lt;'PlayerGrades+'!$AD$19,"F+",IF(J583&lt;'PlayerGrades+'!$AD$18,"E-",IF(J583&lt;'PlayerGrades+'!$AD$17,"E",IF(J583&lt;'PlayerGrades+'!$AD$16,"E+",IF(J583&lt;'PlayerGrades+'!$AD$15,"D-",IF(J583&lt;'PlayerGrades+'!$AD$14,"D",IF(J583&lt;'PlayerGrades+'!$AD$13,"D+",IF(J583&lt;'PlayerGrades+'!$AD$12,"C-",IF(J583&lt;'PlayerGrades+'!$AD$11,"C",IF(J583&lt;'PlayerGrades+'!$AD$10,"C+",IF(J583&lt;'PlayerGrades+'!$AD$9,"B-",IF(J583&lt;'PlayerGrades+'!$AD$8,"B",IF(J583&lt;'PlayerGrades+'!$AD$7,"B+",IF(J583&lt;'PlayerGrades+'!$AD$6,"A-",IF(J583&lt;'PlayerGrades+'!$AD$5,"A",IF(J583&lt;'PlayerGrades+'!$AD$4,"A+",IF(J583&lt;'PlayerGrades+'!$AD$3,"S-",IF(J583&lt;'PlayerGrades+'!$AD$2,"S","S+"))))))))))))))))))))</f>
        <v>F-</v>
      </c>
      <c r="L583" s="974">
        <f t="shared" si="5"/>
        <v>0.4930467762</v>
      </c>
      <c r="M583" s="975" t="str">
        <f>IF(L583&lt;'PlayerGrades+'!$AE$21,"F-",IF(L583&lt;'PlayerGrades+'!$AE$20,"F",IF(L583&lt;'PlayerGrades+'!$AE$19,"F+",IF(L583&lt;'PlayerGrades+'!$AE$18,"E-",IF(L583&lt;'PlayerGrades+'!$AE$17,"E",IF(L583&lt;'PlayerGrades+'!$AE$16,"E+",IF(L583&lt;'PlayerGrades+'!$AE$15,"D-",IF(L583&lt;'PlayerGrades+'!$AE$14,"D",IF(L583&lt;'PlayerGrades+'!$AE$13,"D+",IF(L583&lt;'PlayerGrades+'!$AE$12,"C-",IF(L583&lt;'PlayerGrades+'!$AE$11,"C",IF(L583&lt;'PlayerGrades+'!$AE$10,"C+",IF(L583&lt;'PlayerGrades+'!$AE$9,"B-",IF(L583&lt;'PlayerGrades+'!$AE$8,"B",IF(L583&lt;'PlayerGrades+'!$AE$7,"B+",IF(L583&lt;'PlayerGrades+'!$AE$6,"A-",IF(L583&lt;'PlayerGrades+'!$AE$5,"A",IF(L583&lt;'PlayerGrades+'!$AE$4,"A+",IF(L583&lt;'PlayerGrades+'!$AE$3,"S-",IF(L583&lt;'PlayerGrades+'!$AE$2,"S","S+"))))))))))))))))))))</f>
        <v>A-</v>
      </c>
      <c r="N583" s="973">
        <f t="shared" si="6"/>
        <v>0.07585335019</v>
      </c>
      <c r="O583" s="973" t="str">
        <f>IF(N583&lt;'PlayerGrades+'!$AF$21,"F-",IF(N583&lt;'PlayerGrades+'!$AF$20,"F",IF(N583&lt;'PlayerGrades+'!$AF$19,"F+",IF(N583&lt;'PlayerGrades+'!$AF$18,"E-",IF(N583&lt;'PlayerGrades+'!$AF$17,"E",IF(N583&lt;'PlayerGrades+'!$AF$16,"E+",IF(N583&lt;'PlayerGrades+'!$AF$15,"D-",IF(N583&lt;'PlayerGrades+'!$AF$14,"D",IF(N583&lt;'PlayerGrades+'!$AF$13,"D+",IF(N583&lt;'PlayerGrades+'!$AF$12,"C-",IF(N583&lt;'PlayerGrades+'!$AF$11,"C",IF(N583&lt;'PlayerGrades+'!$AF$10,"C+",IF(N583&lt;'PlayerGrades+'!$AF$9,"B-",IF(N583&lt;'PlayerGrades+'!$AF$8,"B",IF(N583&lt;'PlayerGrades+'!$AF$7,"B+",IF(N583&lt;'PlayerGrades+'!$AF$6,"A-",IF(N583&lt;'PlayerGrades+'!$AF$5,"A",IF(N583&lt;'PlayerGrades+'!$AF$4,"A+",IF(N583&lt;'PlayerGrades+'!$AF$3,"S-",IF(N583&lt;'PlayerGrades+'!$AF$2,"S","S+"))))))))))))))))))))</f>
        <v>B-</v>
      </c>
      <c r="P583" s="973">
        <f t="shared" si="7"/>
        <v>0</v>
      </c>
      <c r="Q583" s="973" t="str">
        <f>IF(P583&lt;'PlayerGrades+'!$AG$21,"F-",IF(P583&lt;'PlayerGrades+'!$AG$20,"F",IF(P583&lt;'PlayerGrades+'!$AG$19,"F+",IF(P583&lt;'PlayerGrades+'!$AG$18,"E-",IF(P583&lt;'PlayerGrades+'!$AG$17,"E",IF(P583&lt;'PlayerGrades+'!$AG$16,"E+",IF(P583&lt;'PlayerGrades+'!$AG$15,"D-",IF(P583&lt;'PlayerGrades+'!$AG$14,"D",IF(P583&lt;'PlayerGrades+'!$AG$13,"D+",IF(P583&lt;'PlayerGrades+'!$AG$12,"C-",IF(P583&lt;'PlayerGrades+'!$AG$11,"C",IF(P583&lt;'PlayerGrades+'!$AG$10,"C+",IF(P583&lt;'PlayerGrades+'!$AG$9,"B-",IF(P583&lt;'PlayerGrades+'!$AG$8,"B",IF(P583&lt;'PlayerGrades+'!$AG$7,"B+",IF(P583&lt;'PlayerGrades+'!$AG$6,"A-",IF(P583&lt;'PlayerGrades+'!$AG$5,"A",IF(P583&lt;'PlayerGrades+'!$AG$4,"A+",IF(P583&lt;'PlayerGrades+'!$AG$3,"S-",IF(P583&lt;'PlayerGrades+'!$AG$2,"S","S+"))))))))))))))))))))</f>
        <v>F</v>
      </c>
      <c r="R583" s="973">
        <f t="shared" si="8"/>
        <v>0.3413400759</v>
      </c>
      <c r="S583" s="973" t="str">
        <f>IF(R583&lt;'PlayerGrades+'!$AH$21,"F-",IF(R583&lt;'PlayerGrades+'!$AH$20,"F",IF(R583&lt;'PlayerGrades+'!$AH$19,"F+",IF(R583&lt;'PlayerGrades+'!$AH$18,"E-",IF(R583&lt;'PlayerGrades+'!$AH$17,"E",IF(R583&lt;'PlayerGrades+'!$AH$16,"E+",IF(R583&lt;'PlayerGrades+'!$AH$15,"D-",IF(R583&lt;'PlayerGrades+'!$AH$14,"D",IF(R583&lt;'PlayerGrades+'!$AH$13,"D+",IF(R583&lt;'PlayerGrades+'!$AH$12,"C-",IF(R583&lt;'PlayerGrades+'!$AH$11,"C",IF(R583&lt;'PlayerGrades+'!$AH$10,"C+",IF(R583&lt;'PlayerGrades+'!$AH$9,"B-",IF(R583&lt;'PlayerGrades+'!$AH$8,"B",IF(R583&lt;'PlayerGrades+'!$AH$7,"B+",IF(R583&lt;'PlayerGrades+'!$AH$6,"A-",IF(R583&lt;'PlayerGrades+'!$AH$5,"A",IF(R583&lt;'PlayerGrades+'!$AH$4,"A+",IF(R583&lt;'PlayerGrades+'!$AH$3,"S-",IF(R583&lt;'PlayerGrades+'!$AH$2,"S","S+"))))))))))))))))))))</f>
        <v>F</v>
      </c>
      <c r="T583" s="973">
        <f t="shared" si="9"/>
        <v>0.3034134008</v>
      </c>
      <c r="U583" s="973" t="str">
        <f>IF(T583&lt;'PlayerGrades+'!$AI$21,"F-",IF(T583&lt;'PlayerGrades+'!$AI$20,"F",IF(T583&lt;'PlayerGrades+'!$AI$19,"F+",IF(T583&lt;'PlayerGrades+'!$AI$18,"E-",IF(T583&lt;'PlayerGrades+'!$AI$17,"E",IF(T583&lt;'PlayerGrades+'!$AI$16,"E+",IF(T583&lt;'PlayerGrades+'!$AI$15,"D-",IF(T583&lt;'PlayerGrades+'!$AI$14,"D",IF(T583&lt;'PlayerGrades+'!$AI$13,"D+",IF(T583&lt;'PlayerGrades+'!$AI$12,"C-",IF(T583&lt;'PlayerGrades+'!$AI$11,"C",IF(T583&lt;'PlayerGrades+'!$AI$10,"C+",IF(T583&lt;'PlayerGrades+'!$AI$9,"B-",IF(T583&lt;'PlayerGrades+'!$AI$8,"B",IF(T583&lt;'PlayerGrades+'!$AI$7,"B+",IF(T583&lt;'PlayerGrades+'!$AI$6,"A-",IF(T583&lt;'PlayerGrades+'!$AI$5,"A",IF(T583&lt;'PlayerGrades+'!$AI$4,"A+",IF(T583&lt;'PlayerGrades+'!$AI$3,"S-",IF(T583&lt;'PlayerGrades+'!$AI$2,"S","S+"))))))))))))))))))))</f>
        <v>F-</v>
      </c>
      <c r="V583" s="941">
        <v>1.0</v>
      </c>
      <c r="W583" s="941">
        <v>0.0</v>
      </c>
      <c r="X583" s="941">
        <v>1.0</v>
      </c>
      <c r="Y583" s="941">
        <v>1.0</v>
      </c>
      <c r="Z583" s="941">
        <v>1.0</v>
      </c>
      <c r="AA583" s="941">
        <v>83.0</v>
      </c>
      <c r="AB583" s="941">
        <v>101.0</v>
      </c>
      <c r="AC583" s="941">
        <v>-18.0</v>
      </c>
      <c r="AD583" s="941">
        <v>1.0</v>
      </c>
      <c r="AE583" s="941">
        <v>4.0</v>
      </c>
      <c r="AF583" s="941">
        <v>0.0</v>
      </c>
      <c r="AG583" s="941">
        <v>1175.0</v>
      </c>
      <c r="AH583" s="941">
        <v>1582.0</v>
      </c>
      <c r="AI583" s="941">
        <v>11.0</v>
      </c>
      <c r="AJ583" s="941">
        <v>13.0</v>
      </c>
      <c r="AK583" s="941">
        <v>0.0</v>
      </c>
      <c r="AL583" s="941">
        <v>0.0</v>
      </c>
      <c r="AM583" s="941">
        <v>0.0</v>
      </c>
      <c r="AN583" s="941">
        <v>0.0</v>
      </c>
      <c r="AO583" s="941">
        <v>0.0</v>
      </c>
      <c r="AP583" s="941">
        <v>0.0</v>
      </c>
      <c r="AQ583" s="941">
        <v>0.0</v>
      </c>
      <c r="AR583" s="941">
        <v>13.0</v>
      </c>
      <c r="AS583" s="941">
        <v>2.0</v>
      </c>
      <c r="AT583" s="941">
        <v>1.0</v>
      </c>
      <c r="AU583" s="941">
        <v>0.0</v>
      </c>
      <c r="AV583" s="941">
        <v>0.0</v>
      </c>
      <c r="AW583" s="941">
        <v>0.0</v>
      </c>
      <c r="AX583" s="941">
        <v>0.0</v>
      </c>
      <c r="AY583" s="941">
        <v>0.0</v>
      </c>
      <c r="AZ583" s="941">
        <v>0.0</v>
      </c>
      <c r="BA583" s="941">
        <v>0.0</v>
      </c>
      <c r="BB583" s="941">
        <v>0.0</v>
      </c>
      <c r="BC583" s="941">
        <v>0.0</v>
      </c>
      <c r="BD583" s="941">
        <v>8.0</v>
      </c>
      <c r="BE583" s="941">
        <v>8.0</v>
      </c>
      <c r="BF583" s="941">
        <v>0.0</v>
      </c>
      <c r="BG583" s="941">
        <v>1.0</v>
      </c>
    </row>
    <row r="584">
      <c r="A584" s="1" t="s">
        <v>141</v>
      </c>
      <c r="B584" s="421" t="str">
        <f>IF(C584&lt;'PlayerGrades+'!$Y$44,"F-",IF(C584&lt;'PlayerGrades+'!$Y$43,"F",IF(C584&lt;'PlayerGrades+'!$Y$42,"F+",IF(C584&lt;'PlayerGrades+'!$Y$41,"E-",IF(C584&lt;'PlayerGrades+'!$Y$40,"E",IF(C584&lt;'PlayerGrades+'!$Y$39,"E+",IF(C584&lt;'PlayerGrades+'!$Y$38,"D-",IF(C584&lt;'PlayerGrades+'!$Y$37,"D",IF(C584&lt;'PlayerGrades+'!$Y$36,"D+",IF(C584&lt;'PlayerGrades+'!$Y$35,"C-",IF(C584&lt;'PlayerGrades+'!$Y$34,"C",IF(C584&lt;'PlayerGrades+'!$Y$33,"C+",IF(C584&lt;'PlayerGrades+'!$Y$32,"B-",IF(C584&lt;'PlayerGrades+'!$Y$31,"B",IF(C584&lt;'PlayerGrades+'!$Y$30,"B+",IF(C584&lt;'PlayerGrades+'!$Y$29,"A-",IF(C584&lt;'PlayerGrades+'!$Y$28,"A",IF(C584&lt;'PlayerGrades+'!$Y$27,"A+",IF(C584&lt;'PlayerGrades+'!$Y$26,"S-",IF(C584&lt;'PlayerGrades+'!$Y$25,"S","S+"))))))))))))))))))))</f>
        <v>D-</v>
      </c>
      <c r="C584" s="972">
        <f>('PlayerGrades+'!$Y$47*(VLOOKUP(E584, 'PlayerGrades+'!$X$3:$Y$23, 2, FALSE)))+('PlayerGrades+'!$Y$48*(VLOOKUP(G584, 'PlayerGrades+'!$X$3:$Y$23, 2, FALSE)))+('PlayerGrades+'!$Y$49*(VLOOKUP(I584, 'PlayerGrades+'!$X$3:$Y$23, 2, FALSE)))+('PlayerGrades+'!$Y$50*(VLOOKUP(K584, 'PlayerGrades+'!$X$3:$Y$23, 2, FALSE)))+('PlayerGrades+'!$Y$51*(VLOOKUP(M584, 'PlayerGrades+'!$X$3:$Y$23, 2, FALSE)))+('PlayerGrades+'!$Y$52*(VLOOKUP(O584, 'PlayerGrades+'!$X$3:$Y$23, 2, FALSE)))+('PlayerGrades+'!$Y$53*(VLOOKUP(Q584, 'PlayerGrades+'!$X$3:$Y$23, 2, FALSE)))+('PlayerGrades+'!$Y$54*(VLOOKUP(S584, 'PlayerGrades+'!$X$3:$Y$23, 2, FALSE)))+('PlayerGrades+'!$Y$55*(VLOOKUP(U584, 'PlayerGrades+'!$X$3:$Y$23, 2, FALSE)))</f>
        <v>14.2</v>
      </c>
      <c r="D584" s="973">
        <f t="shared" si="1"/>
        <v>0.03792667509</v>
      </c>
      <c r="E584" s="973" t="str">
        <f>IF(D584&lt;'PlayerGrades+'!$AA$21,"F-",IF(D584&lt;'PlayerGrades+'!$AA$20,"F",IF(D584&lt;'PlayerGrades+'!$AA$19,"F+",IF(D584&lt;'PlayerGrades+'!$AA$18,"E-",IF(D584&lt;'PlayerGrades+'!$AA$17,"E",IF(D584&lt;'PlayerGrades+'!$AA$16,"E+",IF(D584&lt;'PlayerGrades+'!$AA$15,"D-",IF(D584&lt;'PlayerGrades+'!$AA$14,"D",IF(D584&lt;'PlayerGrades+'!$AA$13,"D+",IF(D584&lt;'PlayerGrades+'!$AA$12,"C-",IF(D584&lt;'PlayerGrades+'!$AA$11,"C",IF(D584&lt;'PlayerGrades+'!$AA$10,"C+",IF(D584&lt;'PlayerGrades+'!$AA$9,"B-",IF(D584&lt;'PlayerGrades+'!$AA$8,"B",IF(D584&lt;'PlayerGrades+'!$AA$7,"B+",IF(D584&lt;'PlayerGrades+'!$AA$6,"A-",IF(D584&lt;'PlayerGrades+'!$AA$5,"A",IF(D584&lt;'PlayerGrades+'!$AA$4,"A+",IF(D584&lt;'PlayerGrades+'!$AA$3,"S-",IF(D584&lt;'PlayerGrades+'!$AA$2,"S","S+"))))))))))))))))))))</f>
        <v>C</v>
      </c>
      <c r="F584" s="973">
        <f t="shared" si="2"/>
        <v>-0.4930467762</v>
      </c>
      <c r="G584" s="973" t="str">
        <f>IF(F584&lt;'PlayerGrades+'!$AB$21,"F-",IF(F584&lt;'PlayerGrades+'!$AB$20,"F",IF(F584&lt;'PlayerGrades+'!$AB$19,"F+",IF(F584&lt;'PlayerGrades+'!$AB$18,"E-",IF(F584&lt;'PlayerGrades+'!$AB$17,"E",IF(F584&lt;'PlayerGrades+'!$AB$16,"E+",IF(F584&lt;'PlayerGrades+'!$AB$15,"D-",IF(F584&lt;'PlayerGrades+'!$AB$14,"D",IF(F584&lt;'PlayerGrades+'!$AB$13,"D+",IF(F584&lt;'PlayerGrades+'!$AB$12,"C-",IF(F584&lt;'PlayerGrades+'!$AB$11,"C",IF(F584&lt;'PlayerGrades+'!$AB$10,"C+",IF(F584&lt;'PlayerGrades+'!$AB$9,"B-",IF(F584&lt;'PlayerGrades+'!$AB$8,"B",IF(F584&lt;'PlayerGrades+'!$AB$7,"B+",IF(F584&lt;'PlayerGrades+'!$AB$6,"A-",IF(F584&lt;'PlayerGrades+'!$AB$5,"A",IF(F584&lt;'PlayerGrades+'!$AB$4,"A+",IF(F584&lt;'PlayerGrades+'!$AB$3,"S-",IF(F584&lt;'PlayerGrades+'!$AB$2,"S","S+"))))))))))))))))))))</f>
        <v>D</v>
      </c>
      <c r="H584" s="973">
        <f t="shared" si="3"/>
        <v>0.03792667509</v>
      </c>
      <c r="I584" s="973" t="str">
        <f>IF(H584&lt;'PlayerGrades+'!$AC$21,"F-",IF(H584&lt;'PlayerGrades+'!$AC$20,"F",IF(H584&lt;'PlayerGrades+'!$AC$19,"F+",IF(H584&lt;'PlayerGrades+'!$AC$18,"E-",IF(H584&lt;'PlayerGrades+'!$AC$17,"E",IF(H584&lt;'PlayerGrades+'!$AC$16,"E+",IF(H584&lt;'PlayerGrades+'!$AC$15,"D-",IF(H584&lt;'PlayerGrades+'!$AC$14,"D",IF(H584&lt;'PlayerGrades+'!$AC$13,"D+",IF(H584&lt;'PlayerGrades+'!$AC$12,"C-",IF(H584&lt;'PlayerGrades+'!$AC$11,"C",IF(H584&lt;'PlayerGrades+'!$AC$10,"C+",IF(H584&lt;'PlayerGrades+'!$AC$9,"B-",IF(H584&lt;'PlayerGrades+'!$AC$8,"B",IF(H584&lt;'PlayerGrades+'!$AC$7,"B+",IF(H584&lt;'PlayerGrades+'!$AC$6,"A-",IF(H584&lt;'PlayerGrades+'!$AC$5,"A",IF(H584&lt;'PlayerGrades+'!$AC$4,"A+",IF(H584&lt;'PlayerGrades+'!$AC$3,"S-",IF(H584&lt;'PlayerGrades+'!$AC$2,"S","S+"))))))))))))))))))))</f>
        <v>F</v>
      </c>
      <c r="J584" s="973">
        <f t="shared" si="4"/>
        <v>0</v>
      </c>
      <c r="K584" s="973" t="str">
        <f>IF(J584&lt;'PlayerGrades+'!$AD$21,"F-",IF(J584&lt;'PlayerGrades+'!$AD$20,"F",IF(J584&lt;'PlayerGrades+'!$AD$19,"F+",IF(J584&lt;'PlayerGrades+'!$AD$18,"E-",IF(J584&lt;'PlayerGrades+'!$AD$17,"E",IF(J584&lt;'PlayerGrades+'!$AD$16,"E+",IF(J584&lt;'PlayerGrades+'!$AD$15,"D-",IF(J584&lt;'PlayerGrades+'!$AD$14,"D",IF(J584&lt;'PlayerGrades+'!$AD$13,"D+",IF(J584&lt;'PlayerGrades+'!$AD$12,"C-",IF(J584&lt;'PlayerGrades+'!$AD$11,"C",IF(J584&lt;'PlayerGrades+'!$AD$10,"C+",IF(J584&lt;'PlayerGrades+'!$AD$9,"B-",IF(J584&lt;'PlayerGrades+'!$AD$8,"B",IF(J584&lt;'PlayerGrades+'!$AD$7,"B+",IF(J584&lt;'PlayerGrades+'!$AD$6,"A-",IF(J584&lt;'PlayerGrades+'!$AD$5,"A",IF(J584&lt;'PlayerGrades+'!$AD$4,"A+",IF(J584&lt;'PlayerGrades+'!$AD$3,"S-",IF(J584&lt;'PlayerGrades+'!$AD$2,"S","S+"))))))))))))))))))))</f>
        <v>F-</v>
      </c>
      <c r="L584" s="974">
        <f t="shared" si="5"/>
        <v>0.6447534766</v>
      </c>
      <c r="M584" s="975" t="str">
        <f>IF(L584&lt;'PlayerGrades+'!$AE$21,"F-",IF(L584&lt;'PlayerGrades+'!$AE$20,"F",IF(L584&lt;'PlayerGrades+'!$AE$19,"F+",IF(L584&lt;'PlayerGrades+'!$AE$18,"E-",IF(L584&lt;'PlayerGrades+'!$AE$17,"E",IF(L584&lt;'PlayerGrades+'!$AE$16,"E+",IF(L584&lt;'PlayerGrades+'!$AE$15,"D-",IF(L584&lt;'PlayerGrades+'!$AE$14,"D",IF(L584&lt;'PlayerGrades+'!$AE$13,"D+",IF(L584&lt;'PlayerGrades+'!$AE$12,"C-",IF(L584&lt;'PlayerGrades+'!$AE$11,"C",IF(L584&lt;'PlayerGrades+'!$AE$10,"C+",IF(L584&lt;'PlayerGrades+'!$AE$9,"B-",IF(L584&lt;'PlayerGrades+'!$AE$8,"B",IF(L584&lt;'PlayerGrades+'!$AE$7,"B+",IF(L584&lt;'PlayerGrades+'!$AE$6,"A-",IF(L584&lt;'PlayerGrades+'!$AE$5,"A",IF(L584&lt;'PlayerGrades+'!$AE$4,"A+",IF(L584&lt;'PlayerGrades+'!$AE$3,"S-",IF(L584&lt;'PlayerGrades+'!$AE$2,"S","S+"))))))))))))))))))))</f>
        <v>S</v>
      </c>
      <c r="N584" s="973">
        <f t="shared" si="6"/>
        <v>0.03792667509</v>
      </c>
      <c r="O584" s="973" t="str">
        <f>IF(N584&lt;'PlayerGrades+'!$AF$21,"F-",IF(N584&lt;'PlayerGrades+'!$AF$20,"F",IF(N584&lt;'PlayerGrades+'!$AF$19,"F+",IF(N584&lt;'PlayerGrades+'!$AF$18,"E-",IF(N584&lt;'PlayerGrades+'!$AF$17,"E",IF(N584&lt;'PlayerGrades+'!$AF$16,"E+",IF(N584&lt;'PlayerGrades+'!$AF$15,"D-",IF(N584&lt;'PlayerGrades+'!$AF$14,"D",IF(N584&lt;'PlayerGrades+'!$AF$13,"D+",IF(N584&lt;'PlayerGrades+'!$AF$12,"C-",IF(N584&lt;'PlayerGrades+'!$AF$11,"C",IF(N584&lt;'PlayerGrades+'!$AF$10,"C+",IF(N584&lt;'PlayerGrades+'!$AF$9,"B-",IF(N584&lt;'PlayerGrades+'!$AF$8,"B",IF(N584&lt;'PlayerGrades+'!$AF$7,"B+",IF(N584&lt;'PlayerGrades+'!$AF$6,"A-",IF(N584&lt;'PlayerGrades+'!$AF$5,"A",IF(N584&lt;'PlayerGrades+'!$AF$4,"A+",IF(N584&lt;'PlayerGrades+'!$AF$3,"S-",IF(N584&lt;'PlayerGrades+'!$AF$2,"S","S+"))))))))))))))))))))</f>
        <v>E-</v>
      </c>
      <c r="P584" s="973">
        <f t="shared" si="7"/>
        <v>0</v>
      </c>
      <c r="Q584" s="973" t="str">
        <f>IF(P584&lt;'PlayerGrades+'!$AG$21,"F-",IF(P584&lt;'PlayerGrades+'!$AG$20,"F",IF(P584&lt;'PlayerGrades+'!$AG$19,"F+",IF(P584&lt;'PlayerGrades+'!$AG$18,"E-",IF(P584&lt;'PlayerGrades+'!$AG$17,"E",IF(P584&lt;'PlayerGrades+'!$AG$16,"E+",IF(P584&lt;'PlayerGrades+'!$AG$15,"D-",IF(P584&lt;'PlayerGrades+'!$AG$14,"D",IF(P584&lt;'PlayerGrades+'!$AG$13,"D+",IF(P584&lt;'PlayerGrades+'!$AG$12,"C-",IF(P584&lt;'PlayerGrades+'!$AG$11,"C",IF(P584&lt;'PlayerGrades+'!$AG$10,"C+",IF(P584&lt;'PlayerGrades+'!$AG$9,"B-",IF(P584&lt;'PlayerGrades+'!$AG$8,"B",IF(P584&lt;'PlayerGrades+'!$AG$7,"B+",IF(P584&lt;'PlayerGrades+'!$AG$6,"A-",IF(P584&lt;'PlayerGrades+'!$AG$5,"A",IF(P584&lt;'PlayerGrades+'!$AG$4,"A+",IF(P584&lt;'PlayerGrades+'!$AG$3,"S-",IF(P584&lt;'PlayerGrades+'!$AG$2,"S","S+"))))))))))))))))))))</f>
        <v>F</v>
      </c>
      <c r="R584" s="973">
        <f t="shared" si="8"/>
        <v>0.4551201011</v>
      </c>
      <c r="S584" s="973" t="str">
        <f>IF(R584&lt;'PlayerGrades+'!$AH$21,"F-",IF(R584&lt;'PlayerGrades+'!$AH$20,"F",IF(R584&lt;'PlayerGrades+'!$AH$19,"F+",IF(R584&lt;'PlayerGrades+'!$AH$18,"E-",IF(R584&lt;'PlayerGrades+'!$AH$17,"E",IF(R584&lt;'PlayerGrades+'!$AH$16,"E+",IF(R584&lt;'PlayerGrades+'!$AH$15,"D-",IF(R584&lt;'PlayerGrades+'!$AH$14,"D",IF(R584&lt;'PlayerGrades+'!$AH$13,"D+",IF(R584&lt;'PlayerGrades+'!$AH$12,"C-",IF(R584&lt;'PlayerGrades+'!$AH$11,"C",IF(R584&lt;'PlayerGrades+'!$AH$10,"C+",IF(R584&lt;'PlayerGrades+'!$AH$9,"B-",IF(R584&lt;'PlayerGrades+'!$AH$8,"B",IF(R584&lt;'PlayerGrades+'!$AH$7,"B+",IF(R584&lt;'PlayerGrades+'!$AH$6,"A-",IF(R584&lt;'PlayerGrades+'!$AH$5,"A",IF(R584&lt;'PlayerGrades+'!$AH$4,"A+",IF(R584&lt;'PlayerGrades+'!$AH$3,"S-",IF(R584&lt;'PlayerGrades+'!$AH$2,"S","S+"))))))))))))))))))))</f>
        <v>E-</v>
      </c>
      <c r="T584" s="973">
        <f t="shared" si="9"/>
        <v>1.417193426</v>
      </c>
      <c r="U584" s="973" t="str">
        <f>IF(T584&lt;'PlayerGrades+'!$AI$21,"F-",IF(T584&lt;'PlayerGrades+'!$AI$20,"F",IF(T584&lt;'PlayerGrades+'!$AI$19,"F+",IF(T584&lt;'PlayerGrades+'!$AI$18,"E-",IF(T584&lt;'PlayerGrades+'!$AI$17,"E",IF(T584&lt;'PlayerGrades+'!$AI$16,"E+",IF(T584&lt;'PlayerGrades+'!$AI$15,"D-",IF(T584&lt;'PlayerGrades+'!$AI$14,"D",IF(T584&lt;'PlayerGrades+'!$AI$13,"D+",IF(T584&lt;'PlayerGrades+'!$AI$12,"C-",IF(T584&lt;'PlayerGrades+'!$AI$11,"C",IF(T584&lt;'PlayerGrades+'!$AI$10,"C+",IF(T584&lt;'PlayerGrades+'!$AI$9,"B-",IF(T584&lt;'PlayerGrades+'!$AI$8,"B",IF(T584&lt;'PlayerGrades+'!$AI$7,"B+",IF(T584&lt;'PlayerGrades+'!$AI$6,"A-",IF(T584&lt;'PlayerGrades+'!$AI$5,"A",IF(T584&lt;'PlayerGrades+'!$AI$4,"A+",IF(T584&lt;'PlayerGrades+'!$AI$3,"S-",IF(T584&lt;'PlayerGrades+'!$AI$2,"S","S+"))))))))))))))))))))</f>
        <v>B</v>
      </c>
      <c r="V584" s="941">
        <v>1.0</v>
      </c>
      <c r="W584" s="941">
        <v>0.0</v>
      </c>
      <c r="X584" s="941">
        <v>1.0</v>
      </c>
      <c r="Y584" s="941">
        <v>0.0</v>
      </c>
      <c r="Z584" s="941">
        <v>1.0</v>
      </c>
      <c r="AA584" s="941">
        <v>83.0</v>
      </c>
      <c r="AB584" s="941">
        <v>96.0</v>
      </c>
      <c r="AC584" s="941">
        <v>-13.0</v>
      </c>
      <c r="AD584" s="941">
        <v>6.0</v>
      </c>
      <c r="AE584" s="941">
        <v>4.0</v>
      </c>
      <c r="AF584" s="941">
        <v>3.0</v>
      </c>
      <c r="AG584" s="941">
        <v>1189.0</v>
      </c>
      <c r="AH584" s="941">
        <v>1582.0</v>
      </c>
      <c r="AI584" s="941">
        <v>12.0</v>
      </c>
      <c r="AJ584" s="941">
        <v>10.0</v>
      </c>
      <c r="AK584" s="941">
        <v>0.0</v>
      </c>
      <c r="AL584" s="941">
        <v>0.0</v>
      </c>
      <c r="AM584" s="941">
        <v>0.0</v>
      </c>
      <c r="AN584" s="941">
        <v>0.0</v>
      </c>
      <c r="AO584" s="941">
        <v>0.0</v>
      </c>
      <c r="AP584" s="941">
        <v>0.0</v>
      </c>
      <c r="AQ584" s="941">
        <v>0.0</v>
      </c>
      <c r="AR584" s="941">
        <v>17.0</v>
      </c>
      <c r="AS584" s="941">
        <v>1.0</v>
      </c>
      <c r="AT584" s="941">
        <v>0.0</v>
      </c>
      <c r="AU584" s="941">
        <v>0.0</v>
      </c>
      <c r="AV584" s="941">
        <v>0.0</v>
      </c>
      <c r="AW584" s="941">
        <v>0.0</v>
      </c>
      <c r="AX584" s="941">
        <v>0.0</v>
      </c>
      <c r="AY584" s="941">
        <v>0.0</v>
      </c>
      <c r="AZ584" s="941">
        <v>0.0</v>
      </c>
      <c r="BA584" s="941">
        <v>0.0</v>
      </c>
      <c r="BB584" s="941">
        <v>1.0</v>
      </c>
      <c r="BC584" s="941">
        <v>0.0</v>
      </c>
      <c r="BD584" s="941">
        <v>6.0</v>
      </c>
      <c r="BE584" s="941">
        <v>11.0</v>
      </c>
      <c r="BF584" s="941">
        <v>1.0</v>
      </c>
      <c r="BG584" s="941">
        <v>1.0</v>
      </c>
    </row>
    <row r="585">
      <c r="A585" s="882" t="s">
        <v>130</v>
      </c>
      <c r="B585" s="421" t="str">
        <f>IF(C585&lt;'PlayerGrades+'!$Y$44,"F-",IF(C585&lt;'PlayerGrades+'!$Y$43,"F",IF(C585&lt;'PlayerGrades+'!$Y$42,"F+",IF(C585&lt;'PlayerGrades+'!$Y$41,"E-",IF(C585&lt;'PlayerGrades+'!$Y$40,"E",IF(C585&lt;'PlayerGrades+'!$Y$39,"E+",IF(C585&lt;'PlayerGrades+'!$Y$38,"D-",IF(C585&lt;'PlayerGrades+'!$Y$37,"D",IF(C585&lt;'PlayerGrades+'!$Y$36,"D+",IF(C585&lt;'PlayerGrades+'!$Y$35,"C-",IF(C585&lt;'PlayerGrades+'!$Y$34,"C",IF(C585&lt;'PlayerGrades+'!$Y$33,"C+",IF(C585&lt;'PlayerGrades+'!$Y$32,"B-",IF(C585&lt;'PlayerGrades+'!$Y$31,"B",IF(C585&lt;'PlayerGrades+'!$Y$30,"B+",IF(C585&lt;'PlayerGrades+'!$Y$29,"A-",IF(C585&lt;'PlayerGrades+'!$Y$28,"A",IF(C585&lt;'PlayerGrades+'!$Y$27,"A+",IF(C585&lt;'PlayerGrades+'!$Y$26,"S-",IF(C585&lt;'PlayerGrades+'!$Y$25,"S","S+"))))))))))))))))))))</f>
        <v>D+</v>
      </c>
      <c r="C585" s="972">
        <f>('PlayerGrades+'!$Y$47*(VLOOKUP(E585, 'PlayerGrades+'!$X$3:$Y$23, 2, FALSE)))+('PlayerGrades+'!$Y$48*(VLOOKUP(G585, 'PlayerGrades+'!$X$3:$Y$23, 2, FALSE)))+('PlayerGrades+'!$Y$49*(VLOOKUP(I585, 'PlayerGrades+'!$X$3:$Y$23, 2, FALSE)))+('PlayerGrades+'!$Y$50*(VLOOKUP(K585, 'PlayerGrades+'!$X$3:$Y$23, 2, FALSE)))+('PlayerGrades+'!$Y$51*(VLOOKUP(M585, 'PlayerGrades+'!$X$3:$Y$23, 2, FALSE)))+('PlayerGrades+'!$Y$52*(VLOOKUP(O585, 'PlayerGrades+'!$X$3:$Y$23, 2, FALSE)))+('PlayerGrades+'!$Y$53*(VLOOKUP(Q585, 'PlayerGrades+'!$X$3:$Y$23, 2, FALSE)))+('PlayerGrades+'!$Y$54*(VLOOKUP(S585, 'PlayerGrades+'!$X$3:$Y$23, 2, FALSE)))+('PlayerGrades+'!$Y$55*(VLOOKUP(U585, 'PlayerGrades+'!$X$3:$Y$23, 2, FALSE)))</f>
        <v>17.25</v>
      </c>
      <c r="D585" s="973">
        <f t="shared" si="1"/>
        <v>0</v>
      </c>
      <c r="E585" s="973" t="str">
        <f>IF(D585&lt;'PlayerGrades+'!$AA$21,"F-",IF(D585&lt;'PlayerGrades+'!$AA$20,"F",IF(D585&lt;'PlayerGrades+'!$AA$19,"F+",IF(D585&lt;'PlayerGrades+'!$AA$18,"E-",IF(D585&lt;'PlayerGrades+'!$AA$17,"E",IF(D585&lt;'PlayerGrades+'!$AA$16,"E+",IF(D585&lt;'PlayerGrades+'!$AA$15,"D-",IF(D585&lt;'PlayerGrades+'!$AA$14,"D",IF(D585&lt;'PlayerGrades+'!$AA$13,"D+",IF(D585&lt;'PlayerGrades+'!$AA$12,"C-",IF(D585&lt;'PlayerGrades+'!$AA$11,"C",IF(D585&lt;'PlayerGrades+'!$AA$10,"C+",IF(D585&lt;'PlayerGrades+'!$AA$9,"B-",IF(D585&lt;'PlayerGrades+'!$AA$8,"B",IF(D585&lt;'PlayerGrades+'!$AA$7,"B+",IF(D585&lt;'PlayerGrades+'!$AA$6,"A-",IF(D585&lt;'PlayerGrades+'!$AA$5,"A",IF(D585&lt;'PlayerGrades+'!$AA$4,"A+",IF(D585&lt;'PlayerGrades+'!$AA$3,"S-",IF(D585&lt;'PlayerGrades+'!$AA$2,"S","S+"))))))))))))))))))))</f>
        <v>F-</v>
      </c>
      <c r="F585" s="973">
        <f t="shared" si="2"/>
        <v>0.3792667509</v>
      </c>
      <c r="G585" s="973" t="str">
        <f>IF(F585&lt;'PlayerGrades+'!$AB$21,"F-",IF(F585&lt;'PlayerGrades+'!$AB$20,"F",IF(F585&lt;'PlayerGrades+'!$AB$19,"F+",IF(F585&lt;'PlayerGrades+'!$AB$18,"E-",IF(F585&lt;'PlayerGrades+'!$AB$17,"E",IF(F585&lt;'PlayerGrades+'!$AB$16,"E+",IF(F585&lt;'PlayerGrades+'!$AB$15,"D-",IF(F585&lt;'PlayerGrades+'!$AB$14,"D",IF(F585&lt;'PlayerGrades+'!$AB$13,"D+",IF(F585&lt;'PlayerGrades+'!$AB$12,"C-",IF(F585&lt;'PlayerGrades+'!$AB$11,"C",IF(F585&lt;'PlayerGrades+'!$AB$10,"C+",IF(F585&lt;'PlayerGrades+'!$AB$9,"B-",IF(F585&lt;'PlayerGrades+'!$AB$8,"B",IF(F585&lt;'PlayerGrades+'!$AB$7,"B+",IF(F585&lt;'PlayerGrades+'!$AB$6,"A-",IF(F585&lt;'PlayerGrades+'!$AB$5,"A",IF(F585&lt;'PlayerGrades+'!$AB$4,"A+",IF(F585&lt;'PlayerGrades+'!$AB$3,"S-",IF(F585&lt;'PlayerGrades+'!$AB$2,"S","S+"))))))))))))))))))))</f>
        <v>A</v>
      </c>
      <c r="H585" s="973">
        <f t="shared" si="3"/>
        <v>0.1517067004</v>
      </c>
      <c r="I585" s="973" t="str">
        <f>IF(H585&lt;'PlayerGrades+'!$AC$21,"F-",IF(H585&lt;'PlayerGrades+'!$AC$20,"F",IF(H585&lt;'PlayerGrades+'!$AC$19,"F+",IF(H585&lt;'PlayerGrades+'!$AC$18,"E-",IF(H585&lt;'PlayerGrades+'!$AC$17,"E",IF(H585&lt;'PlayerGrades+'!$AC$16,"E+",IF(H585&lt;'PlayerGrades+'!$AC$15,"D-",IF(H585&lt;'PlayerGrades+'!$AC$14,"D",IF(H585&lt;'PlayerGrades+'!$AC$13,"D+",IF(H585&lt;'PlayerGrades+'!$AC$12,"C-",IF(H585&lt;'PlayerGrades+'!$AC$11,"C",IF(H585&lt;'PlayerGrades+'!$AC$10,"C+",IF(H585&lt;'PlayerGrades+'!$AC$9,"B-",IF(H585&lt;'PlayerGrades+'!$AC$8,"B",IF(H585&lt;'PlayerGrades+'!$AC$7,"B+",IF(H585&lt;'PlayerGrades+'!$AC$6,"A-",IF(H585&lt;'PlayerGrades+'!$AC$5,"A",IF(H585&lt;'PlayerGrades+'!$AC$4,"A+",IF(H585&lt;'PlayerGrades+'!$AC$3,"S-",IF(H585&lt;'PlayerGrades+'!$AC$2,"S","S+"))))))))))))))))))))</f>
        <v>A</v>
      </c>
      <c r="J585" s="973">
        <f t="shared" si="4"/>
        <v>0</v>
      </c>
      <c r="K585" s="973" t="str">
        <f>IF(J585&lt;'PlayerGrades+'!$AD$21,"F-",IF(J585&lt;'PlayerGrades+'!$AD$20,"F",IF(J585&lt;'PlayerGrades+'!$AD$19,"F+",IF(J585&lt;'PlayerGrades+'!$AD$18,"E-",IF(J585&lt;'PlayerGrades+'!$AD$17,"E",IF(J585&lt;'PlayerGrades+'!$AD$16,"E+",IF(J585&lt;'PlayerGrades+'!$AD$15,"D-",IF(J585&lt;'PlayerGrades+'!$AD$14,"D",IF(J585&lt;'PlayerGrades+'!$AD$13,"D+",IF(J585&lt;'PlayerGrades+'!$AD$12,"C-",IF(J585&lt;'PlayerGrades+'!$AD$11,"C",IF(J585&lt;'PlayerGrades+'!$AD$10,"C+",IF(J585&lt;'PlayerGrades+'!$AD$9,"B-",IF(J585&lt;'PlayerGrades+'!$AD$8,"B",IF(J585&lt;'PlayerGrades+'!$AD$7,"B+",IF(J585&lt;'PlayerGrades+'!$AD$6,"A-",IF(J585&lt;'PlayerGrades+'!$AD$5,"A",IF(J585&lt;'PlayerGrades+'!$AD$4,"A+",IF(J585&lt;'PlayerGrades+'!$AD$3,"S-",IF(J585&lt;'PlayerGrades+'!$AD$2,"S","S+"))))))))))))))))))))</f>
        <v>F-</v>
      </c>
      <c r="L585" s="974">
        <f t="shared" si="5"/>
        <v>0.2275600506</v>
      </c>
      <c r="M585" s="975" t="str">
        <f>IF(L585&lt;'PlayerGrades+'!$AE$21,"F-",IF(L585&lt;'PlayerGrades+'!$AE$20,"F",IF(L585&lt;'PlayerGrades+'!$AE$19,"F+",IF(L585&lt;'PlayerGrades+'!$AE$18,"E-",IF(L585&lt;'PlayerGrades+'!$AE$17,"E",IF(L585&lt;'PlayerGrades+'!$AE$16,"E+",IF(L585&lt;'PlayerGrades+'!$AE$15,"D-",IF(L585&lt;'PlayerGrades+'!$AE$14,"D",IF(L585&lt;'PlayerGrades+'!$AE$13,"D+",IF(L585&lt;'PlayerGrades+'!$AE$12,"C-",IF(L585&lt;'PlayerGrades+'!$AE$11,"C",IF(L585&lt;'PlayerGrades+'!$AE$10,"C+",IF(L585&lt;'PlayerGrades+'!$AE$9,"B-",IF(L585&lt;'PlayerGrades+'!$AE$8,"B",IF(L585&lt;'PlayerGrades+'!$AE$7,"B+",IF(L585&lt;'PlayerGrades+'!$AE$6,"A-",IF(L585&lt;'PlayerGrades+'!$AE$5,"A",IF(L585&lt;'PlayerGrades+'!$AE$4,"A+",IF(L585&lt;'PlayerGrades+'!$AE$3,"S-",IF(L585&lt;'PlayerGrades+'!$AE$2,"S","S+"))))))))))))))))))))</f>
        <v>F</v>
      </c>
      <c r="N585" s="973">
        <f t="shared" si="6"/>
        <v>0.03792667509</v>
      </c>
      <c r="O585" s="973" t="str">
        <f>IF(N585&lt;'PlayerGrades+'!$AF$21,"F-",IF(N585&lt;'PlayerGrades+'!$AF$20,"F",IF(N585&lt;'PlayerGrades+'!$AF$19,"F+",IF(N585&lt;'PlayerGrades+'!$AF$18,"E-",IF(N585&lt;'PlayerGrades+'!$AF$17,"E",IF(N585&lt;'PlayerGrades+'!$AF$16,"E+",IF(N585&lt;'PlayerGrades+'!$AF$15,"D-",IF(N585&lt;'PlayerGrades+'!$AF$14,"D",IF(N585&lt;'PlayerGrades+'!$AF$13,"D+",IF(N585&lt;'PlayerGrades+'!$AF$12,"C-",IF(N585&lt;'PlayerGrades+'!$AF$11,"C",IF(N585&lt;'PlayerGrades+'!$AF$10,"C+",IF(N585&lt;'PlayerGrades+'!$AF$9,"B-",IF(N585&lt;'PlayerGrades+'!$AF$8,"B",IF(N585&lt;'PlayerGrades+'!$AF$7,"B+",IF(N585&lt;'PlayerGrades+'!$AF$6,"A-",IF(N585&lt;'PlayerGrades+'!$AF$5,"A",IF(N585&lt;'PlayerGrades+'!$AF$4,"A+",IF(N585&lt;'PlayerGrades+'!$AF$3,"S-",IF(N585&lt;'PlayerGrades+'!$AF$2,"S","S+"))))))))))))))))))))</f>
        <v>E-</v>
      </c>
      <c r="P585" s="973">
        <f t="shared" si="7"/>
        <v>0</v>
      </c>
      <c r="Q585" s="973" t="str">
        <f>IF(P585&lt;'PlayerGrades+'!$AG$21,"F-",IF(P585&lt;'PlayerGrades+'!$AG$20,"F",IF(P585&lt;'PlayerGrades+'!$AG$19,"F+",IF(P585&lt;'PlayerGrades+'!$AG$18,"E-",IF(P585&lt;'PlayerGrades+'!$AG$17,"E",IF(P585&lt;'PlayerGrades+'!$AG$16,"E+",IF(P585&lt;'PlayerGrades+'!$AG$15,"D-",IF(P585&lt;'PlayerGrades+'!$AG$14,"D",IF(P585&lt;'PlayerGrades+'!$AG$13,"D+",IF(P585&lt;'PlayerGrades+'!$AG$12,"C-",IF(P585&lt;'PlayerGrades+'!$AG$11,"C",IF(P585&lt;'PlayerGrades+'!$AG$10,"C+",IF(P585&lt;'PlayerGrades+'!$AG$9,"B-",IF(P585&lt;'PlayerGrades+'!$AG$8,"B",IF(P585&lt;'PlayerGrades+'!$AG$7,"B+",IF(P585&lt;'PlayerGrades+'!$AG$6,"A-",IF(P585&lt;'PlayerGrades+'!$AG$5,"A",IF(P585&lt;'PlayerGrades+'!$AG$4,"A+",IF(P585&lt;'PlayerGrades+'!$AG$3,"S-",IF(P585&lt;'PlayerGrades+'!$AG$2,"S","S+"))))))))))))))))))))</f>
        <v>F</v>
      </c>
      <c r="R585" s="973">
        <f t="shared" si="8"/>
        <v>0.7206068268</v>
      </c>
      <c r="S585" s="973" t="str">
        <f>IF(R585&lt;'PlayerGrades+'!$AH$21,"F-",IF(R585&lt;'PlayerGrades+'!$AH$20,"F",IF(R585&lt;'PlayerGrades+'!$AH$19,"F+",IF(R585&lt;'PlayerGrades+'!$AH$18,"E-",IF(R585&lt;'PlayerGrades+'!$AH$17,"E",IF(R585&lt;'PlayerGrades+'!$AH$16,"E+",IF(R585&lt;'PlayerGrades+'!$AH$15,"D-",IF(R585&lt;'PlayerGrades+'!$AH$14,"D",IF(R585&lt;'PlayerGrades+'!$AH$13,"D+",IF(R585&lt;'PlayerGrades+'!$AH$12,"C-",IF(R585&lt;'PlayerGrades+'!$AH$11,"C",IF(R585&lt;'PlayerGrades+'!$AH$10,"C+",IF(R585&lt;'PlayerGrades+'!$AH$9,"B-",IF(R585&lt;'PlayerGrades+'!$AH$8,"B",IF(R585&lt;'PlayerGrades+'!$AH$7,"B+",IF(R585&lt;'PlayerGrades+'!$AH$6,"A-",IF(R585&lt;'PlayerGrades+'!$AH$5,"A",IF(R585&lt;'PlayerGrades+'!$AH$4,"A+",IF(R585&lt;'PlayerGrades+'!$AH$3,"S-",IF(R585&lt;'PlayerGrades+'!$AH$2,"S","S+"))))))))))))))))))))</f>
        <v>S</v>
      </c>
      <c r="T585" s="973">
        <f t="shared" si="9"/>
        <v>1.1517067</v>
      </c>
      <c r="U585" s="973" t="str">
        <f>IF(T585&lt;'PlayerGrades+'!$AI$21,"F-",IF(T585&lt;'PlayerGrades+'!$AI$20,"F",IF(T585&lt;'PlayerGrades+'!$AI$19,"F+",IF(T585&lt;'PlayerGrades+'!$AI$18,"E-",IF(T585&lt;'PlayerGrades+'!$AI$17,"E",IF(T585&lt;'PlayerGrades+'!$AI$16,"E+",IF(T585&lt;'PlayerGrades+'!$AI$15,"D-",IF(T585&lt;'PlayerGrades+'!$AI$14,"D",IF(T585&lt;'PlayerGrades+'!$AI$13,"D+",IF(T585&lt;'PlayerGrades+'!$AI$12,"C-",IF(T585&lt;'PlayerGrades+'!$AI$11,"C",IF(T585&lt;'PlayerGrades+'!$AI$10,"C+",IF(T585&lt;'PlayerGrades+'!$AI$9,"B-",IF(T585&lt;'PlayerGrades+'!$AI$8,"B",IF(T585&lt;'PlayerGrades+'!$AI$7,"B+",IF(T585&lt;'PlayerGrades+'!$AI$6,"A-",IF(T585&lt;'PlayerGrades+'!$AI$5,"A",IF(T585&lt;'PlayerGrades+'!$AI$4,"A+",IF(T585&lt;'PlayerGrades+'!$AI$3,"S-",IF(T585&lt;'PlayerGrades+'!$AI$2,"S","S+"))))))))))))))))))))</f>
        <v>D</v>
      </c>
      <c r="V585" s="944">
        <v>1.0</v>
      </c>
      <c r="W585" s="944">
        <v>0.0</v>
      </c>
      <c r="X585" s="944">
        <v>1.0</v>
      </c>
      <c r="Y585" s="944">
        <v>0.0</v>
      </c>
      <c r="Z585" s="944">
        <v>0.0</v>
      </c>
      <c r="AA585" s="944">
        <v>74.0</v>
      </c>
      <c r="AB585" s="944">
        <v>64.0</v>
      </c>
      <c r="AC585" s="944">
        <v>10.0</v>
      </c>
      <c r="AD585" s="944">
        <v>8.0</v>
      </c>
      <c r="AE585" s="944">
        <v>4.0</v>
      </c>
      <c r="AF585" s="944">
        <v>1.0</v>
      </c>
      <c r="AG585" s="944">
        <v>1283.0</v>
      </c>
      <c r="AH585" s="944">
        <v>1582.0</v>
      </c>
      <c r="AI585" s="944">
        <v>20.0</v>
      </c>
      <c r="AJ585" s="944">
        <v>6.0</v>
      </c>
      <c r="AK585" s="944">
        <v>0.0</v>
      </c>
      <c r="AL585" s="944">
        <v>0.0</v>
      </c>
      <c r="AM585" s="944">
        <v>0.0</v>
      </c>
      <c r="AN585" s="944">
        <v>0.0</v>
      </c>
      <c r="AO585" s="944">
        <v>0.0</v>
      </c>
      <c r="AP585" s="944">
        <v>0.0</v>
      </c>
      <c r="AQ585" s="944">
        <v>0.0</v>
      </c>
      <c r="AR585" s="944">
        <v>6.0</v>
      </c>
      <c r="AS585" s="944">
        <v>1.0</v>
      </c>
      <c r="AT585" s="944">
        <v>0.0</v>
      </c>
      <c r="AU585" s="944">
        <v>0.0</v>
      </c>
      <c r="AV585" s="944">
        <v>0.0</v>
      </c>
      <c r="AW585" s="944">
        <v>0.0</v>
      </c>
      <c r="AX585" s="944">
        <v>0.0</v>
      </c>
      <c r="AY585" s="944">
        <v>0.0</v>
      </c>
      <c r="AZ585" s="944">
        <v>0.0</v>
      </c>
      <c r="BA585" s="944">
        <v>0.0</v>
      </c>
      <c r="BB585" s="944">
        <v>4.0</v>
      </c>
      <c r="BC585" s="944">
        <v>0.0</v>
      </c>
      <c r="BD585" s="944">
        <v>11.0</v>
      </c>
      <c r="BE585" s="944">
        <v>4.0</v>
      </c>
      <c r="BF585" s="944">
        <v>1.0</v>
      </c>
      <c r="BG585" s="944">
        <v>1.0</v>
      </c>
    </row>
    <row r="586">
      <c r="A586" s="1" t="s">
        <v>132</v>
      </c>
      <c r="B586" s="421" t="str">
        <f>IF(C586&lt;'PlayerGrades+'!$Y$44,"F-",IF(C586&lt;'PlayerGrades+'!$Y$43,"F",IF(C586&lt;'PlayerGrades+'!$Y$42,"F+",IF(C586&lt;'PlayerGrades+'!$Y$41,"E-",IF(C586&lt;'PlayerGrades+'!$Y$40,"E",IF(C586&lt;'PlayerGrades+'!$Y$39,"E+",IF(C586&lt;'PlayerGrades+'!$Y$38,"D-",IF(C586&lt;'PlayerGrades+'!$Y$37,"D",IF(C586&lt;'PlayerGrades+'!$Y$36,"D+",IF(C586&lt;'PlayerGrades+'!$Y$35,"C-",IF(C586&lt;'PlayerGrades+'!$Y$34,"C",IF(C586&lt;'PlayerGrades+'!$Y$33,"C+",IF(C586&lt;'PlayerGrades+'!$Y$32,"B-",IF(C586&lt;'PlayerGrades+'!$Y$31,"B",IF(C586&lt;'PlayerGrades+'!$Y$30,"B+",IF(C586&lt;'PlayerGrades+'!$Y$29,"A-",IF(C586&lt;'PlayerGrades+'!$Y$28,"A",IF(C586&lt;'PlayerGrades+'!$Y$27,"A+",IF(C586&lt;'PlayerGrades+'!$Y$26,"S-",IF(C586&lt;'PlayerGrades+'!$Y$25,"S","S+"))))))))))))))))))))</f>
        <v>A</v>
      </c>
      <c r="C586" s="972">
        <f>('PlayerGrades+'!$Y$47*(VLOOKUP(E586, 'PlayerGrades+'!$X$3:$Y$23, 2, FALSE)))+('PlayerGrades+'!$Y$48*(VLOOKUP(G586, 'PlayerGrades+'!$X$3:$Y$23, 2, FALSE)))+('PlayerGrades+'!$Y$49*(VLOOKUP(I586, 'PlayerGrades+'!$X$3:$Y$23, 2, FALSE)))+('PlayerGrades+'!$Y$50*(VLOOKUP(K586, 'PlayerGrades+'!$X$3:$Y$23, 2, FALSE)))+('PlayerGrades+'!$Y$51*(VLOOKUP(M586, 'PlayerGrades+'!$X$3:$Y$23, 2, FALSE)))+('PlayerGrades+'!$Y$52*(VLOOKUP(O586, 'PlayerGrades+'!$X$3:$Y$23, 2, FALSE)))+('PlayerGrades+'!$Y$53*(VLOOKUP(Q586, 'PlayerGrades+'!$X$3:$Y$23, 2, FALSE)))+('PlayerGrades+'!$Y$54*(VLOOKUP(S586, 'PlayerGrades+'!$X$3:$Y$23, 2, FALSE)))+('PlayerGrades+'!$Y$55*(VLOOKUP(U586, 'PlayerGrades+'!$X$3:$Y$23, 2, FALSE)))</f>
        <v>27.05</v>
      </c>
      <c r="D586" s="973">
        <f t="shared" si="1"/>
        <v>0.9135399674</v>
      </c>
      <c r="E586" s="973" t="str">
        <f>IF(D586&lt;'PlayerGrades+'!$AA$21,"F-",IF(D586&lt;'PlayerGrades+'!$AA$20,"F",IF(D586&lt;'PlayerGrades+'!$AA$19,"F+",IF(D586&lt;'PlayerGrades+'!$AA$18,"E-",IF(D586&lt;'PlayerGrades+'!$AA$17,"E",IF(D586&lt;'PlayerGrades+'!$AA$16,"E+",IF(D586&lt;'PlayerGrades+'!$AA$15,"D-",IF(D586&lt;'PlayerGrades+'!$AA$14,"D",IF(D586&lt;'PlayerGrades+'!$AA$13,"D+",IF(D586&lt;'PlayerGrades+'!$AA$12,"C-",IF(D586&lt;'PlayerGrades+'!$AA$11,"C",IF(D586&lt;'PlayerGrades+'!$AA$10,"C+",IF(D586&lt;'PlayerGrades+'!$AA$9,"B-",IF(D586&lt;'PlayerGrades+'!$AA$8,"B",IF(D586&lt;'PlayerGrades+'!$AA$7,"B+",IF(D586&lt;'PlayerGrades+'!$AA$6,"A-",IF(D586&lt;'PlayerGrades+'!$AA$5,"A",IF(D586&lt;'PlayerGrades+'!$AA$4,"A+",IF(D586&lt;'PlayerGrades+'!$AA$3,"S-",IF(D586&lt;'PlayerGrades+'!$AA$2,"S","S+"))))))))))))))))))))</f>
        <v>S+</v>
      </c>
      <c r="F586" s="973">
        <f t="shared" si="2"/>
        <v>0.8156606852</v>
      </c>
      <c r="G586" s="973" t="str">
        <f>IF(F586&lt;'PlayerGrades+'!$AB$21,"F-",IF(F586&lt;'PlayerGrades+'!$AB$20,"F",IF(F586&lt;'PlayerGrades+'!$AB$19,"F+",IF(F586&lt;'PlayerGrades+'!$AB$18,"E-",IF(F586&lt;'PlayerGrades+'!$AB$17,"E",IF(F586&lt;'PlayerGrades+'!$AB$16,"E+",IF(F586&lt;'PlayerGrades+'!$AB$15,"D-",IF(F586&lt;'PlayerGrades+'!$AB$14,"D",IF(F586&lt;'PlayerGrades+'!$AB$13,"D+",IF(F586&lt;'PlayerGrades+'!$AB$12,"C-",IF(F586&lt;'PlayerGrades+'!$AB$11,"C",IF(F586&lt;'PlayerGrades+'!$AB$10,"C+",IF(F586&lt;'PlayerGrades+'!$AB$9,"B-",IF(F586&lt;'PlayerGrades+'!$AB$8,"B",IF(F586&lt;'PlayerGrades+'!$AB$7,"B+",IF(F586&lt;'PlayerGrades+'!$AB$6,"A-",IF(F586&lt;'PlayerGrades+'!$AB$5,"A",IF(F586&lt;'PlayerGrades+'!$AB$4,"A+",IF(F586&lt;'PlayerGrades+'!$AB$3,"S-",IF(F586&lt;'PlayerGrades+'!$AB$2,"S","S+"))))))))))))))))))))</f>
        <v>S</v>
      </c>
      <c r="H586" s="973">
        <f t="shared" si="3"/>
        <v>0.06525285481</v>
      </c>
      <c r="I586" s="973" t="str">
        <f>IF(H586&lt;'PlayerGrades+'!$AC$21,"F-",IF(H586&lt;'PlayerGrades+'!$AC$20,"F",IF(H586&lt;'PlayerGrades+'!$AC$19,"F+",IF(H586&lt;'PlayerGrades+'!$AC$18,"E-",IF(H586&lt;'PlayerGrades+'!$AC$17,"E",IF(H586&lt;'PlayerGrades+'!$AC$16,"E+",IF(H586&lt;'PlayerGrades+'!$AC$15,"D-",IF(H586&lt;'PlayerGrades+'!$AC$14,"D",IF(H586&lt;'PlayerGrades+'!$AC$13,"D+",IF(H586&lt;'PlayerGrades+'!$AC$12,"C-",IF(H586&lt;'PlayerGrades+'!$AC$11,"C",IF(H586&lt;'PlayerGrades+'!$AC$10,"C+",IF(H586&lt;'PlayerGrades+'!$AC$9,"B-",IF(H586&lt;'PlayerGrades+'!$AC$8,"B",IF(H586&lt;'PlayerGrades+'!$AC$7,"B+",IF(H586&lt;'PlayerGrades+'!$AC$6,"A-",IF(H586&lt;'PlayerGrades+'!$AC$5,"A",IF(H586&lt;'PlayerGrades+'!$AC$4,"A+",IF(H586&lt;'PlayerGrades+'!$AC$3,"S-",IF(H586&lt;'PlayerGrades+'!$AC$2,"S","S+"))))))))))))))))))))</f>
        <v>E</v>
      </c>
      <c r="J586" s="973">
        <f t="shared" si="4"/>
        <v>0.1305057096</v>
      </c>
      <c r="K586" s="973" t="str">
        <f>IF(J586&lt;'PlayerGrades+'!$AD$21,"F-",IF(J586&lt;'PlayerGrades+'!$AD$20,"F",IF(J586&lt;'PlayerGrades+'!$AD$19,"F+",IF(J586&lt;'PlayerGrades+'!$AD$18,"E-",IF(J586&lt;'PlayerGrades+'!$AD$17,"E",IF(J586&lt;'PlayerGrades+'!$AD$16,"E+",IF(J586&lt;'PlayerGrades+'!$AD$15,"D-",IF(J586&lt;'PlayerGrades+'!$AD$14,"D",IF(J586&lt;'PlayerGrades+'!$AD$13,"D+",IF(J586&lt;'PlayerGrades+'!$AD$12,"C-",IF(J586&lt;'PlayerGrades+'!$AD$11,"C",IF(J586&lt;'PlayerGrades+'!$AD$10,"C+",IF(J586&lt;'PlayerGrades+'!$AD$9,"B-",IF(J586&lt;'PlayerGrades+'!$AD$8,"B",IF(J586&lt;'PlayerGrades+'!$AD$7,"B+",IF(J586&lt;'PlayerGrades+'!$AD$6,"A-",IF(J586&lt;'PlayerGrades+'!$AD$5,"A",IF(J586&lt;'PlayerGrades+'!$AD$4,"A+",IF(J586&lt;'PlayerGrades+'!$AD$3,"S-",IF(J586&lt;'PlayerGrades+'!$AD$2,"S","S+"))))))))))))))))))))</f>
        <v>S+</v>
      </c>
      <c r="L586" s="974">
        <f t="shared" si="5"/>
        <v>0.4567699837</v>
      </c>
      <c r="M586" s="975" t="str">
        <f>IF(L586&lt;'PlayerGrades+'!$AE$21,"F-",IF(L586&lt;'PlayerGrades+'!$AE$20,"F",IF(L586&lt;'PlayerGrades+'!$AE$19,"F+",IF(L586&lt;'PlayerGrades+'!$AE$18,"E-",IF(L586&lt;'PlayerGrades+'!$AE$17,"E",IF(L586&lt;'PlayerGrades+'!$AE$16,"E+",IF(L586&lt;'PlayerGrades+'!$AE$15,"D-",IF(L586&lt;'PlayerGrades+'!$AE$14,"D",IF(L586&lt;'PlayerGrades+'!$AE$13,"D+",IF(L586&lt;'PlayerGrades+'!$AE$12,"C-",IF(L586&lt;'PlayerGrades+'!$AE$11,"C",IF(L586&lt;'PlayerGrades+'!$AE$10,"C+",IF(L586&lt;'PlayerGrades+'!$AE$9,"B-",IF(L586&lt;'PlayerGrades+'!$AE$8,"B",IF(L586&lt;'PlayerGrades+'!$AE$7,"B+",IF(L586&lt;'PlayerGrades+'!$AE$6,"A-",IF(L586&lt;'PlayerGrades+'!$AE$5,"A",IF(L586&lt;'PlayerGrades+'!$AE$4,"A+",IF(L586&lt;'PlayerGrades+'!$AE$3,"S-",IF(L586&lt;'PlayerGrades+'!$AE$2,"S","S+"))))))))))))))))))))</f>
        <v>B+</v>
      </c>
      <c r="N586" s="973">
        <f t="shared" si="6"/>
        <v>0.09787928222</v>
      </c>
      <c r="O586" s="973" t="str">
        <f>IF(N586&lt;'PlayerGrades+'!$AF$21,"F-",IF(N586&lt;'PlayerGrades+'!$AF$20,"F",IF(N586&lt;'PlayerGrades+'!$AF$19,"F+",IF(N586&lt;'PlayerGrades+'!$AF$18,"E-",IF(N586&lt;'PlayerGrades+'!$AF$17,"E",IF(N586&lt;'PlayerGrades+'!$AF$16,"E+",IF(N586&lt;'PlayerGrades+'!$AF$15,"D-",IF(N586&lt;'PlayerGrades+'!$AF$14,"D",IF(N586&lt;'PlayerGrades+'!$AF$13,"D+",IF(N586&lt;'PlayerGrades+'!$AF$12,"C-",IF(N586&lt;'PlayerGrades+'!$AF$11,"C",IF(N586&lt;'PlayerGrades+'!$AF$10,"C+",IF(N586&lt;'PlayerGrades+'!$AF$9,"B-",IF(N586&lt;'PlayerGrades+'!$AF$8,"B",IF(N586&lt;'PlayerGrades+'!$AF$7,"B+",IF(N586&lt;'PlayerGrades+'!$AF$6,"A-",IF(N586&lt;'PlayerGrades+'!$AF$5,"A",IF(N586&lt;'PlayerGrades+'!$AF$4,"A+",IF(N586&lt;'PlayerGrades+'!$AF$3,"S-",IF(N586&lt;'PlayerGrades+'!$AF$2,"S","S+"))))))))))))))))))))</f>
        <v>A-</v>
      </c>
      <c r="P586" s="973">
        <f t="shared" si="7"/>
        <v>0</v>
      </c>
      <c r="Q586" s="973" t="str">
        <f>IF(P586&lt;'PlayerGrades+'!$AG$21,"F-",IF(P586&lt;'PlayerGrades+'!$AG$20,"F",IF(P586&lt;'PlayerGrades+'!$AG$19,"F+",IF(P586&lt;'PlayerGrades+'!$AG$18,"E-",IF(P586&lt;'PlayerGrades+'!$AG$17,"E",IF(P586&lt;'PlayerGrades+'!$AG$16,"E+",IF(P586&lt;'PlayerGrades+'!$AG$15,"D-",IF(P586&lt;'PlayerGrades+'!$AG$14,"D",IF(P586&lt;'PlayerGrades+'!$AG$13,"D+",IF(P586&lt;'PlayerGrades+'!$AG$12,"C-",IF(P586&lt;'PlayerGrades+'!$AG$11,"C",IF(P586&lt;'PlayerGrades+'!$AG$10,"C+",IF(P586&lt;'PlayerGrades+'!$AG$9,"B-",IF(P586&lt;'PlayerGrades+'!$AG$8,"B",IF(P586&lt;'PlayerGrades+'!$AG$7,"B+",IF(P586&lt;'PlayerGrades+'!$AG$6,"A-",IF(P586&lt;'PlayerGrades+'!$AG$5,"A",IF(P586&lt;'PlayerGrades+'!$AG$4,"A+",IF(P586&lt;'PlayerGrades+'!$AG$3,"S-",IF(P586&lt;'PlayerGrades+'!$AG$2,"S","S+"))))))))))))))))))))</f>
        <v>F</v>
      </c>
      <c r="R586" s="973">
        <f t="shared" si="8"/>
        <v>0.5872756933</v>
      </c>
      <c r="S586" s="973" t="str">
        <f>IF(R586&lt;'PlayerGrades+'!$AH$21,"F-",IF(R586&lt;'PlayerGrades+'!$AH$20,"F",IF(R586&lt;'PlayerGrades+'!$AH$19,"F+",IF(R586&lt;'PlayerGrades+'!$AH$18,"E-",IF(R586&lt;'PlayerGrades+'!$AH$17,"E",IF(R586&lt;'PlayerGrades+'!$AH$16,"E+",IF(R586&lt;'PlayerGrades+'!$AH$15,"D-",IF(R586&lt;'PlayerGrades+'!$AH$14,"D",IF(R586&lt;'PlayerGrades+'!$AH$13,"D+",IF(R586&lt;'PlayerGrades+'!$AH$12,"C-",IF(R586&lt;'PlayerGrades+'!$AH$11,"C",IF(R586&lt;'PlayerGrades+'!$AH$10,"C+",IF(R586&lt;'PlayerGrades+'!$AH$9,"B-",IF(R586&lt;'PlayerGrades+'!$AH$8,"B",IF(R586&lt;'PlayerGrades+'!$AH$7,"B+",IF(R586&lt;'PlayerGrades+'!$AH$6,"A-",IF(R586&lt;'PlayerGrades+'!$AH$5,"A",IF(R586&lt;'PlayerGrades+'!$AH$4,"A+",IF(R586&lt;'PlayerGrades+'!$AH$3,"S-",IF(R586&lt;'PlayerGrades+'!$AH$2,"S","S+"))))))))))))))))))))</f>
        <v>B+</v>
      </c>
      <c r="T586" s="973">
        <f t="shared" si="9"/>
        <v>1.326264274</v>
      </c>
      <c r="U586" s="973" t="str">
        <f>IF(T586&lt;'PlayerGrades+'!$AI$21,"F-",IF(T586&lt;'PlayerGrades+'!$AI$20,"F",IF(T586&lt;'PlayerGrades+'!$AI$19,"F+",IF(T586&lt;'PlayerGrades+'!$AI$18,"E-",IF(T586&lt;'PlayerGrades+'!$AI$17,"E",IF(T586&lt;'PlayerGrades+'!$AI$16,"E+",IF(T586&lt;'PlayerGrades+'!$AI$15,"D-",IF(T586&lt;'PlayerGrades+'!$AI$14,"D",IF(T586&lt;'PlayerGrades+'!$AI$13,"D+",IF(T586&lt;'PlayerGrades+'!$AI$12,"C-",IF(T586&lt;'PlayerGrades+'!$AI$11,"C",IF(T586&lt;'PlayerGrades+'!$AI$10,"C+",IF(T586&lt;'PlayerGrades+'!$AI$9,"B-",IF(T586&lt;'PlayerGrades+'!$AI$8,"B",IF(T586&lt;'PlayerGrades+'!$AI$7,"B+",IF(T586&lt;'PlayerGrades+'!$AI$6,"A-",IF(T586&lt;'PlayerGrades+'!$AI$5,"A",IF(T586&lt;'PlayerGrades+'!$AI$4,"A+",IF(T586&lt;'PlayerGrades+'!$AI$3,"S-",IF(T586&lt;'PlayerGrades+'!$AI$2,"S","S+"))))))))))))))))))))</f>
        <v>B-</v>
      </c>
      <c r="V586" s="941">
        <v>1.0</v>
      </c>
      <c r="W586" s="941">
        <v>1.0</v>
      </c>
      <c r="X586" s="941">
        <v>0.0</v>
      </c>
      <c r="Y586" s="941">
        <v>4.0</v>
      </c>
      <c r="Z586" s="941">
        <v>24.0</v>
      </c>
      <c r="AA586" s="941">
        <v>105.0</v>
      </c>
      <c r="AB586" s="941">
        <v>80.0</v>
      </c>
      <c r="AC586" s="941">
        <v>25.0</v>
      </c>
      <c r="AD586" s="941">
        <v>1.0</v>
      </c>
      <c r="AE586" s="941">
        <v>6.0</v>
      </c>
      <c r="AF586" s="941">
        <v>0.0</v>
      </c>
      <c r="AG586" s="941">
        <v>1495.0</v>
      </c>
      <c r="AH586" s="941">
        <v>1839.0</v>
      </c>
      <c r="AI586" s="941">
        <v>18.0</v>
      </c>
      <c r="AJ586" s="941">
        <v>518.0</v>
      </c>
      <c r="AK586" s="941">
        <v>0.0</v>
      </c>
      <c r="AL586" s="941">
        <v>4.0</v>
      </c>
      <c r="AM586" s="941">
        <v>0.0</v>
      </c>
      <c r="AN586" s="941">
        <v>0.0</v>
      </c>
      <c r="AO586" s="941">
        <v>0.0</v>
      </c>
      <c r="AP586" s="941">
        <v>0.0</v>
      </c>
      <c r="AQ586" s="941">
        <v>0.0</v>
      </c>
      <c r="AR586" s="941">
        <v>14.0</v>
      </c>
      <c r="AS586" s="941">
        <v>3.0</v>
      </c>
      <c r="AT586" s="941">
        <v>0.0</v>
      </c>
      <c r="AU586" s="941">
        <v>0.0</v>
      </c>
      <c r="AV586" s="941">
        <v>0.0</v>
      </c>
      <c r="AW586" s="941">
        <v>0.0</v>
      </c>
      <c r="AX586" s="941">
        <v>0.0</v>
      </c>
      <c r="AY586" s="941">
        <v>0.0</v>
      </c>
      <c r="AZ586" s="941">
        <v>0.0</v>
      </c>
      <c r="BA586" s="941">
        <v>0.0</v>
      </c>
      <c r="BB586" s="941">
        <v>2.0</v>
      </c>
      <c r="BC586" s="941">
        <v>1.0</v>
      </c>
      <c r="BD586" s="941">
        <v>17.0</v>
      </c>
      <c r="BE586" s="941">
        <v>10.0</v>
      </c>
      <c r="BF586" s="941">
        <v>1.0</v>
      </c>
      <c r="BG586" s="941">
        <v>0.0</v>
      </c>
    </row>
    <row r="587">
      <c r="A587" s="1" t="s">
        <v>136</v>
      </c>
      <c r="B587" s="421" t="str">
        <f>IF(C587&lt;'PlayerGrades+'!$Y$44,"F-",IF(C587&lt;'PlayerGrades+'!$Y$43,"F",IF(C587&lt;'PlayerGrades+'!$Y$42,"F+",IF(C587&lt;'PlayerGrades+'!$Y$41,"E-",IF(C587&lt;'PlayerGrades+'!$Y$40,"E",IF(C587&lt;'PlayerGrades+'!$Y$39,"E+",IF(C587&lt;'PlayerGrades+'!$Y$38,"D-",IF(C587&lt;'PlayerGrades+'!$Y$37,"D",IF(C587&lt;'PlayerGrades+'!$Y$36,"D+",IF(C587&lt;'PlayerGrades+'!$Y$35,"C-",IF(C587&lt;'PlayerGrades+'!$Y$34,"C",IF(C587&lt;'PlayerGrades+'!$Y$33,"C+",IF(C587&lt;'PlayerGrades+'!$Y$32,"B-",IF(C587&lt;'PlayerGrades+'!$Y$31,"B",IF(C587&lt;'PlayerGrades+'!$Y$30,"B+",IF(C587&lt;'PlayerGrades+'!$Y$29,"A-",IF(C587&lt;'PlayerGrades+'!$Y$28,"A",IF(C587&lt;'PlayerGrades+'!$Y$27,"A+",IF(C587&lt;'PlayerGrades+'!$Y$26,"S-",IF(C587&lt;'PlayerGrades+'!$Y$25,"S","S+"))))))))))))))))))))</f>
        <v>B+</v>
      </c>
      <c r="C587" s="972">
        <f>('PlayerGrades+'!$Y$47*(VLOOKUP(E587, 'PlayerGrades+'!$X$3:$Y$23, 2, FALSE)))+('PlayerGrades+'!$Y$48*(VLOOKUP(G587, 'PlayerGrades+'!$X$3:$Y$23, 2, FALSE)))+('PlayerGrades+'!$Y$49*(VLOOKUP(I587, 'PlayerGrades+'!$X$3:$Y$23, 2, FALSE)))+('PlayerGrades+'!$Y$50*(VLOOKUP(K587, 'PlayerGrades+'!$X$3:$Y$23, 2, FALSE)))+('PlayerGrades+'!$Y$51*(VLOOKUP(M587, 'PlayerGrades+'!$X$3:$Y$23, 2, FALSE)))+('PlayerGrades+'!$Y$52*(VLOOKUP(O587, 'PlayerGrades+'!$X$3:$Y$23, 2, FALSE)))+('PlayerGrades+'!$Y$53*(VLOOKUP(Q587, 'PlayerGrades+'!$X$3:$Y$23, 2, FALSE)))+('PlayerGrades+'!$Y$54*(VLOOKUP(S587, 'PlayerGrades+'!$X$3:$Y$23, 2, FALSE)))+('PlayerGrades+'!$Y$55*(VLOOKUP(U587, 'PlayerGrades+'!$X$3:$Y$23, 2, FALSE)))</f>
        <v>23.75</v>
      </c>
      <c r="D587" s="973">
        <f t="shared" si="1"/>
        <v>0.03262642741</v>
      </c>
      <c r="E587" s="973" t="str">
        <f>IF(D587&lt;'PlayerGrades+'!$AA$21,"F-",IF(D587&lt;'PlayerGrades+'!$AA$20,"F",IF(D587&lt;'PlayerGrades+'!$AA$19,"F+",IF(D587&lt;'PlayerGrades+'!$AA$18,"E-",IF(D587&lt;'PlayerGrades+'!$AA$17,"E",IF(D587&lt;'PlayerGrades+'!$AA$16,"E+",IF(D587&lt;'PlayerGrades+'!$AA$15,"D-",IF(D587&lt;'PlayerGrades+'!$AA$14,"D",IF(D587&lt;'PlayerGrades+'!$AA$13,"D+",IF(D587&lt;'PlayerGrades+'!$AA$12,"C-",IF(D587&lt;'PlayerGrades+'!$AA$11,"C",IF(D587&lt;'PlayerGrades+'!$AA$10,"C+",IF(D587&lt;'PlayerGrades+'!$AA$9,"B-",IF(D587&lt;'PlayerGrades+'!$AA$8,"B",IF(D587&lt;'PlayerGrades+'!$AA$7,"B+",IF(D587&lt;'PlayerGrades+'!$AA$6,"A-",IF(D587&lt;'PlayerGrades+'!$AA$5,"A",IF(D587&lt;'PlayerGrades+'!$AA$4,"A+",IF(D587&lt;'PlayerGrades+'!$AA$3,"S-",IF(D587&lt;'PlayerGrades+'!$AA$2,"S","S+"))))))))))))))))))))</f>
        <v>D+</v>
      </c>
      <c r="F587" s="973">
        <f t="shared" si="2"/>
        <v>-0.163132137</v>
      </c>
      <c r="G587" s="973" t="str">
        <f>IF(F587&lt;'PlayerGrades+'!$AB$21,"F-",IF(F587&lt;'PlayerGrades+'!$AB$20,"F",IF(F587&lt;'PlayerGrades+'!$AB$19,"F+",IF(F587&lt;'PlayerGrades+'!$AB$18,"E-",IF(F587&lt;'PlayerGrades+'!$AB$17,"E",IF(F587&lt;'PlayerGrades+'!$AB$16,"E+",IF(F587&lt;'PlayerGrades+'!$AB$15,"D-",IF(F587&lt;'PlayerGrades+'!$AB$14,"D",IF(F587&lt;'PlayerGrades+'!$AB$13,"D+",IF(F587&lt;'PlayerGrades+'!$AB$12,"C-",IF(F587&lt;'PlayerGrades+'!$AB$11,"C",IF(F587&lt;'PlayerGrades+'!$AB$10,"C+",IF(F587&lt;'PlayerGrades+'!$AB$9,"B-",IF(F587&lt;'PlayerGrades+'!$AB$8,"B",IF(F587&lt;'PlayerGrades+'!$AB$7,"B+",IF(F587&lt;'PlayerGrades+'!$AB$6,"A-",IF(F587&lt;'PlayerGrades+'!$AB$5,"A",IF(F587&lt;'PlayerGrades+'!$AB$4,"A+",IF(F587&lt;'PlayerGrades+'!$AB$3,"S-",IF(F587&lt;'PlayerGrades+'!$AB$2,"S","S+"))))))))))))))))))))</f>
        <v>C+</v>
      </c>
      <c r="H587" s="973">
        <f t="shared" si="3"/>
        <v>0.163132137</v>
      </c>
      <c r="I587" s="973" t="str">
        <f>IF(H587&lt;'PlayerGrades+'!$AC$21,"F-",IF(H587&lt;'PlayerGrades+'!$AC$20,"F",IF(H587&lt;'PlayerGrades+'!$AC$19,"F+",IF(H587&lt;'PlayerGrades+'!$AC$18,"E-",IF(H587&lt;'PlayerGrades+'!$AC$17,"E",IF(H587&lt;'PlayerGrades+'!$AC$16,"E+",IF(H587&lt;'PlayerGrades+'!$AC$15,"D-",IF(H587&lt;'PlayerGrades+'!$AC$14,"D",IF(H587&lt;'PlayerGrades+'!$AC$13,"D+",IF(H587&lt;'PlayerGrades+'!$AC$12,"C-",IF(H587&lt;'PlayerGrades+'!$AC$11,"C",IF(H587&lt;'PlayerGrades+'!$AC$10,"C+",IF(H587&lt;'PlayerGrades+'!$AC$9,"B-",IF(H587&lt;'PlayerGrades+'!$AC$8,"B",IF(H587&lt;'PlayerGrades+'!$AC$7,"B+",IF(H587&lt;'PlayerGrades+'!$AC$6,"A-",IF(H587&lt;'PlayerGrades+'!$AC$5,"A",IF(H587&lt;'PlayerGrades+'!$AC$4,"A+",IF(H587&lt;'PlayerGrades+'!$AC$3,"S-",IF(H587&lt;'PlayerGrades+'!$AC$2,"S","S+"))))))))))))))))))))</f>
        <v>A+</v>
      </c>
      <c r="J587" s="973">
        <f t="shared" si="4"/>
        <v>0.03262642741</v>
      </c>
      <c r="K587" s="973" t="str">
        <f>IF(J587&lt;'PlayerGrades+'!$AD$21,"F-",IF(J587&lt;'PlayerGrades+'!$AD$20,"F",IF(J587&lt;'PlayerGrades+'!$AD$19,"F+",IF(J587&lt;'PlayerGrades+'!$AD$18,"E-",IF(J587&lt;'PlayerGrades+'!$AD$17,"E",IF(J587&lt;'PlayerGrades+'!$AD$16,"E+",IF(J587&lt;'PlayerGrades+'!$AD$15,"D-",IF(J587&lt;'PlayerGrades+'!$AD$14,"D",IF(J587&lt;'PlayerGrades+'!$AD$13,"D+",IF(J587&lt;'PlayerGrades+'!$AD$12,"C-",IF(J587&lt;'PlayerGrades+'!$AD$11,"C",IF(J587&lt;'PlayerGrades+'!$AD$10,"C+",IF(J587&lt;'PlayerGrades+'!$AD$9,"B-",IF(J587&lt;'PlayerGrades+'!$AD$8,"B",IF(J587&lt;'PlayerGrades+'!$AD$7,"B+",IF(J587&lt;'PlayerGrades+'!$AD$6,"A-",IF(J587&lt;'PlayerGrades+'!$AD$5,"A",IF(J587&lt;'PlayerGrades+'!$AD$4,"A+",IF(J587&lt;'PlayerGrades+'!$AD$3,"S-",IF(J587&lt;'PlayerGrades+'!$AD$2,"S","S+"))))))))))))))))))))</f>
        <v>C</v>
      </c>
      <c r="L587" s="974">
        <f t="shared" si="5"/>
        <v>0.7830342577</v>
      </c>
      <c r="M587" s="975" t="str">
        <f>IF(L587&lt;'PlayerGrades+'!$AE$21,"F-",IF(L587&lt;'PlayerGrades+'!$AE$20,"F",IF(L587&lt;'PlayerGrades+'!$AE$19,"F+",IF(L587&lt;'PlayerGrades+'!$AE$18,"E-",IF(L587&lt;'PlayerGrades+'!$AE$17,"E",IF(L587&lt;'PlayerGrades+'!$AE$16,"E+",IF(L587&lt;'PlayerGrades+'!$AE$15,"D-",IF(L587&lt;'PlayerGrades+'!$AE$14,"D",IF(L587&lt;'PlayerGrades+'!$AE$13,"D+",IF(L587&lt;'PlayerGrades+'!$AE$12,"C-",IF(L587&lt;'PlayerGrades+'!$AE$11,"C",IF(L587&lt;'PlayerGrades+'!$AE$10,"C+",IF(L587&lt;'PlayerGrades+'!$AE$9,"B-",IF(L587&lt;'PlayerGrades+'!$AE$8,"B",IF(L587&lt;'PlayerGrades+'!$AE$7,"B+",IF(L587&lt;'PlayerGrades+'!$AE$6,"A-",IF(L587&lt;'PlayerGrades+'!$AE$5,"A",IF(L587&lt;'PlayerGrades+'!$AE$4,"A+",IF(L587&lt;'PlayerGrades+'!$AE$3,"S-",IF(L587&lt;'PlayerGrades+'!$AE$2,"S","S+"))))))))))))))))))))</f>
        <v>S+</v>
      </c>
      <c r="N587" s="973">
        <f t="shared" si="6"/>
        <v>0.1305057096</v>
      </c>
      <c r="O587" s="973" t="str">
        <f>IF(N587&lt;'PlayerGrades+'!$AF$21,"F-",IF(N587&lt;'PlayerGrades+'!$AF$20,"F",IF(N587&lt;'PlayerGrades+'!$AF$19,"F+",IF(N587&lt;'PlayerGrades+'!$AF$18,"E-",IF(N587&lt;'PlayerGrades+'!$AF$17,"E",IF(N587&lt;'PlayerGrades+'!$AF$16,"E+",IF(N587&lt;'PlayerGrades+'!$AF$15,"D-",IF(N587&lt;'PlayerGrades+'!$AF$14,"D",IF(N587&lt;'PlayerGrades+'!$AF$13,"D+",IF(N587&lt;'PlayerGrades+'!$AF$12,"C-",IF(N587&lt;'PlayerGrades+'!$AF$11,"C",IF(N587&lt;'PlayerGrades+'!$AF$10,"C+",IF(N587&lt;'PlayerGrades+'!$AF$9,"B-",IF(N587&lt;'PlayerGrades+'!$AF$8,"B",IF(N587&lt;'PlayerGrades+'!$AF$7,"B+",IF(N587&lt;'PlayerGrades+'!$AF$6,"A-",IF(N587&lt;'PlayerGrades+'!$AF$5,"A",IF(N587&lt;'PlayerGrades+'!$AF$4,"A+",IF(N587&lt;'PlayerGrades+'!$AF$3,"S-",IF(N587&lt;'PlayerGrades+'!$AF$2,"S","S+"))))))))))))))))))))</f>
        <v>S</v>
      </c>
      <c r="P587" s="973">
        <f t="shared" si="7"/>
        <v>0.03262642741</v>
      </c>
      <c r="Q587" s="973" t="str">
        <f>IF(P587&lt;'PlayerGrades+'!$AG$21,"F-",IF(P587&lt;'PlayerGrades+'!$AG$20,"F",IF(P587&lt;'PlayerGrades+'!$AG$19,"F+",IF(P587&lt;'PlayerGrades+'!$AG$18,"E-",IF(P587&lt;'PlayerGrades+'!$AG$17,"E",IF(P587&lt;'PlayerGrades+'!$AG$16,"E+",IF(P587&lt;'PlayerGrades+'!$AG$15,"D-",IF(P587&lt;'PlayerGrades+'!$AG$14,"D",IF(P587&lt;'PlayerGrades+'!$AG$13,"D+",IF(P587&lt;'PlayerGrades+'!$AG$12,"C-",IF(P587&lt;'PlayerGrades+'!$AG$11,"C",IF(P587&lt;'PlayerGrades+'!$AG$10,"C+",IF(P587&lt;'PlayerGrades+'!$AG$9,"B-",IF(P587&lt;'PlayerGrades+'!$AG$8,"B",IF(P587&lt;'PlayerGrades+'!$AG$7,"B+",IF(P587&lt;'PlayerGrades+'!$AG$6,"A-",IF(P587&lt;'PlayerGrades+'!$AG$5,"A",IF(P587&lt;'PlayerGrades+'!$AG$4,"A+",IF(P587&lt;'PlayerGrades+'!$AG$3,"S-",IF(P587&lt;'PlayerGrades+'!$AG$2,"S","S+"))))))))))))))))))))</f>
        <v>B+</v>
      </c>
      <c r="R587" s="973">
        <f t="shared" si="8"/>
        <v>0.3915171289</v>
      </c>
      <c r="S587" s="973" t="str">
        <f>IF(R587&lt;'PlayerGrades+'!$AH$21,"F-",IF(R587&lt;'PlayerGrades+'!$AH$20,"F",IF(R587&lt;'PlayerGrades+'!$AH$19,"F+",IF(R587&lt;'PlayerGrades+'!$AH$18,"E-",IF(R587&lt;'PlayerGrades+'!$AH$17,"E",IF(R587&lt;'PlayerGrades+'!$AH$16,"E+",IF(R587&lt;'PlayerGrades+'!$AH$15,"D-",IF(R587&lt;'PlayerGrades+'!$AH$14,"D",IF(R587&lt;'PlayerGrades+'!$AH$13,"D+",IF(R587&lt;'PlayerGrades+'!$AH$12,"C-",IF(R587&lt;'PlayerGrades+'!$AH$11,"C",IF(R587&lt;'PlayerGrades+'!$AH$10,"C+",IF(R587&lt;'PlayerGrades+'!$AH$9,"B-",IF(R587&lt;'PlayerGrades+'!$AH$8,"B",IF(R587&lt;'PlayerGrades+'!$AH$7,"B+",IF(R587&lt;'PlayerGrades+'!$AH$6,"A-",IF(R587&lt;'PlayerGrades+'!$AH$5,"A",IF(R587&lt;'PlayerGrades+'!$AH$4,"A+",IF(R587&lt;'PlayerGrades+'!$AH$3,"S-",IF(R587&lt;'PlayerGrades+'!$AH$2,"S","S+"))))))))))))))))))))</f>
        <v>F+</v>
      </c>
      <c r="T587" s="973">
        <f t="shared" si="9"/>
        <v>0.6199021207</v>
      </c>
      <c r="U587" s="973" t="str">
        <f>IF(T587&lt;'PlayerGrades+'!$AI$21,"F-",IF(T587&lt;'PlayerGrades+'!$AI$20,"F",IF(T587&lt;'PlayerGrades+'!$AI$19,"F+",IF(T587&lt;'PlayerGrades+'!$AI$18,"E-",IF(T587&lt;'PlayerGrades+'!$AI$17,"E",IF(T587&lt;'PlayerGrades+'!$AI$16,"E+",IF(T587&lt;'PlayerGrades+'!$AI$15,"D-",IF(T587&lt;'PlayerGrades+'!$AI$14,"D",IF(T587&lt;'PlayerGrades+'!$AI$13,"D+",IF(T587&lt;'PlayerGrades+'!$AI$12,"C-",IF(T587&lt;'PlayerGrades+'!$AI$11,"C",IF(T587&lt;'PlayerGrades+'!$AI$10,"C+",IF(T587&lt;'PlayerGrades+'!$AI$9,"B-",IF(T587&lt;'PlayerGrades+'!$AI$8,"B",IF(T587&lt;'PlayerGrades+'!$AI$7,"B+",IF(T587&lt;'PlayerGrades+'!$AI$6,"A-",IF(T587&lt;'PlayerGrades+'!$AI$5,"A",IF(T587&lt;'PlayerGrades+'!$AI$4,"A+",IF(T587&lt;'PlayerGrades+'!$AI$3,"S-",IF(T587&lt;'PlayerGrades+'!$AI$2,"S","S+"))))))))))))))))))))</f>
        <v>F-</v>
      </c>
      <c r="V587" s="941">
        <v>1.0</v>
      </c>
      <c r="W587" s="941">
        <v>1.0</v>
      </c>
      <c r="X587" s="941">
        <v>0.0</v>
      </c>
      <c r="Y587" s="941">
        <v>1.0</v>
      </c>
      <c r="Z587" s="941">
        <v>0.0</v>
      </c>
      <c r="AA587" s="941">
        <v>115.0</v>
      </c>
      <c r="AB587" s="941">
        <v>120.0</v>
      </c>
      <c r="AC587" s="941">
        <v>-5.0</v>
      </c>
      <c r="AD587" s="941">
        <v>5.0</v>
      </c>
      <c r="AE587" s="941">
        <v>5.0</v>
      </c>
      <c r="AF587" s="941">
        <v>0.0</v>
      </c>
      <c r="AG587" s="941">
        <v>1384.0</v>
      </c>
      <c r="AH587" s="941">
        <v>1839.0</v>
      </c>
      <c r="AI587" s="941">
        <v>11.0</v>
      </c>
      <c r="AJ587" s="941">
        <v>10.0</v>
      </c>
      <c r="AK587" s="941">
        <v>0.0</v>
      </c>
      <c r="AL587" s="941">
        <v>1.0</v>
      </c>
      <c r="AM587" s="941">
        <v>0.0</v>
      </c>
      <c r="AN587" s="941">
        <v>0.0</v>
      </c>
      <c r="AO587" s="941">
        <v>0.0</v>
      </c>
      <c r="AP587" s="941">
        <v>1.0</v>
      </c>
      <c r="AQ587" s="941">
        <v>0.0</v>
      </c>
      <c r="AR587" s="941">
        <v>24.0</v>
      </c>
      <c r="AS587" s="941">
        <v>4.0</v>
      </c>
      <c r="AT587" s="941">
        <v>1.0</v>
      </c>
      <c r="AU587" s="941">
        <v>1.0</v>
      </c>
      <c r="AV587" s="941">
        <v>0.0</v>
      </c>
      <c r="AW587" s="941">
        <v>0.0</v>
      </c>
      <c r="AX587" s="941">
        <v>0.0</v>
      </c>
      <c r="AY587" s="941">
        <v>0.0</v>
      </c>
      <c r="AZ587" s="941">
        <v>0.0</v>
      </c>
      <c r="BA587" s="941">
        <v>0.0</v>
      </c>
      <c r="BB587" s="941">
        <v>5.0</v>
      </c>
      <c r="BC587" s="941">
        <v>0.0</v>
      </c>
      <c r="BD587" s="941">
        <v>7.0</v>
      </c>
      <c r="BE587" s="941">
        <v>19.0</v>
      </c>
      <c r="BF587" s="941">
        <v>0.0</v>
      </c>
      <c r="BG587" s="941">
        <v>0.0</v>
      </c>
    </row>
    <row r="588">
      <c r="A588" s="1" t="s">
        <v>114</v>
      </c>
      <c r="B588" s="421" t="str">
        <f>IF(C588&lt;'PlayerGrades+'!$Y$44,"F-",IF(C588&lt;'PlayerGrades+'!$Y$43,"F",IF(C588&lt;'PlayerGrades+'!$Y$42,"F+",IF(C588&lt;'PlayerGrades+'!$Y$41,"E-",IF(C588&lt;'PlayerGrades+'!$Y$40,"E",IF(C588&lt;'PlayerGrades+'!$Y$39,"E+",IF(C588&lt;'PlayerGrades+'!$Y$38,"D-",IF(C588&lt;'PlayerGrades+'!$Y$37,"D",IF(C588&lt;'PlayerGrades+'!$Y$36,"D+",IF(C588&lt;'PlayerGrades+'!$Y$35,"C-",IF(C588&lt;'PlayerGrades+'!$Y$34,"C",IF(C588&lt;'PlayerGrades+'!$Y$33,"C+",IF(C588&lt;'PlayerGrades+'!$Y$32,"B-",IF(C588&lt;'PlayerGrades+'!$Y$31,"B",IF(C588&lt;'PlayerGrades+'!$Y$30,"B+",IF(C588&lt;'PlayerGrades+'!$Y$29,"A-",IF(C588&lt;'PlayerGrades+'!$Y$28,"A",IF(C588&lt;'PlayerGrades+'!$Y$27,"A+",IF(C588&lt;'PlayerGrades+'!$Y$26,"S-",IF(C588&lt;'PlayerGrades+'!$Y$25,"S","S+"))))))))))))))))))))</f>
        <v>C-</v>
      </c>
      <c r="C588" s="972">
        <f>('PlayerGrades+'!$Y$47*(VLOOKUP(E588, 'PlayerGrades+'!$X$3:$Y$23, 2, FALSE)))+('PlayerGrades+'!$Y$48*(VLOOKUP(G588, 'PlayerGrades+'!$X$3:$Y$23, 2, FALSE)))+('PlayerGrades+'!$Y$49*(VLOOKUP(I588, 'PlayerGrades+'!$X$3:$Y$23, 2, FALSE)))+('PlayerGrades+'!$Y$50*(VLOOKUP(K588, 'PlayerGrades+'!$X$3:$Y$23, 2, FALSE)))+('PlayerGrades+'!$Y$51*(VLOOKUP(M588, 'PlayerGrades+'!$X$3:$Y$23, 2, FALSE)))+('PlayerGrades+'!$Y$52*(VLOOKUP(O588, 'PlayerGrades+'!$X$3:$Y$23, 2, FALSE)))+('PlayerGrades+'!$Y$53*(VLOOKUP(Q588, 'PlayerGrades+'!$X$3:$Y$23, 2, FALSE)))+('PlayerGrades+'!$Y$54*(VLOOKUP(S588, 'PlayerGrades+'!$X$3:$Y$23, 2, FALSE)))+('PlayerGrades+'!$Y$55*(VLOOKUP(U588, 'PlayerGrades+'!$X$3:$Y$23, 2, FALSE)))</f>
        <v>18.85</v>
      </c>
      <c r="D588" s="973">
        <f t="shared" si="1"/>
        <v>0.03262642741</v>
      </c>
      <c r="E588" s="973" t="str">
        <f>IF(D588&lt;'PlayerGrades+'!$AA$21,"F-",IF(D588&lt;'PlayerGrades+'!$AA$20,"F",IF(D588&lt;'PlayerGrades+'!$AA$19,"F+",IF(D588&lt;'PlayerGrades+'!$AA$18,"E-",IF(D588&lt;'PlayerGrades+'!$AA$17,"E",IF(D588&lt;'PlayerGrades+'!$AA$16,"E+",IF(D588&lt;'PlayerGrades+'!$AA$15,"D-",IF(D588&lt;'PlayerGrades+'!$AA$14,"D",IF(D588&lt;'PlayerGrades+'!$AA$13,"D+",IF(D588&lt;'PlayerGrades+'!$AA$12,"C-",IF(D588&lt;'PlayerGrades+'!$AA$11,"C",IF(D588&lt;'PlayerGrades+'!$AA$10,"C+",IF(D588&lt;'PlayerGrades+'!$AA$9,"B-",IF(D588&lt;'PlayerGrades+'!$AA$8,"B",IF(D588&lt;'PlayerGrades+'!$AA$7,"B+",IF(D588&lt;'PlayerGrades+'!$AA$6,"A-",IF(D588&lt;'PlayerGrades+'!$AA$5,"A",IF(D588&lt;'PlayerGrades+'!$AA$4,"A+",IF(D588&lt;'PlayerGrades+'!$AA$3,"S-",IF(D588&lt;'PlayerGrades+'!$AA$2,"S","S+"))))))))))))))))))))</f>
        <v>D+</v>
      </c>
      <c r="F588" s="973">
        <f t="shared" si="2"/>
        <v>-0.4893964111</v>
      </c>
      <c r="G588" s="973" t="str">
        <f>IF(F588&lt;'PlayerGrades+'!$AB$21,"F-",IF(F588&lt;'PlayerGrades+'!$AB$20,"F",IF(F588&lt;'PlayerGrades+'!$AB$19,"F+",IF(F588&lt;'PlayerGrades+'!$AB$18,"E-",IF(F588&lt;'PlayerGrades+'!$AB$17,"E",IF(F588&lt;'PlayerGrades+'!$AB$16,"E+",IF(F588&lt;'PlayerGrades+'!$AB$15,"D-",IF(F588&lt;'PlayerGrades+'!$AB$14,"D",IF(F588&lt;'PlayerGrades+'!$AB$13,"D+",IF(F588&lt;'PlayerGrades+'!$AB$12,"C-",IF(F588&lt;'PlayerGrades+'!$AB$11,"C",IF(F588&lt;'PlayerGrades+'!$AB$10,"C+",IF(F588&lt;'PlayerGrades+'!$AB$9,"B-",IF(F588&lt;'PlayerGrades+'!$AB$8,"B",IF(F588&lt;'PlayerGrades+'!$AB$7,"B+",IF(F588&lt;'PlayerGrades+'!$AB$6,"A-",IF(F588&lt;'PlayerGrades+'!$AB$5,"A",IF(F588&lt;'PlayerGrades+'!$AB$4,"A+",IF(F588&lt;'PlayerGrades+'!$AB$3,"S-",IF(F588&lt;'PlayerGrades+'!$AB$2,"S","S+"))))))))))))))))))))</f>
        <v>D</v>
      </c>
      <c r="H588" s="973">
        <f t="shared" si="3"/>
        <v>0</v>
      </c>
      <c r="I588" s="973" t="str">
        <f>IF(H588&lt;'PlayerGrades+'!$AC$21,"F-",IF(H588&lt;'PlayerGrades+'!$AC$20,"F",IF(H588&lt;'PlayerGrades+'!$AC$19,"F+",IF(H588&lt;'PlayerGrades+'!$AC$18,"E-",IF(H588&lt;'PlayerGrades+'!$AC$17,"E",IF(H588&lt;'PlayerGrades+'!$AC$16,"E+",IF(H588&lt;'PlayerGrades+'!$AC$15,"D-",IF(H588&lt;'PlayerGrades+'!$AC$14,"D",IF(H588&lt;'PlayerGrades+'!$AC$13,"D+",IF(H588&lt;'PlayerGrades+'!$AC$12,"C-",IF(H588&lt;'PlayerGrades+'!$AC$11,"C",IF(H588&lt;'PlayerGrades+'!$AC$10,"C+",IF(H588&lt;'PlayerGrades+'!$AC$9,"B-",IF(H588&lt;'PlayerGrades+'!$AC$8,"B",IF(H588&lt;'PlayerGrades+'!$AC$7,"B+",IF(H588&lt;'PlayerGrades+'!$AC$6,"A-",IF(H588&lt;'PlayerGrades+'!$AC$5,"A",IF(H588&lt;'PlayerGrades+'!$AC$4,"A+",IF(H588&lt;'PlayerGrades+'!$AC$3,"S-",IF(H588&lt;'PlayerGrades+'!$AC$2,"S","S+"))))))))))))))))))))</f>
        <v>F-</v>
      </c>
      <c r="J588" s="973">
        <f t="shared" si="4"/>
        <v>0.06525285481</v>
      </c>
      <c r="K588" s="973" t="str">
        <f>IF(J588&lt;'PlayerGrades+'!$AD$21,"F-",IF(J588&lt;'PlayerGrades+'!$AD$20,"F",IF(J588&lt;'PlayerGrades+'!$AD$19,"F+",IF(J588&lt;'PlayerGrades+'!$AD$18,"E-",IF(J588&lt;'PlayerGrades+'!$AD$17,"E",IF(J588&lt;'PlayerGrades+'!$AD$16,"E+",IF(J588&lt;'PlayerGrades+'!$AD$15,"D-",IF(J588&lt;'PlayerGrades+'!$AD$14,"D",IF(J588&lt;'PlayerGrades+'!$AD$13,"D+",IF(J588&lt;'PlayerGrades+'!$AD$12,"C-",IF(J588&lt;'PlayerGrades+'!$AD$11,"C",IF(J588&lt;'PlayerGrades+'!$AD$10,"C+",IF(J588&lt;'PlayerGrades+'!$AD$9,"B-",IF(J588&lt;'PlayerGrades+'!$AD$8,"B",IF(J588&lt;'PlayerGrades+'!$AD$7,"B+",IF(J588&lt;'PlayerGrades+'!$AD$6,"A-",IF(J588&lt;'PlayerGrades+'!$AD$5,"A",IF(J588&lt;'PlayerGrades+'!$AD$4,"A+",IF(J588&lt;'PlayerGrades+'!$AD$3,"S-",IF(J588&lt;'PlayerGrades+'!$AD$2,"S","S+"))))))))))))))))))))</f>
        <v>A-</v>
      </c>
      <c r="L588" s="974">
        <f t="shared" si="5"/>
        <v>0.2610114192</v>
      </c>
      <c r="M588" s="975" t="str">
        <f>IF(L588&lt;'PlayerGrades+'!$AE$21,"F-",IF(L588&lt;'PlayerGrades+'!$AE$20,"F",IF(L588&lt;'PlayerGrades+'!$AE$19,"F+",IF(L588&lt;'PlayerGrades+'!$AE$18,"E-",IF(L588&lt;'PlayerGrades+'!$AE$17,"E",IF(L588&lt;'PlayerGrades+'!$AE$16,"E+",IF(L588&lt;'PlayerGrades+'!$AE$15,"D-",IF(L588&lt;'PlayerGrades+'!$AE$14,"D",IF(L588&lt;'PlayerGrades+'!$AE$13,"D+",IF(L588&lt;'PlayerGrades+'!$AE$12,"C-",IF(L588&lt;'PlayerGrades+'!$AE$11,"C",IF(L588&lt;'PlayerGrades+'!$AE$10,"C+",IF(L588&lt;'PlayerGrades+'!$AE$9,"B-",IF(L588&lt;'PlayerGrades+'!$AE$8,"B",IF(L588&lt;'PlayerGrades+'!$AE$7,"B+",IF(L588&lt;'PlayerGrades+'!$AE$6,"A-",IF(L588&lt;'PlayerGrades+'!$AE$5,"A",IF(L588&lt;'PlayerGrades+'!$AE$4,"A+",IF(L588&lt;'PlayerGrades+'!$AE$3,"S-",IF(L588&lt;'PlayerGrades+'!$AE$2,"S","S+"))))))))))))))))))))</f>
        <v>F</v>
      </c>
      <c r="N588" s="973">
        <f t="shared" si="6"/>
        <v>0.06525285481</v>
      </c>
      <c r="O588" s="973" t="str">
        <f>IF(N588&lt;'PlayerGrades+'!$AF$21,"F-",IF(N588&lt;'PlayerGrades+'!$AF$20,"F",IF(N588&lt;'PlayerGrades+'!$AF$19,"F+",IF(N588&lt;'PlayerGrades+'!$AF$18,"E-",IF(N588&lt;'PlayerGrades+'!$AF$17,"E",IF(N588&lt;'PlayerGrades+'!$AF$16,"E+",IF(N588&lt;'PlayerGrades+'!$AF$15,"D-",IF(N588&lt;'PlayerGrades+'!$AF$14,"D",IF(N588&lt;'PlayerGrades+'!$AF$13,"D+",IF(N588&lt;'PlayerGrades+'!$AF$12,"C-",IF(N588&lt;'PlayerGrades+'!$AF$11,"C",IF(N588&lt;'PlayerGrades+'!$AF$10,"C+",IF(N588&lt;'PlayerGrades+'!$AF$9,"B-",IF(N588&lt;'PlayerGrades+'!$AF$8,"B",IF(N588&lt;'PlayerGrades+'!$AF$7,"B+",IF(N588&lt;'PlayerGrades+'!$AF$6,"A-",IF(N588&lt;'PlayerGrades+'!$AF$5,"A",IF(N588&lt;'PlayerGrades+'!$AF$4,"A+",IF(N588&lt;'PlayerGrades+'!$AF$3,"S-",IF(N588&lt;'PlayerGrades+'!$AF$2,"S","S+"))))))))))))))))))))</f>
        <v>C-</v>
      </c>
      <c r="P588" s="973">
        <f t="shared" si="7"/>
        <v>0.06525285481</v>
      </c>
      <c r="Q588" s="973" t="str">
        <f>IF(P588&lt;'PlayerGrades+'!$AG$21,"F-",IF(P588&lt;'PlayerGrades+'!$AG$20,"F",IF(P588&lt;'PlayerGrades+'!$AG$19,"F+",IF(P588&lt;'PlayerGrades+'!$AG$18,"E-",IF(P588&lt;'PlayerGrades+'!$AG$17,"E",IF(P588&lt;'PlayerGrades+'!$AG$16,"E+",IF(P588&lt;'PlayerGrades+'!$AG$15,"D-",IF(P588&lt;'PlayerGrades+'!$AG$14,"D",IF(P588&lt;'PlayerGrades+'!$AG$13,"D+",IF(P588&lt;'PlayerGrades+'!$AG$12,"C-",IF(P588&lt;'PlayerGrades+'!$AG$11,"C",IF(P588&lt;'PlayerGrades+'!$AG$10,"C+",IF(P588&lt;'PlayerGrades+'!$AG$9,"B-",IF(P588&lt;'PlayerGrades+'!$AG$8,"B",IF(P588&lt;'PlayerGrades+'!$AG$7,"B+",IF(P588&lt;'PlayerGrades+'!$AG$6,"A-",IF(P588&lt;'PlayerGrades+'!$AG$5,"A",IF(P588&lt;'PlayerGrades+'!$AG$4,"A+",IF(P588&lt;'PlayerGrades+'!$AG$3,"S-",IF(P588&lt;'PlayerGrades+'!$AG$2,"S","S+"))))))))))))))))))))</f>
        <v>A+</v>
      </c>
      <c r="R588" s="973">
        <f t="shared" si="8"/>
        <v>0.6851549755</v>
      </c>
      <c r="S588" s="973" t="str">
        <f>IF(R588&lt;'PlayerGrades+'!$AH$21,"F-",IF(R588&lt;'PlayerGrades+'!$AH$20,"F",IF(R588&lt;'PlayerGrades+'!$AH$19,"F+",IF(R588&lt;'PlayerGrades+'!$AH$18,"E-",IF(R588&lt;'PlayerGrades+'!$AH$17,"E",IF(R588&lt;'PlayerGrades+'!$AH$16,"E+",IF(R588&lt;'PlayerGrades+'!$AH$15,"D-",IF(R588&lt;'PlayerGrades+'!$AH$14,"D",IF(R588&lt;'PlayerGrades+'!$AH$13,"D+",IF(R588&lt;'PlayerGrades+'!$AH$12,"C-",IF(R588&lt;'PlayerGrades+'!$AH$11,"C",IF(R588&lt;'PlayerGrades+'!$AH$10,"C+",IF(R588&lt;'PlayerGrades+'!$AH$9,"B-",IF(R588&lt;'PlayerGrades+'!$AH$8,"B",IF(R588&lt;'PlayerGrades+'!$AH$7,"B+",IF(R588&lt;'PlayerGrades+'!$AH$6,"A-",IF(R588&lt;'PlayerGrades+'!$AH$5,"A",IF(R588&lt;'PlayerGrades+'!$AH$4,"A+",IF(R588&lt;'PlayerGrades+'!$AH$3,"S-",IF(R588&lt;'PlayerGrades+'!$AH$2,"S","S+"))))))))))))))))))))</f>
        <v>S-</v>
      </c>
      <c r="T588" s="973">
        <f t="shared" si="9"/>
        <v>1.489396411</v>
      </c>
      <c r="U588" s="973" t="str">
        <f>IF(T588&lt;'PlayerGrades+'!$AI$21,"F-",IF(T588&lt;'PlayerGrades+'!$AI$20,"F",IF(T588&lt;'PlayerGrades+'!$AI$19,"F+",IF(T588&lt;'PlayerGrades+'!$AI$18,"E-",IF(T588&lt;'PlayerGrades+'!$AI$17,"E",IF(T588&lt;'PlayerGrades+'!$AI$16,"E+",IF(T588&lt;'PlayerGrades+'!$AI$15,"D-",IF(T588&lt;'PlayerGrades+'!$AI$14,"D",IF(T588&lt;'PlayerGrades+'!$AI$13,"D+",IF(T588&lt;'PlayerGrades+'!$AI$12,"C-",IF(T588&lt;'PlayerGrades+'!$AI$11,"C",IF(T588&lt;'PlayerGrades+'!$AI$10,"C+",IF(T588&lt;'PlayerGrades+'!$AI$9,"B-",IF(T588&lt;'PlayerGrades+'!$AI$8,"B",IF(T588&lt;'PlayerGrades+'!$AI$7,"B+",IF(T588&lt;'PlayerGrades+'!$AI$6,"A-",IF(T588&lt;'PlayerGrades+'!$AI$5,"A",IF(T588&lt;'PlayerGrades+'!$AI$4,"A+",IF(T588&lt;'PlayerGrades+'!$AI$3,"S-",IF(T588&lt;'PlayerGrades+'!$AI$2,"S","S+"))))))))))))))))))))</f>
        <v>A-</v>
      </c>
      <c r="V588" s="941">
        <v>1.0</v>
      </c>
      <c r="W588" s="941">
        <v>1.0</v>
      </c>
      <c r="X588" s="941">
        <v>0.0</v>
      </c>
      <c r="Y588" s="941">
        <v>0.0</v>
      </c>
      <c r="Z588" s="941">
        <v>1.0</v>
      </c>
      <c r="AA588" s="941">
        <v>86.0</v>
      </c>
      <c r="AB588" s="941">
        <v>101.0</v>
      </c>
      <c r="AC588" s="941">
        <v>-15.0</v>
      </c>
      <c r="AD588" s="941">
        <v>8.0</v>
      </c>
      <c r="AE588" s="941">
        <v>5.0</v>
      </c>
      <c r="AF588" s="941">
        <v>1.0</v>
      </c>
      <c r="AG588" s="941">
        <v>1443.0</v>
      </c>
      <c r="AH588" s="941">
        <v>1839.0</v>
      </c>
      <c r="AI588" s="941">
        <v>14.0</v>
      </c>
      <c r="AJ588" s="941">
        <v>79.0</v>
      </c>
      <c r="AK588" s="941">
        <v>0.0</v>
      </c>
      <c r="AL588" s="941">
        <v>2.0</v>
      </c>
      <c r="AM588" s="941">
        <v>0.0</v>
      </c>
      <c r="AN588" s="941">
        <v>0.0</v>
      </c>
      <c r="AO588" s="941">
        <v>0.0</v>
      </c>
      <c r="AP588" s="941">
        <v>2.0</v>
      </c>
      <c r="AQ588" s="941">
        <v>0.0</v>
      </c>
      <c r="AR588" s="941">
        <v>8.0</v>
      </c>
      <c r="AS588" s="941">
        <v>2.0</v>
      </c>
      <c r="AT588" s="941">
        <v>0.0</v>
      </c>
      <c r="AU588" s="941">
        <v>0.0</v>
      </c>
      <c r="AV588" s="941">
        <v>0.0</v>
      </c>
      <c r="AW588" s="941">
        <v>0.0</v>
      </c>
      <c r="AX588" s="941">
        <v>0.0</v>
      </c>
      <c r="AY588" s="941">
        <v>0.0</v>
      </c>
      <c r="AZ588" s="941">
        <v>0.0</v>
      </c>
      <c r="BA588" s="941">
        <v>0.0</v>
      </c>
      <c r="BB588" s="941">
        <v>0.0</v>
      </c>
      <c r="BC588" s="941">
        <v>0.0</v>
      </c>
      <c r="BD588" s="941">
        <v>13.0</v>
      </c>
      <c r="BE588" s="941">
        <v>15.0</v>
      </c>
      <c r="BF588" s="941">
        <v>1.0</v>
      </c>
      <c r="BG588" s="941">
        <v>0.0</v>
      </c>
    </row>
    <row r="589">
      <c r="A589" s="1" t="s">
        <v>147</v>
      </c>
      <c r="B589" s="421" t="str">
        <f>IF(C589&lt;'PlayerGrades+'!$Y$44,"F-",IF(C589&lt;'PlayerGrades+'!$Y$43,"F",IF(C589&lt;'PlayerGrades+'!$Y$42,"F+",IF(C589&lt;'PlayerGrades+'!$Y$41,"E-",IF(C589&lt;'PlayerGrades+'!$Y$40,"E",IF(C589&lt;'PlayerGrades+'!$Y$39,"E+",IF(C589&lt;'PlayerGrades+'!$Y$38,"D-",IF(C589&lt;'PlayerGrades+'!$Y$37,"D",IF(C589&lt;'PlayerGrades+'!$Y$36,"D+",IF(C589&lt;'PlayerGrades+'!$Y$35,"C-",IF(C589&lt;'PlayerGrades+'!$Y$34,"C",IF(C589&lt;'PlayerGrades+'!$Y$33,"C+",IF(C589&lt;'PlayerGrades+'!$Y$32,"B-",IF(C589&lt;'PlayerGrades+'!$Y$31,"B",IF(C589&lt;'PlayerGrades+'!$Y$30,"B+",IF(C589&lt;'PlayerGrades+'!$Y$29,"A-",IF(C589&lt;'PlayerGrades+'!$Y$28,"A",IF(C589&lt;'PlayerGrades+'!$Y$27,"A+",IF(C589&lt;'PlayerGrades+'!$Y$26,"S-",IF(C589&lt;'PlayerGrades+'!$Y$25,"S","S+"))))))))))))))))))))</f>
        <v>D</v>
      </c>
      <c r="C589" s="972">
        <f>('PlayerGrades+'!$Y$47*(VLOOKUP(E589, 'PlayerGrades+'!$X$3:$Y$23, 2, FALSE)))+('PlayerGrades+'!$Y$48*(VLOOKUP(G589, 'PlayerGrades+'!$X$3:$Y$23, 2, FALSE)))+('PlayerGrades+'!$Y$49*(VLOOKUP(I589, 'PlayerGrades+'!$X$3:$Y$23, 2, FALSE)))+('PlayerGrades+'!$Y$50*(VLOOKUP(K589, 'PlayerGrades+'!$X$3:$Y$23, 2, FALSE)))+('PlayerGrades+'!$Y$51*(VLOOKUP(M589, 'PlayerGrades+'!$X$3:$Y$23, 2, FALSE)))+('PlayerGrades+'!$Y$52*(VLOOKUP(O589, 'PlayerGrades+'!$X$3:$Y$23, 2, FALSE)))+('PlayerGrades+'!$Y$53*(VLOOKUP(Q589, 'PlayerGrades+'!$X$3:$Y$23, 2, FALSE)))+('PlayerGrades+'!$Y$54*(VLOOKUP(S589, 'PlayerGrades+'!$X$3:$Y$23, 2, FALSE)))+('PlayerGrades+'!$Y$55*(VLOOKUP(U589, 'PlayerGrades+'!$X$3:$Y$23, 2, FALSE)))</f>
        <v>16.2</v>
      </c>
      <c r="D589" s="973">
        <f t="shared" si="1"/>
        <v>0</v>
      </c>
      <c r="E589" s="973" t="str">
        <f>IF(D589&lt;'PlayerGrades+'!$AA$21,"F-",IF(D589&lt;'PlayerGrades+'!$AA$20,"F",IF(D589&lt;'PlayerGrades+'!$AA$19,"F+",IF(D589&lt;'PlayerGrades+'!$AA$18,"E-",IF(D589&lt;'PlayerGrades+'!$AA$17,"E",IF(D589&lt;'PlayerGrades+'!$AA$16,"E+",IF(D589&lt;'PlayerGrades+'!$AA$15,"D-",IF(D589&lt;'PlayerGrades+'!$AA$14,"D",IF(D589&lt;'PlayerGrades+'!$AA$13,"D+",IF(D589&lt;'PlayerGrades+'!$AA$12,"C-",IF(D589&lt;'PlayerGrades+'!$AA$11,"C",IF(D589&lt;'PlayerGrades+'!$AA$10,"C+",IF(D589&lt;'PlayerGrades+'!$AA$9,"B-",IF(D589&lt;'PlayerGrades+'!$AA$8,"B",IF(D589&lt;'PlayerGrades+'!$AA$7,"B+",IF(D589&lt;'PlayerGrades+'!$AA$6,"A-",IF(D589&lt;'PlayerGrades+'!$AA$5,"A",IF(D589&lt;'PlayerGrades+'!$AA$4,"A+",IF(D589&lt;'PlayerGrades+'!$AA$3,"S-",IF(D589&lt;'PlayerGrades+'!$AA$2,"S","S+"))))))))))))))))))))</f>
        <v>F-</v>
      </c>
      <c r="F589" s="973">
        <f t="shared" si="2"/>
        <v>-0.7830342577</v>
      </c>
      <c r="G589" s="973" t="str">
        <f>IF(F589&lt;'PlayerGrades+'!$AB$21,"F-",IF(F589&lt;'PlayerGrades+'!$AB$20,"F",IF(F589&lt;'PlayerGrades+'!$AB$19,"F+",IF(F589&lt;'PlayerGrades+'!$AB$18,"E-",IF(F589&lt;'PlayerGrades+'!$AB$17,"E",IF(F589&lt;'PlayerGrades+'!$AB$16,"E+",IF(F589&lt;'PlayerGrades+'!$AB$15,"D-",IF(F589&lt;'PlayerGrades+'!$AB$14,"D",IF(F589&lt;'PlayerGrades+'!$AB$13,"D+",IF(F589&lt;'PlayerGrades+'!$AB$12,"C-",IF(F589&lt;'PlayerGrades+'!$AB$11,"C",IF(F589&lt;'PlayerGrades+'!$AB$10,"C+",IF(F589&lt;'PlayerGrades+'!$AB$9,"B-",IF(F589&lt;'PlayerGrades+'!$AB$8,"B",IF(F589&lt;'PlayerGrades+'!$AB$7,"B+",IF(F589&lt;'PlayerGrades+'!$AB$6,"A-",IF(F589&lt;'PlayerGrades+'!$AB$5,"A",IF(F589&lt;'PlayerGrades+'!$AB$4,"A+",IF(F589&lt;'PlayerGrades+'!$AB$3,"S-",IF(F589&lt;'PlayerGrades+'!$AB$2,"S","S+"))))))))))))))))))))</f>
        <v>E</v>
      </c>
      <c r="H589" s="973">
        <f t="shared" si="3"/>
        <v>0.2283849918</v>
      </c>
      <c r="I589" s="973" t="str">
        <f>IF(H589&lt;'PlayerGrades+'!$AC$21,"F-",IF(H589&lt;'PlayerGrades+'!$AC$20,"F",IF(H589&lt;'PlayerGrades+'!$AC$19,"F+",IF(H589&lt;'PlayerGrades+'!$AC$18,"E-",IF(H589&lt;'PlayerGrades+'!$AC$17,"E",IF(H589&lt;'PlayerGrades+'!$AC$16,"E+",IF(H589&lt;'PlayerGrades+'!$AC$15,"D-",IF(H589&lt;'PlayerGrades+'!$AC$14,"D",IF(H589&lt;'PlayerGrades+'!$AC$13,"D+",IF(H589&lt;'PlayerGrades+'!$AC$12,"C-",IF(H589&lt;'PlayerGrades+'!$AC$11,"C",IF(H589&lt;'PlayerGrades+'!$AC$10,"C+",IF(H589&lt;'PlayerGrades+'!$AC$9,"B-",IF(H589&lt;'PlayerGrades+'!$AC$8,"B",IF(H589&lt;'PlayerGrades+'!$AC$7,"B+",IF(H589&lt;'PlayerGrades+'!$AC$6,"A-",IF(H589&lt;'PlayerGrades+'!$AC$5,"A",IF(H589&lt;'PlayerGrades+'!$AC$4,"A+",IF(H589&lt;'PlayerGrades+'!$AC$3,"S-",IF(H589&lt;'PlayerGrades+'!$AC$2,"S","S+"))))))))))))))))))))</f>
        <v>S</v>
      </c>
      <c r="J589" s="973">
        <f t="shared" si="4"/>
        <v>0.03262642741</v>
      </c>
      <c r="K589" s="973" t="str">
        <f>IF(J589&lt;'PlayerGrades+'!$AD$21,"F-",IF(J589&lt;'PlayerGrades+'!$AD$20,"F",IF(J589&lt;'PlayerGrades+'!$AD$19,"F+",IF(J589&lt;'PlayerGrades+'!$AD$18,"E-",IF(J589&lt;'PlayerGrades+'!$AD$17,"E",IF(J589&lt;'PlayerGrades+'!$AD$16,"E+",IF(J589&lt;'PlayerGrades+'!$AD$15,"D-",IF(J589&lt;'PlayerGrades+'!$AD$14,"D",IF(J589&lt;'PlayerGrades+'!$AD$13,"D+",IF(J589&lt;'PlayerGrades+'!$AD$12,"C-",IF(J589&lt;'PlayerGrades+'!$AD$11,"C",IF(J589&lt;'PlayerGrades+'!$AD$10,"C+",IF(J589&lt;'PlayerGrades+'!$AD$9,"B-",IF(J589&lt;'PlayerGrades+'!$AD$8,"B",IF(J589&lt;'PlayerGrades+'!$AD$7,"B+",IF(J589&lt;'PlayerGrades+'!$AD$6,"A-",IF(J589&lt;'PlayerGrades+'!$AD$5,"A",IF(J589&lt;'PlayerGrades+'!$AD$4,"A+",IF(J589&lt;'PlayerGrades+'!$AD$3,"S-",IF(J589&lt;'PlayerGrades+'!$AD$2,"S","S+"))))))))))))))))))))</f>
        <v>C</v>
      </c>
      <c r="L589" s="974">
        <f t="shared" si="5"/>
        <v>0.4567699837</v>
      </c>
      <c r="M589" s="975" t="str">
        <f>IF(L589&lt;'PlayerGrades+'!$AE$21,"F-",IF(L589&lt;'PlayerGrades+'!$AE$20,"F",IF(L589&lt;'PlayerGrades+'!$AE$19,"F+",IF(L589&lt;'PlayerGrades+'!$AE$18,"E-",IF(L589&lt;'PlayerGrades+'!$AE$17,"E",IF(L589&lt;'PlayerGrades+'!$AE$16,"E+",IF(L589&lt;'PlayerGrades+'!$AE$15,"D-",IF(L589&lt;'PlayerGrades+'!$AE$14,"D",IF(L589&lt;'PlayerGrades+'!$AE$13,"D+",IF(L589&lt;'PlayerGrades+'!$AE$12,"C-",IF(L589&lt;'PlayerGrades+'!$AE$11,"C",IF(L589&lt;'PlayerGrades+'!$AE$10,"C+",IF(L589&lt;'PlayerGrades+'!$AE$9,"B-",IF(L589&lt;'PlayerGrades+'!$AE$8,"B",IF(L589&lt;'PlayerGrades+'!$AE$7,"B+",IF(L589&lt;'PlayerGrades+'!$AE$6,"A-",IF(L589&lt;'PlayerGrades+'!$AE$5,"A",IF(L589&lt;'PlayerGrades+'!$AE$4,"A+",IF(L589&lt;'PlayerGrades+'!$AE$3,"S-",IF(L589&lt;'PlayerGrades+'!$AE$2,"S","S+"))))))))))))))))))))</f>
        <v>B+</v>
      </c>
      <c r="N589" s="973">
        <f t="shared" si="6"/>
        <v>0.03262642741</v>
      </c>
      <c r="O589" s="973" t="str">
        <f>IF(N589&lt;'PlayerGrades+'!$AF$21,"F-",IF(N589&lt;'PlayerGrades+'!$AF$20,"F",IF(N589&lt;'PlayerGrades+'!$AF$19,"F+",IF(N589&lt;'PlayerGrades+'!$AF$18,"E-",IF(N589&lt;'PlayerGrades+'!$AF$17,"E",IF(N589&lt;'PlayerGrades+'!$AF$16,"E+",IF(N589&lt;'PlayerGrades+'!$AF$15,"D-",IF(N589&lt;'PlayerGrades+'!$AF$14,"D",IF(N589&lt;'PlayerGrades+'!$AF$13,"D+",IF(N589&lt;'PlayerGrades+'!$AF$12,"C-",IF(N589&lt;'PlayerGrades+'!$AF$11,"C",IF(N589&lt;'PlayerGrades+'!$AF$10,"C+",IF(N589&lt;'PlayerGrades+'!$AF$9,"B-",IF(N589&lt;'PlayerGrades+'!$AF$8,"B",IF(N589&lt;'PlayerGrades+'!$AF$7,"B+",IF(N589&lt;'PlayerGrades+'!$AF$6,"A-",IF(N589&lt;'PlayerGrades+'!$AF$5,"A",IF(N589&lt;'PlayerGrades+'!$AF$4,"A+",IF(N589&lt;'PlayerGrades+'!$AF$3,"S-",IF(N589&lt;'PlayerGrades+'!$AF$2,"S","S+"))))))))))))))))))))</f>
        <v>F</v>
      </c>
      <c r="P589" s="973">
        <f t="shared" si="7"/>
        <v>0.03262642741</v>
      </c>
      <c r="Q589" s="973" t="str">
        <f>IF(P589&lt;'PlayerGrades+'!$AG$21,"F-",IF(P589&lt;'PlayerGrades+'!$AG$20,"F",IF(P589&lt;'PlayerGrades+'!$AG$19,"F+",IF(P589&lt;'PlayerGrades+'!$AG$18,"E-",IF(P589&lt;'PlayerGrades+'!$AG$17,"E",IF(P589&lt;'PlayerGrades+'!$AG$16,"E+",IF(P589&lt;'PlayerGrades+'!$AG$15,"D-",IF(P589&lt;'PlayerGrades+'!$AG$14,"D",IF(P589&lt;'PlayerGrades+'!$AG$13,"D+",IF(P589&lt;'PlayerGrades+'!$AG$12,"C-",IF(P589&lt;'PlayerGrades+'!$AG$11,"C",IF(P589&lt;'PlayerGrades+'!$AG$10,"C+",IF(P589&lt;'PlayerGrades+'!$AG$9,"B-",IF(P589&lt;'PlayerGrades+'!$AG$8,"B",IF(P589&lt;'PlayerGrades+'!$AG$7,"B+",IF(P589&lt;'PlayerGrades+'!$AG$6,"A-",IF(P589&lt;'PlayerGrades+'!$AG$5,"A",IF(P589&lt;'PlayerGrades+'!$AG$4,"A+",IF(P589&lt;'PlayerGrades+'!$AG$3,"S-",IF(P589&lt;'PlayerGrades+'!$AG$2,"S","S+"))))))))))))))))))))</f>
        <v>B+</v>
      </c>
      <c r="R589" s="973">
        <f t="shared" si="8"/>
        <v>0.3915171289</v>
      </c>
      <c r="S589" s="973" t="str">
        <f>IF(R589&lt;'PlayerGrades+'!$AH$21,"F-",IF(R589&lt;'PlayerGrades+'!$AH$20,"F",IF(R589&lt;'PlayerGrades+'!$AH$19,"F+",IF(R589&lt;'PlayerGrades+'!$AH$18,"E-",IF(R589&lt;'PlayerGrades+'!$AH$17,"E",IF(R589&lt;'PlayerGrades+'!$AH$16,"E+",IF(R589&lt;'PlayerGrades+'!$AH$15,"D-",IF(R589&lt;'PlayerGrades+'!$AH$14,"D",IF(R589&lt;'PlayerGrades+'!$AH$13,"D+",IF(R589&lt;'PlayerGrades+'!$AH$12,"C-",IF(R589&lt;'PlayerGrades+'!$AH$11,"C",IF(R589&lt;'PlayerGrades+'!$AH$10,"C+",IF(R589&lt;'PlayerGrades+'!$AH$9,"B-",IF(R589&lt;'PlayerGrades+'!$AH$8,"B",IF(R589&lt;'PlayerGrades+'!$AH$7,"B+",IF(R589&lt;'PlayerGrades+'!$AH$6,"A-",IF(R589&lt;'PlayerGrades+'!$AH$5,"A",IF(R589&lt;'PlayerGrades+'!$AH$4,"A+",IF(R589&lt;'PlayerGrades+'!$AH$3,"S-",IF(R589&lt;'PlayerGrades+'!$AH$2,"S","S+"))))))))))))))))))))</f>
        <v>F+</v>
      </c>
      <c r="T589" s="973">
        <f t="shared" si="9"/>
        <v>2.326264274</v>
      </c>
      <c r="U589" s="973" t="str">
        <f>IF(T589&lt;'PlayerGrades+'!$AI$21,"F-",IF(T589&lt;'PlayerGrades+'!$AI$20,"F",IF(T589&lt;'PlayerGrades+'!$AI$19,"F+",IF(T589&lt;'PlayerGrades+'!$AI$18,"E-",IF(T589&lt;'PlayerGrades+'!$AI$17,"E",IF(T589&lt;'PlayerGrades+'!$AI$16,"E+",IF(T589&lt;'PlayerGrades+'!$AI$15,"D-",IF(T589&lt;'PlayerGrades+'!$AI$14,"D",IF(T589&lt;'PlayerGrades+'!$AI$13,"D+",IF(T589&lt;'PlayerGrades+'!$AI$12,"C-",IF(T589&lt;'PlayerGrades+'!$AI$11,"C",IF(T589&lt;'PlayerGrades+'!$AI$10,"C+",IF(T589&lt;'PlayerGrades+'!$AI$9,"B-",IF(T589&lt;'PlayerGrades+'!$AI$8,"B",IF(T589&lt;'PlayerGrades+'!$AI$7,"B+",IF(T589&lt;'PlayerGrades+'!$AI$6,"A-",IF(T589&lt;'PlayerGrades+'!$AI$5,"A",IF(T589&lt;'PlayerGrades+'!$AI$4,"A+",IF(T589&lt;'PlayerGrades+'!$AI$3,"S-",IF(T589&lt;'PlayerGrades+'!$AI$2,"S","S+"))))))))))))))))))))</f>
        <v>S+</v>
      </c>
      <c r="V589" s="941">
        <v>1.0</v>
      </c>
      <c r="W589" s="941">
        <v>1.0</v>
      </c>
      <c r="X589" s="941">
        <v>0.0</v>
      </c>
      <c r="Y589" s="941">
        <v>0.0</v>
      </c>
      <c r="Z589" s="941">
        <v>0.0</v>
      </c>
      <c r="AA589" s="941">
        <v>91.0</v>
      </c>
      <c r="AB589" s="941">
        <v>115.0</v>
      </c>
      <c r="AC589" s="941">
        <v>-24.0</v>
      </c>
      <c r="AD589" s="941">
        <v>7.0</v>
      </c>
      <c r="AE589" s="941">
        <v>5.0</v>
      </c>
      <c r="AF589" s="941">
        <v>3.0</v>
      </c>
      <c r="AG589" s="941">
        <v>1403.0</v>
      </c>
      <c r="AH589" s="941">
        <v>1839.0</v>
      </c>
      <c r="AI589" s="941">
        <v>12.0</v>
      </c>
      <c r="AJ589" s="941">
        <v>13.0</v>
      </c>
      <c r="AK589" s="941">
        <v>0.0</v>
      </c>
      <c r="AL589" s="941">
        <v>1.0</v>
      </c>
      <c r="AM589" s="941">
        <v>0.0</v>
      </c>
      <c r="AN589" s="941">
        <v>0.0</v>
      </c>
      <c r="AO589" s="941">
        <v>0.0</v>
      </c>
      <c r="AP589" s="941">
        <v>1.0</v>
      </c>
      <c r="AQ589" s="941">
        <v>0.0</v>
      </c>
      <c r="AR589" s="941">
        <v>14.0</v>
      </c>
      <c r="AS589" s="941">
        <v>1.0</v>
      </c>
      <c r="AT589" s="941">
        <v>1.0</v>
      </c>
      <c r="AU589" s="941">
        <v>0.0</v>
      </c>
      <c r="AV589" s="941">
        <v>0.0</v>
      </c>
      <c r="AW589" s="941">
        <v>0.0</v>
      </c>
      <c r="AX589" s="941">
        <v>0.0</v>
      </c>
      <c r="AY589" s="941">
        <v>0.0</v>
      </c>
      <c r="AZ589" s="941">
        <v>0.0</v>
      </c>
      <c r="BA589" s="941">
        <v>0.0</v>
      </c>
      <c r="BB589" s="941">
        <v>7.0</v>
      </c>
      <c r="BC589" s="941">
        <v>0.0</v>
      </c>
      <c r="BD589" s="941">
        <v>5.0</v>
      </c>
      <c r="BE589" s="941">
        <v>10.0</v>
      </c>
      <c r="BF589" s="941">
        <v>2.0</v>
      </c>
      <c r="BG589" s="941">
        <v>0.0</v>
      </c>
    </row>
    <row r="590">
      <c r="A590" s="1" t="s">
        <v>119</v>
      </c>
      <c r="B590" s="421" t="str">
        <f>IF(C590&lt;'PlayerGrades+'!$Y$44,"F-",IF(C590&lt;'PlayerGrades+'!$Y$43,"F",IF(C590&lt;'PlayerGrades+'!$Y$42,"F+",IF(C590&lt;'PlayerGrades+'!$Y$41,"E-",IF(C590&lt;'PlayerGrades+'!$Y$40,"E",IF(C590&lt;'PlayerGrades+'!$Y$39,"E+",IF(C590&lt;'PlayerGrades+'!$Y$38,"D-",IF(C590&lt;'PlayerGrades+'!$Y$37,"D",IF(C590&lt;'PlayerGrades+'!$Y$36,"D+",IF(C590&lt;'PlayerGrades+'!$Y$35,"C-",IF(C590&lt;'PlayerGrades+'!$Y$34,"C",IF(C590&lt;'PlayerGrades+'!$Y$33,"C+",IF(C590&lt;'PlayerGrades+'!$Y$32,"B-",IF(C590&lt;'PlayerGrades+'!$Y$31,"B",IF(C590&lt;'PlayerGrades+'!$Y$30,"B+",IF(C590&lt;'PlayerGrades+'!$Y$29,"A-",IF(C590&lt;'PlayerGrades+'!$Y$28,"A",IF(C590&lt;'PlayerGrades+'!$Y$27,"A+",IF(C590&lt;'PlayerGrades+'!$Y$26,"S-",IF(C590&lt;'PlayerGrades+'!$Y$25,"S","S+"))))))))))))))))))))</f>
        <v>C</v>
      </c>
      <c r="C590" s="972">
        <f>('PlayerGrades+'!$Y$47*(VLOOKUP(E590, 'PlayerGrades+'!$X$3:$Y$23, 2, FALSE)))+('PlayerGrades+'!$Y$48*(VLOOKUP(G590, 'PlayerGrades+'!$X$3:$Y$23, 2, FALSE)))+('PlayerGrades+'!$Y$49*(VLOOKUP(I590, 'PlayerGrades+'!$X$3:$Y$23, 2, FALSE)))+('PlayerGrades+'!$Y$50*(VLOOKUP(K590, 'PlayerGrades+'!$X$3:$Y$23, 2, FALSE)))+('PlayerGrades+'!$Y$51*(VLOOKUP(M590, 'PlayerGrades+'!$X$3:$Y$23, 2, FALSE)))+('PlayerGrades+'!$Y$52*(VLOOKUP(O590, 'PlayerGrades+'!$X$3:$Y$23, 2, FALSE)))+('PlayerGrades+'!$Y$53*(VLOOKUP(Q590, 'PlayerGrades+'!$X$3:$Y$23, 2, FALSE)))+('PlayerGrades+'!$Y$54*(VLOOKUP(S590, 'PlayerGrades+'!$X$3:$Y$23, 2, FALSE)))+('PlayerGrades+'!$Y$55*(VLOOKUP(U590, 'PlayerGrades+'!$X$3:$Y$23, 2, FALSE)))</f>
        <v>20.05</v>
      </c>
      <c r="D590" s="973">
        <f t="shared" si="1"/>
        <v>1.01141925</v>
      </c>
      <c r="E590" s="973" t="str">
        <f>IF(D590&lt;'PlayerGrades+'!$AA$21,"F-",IF(D590&lt;'PlayerGrades+'!$AA$20,"F",IF(D590&lt;'PlayerGrades+'!$AA$19,"F+",IF(D590&lt;'PlayerGrades+'!$AA$18,"E-",IF(D590&lt;'PlayerGrades+'!$AA$17,"E",IF(D590&lt;'PlayerGrades+'!$AA$16,"E+",IF(D590&lt;'PlayerGrades+'!$AA$15,"D-",IF(D590&lt;'PlayerGrades+'!$AA$14,"D",IF(D590&lt;'PlayerGrades+'!$AA$13,"D+",IF(D590&lt;'PlayerGrades+'!$AA$12,"C-",IF(D590&lt;'PlayerGrades+'!$AA$11,"C",IF(D590&lt;'PlayerGrades+'!$AA$10,"C+",IF(D590&lt;'PlayerGrades+'!$AA$9,"B-",IF(D590&lt;'PlayerGrades+'!$AA$8,"B",IF(D590&lt;'PlayerGrades+'!$AA$7,"B+",IF(D590&lt;'PlayerGrades+'!$AA$6,"A-",IF(D590&lt;'PlayerGrades+'!$AA$5,"A",IF(D590&lt;'PlayerGrades+'!$AA$4,"A+",IF(D590&lt;'PlayerGrades+'!$AA$3,"S-",IF(D590&lt;'PlayerGrades+'!$AA$2,"S","S+"))))))))))))))))))))</f>
        <v>S+</v>
      </c>
      <c r="F590" s="973">
        <f t="shared" si="2"/>
        <v>0.5546492659</v>
      </c>
      <c r="G590" s="973" t="str">
        <f>IF(F590&lt;'PlayerGrades+'!$AB$21,"F-",IF(F590&lt;'PlayerGrades+'!$AB$20,"F",IF(F590&lt;'PlayerGrades+'!$AB$19,"F+",IF(F590&lt;'PlayerGrades+'!$AB$18,"E-",IF(F590&lt;'PlayerGrades+'!$AB$17,"E",IF(F590&lt;'PlayerGrades+'!$AB$16,"E+",IF(F590&lt;'PlayerGrades+'!$AB$15,"D-",IF(F590&lt;'PlayerGrades+'!$AB$14,"D",IF(F590&lt;'PlayerGrades+'!$AB$13,"D+",IF(F590&lt;'PlayerGrades+'!$AB$12,"C-",IF(F590&lt;'PlayerGrades+'!$AB$11,"C",IF(F590&lt;'PlayerGrades+'!$AB$10,"C+",IF(F590&lt;'PlayerGrades+'!$AB$9,"B-",IF(F590&lt;'PlayerGrades+'!$AB$8,"B",IF(F590&lt;'PlayerGrades+'!$AB$7,"B+",IF(F590&lt;'PlayerGrades+'!$AB$6,"A-",IF(F590&lt;'PlayerGrades+'!$AB$5,"A",IF(F590&lt;'PlayerGrades+'!$AB$4,"A+",IF(F590&lt;'PlayerGrades+'!$AB$3,"S-",IF(F590&lt;'PlayerGrades+'!$AB$2,"S","S+"))))))))))))))))))))</f>
        <v>S-</v>
      </c>
      <c r="H590" s="973">
        <f t="shared" si="3"/>
        <v>0</v>
      </c>
      <c r="I590" s="973" t="str">
        <f>IF(H590&lt;'PlayerGrades+'!$AC$21,"F-",IF(H590&lt;'PlayerGrades+'!$AC$20,"F",IF(H590&lt;'PlayerGrades+'!$AC$19,"F+",IF(H590&lt;'PlayerGrades+'!$AC$18,"E-",IF(H590&lt;'PlayerGrades+'!$AC$17,"E",IF(H590&lt;'PlayerGrades+'!$AC$16,"E+",IF(H590&lt;'PlayerGrades+'!$AC$15,"D-",IF(H590&lt;'PlayerGrades+'!$AC$14,"D",IF(H590&lt;'PlayerGrades+'!$AC$13,"D+",IF(H590&lt;'PlayerGrades+'!$AC$12,"C-",IF(H590&lt;'PlayerGrades+'!$AC$11,"C",IF(H590&lt;'PlayerGrades+'!$AC$10,"C+",IF(H590&lt;'PlayerGrades+'!$AC$9,"B-",IF(H590&lt;'PlayerGrades+'!$AC$8,"B",IF(H590&lt;'PlayerGrades+'!$AC$7,"B+",IF(H590&lt;'PlayerGrades+'!$AC$6,"A-",IF(H590&lt;'PlayerGrades+'!$AC$5,"A",IF(H590&lt;'PlayerGrades+'!$AC$4,"A+",IF(H590&lt;'PlayerGrades+'!$AC$3,"S-",IF(H590&lt;'PlayerGrades+'!$AC$2,"S","S+"))))))))))))))))))))</f>
        <v>F-</v>
      </c>
      <c r="J590" s="973">
        <f t="shared" si="4"/>
        <v>0.06525285481</v>
      </c>
      <c r="K590" s="973" t="str">
        <f>IF(J590&lt;'PlayerGrades+'!$AD$21,"F-",IF(J590&lt;'PlayerGrades+'!$AD$20,"F",IF(J590&lt;'PlayerGrades+'!$AD$19,"F+",IF(J590&lt;'PlayerGrades+'!$AD$18,"E-",IF(J590&lt;'PlayerGrades+'!$AD$17,"E",IF(J590&lt;'PlayerGrades+'!$AD$16,"E+",IF(J590&lt;'PlayerGrades+'!$AD$15,"D-",IF(J590&lt;'PlayerGrades+'!$AD$14,"D",IF(J590&lt;'PlayerGrades+'!$AD$13,"D+",IF(J590&lt;'PlayerGrades+'!$AD$12,"C-",IF(J590&lt;'PlayerGrades+'!$AD$11,"C",IF(J590&lt;'PlayerGrades+'!$AD$10,"C+",IF(J590&lt;'PlayerGrades+'!$AD$9,"B-",IF(J590&lt;'PlayerGrades+'!$AD$8,"B",IF(J590&lt;'PlayerGrades+'!$AD$7,"B+",IF(J590&lt;'PlayerGrades+'!$AD$6,"A-",IF(J590&lt;'PlayerGrades+'!$AD$5,"A",IF(J590&lt;'PlayerGrades+'!$AD$4,"A+",IF(J590&lt;'PlayerGrades+'!$AD$3,"S-",IF(J590&lt;'PlayerGrades+'!$AD$2,"S","S+"))))))))))))))))))))</f>
        <v>A-</v>
      </c>
      <c r="L590" s="974">
        <f t="shared" si="5"/>
        <v>0.3915171289</v>
      </c>
      <c r="M590" s="975" t="str">
        <f>IF(L590&lt;'PlayerGrades+'!$AE$21,"F-",IF(L590&lt;'PlayerGrades+'!$AE$20,"F",IF(L590&lt;'PlayerGrades+'!$AE$19,"F+",IF(L590&lt;'PlayerGrades+'!$AE$18,"E-",IF(L590&lt;'PlayerGrades+'!$AE$17,"E",IF(L590&lt;'PlayerGrades+'!$AE$16,"E+",IF(L590&lt;'PlayerGrades+'!$AE$15,"D-",IF(L590&lt;'PlayerGrades+'!$AE$14,"D",IF(L590&lt;'PlayerGrades+'!$AE$13,"D+",IF(L590&lt;'PlayerGrades+'!$AE$12,"C-",IF(L590&lt;'PlayerGrades+'!$AE$11,"C",IF(L590&lt;'PlayerGrades+'!$AE$10,"C+",IF(L590&lt;'PlayerGrades+'!$AE$9,"B-",IF(L590&lt;'PlayerGrades+'!$AE$8,"B",IF(L590&lt;'PlayerGrades+'!$AE$7,"B+",IF(L590&lt;'PlayerGrades+'!$AE$6,"A-",IF(L590&lt;'PlayerGrades+'!$AE$5,"A",IF(L590&lt;'PlayerGrades+'!$AE$4,"A+",IF(L590&lt;'PlayerGrades+'!$AE$3,"S-",IF(L590&lt;'PlayerGrades+'!$AE$2,"S","S+"))))))))))))))))))))</f>
        <v>C</v>
      </c>
      <c r="N590" s="973">
        <f t="shared" si="6"/>
        <v>0.03262642741</v>
      </c>
      <c r="O590" s="973" t="str">
        <f>IF(N590&lt;'PlayerGrades+'!$AF$21,"F-",IF(N590&lt;'PlayerGrades+'!$AF$20,"F",IF(N590&lt;'PlayerGrades+'!$AF$19,"F+",IF(N590&lt;'PlayerGrades+'!$AF$18,"E-",IF(N590&lt;'PlayerGrades+'!$AF$17,"E",IF(N590&lt;'PlayerGrades+'!$AF$16,"E+",IF(N590&lt;'PlayerGrades+'!$AF$15,"D-",IF(N590&lt;'PlayerGrades+'!$AF$14,"D",IF(N590&lt;'PlayerGrades+'!$AF$13,"D+",IF(N590&lt;'PlayerGrades+'!$AF$12,"C-",IF(N590&lt;'PlayerGrades+'!$AF$11,"C",IF(N590&lt;'PlayerGrades+'!$AF$10,"C+",IF(N590&lt;'PlayerGrades+'!$AF$9,"B-",IF(N590&lt;'PlayerGrades+'!$AF$8,"B",IF(N590&lt;'PlayerGrades+'!$AF$7,"B+",IF(N590&lt;'PlayerGrades+'!$AF$6,"A-",IF(N590&lt;'PlayerGrades+'!$AF$5,"A",IF(N590&lt;'PlayerGrades+'!$AF$4,"A+",IF(N590&lt;'PlayerGrades+'!$AF$3,"S-",IF(N590&lt;'PlayerGrades+'!$AF$2,"S","S+"))))))))))))))))))))</f>
        <v>F</v>
      </c>
      <c r="P590" s="973">
        <f t="shared" si="7"/>
        <v>0</v>
      </c>
      <c r="Q590" s="973" t="str">
        <f>IF(P590&lt;'PlayerGrades+'!$AG$21,"F-",IF(P590&lt;'PlayerGrades+'!$AG$20,"F",IF(P590&lt;'PlayerGrades+'!$AG$19,"F+",IF(P590&lt;'PlayerGrades+'!$AG$18,"E-",IF(P590&lt;'PlayerGrades+'!$AG$17,"E",IF(P590&lt;'PlayerGrades+'!$AG$16,"E+",IF(P590&lt;'PlayerGrades+'!$AG$15,"D-",IF(P590&lt;'PlayerGrades+'!$AG$14,"D",IF(P590&lt;'PlayerGrades+'!$AG$13,"D+",IF(P590&lt;'PlayerGrades+'!$AG$12,"C-",IF(P590&lt;'PlayerGrades+'!$AG$11,"C",IF(P590&lt;'PlayerGrades+'!$AG$10,"C+",IF(P590&lt;'PlayerGrades+'!$AG$9,"B-",IF(P590&lt;'PlayerGrades+'!$AG$8,"B",IF(P590&lt;'PlayerGrades+'!$AG$7,"B+",IF(P590&lt;'PlayerGrades+'!$AG$6,"A-",IF(P590&lt;'PlayerGrades+'!$AG$5,"A",IF(P590&lt;'PlayerGrades+'!$AG$4,"A+",IF(P590&lt;'PlayerGrades+'!$AG$3,"S-",IF(P590&lt;'PlayerGrades+'!$AG$2,"S","S+"))))))))))))))))))))</f>
        <v>F</v>
      </c>
      <c r="R590" s="973">
        <f t="shared" si="8"/>
        <v>0.6525285481</v>
      </c>
      <c r="S590" s="973" t="str">
        <f>IF(R590&lt;'PlayerGrades+'!$AH$21,"F-",IF(R590&lt;'PlayerGrades+'!$AH$20,"F",IF(R590&lt;'PlayerGrades+'!$AH$19,"F+",IF(R590&lt;'PlayerGrades+'!$AH$18,"E-",IF(R590&lt;'PlayerGrades+'!$AH$17,"E",IF(R590&lt;'PlayerGrades+'!$AH$16,"E+",IF(R590&lt;'PlayerGrades+'!$AH$15,"D-",IF(R590&lt;'PlayerGrades+'!$AH$14,"D",IF(R590&lt;'PlayerGrades+'!$AH$13,"D+",IF(R590&lt;'PlayerGrades+'!$AH$12,"C-",IF(R590&lt;'PlayerGrades+'!$AH$11,"C",IF(R590&lt;'PlayerGrades+'!$AH$10,"C+",IF(R590&lt;'PlayerGrades+'!$AH$9,"B-",IF(R590&lt;'PlayerGrades+'!$AH$8,"B",IF(R590&lt;'PlayerGrades+'!$AH$7,"B+",IF(R590&lt;'PlayerGrades+'!$AH$6,"A-",IF(R590&lt;'PlayerGrades+'!$AH$5,"A",IF(R590&lt;'PlayerGrades+'!$AH$4,"A+",IF(R590&lt;'PlayerGrades+'!$AH$3,"S-",IF(R590&lt;'PlayerGrades+'!$AH$2,"S","S+"))))))))))))))))))))</f>
        <v>A+</v>
      </c>
      <c r="T590" s="973">
        <f t="shared" si="9"/>
        <v>0.2936378467</v>
      </c>
      <c r="U590" s="973" t="str">
        <f>IF(T590&lt;'PlayerGrades+'!$AI$21,"F-",IF(T590&lt;'PlayerGrades+'!$AI$20,"F",IF(T590&lt;'PlayerGrades+'!$AI$19,"F+",IF(T590&lt;'PlayerGrades+'!$AI$18,"E-",IF(T590&lt;'PlayerGrades+'!$AI$17,"E",IF(T590&lt;'PlayerGrades+'!$AI$16,"E+",IF(T590&lt;'PlayerGrades+'!$AI$15,"D-",IF(T590&lt;'PlayerGrades+'!$AI$14,"D",IF(T590&lt;'PlayerGrades+'!$AI$13,"D+",IF(T590&lt;'PlayerGrades+'!$AI$12,"C-",IF(T590&lt;'PlayerGrades+'!$AI$11,"C",IF(T590&lt;'PlayerGrades+'!$AI$10,"C+",IF(T590&lt;'PlayerGrades+'!$AI$9,"B-",IF(T590&lt;'PlayerGrades+'!$AI$8,"B",IF(T590&lt;'PlayerGrades+'!$AI$7,"B+",IF(T590&lt;'PlayerGrades+'!$AI$6,"A-",IF(T590&lt;'PlayerGrades+'!$AI$5,"A",IF(T590&lt;'PlayerGrades+'!$AI$4,"A+",IF(T590&lt;'PlayerGrades+'!$AI$3,"S-",IF(T590&lt;'PlayerGrades+'!$AI$2,"S","S+"))))))))))))))))))))</f>
        <v>F-</v>
      </c>
      <c r="V590" s="941">
        <v>1.0</v>
      </c>
      <c r="W590" s="941">
        <v>0.0</v>
      </c>
      <c r="X590" s="941">
        <v>1.0</v>
      </c>
      <c r="Y590" s="941">
        <v>2.0</v>
      </c>
      <c r="Z590" s="941">
        <v>29.0</v>
      </c>
      <c r="AA590" s="941">
        <v>81.0</v>
      </c>
      <c r="AB590" s="941">
        <v>64.0</v>
      </c>
      <c r="AC590" s="941">
        <v>17.0</v>
      </c>
      <c r="AD590" s="941">
        <v>6.0</v>
      </c>
      <c r="AE590" s="941">
        <v>10.0</v>
      </c>
      <c r="AF590" s="941">
        <v>0.0</v>
      </c>
      <c r="AG590" s="941">
        <v>1549.0</v>
      </c>
      <c r="AH590" s="941">
        <v>1839.0</v>
      </c>
      <c r="AI590" s="941">
        <v>24.0</v>
      </c>
      <c r="AJ590" s="941">
        <v>956.0</v>
      </c>
      <c r="AK590" s="941">
        <v>0.0</v>
      </c>
      <c r="AL590" s="941">
        <v>2.0</v>
      </c>
      <c r="AM590" s="941">
        <v>1.0</v>
      </c>
      <c r="AN590" s="941">
        <v>0.0</v>
      </c>
      <c r="AO590" s="941">
        <v>0.0</v>
      </c>
      <c r="AP590" s="941">
        <v>0.0</v>
      </c>
      <c r="AQ590" s="941">
        <v>0.0</v>
      </c>
      <c r="AR590" s="941">
        <v>12.0</v>
      </c>
      <c r="AS590" s="941">
        <v>1.0</v>
      </c>
      <c r="AT590" s="941">
        <v>0.0</v>
      </c>
      <c r="AU590" s="941">
        <v>0.0</v>
      </c>
      <c r="AV590" s="941">
        <v>0.0</v>
      </c>
      <c r="AW590" s="941">
        <v>0.0</v>
      </c>
      <c r="AX590" s="941">
        <v>0.0</v>
      </c>
      <c r="AY590" s="941">
        <v>0.0</v>
      </c>
      <c r="AZ590" s="941">
        <v>0.0</v>
      </c>
      <c r="BA590" s="941">
        <v>0.0</v>
      </c>
      <c r="BB590" s="941">
        <v>0.0</v>
      </c>
      <c r="BC590" s="941">
        <v>0.0</v>
      </c>
      <c r="BD590" s="941">
        <v>14.0</v>
      </c>
      <c r="BE590" s="941">
        <v>9.0</v>
      </c>
      <c r="BF590" s="941">
        <v>0.0</v>
      </c>
      <c r="BG590" s="941">
        <v>1.0</v>
      </c>
    </row>
    <row r="591">
      <c r="A591" s="1" t="s">
        <v>130</v>
      </c>
      <c r="B591" s="421" t="str">
        <f>IF(C591&lt;'PlayerGrades+'!$Y$44,"F-",IF(C591&lt;'PlayerGrades+'!$Y$43,"F",IF(C591&lt;'PlayerGrades+'!$Y$42,"F+",IF(C591&lt;'PlayerGrades+'!$Y$41,"E-",IF(C591&lt;'PlayerGrades+'!$Y$40,"E",IF(C591&lt;'PlayerGrades+'!$Y$39,"E+",IF(C591&lt;'PlayerGrades+'!$Y$38,"D-",IF(C591&lt;'PlayerGrades+'!$Y$37,"D",IF(C591&lt;'PlayerGrades+'!$Y$36,"D+",IF(C591&lt;'PlayerGrades+'!$Y$35,"C-",IF(C591&lt;'PlayerGrades+'!$Y$34,"C",IF(C591&lt;'PlayerGrades+'!$Y$33,"C+",IF(C591&lt;'PlayerGrades+'!$Y$32,"B-",IF(C591&lt;'PlayerGrades+'!$Y$31,"B",IF(C591&lt;'PlayerGrades+'!$Y$30,"B+",IF(C591&lt;'PlayerGrades+'!$Y$29,"A-",IF(C591&lt;'PlayerGrades+'!$Y$28,"A",IF(C591&lt;'PlayerGrades+'!$Y$27,"A+",IF(C591&lt;'PlayerGrades+'!$Y$26,"S-",IF(C591&lt;'PlayerGrades+'!$Y$25,"S","S+"))))))))))))))))))))</f>
        <v>S-</v>
      </c>
      <c r="C591" s="972">
        <f>('PlayerGrades+'!$Y$47*(VLOOKUP(E591, 'PlayerGrades+'!$X$3:$Y$23, 2, FALSE)))+('PlayerGrades+'!$Y$48*(VLOOKUP(G591, 'PlayerGrades+'!$X$3:$Y$23, 2, FALSE)))+('PlayerGrades+'!$Y$49*(VLOOKUP(I591, 'PlayerGrades+'!$X$3:$Y$23, 2, FALSE)))+('PlayerGrades+'!$Y$50*(VLOOKUP(K591, 'PlayerGrades+'!$X$3:$Y$23, 2, FALSE)))+('PlayerGrades+'!$Y$51*(VLOOKUP(M591, 'PlayerGrades+'!$X$3:$Y$23, 2, FALSE)))+('PlayerGrades+'!$Y$52*(VLOOKUP(O591, 'PlayerGrades+'!$X$3:$Y$23, 2, FALSE)))+('PlayerGrades+'!$Y$53*(VLOOKUP(Q591, 'PlayerGrades+'!$X$3:$Y$23, 2, FALSE)))+('PlayerGrades+'!$Y$54*(VLOOKUP(S591, 'PlayerGrades+'!$X$3:$Y$23, 2, FALSE)))+('PlayerGrades+'!$Y$55*(VLOOKUP(U591, 'PlayerGrades+'!$X$3:$Y$23, 2, FALSE)))</f>
        <v>30.3</v>
      </c>
      <c r="D591" s="973">
        <f t="shared" si="1"/>
        <v>0</v>
      </c>
      <c r="E591" s="973" t="str">
        <f>IF(D591&lt;'PlayerGrades+'!$AA$21,"F-",IF(D591&lt;'PlayerGrades+'!$AA$20,"F",IF(D591&lt;'PlayerGrades+'!$AA$19,"F+",IF(D591&lt;'PlayerGrades+'!$AA$18,"E-",IF(D591&lt;'PlayerGrades+'!$AA$17,"E",IF(D591&lt;'PlayerGrades+'!$AA$16,"E+",IF(D591&lt;'PlayerGrades+'!$AA$15,"D-",IF(D591&lt;'PlayerGrades+'!$AA$14,"D",IF(D591&lt;'PlayerGrades+'!$AA$13,"D+",IF(D591&lt;'PlayerGrades+'!$AA$12,"C-",IF(D591&lt;'PlayerGrades+'!$AA$11,"C",IF(D591&lt;'PlayerGrades+'!$AA$10,"C+",IF(D591&lt;'PlayerGrades+'!$AA$9,"B-",IF(D591&lt;'PlayerGrades+'!$AA$8,"B",IF(D591&lt;'PlayerGrades+'!$AA$7,"B+",IF(D591&lt;'PlayerGrades+'!$AA$6,"A-",IF(D591&lt;'PlayerGrades+'!$AA$5,"A",IF(D591&lt;'PlayerGrades+'!$AA$4,"A+",IF(D591&lt;'PlayerGrades+'!$AA$3,"S-",IF(D591&lt;'PlayerGrades+'!$AA$2,"S","S+"))))))))))))))))))))</f>
        <v>F-</v>
      </c>
      <c r="F591" s="973">
        <f t="shared" si="2"/>
        <v>0.9787928222</v>
      </c>
      <c r="G591" s="973" t="str">
        <f>IF(F591&lt;'PlayerGrades+'!$AB$21,"F-",IF(F591&lt;'PlayerGrades+'!$AB$20,"F",IF(F591&lt;'PlayerGrades+'!$AB$19,"F+",IF(F591&lt;'PlayerGrades+'!$AB$18,"E-",IF(F591&lt;'PlayerGrades+'!$AB$17,"E",IF(F591&lt;'PlayerGrades+'!$AB$16,"E+",IF(F591&lt;'PlayerGrades+'!$AB$15,"D-",IF(F591&lt;'PlayerGrades+'!$AB$14,"D",IF(F591&lt;'PlayerGrades+'!$AB$13,"D+",IF(F591&lt;'PlayerGrades+'!$AB$12,"C-",IF(F591&lt;'PlayerGrades+'!$AB$11,"C",IF(F591&lt;'PlayerGrades+'!$AB$10,"C+",IF(F591&lt;'PlayerGrades+'!$AB$9,"B-",IF(F591&lt;'PlayerGrades+'!$AB$8,"B",IF(F591&lt;'PlayerGrades+'!$AB$7,"B+",IF(F591&lt;'PlayerGrades+'!$AB$6,"A-",IF(F591&lt;'PlayerGrades+'!$AB$5,"A",IF(F591&lt;'PlayerGrades+'!$AB$4,"A+",IF(F591&lt;'PlayerGrades+'!$AB$3,"S-",IF(F591&lt;'PlayerGrades+'!$AB$2,"S","S+"))))))))))))))))))))</f>
        <v>S+</v>
      </c>
      <c r="H591" s="973">
        <f t="shared" si="3"/>
        <v>0.163132137</v>
      </c>
      <c r="I591" s="973" t="str">
        <f>IF(H591&lt;'PlayerGrades+'!$AC$21,"F-",IF(H591&lt;'PlayerGrades+'!$AC$20,"F",IF(H591&lt;'PlayerGrades+'!$AC$19,"F+",IF(H591&lt;'PlayerGrades+'!$AC$18,"E-",IF(H591&lt;'PlayerGrades+'!$AC$17,"E",IF(H591&lt;'PlayerGrades+'!$AC$16,"E+",IF(H591&lt;'PlayerGrades+'!$AC$15,"D-",IF(H591&lt;'PlayerGrades+'!$AC$14,"D",IF(H591&lt;'PlayerGrades+'!$AC$13,"D+",IF(H591&lt;'PlayerGrades+'!$AC$12,"C-",IF(H591&lt;'PlayerGrades+'!$AC$11,"C",IF(H591&lt;'PlayerGrades+'!$AC$10,"C+",IF(H591&lt;'PlayerGrades+'!$AC$9,"B-",IF(H591&lt;'PlayerGrades+'!$AC$8,"B",IF(H591&lt;'PlayerGrades+'!$AC$7,"B+",IF(H591&lt;'PlayerGrades+'!$AC$6,"A-",IF(H591&lt;'PlayerGrades+'!$AC$5,"A",IF(H591&lt;'PlayerGrades+'!$AC$4,"A+",IF(H591&lt;'PlayerGrades+'!$AC$3,"S-",IF(H591&lt;'PlayerGrades+'!$AC$2,"S","S+"))))))))))))))))))))</f>
        <v>A+</v>
      </c>
      <c r="J591" s="973">
        <f t="shared" si="4"/>
        <v>0.163132137</v>
      </c>
      <c r="K591" s="973" t="str">
        <f>IF(J591&lt;'PlayerGrades+'!$AD$21,"F-",IF(J591&lt;'PlayerGrades+'!$AD$20,"F",IF(J591&lt;'PlayerGrades+'!$AD$19,"F+",IF(J591&lt;'PlayerGrades+'!$AD$18,"E-",IF(J591&lt;'PlayerGrades+'!$AD$17,"E",IF(J591&lt;'PlayerGrades+'!$AD$16,"E+",IF(J591&lt;'PlayerGrades+'!$AD$15,"D-",IF(J591&lt;'PlayerGrades+'!$AD$14,"D",IF(J591&lt;'PlayerGrades+'!$AD$13,"D+",IF(J591&lt;'PlayerGrades+'!$AD$12,"C-",IF(J591&lt;'PlayerGrades+'!$AD$11,"C",IF(J591&lt;'PlayerGrades+'!$AD$10,"C+",IF(J591&lt;'PlayerGrades+'!$AD$9,"B-",IF(J591&lt;'PlayerGrades+'!$AD$8,"B",IF(J591&lt;'PlayerGrades+'!$AD$7,"B+",IF(J591&lt;'PlayerGrades+'!$AD$6,"A-",IF(J591&lt;'PlayerGrades+'!$AD$5,"A",IF(J591&lt;'PlayerGrades+'!$AD$4,"A+",IF(J591&lt;'PlayerGrades+'!$AD$3,"S-",IF(J591&lt;'PlayerGrades+'!$AD$2,"S","S+"))))))))))))))))))))</f>
        <v>S+</v>
      </c>
      <c r="L591" s="974">
        <f t="shared" si="5"/>
        <v>0.6199021207</v>
      </c>
      <c r="M591" s="975" t="str">
        <f>IF(L591&lt;'PlayerGrades+'!$AE$21,"F-",IF(L591&lt;'PlayerGrades+'!$AE$20,"F",IF(L591&lt;'PlayerGrades+'!$AE$19,"F+",IF(L591&lt;'PlayerGrades+'!$AE$18,"E-",IF(L591&lt;'PlayerGrades+'!$AE$17,"E",IF(L591&lt;'PlayerGrades+'!$AE$16,"E+",IF(L591&lt;'PlayerGrades+'!$AE$15,"D-",IF(L591&lt;'PlayerGrades+'!$AE$14,"D",IF(L591&lt;'PlayerGrades+'!$AE$13,"D+",IF(L591&lt;'PlayerGrades+'!$AE$12,"C-",IF(L591&lt;'PlayerGrades+'!$AE$11,"C",IF(L591&lt;'PlayerGrades+'!$AE$10,"C+",IF(L591&lt;'PlayerGrades+'!$AE$9,"B-",IF(L591&lt;'PlayerGrades+'!$AE$8,"B",IF(L591&lt;'PlayerGrades+'!$AE$7,"B+",IF(L591&lt;'PlayerGrades+'!$AE$6,"A-",IF(L591&lt;'PlayerGrades+'!$AE$5,"A",IF(L591&lt;'PlayerGrades+'!$AE$4,"A+",IF(L591&lt;'PlayerGrades+'!$AE$3,"S-",IF(L591&lt;'PlayerGrades+'!$AE$2,"S","S+"))))))))))))))))))))</f>
        <v>S-</v>
      </c>
      <c r="N591" s="973">
        <f t="shared" si="6"/>
        <v>0.09787928222</v>
      </c>
      <c r="O591" s="973" t="str">
        <f>IF(N591&lt;'PlayerGrades+'!$AF$21,"F-",IF(N591&lt;'PlayerGrades+'!$AF$20,"F",IF(N591&lt;'PlayerGrades+'!$AF$19,"F+",IF(N591&lt;'PlayerGrades+'!$AF$18,"E-",IF(N591&lt;'PlayerGrades+'!$AF$17,"E",IF(N591&lt;'PlayerGrades+'!$AF$16,"E+",IF(N591&lt;'PlayerGrades+'!$AF$15,"D-",IF(N591&lt;'PlayerGrades+'!$AF$14,"D",IF(N591&lt;'PlayerGrades+'!$AF$13,"D+",IF(N591&lt;'PlayerGrades+'!$AF$12,"C-",IF(N591&lt;'PlayerGrades+'!$AF$11,"C",IF(N591&lt;'PlayerGrades+'!$AF$10,"C+",IF(N591&lt;'PlayerGrades+'!$AF$9,"B-",IF(N591&lt;'PlayerGrades+'!$AF$8,"B",IF(N591&lt;'PlayerGrades+'!$AF$7,"B+",IF(N591&lt;'PlayerGrades+'!$AF$6,"A-",IF(N591&lt;'PlayerGrades+'!$AF$5,"A",IF(N591&lt;'PlayerGrades+'!$AF$4,"A+",IF(N591&lt;'PlayerGrades+'!$AF$3,"S-",IF(N591&lt;'PlayerGrades+'!$AF$2,"S","S+"))))))))))))))))))))</f>
        <v>A-</v>
      </c>
      <c r="P591" s="973">
        <f t="shared" si="7"/>
        <v>0.163132137</v>
      </c>
      <c r="Q591" s="973" t="str">
        <f>IF(P591&lt;'PlayerGrades+'!$AG$21,"F-",IF(P591&lt;'PlayerGrades+'!$AG$20,"F",IF(P591&lt;'PlayerGrades+'!$AG$19,"F+",IF(P591&lt;'PlayerGrades+'!$AG$18,"E-",IF(P591&lt;'PlayerGrades+'!$AG$17,"E",IF(P591&lt;'PlayerGrades+'!$AG$16,"E+",IF(P591&lt;'PlayerGrades+'!$AG$15,"D-",IF(P591&lt;'PlayerGrades+'!$AG$14,"D",IF(P591&lt;'PlayerGrades+'!$AG$13,"D+",IF(P591&lt;'PlayerGrades+'!$AG$12,"C-",IF(P591&lt;'PlayerGrades+'!$AG$11,"C",IF(P591&lt;'PlayerGrades+'!$AG$10,"C+",IF(P591&lt;'PlayerGrades+'!$AG$9,"B-",IF(P591&lt;'PlayerGrades+'!$AG$8,"B",IF(P591&lt;'PlayerGrades+'!$AG$7,"B+",IF(P591&lt;'PlayerGrades+'!$AG$6,"A-",IF(P591&lt;'PlayerGrades+'!$AG$5,"A",IF(P591&lt;'PlayerGrades+'!$AG$4,"A+",IF(P591&lt;'PlayerGrades+'!$AG$3,"S-",IF(P591&lt;'PlayerGrades+'!$AG$2,"S","S+"))))))))))))))))))))</f>
        <v>S+</v>
      </c>
      <c r="R591" s="973">
        <f t="shared" si="8"/>
        <v>0.7830342577</v>
      </c>
      <c r="S591" s="973" t="str">
        <f>IF(R591&lt;'PlayerGrades+'!$AH$21,"F-",IF(R591&lt;'PlayerGrades+'!$AH$20,"F",IF(R591&lt;'PlayerGrades+'!$AH$19,"F+",IF(R591&lt;'PlayerGrades+'!$AH$18,"E-",IF(R591&lt;'PlayerGrades+'!$AH$17,"E",IF(R591&lt;'PlayerGrades+'!$AH$16,"E+",IF(R591&lt;'PlayerGrades+'!$AH$15,"D-",IF(R591&lt;'PlayerGrades+'!$AH$14,"D",IF(R591&lt;'PlayerGrades+'!$AH$13,"D+",IF(R591&lt;'PlayerGrades+'!$AH$12,"C-",IF(R591&lt;'PlayerGrades+'!$AH$11,"C",IF(R591&lt;'PlayerGrades+'!$AH$10,"C+",IF(R591&lt;'PlayerGrades+'!$AH$9,"B-",IF(R591&lt;'PlayerGrades+'!$AH$8,"B",IF(R591&lt;'PlayerGrades+'!$AH$7,"B+",IF(R591&lt;'PlayerGrades+'!$AH$6,"A-",IF(R591&lt;'PlayerGrades+'!$AH$5,"A",IF(R591&lt;'PlayerGrades+'!$AH$4,"A+",IF(R591&lt;'PlayerGrades+'!$AH$3,"S-",IF(R591&lt;'PlayerGrades+'!$AH$2,"S","S+"))))))))))))))))))))</f>
        <v>S+</v>
      </c>
      <c r="T591" s="973">
        <f t="shared" si="9"/>
        <v>1.424143556</v>
      </c>
      <c r="U591" s="973" t="str">
        <f>IF(T591&lt;'PlayerGrades+'!$AI$21,"F-",IF(T591&lt;'PlayerGrades+'!$AI$20,"F",IF(T591&lt;'PlayerGrades+'!$AI$19,"F+",IF(T591&lt;'PlayerGrades+'!$AI$18,"E-",IF(T591&lt;'PlayerGrades+'!$AI$17,"E",IF(T591&lt;'PlayerGrades+'!$AI$16,"E+",IF(T591&lt;'PlayerGrades+'!$AI$15,"D-",IF(T591&lt;'PlayerGrades+'!$AI$14,"D",IF(T591&lt;'PlayerGrades+'!$AI$13,"D+",IF(T591&lt;'PlayerGrades+'!$AI$12,"C-",IF(T591&lt;'PlayerGrades+'!$AI$11,"C",IF(T591&lt;'PlayerGrades+'!$AI$10,"C+",IF(T591&lt;'PlayerGrades+'!$AI$9,"B-",IF(T591&lt;'PlayerGrades+'!$AI$8,"B",IF(T591&lt;'PlayerGrades+'!$AI$7,"B+",IF(T591&lt;'PlayerGrades+'!$AI$6,"A-",IF(T591&lt;'PlayerGrades+'!$AI$5,"A",IF(T591&lt;'PlayerGrades+'!$AI$4,"A+",IF(T591&lt;'PlayerGrades+'!$AI$3,"S-",IF(T591&lt;'PlayerGrades+'!$AI$2,"S","S+"))))))))))))))))))))</f>
        <v>B+</v>
      </c>
      <c r="V591" s="941">
        <v>1.0</v>
      </c>
      <c r="W591" s="941">
        <v>0.0</v>
      </c>
      <c r="X591" s="941">
        <v>1.0</v>
      </c>
      <c r="Y591" s="941">
        <v>0.0</v>
      </c>
      <c r="Z591" s="941">
        <v>0.0</v>
      </c>
      <c r="AA591" s="941">
        <v>119.0</v>
      </c>
      <c r="AB591" s="941">
        <v>89.0</v>
      </c>
      <c r="AC591" s="941">
        <v>30.0</v>
      </c>
      <c r="AD591" s="941">
        <v>11.0</v>
      </c>
      <c r="AE591" s="941">
        <v>7.0</v>
      </c>
      <c r="AF591" s="941">
        <v>5.0</v>
      </c>
      <c r="AG591" s="941">
        <v>1477.0</v>
      </c>
      <c r="AH591" s="941">
        <v>1839.0</v>
      </c>
      <c r="AI591" s="941">
        <v>16.0</v>
      </c>
      <c r="AJ591" s="941">
        <v>14.0</v>
      </c>
      <c r="AK591" s="941">
        <v>0.0</v>
      </c>
      <c r="AL591" s="941">
        <v>5.0</v>
      </c>
      <c r="AM591" s="941">
        <v>0.0</v>
      </c>
      <c r="AN591" s="941">
        <v>0.0</v>
      </c>
      <c r="AO591" s="941">
        <v>0.0</v>
      </c>
      <c r="AP591" s="941">
        <v>5.0</v>
      </c>
      <c r="AQ591" s="941">
        <v>0.0</v>
      </c>
      <c r="AR591" s="941">
        <v>19.0</v>
      </c>
      <c r="AS591" s="941">
        <v>3.0</v>
      </c>
      <c r="AT591" s="941">
        <v>1.0</v>
      </c>
      <c r="AU591" s="941">
        <v>1.0</v>
      </c>
      <c r="AV591" s="941">
        <v>1.0</v>
      </c>
      <c r="AW591" s="941">
        <v>0.0</v>
      </c>
      <c r="AX591" s="941">
        <v>0.0</v>
      </c>
      <c r="AY591" s="941">
        <v>0.0</v>
      </c>
      <c r="AZ591" s="941">
        <v>0.0</v>
      </c>
      <c r="BA591" s="941">
        <v>0.0</v>
      </c>
      <c r="BB591" s="941">
        <v>5.0</v>
      </c>
      <c r="BC591" s="941">
        <v>0.0</v>
      </c>
      <c r="BD591" s="941">
        <v>13.0</v>
      </c>
      <c r="BE591" s="941">
        <v>13.0</v>
      </c>
      <c r="BF591" s="941">
        <v>1.0</v>
      </c>
      <c r="BG591" s="941">
        <v>1.0</v>
      </c>
    </row>
    <row r="592">
      <c r="A592" s="1" t="s">
        <v>152</v>
      </c>
      <c r="B592" s="421" t="str">
        <f>IF(C592&lt;'PlayerGrades+'!$Y$44,"F-",IF(C592&lt;'PlayerGrades+'!$Y$43,"F",IF(C592&lt;'PlayerGrades+'!$Y$42,"F+",IF(C592&lt;'PlayerGrades+'!$Y$41,"E-",IF(C592&lt;'PlayerGrades+'!$Y$40,"E",IF(C592&lt;'PlayerGrades+'!$Y$39,"E+",IF(C592&lt;'PlayerGrades+'!$Y$38,"D-",IF(C592&lt;'PlayerGrades+'!$Y$37,"D",IF(C592&lt;'PlayerGrades+'!$Y$36,"D+",IF(C592&lt;'PlayerGrades+'!$Y$35,"C-",IF(C592&lt;'PlayerGrades+'!$Y$34,"C",IF(C592&lt;'PlayerGrades+'!$Y$33,"C+",IF(C592&lt;'PlayerGrades+'!$Y$32,"B-",IF(C592&lt;'PlayerGrades+'!$Y$31,"B",IF(C592&lt;'PlayerGrades+'!$Y$30,"B+",IF(C592&lt;'PlayerGrades+'!$Y$29,"A-",IF(C592&lt;'PlayerGrades+'!$Y$28,"A",IF(C592&lt;'PlayerGrades+'!$Y$27,"A+",IF(C592&lt;'PlayerGrades+'!$Y$26,"S-",IF(C592&lt;'PlayerGrades+'!$Y$25,"S","S+"))))))))))))))))))))</f>
        <v>D-</v>
      </c>
      <c r="C592" s="972">
        <f>('PlayerGrades+'!$Y$47*(VLOOKUP(E592, 'PlayerGrades+'!$X$3:$Y$23, 2, FALSE)))+('PlayerGrades+'!$Y$48*(VLOOKUP(G592, 'PlayerGrades+'!$X$3:$Y$23, 2, FALSE)))+('PlayerGrades+'!$Y$49*(VLOOKUP(I592, 'PlayerGrades+'!$X$3:$Y$23, 2, FALSE)))+('PlayerGrades+'!$Y$50*(VLOOKUP(K592, 'PlayerGrades+'!$X$3:$Y$23, 2, FALSE)))+('PlayerGrades+'!$Y$51*(VLOOKUP(M592, 'PlayerGrades+'!$X$3:$Y$23, 2, FALSE)))+('PlayerGrades+'!$Y$52*(VLOOKUP(O592, 'PlayerGrades+'!$X$3:$Y$23, 2, FALSE)))+('PlayerGrades+'!$Y$53*(VLOOKUP(Q592, 'PlayerGrades+'!$X$3:$Y$23, 2, FALSE)))+('PlayerGrades+'!$Y$54*(VLOOKUP(S592, 'PlayerGrades+'!$X$3:$Y$23, 2, FALSE)))+('PlayerGrades+'!$Y$55*(VLOOKUP(U592, 'PlayerGrades+'!$X$3:$Y$23, 2, FALSE)))</f>
        <v>14.95</v>
      </c>
      <c r="D592" s="973">
        <f t="shared" si="1"/>
        <v>0.03262642741</v>
      </c>
      <c r="E592" s="973" t="str">
        <f>IF(D592&lt;'PlayerGrades+'!$AA$21,"F-",IF(D592&lt;'PlayerGrades+'!$AA$20,"F",IF(D592&lt;'PlayerGrades+'!$AA$19,"F+",IF(D592&lt;'PlayerGrades+'!$AA$18,"E-",IF(D592&lt;'PlayerGrades+'!$AA$17,"E",IF(D592&lt;'PlayerGrades+'!$AA$16,"E+",IF(D592&lt;'PlayerGrades+'!$AA$15,"D-",IF(D592&lt;'PlayerGrades+'!$AA$14,"D",IF(D592&lt;'PlayerGrades+'!$AA$13,"D+",IF(D592&lt;'PlayerGrades+'!$AA$12,"C-",IF(D592&lt;'PlayerGrades+'!$AA$11,"C",IF(D592&lt;'PlayerGrades+'!$AA$10,"C+",IF(D592&lt;'PlayerGrades+'!$AA$9,"B-",IF(D592&lt;'PlayerGrades+'!$AA$8,"B",IF(D592&lt;'PlayerGrades+'!$AA$7,"B+",IF(D592&lt;'PlayerGrades+'!$AA$6,"A-",IF(D592&lt;'PlayerGrades+'!$AA$5,"A",IF(D592&lt;'PlayerGrades+'!$AA$4,"A+",IF(D592&lt;'PlayerGrades+'!$AA$3,"S-",IF(D592&lt;'PlayerGrades+'!$AA$2,"S","S+"))))))))))))))))))))</f>
        <v>D+</v>
      </c>
      <c r="F592" s="973">
        <f t="shared" si="2"/>
        <v>-0.88091354</v>
      </c>
      <c r="G592" s="973" t="str">
        <f>IF(F592&lt;'PlayerGrades+'!$AB$21,"F-",IF(F592&lt;'PlayerGrades+'!$AB$20,"F",IF(F592&lt;'PlayerGrades+'!$AB$19,"F+",IF(F592&lt;'PlayerGrades+'!$AB$18,"E-",IF(F592&lt;'PlayerGrades+'!$AB$17,"E",IF(F592&lt;'PlayerGrades+'!$AB$16,"E+",IF(F592&lt;'PlayerGrades+'!$AB$15,"D-",IF(F592&lt;'PlayerGrades+'!$AB$14,"D",IF(F592&lt;'PlayerGrades+'!$AB$13,"D+",IF(F592&lt;'PlayerGrades+'!$AB$12,"C-",IF(F592&lt;'PlayerGrades+'!$AB$11,"C",IF(F592&lt;'PlayerGrades+'!$AB$10,"C+",IF(F592&lt;'PlayerGrades+'!$AB$9,"B-",IF(F592&lt;'PlayerGrades+'!$AB$8,"B",IF(F592&lt;'PlayerGrades+'!$AB$7,"B+",IF(F592&lt;'PlayerGrades+'!$AB$6,"A-",IF(F592&lt;'PlayerGrades+'!$AB$5,"A",IF(F592&lt;'PlayerGrades+'!$AB$4,"A+",IF(F592&lt;'PlayerGrades+'!$AB$3,"S-",IF(F592&lt;'PlayerGrades+'!$AB$2,"S","S+"))))))))))))))))))))</f>
        <v>E-</v>
      </c>
      <c r="H592" s="973">
        <f t="shared" si="3"/>
        <v>0.1305057096</v>
      </c>
      <c r="I592" s="973" t="str">
        <f>IF(H592&lt;'PlayerGrades+'!$AC$21,"F-",IF(H592&lt;'PlayerGrades+'!$AC$20,"F",IF(H592&lt;'PlayerGrades+'!$AC$19,"F+",IF(H592&lt;'PlayerGrades+'!$AC$18,"E-",IF(H592&lt;'PlayerGrades+'!$AC$17,"E",IF(H592&lt;'PlayerGrades+'!$AC$16,"E+",IF(H592&lt;'PlayerGrades+'!$AC$15,"D-",IF(H592&lt;'PlayerGrades+'!$AC$14,"D",IF(H592&lt;'PlayerGrades+'!$AC$13,"D+",IF(H592&lt;'PlayerGrades+'!$AC$12,"C-",IF(H592&lt;'PlayerGrades+'!$AC$11,"C",IF(H592&lt;'PlayerGrades+'!$AC$10,"C+",IF(H592&lt;'PlayerGrades+'!$AC$9,"B-",IF(H592&lt;'PlayerGrades+'!$AC$8,"B",IF(H592&lt;'PlayerGrades+'!$AC$7,"B+",IF(H592&lt;'PlayerGrades+'!$AC$6,"A-",IF(H592&lt;'PlayerGrades+'!$AC$5,"A",IF(H592&lt;'PlayerGrades+'!$AC$4,"A+",IF(H592&lt;'PlayerGrades+'!$AC$3,"S-",IF(H592&lt;'PlayerGrades+'!$AC$2,"S","S+"))))))))))))))))))))</f>
        <v>B</v>
      </c>
      <c r="J592" s="973">
        <f t="shared" si="4"/>
        <v>0.03262642741</v>
      </c>
      <c r="K592" s="973" t="str">
        <f>IF(J592&lt;'PlayerGrades+'!$AD$21,"F-",IF(J592&lt;'PlayerGrades+'!$AD$20,"F",IF(J592&lt;'PlayerGrades+'!$AD$19,"F+",IF(J592&lt;'PlayerGrades+'!$AD$18,"E-",IF(J592&lt;'PlayerGrades+'!$AD$17,"E",IF(J592&lt;'PlayerGrades+'!$AD$16,"E+",IF(J592&lt;'PlayerGrades+'!$AD$15,"D-",IF(J592&lt;'PlayerGrades+'!$AD$14,"D",IF(J592&lt;'PlayerGrades+'!$AD$13,"D+",IF(J592&lt;'PlayerGrades+'!$AD$12,"C-",IF(J592&lt;'PlayerGrades+'!$AD$11,"C",IF(J592&lt;'PlayerGrades+'!$AD$10,"C+",IF(J592&lt;'PlayerGrades+'!$AD$9,"B-",IF(J592&lt;'PlayerGrades+'!$AD$8,"B",IF(J592&lt;'PlayerGrades+'!$AD$7,"B+",IF(J592&lt;'PlayerGrades+'!$AD$6,"A-",IF(J592&lt;'PlayerGrades+'!$AD$5,"A",IF(J592&lt;'PlayerGrades+'!$AD$4,"A+",IF(J592&lt;'PlayerGrades+'!$AD$3,"S-",IF(J592&lt;'PlayerGrades+'!$AD$2,"S","S+"))))))))))))))))))))</f>
        <v>C</v>
      </c>
      <c r="L592" s="974">
        <f t="shared" si="5"/>
        <v>0.2936378467</v>
      </c>
      <c r="M592" s="975" t="str">
        <f>IF(L592&lt;'PlayerGrades+'!$AE$21,"F-",IF(L592&lt;'PlayerGrades+'!$AE$20,"F",IF(L592&lt;'PlayerGrades+'!$AE$19,"F+",IF(L592&lt;'PlayerGrades+'!$AE$18,"E-",IF(L592&lt;'PlayerGrades+'!$AE$17,"E",IF(L592&lt;'PlayerGrades+'!$AE$16,"E+",IF(L592&lt;'PlayerGrades+'!$AE$15,"D-",IF(L592&lt;'PlayerGrades+'!$AE$14,"D",IF(L592&lt;'PlayerGrades+'!$AE$13,"D+",IF(L592&lt;'PlayerGrades+'!$AE$12,"C-",IF(L592&lt;'PlayerGrades+'!$AE$11,"C",IF(L592&lt;'PlayerGrades+'!$AE$10,"C+",IF(L592&lt;'PlayerGrades+'!$AE$9,"B-",IF(L592&lt;'PlayerGrades+'!$AE$8,"B",IF(L592&lt;'PlayerGrades+'!$AE$7,"B+",IF(L592&lt;'PlayerGrades+'!$AE$6,"A-",IF(L592&lt;'PlayerGrades+'!$AE$5,"A",IF(L592&lt;'PlayerGrades+'!$AE$4,"A+",IF(L592&lt;'PlayerGrades+'!$AE$3,"S-",IF(L592&lt;'PlayerGrades+'!$AE$2,"S","S+"))))))))))))))))))))</f>
        <v>F+</v>
      </c>
      <c r="N592" s="973">
        <f t="shared" si="6"/>
        <v>0.03262642741</v>
      </c>
      <c r="O592" s="973" t="str">
        <f>IF(N592&lt;'PlayerGrades+'!$AF$21,"F-",IF(N592&lt;'PlayerGrades+'!$AF$20,"F",IF(N592&lt;'PlayerGrades+'!$AF$19,"F+",IF(N592&lt;'PlayerGrades+'!$AF$18,"E-",IF(N592&lt;'PlayerGrades+'!$AF$17,"E",IF(N592&lt;'PlayerGrades+'!$AF$16,"E+",IF(N592&lt;'PlayerGrades+'!$AF$15,"D-",IF(N592&lt;'PlayerGrades+'!$AF$14,"D",IF(N592&lt;'PlayerGrades+'!$AF$13,"D+",IF(N592&lt;'PlayerGrades+'!$AF$12,"C-",IF(N592&lt;'PlayerGrades+'!$AF$11,"C",IF(N592&lt;'PlayerGrades+'!$AF$10,"C+",IF(N592&lt;'PlayerGrades+'!$AF$9,"B-",IF(N592&lt;'PlayerGrades+'!$AF$8,"B",IF(N592&lt;'PlayerGrades+'!$AF$7,"B+",IF(N592&lt;'PlayerGrades+'!$AF$6,"A-",IF(N592&lt;'PlayerGrades+'!$AF$5,"A",IF(N592&lt;'PlayerGrades+'!$AF$4,"A+",IF(N592&lt;'PlayerGrades+'!$AF$3,"S-",IF(N592&lt;'PlayerGrades+'!$AF$2,"S","S+"))))))))))))))))))))</f>
        <v>F</v>
      </c>
      <c r="P592" s="973">
        <f t="shared" si="7"/>
        <v>0.03262642741</v>
      </c>
      <c r="Q592" s="973" t="str">
        <f>IF(P592&lt;'PlayerGrades+'!$AG$21,"F-",IF(P592&lt;'PlayerGrades+'!$AG$20,"F",IF(P592&lt;'PlayerGrades+'!$AG$19,"F+",IF(P592&lt;'PlayerGrades+'!$AG$18,"E-",IF(P592&lt;'PlayerGrades+'!$AG$17,"E",IF(P592&lt;'PlayerGrades+'!$AG$16,"E+",IF(P592&lt;'PlayerGrades+'!$AG$15,"D-",IF(P592&lt;'PlayerGrades+'!$AG$14,"D",IF(P592&lt;'PlayerGrades+'!$AG$13,"D+",IF(P592&lt;'PlayerGrades+'!$AG$12,"C-",IF(P592&lt;'PlayerGrades+'!$AG$11,"C",IF(P592&lt;'PlayerGrades+'!$AG$10,"C+",IF(P592&lt;'PlayerGrades+'!$AG$9,"B-",IF(P592&lt;'PlayerGrades+'!$AG$8,"B",IF(P592&lt;'PlayerGrades+'!$AG$7,"B+",IF(P592&lt;'PlayerGrades+'!$AG$6,"A-",IF(P592&lt;'PlayerGrades+'!$AG$5,"A",IF(P592&lt;'PlayerGrades+'!$AG$4,"A+",IF(P592&lt;'PlayerGrades+'!$AG$3,"S-",IF(P592&lt;'PlayerGrades+'!$AG$2,"S","S+"))))))))))))))))))))</f>
        <v>B+</v>
      </c>
      <c r="R592" s="973">
        <f t="shared" si="8"/>
        <v>0.5872756933</v>
      </c>
      <c r="S592" s="973" t="str">
        <f>IF(R592&lt;'PlayerGrades+'!$AH$21,"F-",IF(R592&lt;'PlayerGrades+'!$AH$20,"F",IF(R592&lt;'PlayerGrades+'!$AH$19,"F+",IF(R592&lt;'PlayerGrades+'!$AH$18,"E-",IF(R592&lt;'PlayerGrades+'!$AH$17,"E",IF(R592&lt;'PlayerGrades+'!$AH$16,"E+",IF(R592&lt;'PlayerGrades+'!$AH$15,"D-",IF(R592&lt;'PlayerGrades+'!$AH$14,"D",IF(R592&lt;'PlayerGrades+'!$AH$13,"D+",IF(R592&lt;'PlayerGrades+'!$AH$12,"C-",IF(R592&lt;'PlayerGrades+'!$AH$11,"C",IF(R592&lt;'PlayerGrades+'!$AH$10,"C+",IF(R592&lt;'PlayerGrades+'!$AH$9,"B-",IF(R592&lt;'PlayerGrades+'!$AH$8,"B",IF(R592&lt;'PlayerGrades+'!$AH$7,"B+",IF(R592&lt;'PlayerGrades+'!$AH$6,"A-",IF(R592&lt;'PlayerGrades+'!$AH$5,"A",IF(R592&lt;'PlayerGrades+'!$AH$4,"A+",IF(R592&lt;'PlayerGrades+'!$AH$3,"S-",IF(R592&lt;'PlayerGrades+'!$AH$2,"S","S+"))))))))))))))))))))</f>
        <v>B+</v>
      </c>
      <c r="T592" s="973">
        <f t="shared" si="9"/>
        <v>0.3262642741</v>
      </c>
      <c r="U592" s="973" t="str">
        <f>IF(T592&lt;'PlayerGrades+'!$AI$21,"F-",IF(T592&lt;'PlayerGrades+'!$AI$20,"F",IF(T592&lt;'PlayerGrades+'!$AI$19,"F+",IF(T592&lt;'PlayerGrades+'!$AI$18,"E-",IF(T592&lt;'PlayerGrades+'!$AI$17,"E",IF(T592&lt;'PlayerGrades+'!$AI$16,"E+",IF(T592&lt;'PlayerGrades+'!$AI$15,"D-",IF(T592&lt;'PlayerGrades+'!$AI$14,"D",IF(T592&lt;'PlayerGrades+'!$AI$13,"D+",IF(T592&lt;'PlayerGrades+'!$AI$12,"C-",IF(T592&lt;'PlayerGrades+'!$AI$11,"C",IF(T592&lt;'PlayerGrades+'!$AI$10,"C+",IF(T592&lt;'PlayerGrades+'!$AI$9,"B-",IF(T592&lt;'PlayerGrades+'!$AI$8,"B",IF(T592&lt;'PlayerGrades+'!$AI$7,"B+",IF(T592&lt;'PlayerGrades+'!$AI$6,"A-",IF(T592&lt;'PlayerGrades+'!$AI$5,"A",IF(T592&lt;'PlayerGrades+'!$AI$4,"A+",IF(T592&lt;'PlayerGrades+'!$AI$3,"S-",IF(T592&lt;'PlayerGrades+'!$AI$2,"S","S+"))))))))))))))))))))</f>
        <v>F-</v>
      </c>
      <c r="V592" s="941">
        <v>1.0</v>
      </c>
      <c r="W592" s="941">
        <v>0.0</v>
      </c>
      <c r="X592" s="941">
        <v>1.0</v>
      </c>
      <c r="Y592" s="941">
        <v>0.0</v>
      </c>
      <c r="Z592" s="941">
        <v>1.0</v>
      </c>
      <c r="AA592" s="941">
        <v>101.0</v>
      </c>
      <c r="AB592" s="941">
        <v>128.0</v>
      </c>
      <c r="AC592" s="941">
        <v>-27.0</v>
      </c>
      <c r="AD592" s="941">
        <v>5.0</v>
      </c>
      <c r="AE592" s="941">
        <v>7.0</v>
      </c>
      <c r="AF592" s="941">
        <v>0.0</v>
      </c>
      <c r="AG592" s="941">
        <v>1364.0</v>
      </c>
      <c r="AH592" s="941">
        <v>1839.0</v>
      </c>
      <c r="AI592" s="941">
        <v>10.0</v>
      </c>
      <c r="AJ592" s="941">
        <v>12.0</v>
      </c>
      <c r="AK592" s="941">
        <v>0.0</v>
      </c>
      <c r="AL592" s="941">
        <v>1.0</v>
      </c>
      <c r="AM592" s="941">
        <v>0.0</v>
      </c>
      <c r="AN592" s="941">
        <v>0.0</v>
      </c>
      <c r="AO592" s="941">
        <v>0.0</v>
      </c>
      <c r="AP592" s="941">
        <v>1.0</v>
      </c>
      <c r="AQ592" s="941">
        <v>0.0</v>
      </c>
      <c r="AR592" s="941">
        <v>9.0</v>
      </c>
      <c r="AS592" s="941">
        <v>1.0</v>
      </c>
      <c r="AT592" s="941">
        <v>0.0</v>
      </c>
      <c r="AU592" s="941">
        <v>0.0</v>
      </c>
      <c r="AV592" s="941">
        <v>0.0</v>
      </c>
      <c r="AW592" s="941">
        <v>0.0</v>
      </c>
      <c r="AX592" s="941">
        <v>0.0</v>
      </c>
      <c r="AY592" s="941">
        <v>0.0</v>
      </c>
      <c r="AZ592" s="941">
        <v>0.0</v>
      </c>
      <c r="BA592" s="941">
        <v>0.0</v>
      </c>
      <c r="BB592" s="941">
        <v>4.0</v>
      </c>
      <c r="BC592" s="941">
        <v>0.0</v>
      </c>
      <c r="BD592" s="941">
        <v>13.0</v>
      </c>
      <c r="BE592" s="941">
        <v>10.0</v>
      </c>
      <c r="BF592" s="941">
        <v>0.0</v>
      </c>
      <c r="BG592" s="941">
        <v>1.0</v>
      </c>
    </row>
    <row r="593">
      <c r="A593" s="882" t="s">
        <v>141</v>
      </c>
      <c r="B593" s="421" t="str">
        <f>IF(C593&lt;'PlayerGrades+'!$Y$44,"F-",IF(C593&lt;'PlayerGrades+'!$Y$43,"F",IF(C593&lt;'PlayerGrades+'!$Y$42,"F+",IF(C593&lt;'PlayerGrades+'!$Y$41,"E-",IF(C593&lt;'PlayerGrades+'!$Y$40,"E",IF(C593&lt;'PlayerGrades+'!$Y$39,"E+",IF(C593&lt;'PlayerGrades+'!$Y$38,"D-",IF(C593&lt;'PlayerGrades+'!$Y$37,"D",IF(C593&lt;'PlayerGrades+'!$Y$36,"D+",IF(C593&lt;'PlayerGrades+'!$Y$35,"C-",IF(C593&lt;'PlayerGrades+'!$Y$34,"C",IF(C593&lt;'PlayerGrades+'!$Y$33,"C+",IF(C593&lt;'PlayerGrades+'!$Y$32,"B-",IF(C593&lt;'PlayerGrades+'!$Y$31,"B",IF(C593&lt;'PlayerGrades+'!$Y$30,"B+",IF(C593&lt;'PlayerGrades+'!$Y$29,"A-",IF(C593&lt;'PlayerGrades+'!$Y$28,"A",IF(C593&lt;'PlayerGrades+'!$Y$27,"A+",IF(C593&lt;'PlayerGrades+'!$Y$26,"S-",IF(C593&lt;'PlayerGrades+'!$Y$25,"S","S+"))))))))))))))))))))</f>
        <v>C-</v>
      </c>
      <c r="C593" s="972">
        <f>('PlayerGrades+'!$Y$47*(VLOOKUP(E593, 'PlayerGrades+'!$X$3:$Y$23, 2, FALSE)))+('PlayerGrades+'!$Y$48*(VLOOKUP(G593, 'PlayerGrades+'!$X$3:$Y$23, 2, FALSE)))+('PlayerGrades+'!$Y$49*(VLOOKUP(I593, 'PlayerGrades+'!$X$3:$Y$23, 2, FALSE)))+('PlayerGrades+'!$Y$50*(VLOOKUP(K593, 'PlayerGrades+'!$X$3:$Y$23, 2, FALSE)))+('PlayerGrades+'!$Y$51*(VLOOKUP(M593, 'PlayerGrades+'!$X$3:$Y$23, 2, FALSE)))+('PlayerGrades+'!$Y$52*(VLOOKUP(O593, 'PlayerGrades+'!$X$3:$Y$23, 2, FALSE)))+('PlayerGrades+'!$Y$53*(VLOOKUP(Q593, 'PlayerGrades+'!$X$3:$Y$23, 2, FALSE)))+('PlayerGrades+'!$Y$54*(VLOOKUP(S593, 'PlayerGrades+'!$X$3:$Y$23, 2, FALSE)))+('PlayerGrades+'!$Y$55*(VLOOKUP(U593, 'PlayerGrades+'!$X$3:$Y$23, 2, FALSE)))</f>
        <v>19.3</v>
      </c>
      <c r="D593" s="973">
        <f t="shared" si="1"/>
        <v>0</v>
      </c>
      <c r="E593" s="973" t="str">
        <f>IF(D593&lt;'PlayerGrades+'!$AA$21,"F-",IF(D593&lt;'PlayerGrades+'!$AA$20,"F",IF(D593&lt;'PlayerGrades+'!$AA$19,"F+",IF(D593&lt;'PlayerGrades+'!$AA$18,"E-",IF(D593&lt;'PlayerGrades+'!$AA$17,"E",IF(D593&lt;'PlayerGrades+'!$AA$16,"E+",IF(D593&lt;'PlayerGrades+'!$AA$15,"D-",IF(D593&lt;'PlayerGrades+'!$AA$14,"D",IF(D593&lt;'PlayerGrades+'!$AA$13,"D+",IF(D593&lt;'PlayerGrades+'!$AA$12,"C-",IF(D593&lt;'PlayerGrades+'!$AA$11,"C",IF(D593&lt;'PlayerGrades+'!$AA$10,"C+",IF(D593&lt;'PlayerGrades+'!$AA$9,"B-",IF(D593&lt;'PlayerGrades+'!$AA$8,"B",IF(D593&lt;'PlayerGrades+'!$AA$7,"B+",IF(D593&lt;'PlayerGrades+'!$AA$6,"A-",IF(D593&lt;'PlayerGrades+'!$AA$5,"A",IF(D593&lt;'PlayerGrades+'!$AA$4,"A+",IF(D593&lt;'PlayerGrades+'!$AA$3,"S-",IF(D593&lt;'PlayerGrades+'!$AA$2,"S","S+"))))))))))))))))))))</f>
        <v>F-</v>
      </c>
      <c r="F593" s="973">
        <f t="shared" si="2"/>
        <v>-0.9787928222</v>
      </c>
      <c r="G593" s="973" t="str">
        <f>IF(F593&lt;'PlayerGrades+'!$AB$21,"F-",IF(F593&lt;'PlayerGrades+'!$AB$20,"F",IF(F593&lt;'PlayerGrades+'!$AB$19,"F+",IF(F593&lt;'PlayerGrades+'!$AB$18,"E-",IF(F593&lt;'PlayerGrades+'!$AB$17,"E",IF(F593&lt;'PlayerGrades+'!$AB$16,"E+",IF(F593&lt;'PlayerGrades+'!$AB$15,"D-",IF(F593&lt;'PlayerGrades+'!$AB$14,"D",IF(F593&lt;'PlayerGrades+'!$AB$13,"D+",IF(F593&lt;'PlayerGrades+'!$AB$12,"C-",IF(F593&lt;'PlayerGrades+'!$AB$11,"C",IF(F593&lt;'PlayerGrades+'!$AB$10,"C+",IF(F593&lt;'PlayerGrades+'!$AB$9,"B-",IF(F593&lt;'PlayerGrades+'!$AB$8,"B",IF(F593&lt;'PlayerGrades+'!$AB$7,"B+",IF(F593&lt;'PlayerGrades+'!$AB$6,"A-",IF(F593&lt;'PlayerGrades+'!$AB$5,"A",IF(F593&lt;'PlayerGrades+'!$AB$4,"A+",IF(F593&lt;'PlayerGrades+'!$AB$3,"S-",IF(F593&lt;'PlayerGrades+'!$AB$2,"S","S+"))))))))))))))))))))</f>
        <v>F</v>
      </c>
      <c r="H593" s="973">
        <f t="shared" si="3"/>
        <v>0.03262642741</v>
      </c>
      <c r="I593" s="973" t="str">
        <f>IF(H593&lt;'PlayerGrades+'!$AC$21,"F-",IF(H593&lt;'PlayerGrades+'!$AC$20,"F",IF(H593&lt;'PlayerGrades+'!$AC$19,"F+",IF(H593&lt;'PlayerGrades+'!$AC$18,"E-",IF(H593&lt;'PlayerGrades+'!$AC$17,"E",IF(H593&lt;'PlayerGrades+'!$AC$16,"E+",IF(H593&lt;'PlayerGrades+'!$AC$15,"D-",IF(H593&lt;'PlayerGrades+'!$AC$14,"D",IF(H593&lt;'PlayerGrades+'!$AC$13,"D+",IF(H593&lt;'PlayerGrades+'!$AC$12,"C-",IF(H593&lt;'PlayerGrades+'!$AC$11,"C",IF(H593&lt;'PlayerGrades+'!$AC$10,"C+",IF(H593&lt;'PlayerGrades+'!$AC$9,"B-",IF(H593&lt;'PlayerGrades+'!$AC$8,"B",IF(H593&lt;'PlayerGrades+'!$AC$7,"B+",IF(H593&lt;'PlayerGrades+'!$AC$6,"A-",IF(H593&lt;'PlayerGrades+'!$AC$5,"A",IF(H593&lt;'PlayerGrades+'!$AC$4,"A+",IF(H593&lt;'PlayerGrades+'!$AC$3,"S-",IF(H593&lt;'PlayerGrades+'!$AC$2,"S","S+"))))))))))))))))))))</f>
        <v>F-</v>
      </c>
      <c r="J593" s="973">
        <f t="shared" si="4"/>
        <v>0</v>
      </c>
      <c r="K593" s="973" t="str">
        <f>IF(J593&lt;'PlayerGrades+'!$AD$21,"F-",IF(J593&lt;'PlayerGrades+'!$AD$20,"F",IF(J593&lt;'PlayerGrades+'!$AD$19,"F+",IF(J593&lt;'PlayerGrades+'!$AD$18,"E-",IF(J593&lt;'PlayerGrades+'!$AD$17,"E",IF(J593&lt;'PlayerGrades+'!$AD$16,"E+",IF(J593&lt;'PlayerGrades+'!$AD$15,"D-",IF(J593&lt;'PlayerGrades+'!$AD$14,"D",IF(J593&lt;'PlayerGrades+'!$AD$13,"D+",IF(J593&lt;'PlayerGrades+'!$AD$12,"C-",IF(J593&lt;'PlayerGrades+'!$AD$11,"C",IF(J593&lt;'PlayerGrades+'!$AD$10,"C+",IF(J593&lt;'PlayerGrades+'!$AD$9,"B-",IF(J593&lt;'PlayerGrades+'!$AD$8,"B",IF(J593&lt;'PlayerGrades+'!$AD$7,"B+",IF(J593&lt;'PlayerGrades+'!$AD$6,"A-",IF(J593&lt;'PlayerGrades+'!$AD$5,"A",IF(J593&lt;'PlayerGrades+'!$AD$4,"A+",IF(J593&lt;'PlayerGrades+'!$AD$3,"S-",IF(J593&lt;'PlayerGrades+'!$AD$2,"S","S+"))))))))))))))))))))</f>
        <v>F-</v>
      </c>
      <c r="L593" s="974">
        <f t="shared" si="5"/>
        <v>0.6199021207</v>
      </c>
      <c r="M593" s="975" t="str">
        <f>IF(L593&lt;'PlayerGrades+'!$AE$21,"F-",IF(L593&lt;'PlayerGrades+'!$AE$20,"F",IF(L593&lt;'PlayerGrades+'!$AE$19,"F+",IF(L593&lt;'PlayerGrades+'!$AE$18,"E-",IF(L593&lt;'PlayerGrades+'!$AE$17,"E",IF(L593&lt;'PlayerGrades+'!$AE$16,"E+",IF(L593&lt;'PlayerGrades+'!$AE$15,"D-",IF(L593&lt;'PlayerGrades+'!$AE$14,"D",IF(L593&lt;'PlayerGrades+'!$AE$13,"D+",IF(L593&lt;'PlayerGrades+'!$AE$12,"C-",IF(L593&lt;'PlayerGrades+'!$AE$11,"C",IF(L593&lt;'PlayerGrades+'!$AE$10,"C+",IF(L593&lt;'PlayerGrades+'!$AE$9,"B-",IF(L593&lt;'PlayerGrades+'!$AE$8,"B",IF(L593&lt;'PlayerGrades+'!$AE$7,"B+",IF(L593&lt;'PlayerGrades+'!$AE$6,"A-",IF(L593&lt;'PlayerGrades+'!$AE$5,"A",IF(L593&lt;'PlayerGrades+'!$AE$4,"A+",IF(L593&lt;'PlayerGrades+'!$AE$3,"S-",IF(L593&lt;'PlayerGrades+'!$AE$2,"S","S+"))))))))))))))))))))</f>
        <v>S-</v>
      </c>
      <c r="N593" s="973">
        <f t="shared" si="6"/>
        <v>0.1305057096</v>
      </c>
      <c r="O593" s="973" t="str">
        <f>IF(N593&lt;'PlayerGrades+'!$AF$21,"F-",IF(N593&lt;'PlayerGrades+'!$AF$20,"F",IF(N593&lt;'PlayerGrades+'!$AF$19,"F+",IF(N593&lt;'PlayerGrades+'!$AF$18,"E-",IF(N593&lt;'PlayerGrades+'!$AF$17,"E",IF(N593&lt;'PlayerGrades+'!$AF$16,"E+",IF(N593&lt;'PlayerGrades+'!$AF$15,"D-",IF(N593&lt;'PlayerGrades+'!$AF$14,"D",IF(N593&lt;'PlayerGrades+'!$AF$13,"D+",IF(N593&lt;'PlayerGrades+'!$AF$12,"C-",IF(N593&lt;'PlayerGrades+'!$AF$11,"C",IF(N593&lt;'PlayerGrades+'!$AF$10,"C+",IF(N593&lt;'PlayerGrades+'!$AF$9,"B-",IF(N593&lt;'PlayerGrades+'!$AF$8,"B",IF(N593&lt;'PlayerGrades+'!$AF$7,"B+",IF(N593&lt;'PlayerGrades+'!$AF$6,"A-",IF(N593&lt;'PlayerGrades+'!$AF$5,"A",IF(N593&lt;'PlayerGrades+'!$AF$4,"A+",IF(N593&lt;'PlayerGrades+'!$AF$3,"S-",IF(N593&lt;'PlayerGrades+'!$AF$2,"S","S+"))))))))))))))))))))</f>
        <v>S</v>
      </c>
      <c r="P593" s="973">
        <f t="shared" si="7"/>
        <v>0</v>
      </c>
      <c r="Q593" s="973" t="str">
        <f>IF(P593&lt;'PlayerGrades+'!$AG$21,"F-",IF(P593&lt;'PlayerGrades+'!$AG$20,"F",IF(P593&lt;'PlayerGrades+'!$AG$19,"F+",IF(P593&lt;'PlayerGrades+'!$AG$18,"E-",IF(P593&lt;'PlayerGrades+'!$AG$17,"E",IF(P593&lt;'PlayerGrades+'!$AG$16,"E+",IF(P593&lt;'PlayerGrades+'!$AG$15,"D-",IF(P593&lt;'PlayerGrades+'!$AG$14,"D",IF(P593&lt;'PlayerGrades+'!$AG$13,"D+",IF(P593&lt;'PlayerGrades+'!$AG$12,"C-",IF(P593&lt;'PlayerGrades+'!$AG$11,"C",IF(P593&lt;'PlayerGrades+'!$AG$10,"C+",IF(P593&lt;'PlayerGrades+'!$AG$9,"B-",IF(P593&lt;'PlayerGrades+'!$AG$8,"B",IF(P593&lt;'PlayerGrades+'!$AG$7,"B+",IF(P593&lt;'PlayerGrades+'!$AG$6,"A-",IF(P593&lt;'PlayerGrades+'!$AG$5,"A",IF(P593&lt;'PlayerGrades+'!$AG$4,"A+",IF(P593&lt;'PlayerGrades+'!$AG$3,"S-",IF(P593&lt;'PlayerGrades+'!$AG$2,"S","S+"))))))))))))))))))))</f>
        <v>F</v>
      </c>
      <c r="R593" s="973">
        <f t="shared" si="8"/>
        <v>0.6525285481</v>
      </c>
      <c r="S593" s="973" t="str">
        <f>IF(R593&lt;'PlayerGrades+'!$AH$21,"F-",IF(R593&lt;'PlayerGrades+'!$AH$20,"F",IF(R593&lt;'PlayerGrades+'!$AH$19,"F+",IF(R593&lt;'PlayerGrades+'!$AH$18,"E-",IF(R593&lt;'PlayerGrades+'!$AH$17,"E",IF(R593&lt;'PlayerGrades+'!$AH$16,"E+",IF(R593&lt;'PlayerGrades+'!$AH$15,"D-",IF(R593&lt;'PlayerGrades+'!$AH$14,"D",IF(R593&lt;'PlayerGrades+'!$AH$13,"D+",IF(R593&lt;'PlayerGrades+'!$AH$12,"C-",IF(R593&lt;'PlayerGrades+'!$AH$11,"C",IF(R593&lt;'PlayerGrades+'!$AH$10,"C+",IF(R593&lt;'PlayerGrades+'!$AH$9,"B-",IF(R593&lt;'PlayerGrades+'!$AH$8,"B",IF(R593&lt;'PlayerGrades+'!$AH$7,"B+",IF(R593&lt;'PlayerGrades+'!$AH$6,"A-",IF(R593&lt;'PlayerGrades+'!$AH$5,"A",IF(R593&lt;'PlayerGrades+'!$AH$4,"A+",IF(R593&lt;'PlayerGrades+'!$AH$3,"S-",IF(R593&lt;'PlayerGrades+'!$AH$2,"S","S+"))))))))))))))))))))</f>
        <v>A+</v>
      </c>
      <c r="T593" s="973">
        <f t="shared" si="9"/>
        <v>2.456769984</v>
      </c>
      <c r="U593" s="973" t="str">
        <f>IF(T593&lt;'PlayerGrades+'!$AI$21,"F-",IF(T593&lt;'PlayerGrades+'!$AI$20,"F",IF(T593&lt;'PlayerGrades+'!$AI$19,"F+",IF(T593&lt;'PlayerGrades+'!$AI$18,"E-",IF(T593&lt;'PlayerGrades+'!$AI$17,"E",IF(T593&lt;'PlayerGrades+'!$AI$16,"E+",IF(T593&lt;'PlayerGrades+'!$AI$15,"D-",IF(T593&lt;'PlayerGrades+'!$AI$14,"D",IF(T593&lt;'PlayerGrades+'!$AI$13,"D+",IF(T593&lt;'PlayerGrades+'!$AI$12,"C-",IF(T593&lt;'PlayerGrades+'!$AI$11,"C",IF(T593&lt;'PlayerGrades+'!$AI$10,"C+",IF(T593&lt;'PlayerGrades+'!$AI$9,"B-",IF(T593&lt;'PlayerGrades+'!$AI$8,"B",IF(T593&lt;'PlayerGrades+'!$AI$7,"B+",IF(T593&lt;'PlayerGrades+'!$AI$6,"A-",IF(T593&lt;'PlayerGrades+'!$AI$5,"A",IF(T593&lt;'PlayerGrades+'!$AI$4,"A+",IF(T593&lt;'PlayerGrades+'!$AI$3,"S-",IF(T593&lt;'PlayerGrades+'!$AI$2,"S","S+"))))))))))))))))))))</f>
        <v>S+</v>
      </c>
      <c r="V593" s="944">
        <v>1.0</v>
      </c>
      <c r="W593" s="944">
        <v>0.0</v>
      </c>
      <c r="X593" s="944">
        <v>1.0</v>
      </c>
      <c r="Y593" s="944">
        <v>0.0</v>
      </c>
      <c r="Z593" s="944">
        <v>0.0</v>
      </c>
      <c r="AA593" s="944">
        <v>104.0</v>
      </c>
      <c r="AB593" s="944">
        <v>134.0</v>
      </c>
      <c r="AC593" s="944">
        <v>-30.0</v>
      </c>
      <c r="AD593" s="944">
        <v>10.0</v>
      </c>
      <c r="AE593" s="944">
        <v>4.0</v>
      </c>
      <c r="AF593" s="944">
        <v>6.0</v>
      </c>
      <c r="AG593" s="944">
        <v>1343.0</v>
      </c>
      <c r="AH593" s="944">
        <v>1839.0</v>
      </c>
      <c r="AI593" s="944">
        <v>10.0</v>
      </c>
      <c r="AJ593" s="944">
        <v>18.0</v>
      </c>
      <c r="AK593" s="944">
        <v>0.0</v>
      </c>
      <c r="AL593" s="944">
        <v>0.0</v>
      </c>
      <c r="AM593" s="944">
        <v>0.0</v>
      </c>
      <c r="AN593" s="944">
        <v>0.0</v>
      </c>
      <c r="AO593" s="944">
        <v>0.0</v>
      </c>
      <c r="AP593" s="944">
        <v>0.0</v>
      </c>
      <c r="AQ593" s="944">
        <v>0.0</v>
      </c>
      <c r="AR593" s="944">
        <v>19.0</v>
      </c>
      <c r="AS593" s="944">
        <v>4.0</v>
      </c>
      <c r="AT593" s="944">
        <v>1.0</v>
      </c>
      <c r="AU593" s="944">
        <v>0.0</v>
      </c>
      <c r="AV593" s="944">
        <v>0.0</v>
      </c>
      <c r="AW593" s="944">
        <v>0.0</v>
      </c>
      <c r="AX593" s="944">
        <v>0.0</v>
      </c>
      <c r="AY593" s="944">
        <v>0.0</v>
      </c>
      <c r="AZ593" s="944">
        <v>0.0</v>
      </c>
      <c r="BA593" s="944">
        <v>0.0</v>
      </c>
      <c r="BB593" s="944">
        <v>1.0</v>
      </c>
      <c r="BC593" s="944">
        <v>0.0</v>
      </c>
      <c r="BD593" s="944">
        <v>10.0</v>
      </c>
      <c r="BE593" s="944">
        <v>14.0</v>
      </c>
      <c r="BF593" s="944">
        <v>2.0</v>
      </c>
      <c r="BG593" s="944">
        <v>1.0</v>
      </c>
    </row>
    <row r="594">
      <c r="A594" s="1" t="s">
        <v>132</v>
      </c>
      <c r="B594" s="421" t="str">
        <f>IF(C594&lt;'PlayerGrades+'!$Y$44,"F-",IF(C594&lt;'PlayerGrades+'!$Y$43,"F",IF(C594&lt;'PlayerGrades+'!$Y$42,"F+",IF(C594&lt;'PlayerGrades+'!$Y$41,"E-",IF(C594&lt;'PlayerGrades+'!$Y$40,"E",IF(C594&lt;'PlayerGrades+'!$Y$39,"E+",IF(C594&lt;'PlayerGrades+'!$Y$38,"D-",IF(C594&lt;'PlayerGrades+'!$Y$37,"D",IF(C594&lt;'PlayerGrades+'!$Y$36,"D+",IF(C594&lt;'PlayerGrades+'!$Y$35,"C-",IF(C594&lt;'PlayerGrades+'!$Y$34,"C",IF(C594&lt;'PlayerGrades+'!$Y$33,"C+",IF(C594&lt;'PlayerGrades+'!$Y$32,"B-",IF(C594&lt;'PlayerGrades+'!$Y$31,"B",IF(C594&lt;'PlayerGrades+'!$Y$30,"B+",IF(C594&lt;'PlayerGrades+'!$Y$29,"A-",IF(C594&lt;'PlayerGrades+'!$Y$28,"A",IF(C594&lt;'PlayerGrades+'!$Y$27,"A+",IF(C594&lt;'PlayerGrades+'!$Y$26,"S-",IF(C594&lt;'PlayerGrades+'!$Y$25,"S","S+"))))))))))))))))))))</f>
        <v>B</v>
      </c>
      <c r="C594" s="972">
        <f>('PlayerGrades+'!$Y$47*(VLOOKUP(E594, 'PlayerGrades+'!$X$3:$Y$23, 2, FALSE)))+('PlayerGrades+'!$Y$48*(VLOOKUP(G594, 'PlayerGrades+'!$X$3:$Y$23, 2, FALSE)))+('PlayerGrades+'!$Y$49*(VLOOKUP(I594, 'PlayerGrades+'!$X$3:$Y$23, 2, FALSE)))+('PlayerGrades+'!$Y$50*(VLOOKUP(K594, 'PlayerGrades+'!$X$3:$Y$23, 2, FALSE)))+('PlayerGrades+'!$Y$51*(VLOOKUP(M594, 'PlayerGrades+'!$X$3:$Y$23, 2, FALSE)))+('PlayerGrades+'!$Y$52*(VLOOKUP(O594, 'PlayerGrades+'!$X$3:$Y$23, 2, FALSE)))+('PlayerGrades+'!$Y$53*(VLOOKUP(Q594, 'PlayerGrades+'!$X$3:$Y$23, 2, FALSE)))+('PlayerGrades+'!$Y$54*(VLOOKUP(S594, 'PlayerGrades+'!$X$3:$Y$23, 2, FALSE)))+('PlayerGrades+'!$Y$55*(VLOOKUP(U594, 'PlayerGrades+'!$X$3:$Y$23, 2, FALSE)))</f>
        <v>22.5</v>
      </c>
      <c r="D594" s="973">
        <f t="shared" si="1"/>
        <v>0.4172461752</v>
      </c>
      <c r="E594" s="973" t="str">
        <f>IF(D594&lt;'PlayerGrades+'!$AA$21,"F-",IF(D594&lt;'PlayerGrades+'!$AA$20,"F",IF(D594&lt;'PlayerGrades+'!$AA$19,"F+",IF(D594&lt;'PlayerGrades+'!$AA$18,"E-",IF(D594&lt;'PlayerGrades+'!$AA$17,"E",IF(D594&lt;'PlayerGrades+'!$AA$16,"E+",IF(D594&lt;'PlayerGrades+'!$AA$15,"D-",IF(D594&lt;'PlayerGrades+'!$AA$14,"D",IF(D594&lt;'PlayerGrades+'!$AA$13,"D+",IF(D594&lt;'PlayerGrades+'!$AA$12,"C-",IF(D594&lt;'PlayerGrades+'!$AA$11,"C",IF(D594&lt;'PlayerGrades+'!$AA$10,"C+",IF(D594&lt;'PlayerGrades+'!$AA$9,"B-",IF(D594&lt;'PlayerGrades+'!$AA$8,"B",IF(D594&lt;'PlayerGrades+'!$AA$7,"B+",IF(D594&lt;'PlayerGrades+'!$AA$6,"A-",IF(D594&lt;'PlayerGrades+'!$AA$5,"A",IF(D594&lt;'PlayerGrades+'!$AA$4,"A+",IF(D594&lt;'PlayerGrades+'!$AA$3,"S-",IF(D594&lt;'PlayerGrades+'!$AA$2,"S","S+"))))))))))))))))))))</f>
        <v>A+</v>
      </c>
      <c r="F594" s="973">
        <f t="shared" si="2"/>
        <v>-0.5424200278</v>
      </c>
      <c r="G594" s="973" t="str">
        <f>IF(F594&lt;'PlayerGrades+'!$AB$21,"F-",IF(F594&lt;'PlayerGrades+'!$AB$20,"F",IF(F594&lt;'PlayerGrades+'!$AB$19,"F+",IF(F594&lt;'PlayerGrades+'!$AB$18,"E-",IF(F594&lt;'PlayerGrades+'!$AB$17,"E",IF(F594&lt;'PlayerGrades+'!$AB$16,"E+",IF(F594&lt;'PlayerGrades+'!$AB$15,"D-",IF(F594&lt;'PlayerGrades+'!$AB$14,"D",IF(F594&lt;'PlayerGrades+'!$AB$13,"D+",IF(F594&lt;'PlayerGrades+'!$AB$12,"C-",IF(F594&lt;'PlayerGrades+'!$AB$11,"C",IF(F594&lt;'PlayerGrades+'!$AB$10,"C+",IF(F594&lt;'PlayerGrades+'!$AB$9,"B-",IF(F594&lt;'PlayerGrades+'!$AB$8,"B",IF(F594&lt;'PlayerGrades+'!$AB$7,"B+",IF(F594&lt;'PlayerGrades+'!$AB$6,"A-",IF(F594&lt;'PlayerGrades+'!$AB$5,"A",IF(F594&lt;'PlayerGrades+'!$AB$4,"A+",IF(F594&lt;'PlayerGrades+'!$AB$3,"S-",IF(F594&lt;'PlayerGrades+'!$AB$2,"S","S+"))))))))))))))))))))</f>
        <v>D</v>
      </c>
      <c r="H594" s="973">
        <f t="shared" si="3"/>
        <v>0.04172461752</v>
      </c>
      <c r="I594" s="973" t="str">
        <f>IF(H594&lt;'PlayerGrades+'!$AC$21,"F-",IF(H594&lt;'PlayerGrades+'!$AC$20,"F",IF(H594&lt;'PlayerGrades+'!$AC$19,"F+",IF(H594&lt;'PlayerGrades+'!$AC$18,"E-",IF(H594&lt;'PlayerGrades+'!$AC$17,"E",IF(H594&lt;'PlayerGrades+'!$AC$16,"E+",IF(H594&lt;'PlayerGrades+'!$AC$15,"D-",IF(H594&lt;'PlayerGrades+'!$AC$14,"D",IF(H594&lt;'PlayerGrades+'!$AC$13,"D+",IF(H594&lt;'PlayerGrades+'!$AC$12,"C-",IF(H594&lt;'PlayerGrades+'!$AC$11,"C",IF(H594&lt;'PlayerGrades+'!$AC$10,"C+",IF(H594&lt;'PlayerGrades+'!$AC$9,"B-",IF(H594&lt;'PlayerGrades+'!$AC$8,"B",IF(H594&lt;'PlayerGrades+'!$AC$7,"B+",IF(H594&lt;'PlayerGrades+'!$AC$6,"A-",IF(H594&lt;'PlayerGrades+'!$AC$5,"A",IF(H594&lt;'PlayerGrades+'!$AC$4,"A+",IF(H594&lt;'PlayerGrades+'!$AC$3,"S-",IF(H594&lt;'PlayerGrades+'!$AC$2,"S","S+"))))))))))))))))))))</f>
        <v>F</v>
      </c>
      <c r="J594" s="973">
        <f t="shared" si="4"/>
        <v>0.08344923505</v>
      </c>
      <c r="K594" s="973" t="str">
        <f>IF(J594&lt;'PlayerGrades+'!$AD$21,"F-",IF(J594&lt;'PlayerGrades+'!$AD$20,"F",IF(J594&lt;'PlayerGrades+'!$AD$19,"F+",IF(J594&lt;'PlayerGrades+'!$AD$18,"E-",IF(J594&lt;'PlayerGrades+'!$AD$17,"E",IF(J594&lt;'PlayerGrades+'!$AD$16,"E+",IF(J594&lt;'PlayerGrades+'!$AD$15,"D-",IF(J594&lt;'PlayerGrades+'!$AD$14,"D",IF(J594&lt;'PlayerGrades+'!$AD$13,"D+",IF(J594&lt;'PlayerGrades+'!$AD$12,"C-",IF(J594&lt;'PlayerGrades+'!$AD$11,"C",IF(J594&lt;'PlayerGrades+'!$AD$10,"C+",IF(J594&lt;'PlayerGrades+'!$AD$9,"B-",IF(J594&lt;'PlayerGrades+'!$AD$8,"B",IF(J594&lt;'PlayerGrades+'!$AD$7,"B+",IF(J594&lt;'PlayerGrades+'!$AD$6,"A-",IF(J594&lt;'PlayerGrades+'!$AD$5,"A",IF(J594&lt;'PlayerGrades+'!$AD$4,"A+",IF(J594&lt;'PlayerGrades+'!$AD$3,"S-",IF(J594&lt;'PlayerGrades+'!$AD$2,"S","S+"))))))))))))))))))))</f>
        <v>A+</v>
      </c>
      <c r="L594" s="974">
        <f t="shared" si="5"/>
        <v>0.3755215577</v>
      </c>
      <c r="M594" s="975" t="str">
        <f>IF(L594&lt;'PlayerGrades+'!$AE$21,"F-",IF(L594&lt;'PlayerGrades+'!$AE$20,"F",IF(L594&lt;'PlayerGrades+'!$AE$19,"F+",IF(L594&lt;'PlayerGrades+'!$AE$18,"E-",IF(L594&lt;'PlayerGrades+'!$AE$17,"E",IF(L594&lt;'PlayerGrades+'!$AE$16,"E+",IF(L594&lt;'PlayerGrades+'!$AE$15,"D-",IF(L594&lt;'PlayerGrades+'!$AE$14,"D",IF(L594&lt;'PlayerGrades+'!$AE$13,"D+",IF(L594&lt;'PlayerGrades+'!$AE$12,"C-",IF(L594&lt;'PlayerGrades+'!$AE$11,"C",IF(L594&lt;'PlayerGrades+'!$AE$10,"C+",IF(L594&lt;'PlayerGrades+'!$AE$9,"B-",IF(L594&lt;'PlayerGrades+'!$AE$8,"B",IF(L594&lt;'PlayerGrades+'!$AE$7,"B+",IF(L594&lt;'PlayerGrades+'!$AE$6,"A-",IF(L594&lt;'PlayerGrades+'!$AE$5,"A",IF(L594&lt;'PlayerGrades+'!$AE$4,"A+",IF(L594&lt;'PlayerGrades+'!$AE$3,"S-",IF(L594&lt;'PlayerGrades+'!$AE$2,"S","S+"))))))))))))))))))))</f>
        <v>C-</v>
      </c>
      <c r="N594" s="973">
        <f t="shared" si="6"/>
        <v>0.08344923505</v>
      </c>
      <c r="O594" s="973" t="str">
        <f>IF(N594&lt;'PlayerGrades+'!$AF$21,"F-",IF(N594&lt;'PlayerGrades+'!$AF$20,"F",IF(N594&lt;'PlayerGrades+'!$AF$19,"F+",IF(N594&lt;'PlayerGrades+'!$AF$18,"E-",IF(N594&lt;'PlayerGrades+'!$AF$17,"E",IF(N594&lt;'PlayerGrades+'!$AF$16,"E+",IF(N594&lt;'PlayerGrades+'!$AF$15,"D-",IF(N594&lt;'PlayerGrades+'!$AF$14,"D",IF(N594&lt;'PlayerGrades+'!$AF$13,"D+",IF(N594&lt;'PlayerGrades+'!$AF$12,"C-",IF(N594&lt;'PlayerGrades+'!$AF$11,"C",IF(N594&lt;'PlayerGrades+'!$AF$10,"C+",IF(N594&lt;'PlayerGrades+'!$AF$9,"B-",IF(N594&lt;'PlayerGrades+'!$AF$8,"B",IF(N594&lt;'PlayerGrades+'!$AF$7,"B+",IF(N594&lt;'PlayerGrades+'!$AF$6,"A-",IF(N594&lt;'PlayerGrades+'!$AF$5,"A",IF(N594&lt;'PlayerGrades+'!$AF$4,"A+",IF(N594&lt;'PlayerGrades+'!$AF$3,"S-",IF(N594&lt;'PlayerGrades+'!$AF$2,"S","S+"))))))))))))))))))))</f>
        <v>B</v>
      </c>
      <c r="P594" s="973">
        <f t="shared" si="7"/>
        <v>0.04172461752</v>
      </c>
      <c r="Q594" s="973" t="str">
        <f>IF(P594&lt;'PlayerGrades+'!$AG$21,"F-",IF(P594&lt;'PlayerGrades+'!$AG$20,"F",IF(P594&lt;'PlayerGrades+'!$AG$19,"F+",IF(P594&lt;'PlayerGrades+'!$AG$18,"E-",IF(P594&lt;'PlayerGrades+'!$AG$17,"E",IF(P594&lt;'PlayerGrades+'!$AG$16,"E+",IF(P594&lt;'PlayerGrades+'!$AG$15,"D-",IF(P594&lt;'PlayerGrades+'!$AG$14,"D",IF(P594&lt;'PlayerGrades+'!$AG$13,"D+",IF(P594&lt;'PlayerGrades+'!$AG$12,"C-",IF(P594&lt;'PlayerGrades+'!$AG$11,"C",IF(P594&lt;'PlayerGrades+'!$AG$10,"C+",IF(P594&lt;'PlayerGrades+'!$AG$9,"B-",IF(P594&lt;'PlayerGrades+'!$AG$8,"B",IF(P594&lt;'PlayerGrades+'!$AG$7,"B+",IF(P594&lt;'PlayerGrades+'!$AG$6,"A-",IF(P594&lt;'PlayerGrades+'!$AG$5,"A",IF(P594&lt;'PlayerGrades+'!$AG$4,"A+",IF(P594&lt;'PlayerGrades+'!$AG$3,"S-",IF(P594&lt;'PlayerGrades+'!$AG$2,"S","S+"))))))))))))))))))))</f>
        <v>A</v>
      </c>
      <c r="R594" s="973">
        <f t="shared" si="8"/>
        <v>0.5424200278</v>
      </c>
      <c r="S594" s="973" t="str">
        <f>IF(R594&lt;'PlayerGrades+'!$AH$21,"F-",IF(R594&lt;'PlayerGrades+'!$AH$20,"F",IF(R594&lt;'PlayerGrades+'!$AH$19,"F+",IF(R594&lt;'PlayerGrades+'!$AH$18,"E-",IF(R594&lt;'PlayerGrades+'!$AH$17,"E",IF(R594&lt;'PlayerGrades+'!$AH$16,"E+",IF(R594&lt;'PlayerGrades+'!$AH$15,"D-",IF(R594&lt;'PlayerGrades+'!$AH$14,"D",IF(R594&lt;'PlayerGrades+'!$AH$13,"D+",IF(R594&lt;'PlayerGrades+'!$AH$12,"C-",IF(R594&lt;'PlayerGrades+'!$AH$11,"C",IF(R594&lt;'PlayerGrades+'!$AH$10,"C+",IF(R594&lt;'PlayerGrades+'!$AH$9,"B-",IF(R594&lt;'PlayerGrades+'!$AH$8,"B",IF(R594&lt;'PlayerGrades+'!$AH$7,"B+",IF(R594&lt;'PlayerGrades+'!$AH$6,"A-",IF(R594&lt;'PlayerGrades+'!$AH$5,"A",IF(R594&lt;'PlayerGrades+'!$AH$4,"A+",IF(R594&lt;'PlayerGrades+'!$AH$3,"S-",IF(R594&lt;'PlayerGrades+'!$AH$2,"S","S+"))))))))))))))))))))</f>
        <v>C+</v>
      </c>
      <c r="T594" s="973">
        <f t="shared" si="9"/>
        <v>2.16689847</v>
      </c>
      <c r="U594" s="973" t="str">
        <f>IF(T594&lt;'PlayerGrades+'!$AI$21,"F-",IF(T594&lt;'PlayerGrades+'!$AI$20,"F",IF(T594&lt;'PlayerGrades+'!$AI$19,"F+",IF(T594&lt;'PlayerGrades+'!$AI$18,"E-",IF(T594&lt;'PlayerGrades+'!$AI$17,"E",IF(T594&lt;'PlayerGrades+'!$AI$16,"E+",IF(T594&lt;'PlayerGrades+'!$AI$15,"D-",IF(T594&lt;'PlayerGrades+'!$AI$14,"D",IF(T594&lt;'PlayerGrades+'!$AI$13,"D+",IF(T594&lt;'PlayerGrades+'!$AI$12,"C-",IF(T594&lt;'PlayerGrades+'!$AI$11,"C",IF(T594&lt;'PlayerGrades+'!$AI$10,"C+",IF(T594&lt;'PlayerGrades+'!$AI$9,"B-",IF(T594&lt;'PlayerGrades+'!$AI$8,"B",IF(T594&lt;'PlayerGrades+'!$AI$7,"B+",IF(T594&lt;'PlayerGrades+'!$AI$6,"A-",IF(T594&lt;'PlayerGrades+'!$AI$5,"A",IF(T594&lt;'PlayerGrades+'!$AI$4,"A+",IF(T594&lt;'PlayerGrades+'!$AI$3,"S-",IF(T594&lt;'PlayerGrades+'!$AI$2,"S","S+"))))))))))))))))))))</f>
        <v>S+</v>
      </c>
      <c r="V594" s="941">
        <v>1.0</v>
      </c>
      <c r="W594" s="941">
        <v>1.0</v>
      </c>
      <c r="X594" s="941">
        <v>0.0</v>
      </c>
      <c r="Y594" s="941">
        <v>3.0</v>
      </c>
      <c r="Z594" s="941">
        <v>7.0</v>
      </c>
      <c r="AA594" s="941">
        <v>72.0</v>
      </c>
      <c r="AB594" s="941">
        <v>85.0</v>
      </c>
      <c r="AC594" s="941">
        <v>-13.0</v>
      </c>
      <c r="AD594" s="941">
        <v>6.0</v>
      </c>
      <c r="AE594" s="941">
        <v>5.0</v>
      </c>
      <c r="AF594" s="941">
        <v>1.0</v>
      </c>
      <c r="AG594" s="941">
        <v>1054.0</v>
      </c>
      <c r="AH594" s="941">
        <v>1438.0</v>
      </c>
      <c r="AI594" s="941">
        <v>12.0</v>
      </c>
      <c r="AJ594" s="941">
        <v>203.0</v>
      </c>
      <c r="AK594" s="941">
        <v>0.0</v>
      </c>
      <c r="AL594" s="941">
        <v>2.0</v>
      </c>
      <c r="AM594" s="941">
        <v>0.0</v>
      </c>
      <c r="AN594" s="941">
        <v>0.0</v>
      </c>
      <c r="AO594" s="941">
        <v>0.0</v>
      </c>
      <c r="AP594" s="941">
        <v>1.0</v>
      </c>
      <c r="AQ594" s="941">
        <v>0.0</v>
      </c>
      <c r="AR594" s="941">
        <v>9.0</v>
      </c>
      <c r="AS594" s="941">
        <v>2.0</v>
      </c>
      <c r="AT594" s="941">
        <v>1.0</v>
      </c>
      <c r="AU594" s="941">
        <v>1.0</v>
      </c>
      <c r="AV594" s="941">
        <v>0.0</v>
      </c>
      <c r="AW594" s="941">
        <v>0.0</v>
      </c>
      <c r="AX594" s="941">
        <v>0.0</v>
      </c>
      <c r="AY594" s="941">
        <v>0.0</v>
      </c>
      <c r="AZ594" s="941">
        <v>0.0</v>
      </c>
      <c r="BA594" s="941">
        <v>0.0</v>
      </c>
      <c r="BB594" s="941">
        <v>1.0</v>
      </c>
      <c r="BC594" s="941">
        <v>0.0</v>
      </c>
      <c r="BD594" s="941">
        <v>7.0</v>
      </c>
      <c r="BE594" s="941">
        <v>4.0</v>
      </c>
      <c r="BF594" s="941">
        <v>2.0</v>
      </c>
      <c r="BG594" s="941">
        <v>0.0</v>
      </c>
    </row>
    <row r="595">
      <c r="A595" s="1" t="s">
        <v>121</v>
      </c>
      <c r="B595" s="421" t="str">
        <f>IF(C595&lt;'PlayerGrades+'!$Y$44,"F-",IF(C595&lt;'PlayerGrades+'!$Y$43,"F",IF(C595&lt;'PlayerGrades+'!$Y$42,"F+",IF(C595&lt;'PlayerGrades+'!$Y$41,"E-",IF(C595&lt;'PlayerGrades+'!$Y$40,"E",IF(C595&lt;'PlayerGrades+'!$Y$39,"E+",IF(C595&lt;'PlayerGrades+'!$Y$38,"D-",IF(C595&lt;'PlayerGrades+'!$Y$37,"D",IF(C595&lt;'PlayerGrades+'!$Y$36,"D+",IF(C595&lt;'PlayerGrades+'!$Y$35,"C-",IF(C595&lt;'PlayerGrades+'!$Y$34,"C",IF(C595&lt;'PlayerGrades+'!$Y$33,"C+",IF(C595&lt;'PlayerGrades+'!$Y$32,"B-",IF(C595&lt;'PlayerGrades+'!$Y$31,"B",IF(C595&lt;'PlayerGrades+'!$Y$30,"B+",IF(C595&lt;'PlayerGrades+'!$Y$29,"A-",IF(C595&lt;'PlayerGrades+'!$Y$28,"A",IF(C595&lt;'PlayerGrades+'!$Y$27,"A+",IF(C595&lt;'PlayerGrades+'!$Y$26,"S-",IF(C595&lt;'PlayerGrades+'!$Y$25,"S","S+"))))))))))))))))))))</f>
        <v>C</v>
      </c>
      <c r="C595" s="972">
        <f>('PlayerGrades+'!$Y$47*(VLOOKUP(E595, 'PlayerGrades+'!$X$3:$Y$23, 2, FALSE)))+('PlayerGrades+'!$Y$48*(VLOOKUP(G595, 'PlayerGrades+'!$X$3:$Y$23, 2, FALSE)))+('PlayerGrades+'!$Y$49*(VLOOKUP(I595, 'PlayerGrades+'!$X$3:$Y$23, 2, FALSE)))+('PlayerGrades+'!$Y$50*(VLOOKUP(K595, 'PlayerGrades+'!$X$3:$Y$23, 2, FALSE)))+('PlayerGrades+'!$Y$51*(VLOOKUP(M595, 'PlayerGrades+'!$X$3:$Y$23, 2, FALSE)))+('PlayerGrades+'!$Y$52*(VLOOKUP(O595, 'PlayerGrades+'!$X$3:$Y$23, 2, FALSE)))+('PlayerGrades+'!$Y$53*(VLOOKUP(Q595, 'PlayerGrades+'!$X$3:$Y$23, 2, FALSE)))+('PlayerGrades+'!$Y$54*(VLOOKUP(S595, 'PlayerGrades+'!$X$3:$Y$23, 2, FALSE)))+('PlayerGrades+'!$Y$55*(VLOOKUP(U595, 'PlayerGrades+'!$X$3:$Y$23, 2, FALSE)))</f>
        <v>20</v>
      </c>
      <c r="D595" s="973">
        <f t="shared" si="1"/>
        <v>0.04172461752</v>
      </c>
      <c r="E595" s="973" t="str">
        <f>IF(D595&lt;'PlayerGrades+'!$AA$21,"F-",IF(D595&lt;'PlayerGrades+'!$AA$20,"F",IF(D595&lt;'PlayerGrades+'!$AA$19,"F+",IF(D595&lt;'PlayerGrades+'!$AA$18,"E-",IF(D595&lt;'PlayerGrades+'!$AA$17,"E",IF(D595&lt;'PlayerGrades+'!$AA$16,"E+",IF(D595&lt;'PlayerGrades+'!$AA$15,"D-",IF(D595&lt;'PlayerGrades+'!$AA$14,"D",IF(D595&lt;'PlayerGrades+'!$AA$13,"D+",IF(D595&lt;'PlayerGrades+'!$AA$12,"C-",IF(D595&lt;'PlayerGrades+'!$AA$11,"C",IF(D595&lt;'PlayerGrades+'!$AA$10,"C+",IF(D595&lt;'PlayerGrades+'!$AA$9,"B-",IF(D595&lt;'PlayerGrades+'!$AA$8,"B",IF(D595&lt;'PlayerGrades+'!$AA$7,"B+",IF(D595&lt;'PlayerGrades+'!$AA$6,"A-",IF(D595&lt;'PlayerGrades+'!$AA$5,"A",IF(D595&lt;'PlayerGrades+'!$AA$4,"A+",IF(D595&lt;'PlayerGrades+'!$AA$3,"S-",IF(D595&lt;'PlayerGrades+'!$AA$2,"S","S+"))))))))))))))))))))</f>
        <v>C</v>
      </c>
      <c r="F595" s="973">
        <f t="shared" si="2"/>
        <v>0.2086230876</v>
      </c>
      <c r="G595" s="973" t="str">
        <f>IF(F595&lt;'PlayerGrades+'!$AB$21,"F-",IF(F595&lt;'PlayerGrades+'!$AB$20,"F",IF(F595&lt;'PlayerGrades+'!$AB$19,"F+",IF(F595&lt;'PlayerGrades+'!$AB$18,"E-",IF(F595&lt;'PlayerGrades+'!$AB$17,"E",IF(F595&lt;'PlayerGrades+'!$AB$16,"E+",IF(F595&lt;'PlayerGrades+'!$AB$15,"D-",IF(F595&lt;'PlayerGrades+'!$AB$14,"D",IF(F595&lt;'PlayerGrades+'!$AB$13,"D+",IF(F595&lt;'PlayerGrades+'!$AB$12,"C-",IF(F595&lt;'PlayerGrades+'!$AB$11,"C",IF(F595&lt;'PlayerGrades+'!$AB$10,"C+",IF(F595&lt;'PlayerGrades+'!$AB$9,"B-",IF(F595&lt;'PlayerGrades+'!$AB$8,"B",IF(F595&lt;'PlayerGrades+'!$AB$7,"B+",IF(F595&lt;'PlayerGrades+'!$AB$6,"A-",IF(F595&lt;'PlayerGrades+'!$AB$5,"A",IF(F595&lt;'PlayerGrades+'!$AB$4,"A+",IF(F595&lt;'PlayerGrades+'!$AB$3,"S-",IF(F595&lt;'PlayerGrades+'!$AB$2,"S","S+"))))))))))))))))))))</f>
        <v>B+</v>
      </c>
      <c r="H595" s="973">
        <f t="shared" si="3"/>
        <v>0.1251738526</v>
      </c>
      <c r="I595" s="973" t="str">
        <f>IF(H595&lt;'PlayerGrades+'!$AC$21,"F-",IF(H595&lt;'PlayerGrades+'!$AC$20,"F",IF(H595&lt;'PlayerGrades+'!$AC$19,"F+",IF(H595&lt;'PlayerGrades+'!$AC$18,"E-",IF(H595&lt;'PlayerGrades+'!$AC$17,"E",IF(H595&lt;'PlayerGrades+'!$AC$16,"E+",IF(H595&lt;'PlayerGrades+'!$AC$15,"D-",IF(H595&lt;'PlayerGrades+'!$AC$14,"D",IF(H595&lt;'PlayerGrades+'!$AC$13,"D+",IF(H595&lt;'PlayerGrades+'!$AC$12,"C-",IF(H595&lt;'PlayerGrades+'!$AC$11,"C",IF(H595&lt;'PlayerGrades+'!$AC$10,"C+",IF(H595&lt;'PlayerGrades+'!$AC$9,"B-",IF(H595&lt;'PlayerGrades+'!$AC$8,"B",IF(H595&lt;'PlayerGrades+'!$AC$7,"B+",IF(H595&lt;'PlayerGrades+'!$AC$6,"A-",IF(H595&lt;'PlayerGrades+'!$AC$5,"A",IF(H595&lt;'PlayerGrades+'!$AC$4,"A+",IF(H595&lt;'PlayerGrades+'!$AC$3,"S-",IF(H595&lt;'PlayerGrades+'!$AC$2,"S","S+"))))))))))))))))))))</f>
        <v>B-</v>
      </c>
      <c r="J595" s="973">
        <f t="shared" si="4"/>
        <v>0.04172461752</v>
      </c>
      <c r="K595" s="973" t="str">
        <f>IF(J595&lt;'PlayerGrades+'!$AD$21,"F-",IF(J595&lt;'PlayerGrades+'!$AD$20,"F",IF(J595&lt;'PlayerGrades+'!$AD$19,"F+",IF(J595&lt;'PlayerGrades+'!$AD$18,"E-",IF(J595&lt;'PlayerGrades+'!$AD$17,"E",IF(J595&lt;'PlayerGrades+'!$AD$16,"E+",IF(J595&lt;'PlayerGrades+'!$AD$15,"D-",IF(J595&lt;'PlayerGrades+'!$AD$14,"D",IF(J595&lt;'PlayerGrades+'!$AD$13,"D+",IF(J595&lt;'PlayerGrades+'!$AD$12,"C-",IF(J595&lt;'PlayerGrades+'!$AD$11,"C",IF(J595&lt;'PlayerGrades+'!$AD$10,"C+",IF(J595&lt;'PlayerGrades+'!$AD$9,"B-",IF(J595&lt;'PlayerGrades+'!$AD$8,"B",IF(J595&lt;'PlayerGrades+'!$AD$7,"B+",IF(J595&lt;'PlayerGrades+'!$AD$6,"A-",IF(J595&lt;'PlayerGrades+'!$AD$5,"A",IF(J595&lt;'PlayerGrades+'!$AD$4,"A+",IF(J595&lt;'PlayerGrades+'!$AD$3,"S-",IF(J595&lt;'PlayerGrades+'!$AD$2,"S","S+"))))))))))))))))))))</f>
        <v>C+</v>
      </c>
      <c r="L595" s="974">
        <f t="shared" si="5"/>
        <v>0.4589707928</v>
      </c>
      <c r="M595" s="975" t="str">
        <f>IF(L595&lt;'PlayerGrades+'!$AE$21,"F-",IF(L595&lt;'PlayerGrades+'!$AE$20,"F",IF(L595&lt;'PlayerGrades+'!$AE$19,"F+",IF(L595&lt;'PlayerGrades+'!$AE$18,"E-",IF(L595&lt;'PlayerGrades+'!$AE$17,"E",IF(L595&lt;'PlayerGrades+'!$AE$16,"E+",IF(L595&lt;'PlayerGrades+'!$AE$15,"D-",IF(L595&lt;'PlayerGrades+'!$AE$14,"D",IF(L595&lt;'PlayerGrades+'!$AE$13,"D+",IF(L595&lt;'PlayerGrades+'!$AE$12,"C-",IF(L595&lt;'PlayerGrades+'!$AE$11,"C",IF(L595&lt;'PlayerGrades+'!$AE$10,"C+",IF(L595&lt;'PlayerGrades+'!$AE$9,"B-",IF(L595&lt;'PlayerGrades+'!$AE$8,"B",IF(L595&lt;'PlayerGrades+'!$AE$7,"B+",IF(L595&lt;'PlayerGrades+'!$AE$6,"A-",IF(L595&lt;'PlayerGrades+'!$AE$5,"A",IF(L595&lt;'PlayerGrades+'!$AE$4,"A+",IF(L595&lt;'PlayerGrades+'!$AE$3,"S-",IF(L595&lt;'PlayerGrades+'!$AE$2,"S","S+"))))))))))))))))))))</f>
        <v>B+</v>
      </c>
      <c r="N595" s="973">
        <f t="shared" si="6"/>
        <v>0.04172461752</v>
      </c>
      <c r="O595" s="973" t="str">
        <f>IF(N595&lt;'PlayerGrades+'!$AF$21,"F-",IF(N595&lt;'PlayerGrades+'!$AF$20,"F",IF(N595&lt;'PlayerGrades+'!$AF$19,"F+",IF(N595&lt;'PlayerGrades+'!$AF$18,"E-",IF(N595&lt;'PlayerGrades+'!$AF$17,"E",IF(N595&lt;'PlayerGrades+'!$AF$16,"E+",IF(N595&lt;'PlayerGrades+'!$AF$15,"D-",IF(N595&lt;'PlayerGrades+'!$AF$14,"D",IF(N595&lt;'PlayerGrades+'!$AF$13,"D+",IF(N595&lt;'PlayerGrades+'!$AF$12,"C-",IF(N595&lt;'PlayerGrades+'!$AF$11,"C",IF(N595&lt;'PlayerGrades+'!$AF$10,"C+",IF(N595&lt;'PlayerGrades+'!$AF$9,"B-",IF(N595&lt;'PlayerGrades+'!$AF$8,"B",IF(N595&lt;'PlayerGrades+'!$AF$7,"B+",IF(N595&lt;'PlayerGrades+'!$AF$6,"A-",IF(N595&lt;'PlayerGrades+'!$AF$5,"A",IF(N595&lt;'PlayerGrades+'!$AF$4,"A+",IF(N595&lt;'PlayerGrades+'!$AF$3,"S-",IF(N595&lt;'PlayerGrades+'!$AF$2,"S","S+"))))))))))))))))))))</f>
        <v>E</v>
      </c>
      <c r="P595" s="973">
        <f t="shared" si="7"/>
        <v>0.04172461752</v>
      </c>
      <c r="Q595" s="973" t="str">
        <f>IF(P595&lt;'PlayerGrades+'!$AG$21,"F-",IF(P595&lt;'PlayerGrades+'!$AG$20,"F",IF(P595&lt;'PlayerGrades+'!$AG$19,"F+",IF(P595&lt;'PlayerGrades+'!$AG$18,"E-",IF(P595&lt;'PlayerGrades+'!$AG$17,"E",IF(P595&lt;'PlayerGrades+'!$AG$16,"E+",IF(P595&lt;'PlayerGrades+'!$AG$15,"D-",IF(P595&lt;'PlayerGrades+'!$AG$14,"D",IF(P595&lt;'PlayerGrades+'!$AG$13,"D+",IF(P595&lt;'PlayerGrades+'!$AG$12,"C-",IF(P595&lt;'PlayerGrades+'!$AG$11,"C",IF(P595&lt;'PlayerGrades+'!$AG$10,"C+",IF(P595&lt;'PlayerGrades+'!$AG$9,"B-",IF(P595&lt;'PlayerGrades+'!$AG$8,"B",IF(P595&lt;'PlayerGrades+'!$AG$7,"B+",IF(P595&lt;'PlayerGrades+'!$AG$6,"A-",IF(P595&lt;'PlayerGrades+'!$AG$5,"A",IF(P595&lt;'PlayerGrades+'!$AG$4,"A+",IF(P595&lt;'PlayerGrades+'!$AG$3,"S-",IF(P595&lt;'PlayerGrades+'!$AG$2,"S","S+"))))))))))))))))))))</f>
        <v>A</v>
      </c>
      <c r="R595" s="973">
        <f t="shared" si="8"/>
        <v>0.2503477051</v>
      </c>
      <c r="S595" s="973" t="str">
        <f>IF(R595&lt;'PlayerGrades+'!$AH$21,"F-",IF(R595&lt;'PlayerGrades+'!$AH$20,"F",IF(R595&lt;'PlayerGrades+'!$AH$19,"F+",IF(R595&lt;'PlayerGrades+'!$AH$18,"E-",IF(R595&lt;'PlayerGrades+'!$AH$17,"E",IF(R595&lt;'PlayerGrades+'!$AH$16,"E+",IF(R595&lt;'PlayerGrades+'!$AH$15,"D-",IF(R595&lt;'PlayerGrades+'!$AH$14,"D",IF(R595&lt;'PlayerGrades+'!$AH$13,"D+",IF(R595&lt;'PlayerGrades+'!$AH$12,"C-",IF(R595&lt;'PlayerGrades+'!$AH$11,"C",IF(R595&lt;'PlayerGrades+'!$AH$10,"C+",IF(R595&lt;'PlayerGrades+'!$AH$9,"B-",IF(R595&lt;'PlayerGrades+'!$AH$8,"B",IF(R595&lt;'PlayerGrades+'!$AH$7,"B+",IF(R595&lt;'PlayerGrades+'!$AH$6,"A-",IF(R595&lt;'PlayerGrades+'!$AH$5,"A",IF(R595&lt;'PlayerGrades+'!$AH$4,"A+",IF(R595&lt;'PlayerGrades+'!$AH$3,"S-",IF(R595&lt;'PlayerGrades+'!$AH$2,"S","S+"))))))))))))))))))))</f>
        <v>F-</v>
      </c>
      <c r="T595" s="973">
        <f t="shared" si="9"/>
        <v>2.375521558</v>
      </c>
      <c r="U595" s="973" t="str">
        <f>IF(T595&lt;'PlayerGrades+'!$AI$21,"F-",IF(T595&lt;'PlayerGrades+'!$AI$20,"F",IF(T595&lt;'PlayerGrades+'!$AI$19,"F+",IF(T595&lt;'PlayerGrades+'!$AI$18,"E-",IF(T595&lt;'PlayerGrades+'!$AI$17,"E",IF(T595&lt;'PlayerGrades+'!$AI$16,"E+",IF(T595&lt;'PlayerGrades+'!$AI$15,"D-",IF(T595&lt;'PlayerGrades+'!$AI$14,"D",IF(T595&lt;'PlayerGrades+'!$AI$13,"D+",IF(T595&lt;'PlayerGrades+'!$AI$12,"C-",IF(T595&lt;'PlayerGrades+'!$AI$11,"C",IF(T595&lt;'PlayerGrades+'!$AI$10,"C+",IF(T595&lt;'PlayerGrades+'!$AI$9,"B-",IF(T595&lt;'PlayerGrades+'!$AI$8,"B",IF(T595&lt;'PlayerGrades+'!$AI$7,"B+",IF(T595&lt;'PlayerGrades+'!$AI$6,"A-",IF(T595&lt;'PlayerGrades+'!$AI$5,"A",IF(T595&lt;'PlayerGrades+'!$AI$4,"A+",IF(T595&lt;'PlayerGrades+'!$AI$3,"S-",IF(T595&lt;'PlayerGrades+'!$AI$2,"S","S+"))))))))))))))))))))</f>
        <v>S+</v>
      </c>
      <c r="V595" s="941">
        <v>1.0</v>
      </c>
      <c r="W595" s="941">
        <v>1.0</v>
      </c>
      <c r="X595" s="941">
        <v>0.0</v>
      </c>
      <c r="Y595" s="941">
        <v>1.0</v>
      </c>
      <c r="Z595" s="941">
        <v>0.0</v>
      </c>
      <c r="AA595" s="941">
        <v>75.0</v>
      </c>
      <c r="AB595" s="941">
        <v>70.0</v>
      </c>
      <c r="AC595" s="941">
        <v>5.0</v>
      </c>
      <c r="AD595" s="941">
        <v>3.0</v>
      </c>
      <c r="AE595" s="941">
        <v>5.0</v>
      </c>
      <c r="AF595" s="941">
        <v>2.0</v>
      </c>
      <c r="AG595" s="941">
        <v>1108.0</v>
      </c>
      <c r="AH595" s="941">
        <v>1438.0</v>
      </c>
      <c r="AI595" s="941">
        <v>15.0</v>
      </c>
      <c r="AJ595" s="941">
        <v>16.0</v>
      </c>
      <c r="AK595" s="941">
        <v>0.0</v>
      </c>
      <c r="AL595" s="941">
        <v>1.0</v>
      </c>
      <c r="AM595" s="941">
        <v>0.0</v>
      </c>
      <c r="AN595" s="941">
        <v>0.0</v>
      </c>
      <c r="AO595" s="941">
        <v>0.0</v>
      </c>
      <c r="AP595" s="941">
        <v>1.0</v>
      </c>
      <c r="AQ595" s="941">
        <v>0.0</v>
      </c>
      <c r="AR595" s="941">
        <v>11.0</v>
      </c>
      <c r="AS595" s="941">
        <v>1.0</v>
      </c>
      <c r="AT595" s="941">
        <v>0.0</v>
      </c>
      <c r="AU595" s="941">
        <v>0.0</v>
      </c>
      <c r="AV595" s="941">
        <v>0.0</v>
      </c>
      <c r="AW595" s="941">
        <v>0.0</v>
      </c>
      <c r="AX595" s="941">
        <v>0.0</v>
      </c>
      <c r="AY595" s="941">
        <v>0.0</v>
      </c>
      <c r="AZ595" s="941">
        <v>0.0</v>
      </c>
      <c r="BA595" s="941">
        <v>0.0</v>
      </c>
      <c r="BB595" s="941">
        <v>3.0</v>
      </c>
      <c r="BC595" s="941">
        <v>0.0</v>
      </c>
      <c r="BD595" s="941">
        <v>3.0</v>
      </c>
      <c r="BE595" s="941">
        <v>9.0</v>
      </c>
      <c r="BF595" s="941">
        <v>2.0</v>
      </c>
      <c r="BG595" s="941">
        <v>0.0</v>
      </c>
    </row>
    <row r="596">
      <c r="A596" s="1" t="s">
        <v>154</v>
      </c>
      <c r="B596" s="421" t="str">
        <f>IF(C596&lt;'PlayerGrades+'!$Y$44,"F-",IF(C596&lt;'PlayerGrades+'!$Y$43,"F",IF(C596&lt;'PlayerGrades+'!$Y$42,"F+",IF(C596&lt;'PlayerGrades+'!$Y$41,"E-",IF(C596&lt;'PlayerGrades+'!$Y$40,"E",IF(C596&lt;'PlayerGrades+'!$Y$39,"E+",IF(C596&lt;'PlayerGrades+'!$Y$38,"D-",IF(C596&lt;'PlayerGrades+'!$Y$37,"D",IF(C596&lt;'PlayerGrades+'!$Y$36,"D+",IF(C596&lt;'PlayerGrades+'!$Y$35,"C-",IF(C596&lt;'PlayerGrades+'!$Y$34,"C",IF(C596&lt;'PlayerGrades+'!$Y$33,"C+",IF(C596&lt;'PlayerGrades+'!$Y$32,"B-",IF(C596&lt;'PlayerGrades+'!$Y$31,"B",IF(C596&lt;'PlayerGrades+'!$Y$30,"B+",IF(C596&lt;'PlayerGrades+'!$Y$29,"A-",IF(C596&lt;'PlayerGrades+'!$Y$28,"A",IF(C596&lt;'PlayerGrades+'!$Y$27,"A+",IF(C596&lt;'PlayerGrades+'!$Y$26,"S-",IF(C596&lt;'PlayerGrades+'!$Y$25,"S","S+"))))))))))))))))))))</f>
        <v>D-</v>
      </c>
      <c r="C596" s="972">
        <f>('PlayerGrades+'!$Y$47*(VLOOKUP(E596, 'PlayerGrades+'!$X$3:$Y$23, 2, FALSE)))+('PlayerGrades+'!$Y$48*(VLOOKUP(G596, 'PlayerGrades+'!$X$3:$Y$23, 2, FALSE)))+('PlayerGrades+'!$Y$49*(VLOOKUP(I596, 'PlayerGrades+'!$X$3:$Y$23, 2, FALSE)))+('PlayerGrades+'!$Y$50*(VLOOKUP(K596, 'PlayerGrades+'!$X$3:$Y$23, 2, FALSE)))+('PlayerGrades+'!$Y$51*(VLOOKUP(M596, 'PlayerGrades+'!$X$3:$Y$23, 2, FALSE)))+('PlayerGrades+'!$Y$52*(VLOOKUP(O596, 'PlayerGrades+'!$X$3:$Y$23, 2, FALSE)))+('PlayerGrades+'!$Y$53*(VLOOKUP(Q596, 'PlayerGrades+'!$X$3:$Y$23, 2, FALSE)))+('PlayerGrades+'!$Y$54*(VLOOKUP(S596, 'PlayerGrades+'!$X$3:$Y$23, 2, FALSE)))+('PlayerGrades+'!$Y$55*(VLOOKUP(U596, 'PlayerGrades+'!$X$3:$Y$23, 2, FALSE)))</f>
        <v>13.95</v>
      </c>
      <c r="D596" s="973">
        <f t="shared" si="1"/>
        <v>0.2920723227</v>
      </c>
      <c r="E596" s="973" t="str">
        <f>IF(D596&lt;'PlayerGrades+'!$AA$21,"F-",IF(D596&lt;'PlayerGrades+'!$AA$20,"F",IF(D596&lt;'PlayerGrades+'!$AA$19,"F+",IF(D596&lt;'PlayerGrades+'!$AA$18,"E-",IF(D596&lt;'PlayerGrades+'!$AA$17,"E",IF(D596&lt;'PlayerGrades+'!$AA$16,"E+",IF(D596&lt;'PlayerGrades+'!$AA$15,"D-",IF(D596&lt;'PlayerGrades+'!$AA$14,"D",IF(D596&lt;'PlayerGrades+'!$AA$13,"D+",IF(D596&lt;'PlayerGrades+'!$AA$12,"C-",IF(D596&lt;'PlayerGrades+'!$AA$11,"C",IF(D596&lt;'PlayerGrades+'!$AA$10,"C+",IF(D596&lt;'PlayerGrades+'!$AA$9,"B-",IF(D596&lt;'PlayerGrades+'!$AA$8,"B",IF(D596&lt;'PlayerGrades+'!$AA$7,"B+",IF(D596&lt;'PlayerGrades+'!$AA$6,"A-",IF(D596&lt;'PlayerGrades+'!$AA$5,"A",IF(D596&lt;'PlayerGrades+'!$AA$4,"A+",IF(D596&lt;'PlayerGrades+'!$AA$3,"S-",IF(D596&lt;'PlayerGrades+'!$AA$2,"S","S+"))))))))))))))))))))</f>
        <v>A</v>
      </c>
      <c r="F596" s="973">
        <f t="shared" si="2"/>
        <v>-0.5424200278</v>
      </c>
      <c r="G596" s="973" t="str">
        <f>IF(F596&lt;'PlayerGrades+'!$AB$21,"F-",IF(F596&lt;'PlayerGrades+'!$AB$20,"F",IF(F596&lt;'PlayerGrades+'!$AB$19,"F+",IF(F596&lt;'PlayerGrades+'!$AB$18,"E-",IF(F596&lt;'PlayerGrades+'!$AB$17,"E",IF(F596&lt;'PlayerGrades+'!$AB$16,"E+",IF(F596&lt;'PlayerGrades+'!$AB$15,"D-",IF(F596&lt;'PlayerGrades+'!$AB$14,"D",IF(F596&lt;'PlayerGrades+'!$AB$13,"D+",IF(F596&lt;'PlayerGrades+'!$AB$12,"C-",IF(F596&lt;'PlayerGrades+'!$AB$11,"C",IF(F596&lt;'PlayerGrades+'!$AB$10,"C+",IF(F596&lt;'PlayerGrades+'!$AB$9,"B-",IF(F596&lt;'PlayerGrades+'!$AB$8,"B",IF(F596&lt;'PlayerGrades+'!$AB$7,"B+",IF(F596&lt;'PlayerGrades+'!$AB$6,"A-",IF(F596&lt;'PlayerGrades+'!$AB$5,"A",IF(F596&lt;'PlayerGrades+'!$AB$4,"A+",IF(F596&lt;'PlayerGrades+'!$AB$3,"S-",IF(F596&lt;'PlayerGrades+'!$AB$2,"S","S+"))))))))))))))))))))</f>
        <v>D</v>
      </c>
      <c r="H596" s="973">
        <f t="shared" si="3"/>
        <v>0.1668984701</v>
      </c>
      <c r="I596" s="973" t="str">
        <f>IF(H596&lt;'PlayerGrades+'!$AC$21,"F-",IF(H596&lt;'PlayerGrades+'!$AC$20,"F",IF(H596&lt;'PlayerGrades+'!$AC$19,"F+",IF(H596&lt;'PlayerGrades+'!$AC$18,"E-",IF(H596&lt;'PlayerGrades+'!$AC$17,"E",IF(H596&lt;'PlayerGrades+'!$AC$16,"E+",IF(H596&lt;'PlayerGrades+'!$AC$15,"D-",IF(H596&lt;'PlayerGrades+'!$AC$14,"D",IF(H596&lt;'PlayerGrades+'!$AC$13,"D+",IF(H596&lt;'PlayerGrades+'!$AC$12,"C-",IF(H596&lt;'PlayerGrades+'!$AC$11,"C",IF(H596&lt;'PlayerGrades+'!$AC$10,"C+",IF(H596&lt;'PlayerGrades+'!$AC$9,"B-",IF(H596&lt;'PlayerGrades+'!$AC$8,"B",IF(H596&lt;'PlayerGrades+'!$AC$7,"B+",IF(H596&lt;'PlayerGrades+'!$AC$6,"A-",IF(H596&lt;'PlayerGrades+'!$AC$5,"A",IF(H596&lt;'PlayerGrades+'!$AC$4,"A+",IF(H596&lt;'PlayerGrades+'!$AC$3,"S-",IF(H596&lt;'PlayerGrades+'!$AC$2,"S","S+"))))))))))))))))))))</f>
        <v>A+</v>
      </c>
      <c r="J596" s="973">
        <f t="shared" si="4"/>
        <v>0.04172461752</v>
      </c>
      <c r="K596" s="973" t="str">
        <f>IF(J596&lt;'PlayerGrades+'!$AD$21,"F-",IF(J596&lt;'PlayerGrades+'!$AD$20,"F",IF(J596&lt;'PlayerGrades+'!$AD$19,"F+",IF(J596&lt;'PlayerGrades+'!$AD$18,"E-",IF(J596&lt;'PlayerGrades+'!$AD$17,"E",IF(J596&lt;'PlayerGrades+'!$AD$16,"E+",IF(J596&lt;'PlayerGrades+'!$AD$15,"D-",IF(J596&lt;'PlayerGrades+'!$AD$14,"D",IF(J596&lt;'PlayerGrades+'!$AD$13,"D+",IF(J596&lt;'PlayerGrades+'!$AD$12,"C-",IF(J596&lt;'PlayerGrades+'!$AD$11,"C",IF(J596&lt;'PlayerGrades+'!$AD$10,"C+",IF(J596&lt;'PlayerGrades+'!$AD$9,"B-",IF(J596&lt;'PlayerGrades+'!$AD$8,"B",IF(J596&lt;'PlayerGrades+'!$AD$7,"B+",IF(J596&lt;'PlayerGrades+'!$AD$6,"A-",IF(J596&lt;'PlayerGrades+'!$AD$5,"A",IF(J596&lt;'PlayerGrades+'!$AD$4,"A+",IF(J596&lt;'PlayerGrades+'!$AD$3,"S-",IF(J596&lt;'PlayerGrades+'!$AD$2,"S","S+"))))))))))))))))))))</f>
        <v>C+</v>
      </c>
      <c r="L596" s="974">
        <f t="shared" si="5"/>
        <v>0.1668984701</v>
      </c>
      <c r="M596" s="975" t="str">
        <f>IF(L596&lt;'PlayerGrades+'!$AE$21,"F-",IF(L596&lt;'PlayerGrades+'!$AE$20,"F",IF(L596&lt;'PlayerGrades+'!$AE$19,"F+",IF(L596&lt;'PlayerGrades+'!$AE$18,"E-",IF(L596&lt;'PlayerGrades+'!$AE$17,"E",IF(L596&lt;'PlayerGrades+'!$AE$16,"E+",IF(L596&lt;'PlayerGrades+'!$AE$15,"D-",IF(L596&lt;'PlayerGrades+'!$AE$14,"D",IF(L596&lt;'PlayerGrades+'!$AE$13,"D+",IF(L596&lt;'PlayerGrades+'!$AE$12,"C-",IF(L596&lt;'PlayerGrades+'!$AE$11,"C",IF(L596&lt;'PlayerGrades+'!$AE$10,"C+",IF(L596&lt;'PlayerGrades+'!$AE$9,"B-",IF(L596&lt;'PlayerGrades+'!$AE$8,"B",IF(L596&lt;'PlayerGrades+'!$AE$7,"B+",IF(L596&lt;'PlayerGrades+'!$AE$6,"A-",IF(L596&lt;'PlayerGrades+'!$AE$5,"A",IF(L596&lt;'PlayerGrades+'!$AE$4,"A+",IF(L596&lt;'PlayerGrades+'!$AE$3,"S-",IF(L596&lt;'PlayerGrades+'!$AE$2,"S","S+"))))))))))))))))))))</f>
        <v>F-</v>
      </c>
      <c r="N596" s="973">
        <f t="shared" si="6"/>
        <v>0</v>
      </c>
      <c r="O596" s="973" t="str">
        <f>IF(N596&lt;'PlayerGrades+'!$AF$21,"F-",IF(N596&lt;'PlayerGrades+'!$AF$20,"F",IF(N596&lt;'PlayerGrades+'!$AF$19,"F+",IF(N596&lt;'PlayerGrades+'!$AF$18,"E-",IF(N596&lt;'PlayerGrades+'!$AF$17,"E",IF(N596&lt;'PlayerGrades+'!$AF$16,"E+",IF(N596&lt;'PlayerGrades+'!$AF$15,"D-",IF(N596&lt;'PlayerGrades+'!$AF$14,"D",IF(N596&lt;'PlayerGrades+'!$AF$13,"D+",IF(N596&lt;'PlayerGrades+'!$AF$12,"C-",IF(N596&lt;'PlayerGrades+'!$AF$11,"C",IF(N596&lt;'PlayerGrades+'!$AF$10,"C+",IF(N596&lt;'PlayerGrades+'!$AF$9,"B-",IF(N596&lt;'PlayerGrades+'!$AF$8,"B",IF(N596&lt;'PlayerGrades+'!$AF$7,"B+",IF(N596&lt;'PlayerGrades+'!$AF$6,"A-",IF(N596&lt;'PlayerGrades+'!$AF$5,"A",IF(N596&lt;'PlayerGrades+'!$AF$4,"A+",IF(N596&lt;'PlayerGrades+'!$AF$3,"S-",IF(N596&lt;'PlayerGrades+'!$AF$2,"S","S+"))))))))))))))))))))</f>
        <v>F-</v>
      </c>
      <c r="P596" s="973">
        <f t="shared" si="7"/>
        <v>0</v>
      </c>
      <c r="Q596" s="973" t="str">
        <f>IF(P596&lt;'PlayerGrades+'!$AG$21,"F-",IF(P596&lt;'PlayerGrades+'!$AG$20,"F",IF(P596&lt;'PlayerGrades+'!$AG$19,"F+",IF(P596&lt;'PlayerGrades+'!$AG$18,"E-",IF(P596&lt;'PlayerGrades+'!$AG$17,"E",IF(P596&lt;'PlayerGrades+'!$AG$16,"E+",IF(P596&lt;'PlayerGrades+'!$AG$15,"D-",IF(P596&lt;'PlayerGrades+'!$AG$14,"D",IF(P596&lt;'PlayerGrades+'!$AG$13,"D+",IF(P596&lt;'PlayerGrades+'!$AG$12,"C-",IF(P596&lt;'PlayerGrades+'!$AG$11,"C",IF(P596&lt;'PlayerGrades+'!$AG$10,"C+",IF(P596&lt;'PlayerGrades+'!$AG$9,"B-",IF(P596&lt;'PlayerGrades+'!$AG$8,"B",IF(P596&lt;'PlayerGrades+'!$AG$7,"B+",IF(P596&lt;'PlayerGrades+'!$AG$6,"A-",IF(P596&lt;'PlayerGrades+'!$AG$5,"A",IF(P596&lt;'PlayerGrades+'!$AG$4,"A+",IF(P596&lt;'PlayerGrades+'!$AG$3,"S-",IF(P596&lt;'PlayerGrades+'!$AG$2,"S","S+"))))))))))))))))))))</f>
        <v>F</v>
      </c>
      <c r="R596" s="973">
        <f t="shared" si="8"/>
        <v>0.08344923505</v>
      </c>
      <c r="S596" s="973" t="str">
        <f>IF(R596&lt;'PlayerGrades+'!$AH$21,"F-",IF(R596&lt;'PlayerGrades+'!$AH$20,"F",IF(R596&lt;'PlayerGrades+'!$AH$19,"F+",IF(R596&lt;'PlayerGrades+'!$AH$18,"E-",IF(R596&lt;'PlayerGrades+'!$AH$17,"E",IF(R596&lt;'PlayerGrades+'!$AH$16,"E+",IF(R596&lt;'PlayerGrades+'!$AH$15,"D-",IF(R596&lt;'PlayerGrades+'!$AH$14,"D",IF(R596&lt;'PlayerGrades+'!$AH$13,"D+",IF(R596&lt;'PlayerGrades+'!$AH$12,"C-",IF(R596&lt;'PlayerGrades+'!$AH$11,"C",IF(R596&lt;'PlayerGrades+'!$AH$10,"C+",IF(R596&lt;'PlayerGrades+'!$AH$9,"B-",IF(R596&lt;'PlayerGrades+'!$AH$8,"B",IF(R596&lt;'PlayerGrades+'!$AH$7,"B+",IF(R596&lt;'PlayerGrades+'!$AH$6,"A-",IF(R596&lt;'PlayerGrades+'!$AH$5,"A",IF(R596&lt;'PlayerGrades+'!$AH$4,"A+",IF(R596&lt;'PlayerGrades+'!$AH$3,"S-",IF(R596&lt;'PlayerGrades+'!$AH$2,"S","S+"))))))))))))))))))))</f>
        <v>F-</v>
      </c>
      <c r="T596" s="973">
        <f t="shared" si="9"/>
        <v>1.250347705</v>
      </c>
      <c r="U596" s="973" t="str">
        <f>IF(T596&lt;'PlayerGrades+'!$AI$21,"F-",IF(T596&lt;'PlayerGrades+'!$AI$20,"F",IF(T596&lt;'PlayerGrades+'!$AI$19,"F+",IF(T596&lt;'PlayerGrades+'!$AI$18,"E-",IF(T596&lt;'PlayerGrades+'!$AI$17,"E",IF(T596&lt;'PlayerGrades+'!$AI$16,"E+",IF(T596&lt;'PlayerGrades+'!$AI$15,"D-",IF(T596&lt;'PlayerGrades+'!$AI$14,"D",IF(T596&lt;'PlayerGrades+'!$AI$13,"D+",IF(T596&lt;'PlayerGrades+'!$AI$12,"C-",IF(T596&lt;'PlayerGrades+'!$AI$11,"C",IF(T596&lt;'PlayerGrades+'!$AI$10,"C+",IF(T596&lt;'PlayerGrades+'!$AI$9,"B-",IF(T596&lt;'PlayerGrades+'!$AI$8,"B",IF(T596&lt;'PlayerGrades+'!$AI$7,"B+",IF(T596&lt;'PlayerGrades+'!$AI$6,"A-",IF(T596&lt;'PlayerGrades+'!$AI$5,"A",IF(T596&lt;'PlayerGrades+'!$AI$4,"A+",IF(T596&lt;'PlayerGrades+'!$AI$3,"S-",IF(T596&lt;'PlayerGrades+'!$AI$2,"S","S+"))))))))))))))))))))</f>
        <v>C</v>
      </c>
      <c r="V596" s="941">
        <v>1.0</v>
      </c>
      <c r="W596" s="941">
        <v>1.0</v>
      </c>
      <c r="X596" s="941">
        <v>0.0</v>
      </c>
      <c r="Y596" s="941">
        <v>1.0</v>
      </c>
      <c r="Z596" s="941">
        <v>6.0</v>
      </c>
      <c r="AA596" s="941">
        <v>40.0</v>
      </c>
      <c r="AB596" s="941">
        <v>53.0</v>
      </c>
      <c r="AC596" s="941">
        <v>-13.0</v>
      </c>
      <c r="AD596" s="941">
        <v>1.0</v>
      </c>
      <c r="AE596" s="941">
        <v>5.0</v>
      </c>
      <c r="AF596" s="941">
        <v>0.0</v>
      </c>
      <c r="AG596" s="941">
        <v>1157.0</v>
      </c>
      <c r="AH596" s="941">
        <v>1438.0</v>
      </c>
      <c r="AI596" s="941">
        <v>21.0</v>
      </c>
      <c r="AJ596" s="941">
        <v>386.0</v>
      </c>
      <c r="AK596" s="941">
        <v>0.0</v>
      </c>
      <c r="AL596" s="941">
        <v>1.0</v>
      </c>
      <c r="AM596" s="941">
        <v>0.0</v>
      </c>
      <c r="AN596" s="941">
        <v>0.0</v>
      </c>
      <c r="AO596" s="941">
        <v>0.0</v>
      </c>
      <c r="AP596" s="941">
        <v>0.0</v>
      </c>
      <c r="AQ596" s="941">
        <v>0.0</v>
      </c>
      <c r="AR596" s="941">
        <v>4.0</v>
      </c>
      <c r="AS596" s="941">
        <v>0.0</v>
      </c>
      <c r="AT596" s="941">
        <v>0.0</v>
      </c>
      <c r="AU596" s="941">
        <v>0.0</v>
      </c>
      <c r="AV596" s="941">
        <v>0.0</v>
      </c>
      <c r="AW596" s="941">
        <v>0.0</v>
      </c>
      <c r="AX596" s="941">
        <v>0.0</v>
      </c>
      <c r="AY596" s="941">
        <v>0.0</v>
      </c>
      <c r="AZ596" s="941">
        <v>0.0</v>
      </c>
      <c r="BA596" s="941">
        <v>0.0</v>
      </c>
      <c r="BB596" s="941">
        <v>4.0</v>
      </c>
      <c r="BC596" s="941">
        <v>0.0</v>
      </c>
      <c r="BD596" s="941">
        <v>1.0</v>
      </c>
      <c r="BE596" s="941">
        <v>6.0</v>
      </c>
      <c r="BF596" s="941">
        <v>1.0</v>
      </c>
      <c r="BG596" s="941">
        <v>0.0</v>
      </c>
    </row>
    <row r="597">
      <c r="A597" s="1" t="s">
        <v>514</v>
      </c>
      <c r="B597" s="421" t="str">
        <f>IF(C597&lt;'PlayerGrades+'!$Y$44,"F-",IF(C597&lt;'PlayerGrades+'!$Y$43,"F",IF(C597&lt;'PlayerGrades+'!$Y$42,"F+",IF(C597&lt;'PlayerGrades+'!$Y$41,"E-",IF(C597&lt;'PlayerGrades+'!$Y$40,"E",IF(C597&lt;'PlayerGrades+'!$Y$39,"E+",IF(C597&lt;'PlayerGrades+'!$Y$38,"D-",IF(C597&lt;'PlayerGrades+'!$Y$37,"D",IF(C597&lt;'PlayerGrades+'!$Y$36,"D+",IF(C597&lt;'PlayerGrades+'!$Y$35,"C-",IF(C597&lt;'PlayerGrades+'!$Y$34,"C",IF(C597&lt;'PlayerGrades+'!$Y$33,"C+",IF(C597&lt;'PlayerGrades+'!$Y$32,"B-",IF(C597&lt;'PlayerGrades+'!$Y$31,"B",IF(C597&lt;'PlayerGrades+'!$Y$30,"B+",IF(C597&lt;'PlayerGrades+'!$Y$29,"A-",IF(C597&lt;'PlayerGrades+'!$Y$28,"A",IF(C597&lt;'PlayerGrades+'!$Y$27,"A+",IF(C597&lt;'PlayerGrades+'!$Y$26,"S-",IF(C597&lt;'PlayerGrades+'!$Y$25,"S","S+"))))))))))))))))))))</f>
        <v>D</v>
      </c>
      <c r="C597" s="972">
        <f>('PlayerGrades+'!$Y$47*(VLOOKUP(E597, 'PlayerGrades+'!$X$3:$Y$23, 2, FALSE)))+('PlayerGrades+'!$Y$48*(VLOOKUP(G597, 'PlayerGrades+'!$X$3:$Y$23, 2, FALSE)))+('PlayerGrades+'!$Y$49*(VLOOKUP(I597, 'PlayerGrades+'!$X$3:$Y$23, 2, FALSE)))+('PlayerGrades+'!$Y$50*(VLOOKUP(K597, 'PlayerGrades+'!$X$3:$Y$23, 2, FALSE)))+('PlayerGrades+'!$Y$51*(VLOOKUP(M597, 'PlayerGrades+'!$X$3:$Y$23, 2, FALSE)))+('PlayerGrades+'!$Y$52*(VLOOKUP(O597, 'PlayerGrades+'!$X$3:$Y$23, 2, FALSE)))+('PlayerGrades+'!$Y$53*(VLOOKUP(Q597, 'PlayerGrades+'!$X$3:$Y$23, 2, FALSE)))+('PlayerGrades+'!$Y$54*(VLOOKUP(S597, 'PlayerGrades+'!$X$3:$Y$23, 2, FALSE)))+('PlayerGrades+'!$Y$55*(VLOOKUP(U597, 'PlayerGrades+'!$X$3:$Y$23, 2, FALSE)))</f>
        <v>16.45</v>
      </c>
      <c r="D597" s="973">
        <f t="shared" si="1"/>
        <v>0</v>
      </c>
      <c r="E597" s="973" t="str">
        <f>IF(D597&lt;'PlayerGrades+'!$AA$21,"F-",IF(D597&lt;'PlayerGrades+'!$AA$20,"F",IF(D597&lt;'PlayerGrades+'!$AA$19,"F+",IF(D597&lt;'PlayerGrades+'!$AA$18,"E-",IF(D597&lt;'PlayerGrades+'!$AA$17,"E",IF(D597&lt;'PlayerGrades+'!$AA$16,"E+",IF(D597&lt;'PlayerGrades+'!$AA$15,"D-",IF(D597&lt;'PlayerGrades+'!$AA$14,"D",IF(D597&lt;'PlayerGrades+'!$AA$13,"D+",IF(D597&lt;'PlayerGrades+'!$AA$12,"C-",IF(D597&lt;'PlayerGrades+'!$AA$11,"C",IF(D597&lt;'PlayerGrades+'!$AA$10,"C+",IF(D597&lt;'PlayerGrades+'!$AA$9,"B-",IF(D597&lt;'PlayerGrades+'!$AA$8,"B",IF(D597&lt;'PlayerGrades+'!$AA$7,"B+",IF(D597&lt;'PlayerGrades+'!$AA$6,"A-",IF(D597&lt;'PlayerGrades+'!$AA$5,"A",IF(D597&lt;'PlayerGrades+'!$AA$4,"A+",IF(D597&lt;'PlayerGrades+'!$AA$3,"S-",IF(D597&lt;'PlayerGrades+'!$AA$2,"S","S+"))))))))))))))))))))</f>
        <v>F-</v>
      </c>
      <c r="F597" s="973">
        <f t="shared" si="2"/>
        <v>-0.5424200278</v>
      </c>
      <c r="G597" s="973" t="str">
        <f>IF(F597&lt;'PlayerGrades+'!$AB$21,"F-",IF(F597&lt;'PlayerGrades+'!$AB$20,"F",IF(F597&lt;'PlayerGrades+'!$AB$19,"F+",IF(F597&lt;'PlayerGrades+'!$AB$18,"E-",IF(F597&lt;'PlayerGrades+'!$AB$17,"E",IF(F597&lt;'PlayerGrades+'!$AB$16,"E+",IF(F597&lt;'PlayerGrades+'!$AB$15,"D-",IF(F597&lt;'PlayerGrades+'!$AB$14,"D",IF(F597&lt;'PlayerGrades+'!$AB$13,"D+",IF(F597&lt;'PlayerGrades+'!$AB$12,"C-",IF(F597&lt;'PlayerGrades+'!$AB$11,"C",IF(F597&lt;'PlayerGrades+'!$AB$10,"C+",IF(F597&lt;'PlayerGrades+'!$AB$9,"B-",IF(F597&lt;'PlayerGrades+'!$AB$8,"B",IF(F597&lt;'PlayerGrades+'!$AB$7,"B+",IF(F597&lt;'PlayerGrades+'!$AB$6,"A-",IF(F597&lt;'PlayerGrades+'!$AB$5,"A",IF(F597&lt;'PlayerGrades+'!$AB$4,"A+",IF(F597&lt;'PlayerGrades+'!$AB$3,"S-",IF(F597&lt;'PlayerGrades+'!$AB$2,"S","S+"))))))))))))))))))))</f>
        <v>D</v>
      </c>
      <c r="H597" s="973">
        <f t="shared" si="3"/>
        <v>0</v>
      </c>
      <c r="I597" s="973" t="str">
        <f>IF(H597&lt;'PlayerGrades+'!$AC$21,"F-",IF(H597&lt;'PlayerGrades+'!$AC$20,"F",IF(H597&lt;'PlayerGrades+'!$AC$19,"F+",IF(H597&lt;'PlayerGrades+'!$AC$18,"E-",IF(H597&lt;'PlayerGrades+'!$AC$17,"E",IF(H597&lt;'PlayerGrades+'!$AC$16,"E+",IF(H597&lt;'PlayerGrades+'!$AC$15,"D-",IF(H597&lt;'PlayerGrades+'!$AC$14,"D",IF(H597&lt;'PlayerGrades+'!$AC$13,"D+",IF(H597&lt;'PlayerGrades+'!$AC$12,"C-",IF(H597&lt;'PlayerGrades+'!$AC$11,"C",IF(H597&lt;'PlayerGrades+'!$AC$10,"C+",IF(H597&lt;'PlayerGrades+'!$AC$9,"B-",IF(H597&lt;'PlayerGrades+'!$AC$8,"B",IF(H597&lt;'PlayerGrades+'!$AC$7,"B+",IF(H597&lt;'PlayerGrades+'!$AC$6,"A-",IF(H597&lt;'PlayerGrades+'!$AC$5,"A",IF(H597&lt;'PlayerGrades+'!$AC$4,"A+",IF(H597&lt;'PlayerGrades+'!$AC$3,"S-",IF(H597&lt;'PlayerGrades+'!$AC$2,"S","S+"))))))))))))))))))))</f>
        <v>F-</v>
      </c>
      <c r="J597" s="973">
        <f t="shared" si="4"/>
        <v>0.04172461752</v>
      </c>
      <c r="K597" s="973" t="str">
        <f>IF(J597&lt;'PlayerGrades+'!$AD$21,"F-",IF(J597&lt;'PlayerGrades+'!$AD$20,"F",IF(J597&lt;'PlayerGrades+'!$AD$19,"F+",IF(J597&lt;'PlayerGrades+'!$AD$18,"E-",IF(J597&lt;'PlayerGrades+'!$AD$17,"E",IF(J597&lt;'PlayerGrades+'!$AD$16,"E+",IF(J597&lt;'PlayerGrades+'!$AD$15,"D-",IF(J597&lt;'PlayerGrades+'!$AD$14,"D",IF(J597&lt;'PlayerGrades+'!$AD$13,"D+",IF(J597&lt;'PlayerGrades+'!$AD$12,"C-",IF(J597&lt;'PlayerGrades+'!$AD$11,"C",IF(J597&lt;'PlayerGrades+'!$AD$10,"C+",IF(J597&lt;'PlayerGrades+'!$AD$9,"B-",IF(J597&lt;'PlayerGrades+'!$AD$8,"B",IF(J597&lt;'PlayerGrades+'!$AD$7,"B+",IF(J597&lt;'PlayerGrades+'!$AD$6,"A-",IF(J597&lt;'PlayerGrades+'!$AD$5,"A",IF(J597&lt;'PlayerGrades+'!$AD$4,"A+",IF(J597&lt;'PlayerGrades+'!$AD$3,"S-",IF(J597&lt;'PlayerGrades+'!$AD$2,"S","S+"))))))))))))))))))))</f>
        <v>C+</v>
      </c>
      <c r="L597" s="974">
        <f t="shared" si="5"/>
        <v>0.4172461752</v>
      </c>
      <c r="M597" s="975" t="str">
        <f>IF(L597&lt;'PlayerGrades+'!$AE$21,"F-",IF(L597&lt;'PlayerGrades+'!$AE$20,"F",IF(L597&lt;'PlayerGrades+'!$AE$19,"F+",IF(L597&lt;'PlayerGrades+'!$AE$18,"E-",IF(L597&lt;'PlayerGrades+'!$AE$17,"E",IF(L597&lt;'PlayerGrades+'!$AE$16,"E+",IF(L597&lt;'PlayerGrades+'!$AE$15,"D-",IF(L597&lt;'PlayerGrades+'!$AE$14,"D",IF(L597&lt;'PlayerGrades+'!$AE$13,"D+",IF(L597&lt;'PlayerGrades+'!$AE$12,"C-",IF(L597&lt;'PlayerGrades+'!$AE$11,"C",IF(L597&lt;'PlayerGrades+'!$AE$10,"C+",IF(L597&lt;'PlayerGrades+'!$AE$9,"B-",IF(L597&lt;'PlayerGrades+'!$AE$8,"B",IF(L597&lt;'PlayerGrades+'!$AE$7,"B+",IF(L597&lt;'PlayerGrades+'!$AE$6,"A-",IF(L597&lt;'PlayerGrades+'!$AE$5,"A",IF(L597&lt;'PlayerGrades+'!$AE$4,"A+",IF(L597&lt;'PlayerGrades+'!$AE$3,"S-",IF(L597&lt;'PlayerGrades+'!$AE$2,"S","S+"))))))))))))))))))))</f>
        <v>C+</v>
      </c>
      <c r="N597" s="973">
        <f t="shared" si="6"/>
        <v>0.08344923505</v>
      </c>
      <c r="O597" s="973" t="str">
        <f>IF(N597&lt;'PlayerGrades+'!$AF$21,"F-",IF(N597&lt;'PlayerGrades+'!$AF$20,"F",IF(N597&lt;'PlayerGrades+'!$AF$19,"F+",IF(N597&lt;'PlayerGrades+'!$AF$18,"E-",IF(N597&lt;'PlayerGrades+'!$AF$17,"E",IF(N597&lt;'PlayerGrades+'!$AF$16,"E+",IF(N597&lt;'PlayerGrades+'!$AF$15,"D-",IF(N597&lt;'PlayerGrades+'!$AF$14,"D",IF(N597&lt;'PlayerGrades+'!$AF$13,"D+",IF(N597&lt;'PlayerGrades+'!$AF$12,"C-",IF(N597&lt;'PlayerGrades+'!$AF$11,"C",IF(N597&lt;'PlayerGrades+'!$AF$10,"C+",IF(N597&lt;'PlayerGrades+'!$AF$9,"B-",IF(N597&lt;'PlayerGrades+'!$AF$8,"B",IF(N597&lt;'PlayerGrades+'!$AF$7,"B+",IF(N597&lt;'PlayerGrades+'!$AF$6,"A-",IF(N597&lt;'PlayerGrades+'!$AF$5,"A",IF(N597&lt;'PlayerGrades+'!$AF$4,"A+",IF(N597&lt;'PlayerGrades+'!$AF$3,"S-",IF(N597&lt;'PlayerGrades+'!$AF$2,"S","S+"))))))))))))))))))))</f>
        <v>B</v>
      </c>
      <c r="P597" s="973">
        <f t="shared" si="7"/>
        <v>0.04172461752</v>
      </c>
      <c r="Q597" s="973" t="str">
        <f>IF(P597&lt;'PlayerGrades+'!$AG$21,"F-",IF(P597&lt;'PlayerGrades+'!$AG$20,"F",IF(P597&lt;'PlayerGrades+'!$AG$19,"F+",IF(P597&lt;'PlayerGrades+'!$AG$18,"E-",IF(P597&lt;'PlayerGrades+'!$AG$17,"E",IF(P597&lt;'PlayerGrades+'!$AG$16,"E+",IF(P597&lt;'PlayerGrades+'!$AG$15,"D-",IF(P597&lt;'PlayerGrades+'!$AG$14,"D",IF(P597&lt;'PlayerGrades+'!$AG$13,"D+",IF(P597&lt;'PlayerGrades+'!$AG$12,"C-",IF(P597&lt;'PlayerGrades+'!$AG$11,"C",IF(P597&lt;'PlayerGrades+'!$AG$10,"C+",IF(P597&lt;'PlayerGrades+'!$AG$9,"B-",IF(P597&lt;'PlayerGrades+'!$AG$8,"B",IF(P597&lt;'PlayerGrades+'!$AG$7,"B+",IF(P597&lt;'PlayerGrades+'!$AG$6,"A-",IF(P597&lt;'PlayerGrades+'!$AG$5,"A",IF(P597&lt;'PlayerGrades+'!$AG$4,"A+",IF(P597&lt;'PlayerGrades+'!$AG$3,"S-",IF(P597&lt;'PlayerGrades+'!$AG$2,"S","S+"))))))))))))))))))))</f>
        <v>A</v>
      </c>
      <c r="R597" s="973">
        <f t="shared" si="8"/>
        <v>0.4172461752</v>
      </c>
      <c r="S597" s="973" t="str">
        <f>IF(R597&lt;'PlayerGrades+'!$AH$21,"F-",IF(R597&lt;'PlayerGrades+'!$AH$20,"F",IF(R597&lt;'PlayerGrades+'!$AH$19,"F+",IF(R597&lt;'PlayerGrades+'!$AH$18,"E-",IF(R597&lt;'PlayerGrades+'!$AH$17,"E",IF(R597&lt;'PlayerGrades+'!$AH$16,"E+",IF(R597&lt;'PlayerGrades+'!$AH$15,"D-",IF(R597&lt;'PlayerGrades+'!$AH$14,"D",IF(R597&lt;'PlayerGrades+'!$AH$13,"D+",IF(R597&lt;'PlayerGrades+'!$AH$12,"C-",IF(R597&lt;'PlayerGrades+'!$AH$11,"C",IF(R597&lt;'PlayerGrades+'!$AH$10,"C+",IF(R597&lt;'PlayerGrades+'!$AH$9,"B-",IF(R597&lt;'PlayerGrades+'!$AH$8,"B",IF(R597&lt;'PlayerGrades+'!$AH$7,"B+",IF(R597&lt;'PlayerGrades+'!$AH$6,"A-",IF(R597&lt;'PlayerGrades+'!$AH$5,"A",IF(R597&lt;'PlayerGrades+'!$AH$4,"A+",IF(R597&lt;'PlayerGrades+'!$AH$3,"S-",IF(R597&lt;'PlayerGrades+'!$AH$2,"S","S+"))))))))))))))))))))</f>
        <v>F+</v>
      </c>
      <c r="T597" s="973">
        <f t="shared" si="9"/>
        <v>2.208623088</v>
      </c>
      <c r="U597" s="973" t="str">
        <f>IF(T597&lt;'PlayerGrades+'!$AI$21,"F-",IF(T597&lt;'PlayerGrades+'!$AI$20,"F",IF(T597&lt;'PlayerGrades+'!$AI$19,"F+",IF(T597&lt;'PlayerGrades+'!$AI$18,"E-",IF(T597&lt;'PlayerGrades+'!$AI$17,"E",IF(T597&lt;'PlayerGrades+'!$AI$16,"E+",IF(T597&lt;'PlayerGrades+'!$AI$15,"D-",IF(T597&lt;'PlayerGrades+'!$AI$14,"D",IF(T597&lt;'PlayerGrades+'!$AI$13,"D+",IF(T597&lt;'PlayerGrades+'!$AI$12,"C-",IF(T597&lt;'PlayerGrades+'!$AI$11,"C",IF(T597&lt;'PlayerGrades+'!$AI$10,"C+",IF(T597&lt;'PlayerGrades+'!$AI$9,"B-",IF(T597&lt;'PlayerGrades+'!$AI$8,"B",IF(T597&lt;'PlayerGrades+'!$AI$7,"B+",IF(T597&lt;'PlayerGrades+'!$AI$6,"A-",IF(T597&lt;'PlayerGrades+'!$AI$5,"A",IF(T597&lt;'PlayerGrades+'!$AI$4,"A+",IF(T597&lt;'PlayerGrades+'!$AI$3,"S-",IF(T597&lt;'PlayerGrades+'!$AI$2,"S","S+"))))))))))))))))))))</f>
        <v>S+</v>
      </c>
      <c r="V597" s="941">
        <v>1.0</v>
      </c>
      <c r="W597" s="941">
        <v>1.0</v>
      </c>
      <c r="X597" s="941">
        <v>0.0</v>
      </c>
      <c r="Y597" s="941">
        <v>0.0</v>
      </c>
      <c r="Z597" s="941">
        <v>0.0</v>
      </c>
      <c r="AA597" s="941">
        <v>83.0</v>
      </c>
      <c r="AB597" s="941">
        <v>96.0</v>
      </c>
      <c r="AC597" s="941">
        <v>-13.0</v>
      </c>
      <c r="AD597" s="941">
        <v>4.0</v>
      </c>
      <c r="AE597" s="941">
        <v>6.0</v>
      </c>
      <c r="AF597" s="941">
        <v>3.0</v>
      </c>
      <c r="AG597" s="941">
        <v>1030.0</v>
      </c>
      <c r="AH597" s="941">
        <v>1438.0</v>
      </c>
      <c r="AI597" s="941">
        <v>10.0</v>
      </c>
      <c r="AJ597" s="941">
        <v>30.0</v>
      </c>
      <c r="AK597" s="941">
        <v>0.0</v>
      </c>
      <c r="AL597" s="941">
        <v>1.0</v>
      </c>
      <c r="AM597" s="941">
        <v>0.0</v>
      </c>
      <c r="AN597" s="941">
        <v>0.0</v>
      </c>
      <c r="AO597" s="941">
        <v>0.0</v>
      </c>
      <c r="AP597" s="941">
        <v>1.0</v>
      </c>
      <c r="AQ597" s="941">
        <v>0.0</v>
      </c>
      <c r="AR597" s="941">
        <v>10.0</v>
      </c>
      <c r="AS597" s="941">
        <v>2.0</v>
      </c>
      <c r="AT597" s="941">
        <v>2.0</v>
      </c>
      <c r="AU597" s="941">
        <v>0.0</v>
      </c>
      <c r="AV597" s="941">
        <v>0.0</v>
      </c>
      <c r="AW597" s="941">
        <v>0.0</v>
      </c>
      <c r="AX597" s="941">
        <v>0.0</v>
      </c>
      <c r="AY597" s="941">
        <v>0.0</v>
      </c>
      <c r="AZ597" s="941">
        <v>0.0</v>
      </c>
      <c r="BA597" s="941">
        <v>0.0</v>
      </c>
      <c r="BB597" s="941">
        <v>0.0</v>
      </c>
      <c r="BC597" s="941">
        <v>0.0</v>
      </c>
      <c r="BD597" s="941">
        <v>6.0</v>
      </c>
      <c r="BE597" s="941">
        <v>5.0</v>
      </c>
      <c r="BF597" s="941">
        <v>2.0</v>
      </c>
      <c r="BG597" s="941">
        <v>0.0</v>
      </c>
    </row>
    <row r="598">
      <c r="A598" s="1" t="s">
        <v>118</v>
      </c>
      <c r="B598" s="421" t="str">
        <f>IF(C598&lt;'PlayerGrades+'!$Y$44,"F-",IF(C598&lt;'PlayerGrades+'!$Y$43,"F",IF(C598&lt;'PlayerGrades+'!$Y$42,"F+",IF(C598&lt;'PlayerGrades+'!$Y$41,"E-",IF(C598&lt;'PlayerGrades+'!$Y$40,"E",IF(C598&lt;'PlayerGrades+'!$Y$39,"E+",IF(C598&lt;'PlayerGrades+'!$Y$38,"D-",IF(C598&lt;'PlayerGrades+'!$Y$37,"D",IF(C598&lt;'PlayerGrades+'!$Y$36,"D+",IF(C598&lt;'PlayerGrades+'!$Y$35,"C-",IF(C598&lt;'PlayerGrades+'!$Y$34,"C",IF(C598&lt;'PlayerGrades+'!$Y$33,"C+",IF(C598&lt;'PlayerGrades+'!$Y$32,"B-",IF(C598&lt;'PlayerGrades+'!$Y$31,"B",IF(C598&lt;'PlayerGrades+'!$Y$30,"B+",IF(C598&lt;'PlayerGrades+'!$Y$29,"A-",IF(C598&lt;'PlayerGrades+'!$Y$28,"A",IF(C598&lt;'PlayerGrades+'!$Y$27,"A+",IF(C598&lt;'PlayerGrades+'!$Y$26,"S-",IF(C598&lt;'PlayerGrades+'!$Y$25,"S","S+"))))))))))))))))))))</f>
        <v>S-</v>
      </c>
      <c r="C598" s="972">
        <f>('PlayerGrades+'!$Y$47*(VLOOKUP(E598, 'PlayerGrades+'!$X$3:$Y$23, 2, FALSE)))+('PlayerGrades+'!$Y$48*(VLOOKUP(G598, 'PlayerGrades+'!$X$3:$Y$23, 2, FALSE)))+('PlayerGrades+'!$Y$49*(VLOOKUP(I598, 'PlayerGrades+'!$X$3:$Y$23, 2, FALSE)))+('PlayerGrades+'!$Y$50*(VLOOKUP(K598, 'PlayerGrades+'!$X$3:$Y$23, 2, FALSE)))+('PlayerGrades+'!$Y$51*(VLOOKUP(M598, 'PlayerGrades+'!$X$3:$Y$23, 2, FALSE)))+('PlayerGrades+'!$Y$52*(VLOOKUP(O598, 'PlayerGrades+'!$X$3:$Y$23, 2, FALSE)))+('PlayerGrades+'!$Y$53*(VLOOKUP(Q598, 'PlayerGrades+'!$X$3:$Y$23, 2, FALSE)))+('PlayerGrades+'!$Y$54*(VLOOKUP(S598, 'PlayerGrades+'!$X$3:$Y$23, 2, FALSE)))+('PlayerGrades+'!$Y$55*(VLOOKUP(U598, 'PlayerGrades+'!$X$3:$Y$23, 2, FALSE)))</f>
        <v>30.2</v>
      </c>
      <c r="D598" s="973">
        <f t="shared" si="1"/>
        <v>0.7093184979</v>
      </c>
      <c r="E598" s="973" t="str">
        <f>IF(D598&lt;'PlayerGrades+'!$AA$21,"F-",IF(D598&lt;'PlayerGrades+'!$AA$20,"F",IF(D598&lt;'PlayerGrades+'!$AA$19,"F+",IF(D598&lt;'PlayerGrades+'!$AA$18,"E-",IF(D598&lt;'PlayerGrades+'!$AA$17,"E",IF(D598&lt;'PlayerGrades+'!$AA$16,"E+",IF(D598&lt;'PlayerGrades+'!$AA$15,"D-",IF(D598&lt;'PlayerGrades+'!$AA$14,"D",IF(D598&lt;'PlayerGrades+'!$AA$13,"D+",IF(D598&lt;'PlayerGrades+'!$AA$12,"C-",IF(D598&lt;'PlayerGrades+'!$AA$11,"C",IF(D598&lt;'PlayerGrades+'!$AA$10,"C+",IF(D598&lt;'PlayerGrades+'!$AA$9,"B-",IF(D598&lt;'PlayerGrades+'!$AA$8,"B",IF(D598&lt;'PlayerGrades+'!$AA$7,"B+",IF(D598&lt;'PlayerGrades+'!$AA$6,"A-",IF(D598&lt;'PlayerGrades+'!$AA$5,"A",IF(D598&lt;'PlayerGrades+'!$AA$4,"A+",IF(D598&lt;'PlayerGrades+'!$AA$3,"S-",IF(D598&lt;'PlayerGrades+'!$AA$2,"S","S+"))))))))))))))))))))</f>
        <v>S</v>
      </c>
      <c r="F598" s="973">
        <f t="shared" si="2"/>
        <v>0.7093184979</v>
      </c>
      <c r="G598" s="973" t="str">
        <f>IF(F598&lt;'PlayerGrades+'!$AB$21,"F-",IF(F598&lt;'PlayerGrades+'!$AB$20,"F",IF(F598&lt;'PlayerGrades+'!$AB$19,"F+",IF(F598&lt;'PlayerGrades+'!$AB$18,"E-",IF(F598&lt;'PlayerGrades+'!$AB$17,"E",IF(F598&lt;'PlayerGrades+'!$AB$16,"E+",IF(F598&lt;'PlayerGrades+'!$AB$15,"D-",IF(F598&lt;'PlayerGrades+'!$AB$14,"D",IF(F598&lt;'PlayerGrades+'!$AB$13,"D+",IF(F598&lt;'PlayerGrades+'!$AB$12,"C-",IF(F598&lt;'PlayerGrades+'!$AB$11,"C",IF(F598&lt;'PlayerGrades+'!$AB$10,"C+",IF(F598&lt;'PlayerGrades+'!$AB$9,"B-",IF(F598&lt;'PlayerGrades+'!$AB$8,"B",IF(F598&lt;'PlayerGrades+'!$AB$7,"B+",IF(F598&lt;'PlayerGrades+'!$AB$6,"A-",IF(F598&lt;'PlayerGrades+'!$AB$5,"A",IF(F598&lt;'PlayerGrades+'!$AB$4,"A+",IF(F598&lt;'PlayerGrades+'!$AB$3,"S-",IF(F598&lt;'PlayerGrades+'!$AB$2,"S","S+"))))))))))))))))))))</f>
        <v>S-</v>
      </c>
      <c r="H598" s="973">
        <f t="shared" si="3"/>
        <v>0.1668984701</v>
      </c>
      <c r="I598" s="973" t="str">
        <f>IF(H598&lt;'PlayerGrades+'!$AC$21,"F-",IF(H598&lt;'PlayerGrades+'!$AC$20,"F",IF(H598&lt;'PlayerGrades+'!$AC$19,"F+",IF(H598&lt;'PlayerGrades+'!$AC$18,"E-",IF(H598&lt;'PlayerGrades+'!$AC$17,"E",IF(H598&lt;'PlayerGrades+'!$AC$16,"E+",IF(H598&lt;'PlayerGrades+'!$AC$15,"D-",IF(H598&lt;'PlayerGrades+'!$AC$14,"D",IF(H598&lt;'PlayerGrades+'!$AC$13,"D+",IF(H598&lt;'PlayerGrades+'!$AC$12,"C-",IF(H598&lt;'PlayerGrades+'!$AC$11,"C",IF(H598&lt;'PlayerGrades+'!$AC$10,"C+",IF(H598&lt;'PlayerGrades+'!$AC$9,"B-",IF(H598&lt;'PlayerGrades+'!$AC$8,"B",IF(H598&lt;'PlayerGrades+'!$AC$7,"B+",IF(H598&lt;'PlayerGrades+'!$AC$6,"A-",IF(H598&lt;'PlayerGrades+'!$AC$5,"A",IF(H598&lt;'PlayerGrades+'!$AC$4,"A+",IF(H598&lt;'PlayerGrades+'!$AC$3,"S-",IF(H598&lt;'PlayerGrades+'!$AC$2,"S","S+"))))))))))))))))))))</f>
        <v>A+</v>
      </c>
      <c r="J598" s="973">
        <f t="shared" si="4"/>
        <v>0.1251738526</v>
      </c>
      <c r="K598" s="973" t="str">
        <f>IF(J598&lt;'PlayerGrades+'!$AD$21,"F-",IF(J598&lt;'PlayerGrades+'!$AD$20,"F",IF(J598&lt;'PlayerGrades+'!$AD$19,"F+",IF(J598&lt;'PlayerGrades+'!$AD$18,"E-",IF(J598&lt;'PlayerGrades+'!$AD$17,"E",IF(J598&lt;'PlayerGrades+'!$AD$16,"E+",IF(J598&lt;'PlayerGrades+'!$AD$15,"D-",IF(J598&lt;'PlayerGrades+'!$AD$14,"D",IF(J598&lt;'PlayerGrades+'!$AD$13,"D+",IF(J598&lt;'PlayerGrades+'!$AD$12,"C-",IF(J598&lt;'PlayerGrades+'!$AD$11,"C",IF(J598&lt;'PlayerGrades+'!$AD$10,"C+",IF(J598&lt;'PlayerGrades+'!$AD$9,"B-",IF(J598&lt;'PlayerGrades+'!$AD$8,"B",IF(J598&lt;'PlayerGrades+'!$AD$7,"B+",IF(J598&lt;'PlayerGrades+'!$AD$6,"A-",IF(J598&lt;'PlayerGrades+'!$AD$5,"A",IF(J598&lt;'PlayerGrades+'!$AD$4,"A+",IF(J598&lt;'PlayerGrades+'!$AD$3,"S-",IF(J598&lt;'PlayerGrades+'!$AD$2,"S","S+"))))))))))))))))))))</f>
        <v>S+</v>
      </c>
      <c r="L598" s="974">
        <f t="shared" si="5"/>
        <v>0.5006954103</v>
      </c>
      <c r="M598" s="975" t="str">
        <f>IF(L598&lt;'PlayerGrades+'!$AE$21,"F-",IF(L598&lt;'PlayerGrades+'!$AE$20,"F",IF(L598&lt;'PlayerGrades+'!$AE$19,"F+",IF(L598&lt;'PlayerGrades+'!$AE$18,"E-",IF(L598&lt;'PlayerGrades+'!$AE$17,"E",IF(L598&lt;'PlayerGrades+'!$AE$16,"E+",IF(L598&lt;'PlayerGrades+'!$AE$15,"D-",IF(L598&lt;'PlayerGrades+'!$AE$14,"D",IF(L598&lt;'PlayerGrades+'!$AE$13,"D+",IF(L598&lt;'PlayerGrades+'!$AE$12,"C-",IF(L598&lt;'PlayerGrades+'!$AE$11,"C",IF(L598&lt;'PlayerGrades+'!$AE$10,"C+",IF(L598&lt;'PlayerGrades+'!$AE$9,"B-",IF(L598&lt;'PlayerGrades+'!$AE$8,"B",IF(L598&lt;'PlayerGrades+'!$AE$7,"B+",IF(L598&lt;'PlayerGrades+'!$AE$6,"A-",IF(L598&lt;'PlayerGrades+'!$AE$5,"A",IF(L598&lt;'PlayerGrades+'!$AE$4,"A+",IF(L598&lt;'PlayerGrades+'!$AE$3,"S-",IF(L598&lt;'PlayerGrades+'!$AE$2,"S","S+"))))))))))))))))))))</f>
        <v>A-</v>
      </c>
      <c r="N598" s="973">
        <f t="shared" si="6"/>
        <v>0.1251738526</v>
      </c>
      <c r="O598" s="973" t="str">
        <f>IF(N598&lt;'PlayerGrades+'!$AF$21,"F-",IF(N598&lt;'PlayerGrades+'!$AF$20,"F",IF(N598&lt;'PlayerGrades+'!$AF$19,"F+",IF(N598&lt;'PlayerGrades+'!$AF$18,"E-",IF(N598&lt;'PlayerGrades+'!$AF$17,"E",IF(N598&lt;'PlayerGrades+'!$AF$16,"E+",IF(N598&lt;'PlayerGrades+'!$AF$15,"D-",IF(N598&lt;'PlayerGrades+'!$AF$14,"D",IF(N598&lt;'PlayerGrades+'!$AF$13,"D+",IF(N598&lt;'PlayerGrades+'!$AF$12,"C-",IF(N598&lt;'PlayerGrades+'!$AF$11,"C",IF(N598&lt;'PlayerGrades+'!$AF$10,"C+",IF(N598&lt;'PlayerGrades+'!$AF$9,"B-",IF(N598&lt;'PlayerGrades+'!$AF$8,"B",IF(N598&lt;'PlayerGrades+'!$AF$7,"B+",IF(N598&lt;'PlayerGrades+'!$AF$6,"A-",IF(N598&lt;'PlayerGrades+'!$AF$5,"A",IF(N598&lt;'PlayerGrades+'!$AF$4,"A+",IF(N598&lt;'PlayerGrades+'!$AF$3,"S-",IF(N598&lt;'PlayerGrades+'!$AF$2,"S","S+"))))))))))))))))))))</f>
        <v>S</v>
      </c>
      <c r="P598" s="973">
        <f t="shared" si="7"/>
        <v>0</v>
      </c>
      <c r="Q598" s="973" t="str">
        <f>IF(P598&lt;'PlayerGrades+'!$AG$21,"F-",IF(P598&lt;'PlayerGrades+'!$AG$20,"F",IF(P598&lt;'PlayerGrades+'!$AG$19,"F+",IF(P598&lt;'PlayerGrades+'!$AG$18,"E-",IF(P598&lt;'PlayerGrades+'!$AG$17,"E",IF(P598&lt;'PlayerGrades+'!$AG$16,"E+",IF(P598&lt;'PlayerGrades+'!$AG$15,"D-",IF(P598&lt;'PlayerGrades+'!$AG$14,"D",IF(P598&lt;'PlayerGrades+'!$AG$13,"D+",IF(P598&lt;'PlayerGrades+'!$AG$12,"C-",IF(P598&lt;'PlayerGrades+'!$AG$11,"C",IF(P598&lt;'PlayerGrades+'!$AG$10,"C+",IF(P598&lt;'PlayerGrades+'!$AG$9,"B-",IF(P598&lt;'PlayerGrades+'!$AG$8,"B",IF(P598&lt;'PlayerGrades+'!$AG$7,"B+",IF(P598&lt;'PlayerGrades+'!$AG$6,"A-",IF(P598&lt;'PlayerGrades+'!$AG$5,"A",IF(P598&lt;'PlayerGrades+'!$AG$4,"A+",IF(P598&lt;'PlayerGrades+'!$AG$3,"S-",IF(P598&lt;'PlayerGrades+'!$AG$2,"S","S+"))))))))))))))))))))</f>
        <v>F</v>
      </c>
      <c r="R598" s="973">
        <f t="shared" si="8"/>
        <v>0.5841446453</v>
      </c>
      <c r="S598" s="973" t="str">
        <f>IF(R598&lt;'PlayerGrades+'!$AH$21,"F-",IF(R598&lt;'PlayerGrades+'!$AH$20,"F",IF(R598&lt;'PlayerGrades+'!$AH$19,"F+",IF(R598&lt;'PlayerGrades+'!$AH$18,"E-",IF(R598&lt;'PlayerGrades+'!$AH$17,"E",IF(R598&lt;'PlayerGrades+'!$AH$16,"E+",IF(R598&lt;'PlayerGrades+'!$AH$15,"D-",IF(R598&lt;'PlayerGrades+'!$AH$14,"D",IF(R598&lt;'PlayerGrades+'!$AH$13,"D+",IF(R598&lt;'PlayerGrades+'!$AH$12,"C-",IF(R598&lt;'PlayerGrades+'!$AH$11,"C",IF(R598&lt;'PlayerGrades+'!$AH$10,"C+",IF(R598&lt;'PlayerGrades+'!$AH$9,"B-",IF(R598&lt;'PlayerGrades+'!$AH$8,"B",IF(R598&lt;'PlayerGrades+'!$AH$7,"B+",IF(R598&lt;'PlayerGrades+'!$AH$6,"A-",IF(R598&lt;'PlayerGrades+'!$AH$5,"A",IF(R598&lt;'PlayerGrades+'!$AH$4,"A+",IF(R598&lt;'PlayerGrades+'!$AH$3,"S-",IF(R598&lt;'PlayerGrades+'!$AH$2,"S","S+"))))))))))))))))))))</f>
        <v>B+</v>
      </c>
      <c r="T598" s="973">
        <f t="shared" si="9"/>
        <v>1.16689847</v>
      </c>
      <c r="U598" s="973" t="str">
        <f>IF(T598&lt;'PlayerGrades+'!$AI$21,"F-",IF(T598&lt;'PlayerGrades+'!$AI$20,"F",IF(T598&lt;'PlayerGrades+'!$AI$19,"F+",IF(T598&lt;'PlayerGrades+'!$AI$18,"E-",IF(T598&lt;'PlayerGrades+'!$AI$17,"E",IF(T598&lt;'PlayerGrades+'!$AI$16,"E+",IF(T598&lt;'PlayerGrades+'!$AI$15,"D-",IF(T598&lt;'PlayerGrades+'!$AI$14,"D",IF(T598&lt;'PlayerGrades+'!$AI$13,"D+",IF(T598&lt;'PlayerGrades+'!$AI$12,"C-",IF(T598&lt;'PlayerGrades+'!$AI$11,"C",IF(T598&lt;'PlayerGrades+'!$AI$10,"C+",IF(T598&lt;'PlayerGrades+'!$AI$9,"B-",IF(T598&lt;'PlayerGrades+'!$AI$8,"B",IF(T598&lt;'PlayerGrades+'!$AI$7,"B+",IF(T598&lt;'PlayerGrades+'!$AI$6,"A-",IF(T598&lt;'PlayerGrades+'!$AI$5,"A",IF(T598&lt;'PlayerGrades+'!$AI$4,"A+",IF(T598&lt;'PlayerGrades+'!$AI$3,"S-",IF(T598&lt;'PlayerGrades+'!$AI$2,"S","S+"))))))))))))))))))))</f>
        <v>D+</v>
      </c>
      <c r="V598" s="941">
        <v>1.0</v>
      </c>
      <c r="W598" s="941">
        <v>0.0</v>
      </c>
      <c r="X598" s="941">
        <v>1.0</v>
      </c>
      <c r="Y598" s="941">
        <v>4.0</v>
      </c>
      <c r="Z598" s="941">
        <v>13.0</v>
      </c>
      <c r="AA598" s="941">
        <v>67.0</v>
      </c>
      <c r="AB598" s="941">
        <v>50.0</v>
      </c>
      <c r="AC598" s="941">
        <v>17.0</v>
      </c>
      <c r="AD598" s="941">
        <v>1.0</v>
      </c>
      <c r="AE598" s="941">
        <v>6.0</v>
      </c>
      <c r="AF598" s="941">
        <v>0.0</v>
      </c>
      <c r="AG598" s="941">
        <v>1164.0</v>
      </c>
      <c r="AH598" s="941">
        <v>1438.0</v>
      </c>
      <c r="AI598" s="941">
        <v>23.0</v>
      </c>
      <c r="AJ598" s="941">
        <v>541.0</v>
      </c>
      <c r="AK598" s="941">
        <v>0.0</v>
      </c>
      <c r="AL598" s="941">
        <v>3.0</v>
      </c>
      <c r="AM598" s="941">
        <v>0.0</v>
      </c>
      <c r="AN598" s="941">
        <v>0.0</v>
      </c>
      <c r="AO598" s="941">
        <v>0.0</v>
      </c>
      <c r="AP598" s="941">
        <v>0.0</v>
      </c>
      <c r="AQ598" s="941">
        <v>0.0</v>
      </c>
      <c r="AR598" s="941">
        <v>12.0</v>
      </c>
      <c r="AS598" s="941">
        <v>3.0</v>
      </c>
      <c r="AT598" s="941">
        <v>3.0</v>
      </c>
      <c r="AU598" s="941">
        <v>0.0</v>
      </c>
      <c r="AV598" s="941">
        <v>0.0</v>
      </c>
      <c r="AW598" s="941">
        <v>0.0</v>
      </c>
      <c r="AX598" s="941">
        <v>0.0</v>
      </c>
      <c r="AY598" s="941">
        <v>0.0</v>
      </c>
      <c r="AZ598" s="941">
        <v>0.0</v>
      </c>
      <c r="BA598" s="941">
        <v>0.0</v>
      </c>
      <c r="BB598" s="941">
        <v>4.0</v>
      </c>
      <c r="BC598" s="941">
        <v>0.0</v>
      </c>
      <c r="BD598" s="941">
        <v>13.0</v>
      </c>
      <c r="BE598" s="941">
        <v>4.0</v>
      </c>
      <c r="BF598" s="941">
        <v>1.0</v>
      </c>
      <c r="BG598" s="941">
        <v>1.0</v>
      </c>
    </row>
    <row r="599">
      <c r="A599" s="1" t="s">
        <v>151</v>
      </c>
      <c r="B599" s="421" t="str">
        <f>IF(C599&lt;'PlayerGrades+'!$Y$44,"F-",IF(C599&lt;'PlayerGrades+'!$Y$43,"F",IF(C599&lt;'PlayerGrades+'!$Y$42,"F+",IF(C599&lt;'PlayerGrades+'!$Y$41,"E-",IF(C599&lt;'PlayerGrades+'!$Y$40,"E",IF(C599&lt;'PlayerGrades+'!$Y$39,"E+",IF(C599&lt;'PlayerGrades+'!$Y$38,"D-",IF(C599&lt;'PlayerGrades+'!$Y$37,"D",IF(C599&lt;'PlayerGrades+'!$Y$36,"D+",IF(C599&lt;'PlayerGrades+'!$Y$35,"C-",IF(C599&lt;'PlayerGrades+'!$Y$34,"C",IF(C599&lt;'PlayerGrades+'!$Y$33,"C+",IF(C599&lt;'PlayerGrades+'!$Y$32,"B-",IF(C599&lt;'PlayerGrades+'!$Y$31,"B",IF(C599&lt;'PlayerGrades+'!$Y$30,"B+",IF(C599&lt;'PlayerGrades+'!$Y$29,"A-",IF(C599&lt;'PlayerGrades+'!$Y$28,"A",IF(C599&lt;'PlayerGrades+'!$Y$27,"A+",IF(C599&lt;'PlayerGrades+'!$Y$26,"S-",IF(C599&lt;'PlayerGrades+'!$Y$25,"S","S+"))))))))))))))))))))</f>
        <v>D</v>
      </c>
      <c r="C599" s="972">
        <f>('PlayerGrades+'!$Y$47*(VLOOKUP(E599, 'PlayerGrades+'!$X$3:$Y$23, 2, FALSE)))+('PlayerGrades+'!$Y$48*(VLOOKUP(G599, 'PlayerGrades+'!$X$3:$Y$23, 2, FALSE)))+('PlayerGrades+'!$Y$49*(VLOOKUP(I599, 'PlayerGrades+'!$X$3:$Y$23, 2, FALSE)))+('PlayerGrades+'!$Y$50*(VLOOKUP(K599, 'PlayerGrades+'!$X$3:$Y$23, 2, FALSE)))+('PlayerGrades+'!$Y$51*(VLOOKUP(M599, 'PlayerGrades+'!$X$3:$Y$23, 2, FALSE)))+('PlayerGrades+'!$Y$52*(VLOOKUP(O599, 'PlayerGrades+'!$X$3:$Y$23, 2, FALSE)))+('PlayerGrades+'!$Y$53*(VLOOKUP(Q599, 'PlayerGrades+'!$X$3:$Y$23, 2, FALSE)))+('PlayerGrades+'!$Y$54*(VLOOKUP(S599, 'PlayerGrades+'!$X$3:$Y$23, 2, FALSE)))+('PlayerGrades+'!$Y$55*(VLOOKUP(U599, 'PlayerGrades+'!$X$3:$Y$23, 2, FALSE)))</f>
        <v>17.15</v>
      </c>
      <c r="D599" s="973">
        <f t="shared" si="1"/>
        <v>0.04172461752</v>
      </c>
      <c r="E599" s="973" t="str">
        <f>IF(D599&lt;'PlayerGrades+'!$AA$21,"F-",IF(D599&lt;'PlayerGrades+'!$AA$20,"F",IF(D599&lt;'PlayerGrades+'!$AA$19,"F+",IF(D599&lt;'PlayerGrades+'!$AA$18,"E-",IF(D599&lt;'PlayerGrades+'!$AA$17,"E",IF(D599&lt;'PlayerGrades+'!$AA$16,"E+",IF(D599&lt;'PlayerGrades+'!$AA$15,"D-",IF(D599&lt;'PlayerGrades+'!$AA$14,"D",IF(D599&lt;'PlayerGrades+'!$AA$13,"D+",IF(D599&lt;'PlayerGrades+'!$AA$12,"C-",IF(D599&lt;'PlayerGrades+'!$AA$11,"C",IF(D599&lt;'PlayerGrades+'!$AA$10,"C+",IF(D599&lt;'PlayerGrades+'!$AA$9,"B-",IF(D599&lt;'PlayerGrades+'!$AA$8,"B",IF(D599&lt;'PlayerGrades+'!$AA$7,"B+",IF(D599&lt;'PlayerGrades+'!$AA$6,"A-",IF(D599&lt;'PlayerGrades+'!$AA$5,"A",IF(D599&lt;'PlayerGrades+'!$AA$4,"A+",IF(D599&lt;'PlayerGrades+'!$AA$3,"S-",IF(D599&lt;'PlayerGrades+'!$AA$2,"S","S+"))))))))))))))))))))</f>
        <v>C</v>
      </c>
      <c r="F599" s="973">
        <f t="shared" si="2"/>
        <v>-0.876216968</v>
      </c>
      <c r="G599" s="973" t="str">
        <f>IF(F599&lt;'PlayerGrades+'!$AB$21,"F-",IF(F599&lt;'PlayerGrades+'!$AB$20,"F",IF(F599&lt;'PlayerGrades+'!$AB$19,"F+",IF(F599&lt;'PlayerGrades+'!$AB$18,"E-",IF(F599&lt;'PlayerGrades+'!$AB$17,"E",IF(F599&lt;'PlayerGrades+'!$AB$16,"E+",IF(F599&lt;'PlayerGrades+'!$AB$15,"D-",IF(F599&lt;'PlayerGrades+'!$AB$14,"D",IF(F599&lt;'PlayerGrades+'!$AB$13,"D+",IF(F599&lt;'PlayerGrades+'!$AB$12,"C-",IF(F599&lt;'PlayerGrades+'!$AB$11,"C",IF(F599&lt;'PlayerGrades+'!$AB$10,"C+",IF(F599&lt;'PlayerGrades+'!$AB$9,"B-",IF(F599&lt;'PlayerGrades+'!$AB$8,"B",IF(F599&lt;'PlayerGrades+'!$AB$7,"B+",IF(F599&lt;'PlayerGrades+'!$AB$6,"A-",IF(F599&lt;'PlayerGrades+'!$AB$5,"A",IF(F599&lt;'PlayerGrades+'!$AB$4,"A+",IF(F599&lt;'PlayerGrades+'!$AB$3,"S-",IF(F599&lt;'PlayerGrades+'!$AB$2,"S","S+"))))))))))))))))))))</f>
        <v>E-</v>
      </c>
      <c r="H599" s="973">
        <f t="shared" si="3"/>
        <v>0.04172461752</v>
      </c>
      <c r="I599" s="973" t="str">
        <f>IF(H599&lt;'PlayerGrades+'!$AC$21,"F-",IF(H599&lt;'PlayerGrades+'!$AC$20,"F",IF(H599&lt;'PlayerGrades+'!$AC$19,"F+",IF(H599&lt;'PlayerGrades+'!$AC$18,"E-",IF(H599&lt;'PlayerGrades+'!$AC$17,"E",IF(H599&lt;'PlayerGrades+'!$AC$16,"E+",IF(H599&lt;'PlayerGrades+'!$AC$15,"D-",IF(H599&lt;'PlayerGrades+'!$AC$14,"D",IF(H599&lt;'PlayerGrades+'!$AC$13,"D+",IF(H599&lt;'PlayerGrades+'!$AC$12,"C-",IF(H599&lt;'PlayerGrades+'!$AC$11,"C",IF(H599&lt;'PlayerGrades+'!$AC$10,"C+",IF(H599&lt;'PlayerGrades+'!$AC$9,"B-",IF(H599&lt;'PlayerGrades+'!$AC$8,"B",IF(H599&lt;'PlayerGrades+'!$AC$7,"B+",IF(H599&lt;'PlayerGrades+'!$AC$6,"A-",IF(H599&lt;'PlayerGrades+'!$AC$5,"A",IF(H599&lt;'PlayerGrades+'!$AC$4,"A+",IF(H599&lt;'PlayerGrades+'!$AC$3,"S-",IF(H599&lt;'PlayerGrades+'!$AC$2,"S","S+"))))))))))))))))))))</f>
        <v>F</v>
      </c>
      <c r="J599" s="973">
        <f t="shared" si="4"/>
        <v>0.08344923505</v>
      </c>
      <c r="K599" s="973" t="str">
        <f>IF(J599&lt;'PlayerGrades+'!$AD$21,"F-",IF(J599&lt;'PlayerGrades+'!$AD$20,"F",IF(J599&lt;'PlayerGrades+'!$AD$19,"F+",IF(J599&lt;'PlayerGrades+'!$AD$18,"E-",IF(J599&lt;'PlayerGrades+'!$AD$17,"E",IF(J599&lt;'PlayerGrades+'!$AD$16,"E+",IF(J599&lt;'PlayerGrades+'!$AD$15,"D-",IF(J599&lt;'PlayerGrades+'!$AD$14,"D",IF(J599&lt;'PlayerGrades+'!$AD$13,"D+",IF(J599&lt;'PlayerGrades+'!$AD$12,"C-",IF(J599&lt;'PlayerGrades+'!$AD$11,"C",IF(J599&lt;'PlayerGrades+'!$AD$10,"C+",IF(J599&lt;'PlayerGrades+'!$AD$9,"B-",IF(J599&lt;'PlayerGrades+'!$AD$8,"B",IF(J599&lt;'PlayerGrades+'!$AD$7,"B+",IF(J599&lt;'PlayerGrades+'!$AD$6,"A-",IF(J599&lt;'PlayerGrades+'!$AD$5,"A",IF(J599&lt;'PlayerGrades+'!$AD$4,"A+",IF(J599&lt;'PlayerGrades+'!$AD$3,"S-",IF(J599&lt;'PlayerGrades+'!$AD$2,"S","S+"))))))))))))))))))))</f>
        <v>A+</v>
      </c>
      <c r="L599" s="974">
        <f t="shared" si="5"/>
        <v>0.3755215577</v>
      </c>
      <c r="M599" s="975" t="str">
        <f>IF(L599&lt;'PlayerGrades+'!$AE$21,"F-",IF(L599&lt;'PlayerGrades+'!$AE$20,"F",IF(L599&lt;'PlayerGrades+'!$AE$19,"F+",IF(L599&lt;'PlayerGrades+'!$AE$18,"E-",IF(L599&lt;'PlayerGrades+'!$AE$17,"E",IF(L599&lt;'PlayerGrades+'!$AE$16,"E+",IF(L599&lt;'PlayerGrades+'!$AE$15,"D-",IF(L599&lt;'PlayerGrades+'!$AE$14,"D",IF(L599&lt;'PlayerGrades+'!$AE$13,"D+",IF(L599&lt;'PlayerGrades+'!$AE$12,"C-",IF(L599&lt;'PlayerGrades+'!$AE$11,"C",IF(L599&lt;'PlayerGrades+'!$AE$10,"C+",IF(L599&lt;'PlayerGrades+'!$AE$9,"B-",IF(L599&lt;'PlayerGrades+'!$AE$8,"B",IF(L599&lt;'PlayerGrades+'!$AE$7,"B+",IF(L599&lt;'PlayerGrades+'!$AE$6,"A-",IF(L599&lt;'PlayerGrades+'!$AE$5,"A",IF(L599&lt;'PlayerGrades+'!$AE$4,"A+",IF(L599&lt;'PlayerGrades+'!$AE$3,"S-",IF(L599&lt;'PlayerGrades+'!$AE$2,"S","S+"))))))))))))))))))))</f>
        <v>C-</v>
      </c>
      <c r="N599" s="973">
        <f t="shared" si="6"/>
        <v>0.08344923505</v>
      </c>
      <c r="O599" s="973" t="str">
        <f>IF(N599&lt;'PlayerGrades+'!$AF$21,"F-",IF(N599&lt;'PlayerGrades+'!$AF$20,"F",IF(N599&lt;'PlayerGrades+'!$AF$19,"F+",IF(N599&lt;'PlayerGrades+'!$AF$18,"E-",IF(N599&lt;'PlayerGrades+'!$AF$17,"E",IF(N599&lt;'PlayerGrades+'!$AF$16,"E+",IF(N599&lt;'PlayerGrades+'!$AF$15,"D-",IF(N599&lt;'PlayerGrades+'!$AF$14,"D",IF(N599&lt;'PlayerGrades+'!$AF$13,"D+",IF(N599&lt;'PlayerGrades+'!$AF$12,"C-",IF(N599&lt;'PlayerGrades+'!$AF$11,"C",IF(N599&lt;'PlayerGrades+'!$AF$10,"C+",IF(N599&lt;'PlayerGrades+'!$AF$9,"B-",IF(N599&lt;'PlayerGrades+'!$AF$8,"B",IF(N599&lt;'PlayerGrades+'!$AF$7,"B+",IF(N599&lt;'PlayerGrades+'!$AF$6,"A-",IF(N599&lt;'PlayerGrades+'!$AF$5,"A",IF(N599&lt;'PlayerGrades+'!$AF$4,"A+",IF(N599&lt;'PlayerGrades+'!$AF$3,"S-",IF(N599&lt;'PlayerGrades+'!$AF$2,"S","S+"))))))))))))))))))))</f>
        <v>B</v>
      </c>
      <c r="P599" s="973">
        <f t="shared" si="7"/>
        <v>0.08344923505</v>
      </c>
      <c r="Q599" s="973" t="str">
        <f>IF(P599&lt;'PlayerGrades+'!$AG$21,"F-",IF(P599&lt;'PlayerGrades+'!$AG$20,"F",IF(P599&lt;'PlayerGrades+'!$AG$19,"F+",IF(P599&lt;'PlayerGrades+'!$AG$18,"E-",IF(P599&lt;'PlayerGrades+'!$AG$17,"E",IF(P599&lt;'PlayerGrades+'!$AG$16,"E+",IF(P599&lt;'PlayerGrades+'!$AG$15,"D-",IF(P599&lt;'PlayerGrades+'!$AG$14,"D",IF(P599&lt;'PlayerGrades+'!$AG$13,"D+",IF(P599&lt;'PlayerGrades+'!$AG$12,"C-",IF(P599&lt;'PlayerGrades+'!$AG$11,"C",IF(P599&lt;'PlayerGrades+'!$AG$10,"C+",IF(P599&lt;'PlayerGrades+'!$AG$9,"B-",IF(P599&lt;'PlayerGrades+'!$AG$8,"B",IF(P599&lt;'PlayerGrades+'!$AG$7,"B+",IF(P599&lt;'PlayerGrades+'!$AG$6,"A-",IF(P599&lt;'PlayerGrades+'!$AG$5,"A",IF(P599&lt;'PlayerGrades+'!$AG$4,"A+",IF(P599&lt;'PlayerGrades+'!$AG$3,"S-",IF(P599&lt;'PlayerGrades+'!$AG$2,"S","S+"))))))))))))))))))))</f>
        <v>S</v>
      </c>
      <c r="R599" s="973">
        <f t="shared" si="8"/>
        <v>0.5006954103</v>
      </c>
      <c r="S599" s="973" t="str">
        <f>IF(R599&lt;'PlayerGrades+'!$AH$21,"F-",IF(R599&lt;'PlayerGrades+'!$AH$20,"F",IF(R599&lt;'PlayerGrades+'!$AH$19,"F+",IF(R599&lt;'PlayerGrades+'!$AH$18,"E-",IF(R599&lt;'PlayerGrades+'!$AH$17,"E",IF(R599&lt;'PlayerGrades+'!$AH$16,"E+",IF(R599&lt;'PlayerGrades+'!$AH$15,"D-",IF(R599&lt;'PlayerGrades+'!$AH$14,"D",IF(R599&lt;'PlayerGrades+'!$AH$13,"D+",IF(R599&lt;'PlayerGrades+'!$AH$12,"C-",IF(R599&lt;'PlayerGrades+'!$AH$11,"C",IF(R599&lt;'PlayerGrades+'!$AH$10,"C+",IF(R599&lt;'PlayerGrades+'!$AH$9,"B-",IF(R599&lt;'PlayerGrades+'!$AH$8,"B",IF(R599&lt;'PlayerGrades+'!$AH$7,"B+",IF(R599&lt;'PlayerGrades+'!$AH$6,"A-",IF(R599&lt;'PlayerGrades+'!$AH$5,"A",IF(R599&lt;'PlayerGrades+'!$AH$4,"A+",IF(R599&lt;'PlayerGrades+'!$AH$3,"S-",IF(R599&lt;'PlayerGrades+'!$AH$2,"S","S+"))))))))))))))))))))</f>
        <v>D-</v>
      </c>
      <c r="T599" s="973">
        <f t="shared" si="9"/>
        <v>0.2503477051</v>
      </c>
      <c r="U599" s="973" t="str">
        <f>IF(T599&lt;'PlayerGrades+'!$AI$21,"F-",IF(T599&lt;'PlayerGrades+'!$AI$20,"F",IF(T599&lt;'PlayerGrades+'!$AI$19,"F+",IF(T599&lt;'PlayerGrades+'!$AI$18,"E-",IF(T599&lt;'PlayerGrades+'!$AI$17,"E",IF(T599&lt;'PlayerGrades+'!$AI$16,"E+",IF(T599&lt;'PlayerGrades+'!$AI$15,"D-",IF(T599&lt;'PlayerGrades+'!$AI$14,"D",IF(T599&lt;'PlayerGrades+'!$AI$13,"D+",IF(T599&lt;'PlayerGrades+'!$AI$12,"C-",IF(T599&lt;'PlayerGrades+'!$AI$11,"C",IF(T599&lt;'PlayerGrades+'!$AI$10,"C+",IF(T599&lt;'PlayerGrades+'!$AI$9,"B-",IF(T599&lt;'PlayerGrades+'!$AI$8,"B",IF(T599&lt;'PlayerGrades+'!$AI$7,"B+",IF(T599&lt;'PlayerGrades+'!$AI$6,"A-",IF(T599&lt;'PlayerGrades+'!$AI$5,"A",IF(T599&lt;'PlayerGrades+'!$AI$4,"A+",IF(T599&lt;'PlayerGrades+'!$AI$3,"S-",IF(T599&lt;'PlayerGrades+'!$AI$2,"S","S+"))))))))))))))))))))</f>
        <v>F-</v>
      </c>
      <c r="V599" s="941">
        <v>1.0</v>
      </c>
      <c r="W599" s="941">
        <v>0.0</v>
      </c>
      <c r="X599" s="941">
        <v>1.0</v>
      </c>
      <c r="Y599" s="941">
        <v>0.0</v>
      </c>
      <c r="Z599" s="941">
        <v>1.0</v>
      </c>
      <c r="AA599" s="941">
        <v>64.0</v>
      </c>
      <c r="AB599" s="941">
        <v>85.0</v>
      </c>
      <c r="AC599" s="941">
        <v>-21.0</v>
      </c>
      <c r="AD599" s="941">
        <v>3.0</v>
      </c>
      <c r="AE599" s="941">
        <v>5.0</v>
      </c>
      <c r="AF599" s="941">
        <v>0.0</v>
      </c>
      <c r="AG599" s="941">
        <v>1061.0</v>
      </c>
      <c r="AH599" s="941">
        <v>1438.0</v>
      </c>
      <c r="AI599" s="941">
        <v>12.0</v>
      </c>
      <c r="AJ599" s="941">
        <v>0.0</v>
      </c>
      <c r="AK599" s="941">
        <v>0.0</v>
      </c>
      <c r="AL599" s="941">
        <v>2.0</v>
      </c>
      <c r="AM599" s="941">
        <v>0.0</v>
      </c>
      <c r="AN599" s="941">
        <v>0.0</v>
      </c>
      <c r="AO599" s="941">
        <v>0.0</v>
      </c>
      <c r="AP599" s="941">
        <v>2.0</v>
      </c>
      <c r="AQ599" s="941">
        <v>0.0</v>
      </c>
      <c r="AR599" s="941">
        <v>9.0</v>
      </c>
      <c r="AS599" s="941">
        <v>2.0</v>
      </c>
      <c r="AT599" s="941">
        <v>1.0</v>
      </c>
      <c r="AU599" s="941">
        <v>0.0</v>
      </c>
      <c r="AV599" s="941">
        <v>0.0</v>
      </c>
      <c r="AW599" s="941">
        <v>0.0</v>
      </c>
      <c r="AX599" s="941">
        <v>0.0</v>
      </c>
      <c r="AY599" s="941">
        <v>0.0</v>
      </c>
      <c r="AZ599" s="941">
        <v>0.0</v>
      </c>
      <c r="BA599" s="941">
        <v>0.0</v>
      </c>
      <c r="BB599" s="941">
        <v>1.0</v>
      </c>
      <c r="BC599" s="941">
        <v>0.0</v>
      </c>
      <c r="BD599" s="941">
        <v>9.0</v>
      </c>
      <c r="BE599" s="941">
        <v>6.0</v>
      </c>
      <c r="BF599" s="941">
        <v>0.0</v>
      </c>
      <c r="BG599" s="941">
        <v>1.0</v>
      </c>
    </row>
    <row r="600">
      <c r="A600" s="1" t="s">
        <v>129</v>
      </c>
      <c r="B600" s="421" t="str">
        <f>IF(C600&lt;'PlayerGrades+'!$Y$44,"F-",IF(C600&lt;'PlayerGrades+'!$Y$43,"F",IF(C600&lt;'PlayerGrades+'!$Y$42,"F+",IF(C600&lt;'PlayerGrades+'!$Y$41,"E-",IF(C600&lt;'PlayerGrades+'!$Y$40,"E",IF(C600&lt;'PlayerGrades+'!$Y$39,"E+",IF(C600&lt;'PlayerGrades+'!$Y$38,"D-",IF(C600&lt;'PlayerGrades+'!$Y$37,"D",IF(C600&lt;'PlayerGrades+'!$Y$36,"D+",IF(C600&lt;'PlayerGrades+'!$Y$35,"C-",IF(C600&lt;'PlayerGrades+'!$Y$34,"C",IF(C600&lt;'PlayerGrades+'!$Y$33,"C+",IF(C600&lt;'PlayerGrades+'!$Y$32,"B-",IF(C600&lt;'PlayerGrades+'!$Y$31,"B",IF(C600&lt;'PlayerGrades+'!$Y$30,"B+",IF(C600&lt;'PlayerGrades+'!$Y$29,"A-",IF(C600&lt;'PlayerGrades+'!$Y$28,"A",IF(C600&lt;'PlayerGrades+'!$Y$27,"A+",IF(C600&lt;'PlayerGrades+'!$Y$26,"S-",IF(C600&lt;'PlayerGrades+'!$Y$25,"S","S+"))))))))))))))))))))</f>
        <v>A</v>
      </c>
      <c r="C600" s="972">
        <f>('PlayerGrades+'!$Y$47*(VLOOKUP(E600, 'PlayerGrades+'!$X$3:$Y$23, 2, FALSE)))+('PlayerGrades+'!$Y$48*(VLOOKUP(G600, 'PlayerGrades+'!$X$3:$Y$23, 2, FALSE)))+('PlayerGrades+'!$Y$49*(VLOOKUP(I600, 'PlayerGrades+'!$X$3:$Y$23, 2, FALSE)))+('PlayerGrades+'!$Y$50*(VLOOKUP(K600, 'PlayerGrades+'!$X$3:$Y$23, 2, FALSE)))+('PlayerGrades+'!$Y$51*(VLOOKUP(M600, 'PlayerGrades+'!$X$3:$Y$23, 2, FALSE)))+('PlayerGrades+'!$Y$52*(VLOOKUP(O600, 'PlayerGrades+'!$X$3:$Y$23, 2, FALSE)))+('PlayerGrades+'!$Y$53*(VLOOKUP(Q600, 'PlayerGrades+'!$X$3:$Y$23, 2, FALSE)))+('PlayerGrades+'!$Y$54*(VLOOKUP(S600, 'PlayerGrades+'!$X$3:$Y$23, 2, FALSE)))+('PlayerGrades+'!$Y$55*(VLOOKUP(U600, 'PlayerGrades+'!$X$3:$Y$23, 2, FALSE)))</f>
        <v>28.15</v>
      </c>
      <c r="D600" s="973">
        <f t="shared" si="1"/>
        <v>0</v>
      </c>
      <c r="E600" s="973" t="str">
        <f>IF(D600&lt;'PlayerGrades+'!$AA$21,"F-",IF(D600&lt;'PlayerGrades+'!$AA$20,"F",IF(D600&lt;'PlayerGrades+'!$AA$19,"F+",IF(D600&lt;'PlayerGrades+'!$AA$18,"E-",IF(D600&lt;'PlayerGrades+'!$AA$17,"E",IF(D600&lt;'PlayerGrades+'!$AA$16,"E+",IF(D600&lt;'PlayerGrades+'!$AA$15,"D-",IF(D600&lt;'PlayerGrades+'!$AA$14,"D",IF(D600&lt;'PlayerGrades+'!$AA$13,"D+",IF(D600&lt;'PlayerGrades+'!$AA$12,"C-",IF(D600&lt;'PlayerGrades+'!$AA$11,"C",IF(D600&lt;'PlayerGrades+'!$AA$10,"C+",IF(D600&lt;'PlayerGrades+'!$AA$9,"B-",IF(D600&lt;'PlayerGrades+'!$AA$8,"B",IF(D600&lt;'PlayerGrades+'!$AA$7,"B+",IF(D600&lt;'PlayerGrades+'!$AA$6,"A-",IF(D600&lt;'PlayerGrades+'!$AA$5,"A",IF(D600&lt;'PlayerGrades+'!$AA$4,"A+",IF(D600&lt;'PlayerGrades+'!$AA$3,"S-",IF(D600&lt;'PlayerGrades+'!$AA$2,"S","S+"))))))))))))))))))))</f>
        <v>F-</v>
      </c>
      <c r="F600" s="973">
        <f t="shared" si="2"/>
        <v>0.7510431154</v>
      </c>
      <c r="G600" s="973" t="str">
        <f>IF(F600&lt;'PlayerGrades+'!$AB$21,"F-",IF(F600&lt;'PlayerGrades+'!$AB$20,"F",IF(F600&lt;'PlayerGrades+'!$AB$19,"F+",IF(F600&lt;'PlayerGrades+'!$AB$18,"E-",IF(F600&lt;'PlayerGrades+'!$AB$17,"E",IF(F600&lt;'PlayerGrades+'!$AB$16,"E+",IF(F600&lt;'PlayerGrades+'!$AB$15,"D-",IF(F600&lt;'PlayerGrades+'!$AB$14,"D",IF(F600&lt;'PlayerGrades+'!$AB$13,"D+",IF(F600&lt;'PlayerGrades+'!$AB$12,"C-",IF(F600&lt;'PlayerGrades+'!$AB$11,"C",IF(F600&lt;'PlayerGrades+'!$AB$10,"C+",IF(F600&lt;'PlayerGrades+'!$AB$9,"B-",IF(F600&lt;'PlayerGrades+'!$AB$8,"B",IF(F600&lt;'PlayerGrades+'!$AB$7,"B+",IF(F600&lt;'PlayerGrades+'!$AB$6,"A-",IF(F600&lt;'PlayerGrades+'!$AB$5,"A",IF(F600&lt;'PlayerGrades+'!$AB$4,"A+",IF(F600&lt;'PlayerGrades+'!$AB$3,"S-",IF(F600&lt;'PlayerGrades+'!$AB$2,"S","S+"))))))))))))))))))))</f>
        <v>S</v>
      </c>
      <c r="H600" s="973">
        <f t="shared" si="3"/>
        <v>0.2503477051</v>
      </c>
      <c r="I600" s="973" t="str">
        <f>IF(H600&lt;'PlayerGrades+'!$AC$21,"F-",IF(H600&lt;'PlayerGrades+'!$AC$20,"F",IF(H600&lt;'PlayerGrades+'!$AC$19,"F+",IF(H600&lt;'PlayerGrades+'!$AC$18,"E-",IF(H600&lt;'PlayerGrades+'!$AC$17,"E",IF(H600&lt;'PlayerGrades+'!$AC$16,"E+",IF(H600&lt;'PlayerGrades+'!$AC$15,"D-",IF(H600&lt;'PlayerGrades+'!$AC$14,"D",IF(H600&lt;'PlayerGrades+'!$AC$13,"D+",IF(H600&lt;'PlayerGrades+'!$AC$12,"C-",IF(H600&lt;'PlayerGrades+'!$AC$11,"C",IF(H600&lt;'PlayerGrades+'!$AC$10,"C+",IF(H600&lt;'PlayerGrades+'!$AC$9,"B-",IF(H600&lt;'PlayerGrades+'!$AC$8,"B",IF(H600&lt;'PlayerGrades+'!$AC$7,"B+",IF(H600&lt;'PlayerGrades+'!$AC$6,"A-",IF(H600&lt;'PlayerGrades+'!$AC$5,"A",IF(H600&lt;'PlayerGrades+'!$AC$4,"A+",IF(H600&lt;'PlayerGrades+'!$AC$3,"S-",IF(H600&lt;'PlayerGrades+'!$AC$2,"S","S+"))))))))))))))))))))</f>
        <v>S</v>
      </c>
      <c r="J600" s="973">
        <f t="shared" si="4"/>
        <v>0.1251738526</v>
      </c>
      <c r="K600" s="973" t="str">
        <f>IF(J600&lt;'PlayerGrades+'!$AD$21,"F-",IF(J600&lt;'PlayerGrades+'!$AD$20,"F",IF(J600&lt;'PlayerGrades+'!$AD$19,"F+",IF(J600&lt;'PlayerGrades+'!$AD$18,"E-",IF(J600&lt;'PlayerGrades+'!$AD$17,"E",IF(J600&lt;'PlayerGrades+'!$AD$16,"E+",IF(J600&lt;'PlayerGrades+'!$AD$15,"D-",IF(J600&lt;'PlayerGrades+'!$AD$14,"D",IF(J600&lt;'PlayerGrades+'!$AD$13,"D+",IF(J600&lt;'PlayerGrades+'!$AD$12,"C-",IF(J600&lt;'PlayerGrades+'!$AD$11,"C",IF(J600&lt;'PlayerGrades+'!$AD$10,"C+",IF(J600&lt;'PlayerGrades+'!$AD$9,"B-",IF(J600&lt;'PlayerGrades+'!$AD$8,"B",IF(J600&lt;'PlayerGrades+'!$AD$7,"B+",IF(J600&lt;'PlayerGrades+'!$AD$6,"A-",IF(J600&lt;'PlayerGrades+'!$AD$5,"A",IF(J600&lt;'PlayerGrades+'!$AD$4,"A+",IF(J600&lt;'PlayerGrades+'!$AD$3,"S-",IF(J600&lt;'PlayerGrades+'!$AD$2,"S","S+"))))))))))))))))))))</f>
        <v>S+</v>
      </c>
      <c r="L600" s="974">
        <f t="shared" si="5"/>
        <v>0.5841446453</v>
      </c>
      <c r="M600" s="975" t="str">
        <f>IF(L600&lt;'PlayerGrades+'!$AE$21,"F-",IF(L600&lt;'PlayerGrades+'!$AE$20,"F",IF(L600&lt;'PlayerGrades+'!$AE$19,"F+",IF(L600&lt;'PlayerGrades+'!$AE$18,"E-",IF(L600&lt;'PlayerGrades+'!$AE$17,"E",IF(L600&lt;'PlayerGrades+'!$AE$16,"E+",IF(L600&lt;'PlayerGrades+'!$AE$15,"D-",IF(L600&lt;'PlayerGrades+'!$AE$14,"D",IF(L600&lt;'PlayerGrades+'!$AE$13,"D+",IF(L600&lt;'PlayerGrades+'!$AE$12,"C-",IF(L600&lt;'PlayerGrades+'!$AE$11,"C",IF(L600&lt;'PlayerGrades+'!$AE$10,"C+",IF(L600&lt;'PlayerGrades+'!$AE$9,"B-",IF(L600&lt;'PlayerGrades+'!$AE$8,"B",IF(L600&lt;'PlayerGrades+'!$AE$7,"B+",IF(L600&lt;'PlayerGrades+'!$AE$6,"A-",IF(L600&lt;'PlayerGrades+'!$AE$5,"A",IF(L600&lt;'PlayerGrades+'!$AE$4,"A+",IF(L600&lt;'PlayerGrades+'!$AE$3,"S-",IF(L600&lt;'PlayerGrades+'!$AE$2,"S","S+"))))))))))))))))))))</f>
        <v>A</v>
      </c>
      <c r="N600" s="973">
        <f t="shared" si="6"/>
        <v>0.08344923505</v>
      </c>
      <c r="O600" s="973" t="str">
        <f>IF(N600&lt;'PlayerGrades+'!$AF$21,"F-",IF(N600&lt;'PlayerGrades+'!$AF$20,"F",IF(N600&lt;'PlayerGrades+'!$AF$19,"F+",IF(N600&lt;'PlayerGrades+'!$AF$18,"E-",IF(N600&lt;'PlayerGrades+'!$AF$17,"E",IF(N600&lt;'PlayerGrades+'!$AF$16,"E+",IF(N600&lt;'PlayerGrades+'!$AF$15,"D-",IF(N600&lt;'PlayerGrades+'!$AF$14,"D",IF(N600&lt;'PlayerGrades+'!$AF$13,"D+",IF(N600&lt;'PlayerGrades+'!$AF$12,"C-",IF(N600&lt;'PlayerGrades+'!$AF$11,"C",IF(N600&lt;'PlayerGrades+'!$AF$10,"C+",IF(N600&lt;'PlayerGrades+'!$AF$9,"B-",IF(N600&lt;'PlayerGrades+'!$AF$8,"B",IF(N600&lt;'PlayerGrades+'!$AF$7,"B+",IF(N600&lt;'PlayerGrades+'!$AF$6,"A-",IF(N600&lt;'PlayerGrades+'!$AF$5,"A",IF(N600&lt;'PlayerGrades+'!$AF$4,"A+",IF(N600&lt;'PlayerGrades+'!$AF$3,"S-",IF(N600&lt;'PlayerGrades+'!$AF$2,"S","S+"))))))))))))))))))))</f>
        <v>B</v>
      </c>
      <c r="P600" s="973">
        <f t="shared" si="7"/>
        <v>0.08344923505</v>
      </c>
      <c r="Q600" s="973" t="str">
        <f>IF(P600&lt;'PlayerGrades+'!$AG$21,"F-",IF(P600&lt;'PlayerGrades+'!$AG$20,"F",IF(P600&lt;'PlayerGrades+'!$AG$19,"F+",IF(P600&lt;'PlayerGrades+'!$AG$18,"E-",IF(P600&lt;'PlayerGrades+'!$AG$17,"E",IF(P600&lt;'PlayerGrades+'!$AG$16,"E+",IF(P600&lt;'PlayerGrades+'!$AG$15,"D-",IF(P600&lt;'PlayerGrades+'!$AG$14,"D",IF(P600&lt;'PlayerGrades+'!$AG$13,"D+",IF(P600&lt;'PlayerGrades+'!$AG$12,"C-",IF(P600&lt;'PlayerGrades+'!$AG$11,"C",IF(P600&lt;'PlayerGrades+'!$AG$10,"C+",IF(P600&lt;'PlayerGrades+'!$AG$9,"B-",IF(P600&lt;'PlayerGrades+'!$AG$8,"B",IF(P600&lt;'PlayerGrades+'!$AG$7,"B+",IF(P600&lt;'PlayerGrades+'!$AG$6,"A-",IF(P600&lt;'PlayerGrades+'!$AG$5,"A",IF(P600&lt;'PlayerGrades+'!$AG$4,"A+",IF(P600&lt;'PlayerGrades+'!$AG$3,"S-",IF(P600&lt;'PlayerGrades+'!$AG$2,"S","S+"))))))))))))))))))))</f>
        <v>S</v>
      </c>
      <c r="R600" s="973">
        <f t="shared" si="8"/>
        <v>0.6258692629</v>
      </c>
      <c r="S600" s="973" t="str">
        <f>IF(R600&lt;'PlayerGrades+'!$AH$21,"F-",IF(R600&lt;'PlayerGrades+'!$AH$20,"F",IF(R600&lt;'PlayerGrades+'!$AH$19,"F+",IF(R600&lt;'PlayerGrades+'!$AH$18,"E-",IF(R600&lt;'PlayerGrades+'!$AH$17,"E",IF(R600&lt;'PlayerGrades+'!$AH$16,"E+",IF(R600&lt;'PlayerGrades+'!$AH$15,"D-",IF(R600&lt;'PlayerGrades+'!$AH$14,"D",IF(R600&lt;'PlayerGrades+'!$AH$13,"D+",IF(R600&lt;'PlayerGrades+'!$AH$12,"C-",IF(R600&lt;'PlayerGrades+'!$AH$11,"C",IF(R600&lt;'PlayerGrades+'!$AH$10,"C+",IF(R600&lt;'PlayerGrades+'!$AH$9,"B-",IF(R600&lt;'PlayerGrades+'!$AH$8,"B",IF(R600&lt;'PlayerGrades+'!$AH$7,"B+",IF(R600&lt;'PlayerGrades+'!$AH$6,"A-",IF(R600&lt;'PlayerGrades+'!$AH$5,"A",IF(R600&lt;'PlayerGrades+'!$AH$4,"A+",IF(R600&lt;'PlayerGrades+'!$AH$3,"S-",IF(R600&lt;'PlayerGrades+'!$AH$2,"S","S+"))))))))))))))))))))</f>
        <v>A</v>
      </c>
      <c r="T600" s="973">
        <f t="shared" si="9"/>
        <v>1.33379694</v>
      </c>
      <c r="U600" s="973" t="str">
        <f>IF(T600&lt;'PlayerGrades+'!$AI$21,"F-",IF(T600&lt;'PlayerGrades+'!$AI$20,"F",IF(T600&lt;'PlayerGrades+'!$AI$19,"F+",IF(T600&lt;'PlayerGrades+'!$AI$18,"E-",IF(T600&lt;'PlayerGrades+'!$AI$17,"E",IF(T600&lt;'PlayerGrades+'!$AI$16,"E+",IF(T600&lt;'PlayerGrades+'!$AI$15,"D-",IF(T600&lt;'PlayerGrades+'!$AI$14,"D",IF(T600&lt;'PlayerGrades+'!$AI$13,"D+",IF(T600&lt;'PlayerGrades+'!$AI$12,"C-",IF(T600&lt;'PlayerGrades+'!$AI$11,"C",IF(T600&lt;'PlayerGrades+'!$AI$10,"C+",IF(T600&lt;'PlayerGrades+'!$AI$9,"B-",IF(T600&lt;'PlayerGrades+'!$AI$8,"B",IF(T600&lt;'PlayerGrades+'!$AI$7,"B+",IF(T600&lt;'PlayerGrades+'!$AI$6,"A-",IF(T600&lt;'PlayerGrades+'!$AI$5,"A",IF(T600&lt;'PlayerGrades+'!$AI$4,"A+",IF(T600&lt;'PlayerGrades+'!$AI$3,"S-",IF(T600&lt;'PlayerGrades+'!$AI$2,"S","S+"))))))))))))))))))))</f>
        <v>B-</v>
      </c>
      <c r="V600" s="941">
        <v>1.0</v>
      </c>
      <c r="W600" s="941">
        <v>0.0</v>
      </c>
      <c r="X600" s="941">
        <v>1.0</v>
      </c>
      <c r="Y600" s="941">
        <v>0.0</v>
      </c>
      <c r="Z600" s="941">
        <v>0.0</v>
      </c>
      <c r="AA600" s="941">
        <v>90.0</v>
      </c>
      <c r="AB600" s="941">
        <v>72.0</v>
      </c>
      <c r="AC600" s="941">
        <v>18.0</v>
      </c>
      <c r="AD600" s="941">
        <v>7.0</v>
      </c>
      <c r="AE600" s="941">
        <v>5.0</v>
      </c>
      <c r="AF600" s="941">
        <v>0.0</v>
      </c>
      <c r="AG600" s="941">
        <v>1097.0</v>
      </c>
      <c r="AH600" s="941">
        <v>1438.0</v>
      </c>
      <c r="AI600" s="941">
        <v>15.0</v>
      </c>
      <c r="AJ600" s="941">
        <v>22.0</v>
      </c>
      <c r="AK600" s="941">
        <v>0.0</v>
      </c>
      <c r="AL600" s="941">
        <v>3.0</v>
      </c>
      <c r="AM600" s="941">
        <v>0.0</v>
      </c>
      <c r="AN600" s="941">
        <v>0.0</v>
      </c>
      <c r="AO600" s="941">
        <v>0.0</v>
      </c>
      <c r="AP600" s="941">
        <v>2.0</v>
      </c>
      <c r="AQ600" s="941">
        <v>0.0</v>
      </c>
      <c r="AR600" s="941">
        <v>14.0</v>
      </c>
      <c r="AS600" s="941">
        <v>2.0</v>
      </c>
      <c r="AT600" s="941">
        <v>1.0</v>
      </c>
      <c r="AU600" s="941">
        <v>0.0</v>
      </c>
      <c r="AV600" s="941">
        <v>0.0</v>
      </c>
      <c r="AW600" s="941">
        <v>0.0</v>
      </c>
      <c r="AX600" s="941">
        <v>0.0</v>
      </c>
      <c r="AY600" s="941">
        <v>0.0</v>
      </c>
      <c r="AZ600" s="941">
        <v>0.0</v>
      </c>
      <c r="BA600" s="941">
        <v>0.0</v>
      </c>
      <c r="BB600" s="941">
        <v>6.0</v>
      </c>
      <c r="BC600" s="941">
        <v>0.0</v>
      </c>
      <c r="BD600" s="941">
        <v>8.0</v>
      </c>
      <c r="BE600" s="941">
        <v>8.0</v>
      </c>
      <c r="BF600" s="941">
        <v>1.0</v>
      </c>
      <c r="BG600" s="941">
        <v>1.0</v>
      </c>
    </row>
    <row r="601">
      <c r="A601" s="882" t="s">
        <v>140</v>
      </c>
      <c r="B601" s="421" t="str">
        <f>IF(C601&lt;'PlayerGrades+'!$Y$44,"F-",IF(C601&lt;'PlayerGrades+'!$Y$43,"F",IF(C601&lt;'PlayerGrades+'!$Y$42,"F+",IF(C601&lt;'PlayerGrades+'!$Y$41,"E-",IF(C601&lt;'PlayerGrades+'!$Y$40,"E",IF(C601&lt;'PlayerGrades+'!$Y$39,"E+",IF(C601&lt;'PlayerGrades+'!$Y$38,"D-",IF(C601&lt;'PlayerGrades+'!$Y$37,"D",IF(C601&lt;'PlayerGrades+'!$Y$36,"D+",IF(C601&lt;'PlayerGrades+'!$Y$35,"C-",IF(C601&lt;'PlayerGrades+'!$Y$34,"C",IF(C601&lt;'PlayerGrades+'!$Y$33,"C+",IF(C601&lt;'PlayerGrades+'!$Y$32,"B-",IF(C601&lt;'PlayerGrades+'!$Y$31,"B",IF(C601&lt;'PlayerGrades+'!$Y$30,"B+",IF(C601&lt;'PlayerGrades+'!$Y$29,"A-",IF(C601&lt;'PlayerGrades+'!$Y$28,"A",IF(C601&lt;'PlayerGrades+'!$Y$27,"A+",IF(C601&lt;'PlayerGrades+'!$Y$26,"S-",IF(C601&lt;'PlayerGrades+'!$Y$25,"S","S+"))))))))))))))))))))</f>
        <v>C+</v>
      </c>
      <c r="C601" s="972">
        <f>('PlayerGrades+'!$Y$47*(VLOOKUP(E601, 'PlayerGrades+'!$X$3:$Y$23, 2, FALSE)))+('PlayerGrades+'!$Y$48*(VLOOKUP(G601, 'PlayerGrades+'!$X$3:$Y$23, 2, FALSE)))+('PlayerGrades+'!$Y$49*(VLOOKUP(I601, 'PlayerGrades+'!$X$3:$Y$23, 2, FALSE)))+('PlayerGrades+'!$Y$50*(VLOOKUP(K601, 'PlayerGrades+'!$X$3:$Y$23, 2, FALSE)))+('PlayerGrades+'!$Y$51*(VLOOKUP(M601, 'PlayerGrades+'!$X$3:$Y$23, 2, FALSE)))+('PlayerGrades+'!$Y$52*(VLOOKUP(O601, 'PlayerGrades+'!$X$3:$Y$23, 2, FALSE)))+('PlayerGrades+'!$Y$53*(VLOOKUP(Q601, 'PlayerGrades+'!$X$3:$Y$23, 2, FALSE)))+('PlayerGrades+'!$Y$54*(VLOOKUP(S601, 'PlayerGrades+'!$X$3:$Y$23, 2, FALSE)))+('PlayerGrades+'!$Y$55*(VLOOKUP(U601, 'PlayerGrades+'!$X$3:$Y$23, 2, FALSE)))</f>
        <v>21.1</v>
      </c>
      <c r="D601" s="973">
        <f t="shared" si="1"/>
        <v>0</v>
      </c>
      <c r="E601" s="973" t="str">
        <f>IF(D601&lt;'PlayerGrades+'!$AA$21,"F-",IF(D601&lt;'PlayerGrades+'!$AA$20,"F",IF(D601&lt;'PlayerGrades+'!$AA$19,"F+",IF(D601&lt;'PlayerGrades+'!$AA$18,"E-",IF(D601&lt;'PlayerGrades+'!$AA$17,"E",IF(D601&lt;'PlayerGrades+'!$AA$16,"E+",IF(D601&lt;'PlayerGrades+'!$AA$15,"D-",IF(D601&lt;'PlayerGrades+'!$AA$14,"D",IF(D601&lt;'PlayerGrades+'!$AA$13,"D+",IF(D601&lt;'PlayerGrades+'!$AA$12,"C-",IF(D601&lt;'PlayerGrades+'!$AA$11,"C",IF(D601&lt;'PlayerGrades+'!$AA$10,"C+",IF(D601&lt;'PlayerGrades+'!$AA$9,"B-",IF(D601&lt;'PlayerGrades+'!$AA$8,"B",IF(D601&lt;'PlayerGrades+'!$AA$7,"B+",IF(D601&lt;'PlayerGrades+'!$AA$6,"A-",IF(D601&lt;'PlayerGrades+'!$AA$5,"A",IF(D601&lt;'PlayerGrades+'!$AA$4,"A+",IF(D601&lt;'PlayerGrades+'!$AA$3,"S-",IF(D601&lt;'PlayerGrades+'!$AA$2,"S","S+"))))))))))))))))))))</f>
        <v>F-</v>
      </c>
      <c r="F601" s="973">
        <f t="shared" si="2"/>
        <v>-0.4172461752</v>
      </c>
      <c r="G601" s="973" t="str">
        <f>IF(F601&lt;'PlayerGrades+'!$AB$21,"F-",IF(F601&lt;'PlayerGrades+'!$AB$20,"F",IF(F601&lt;'PlayerGrades+'!$AB$19,"F+",IF(F601&lt;'PlayerGrades+'!$AB$18,"E-",IF(F601&lt;'PlayerGrades+'!$AB$17,"E",IF(F601&lt;'PlayerGrades+'!$AB$16,"E+",IF(F601&lt;'PlayerGrades+'!$AB$15,"D-",IF(F601&lt;'PlayerGrades+'!$AB$14,"D",IF(F601&lt;'PlayerGrades+'!$AB$13,"D+",IF(F601&lt;'PlayerGrades+'!$AB$12,"C-",IF(F601&lt;'PlayerGrades+'!$AB$11,"C",IF(F601&lt;'PlayerGrades+'!$AB$10,"C+",IF(F601&lt;'PlayerGrades+'!$AB$9,"B-",IF(F601&lt;'PlayerGrades+'!$AB$8,"B",IF(F601&lt;'PlayerGrades+'!$AB$7,"B+",IF(F601&lt;'PlayerGrades+'!$AB$6,"A-",IF(F601&lt;'PlayerGrades+'!$AB$5,"A",IF(F601&lt;'PlayerGrades+'!$AB$4,"A+",IF(F601&lt;'PlayerGrades+'!$AB$3,"S-",IF(F601&lt;'PlayerGrades+'!$AB$2,"S","S+"))))))))))))))))))))</f>
        <v>D</v>
      </c>
      <c r="H601" s="973">
        <f t="shared" si="3"/>
        <v>0.2086230876</v>
      </c>
      <c r="I601" s="973" t="str">
        <f>IF(H601&lt;'PlayerGrades+'!$AC$21,"F-",IF(H601&lt;'PlayerGrades+'!$AC$20,"F",IF(H601&lt;'PlayerGrades+'!$AC$19,"F+",IF(H601&lt;'PlayerGrades+'!$AC$18,"E-",IF(H601&lt;'PlayerGrades+'!$AC$17,"E",IF(H601&lt;'PlayerGrades+'!$AC$16,"E+",IF(H601&lt;'PlayerGrades+'!$AC$15,"D-",IF(H601&lt;'PlayerGrades+'!$AC$14,"D",IF(H601&lt;'PlayerGrades+'!$AC$13,"D+",IF(H601&lt;'PlayerGrades+'!$AC$12,"C-",IF(H601&lt;'PlayerGrades+'!$AC$11,"C",IF(H601&lt;'PlayerGrades+'!$AC$10,"C+",IF(H601&lt;'PlayerGrades+'!$AC$9,"B-",IF(H601&lt;'PlayerGrades+'!$AC$8,"B",IF(H601&lt;'PlayerGrades+'!$AC$7,"B+",IF(H601&lt;'PlayerGrades+'!$AC$6,"A-",IF(H601&lt;'PlayerGrades+'!$AC$5,"A",IF(H601&lt;'PlayerGrades+'!$AC$4,"A+",IF(H601&lt;'PlayerGrades+'!$AC$3,"S-",IF(H601&lt;'PlayerGrades+'!$AC$2,"S","S+"))))))))))))))))))))</f>
        <v>S</v>
      </c>
      <c r="J601" s="973">
        <f t="shared" si="4"/>
        <v>0.08344923505</v>
      </c>
      <c r="K601" s="973" t="str">
        <f>IF(J601&lt;'PlayerGrades+'!$AD$21,"F-",IF(J601&lt;'PlayerGrades+'!$AD$20,"F",IF(J601&lt;'PlayerGrades+'!$AD$19,"F+",IF(J601&lt;'PlayerGrades+'!$AD$18,"E-",IF(J601&lt;'PlayerGrades+'!$AD$17,"E",IF(J601&lt;'PlayerGrades+'!$AD$16,"E+",IF(J601&lt;'PlayerGrades+'!$AD$15,"D-",IF(J601&lt;'PlayerGrades+'!$AD$14,"D",IF(J601&lt;'PlayerGrades+'!$AD$13,"D+",IF(J601&lt;'PlayerGrades+'!$AD$12,"C-",IF(J601&lt;'PlayerGrades+'!$AD$11,"C",IF(J601&lt;'PlayerGrades+'!$AD$10,"C+",IF(J601&lt;'PlayerGrades+'!$AD$9,"B-",IF(J601&lt;'PlayerGrades+'!$AD$8,"B",IF(J601&lt;'PlayerGrades+'!$AD$7,"B+",IF(J601&lt;'PlayerGrades+'!$AD$6,"A-",IF(J601&lt;'PlayerGrades+'!$AD$5,"A",IF(J601&lt;'PlayerGrades+'!$AD$4,"A+",IF(J601&lt;'PlayerGrades+'!$AD$3,"S-",IF(J601&lt;'PlayerGrades+'!$AD$2,"S","S+"))))))))))))))))))))</f>
        <v>A+</v>
      </c>
      <c r="L601" s="974">
        <f t="shared" si="5"/>
        <v>0.2920723227</v>
      </c>
      <c r="M601" s="975" t="str">
        <f>IF(L601&lt;'PlayerGrades+'!$AE$21,"F-",IF(L601&lt;'PlayerGrades+'!$AE$20,"F",IF(L601&lt;'PlayerGrades+'!$AE$19,"F+",IF(L601&lt;'PlayerGrades+'!$AE$18,"E-",IF(L601&lt;'PlayerGrades+'!$AE$17,"E",IF(L601&lt;'PlayerGrades+'!$AE$16,"E+",IF(L601&lt;'PlayerGrades+'!$AE$15,"D-",IF(L601&lt;'PlayerGrades+'!$AE$14,"D",IF(L601&lt;'PlayerGrades+'!$AE$13,"D+",IF(L601&lt;'PlayerGrades+'!$AE$12,"C-",IF(L601&lt;'PlayerGrades+'!$AE$11,"C",IF(L601&lt;'PlayerGrades+'!$AE$10,"C+",IF(L601&lt;'PlayerGrades+'!$AE$9,"B-",IF(L601&lt;'PlayerGrades+'!$AE$8,"B",IF(L601&lt;'PlayerGrades+'!$AE$7,"B+",IF(L601&lt;'PlayerGrades+'!$AE$6,"A-",IF(L601&lt;'PlayerGrades+'!$AE$5,"A",IF(L601&lt;'PlayerGrades+'!$AE$4,"A+",IF(L601&lt;'PlayerGrades+'!$AE$3,"S-",IF(L601&lt;'PlayerGrades+'!$AE$2,"S","S+"))))))))))))))))))))</f>
        <v>F+</v>
      </c>
      <c r="N601" s="973">
        <f t="shared" si="6"/>
        <v>0.08344923505</v>
      </c>
      <c r="O601" s="973" t="str">
        <f>IF(N601&lt;'PlayerGrades+'!$AF$21,"F-",IF(N601&lt;'PlayerGrades+'!$AF$20,"F",IF(N601&lt;'PlayerGrades+'!$AF$19,"F+",IF(N601&lt;'PlayerGrades+'!$AF$18,"E-",IF(N601&lt;'PlayerGrades+'!$AF$17,"E",IF(N601&lt;'PlayerGrades+'!$AF$16,"E+",IF(N601&lt;'PlayerGrades+'!$AF$15,"D-",IF(N601&lt;'PlayerGrades+'!$AF$14,"D",IF(N601&lt;'PlayerGrades+'!$AF$13,"D+",IF(N601&lt;'PlayerGrades+'!$AF$12,"C-",IF(N601&lt;'PlayerGrades+'!$AF$11,"C",IF(N601&lt;'PlayerGrades+'!$AF$10,"C+",IF(N601&lt;'PlayerGrades+'!$AF$9,"B-",IF(N601&lt;'PlayerGrades+'!$AF$8,"B",IF(N601&lt;'PlayerGrades+'!$AF$7,"B+",IF(N601&lt;'PlayerGrades+'!$AF$6,"A-",IF(N601&lt;'PlayerGrades+'!$AF$5,"A",IF(N601&lt;'PlayerGrades+'!$AF$4,"A+",IF(N601&lt;'PlayerGrades+'!$AF$3,"S-",IF(N601&lt;'PlayerGrades+'!$AF$2,"S","S+"))))))))))))))))))))</f>
        <v>B</v>
      </c>
      <c r="P601" s="973">
        <f t="shared" si="7"/>
        <v>0.08344923505</v>
      </c>
      <c r="Q601" s="973" t="str">
        <f>IF(P601&lt;'PlayerGrades+'!$AG$21,"F-",IF(P601&lt;'PlayerGrades+'!$AG$20,"F",IF(P601&lt;'PlayerGrades+'!$AG$19,"F+",IF(P601&lt;'PlayerGrades+'!$AG$18,"E-",IF(P601&lt;'PlayerGrades+'!$AG$17,"E",IF(P601&lt;'PlayerGrades+'!$AG$16,"E+",IF(P601&lt;'PlayerGrades+'!$AG$15,"D-",IF(P601&lt;'PlayerGrades+'!$AG$14,"D",IF(P601&lt;'PlayerGrades+'!$AG$13,"D+",IF(P601&lt;'PlayerGrades+'!$AG$12,"C-",IF(P601&lt;'PlayerGrades+'!$AG$11,"C",IF(P601&lt;'PlayerGrades+'!$AG$10,"C+",IF(P601&lt;'PlayerGrades+'!$AG$9,"B-",IF(P601&lt;'PlayerGrades+'!$AG$8,"B",IF(P601&lt;'PlayerGrades+'!$AG$7,"B+",IF(P601&lt;'PlayerGrades+'!$AG$6,"A-",IF(P601&lt;'PlayerGrades+'!$AG$5,"A",IF(P601&lt;'PlayerGrades+'!$AG$4,"A+",IF(P601&lt;'PlayerGrades+'!$AG$3,"S-",IF(P601&lt;'PlayerGrades+'!$AG$2,"S","S+"))))))))))))))))))))</f>
        <v>S</v>
      </c>
      <c r="R601" s="973">
        <f t="shared" si="8"/>
        <v>0.6675938804</v>
      </c>
      <c r="S601" s="973" t="str">
        <f>IF(R601&lt;'PlayerGrades+'!$AH$21,"F-",IF(R601&lt;'PlayerGrades+'!$AH$20,"F",IF(R601&lt;'PlayerGrades+'!$AH$19,"F+",IF(R601&lt;'PlayerGrades+'!$AH$18,"E-",IF(R601&lt;'PlayerGrades+'!$AH$17,"E",IF(R601&lt;'PlayerGrades+'!$AH$16,"E+",IF(R601&lt;'PlayerGrades+'!$AH$15,"D-",IF(R601&lt;'PlayerGrades+'!$AH$14,"D",IF(R601&lt;'PlayerGrades+'!$AH$13,"D+",IF(R601&lt;'PlayerGrades+'!$AH$12,"C-",IF(R601&lt;'PlayerGrades+'!$AH$11,"C",IF(R601&lt;'PlayerGrades+'!$AH$10,"C+",IF(R601&lt;'PlayerGrades+'!$AH$9,"B-",IF(R601&lt;'PlayerGrades+'!$AH$8,"B",IF(R601&lt;'PlayerGrades+'!$AH$7,"B+",IF(R601&lt;'PlayerGrades+'!$AH$6,"A-",IF(R601&lt;'PlayerGrades+'!$AH$5,"A",IF(R601&lt;'PlayerGrades+'!$AH$4,"A+",IF(R601&lt;'PlayerGrades+'!$AH$3,"S-",IF(R601&lt;'PlayerGrades+'!$AH$2,"S","S+"))))))))))))))))))))</f>
        <v>A+</v>
      </c>
      <c r="T601" s="973">
        <f t="shared" si="9"/>
        <v>0.2503477051</v>
      </c>
      <c r="U601" s="973" t="str">
        <f>IF(T601&lt;'PlayerGrades+'!$AI$21,"F-",IF(T601&lt;'PlayerGrades+'!$AI$20,"F",IF(T601&lt;'PlayerGrades+'!$AI$19,"F+",IF(T601&lt;'PlayerGrades+'!$AI$18,"E-",IF(T601&lt;'PlayerGrades+'!$AI$17,"E",IF(T601&lt;'PlayerGrades+'!$AI$16,"E+",IF(T601&lt;'PlayerGrades+'!$AI$15,"D-",IF(T601&lt;'PlayerGrades+'!$AI$14,"D",IF(T601&lt;'PlayerGrades+'!$AI$13,"D+",IF(T601&lt;'PlayerGrades+'!$AI$12,"C-",IF(T601&lt;'PlayerGrades+'!$AI$11,"C",IF(T601&lt;'PlayerGrades+'!$AI$10,"C+",IF(T601&lt;'PlayerGrades+'!$AI$9,"B-",IF(T601&lt;'PlayerGrades+'!$AI$8,"B",IF(T601&lt;'PlayerGrades+'!$AI$7,"B+",IF(T601&lt;'PlayerGrades+'!$AI$6,"A-",IF(T601&lt;'PlayerGrades+'!$AI$5,"A",IF(T601&lt;'PlayerGrades+'!$AI$4,"A+",IF(T601&lt;'PlayerGrades+'!$AI$3,"S-",IF(T601&lt;'PlayerGrades+'!$AI$2,"S","S+"))))))))))))))))))))</f>
        <v>F-</v>
      </c>
      <c r="V601" s="944">
        <v>1.0</v>
      </c>
      <c r="W601" s="944">
        <v>0.0</v>
      </c>
      <c r="X601" s="944">
        <v>1.0</v>
      </c>
      <c r="Y601" s="944">
        <v>0.0</v>
      </c>
      <c r="Z601" s="944">
        <v>0.0</v>
      </c>
      <c r="AA601" s="944">
        <v>65.0</v>
      </c>
      <c r="AB601" s="944">
        <v>75.0</v>
      </c>
      <c r="AC601" s="944">
        <v>-10.0</v>
      </c>
      <c r="AD601" s="944">
        <v>6.0</v>
      </c>
      <c r="AE601" s="944">
        <v>5.0</v>
      </c>
      <c r="AF601" s="944">
        <v>3.0</v>
      </c>
      <c r="AG601" s="944">
        <v>1088.0</v>
      </c>
      <c r="AH601" s="944">
        <v>1438.0</v>
      </c>
      <c r="AI601" s="944">
        <v>14.0</v>
      </c>
      <c r="AJ601" s="944">
        <v>5.0</v>
      </c>
      <c r="AK601" s="944">
        <v>0.0</v>
      </c>
      <c r="AL601" s="944">
        <v>2.0</v>
      </c>
      <c r="AM601" s="944">
        <v>0.0</v>
      </c>
      <c r="AN601" s="944">
        <v>0.0</v>
      </c>
      <c r="AO601" s="944">
        <v>0.0</v>
      </c>
      <c r="AP601" s="944">
        <v>2.0</v>
      </c>
      <c r="AQ601" s="944">
        <v>0.0</v>
      </c>
      <c r="AR601" s="944">
        <v>7.0</v>
      </c>
      <c r="AS601" s="944">
        <v>2.0</v>
      </c>
      <c r="AT601" s="944">
        <v>0.0</v>
      </c>
      <c r="AU601" s="944">
        <v>0.0</v>
      </c>
      <c r="AV601" s="944">
        <v>0.0</v>
      </c>
      <c r="AW601" s="944">
        <v>0.0</v>
      </c>
      <c r="AX601" s="944">
        <v>0.0</v>
      </c>
      <c r="AY601" s="944">
        <v>0.0</v>
      </c>
      <c r="AZ601" s="944">
        <v>0.0</v>
      </c>
      <c r="BA601" s="944">
        <v>0.0</v>
      </c>
      <c r="BB601" s="944">
        <v>5.0</v>
      </c>
      <c r="BC601" s="944">
        <v>0.0</v>
      </c>
      <c r="BD601" s="944">
        <v>10.0</v>
      </c>
      <c r="BE601" s="944">
        <v>6.0</v>
      </c>
      <c r="BF601" s="944">
        <v>0.0</v>
      </c>
      <c r="BG601" s="944">
        <v>1.0</v>
      </c>
    </row>
    <row r="602">
      <c r="A602" s="946" t="s">
        <v>123</v>
      </c>
      <c r="B602" s="421" t="str">
        <f>IF(C602&lt;'PlayerGrades+'!$Y$44,"F-",IF(C602&lt;'PlayerGrades+'!$Y$43,"F",IF(C602&lt;'PlayerGrades+'!$Y$42,"F+",IF(C602&lt;'PlayerGrades+'!$Y$41,"E-",IF(C602&lt;'PlayerGrades+'!$Y$40,"E",IF(C602&lt;'PlayerGrades+'!$Y$39,"E+",IF(C602&lt;'PlayerGrades+'!$Y$38,"D-",IF(C602&lt;'PlayerGrades+'!$Y$37,"D",IF(C602&lt;'PlayerGrades+'!$Y$36,"D+",IF(C602&lt;'PlayerGrades+'!$Y$35,"C-",IF(C602&lt;'PlayerGrades+'!$Y$34,"C",IF(C602&lt;'PlayerGrades+'!$Y$33,"C+",IF(C602&lt;'PlayerGrades+'!$Y$32,"B-",IF(C602&lt;'PlayerGrades+'!$Y$31,"B",IF(C602&lt;'PlayerGrades+'!$Y$30,"B+",IF(C602&lt;'PlayerGrades+'!$Y$29,"A-",IF(C602&lt;'PlayerGrades+'!$Y$28,"A",IF(C602&lt;'PlayerGrades+'!$Y$27,"A+",IF(C602&lt;'PlayerGrades+'!$Y$26,"S-",IF(C602&lt;'PlayerGrades+'!$Y$25,"S","S+"))))))))))))))))))))</f>
        <v>A</v>
      </c>
      <c r="C602" s="972">
        <f>('PlayerGrades+'!$Y$47*(VLOOKUP(E602, 'PlayerGrades+'!$X$3:$Y$23, 2, FALSE)))+('PlayerGrades+'!$Y$48*(VLOOKUP(G602, 'PlayerGrades+'!$X$3:$Y$23, 2, FALSE)))+('PlayerGrades+'!$Y$49*(VLOOKUP(I602, 'PlayerGrades+'!$X$3:$Y$23, 2, FALSE)))+('PlayerGrades+'!$Y$50*(VLOOKUP(K602, 'PlayerGrades+'!$X$3:$Y$23, 2, FALSE)))+('PlayerGrades+'!$Y$51*(VLOOKUP(M602, 'PlayerGrades+'!$X$3:$Y$23, 2, FALSE)))+('PlayerGrades+'!$Y$52*(VLOOKUP(O602, 'PlayerGrades+'!$X$3:$Y$23, 2, FALSE)))+('PlayerGrades+'!$Y$53*(VLOOKUP(Q602, 'PlayerGrades+'!$X$3:$Y$23, 2, FALSE)))+('PlayerGrades+'!$Y$54*(VLOOKUP(S602, 'PlayerGrades+'!$X$3:$Y$23, 2, FALSE)))+('PlayerGrades+'!$Y$55*(VLOOKUP(U602, 'PlayerGrades+'!$X$3:$Y$23, 2, FALSE)))</f>
        <v>25.15</v>
      </c>
      <c r="D602" s="973">
        <f t="shared" si="1"/>
        <v>1.150568182</v>
      </c>
      <c r="E602" s="973" t="str">
        <f>IF(D602&lt;'PlayerGrades+'!$AA$21,"F-",IF(D602&lt;'PlayerGrades+'!$AA$20,"F",IF(D602&lt;'PlayerGrades+'!$AA$19,"F+",IF(D602&lt;'PlayerGrades+'!$AA$18,"E-",IF(D602&lt;'PlayerGrades+'!$AA$17,"E",IF(D602&lt;'PlayerGrades+'!$AA$16,"E+",IF(D602&lt;'PlayerGrades+'!$AA$15,"D-",IF(D602&lt;'PlayerGrades+'!$AA$14,"D",IF(D602&lt;'PlayerGrades+'!$AA$13,"D+",IF(D602&lt;'PlayerGrades+'!$AA$12,"C-",IF(D602&lt;'PlayerGrades+'!$AA$11,"C",IF(D602&lt;'PlayerGrades+'!$AA$10,"C+",IF(D602&lt;'PlayerGrades+'!$AA$9,"B-",IF(D602&lt;'PlayerGrades+'!$AA$8,"B",IF(D602&lt;'PlayerGrades+'!$AA$7,"B+",IF(D602&lt;'PlayerGrades+'!$AA$6,"A-",IF(D602&lt;'PlayerGrades+'!$AA$5,"A",IF(D602&lt;'PlayerGrades+'!$AA$4,"A+",IF(D602&lt;'PlayerGrades+'!$AA$3,"S-",IF(D602&lt;'PlayerGrades+'!$AA$2,"S","S+"))))))))))))))))))))</f>
        <v>S+</v>
      </c>
      <c r="F602" s="973">
        <f t="shared" si="2"/>
        <v>0.7244318182</v>
      </c>
      <c r="G602" s="973" t="str">
        <f>IF(F602&lt;'PlayerGrades+'!$AB$21,"F-",IF(F602&lt;'PlayerGrades+'!$AB$20,"F",IF(F602&lt;'PlayerGrades+'!$AB$19,"F+",IF(F602&lt;'PlayerGrades+'!$AB$18,"E-",IF(F602&lt;'PlayerGrades+'!$AB$17,"E",IF(F602&lt;'PlayerGrades+'!$AB$16,"E+",IF(F602&lt;'PlayerGrades+'!$AB$15,"D-",IF(F602&lt;'PlayerGrades+'!$AB$14,"D",IF(F602&lt;'PlayerGrades+'!$AB$13,"D+",IF(F602&lt;'PlayerGrades+'!$AB$12,"C-",IF(F602&lt;'PlayerGrades+'!$AB$11,"C",IF(F602&lt;'PlayerGrades+'!$AB$10,"C+",IF(F602&lt;'PlayerGrades+'!$AB$9,"B-",IF(F602&lt;'PlayerGrades+'!$AB$8,"B",IF(F602&lt;'PlayerGrades+'!$AB$7,"B+",IF(F602&lt;'PlayerGrades+'!$AB$6,"A-",IF(F602&lt;'PlayerGrades+'!$AB$5,"A",IF(F602&lt;'PlayerGrades+'!$AB$4,"A+",IF(F602&lt;'PlayerGrades+'!$AB$3,"S-",IF(F602&lt;'PlayerGrades+'!$AB$2,"S","S+"))))))))))))))))))))</f>
        <v>S</v>
      </c>
      <c r="H602" s="973">
        <f t="shared" si="3"/>
        <v>0.04261363636</v>
      </c>
      <c r="I602" s="973" t="str">
        <f>IF(H602&lt;'PlayerGrades+'!$AC$21,"F-",IF(H602&lt;'PlayerGrades+'!$AC$20,"F",IF(H602&lt;'PlayerGrades+'!$AC$19,"F+",IF(H602&lt;'PlayerGrades+'!$AC$18,"E-",IF(H602&lt;'PlayerGrades+'!$AC$17,"E",IF(H602&lt;'PlayerGrades+'!$AC$16,"E+",IF(H602&lt;'PlayerGrades+'!$AC$15,"D-",IF(H602&lt;'PlayerGrades+'!$AC$14,"D",IF(H602&lt;'PlayerGrades+'!$AC$13,"D+",IF(H602&lt;'PlayerGrades+'!$AC$12,"C-",IF(H602&lt;'PlayerGrades+'!$AC$11,"C",IF(H602&lt;'PlayerGrades+'!$AC$10,"C+",IF(H602&lt;'PlayerGrades+'!$AC$9,"B-",IF(H602&lt;'PlayerGrades+'!$AC$8,"B",IF(H602&lt;'PlayerGrades+'!$AC$7,"B+",IF(H602&lt;'PlayerGrades+'!$AC$6,"A-",IF(H602&lt;'PlayerGrades+'!$AC$5,"A",IF(H602&lt;'PlayerGrades+'!$AC$4,"A+",IF(H602&lt;'PlayerGrades+'!$AC$3,"S-",IF(H602&lt;'PlayerGrades+'!$AC$2,"S","S+"))))))))))))))))))))</f>
        <v>F</v>
      </c>
      <c r="J602" s="973">
        <f t="shared" si="4"/>
        <v>0.08522727273</v>
      </c>
      <c r="K602" s="973" t="str">
        <f>IF(J602&lt;'PlayerGrades+'!$AD$21,"F-",IF(J602&lt;'PlayerGrades+'!$AD$20,"F",IF(J602&lt;'PlayerGrades+'!$AD$19,"F+",IF(J602&lt;'PlayerGrades+'!$AD$18,"E-",IF(J602&lt;'PlayerGrades+'!$AD$17,"E",IF(J602&lt;'PlayerGrades+'!$AD$16,"E+",IF(J602&lt;'PlayerGrades+'!$AD$15,"D-",IF(J602&lt;'PlayerGrades+'!$AD$14,"D",IF(J602&lt;'PlayerGrades+'!$AD$13,"D+",IF(J602&lt;'PlayerGrades+'!$AD$12,"C-",IF(J602&lt;'PlayerGrades+'!$AD$11,"C",IF(J602&lt;'PlayerGrades+'!$AD$10,"C+",IF(J602&lt;'PlayerGrades+'!$AD$9,"B-",IF(J602&lt;'PlayerGrades+'!$AD$8,"B",IF(J602&lt;'PlayerGrades+'!$AD$7,"B+",IF(J602&lt;'PlayerGrades+'!$AD$6,"A-",IF(J602&lt;'PlayerGrades+'!$AD$5,"A",IF(J602&lt;'PlayerGrades+'!$AD$4,"A+",IF(J602&lt;'PlayerGrades+'!$AD$3,"S-",IF(J602&lt;'PlayerGrades+'!$AD$2,"S","S+"))))))))))))))))))))</f>
        <v>S-</v>
      </c>
      <c r="L602" s="974">
        <f t="shared" si="5"/>
        <v>0.4261363636</v>
      </c>
      <c r="M602" s="975" t="str">
        <f>IF(L602&lt;'PlayerGrades+'!$AE$21,"F-",IF(L602&lt;'PlayerGrades+'!$AE$20,"F",IF(L602&lt;'PlayerGrades+'!$AE$19,"F+",IF(L602&lt;'PlayerGrades+'!$AE$18,"E-",IF(L602&lt;'PlayerGrades+'!$AE$17,"E",IF(L602&lt;'PlayerGrades+'!$AE$16,"E+",IF(L602&lt;'PlayerGrades+'!$AE$15,"D-",IF(L602&lt;'PlayerGrades+'!$AE$14,"D",IF(L602&lt;'PlayerGrades+'!$AE$13,"D+",IF(L602&lt;'PlayerGrades+'!$AE$12,"C-",IF(L602&lt;'PlayerGrades+'!$AE$11,"C",IF(L602&lt;'PlayerGrades+'!$AE$10,"C+",IF(L602&lt;'PlayerGrades+'!$AE$9,"B-",IF(L602&lt;'PlayerGrades+'!$AE$8,"B",IF(L602&lt;'PlayerGrades+'!$AE$7,"B+",IF(L602&lt;'PlayerGrades+'!$AE$6,"A-",IF(L602&lt;'PlayerGrades+'!$AE$5,"A",IF(L602&lt;'PlayerGrades+'!$AE$4,"A+",IF(L602&lt;'PlayerGrades+'!$AE$3,"S-",IF(L602&lt;'PlayerGrades+'!$AE$2,"S","S+"))))))))))))))))))))</f>
        <v>C+</v>
      </c>
      <c r="N602" s="973">
        <f t="shared" si="6"/>
        <v>0.04261363636</v>
      </c>
      <c r="O602" s="973" t="str">
        <f>IF(N602&lt;'PlayerGrades+'!$AF$21,"F-",IF(N602&lt;'PlayerGrades+'!$AF$20,"F",IF(N602&lt;'PlayerGrades+'!$AF$19,"F+",IF(N602&lt;'PlayerGrades+'!$AF$18,"E-",IF(N602&lt;'PlayerGrades+'!$AF$17,"E",IF(N602&lt;'PlayerGrades+'!$AF$16,"E+",IF(N602&lt;'PlayerGrades+'!$AF$15,"D-",IF(N602&lt;'PlayerGrades+'!$AF$14,"D",IF(N602&lt;'PlayerGrades+'!$AF$13,"D+",IF(N602&lt;'PlayerGrades+'!$AF$12,"C-",IF(N602&lt;'PlayerGrades+'!$AF$11,"C",IF(N602&lt;'PlayerGrades+'!$AF$10,"C+",IF(N602&lt;'PlayerGrades+'!$AF$9,"B-",IF(N602&lt;'PlayerGrades+'!$AF$8,"B",IF(N602&lt;'PlayerGrades+'!$AF$7,"B+",IF(N602&lt;'PlayerGrades+'!$AF$6,"A-",IF(N602&lt;'PlayerGrades+'!$AF$5,"A",IF(N602&lt;'PlayerGrades+'!$AF$4,"A+",IF(N602&lt;'PlayerGrades+'!$AF$3,"S-",IF(N602&lt;'PlayerGrades+'!$AF$2,"S","S+"))))))))))))))))))))</f>
        <v>E</v>
      </c>
      <c r="P602" s="973">
        <f t="shared" si="7"/>
        <v>0.04261363636</v>
      </c>
      <c r="Q602" s="973" t="str">
        <f>IF(P602&lt;'PlayerGrades+'!$AG$21,"F-",IF(P602&lt;'PlayerGrades+'!$AG$20,"F",IF(P602&lt;'PlayerGrades+'!$AG$19,"F+",IF(P602&lt;'PlayerGrades+'!$AG$18,"E-",IF(P602&lt;'PlayerGrades+'!$AG$17,"E",IF(P602&lt;'PlayerGrades+'!$AG$16,"E+",IF(P602&lt;'PlayerGrades+'!$AG$15,"D-",IF(P602&lt;'PlayerGrades+'!$AG$14,"D",IF(P602&lt;'PlayerGrades+'!$AG$13,"D+",IF(P602&lt;'PlayerGrades+'!$AG$12,"C-",IF(P602&lt;'PlayerGrades+'!$AG$11,"C",IF(P602&lt;'PlayerGrades+'!$AG$10,"C+",IF(P602&lt;'PlayerGrades+'!$AG$9,"B-",IF(P602&lt;'PlayerGrades+'!$AG$8,"B",IF(P602&lt;'PlayerGrades+'!$AG$7,"B+",IF(P602&lt;'PlayerGrades+'!$AG$6,"A-",IF(P602&lt;'PlayerGrades+'!$AG$5,"A",IF(P602&lt;'PlayerGrades+'!$AG$4,"A+",IF(P602&lt;'PlayerGrades+'!$AG$3,"S-",IF(P602&lt;'PlayerGrades+'!$AG$2,"S","S+"))))))))))))))))))))</f>
        <v>A</v>
      </c>
      <c r="R602" s="973">
        <f t="shared" si="8"/>
        <v>0.6392045455</v>
      </c>
      <c r="S602" s="973" t="str">
        <f>IF(R602&lt;'PlayerGrades+'!$AH$21,"F-",IF(R602&lt;'PlayerGrades+'!$AH$20,"F",IF(R602&lt;'PlayerGrades+'!$AH$19,"F+",IF(R602&lt;'PlayerGrades+'!$AH$18,"E-",IF(R602&lt;'PlayerGrades+'!$AH$17,"E",IF(R602&lt;'PlayerGrades+'!$AH$16,"E+",IF(R602&lt;'PlayerGrades+'!$AH$15,"D-",IF(R602&lt;'PlayerGrades+'!$AH$14,"D",IF(R602&lt;'PlayerGrades+'!$AH$13,"D+",IF(R602&lt;'PlayerGrades+'!$AH$12,"C-",IF(R602&lt;'PlayerGrades+'!$AH$11,"C",IF(R602&lt;'PlayerGrades+'!$AH$10,"C+",IF(R602&lt;'PlayerGrades+'!$AH$9,"B-",IF(R602&lt;'PlayerGrades+'!$AH$8,"B",IF(R602&lt;'PlayerGrades+'!$AH$7,"B+",IF(R602&lt;'PlayerGrades+'!$AH$6,"A-",IF(R602&lt;'PlayerGrades+'!$AH$5,"A",IF(R602&lt;'PlayerGrades+'!$AH$4,"A+",IF(R602&lt;'PlayerGrades+'!$AH$3,"S-",IF(R602&lt;'PlayerGrades+'!$AH$2,"S","S+"))))))))))))))))))))</f>
        <v>A</v>
      </c>
      <c r="T602" s="973">
        <f t="shared" si="9"/>
        <v>3.085227273</v>
      </c>
      <c r="U602" s="973" t="str">
        <f>IF(T602&lt;'PlayerGrades+'!$AI$21,"F-",IF(T602&lt;'PlayerGrades+'!$AI$20,"F",IF(T602&lt;'PlayerGrades+'!$AI$19,"F+",IF(T602&lt;'PlayerGrades+'!$AI$18,"E-",IF(T602&lt;'PlayerGrades+'!$AI$17,"E",IF(T602&lt;'PlayerGrades+'!$AI$16,"E+",IF(T602&lt;'PlayerGrades+'!$AI$15,"D-",IF(T602&lt;'PlayerGrades+'!$AI$14,"D",IF(T602&lt;'PlayerGrades+'!$AI$13,"D+",IF(T602&lt;'PlayerGrades+'!$AI$12,"C-",IF(T602&lt;'PlayerGrades+'!$AI$11,"C",IF(T602&lt;'PlayerGrades+'!$AI$10,"C+",IF(T602&lt;'PlayerGrades+'!$AI$9,"B-",IF(T602&lt;'PlayerGrades+'!$AI$8,"B",IF(T602&lt;'PlayerGrades+'!$AI$7,"B+",IF(T602&lt;'PlayerGrades+'!$AI$6,"A-",IF(T602&lt;'PlayerGrades+'!$AI$5,"A",IF(T602&lt;'PlayerGrades+'!$AI$4,"A+",IF(T602&lt;'PlayerGrades+'!$AI$3,"S-",IF(T602&lt;'PlayerGrades+'!$AI$2,"S","S+"))))))))))))))))))))</f>
        <v>S+</v>
      </c>
      <c r="V602" s="939">
        <v>1.0</v>
      </c>
      <c r="W602" s="939">
        <v>1.0</v>
      </c>
      <c r="X602" s="939">
        <v>0.0</v>
      </c>
      <c r="Y602" s="939">
        <v>5.0</v>
      </c>
      <c r="Z602" s="939">
        <v>22.0</v>
      </c>
      <c r="AA602" s="939">
        <v>69.0</v>
      </c>
      <c r="AB602" s="939">
        <v>52.0</v>
      </c>
      <c r="AC602" s="939">
        <v>17.0</v>
      </c>
      <c r="AD602" s="939">
        <v>4.0</v>
      </c>
      <c r="AE602" s="939">
        <v>9.0</v>
      </c>
      <c r="AF602" s="939">
        <v>0.0</v>
      </c>
      <c r="AG602" s="939">
        <v>1268.0</v>
      </c>
      <c r="AH602" s="895">
        <v>1408.0</v>
      </c>
      <c r="AI602" s="939">
        <v>24.0</v>
      </c>
      <c r="AJ602" s="939">
        <v>588.0</v>
      </c>
      <c r="AK602" s="939">
        <v>0.0</v>
      </c>
      <c r="AL602" s="939">
        <v>2.0</v>
      </c>
      <c r="AM602" s="939">
        <v>0.0</v>
      </c>
      <c r="AN602" s="939">
        <v>0.0</v>
      </c>
      <c r="AO602" s="939">
        <v>0.0</v>
      </c>
      <c r="AP602" s="939">
        <v>1.0</v>
      </c>
      <c r="AQ602" s="939">
        <v>0.0</v>
      </c>
      <c r="AR602" s="939">
        <v>10.0</v>
      </c>
      <c r="AS602" s="939">
        <v>1.0</v>
      </c>
      <c r="AT602" s="939">
        <v>0.0</v>
      </c>
      <c r="AU602" s="939">
        <v>0.0</v>
      </c>
      <c r="AV602" s="939">
        <v>0.0</v>
      </c>
      <c r="AW602" s="939">
        <v>0.0</v>
      </c>
      <c r="AX602" s="939">
        <v>0.0</v>
      </c>
      <c r="AY602" s="939">
        <v>0.0</v>
      </c>
      <c r="AZ602" s="939">
        <v>0.0</v>
      </c>
      <c r="BA602" s="939">
        <v>0.0</v>
      </c>
      <c r="BB602" s="939">
        <v>1.0</v>
      </c>
      <c r="BC602" s="939">
        <v>0.0</v>
      </c>
      <c r="BD602" s="939">
        <v>11.0</v>
      </c>
      <c r="BE602" s="939">
        <v>2.0</v>
      </c>
      <c r="BF602" s="939">
        <v>3.0</v>
      </c>
      <c r="BG602" s="940">
        <v>1.0</v>
      </c>
    </row>
    <row r="603">
      <c r="A603" s="935" t="s">
        <v>419</v>
      </c>
      <c r="B603" s="421" t="str">
        <f>IF(C603&lt;'PlayerGrades+'!$Y$44,"F-",IF(C603&lt;'PlayerGrades+'!$Y$43,"F",IF(C603&lt;'PlayerGrades+'!$Y$42,"F+",IF(C603&lt;'PlayerGrades+'!$Y$41,"E-",IF(C603&lt;'PlayerGrades+'!$Y$40,"E",IF(C603&lt;'PlayerGrades+'!$Y$39,"E+",IF(C603&lt;'PlayerGrades+'!$Y$38,"D-",IF(C603&lt;'PlayerGrades+'!$Y$37,"D",IF(C603&lt;'PlayerGrades+'!$Y$36,"D+",IF(C603&lt;'PlayerGrades+'!$Y$35,"C-",IF(C603&lt;'PlayerGrades+'!$Y$34,"C",IF(C603&lt;'PlayerGrades+'!$Y$33,"C+",IF(C603&lt;'PlayerGrades+'!$Y$32,"B-",IF(C603&lt;'PlayerGrades+'!$Y$31,"B",IF(C603&lt;'PlayerGrades+'!$Y$30,"B+",IF(C603&lt;'PlayerGrades+'!$Y$29,"A-",IF(C603&lt;'PlayerGrades+'!$Y$28,"A",IF(C603&lt;'PlayerGrades+'!$Y$27,"A+",IF(C603&lt;'PlayerGrades+'!$Y$26,"S-",IF(C603&lt;'PlayerGrades+'!$Y$25,"S","S+"))))))))))))))))))))</f>
        <v>A</v>
      </c>
      <c r="C603" s="972">
        <f>('PlayerGrades+'!$Y$47*(VLOOKUP(E603, 'PlayerGrades+'!$X$3:$Y$23, 2, FALSE)))+('PlayerGrades+'!$Y$48*(VLOOKUP(G603, 'PlayerGrades+'!$X$3:$Y$23, 2, FALSE)))+('PlayerGrades+'!$Y$49*(VLOOKUP(I603, 'PlayerGrades+'!$X$3:$Y$23, 2, FALSE)))+('PlayerGrades+'!$Y$50*(VLOOKUP(K603, 'PlayerGrades+'!$X$3:$Y$23, 2, FALSE)))+('PlayerGrades+'!$Y$51*(VLOOKUP(M603, 'PlayerGrades+'!$X$3:$Y$23, 2, FALSE)))+('PlayerGrades+'!$Y$52*(VLOOKUP(O603, 'PlayerGrades+'!$X$3:$Y$23, 2, FALSE)))+('PlayerGrades+'!$Y$53*(VLOOKUP(Q603, 'PlayerGrades+'!$X$3:$Y$23, 2, FALSE)))+('PlayerGrades+'!$Y$54*(VLOOKUP(S603, 'PlayerGrades+'!$X$3:$Y$23, 2, FALSE)))+('PlayerGrades+'!$Y$55*(VLOOKUP(U603, 'PlayerGrades+'!$X$3:$Y$23, 2, FALSE)))</f>
        <v>25.1</v>
      </c>
      <c r="D603" s="973">
        <f t="shared" si="1"/>
        <v>0</v>
      </c>
      <c r="E603" s="973" t="str">
        <f>IF(D603&lt;'PlayerGrades+'!$AA$21,"F-",IF(D603&lt;'PlayerGrades+'!$AA$20,"F",IF(D603&lt;'PlayerGrades+'!$AA$19,"F+",IF(D603&lt;'PlayerGrades+'!$AA$18,"E-",IF(D603&lt;'PlayerGrades+'!$AA$17,"E",IF(D603&lt;'PlayerGrades+'!$AA$16,"E+",IF(D603&lt;'PlayerGrades+'!$AA$15,"D-",IF(D603&lt;'PlayerGrades+'!$AA$14,"D",IF(D603&lt;'PlayerGrades+'!$AA$13,"D+",IF(D603&lt;'PlayerGrades+'!$AA$12,"C-",IF(D603&lt;'PlayerGrades+'!$AA$11,"C",IF(D603&lt;'PlayerGrades+'!$AA$10,"C+",IF(D603&lt;'PlayerGrades+'!$AA$9,"B-",IF(D603&lt;'PlayerGrades+'!$AA$8,"B",IF(D603&lt;'PlayerGrades+'!$AA$7,"B+",IF(D603&lt;'PlayerGrades+'!$AA$6,"A-",IF(D603&lt;'PlayerGrades+'!$AA$5,"A",IF(D603&lt;'PlayerGrades+'!$AA$4,"A+",IF(D603&lt;'PlayerGrades+'!$AA$3,"S-",IF(D603&lt;'PlayerGrades+'!$AA$2,"S","S+"))))))))))))))))))))</f>
        <v>F-</v>
      </c>
      <c r="F603" s="973">
        <f t="shared" si="2"/>
        <v>0.04261363636</v>
      </c>
      <c r="G603" s="973" t="str">
        <f>IF(F603&lt;'PlayerGrades+'!$AB$21,"F-",IF(F603&lt;'PlayerGrades+'!$AB$20,"F",IF(F603&lt;'PlayerGrades+'!$AB$19,"F+",IF(F603&lt;'PlayerGrades+'!$AB$18,"E-",IF(F603&lt;'PlayerGrades+'!$AB$17,"E",IF(F603&lt;'PlayerGrades+'!$AB$16,"E+",IF(F603&lt;'PlayerGrades+'!$AB$15,"D-",IF(F603&lt;'PlayerGrades+'!$AB$14,"D",IF(F603&lt;'PlayerGrades+'!$AB$13,"D+",IF(F603&lt;'PlayerGrades+'!$AB$12,"C-",IF(F603&lt;'PlayerGrades+'!$AB$11,"C",IF(F603&lt;'PlayerGrades+'!$AB$10,"C+",IF(F603&lt;'PlayerGrades+'!$AB$9,"B-",IF(F603&lt;'PlayerGrades+'!$AB$8,"B",IF(F603&lt;'PlayerGrades+'!$AB$7,"B+",IF(F603&lt;'PlayerGrades+'!$AB$6,"A-",IF(F603&lt;'PlayerGrades+'!$AB$5,"A",IF(F603&lt;'PlayerGrades+'!$AB$4,"A+",IF(F603&lt;'PlayerGrades+'!$AB$3,"S-",IF(F603&lt;'PlayerGrades+'!$AB$2,"S","S+"))))))))))))))))))))</f>
        <v>B</v>
      </c>
      <c r="H603" s="973">
        <f t="shared" si="3"/>
        <v>0.2982954545</v>
      </c>
      <c r="I603" s="973" t="str">
        <f>IF(H603&lt;'PlayerGrades+'!$AC$21,"F-",IF(H603&lt;'PlayerGrades+'!$AC$20,"F",IF(H603&lt;'PlayerGrades+'!$AC$19,"F+",IF(H603&lt;'PlayerGrades+'!$AC$18,"E-",IF(H603&lt;'PlayerGrades+'!$AC$17,"E",IF(H603&lt;'PlayerGrades+'!$AC$16,"E+",IF(H603&lt;'PlayerGrades+'!$AC$15,"D-",IF(H603&lt;'PlayerGrades+'!$AC$14,"D",IF(H603&lt;'PlayerGrades+'!$AC$13,"D+",IF(H603&lt;'PlayerGrades+'!$AC$12,"C-",IF(H603&lt;'PlayerGrades+'!$AC$11,"C",IF(H603&lt;'PlayerGrades+'!$AC$10,"C+",IF(H603&lt;'PlayerGrades+'!$AC$9,"B-",IF(H603&lt;'PlayerGrades+'!$AC$8,"B",IF(H603&lt;'PlayerGrades+'!$AC$7,"B+",IF(H603&lt;'PlayerGrades+'!$AC$6,"A-",IF(H603&lt;'PlayerGrades+'!$AC$5,"A",IF(H603&lt;'PlayerGrades+'!$AC$4,"A+",IF(H603&lt;'PlayerGrades+'!$AC$3,"S-",IF(H603&lt;'PlayerGrades+'!$AC$2,"S","S+"))))))))))))))))))))</f>
        <v>S</v>
      </c>
      <c r="J603" s="973">
        <f t="shared" si="4"/>
        <v>0.04261363636</v>
      </c>
      <c r="K603" s="973" t="str">
        <f>IF(J603&lt;'PlayerGrades+'!$AD$21,"F-",IF(J603&lt;'PlayerGrades+'!$AD$20,"F",IF(J603&lt;'PlayerGrades+'!$AD$19,"F+",IF(J603&lt;'PlayerGrades+'!$AD$18,"E-",IF(J603&lt;'PlayerGrades+'!$AD$17,"E",IF(J603&lt;'PlayerGrades+'!$AD$16,"E+",IF(J603&lt;'PlayerGrades+'!$AD$15,"D-",IF(J603&lt;'PlayerGrades+'!$AD$14,"D",IF(J603&lt;'PlayerGrades+'!$AD$13,"D+",IF(J603&lt;'PlayerGrades+'!$AD$12,"C-",IF(J603&lt;'PlayerGrades+'!$AD$11,"C",IF(J603&lt;'PlayerGrades+'!$AD$10,"C+",IF(J603&lt;'PlayerGrades+'!$AD$9,"B-",IF(J603&lt;'PlayerGrades+'!$AD$8,"B",IF(J603&lt;'PlayerGrades+'!$AD$7,"B+",IF(J603&lt;'PlayerGrades+'!$AD$6,"A-",IF(J603&lt;'PlayerGrades+'!$AD$5,"A",IF(J603&lt;'PlayerGrades+'!$AD$4,"A+",IF(J603&lt;'PlayerGrades+'!$AD$3,"S-",IF(J603&lt;'PlayerGrades+'!$AD$2,"S","S+"))))))))))))))))))))</f>
        <v>C+</v>
      </c>
      <c r="L603" s="974">
        <f t="shared" si="5"/>
        <v>0.6818181818</v>
      </c>
      <c r="M603" s="975" t="str">
        <f>IF(L603&lt;'PlayerGrades+'!$AE$21,"F-",IF(L603&lt;'PlayerGrades+'!$AE$20,"F",IF(L603&lt;'PlayerGrades+'!$AE$19,"F+",IF(L603&lt;'PlayerGrades+'!$AE$18,"E-",IF(L603&lt;'PlayerGrades+'!$AE$17,"E",IF(L603&lt;'PlayerGrades+'!$AE$16,"E+",IF(L603&lt;'PlayerGrades+'!$AE$15,"D-",IF(L603&lt;'PlayerGrades+'!$AE$14,"D",IF(L603&lt;'PlayerGrades+'!$AE$13,"D+",IF(L603&lt;'PlayerGrades+'!$AE$12,"C-",IF(L603&lt;'PlayerGrades+'!$AE$11,"C",IF(L603&lt;'PlayerGrades+'!$AE$10,"C+",IF(L603&lt;'PlayerGrades+'!$AE$9,"B-",IF(L603&lt;'PlayerGrades+'!$AE$8,"B",IF(L603&lt;'PlayerGrades+'!$AE$7,"B+",IF(L603&lt;'PlayerGrades+'!$AE$6,"A-",IF(L603&lt;'PlayerGrades+'!$AE$5,"A",IF(L603&lt;'PlayerGrades+'!$AE$4,"A+",IF(L603&lt;'PlayerGrades+'!$AE$3,"S-",IF(L603&lt;'PlayerGrades+'!$AE$2,"S","S+"))))))))))))))))))))</f>
        <v>S</v>
      </c>
      <c r="N603" s="973">
        <f t="shared" si="6"/>
        <v>0.1278409091</v>
      </c>
      <c r="O603" s="973" t="str">
        <f>IF(N603&lt;'PlayerGrades+'!$AF$21,"F-",IF(N603&lt;'PlayerGrades+'!$AF$20,"F",IF(N603&lt;'PlayerGrades+'!$AF$19,"F+",IF(N603&lt;'PlayerGrades+'!$AF$18,"E-",IF(N603&lt;'PlayerGrades+'!$AF$17,"E",IF(N603&lt;'PlayerGrades+'!$AF$16,"E+",IF(N603&lt;'PlayerGrades+'!$AF$15,"D-",IF(N603&lt;'PlayerGrades+'!$AF$14,"D",IF(N603&lt;'PlayerGrades+'!$AF$13,"D+",IF(N603&lt;'PlayerGrades+'!$AF$12,"C-",IF(N603&lt;'PlayerGrades+'!$AF$11,"C",IF(N603&lt;'PlayerGrades+'!$AF$10,"C+",IF(N603&lt;'PlayerGrades+'!$AF$9,"B-",IF(N603&lt;'PlayerGrades+'!$AF$8,"B",IF(N603&lt;'PlayerGrades+'!$AF$7,"B+",IF(N603&lt;'PlayerGrades+'!$AF$6,"A-",IF(N603&lt;'PlayerGrades+'!$AF$5,"A",IF(N603&lt;'PlayerGrades+'!$AF$4,"A+",IF(N603&lt;'PlayerGrades+'!$AF$3,"S-",IF(N603&lt;'PlayerGrades+'!$AF$2,"S","S+"))))))))))))))))))))</f>
        <v>S</v>
      </c>
      <c r="P603" s="973">
        <f t="shared" si="7"/>
        <v>0.04261363636</v>
      </c>
      <c r="Q603" s="973" t="str">
        <f>IF(P603&lt;'PlayerGrades+'!$AG$21,"F-",IF(P603&lt;'PlayerGrades+'!$AG$20,"F",IF(P603&lt;'PlayerGrades+'!$AG$19,"F+",IF(P603&lt;'PlayerGrades+'!$AG$18,"E-",IF(P603&lt;'PlayerGrades+'!$AG$17,"E",IF(P603&lt;'PlayerGrades+'!$AG$16,"E+",IF(P603&lt;'PlayerGrades+'!$AG$15,"D-",IF(P603&lt;'PlayerGrades+'!$AG$14,"D",IF(P603&lt;'PlayerGrades+'!$AG$13,"D+",IF(P603&lt;'PlayerGrades+'!$AG$12,"C-",IF(P603&lt;'PlayerGrades+'!$AG$11,"C",IF(P603&lt;'PlayerGrades+'!$AG$10,"C+",IF(P603&lt;'PlayerGrades+'!$AG$9,"B-",IF(P603&lt;'PlayerGrades+'!$AG$8,"B",IF(P603&lt;'PlayerGrades+'!$AG$7,"B+",IF(P603&lt;'PlayerGrades+'!$AG$6,"A-",IF(P603&lt;'PlayerGrades+'!$AG$5,"A",IF(P603&lt;'PlayerGrades+'!$AG$4,"A+",IF(P603&lt;'PlayerGrades+'!$AG$3,"S-",IF(P603&lt;'PlayerGrades+'!$AG$2,"S","S+"))))))))))))))))))))</f>
        <v>A</v>
      </c>
      <c r="R603" s="973">
        <f t="shared" si="8"/>
        <v>0.5113636364</v>
      </c>
      <c r="S603" s="973" t="str">
        <f>IF(R603&lt;'PlayerGrades+'!$AH$21,"F-",IF(R603&lt;'PlayerGrades+'!$AH$20,"F",IF(R603&lt;'PlayerGrades+'!$AH$19,"F+",IF(R603&lt;'PlayerGrades+'!$AH$18,"E-",IF(R603&lt;'PlayerGrades+'!$AH$17,"E",IF(R603&lt;'PlayerGrades+'!$AH$16,"E+",IF(R603&lt;'PlayerGrades+'!$AH$15,"D-",IF(R603&lt;'PlayerGrades+'!$AH$14,"D",IF(R603&lt;'PlayerGrades+'!$AH$13,"D+",IF(R603&lt;'PlayerGrades+'!$AH$12,"C-",IF(R603&lt;'PlayerGrades+'!$AH$11,"C",IF(R603&lt;'PlayerGrades+'!$AH$10,"C+",IF(R603&lt;'PlayerGrades+'!$AH$9,"B-",IF(R603&lt;'PlayerGrades+'!$AH$8,"B",IF(R603&lt;'PlayerGrades+'!$AH$7,"B+",IF(R603&lt;'PlayerGrades+'!$AH$6,"A-",IF(R603&lt;'PlayerGrades+'!$AH$5,"A",IF(R603&lt;'PlayerGrades+'!$AH$4,"A+",IF(R603&lt;'PlayerGrades+'!$AH$3,"S-",IF(R603&lt;'PlayerGrades+'!$AH$2,"S","S+"))))))))))))))))))))</f>
        <v>D</v>
      </c>
      <c r="T603" s="973">
        <f t="shared" si="9"/>
        <v>1.127840909</v>
      </c>
      <c r="U603" s="973" t="str">
        <f>IF(T603&lt;'PlayerGrades+'!$AI$21,"F-",IF(T603&lt;'PlayerGrades+'!$AI$20,"F",IF(T603&lt;'PlayerGrades+'!$AI$19,"F+",IF(T603&lt;'PlayerGrades+'!$AI$18,"E-",IF(T603&lt;'PlayerGrades+'!$AI$17,"E",IF(T603&lt;'PlayerGrades+'!$AI$16,"E+",IF(T603&lt;'PlayerGrades+'!$AI$15,"D-",IF(T603&lt;'PlayerGrades+'!$AI$14,"D",IF(T603&lt;'PlayerGrades+'!$AI$13,"D+",IF(T603&lt;'PlayerGrades+'!$AI$12,"C-",IF(T603&lt;'PlayerGrades+'!$AI$11,"C",IF(T603&lt;'PlayerGrades+'!$AI$10,"C+",IF(T603&lt;'PlayerGrades+'!$AI$9,"B-",IF(T603&lt;'PlayerGrades+'!$AI$8,"B",IF(T603&lt;'PlayerGrades+'!$AI$7,"B+",IF(T603&lt;'PlayerGrades+'!$AI$6,"A-",IF(T603&lt;'PlayerGrades+'!$AI$5,"A",IF(T603&lt;'PlayerGrades+'!$AI$4,"A+",IF(T603&lt;'PlayerGrades+'!$AI$3,"S-",IF(T603&lt;'PlayerGrades+'!$AI$2,"S","S+"))))))))))))))))))))</f>
        <v>D</v>
      </c>
      <c r="V603" s="941">
        <v>1.0</v>
      </c>
      <c r="W603" s="941">
        <v>1.0</v>
      </c>
      <c r="X603" s="941">
        <v>0.0</v>
      </c>
      <c r="Y603" s="941">
        <v>0.0</v>
      </c>
      <c r="Z603" s="941">
        <v>0.0</v>
      </c>
      <c r="AA603" s="941">
        <v>79.0</v>
      </c>
      <c r="AB603" s="941">
        <v>78.0</v>
      </c>
      <c r="AC603" s="941">
        <v>1.0</v>
      </c>
      <c r="AD603" s="941">
        <v>10.0</v>
      </c>
      <c r="AE603" s="941">
        <v>6.0</v>
      </c>
      <c r="AF603" s="941">
        <v>0.0</v>
      </c>
      <c r="AG603" s="941">
        <v>1191.0</v>
      </c>
      <c r="AH603" s="1">
        <v>1408.0</v>
      </c>
      <c r="AI603" s="941">
        <v>15.0</v>
      </c>
      <c r="AJ603" s="941">
        <v>14.0</v>
      </c>
      <c r="AK603" s="941">
        <v>0.0</v>
      </c>
      <c r="AL603" s="941">
        <v>1.0</v>
      </c>
      <c r="AM603" s="941">
        <v>0.0</v>
      </c>
      <c r="AN603" s="941">
        <v>0.0</v>
      </c>
      <c r="AO603" s="941">
        <v>0.0</v>
      </c>
      <c r="AP603" s="941">
        <v>1.0</v>
      </c>
      <c r="AQ603" s="941">
        <v>0.0</v>
      </c>
      <c r="AR603" s="941">
        <v>16.0</v>
      </c>
      <c r="AS603" s="941">
        <v>3.0</v>
      </c>
      <c r="AT603" s="941">
        <v>0.0</v>
      </c>
      <c r="AU603" s="941">
        <v>0.0</v>
      </c>
      <c r="AV603" s="941">
        <v>0.0</v>
      </c>
      <c r="AW603" s="941">
        <v>0.0</v>
      </c>
      <c r="AX603" s="941">
        <v>0.0</v>
      </c>
      <c r="AY603" s="941">
        <v>0.0</v>
      </c>
      <c r="AZ603" s="941">
        <v>0.0</v>
      </c>
      <c r="BA603" s="941">
        <v>0.0</v>
      </c>
      <c r="BB603" s="941">
        <v>7.0</v>
      </c>
      <c r="BC603" s="941">
        <v>0.0</v>
      </c>
      <c r="BD603" s="941">
        <v>2.0</v>
      </c>
      <c r="BE603" s="941">
        <v>3.0</v>
      </c>
      <c r="BF603" s="941">
        <v>1.0</v>
      </c>
      <c r="BG603" s="942">
        <v>1.0</v>
      </c>
    </row>
    <row r="604">
      <c r="A604" s="935" t="s">
        <v>145</v>
      </c>
      <c r="B604" s="421" t="str">
        <f>IF(C604&lt;'PlayerGrades+'!$Y$44,"F-",IF(C604&lt;'PlayerGrades+'!$Y$43,"F",IF(C604&lt;'PlayerGrades+'!$Y$42,"F+",IF(C604&lt;'PlayerGrades+'!$Y$41,"E-",IF(C604&lt;'PlayerGrades+'!$Y$40,"E",IF(C604&lt;'PlayerGrades+'!$Y$39,"E+",IF(C604&lt;'PlayerGrades+'!$Y$38,"D-",IF(C604&lt;'PlayerGrades+'!$Y$37,"D",IF(C604&lt;'PlayerGrades+'!$Y$36,"D+",IF(C604&lt;'PlayerGrades+'!$Y$35,"C-",IF(C604&lt;'PlayerGrades+'!$Y$34,"C",IF(C604&lt;'PlayerGrades+'!$Y$33,"C+",IF(C604&lt;'PlayerGrades+'!$Y$32,"B-",IF(C604&lt;'PlayerGrades+'!$Y$31,"B",IF(C604&lt;'PlayerGrades+'!$Y$30,"B+",IF(C604&lt;'PlayerGrades+'!$Y$29,"A-",IF(C604&lt;'PlayerGrades+'!$Y$28,"A",IF(C604&lt;'PlayerGrades+'!$Y$27,"A+",IF(C604&lt;'PlayerGrades+'!$Y$26,"S-",IF(C604&lt;'PlayerGrades+'!$Y$25,"S","S+"))))))))))))))))))))</f>
        <v>A+</v>
      </c>
      <c r="C604" s="972">
        <f>('PlayerGrades+'!$Y$47*(VLOOKUP(E604, 'PlayerGrades+'!$X$3:$Y$23, 2, FALSE)))+('PlayerGrades+'!$Y$48*(VLOOKUP(G604, 'PlayerGrades+'!$X$3:$Y$23, 2, FALSE)))+('PlayerGrades+'!$Y$49*(VLOOKUP(I604, 'PlayerGrades+'!$X$3:$Y$23, 2, FALSE)))+('PlayerGrades+'!$Y$50*(VLOOKUP(K604, 'PlayerGrades+'!$X$3:$Y$23, 2, FALSE)))+('PlayerGrades+'!$Y$51*(VLOOKUP(M604, 'PlayerGrades+'!$X$3:$Y$23, 2, FALSE)))+('PlayerGrades+'!$Y$52*(VLOOKUP(O604, 'PlayerGrades+'!$X$3:$Y$23, 2, FALSE)))+('PlayerGrades+'!$Y$53*(VLOOKUP(Q604, 'PlayerGrades+'!$X$3:$Y$23, 2, FALSE)))+('PlayerGrades+'!$Y$54*(VLOOKUP(S604, 'PlayerGrades+'!$X$3:$Y$23, 2, FALSE)))+('PlayerGrades+'!$Y$55*(VLOOKUP(U604, 'PlayerGrades+'!$X$3:$Y$23, 2, FALSE)))</f>
        <v>29.25</v>
      </c>
      <c r="D604" s="973">
        <f t="shared" si="1"/>
        <v>0</v>
      </c>
      <c r="E604" s="973" t="str">
        <f>IF(D604&lt;'PlayerGrades+'!$AA$21,"F-",IF(D604&lt;'PlayerGrades+'!$AA$20,"F",IF(D604&lt;'PlayerGrades+'!$AA$19,"F+",IF(D604&lt;'PlayerGrades+'!$AA$18,"E-",IF(D604&lt;'PlayerGrades+'!$AA$17,"E",IF(D604&lt;'PlayerGrades+'!$AA$16,"E+",IF(D604&lt;'PlayerGrades+'!$AA$15,"D-",IF(D604&lt;'PlayerGrades+'!$AA$14,"D",IF(D604&lt;'PlayerGrades+'!$AA$13,"D+",IF(D604&lt;'PlayerGrades+'!$AA$12,"C-",IF(D604&lt;'PlayerGrades+'!$AA$11,"C",IF(D604&lt;'PlayerGrades+'!$AA$10,"C+",IF(D604&lt;'PlayerGrades+'!$AA$9,"B-",IF(D604&lt;'PlayerGrades+'!$AA$8,"B",IF(D604&lt;'PlayerGrades+'!$AA$7,"B+",IF(D604&lt;'PlayerGrades+'!$AA$6,"A-",IF(D604&lt;'PlayerGrades+'!$AA$5,"A",IF(D604&lt;'PlayerGrades+'!$AA$4,"A+",IF(D604&lt;'PlayerGrades+'!$AA$3,"S-",IF(D604&lt;'PlayerGrades+'!$AA$2,"S","S+"))))))))))))))))))))</f>
        <v>F-</v>
      </c>
      <c r="F604" s="973">
        <f t="shared" si="2"/>
        <v>0.04261363636</v>
      </c>
      <c r="G604" s="973" t="str">
        <f>IF(F604&lt;'PlayerGrades+'!$AB$21,"F-",IF(F604&lt;'PlayerGrades+'!$AB$20,"F",IF(F604&lt;'PlayerGrades+'!$AB$19,"F+",IF(F604&lt;'PlayerGrades+'!$AB$18,"E-",IF(F604&lt;'PlayerGrades+'!$AB$17,"E",IF(F604&lt;'PlayerGrades+'!$AB$16,"E+",IF(F604&lt;'PlayerGrades+'!$AB$15,"D-",IF(F604&lt;'PlayerGrades+'!$AB$14,"D",IF(F604&lt;'PlayerGrades+'!$AB$13,"D+",IF(F604&lt;'PlayerGrades+'!$AB$12,"C-",IF(F604&lt;'PlayerGrades+'!$AB$11,"C",IF(F604&lt;'PlayerGrades+'!$AB$10,"C+",IF(F604&lt;'PlayerGrades+'!$AB$9,"B-",IF(F604&lt;'PlayerGrades+'!$AB$8,"B",IF(F604&lt;'PlayerGrades+'!$AB$7,"B+",IF(F604&lt;'PlayerGrades+'!$AB$6,"A-",IF(F604&lt;'PlayerGrades+'!$AB$5,"A",IF(F604&lt;'PlayerGrades+'!$AB$4,"A+",IF(F604&lt;'PlayerGrades+'!$AB$3,"S-",IF(F604&lt;'PlayerGrades+'!$AB$2,"S","S+"))))))))))))))))))))</f>
        <v>B</v>
      </c>
      <c r="H604" s="973">
        <f t="shared" si="3"/>
        <v>0.3409090909</v>
      </c>
      <c r="I604" s="973" t="str">
        <f>IF(H604&lt;'PlayerGrades+'!$AC$21,"F-",IF(H604&lt;'PlayerGrades+'!$AC$20,"F",IF(H604&lt;'PlayerGrades+'!$AC$19,"F+",IF(H604&lt;'PlayerGrades+'!$AC$18,"E-",IF(H604&lt;'PlayerGrades+'!$AC$17,"E",IF(H604&lt;'PlayerGrades+'!$AC$16,"E+",IF(H604&lt;'PlayerGrades+'!$AC$15,"D-",IF(H604&lt;'PlayerGrades+'!$AC$14,"D",IF(H604&lt;'PlayerGrades+'!$AC$13,"D+",IF(H604&lt;'PlayerGrades+'!$AC$12,"C-",IF(H604&lt;'PlayerGrades+'!$AC$11,"C",IF(H604&lt;'PlayerGrades+'!$AC$10,"C+",IF(H604&lt;'PlayerGrades+'!$AC$9,"B-",IF(H604&lt;'PlayerGrades+'!$AC$8,"B",IF(H604&lt;'PlayerGrades+'!$AC$7,"B+",IF(H604&lt;'PlayerGrades+'!$AC$6,"A-",IF(H604&lt;'PlayerGrades+'!$AC$5,"A",IF(H604&lt;'PlayerGrades+'!$AC$4,"A+",IF(H604&lt;'PlayerGrades+'!$AC$3,"S-",IF(H604&lt;'PlayerGrades+'!$AC$2,"S","S+"))))))))))))))))))))</f>
        <v>S+</v>
      </c>
      <c r="J604" s="973">
        <f t="shared" si="4"/>
        <v>0.04261363636</v>
      </c>
      <c r="K604" s="973" t="str">
        <f>IF(J604&lt;'PlayerGrades+'!$AD$21,"F-",IF(J604&lt;'PlayerGrades+'!$AD$20,"F",IF(J604&lt;'PlayerGrades+'!$AD$19,"F+",IF(J604&lt;'PlayerGrades+'!$AD$18,"E-",IF(J604&lt;'PlayerGrades+'!$AD$17,"E",IF(J604&lt;'PlayerGrades+'!$AD$16,"E+",IF(J604&lt;'PlayerGrades+'!$AD$15,"D-",IF(J604&lt;'PlayerGrades+'!$AD$14,"D",IF(J604&lt;'PlayerGrades+'!$AD$13,"D+",IF(J604&lt;'PlayerGrades+'!$AD$12,"C-",IF(J604&lt;'PlayerGrades+'!$AD$11,"C",IF(J604&lt;'PlayerGrades+'!$AD$10,"C+",IF(J604&lt;'PlayerGrades+'!$AD$9,"B-",IF(J604&lt;'PlayerGrades+'!$AD$8,"B",IF(J604&lt;'PlayerGrades+'!$AD$7,"B+",IF(J604&lt;'PlayerGrades+'!$AD$6,"A-",IF(J604&lt;'PlayerGrades+'!$AD$5,"A",IF(J604&lt;'PlayerGrades+'!$AD$4,"A+",IF(J604&lt;'PlayerGrades+'!$AD$3,"S-",IF(J604&lt;'PlayerGrades+'!$AD$2,"S","S+"))))))))))))))))))))</f>
        <v>C+</v>
      </c>
      <c r="L604" s="974">
        <f t="shared" si="5"/>
        <v>0.6818181818</v>
      </c>
      <c r="M604" s="975" t="str">
        <f>IF(L604&lt;'PlayerGrades+'!$AE$21,"F-",IF(L604&lt;'PlayerGrades+'!$AE$20,"F",IF(L604&lt;'PlayerGrades+'!$AE$19,"F+",IF(L604&lt;'PlayerGrades+'!$AE$18,"E-",IF(L604&lt;'PlayerGrades+'!$AE$17,"E",IF(L604&lt;'PlayerGrades+'!$AE$16,"E+",IF(L604&lt;'PlayerGrades+'!$AE$15,"D-",IF(L604&lt;'PlayerGrades+'!$AE$14,"D",IF(L604&lt;'PlayerGrades+'!$AE$13,"D+",IF(L604&lt;'PlayerGrades+'!$AE$12,"C-",IF(L604&lt;'PlayerGrades+'!$AE$11,"C",IF(L604&lt;'PlayerGrades+'!$AE$10,"C+",IF(L604&lt;'PlayerGrades+'!$AE$9,"B-",IF(L604&lt;'PlayerGrades+'!$AE$8,"B",IF(L604&lt;'PlayerGrades+'!$AE$7,"B+",IF(L604&lt;'PlayerGrades+'!$AE$6,"A-",IF(L604&lt;'PlayerGrades+'!$AE$5,"A",IF(L604&lt;'PlayerGrades+'!$AE$4,"A+",IF(L604&lt;'PlayerGrades+'!$AE$3,"S-",IF(L604&lt;'PlayerGrades+'!$AE$2,"S","S+"))))))))))))))))))))</f>
        <v>S</v>
      </c>
      <c r="N604" s="973">
        <f t="shared" si="6"/>
        <v>0.1704545455</v>
      </c>
      <c r="O604" s="973" t="str">
        <f>IF(N604&lt;'PlayerGrades+'!$AF$21,"F-",IF(N604&lt;'PlayerGrades+'!$AF$20,"F",IF(N604&lt;'PlayerGrades+'!$AF$19,"F+",IF(N604&lt;'PlayerGrades+'!$AF$18,"E-",IF(N604&lt;'PlayerGrades+'!$AF$17,"E",IF(N604&lt;'PlayerGrades+'!$AF$16,"E+",IF(N604&lt;'PlayerGrades+'!$AF$15,"D-",IF(N604&lt;'PlayerGrades+'!$AF$14,"D",IF(N604&lt;'PlayerGrades+'!$AF$13,"D+",IF(N604&lt;'PlayerGrades+'!$AF$12,"C-",IF(N604&lt;'PlayerGrades+'!$AF$11,"C",IF(N604&lt;'PlayerGrades+'!$AF$10,"C+",IF(N604&lt;'PlayerGrades+'!$AF$9,"B-",IF(N604&lt;'PlayerGrades+'!$AF$8,"B",IF(N604&lt;'PlayerGrades+'!$AF$7,"B+",IF(N604&lt;'PlayerGrades+'!$AF$6,"A-",IF(N604&lt;'PlayerGrades+'!$AF$5,"A",IF(N604&lt;'PlayerGrades+'!$AF$4,"A+",IF(N604&lt;'PlayerGrades+'!$AF$3,"S-",IF(N604&lt;'PlayerGrades+'!$AF$2,"S","S+"))))))))))))))))))))</f>
        <v>S+</v>
      </c>
      <c r="P604" s="973">
        <f t="shared" si="7"/>
        <v>0.04261363636</v>
      </c>
      <c r="Q604" s="973" t="str">
        <f>IF(P604&lt;'PlayerGrades+'!$AG$21,"F-",IF(P604&lt;'PlayerGrades+'!$AG$20,"F",IF(P604&lt;'PlayerGrades+'!$AG$19,"F+",IF(P604&lt;'PlayerGrades+'!$AG$18,"E-",IF(P604&lt;'PlayerGrades+'!$AG$17,"E",IF(P604&lt;'PlayerGrades+'!$AG$16,"E+",IF(P604&lt;'PlayerGrades+'!$AG$15,"D-",IF(P604&lt;'PlayerGrades+'!$AG$14,"D",IF(P604&lt;'PlayerGrades+'!$AG$13,"D+",IF(P604&lt;'PlayerGrades+'!$AG$12,"C-",IF(P604&lt;'PlayerGrades+'!$AG$11,"C",IF(P604&lt;'PlayerGrades+'!$AG$10,"C+",IF(P604&lt;'PlayerGrades+'!$AG$9,"B-",IF(P604&lt;'PlayerGrades+'!$AG$8,"B",IF(P604&lt;'PlayerGrades+'!$AG$7,"B+",IF(P604&lt;'PlayerGrades+'!$AG$6,"A-",IF(P604&lt;'PlayerGrades+'!$AG$5,"A",IF(P604&lt;'PlayerGrades+'!$AG$4,"A+",IF(P604&lt;'PlayerGrades+'!$AG$3,"S-",IF(P604&lt;'PlayerGrades+'!$AG$2,"S","S+"))))))))))))))))))))</f>
        <v>A</v>
      </c>
      <c r="R604" s="973">
        <f t="shared" si="8"/>
        <v>0.7670454545</v>
      </c>
      <c r="S604" s="973" t="str">
        <f>IF(R604&lt;'PlayerGrades+'!$AH$21,"F-",IF(R604&lt;'PlayerGrades+'!$AH$20,"F",IF(R604&lt;'PlayerGrades+'!$AH$19,"F+",IF(R604&lt;'PlayerGrades+'!$AH$18,"E-",IF(R604&lt;'PlayerGrades+'!$AH$17,"E",IF(R604&lt;'PlayerGrades+'!$AH$16,"E+",IF(R604&lt;'PlayerGrades+'!$AH$15,"D-",IF(R604&lt;'PlayerGrades+'!$AH$14,"D",IF(R604&lt;'PlayerGrades+'!$AH$13,"D+",IF(R604&lt;'PlayerGrades+'!$AH$12,"C-",IF(R604&lt;'PlayerGrades+'!$AH$11,"C",IF(R604&lt;'PlayerGrades+'!$AH$10,"C+",IF(R604&lt;'PlayerGrades+'!$AH$9,"B-",IF(R604&lt;'PlayerGrades+'!$AH$8,"B",IF(R604&lt;'PlayerGrades+'!$AH$7,"B+",IF(R604&lt;'PlayerGrades+'!$AH$6,"A-",IF(R604&lt;'PlayerGrades+'!$AH$5,"A",IF(R604&lt;'PlayerGrades+'!$AH$4,"A+",IF(R604&lt;'PlayerGrades+'!$AH$3,"S-",IF(R604&lt;'PlayerGrades+'!$AH$2,"S","S+"))))))))))))))))))))</f>
        <v>S+</v>
      </c>
      <c r="T604" s="973">
        <f t="shared" si="9"/>
        <v>1.298295455</v>
      </c>
      <c r="U604" s="973" t="str">
        <f>IF(T604&lt;'PlayerGrades+'!$AI$21,"F-",IF(T604&lt;'PlayerGrades+'!$AI$20,"F",IF(T604&lt;'PlayerGrades+'!$AI$19,"F+",IF(T604&lt;'PlayerGrades+'!$AI$18,"E-",IF(T604&lt;'PlayerGrades+'!$AI$17,"E",IF(T604&lt;'PlayerGrades+'!$AI$16,"E+",IF(T604&lt;'PlayerGrades+'!$AI$15,"D-",IF(T604&lt;'PlayerGrades+'!$AI$14,"D",IF(T604&lt;'PlayerGrades+'!$AI$13,"D+",IF(T604&lt;'PlayerGrades+'!$AI$12,"C-",IF(T604&lt;'PlayerGrades+'!$AI$11,"C",IF(T604&lt;'PlayerGrades+'!$AI$10,"C+",IF(T604&lt;'PlayerGrades+'!$AI$9,"B-",IF(T604&lt;'PlayerGrades+'!$AI$8,"B",IF(T604&lt;'PlayerGrades+'!$AI$7,"B+",IF(T604&lt;'PlayerGrades+'!$AI$6,"A-",IF(T604&lt;'PlayerGrades+'!$AI$5,"A",IF(T604&lt;'PlayerGrades+'!$AI$4,"A+",IF(T604&lt;'PlayerGrades+'!$AI$3,"S-",IF(T604&lt;'PlayerGrades+'!$AI$2,"S","S+"))))))))))))))))))))</f>
        <v>C+</v>
      </c>
      <c r="V604" s="941">
        <v>1.0</v>
      </c>
      <c r="W604" s="941">
        <v>1.0</v>
      </c>
      <c r="X604" s="941">
        <v>0.0</v>
      </c>
      <c r="Y604" s="941">
        <v>0.0</v>
      </c>
      <c r="Z604" s="941">
        <v>0.0</v>
      </c>
      <c r="AA604" s="941">
        <v>90.0</v>
      </c>
      <c r="AB604" s="941">
        <v>89.0</v>
      </c>
      <c r="AC604" s="941">
        <v>1.0</v>
      </c>
      <c r="AD604" s="941">
        <v>6.0</v>
      </c>
      <c r="AE604" s="941">
        <v>6.0</v>
      </c>
      <c r="AF604" s="941">
        <v>2.0</v>
      </c>
      <c r="AG604" s="941">
        <v>1151.0</v>
      </c>
      <c r="AH604" s="1">
        <v>1408.0</v>
      </c>
      <c r="AI604" s="941">
        <v>12.0</v>
      </c>
      <c r="AJ604" s="941">
        <v>15.0</v>
      </c>
      <c r="AK604" s="941">
        <v>0.0</v>
      </c>
      <c r="AL604" s="941">
        <v>1.0</v>
      </c>
      <c r="AM604" s="941">
        <v>0.0</v>
      </c>
      <c r="AN604" s="941">
        <v>0.0</v>
      </c>
      <c r="AO604" s="941">
        <v>0.0</v>
      </c>
      <c r="AP604" s="941">
        <v>1.0</v>
      </c>
      <c r="AQ604" s="941">
        <v>0.0</v>
      </c>
      <c r="AR604" s="941">
        <v>16.0</v>
      </c>
      <c r="AS604" s="941">
        <v>4.0</v>
      </c>
      <c r="AT604" s="941">
        <v>0.0</v>
      </c>
      <c r="AU604" s="941">
        <v>0.0</v>
      </c>
      <c r="AV604" s="941">
        <v>0.0</v>
      </c>
      <c r="AW604" s="941">
        <v>0.0</v>
      </c>
      <c r="AX604" s="941">
        <v>0.0</v>
      </c>
      <c r="AY604" s="941">
        <v>0.0</v>
      </c>
      <c r="AZ604" s="941">
        <v>0.0</v>
      </c>
      <c r="BA604" s="941">
        <v>0.0</v>
      </c>
      <c r="BB604" s="941">
        <v>8.0</v>
      </c>
      <c r="BC604" s="941">
        <v>0.0</v>
      </c>
      <c r="BD604" s="941">
        <v>12.0</v>
      </c>
      <c r="BE604" s="941">
        <v>7.0</v>
      </c>
      <c r="BF604" s="941">
        <v>1.0</v>
      </c>
      <c r="BG604" s="942">
        <v>1.0</v>
      </c>
    </row>
    <row r="605">
      <c r="A605" s="935" t="s">
        <v>156</v>
      </c>
      <c r="B605" s="421" t="str">
        <f>IF(C605&lt;'PlayerGrades+'!$Y$44,"F-",IF(C605&lt;'PlayerGrades+'!$Y$43,"F",IF(C605&lt;'PlayerGrades+'!$Y$42,"F+",IF(C605&lt;'PlayerGrades+'!$Y$41,"E-",IF(C605&lt;'PlayerGrades+'!$Y$40,"E",IF(C605&lt;'PlayerGrades+'!$Y$39,"E+",IF(C605&lt;'PlayerGrades+'!$Y$38,"D-",IF(C605&lt;'PlayerGrades+'!$Y$37,"D",IF(C605&lt;'PlayerGrades+'!$Y$36,"D+",IF(C605&lt;'PlayerGrades+'!$Y$35,"C-",IF(C605&lt;'PlayerGrades+'!$Y$34,"C",IF(C605&lt;'PlayerGrades+'!$Y$33,"C+",IF(C605&lt;'PlayerGrades+'!$Y$32,"B-",IF(C605&lt;'PlayerGrades+'!$Y$31,"B",IF(C605&lt;'PlayerGrades+'!$Y$30,"B+",IF(C605&lt;'PlayerGrades+'!$Y$29,"A-",IF(C605&lt;'PlayerGrades+'!$Y$28,"A",IF(C605&lt;'PlayerGrades+'!$Y$27,"A+",IF(C605&lt;'PlayerGrades+'!$Y$26,"S-",IF(C605&lt;'PlayerGrades+'!$Y$25,"S","S+"))))))))))))))))))))</f>
        <v>D-</v>
      </c>
      <c r="C605" s="972">
        <f>('PlayerGrades+'!$Y$47*(VLOOKUP(E605, 'PlayerGrades+'!$X$3:$Y$23, 2, FALSE)))+('PlayerGrades+'!$Y$48*(VLOOKUP(G605, 'PlayerGrades+'!$X$3:$Y$23, 2, FALSE)))+('PlayerGrades+'!$Y$49*(VLOOKUP(I605, 'PlayerGrades+'!$X$3:$Y$23, 2, FALSE)))+('PlayerGrades+'!$Y$50*(VLOOKUP(K605, 'PlayerGrades+'!$X$3:$Y$23, 2, FALSE)))+('PlayerGrades+'!$Y$51*(VLOOKUP(M605, 'PlayerGrades+'!$X$3:$Y$23, 2, FALSE)))+('PlayerGrades+'!$Y$52*(VLOOKUP(O605, 'PlayerGrades+'!$X$3:$Y$23, 2, FALSE)))+('PlayerGrades+'!$Y$53*(VLOOKUP(Q605, 'PlayerGrades+'!$X$3:$Y$23, 2, FALSE)))+('PlayerGrades+'!$Y$54*(VLOOKUP(S605, 'PlayerGrades+'!$X$3:$Y$23, 2, FALSE)))+('PlayerGrades+'!$Y$55*(VLOOKUP(U605, 'PlayerGrades+'!$X$3:$Y$23, 2, FALSE)))</f>
        <v>13.75</v>
      </c>
      <c r="D605" s="973">
        <f t="shared" si="1"/>
        <v>0</v>
      </c>
      <c r="E605" s="973" t="str">
        <f>IF(D605&lt;'PlayerGrades+'!$AA$21,"F-",IF(D605&lt;'PlayerGrades+'!$AA$20,"F",IF(D605&lt;'PlayerGrades+'!$AA$19,"F+",IF(D605&lt;'PlayerGrades+'!$AA$18,"E-",IF(D605&lt;'PlayerGrades+'!$AA$17,"E",IF(D605&lt;'PlayerGrades+'!$AA$16,"E+",IF(D605&lt;'PlayerGrades+'!$AA$15,"D-",IF(D605&lt;'PlayerGrades+'!$AA$14,"D",IF(D605&lt;'PlayerGrades+'!$AA$13,"D+",IF(D605&lt;'PlayerGrades+'!$AA$12,"C-",IF(D605&lt;'PlayerGrades+'!$AA$11,"C",IF(D605&lt;'PlayerGrades+'!$AA$10,"C+",IF(D605&lt;'PlayerGrades+'!$AA$9,"B-",IF(D605&lt;'PlayerGrades+'!$AA$8,"B",IF(D605&lt;'PlayerGrades+'!$AA$7,"B+",IF(D605&lt;'PlayerGrades+'!$AA$6,"A-",IF(D605&lt;'PlayerGrades+'!$AA$5,"A",IF(D605&lt;'PlayerGrades+'!$AA$4,"A+",IF(D605&lt;'PlayerGrades+'!$AA$3,"S-",IF(D605&lt;'PlayerGrades+'!$AA$2,"S","S+"))))))))))))))))))))</f>
        <v>F-</v>
      </c>
      <c r="F605" s="973">
        <f t="shared" si="2"/>
        <v>-0.04261363636</v>
      </c>
      <c r="G605" s="973" t="str">
        <f>IF(F605&lt;'PlayerGrades+'!$AB$21,"F-",IF(F605&lt;'PlayerGrades+'!$AB$20,"F",IF(F605&lt;'PlayerGrades+'!$AB$19,"F+",IF(F605&lt;'PlayerGrades+'!$AB$18,"E-",IF(F605&lt;'PlayerGrades+'!$AB$17,"E",IF(F605&lt;'PlayerGrades+'!$AB$16,"E+",IF(F605&lt;'PlayerGrades+'!$AB$15,"D-",IF(F605&lt;'PlayerGrades+'!$AB$14,"D",IF(F605&lt;'PlayerGrades+'!$AB$13,"D+",IF(F605&lt;'PlayerGrades+'!$AB$12,"C-",IF(F605&lt;'PlayerGrades+'!$AB$11,"C",IF(F605&lt;'PlayerGrades+'!$AB$10,"C+",IF(F605&lt;'PlayerGrades+'!$AB$9,"B-",IF(F605&lt;'PlayerGrades+'!$AB$8,"B",IF(F605&lt;'PlayerGrades+'!$AB$7,"B+",IF(F605&lt;'PlayerGrades+'!$AB$6,"A-",IF(F605&lt;'PlayerGrades+'!$AB$5,"A",IF(F605&lt;'PlayerGrades+'!$AB$4,"A+",IF(F605&lt;'PlayerGrades+'!$AB$3,"S-",IF(F605&lt;'PlayerGrades+'!$AB$2,"S","S+"))))))))))))))))))))</f>
        <v>B-</v>
      </c>
      <c r="H605" s="973">
        <f t="shared" si="3"/>
        <v>0.08522727273</v>
      </c>
      <c r="I605" s="973" t="str">
        <f>IF(H605&lt;'PlayerGrades+'!$AC$21,"F-",IF(H605&lt;'PlayerGrades+'!$AC$20,"F",IF(H605&lt;'PlayerGrades+'!$AC$19,"F+",IF(H605&lt;'PlayerGrades+'!$AC$18,"E-",IF(H605&lt;'PlayerGrades+'!$AC$17,"E",IF(H605&lt;'PlayerGrades+'!$AC$16,"E+",IF(H605&lt;'PlayerGrades+'!$AC$15,"D-",IF(H605&lt;'PlayerGrades+'!$AC$14,"D",IF(H605&lt;'PlayerGrades+'!$AC$13,"D+",IF(H605&lt;'PlayerGrades+'!$AC$12,"C-",IF(H605&lt;'PlayerGrades+'!$AC$11,"C",IF(H605&lt;'PlayerGrades+'!$AC$10,"C+",IF(H605&lt;'PlayerGrades+'!$AC$9,"B-",IF(H605&lt;'PlayerGrades+'!$AC$8,"B",IF(H605&lt;'PlayerGrades+'!$AC$7,"B+",IF(H605&lt;'PlayerGrades+'!$AC$6,"A-",IF(H605&lt;'PlayerGrades+'!$AC$5,"A",IF(H605&lt;'PlayerGrades+'!$AC$4,"A+",IF(H605&lt;'PlayerGrades+'!$AC$3,"S-",IF(H605&lt;'PlayerGrades+'!$AC$2,"S","S+"))))))))))))))))))))</f>
        <v>D-</v>
      </c>
      <c r="J605" s="973">
        <f t="shared" si="4"/>
        <v>0.04261363636</v>
      </c>
      <c r="K605" s="973" t="str">
        <f>IF(J605&lt;'PlayerGrades+'!$AD$21,"F-",IF(J605&lt;'PlayerGrades+'!$AD$20,"F",IF(J605&lt;'PlayerGrades+'!$AD$19,"F+",IF(J605&lt;'PlayerGrades+'!$AD$18,"E-",IF(J605&lt;'PlayerGrades+'!$AD$17,"E",IF(J605&lt;'PlayerGrades+'!$AD$16,"E+",IF(J605&lt;'PlayerGrades+'!$AD$15,"D-",IF(J605&lt;'PlayerGrades+'!$AD$14,"D",IF(J605&lt;'PlayerGrades+'!$AD$13,"D+",IF(J605&lt;'PlayerGrades+'!$AD$12,"C-",IF(J605&lt;'PlayerGrades+'!$AD$11,"C",IF(J605&lt;'PlayerGrades+'!$AD$10,"C+",IF(J605&lt;'PlayerGrades+'!$AD$9,"B-",IF(J605&lt;'PlayerGrades+'!$AD$8,"B",IF(J605&lt;'PlayerGrades+'!$AD$7,"B+",IF(J605&lt;'PlayerGrades+'!$AD$6,"A-",IF(J605&lt;'PlayerGrades+'!$AD$5,"A",IF(J605&lt;'PlayerGrades+'!$AD$4,"A+",IF(J605&lt;'PlayerGrades+'!$AD$3,"S-",IF(J605&lt;'PlayerGrades+'!$AD$2,"S","S+"))))))))))))))))))))</f>
        <v>C+</v>
      </c>
      <c r="L605" s="974">
        <f t="shared" si="5"/>
        <v>0.3835227273</v>
      </c>
      <c r="M605" s="975" t="str">
        <f>IF(L605&lt;'PlayerGrades+'!$AE$21,"F-",IF(L605&lt;'PlayerGrades+'!$AE$20,"F",IF(L605&lt;'PlayerGrades+'!$AE$19,"F+",IF(L605&lt;'PlayerGrades+'!$AE$18,"E-",IF(L605&lt;'PlayerGrades+'!$AE$17,"E",IF(L605&lt;'PlayerGrades+'!$AE$16,"E+",IF(L605&lt;'PlayerGrades+'!$AE$15,"D-",IF(L605&lt;'PlayerGrades+'!$AE$14,"D",IF(L605&lt;'PlayerGrades+'!$AE$13,"D+",IF(L605&lt;'PlayerGrades+'!$AE$12,"C-",IF(L605&lt;'PlayerGrades+'!$AE$11,"C",IF(L605&lt;'PlayerGrades+'!$AE$10,"C+",IF(L605&lt;'PlayerGrades+'!$AE$9,"B-",IF(L605&lt;'PlayerGrades+'!$AE$8,"B",IF(L605&lt;'PlayerGrades+'!$AE$7,"B+",IF(L605&lt;'PlayerGrades+'!$AE$6,"A-",IF(L605&lt;'PlayerGrades+'!$AE$5,"A",IF(L605&lt;'PlayerGrades+'!$AE$4,"A+",IF(L605&lt;'PlayerGrades+'!$AE$3,"S-",IF(L605&lt;'PlayerGrades+'!$AE$2,"S","S+"))))))))))))))))))))</f>
        <v>C</v>
      </c>
      <c r="N605" s="973">
        <f t="shared" si="6"/>
        <v>0.04261363636</v>
      </c>
      <c r="O605" s="973" t="str">
        <f>IF(N605&lt;'PlayerGrades+'!$AF$21,"F-",IF(N605&lt;'PlayerGrades+'!$AF$20,"F",IF(N605&lt;'PlayerGrades+'!$AF$19,"F+",IF(N605&lt;'PlayerGrades+'!$AF$18,"E-",IF(N605&lt;'PlayerGrades+'!$AF$17,"E",IF(N605&lt;'PlayerGrades+'!$AF$16,"E+",IF(N605&lt;'PlayerGrades+'!$AF$15,"D-",IF(N605&lt;'PlayerGrades+'!$AF$14,"D",IF(N605&lt;'PlayerGrades+'!$AF$13,"D+",IF(N605&lt;'PlayerGrades+'!$AF$12,"C-",IF(N605&lt;'PlayerGrades+'!$AF$11,"C",IF(N605&lt;'PlayerGrades+'!$AF$10,"C+",IF(N605&lt;'PlayerGrades+'!$AF$9,"B-",IF(N605&lt;'PlayerGrades+'!$AF$8,"B",IF(N605&lt;'PlayerGrades+'!$AF$7,"B+",IF(N605&lt;'PlayerGrades+'!$AF$6,"A-",IF(N605&lt;'PlayerGrades+'!$AF$5,"A",IF(N605&lt;'PlayerGrades+'!$AF$4,"A+",IF(N605&lt;'PlayerGrades+'!$AF$3,"S-",IF(N605&lt;'PlayerGrades+'!$AF$2,"S","S+"))))))))))))))))))))</f>
        <v>E</v>
      </c>
      <c r="P605" s="973">
        <f t="shared" si="7"/>
        <v>0.04261363636</v>
      </c>
      <c r="Q605" s="973" t="str">
        <f>IF(P605&lt;'PlayerGrades+'!$AG$21,"F-",IF(P605&lt;'PlayerGrades+'!$AG$20,"F",IF(P605&lt;'PlayerGrades+'!$AG$19,"F+",IF(P605&lt;'PlayerGrades+'!$AG$18,"E-",IF(P605&lt;'PlayerGrades+'!$AG$17,"E",IF(P605&lt;'PlayerGrades+'!$AG$16,"E+",IF(P605&lt;'PlayerGrades+'!$AG$15,"D-",IF(P605&lt;'PlayerGrades+'!$AG$14,"D",IF(P605&lt;'PlayerGrades+'!$AG$13,"D+",IF(P605&lt;'PlayerGrades+'!$AG$12,"C-",IF(P605&lt;'PlayerGrades+'!$AG$11,"C",IF(P605&lt;'PlayerGrades+'!$AG$10,"C+",IF(P605&lt;'PlayerGrades+'!$AG$9,"B-",IF(P605&lt;'PlayerGrades+'!$AG$8,"B",IF(P605&lt;'PlayerGrades+'!$AG$7,"B+",IF(P605&lt;'PlayerGrades+'!$AG$6,"A-",IF(P605&lt;'PlayerGrades+'!$AG$5,"A",IF(P605&lt;'PlayerGrades+'!$AG$4,"A+",IF(P605&lt;'PlayerGrades+'!$AG$3,"S-",IF(P605&lt;'PlayerGrades+'!$AG$2,"S","S+"))))))))))))))))))))</f>
        <v>A</v>
      </c>
      <c r="R605" s="973">
        <f t="shared" si="8"/>
        <v>0.3409090909</v>
      </c>
      <c r="S605" s="973" t="str">
        <f>IF(R605&lt;'PlayerGrades+'!$AH$21,"F-",IF(R605&lt;'PlayerGrades+'!$AH$20,"F",IF(R605&lt;'PlayerGrades+'!$AH$19,"F+",IF(R605&lt;'PlayerGrades+'!$AH$18,"E-",IF(R605&lt;'PlayerGrades+'!$AH$17,"E",IF(R605&lt;'PlayerGrades+'!$AH$16,"E+",IF(R605&lt;'PlayerGrades+'!$AH$15,"D-",IF(R605&lt;'PlayerGrades+'!$AH$14,"D",IF(R605&lt;'PlayerGrades+'!$AH$13,"D+",IF(R605&lt;'PlayerGrades+'!$AH$12,"C-",IF(R605&lt;'PlayerGrades+'!$AH$11,"C",IF(R605&lt;'PlayerGrades+'!$AH$10,"C+",IF(R605&lt;'PlayerGrades+'!$AH$9,"B-",IF(R605&lt;'PlayerGrades+'!$AH$8,"B",IF(R605&lt;'PlayerGrades+'!$AH$7,"B+",IF(R605&lt;'PlayerGrades+'!$AH$6,"A-",IF(R605&lt;'PlayerGrades+'!$AH$5,"A",IF(R605&lt;'PlayerGrades+'!$AH$4,"A+",IF(R605&lt;'PlayerGrades+'!$AH$3,"S-",IF(R605&lt;'PlayerGrades+'!$AH$2,"S","S+"))))))))))))))))))))</f>
        <v>F</v>
      </c>
      <c r="T605" s="973">
        <f t="shared" si="9"/>
        <v>0.5539772727</v>
      </c>
      <c r="U605" s="973" t="str">
        <f>IF(T605&lt;'PlayerGrades+'!$AI$21,"F-",IF(T605&lt;'PlayerGrades+'!$AI$20,"F",IF(T605&lt;'PlayerGrades+'!$AI$19,"F+",IF(T605&lt;'PlayerGrades+'!$AI$18,"E-",IF(T605&lt;'PlayerGrades+'!$AI$17,"E",IF(T605&lt;'PlayerGrades+'!$AI$16,"E+",IF(T605&lt;'PlayerGrades+'!$AI$15,"D-",IF(T605&lt;'PlayerGrades+'!$AI$14,"D",IF(T605&lt;'PlayerGrades+'!$AI$13,"D+",IF(T605&lt;'PlayerGrades+'!$AI$12,"C-",IF(T605&lt;'PlayerGrades+'!$AI$11,"C",IF(T605&lt;'PlayerGrades+'!$AI$10,"C+",IF(T605&lt;'PlayerGrades+'!$AI$9,"B-",IF(T605&lt;'PlayerGrades+'!$AI$8,"B",IF(T605&lt;'PlayerGrades+'!$AI$7,"B+",IF(T605&lt;'PlayerGrades+'!$AI$6,"A-",IF(T605&lt;'PlayerGrades+'!$AI$5,"A",IF(T605&lt;'PlayerGrades+'!$AI$4,"A+",IF(T605&lt;'PlayerGrades+'!$AI$3,"S-",IF(T605&lt;'PlayerGrades+'!$AI$2,"S","S+"))))))))))))))))))))</f>
        <v>F-</v>
      </c>
      <c r="V605" s="941">
        <v>1.0</v>
      </c>
      <c r="W605" s="941">
        <v>1.0</v>
      </c>
      <c r="X605" s="941">
        <v>0.0</v>
      </c>
      <c r="Y605" s="941">
        <v>0.0</v>
      </c>
      <c r="Z605" s="941">
        <v>0.0</v>
      </c>
      <c r="AA605" s="941">
        <v>81.0</v>
      </c>
      <c r="AB605" s="941">
        <v>82.0</v>
      </c>
      <c r="AC605" s="941">
        <v>-1.0</v>
      </c>
      <c r="AD605" s="941">
        <v>5.0</v>
      </c>
      <c r="AE605" s="941">
        <v>6.0</v>
      </c>
      <c r="AF605" s="941">
        <v>1.0</v>
      </c>
      <c r="AG605" s="941">
        <v>1170.0</v>
      </c>
      <c r="AH605" s="1">
        <v>1408.0</v>
      </c>
      <c r="AI605" s="941">
        <v>14.0</v>
      </c>
      <c r="AJ605" s="941">
        <v>5.0</v>
      </c>
      <c r="AK605" s="941">
        <v>0.0</v>
      </c>
      <c r="AL605" s="941">
        <v>1.0</v>
      </c>
      <c r="AM605" s="941">
        <v>0.0</v>
      </c>
      <c r="AN605" s="941">
        <v>0.0</v>
      </c>
      <c r="AO605" s="941">
        <v>0.0</v>
      </c>
      <c r="AP605" s="941">
        <v>1.0</v>
      </c>
      <c r="AQ605" s="941">
        <v>0.0</v>
      </c>
      <c r="AR605" s="941">
        <v>9.0</v>
      </c>
      <c r="AS605" s="941">
        <v>1.0</v>
      </c>
      <c r="AT605" s="941">
        <v>0.0</v>
      </c>
      <c r="AU605" s="941">
        <v>0.0</v>
      </c>
      <c r="AV605" s="941">
        <v>0.0</v>
      </c>
      <c r="AW605" s="941">
        <v>0.0</v>
      </c>
      <c r="AX605" s="941">
        <v>0.0</v>
      </c>
      <c r="AY605" s="941">
        <v>0.0</v>
      </c>
      <c r="AZ605" s="941">
        <v>0.0</v>
      </c>
      <c r="BA605" s="941">
        <v>0.0</v>
      </c>
      <c r="BB605" s="941">
        <v>2.0</v>
      </c>
      <c r="BC605" s="941">
        <v>0.0</v>
      </c>
      <c r="BD605" s="941">
        <v>3.0</v>
      </c>
      <c r="BE605" s="941">
        <v>13.0</v>
      </c>
      <c r="BF605" s="941">
        <v>0.0</v>
      </c>
      <c r="BG605" s="942">
        <v>1.0</v>
      </c>
    </row>
    <row r="606">
      <c r="A606" s="935" t="s">
        <v>132</v>
      </c>
      <c r="B606" s="421" t="str">
        <f>IF(C606&lt;'PlayerGrades+'!$Y$44,"F-",IF(C606&lt;'PlayerGrades+'!$Y$43,"F",IF(C606&lt;'PlayerGrades+'!$Y$42,"F+",IF(C606&lt;'PlayerGrades+'!$Y$41,"E-",IF(C606&lt;'PlayerGrades+'!$Y$40,"E",IF(C606&lt;'PlayerGrades+'!$Y$39,"E+",IF(C606&lt;'PlayerGrades+'!$Y$38,"D-",IF(C606&lt;'PlayerGrades+'!$Y$37,"D",IF(C606&lt;'PlayerGrades+'!$Y$36,"D+",IF(C606&lt;'PlayerGrades+'!$Y$35,"C-",IF(C606&lt;'PlayerGrades+'!$Y$34,"C",IF(C606&lt;'PlayerGrades+'!$Y$33,"C+",IF(C606&lt;'PlayerGrades+'!$Y$32,"B-",IF(C606&lt;'PlayerGrades+'!$Y$31,"B",IF(C606&lt;'PlayerGrades+'!$Y$30,"B+",IF(C606&lt;'PlayerGrades+'!$Y$29,"A-",IF(C606&lt;'PlayerGrades+'!$Y$28,"A",IF(C606&lt;'PlayerGrades+'!$Y$27,"A+",IF(C606&lt;'PlayerGrades+'!$Y$26,"S-",IF(C606&lt;'PlayerGrades+'!$Y$25,"S","S+"))))))))))))))))))))</f>
        <v>D</v>
      </c>
      <c r="C606" s="972">
        <f>('PlayerGrades+'!$Y$47*(VLOOKUP(E606, 'PlayerGrades+'!$X$3:$Y$23, 2, FALSE)))+('PlayerGrades+'!$Y$48*(VLOOKUP(G606, 'PlayerGrades+'!$X$3:$Y$23, 2, FALSE)))+('PlayerGrades+'!$Y$49*(VLOOKUP(I606, 'PlayerGrades+'!$X$3:$Y$23, 2, FALSE)))+('PlayerGrades+'!$Y$50*(VLOOKUP(K606, 'PlayerGrades+'!$X$3:$Y$23, 2, FALSE)))+('PlayerGrades+'!$Y$51*(VLOOKUP(M606, 'PlayerGrades+'!$X$3:$Y$23, 2, FALSE)))+('PlayerGrades+'!$Y$52*(VLOOKUP(O606, 'PlayerGrades+'!$X$3:$Y$23, 2, FALSE)))+('PlayerGrades+'!$Y$53*(VLOOKUP(Q606, 'PlayerGrades+'!$X$3:$Y$23, 2, FALSE)))+('PlayerGrades+'!$Y$54*(VLOOKUP(S606, 'PlayerGrades+'!$X$3:$Y$23, 2, FALSE)))+('PlayerGrades+'!$Y$55*(VLOOKUP(U606, 'PlayerGrades+'!$X$3:$Y$23, 2, FALSE)))</f>
        <v>15.55</v>
      </c>
      <c r="D606" s="973">
        <f t="shared" si="1"/>
        <v>0.5965909091</v>
      </c>
      <c r="E606" s="973" t="str">
        <f>IF(D606&lt;'PlayerGrades+'!$AA$21,"F-",IF(D606&lt;'PlayerGrades+'!$AA$20,"F",IF(D606&lt;'PlayerGrades+'!$AA$19,"F+",IF(D606&lt;'PlayerGrades+'!$AA$18,"E-",IF(D606&lt;'PlayerGrades+'!$AA$17,"E",IF(D606&lt;'PlayerGrades+'!$AA$16,"E+",IF(D606&lt;'PlayerGrades+'!$AA$15,"D-",IF(D606&lt;'PlayerGrades+'!$AA$14,"D",IF(D606&lt;'PlayerGrades+'!$AA$13,"D+",IF(D606&lt;'PlayerGrades+'!$AA$12,"C-",IF(D606&lt;'PlayerGrades+'!$AA$11,"C",IF(D606&lt;'PlayerGrades+'!$AA$10,"C+",IF(D606&lt;'PlayerGrades+'!$AA$9,"B-",IF(D606&lt;'PlayerGrades+'!$AA$8,"B",IF(D606&lt;'PlayerGrades+'!$AA$7,"B+",IF(D606&lt;'PlayerGrades+'!$AA$6,"A-",IF(D606&lt;'PlayerGrades+'!$AA$5,"A",IF(D606&lt;'PlayerGrades+'!$AA$4,"A+",IF(D606&lt;'PlayerGrades+'!$AA$3,"S-",IF(D606&lt;'PlayerGrades+'!$AA$2,"S","S+"))))))))))))))))))))</f>
        <v>S-</v>
      </c>
      <c r="F606" s="973">
        <f t="shared" si="2"/>
        <v>-0.1278409091</v>
      </c>
      <c r="G606" s="973" t="str">
        <f>IF(F606&lt;'PlayerGrades+'!$AB$21,"F-",IF(F606&lt;'PlayerGrades+'!$AB$20,"F",IF(F606&lt;'PlayerGrades+'!$AB$19,"F+",IF(F606&lt;'PlayerGrades+'!$AB$18,"E-",IF(F606&lt;'PlayerGrades+'!$AB$17,"E",IF(F606&lt;'PlayerGrades+'!$AB$16,"E+",IF(F606&lt;'PlayerGrades+'!$AB$15,"D-",IF(F606&lt;'PlayerGrades+'!$AB$14,"D",IF(F606&lt;'PlayerGrades+'!$AB$13,"D+",IF(F606&lt;'PlayerGrades+'!$AB$12,"C-",IF(F606&lt;'PlayerGrades+'!$AB$11,"C",IF(F606&lt;'PlayerGrades+'!$AB$10,"C+",IF(F606&lt;'PlayerGrades+'!$AB$9,"B-",IF(F606&lt;'PlayerGrades+'!$AB$8,"B",IF(F606&lt;'PlayerGrades+'!$AB$7,"B+",IF(F606&lt;'PlayerGrades+'!$AB$6,"A-",IF(F606&lt;'PlayerGrades+'!$AB$5,"A",IF(F606&lt;'PlayerGrades+'!$AB$4,"A+",IF(F606&lt;'PlayerGrades+'!$AB$3,"S-",IF(F606&lt;'PlayerGrades+'!$AB$2,"S","S+"))))))))))))))))))))</f>
        <v>C+</v>
      </c>
      <c r="H606" s="973">
        <f t="shared" si="3"/>
        <v>0</v>
      </c>
      <c r="I606" s="973" t="str">
        <f>IF(H606&lt;'PlayerGrades+'!$AC$21,"F-",IF(H606&lt;'PlayerGrades+'!$AC$20,"F",IF(H606&lt;'PlayerGrades+'!$AC$19,"F+",IF(H606&lt;'PlayerGrades+'!$AC$18,"E-",IF(H606&lt;'PlayerGrades+'!$AC$17,"E",IF(H606&lt;'PlayerGrades+'!$AC$16,"E+",IF(H606&lt;'PlayerGrades+'!$AC$15,"D-",IF(H606&lt;'PlayerGrades+'!$AC$14,"D",IF(H606&lt;'PlayerGrades+'!$AC$13,"D+",IF(H606&lt;'PlayerGrades+'!$AC$12,"C-",IF(H606&lt;'PlayerGrades+'!$AC$11,"C",IF(H606&lt;'PlayerGrades+'!$AC$10,"C+",IF(H606&lt;'PlayerGrades+'!$AC$9,"B-",IF(H606&lt;'PlayerGrades+'!$AC$8,"B",IF(H606&lt;'PlayerGrades+'!$AC$7,"B+",IF(H606&lt;'PlayerGrades+'!$AC$6,"A-",IF(H606&lt;'PlayerGrades+'!$AC$5,"A",IF(H606&lt;'PlayerGrades+'!$AC$4,"A+",IF(H606&lt;'PlayerGrades+'!$AC$3,"S-",IF(H606&lt;'PlayerGrades+'!$AC$2,"S","S+"))))))))))))))))))))</f>
        <v>F-</v>
      </c>
      <c r="J606" s="973">
        <f t="shared" si="4"/>
        <v>0</v>
      </c>
      <c r="K606" s="973" t="str">
        <f>IF(J606&lt;'PlayerGrades+'!$AD$21,"F-",IF(J606&lt;'PlayerGrades+'!$AD$20,"F",IF(J606&lt;'PlayerGrades+'!$AD$19,"F+",IF(J606&lt;'PlayerGrades+'!$AD$18,"E-",IF(J606&lt;'PlayerGrades+'!$AD$17,"E",IF(J606&lt;'PlayerGrades+'!$AD$16,"E+",IF(J606&lt;'PlayerGrades+'!$AD$15,"D-",IF(J606&lt;'PlayerGrades+'!$AD$14,"D",IF(J606&lt;'PlayerGrades+'!$AD$13,"D+",IF(J606&lt;'PlayerGrades+'!$AD$12,"C-",IF(J606&lt;'PlayerGrades+'!$AD$11,"C",IF(J606&lt;'PlayerGrades+'!$AD$10,"C+",IF(J606&lt;'PlayerGrades+'!$AD$9,"B-",IF(J606&lt;'PlayerGrades+'!$AD$8,"B",IF(J606&lt;'PlayerGrades+'!$AD$7,"B+",IF(J606&lt;'PlayerGrades+'!$AD$6,"A-",IF(J606&lt;'PlayerGrades+'!$AD$5,"A",IF(J606&lt;'PlayerGrades+'!$AD$4,"A+",IF(J606&lt;'PlayerGrades+'!$AD$3,"S-",IF(J606&lt;'PlayerGrades+'!$AD$2,"S","S+"))))))))))))))))))))</f>
        <v>F-</v>
      </c>
      <c r="L606" s="974">
        <f t="shared" si="5"/>
        <v>0.2982954545</v>
      </c>
      <c r="M606" s="975" t="str">
        <f>IF(L606&lt;'PlayerGrades+'!$AE$21,"F-",IF(L606&lt;'PlayerGrades+'!$AE$20,"F",IF(L606&lt;'PlayerGrades+'!$AE$19,"F+",IF(L606&lt;'PlayerGrades+'!$AE$18,"E-",IF(L606&lt;'PlayerGrades+'!$AE$17,"E",IF(L606&lt;'PlayerGrades+'!$AE$16,"E+",IF(L606&lt;'PlayerGrades+'!$AE$15,"D-",IF(L606&lt;'PlayerGrades+'!$AE$14,"D",IF(L606&lt;'PlayerGrades+'!$AE$13,"D+",IF(L606&lt;'PlayerGrades+'!$AE$12,"C-",IF(L606&lt;'PlayerGrades+'!$AE$11,"C",IF(L606&lt;'PlayerGrades+'!$AE$10,"C+",IF(L606&lt;'PlayerGrades+'!$AE$9,"B-",IF(L606&lt;'PlayerGrades+'!$AE$8,"B",IF(L606&lt;'PlayerGrades+'!$AE$7,"B+",IF(L606&lt;'PlayerGrades+'!$AE$6,"A-",IF(L606&lt;'PlayerGrades+'!$AE$5,"A",IF(L606&lt;'PlayerGrades+'!$AE$4,"A+",IF(L606&lt;'PlayerGrades+'!$AE$3,"S-",IF(L606&lt;'PlayerGrades+'!$AE$2,"S","S+"))))))))))))))))))))</f>
        <v>E-</v>
      </c>
      <c r="N606" s="973">
        <f t="shared" si="6"/>
        <v>0</v>
      </c>
      <c r="O606" s="973" t="str">
        <f>IF(N606&lt;'PlayerGrades+'!$AF$21,"F-",IF(N606&lt;'PlayerGrades+'!$AF$20,"F",IF(N606&lt;'PlayerGrades+'!$AF$19,"F+",IF(N606&lt;'PlayerGrades+'!$AF$18,"E-",IF(N606&lt;'PlayerGrades+'!$AF$17,"E",IF(N606&lt;'PlayerGrades+'!$AF$16,"E+",IF(N606&lt;'PlayerGrades+'!$AF$15,"D-",IF(N606&lt;'PlayerGrades+'!$AF$14,"D",IF(N606&lt;'PlayerGrades+'!$AF$13,"D+",IF(N606&lt;'PlayerGrades+'!$AF$12,"C-",IF(N606&lt;'PlayerGrades+'!$AF$11,"C",IF(N606&lt;'PlayerGrades+'!$AF$10,"C+",IF(N606&lt;'PlayerGrades+'!$AF$9,"B-",IF(N606&lt;'PlayerGrades+'!$AF$8,"B",IF(N606&lt;'PlayerGrades+'!$AF$7,"B+",IF(N606&lt;'PlayerGrades+'!$AF$6,"A-",IF(N606&lt;'PlayerGrades+'!$AF$5,"A",IF(N606&lt;'PlayerGrades+'!$AF$4,"A+",IF(N606&lt;'PlayerGrades+'!$AF$3,"S-",IF(N606&lt;'PlayerGrades+'!$AF$2,"S","S+"))))))))))))))))))))</f>
        <v>F-</v>
      </c>
      <c r="P606" s="973">
        <f t="shared" si="7"/>
        <v>0</v>
      </c>
      <c r="Q606" s="973" t="str">
        <f>IF(P606&lt;'PlayerGrades+'!$AG$21,"F-",IF(P606&lt;'PlayerGrades+'!$AG$20,"F",IF(P606&lt;'PlayerGrades+'!$AG$19,"F+",IF(P606&lt;'PlayerGrades+'!$AG$18,"E-",IF(P606&lt;'PlayerGrades+'!$AG$17,"E",IF(P606&lt;'PlayerGrades+'!$AG$16,"E+",IF(P606&lt;'PlayerGrades+'!$AG$15,"D-",IF(P606&lt;'PlayerGrades+'!$AG$14,"D",IF(P606&lt;'PlayerGrades+'!$AG$13,"D+",IF(P606&lt;'PlayerGrades+'!$AG$12,"C-",IF(P606&lt;'PlayerGrades+'!$AG$11,"C",IF(P606&lt;'PlayerGrades+'!$AG$10,"C+",IF(P606&lt;'PlayerGrades+'!$AG$9,"B-",IF(P606&lt;'PlayerGrades+'!$AG$8,"B",IF(P606&lt;'PlayerGrades+'!$AG$7,"B+",IF(P606&lt;'PlayerGrades+'!$AG$6,"A-",IF(P606&lt;'PlayerGrades+'!$AG$5,"A",IF(P606&lt;'PlayerGrades+'!$AG$4,"A+",IF(P606&lt;'PlayerGrades+'!$AG$3,"S-",IF(P606&lt;'PlayerGrades+'!$AG$2,"S","S+"))))))))))))))))))))</f>
        <v>F</v>
      </c>
      <c r="R606" s="973">
        <f t="shared" si="8"/>
        <v>0.6392045455</v>
      </c>
      <c r="S606" s="973" t="str">
        <f>IF(R606&lt;'PlayerGrades+'!$AH$21,"F-",IF(R606&lt;'PlayerGrades+'!$AH$20,"F",IF(R606&lt;'PlayerGrades+'!$AH$19,"F+",IF(R606&lt;'PlayerGrades+'!$AH$18,"E-",IF(R606&lt;'PlayerGrades+'!$AH$17,"E",IF(R606&lt;'PlayerGrades+'!$AH$16,"E+",IF(R606&lt;'PlayerGrades+'!$AH$15,"D-",IF(R606&lt;'PlayerGrades+'!$AH$14,"D",IF(R606&lt;'PlayerGrades+'!$AH$13,"D+",IF(R606&lt;'PlayerGrades+'!$AH$12,"C-",IF(R606&lt;'PlayerGrades+'!$AH$11,"C",IF(R606&lt;'PlayerGrades+'!$AH$10,"C+",IF(R606&lt;'PlayerGrades+'!$AH$9,"B-",IF(R606&lt;'PlayerGrades+'!$AH$8,"B",IF(R606&lt;'PlayerGrades+'!$AH$7,"B+",IF(R606&lt;'PlayerGrades+'!$AH$6,"A-",IF(R606&lt;'PlayerGrades+'!$AH$5,"A",IF(R606&lt;'PlayerGrades+'!$AH$4,"A+",IF(R606&lt;'PlayerGrades+'!$AH$3,"S-",IF(R606&lt;'PlayerGrades+'!$AH$2,"S","S+"))))))))))))))))))))</f>
        <v>A</v>
      </c>
      <c r="T606" s="973">
        <f t="shared" si="9"/>
        <v>1.298295455</v>
      </c>
      <c r="U606" s="973" t="str">
        <f>IF(T606&lt;'PlayerGrades+'!$AI$21,"F-",IF(T606&lt;'PlayerGrades+'!$AI$20,"F",IF(T606&lt;'PlayerGrades+'!$AI$19,"F+",IF(T606&lt;'PlayerGrades+'!$AI$18,"E-",IF(T606&lt;'PlayerGrades+'!$AI$17,"E",IF(T606&lt;'PlayerGrades+'!$AI$16,"E+",IF(T606&lt;'PlayerGrades+'!$AI$15,"D-",IF(T606&lt;'PlayerGrades+'!$AI$14,"D",IF(T606&lt;'PlayerGrades+'!$AI$13,"D+",IF(T606&lt;'PlayerGrades+'!$AI$12,"C-",IF(T606&lt;'PlayerGrades+'!$AI$11,"C",IF(T606&lt;'PlayerGrades+'!$AI$10,"C+",IF(T606&lt;'PlayerGrades+'!$AI$9,"B-",IF(T606&lt;'PlayerGrades+'!$AI$8,"B",IF(T606&lt;'PlayerGrades+'!$AI$7,"B+",IF(T606&lt;'PlayerGrades+'!$AI$6,"A-",IF(T606&lt;'PlayerGrades+'!$AI$5,"A",IF(T606&lt;'PlayerGrades+'!$AI$4,"A+",IF(T606&lt;'PlayerGrades+'!$AI$3,"S-",IF(T606&lt;'PlayerGrades+'!$AI$2,"S","S+"))))))))))))))))))))</f>
        <v>C+</v>
      </c>
      <c r="V606" s="941">
        <v>1.0</v>
      </c>
      <c r="W606" s="941">
        <v>0.0</v>
      </c>
      <c r="X606" s="941">
        <v>1.0</v>
      </c>
      <c r="Y606" s="941">
        <v>2.0</v>
      </c>
      <c r="Z606" s="941">
        <v>12.0</v>
      </c>
      <c r="AA606" s="941">
        <v>64.0</v>
      </c>
      <c r="AB606" s="941">
        <v>67.0</v>
      </c>
      <c r="AC606" s="941">
        <v>-3.0</v>
      </c>
      <c r="AD606" s="941">
        <v>9.0</v>
      </c>
      <c r="AE606" s="941">
        <v>4.0</v>
      </c>
      <c r="AF606" s="941">
        <v>2.0</v>
      </c>
      <c r="AG606" s="941">
        <v>1218.0</v>
      </c>
      <c r="AH606" s="1">
        <v>1408.0</v>
      </c>
      <c r="AI606" s="941">
        <v>18.0</v>
      </c>
      <c r="AJ606" s="941">
        <v>433.0</v>
      </c>
      <c r="AK606" s="941">
        <v>0.0</v>
      </c>
      <c r="AL606" s="941">
        <v>0.0</v>
      </c>
      <c r="AM606" s="941">
        <v>0.0</v>
      </c>
      <c r="AN606" s="941">
        <v>0.0</v>
      </c>
      <c r="AO606" s="941">
        <v>0.0</v>
      </c>
      <c r="AP606" s="941">
        <v>0.0</v>
      </c>
      <c r="AQ606" s="941">
        <v>0.0</v>
      </c>
      <c r="AR606" s="941">
        <v>7.0</v>
      </c>
      <c r="AS606" s="941">
        <v>0.0</v>
      </c>
      <c r="AT606" s="941">
        <v>0.0</v>
      </c>
      <c r="AU606" s="941">
        <v>0.0</v>
      </c>
      <c r="AV606" s="941">
        <v>0.0</v>
      </c>
      <c r="AW606" s="941">
        <v>0.0</v>
      </c>
      <c r="AX606" s="941">
        <v>0.0</v>
      </c>
      <c r="AY606" s="941">
        <v>0.0</v>
      </c>
      <c r="AZ606" s="941">
        <v>0.0</v>
      </c>
      <c r="BA606" s="941">
        <v>0.0</v>
      </c>
      <c r="BB606" s="941">
        <v>0.0</v>
      </c>
      <c r="BC606" s="941">
        <v>0.0</v>
      </c>
      <c r="BD606" s="941">
        <v>6.0</v>
      </c>
      <c r="BE606" s="941">
        <v>7.0</v>
      </c>
      <c r="BF606" s="941">
        <v>1.0</v>
      </c>
      <c r="BG606" s="942">
        <v>0.0</v>
      </c>
    </row>
    <row r="607">
      <c r="A607" s="935" t="s">
        <v>154</v>
      </c>
      <c r="B607" s="421" t="str">
        <f>IF(C607&lt;'PlayerGrades+'!$Y$44,"F-",IF(C607&lt;'PlayerGrades+'!$Y$43,"F",IF(C607&lt;'PlayerGrades+'!$Y$42,"F+",IF(C607&lt;'PlayerGrades+'!$Y$41,"E-",IF(C607&lt;'PlayerGrades+'!$Y$40,"E",IF(C607&lt;'PlayerGrades+'!$Y$39,"E+",IF(C607&lt;'PlayerGrades+'!$Y$38,"D-",IF(C607&lt;'PlayerGrades+'!$Y$37,"D",IF(C607&lt;'PlayerGrades+'!$Y$36,"D+",IF(C607&lt;'PlayerGrades+'!$Y$35,"C-",IF(C607&lt;'PlayerGrades+'!$Y$34,"C",IF(C607&lt;'PlayerGrades+'!$Y$33,"C+",IF(C607&lt;'PlayerGrades+'!$Y$32,"B-",IF(C607&lt;'PlayerGrades+'!$Y$31,"B",IF(C607&lt;'PlayerGrades+'!$Y$30,"B+",IF(C607&lt;'PlayerGrades+'!$Y$29,"A-",IF(C607&lt;'PlayerGrades+'!$Y$28,"A",IF(C607&lt;'PlayerGrades+'!$Y$27,"A+",IF(C607&lt;'PlayerGrades+'!$Y$26,"S-",IF(C607&lt;'PlayerGrades+'!$Y$25,"S","S+"))))))))))))))))))))</f>
        <v>F-</v>
      </c>
      <c r="C607" s="972">
        <f>('PlayerGrades+'!$Y$47*(VLOOKUP(E607, 'PlayerGrades+'!$X$3:$Y$23, 2, FALSE)))+('PlayerGrades+'!$Y$48*(VLOOKUP(G607, 'PlayerGrades+'!$X$3:$Y$23, 2, FALSE)))+('PlayerGrades+'!$Y$49*(VLOOKUP(I607, 'PlayerGrades+'!$X$3:$Y$23, 2, FALSE)))+('PlayerGrades+'!$Y$50*(VLOOKUP(K607, 'PlayerGrades+'!$X$3:$Y$23, 2, FALSE)))+('PlayerGrades+'!$Y$51*(VLOOKUP(M607, 'PlayerGrades+'!$X$3:$Y$23, 2, FALSE)))+('PlayerGrades+'!$Y$52*(VLOOKUP(O607, 'PlayerGrades+'!$X$3:$Y$23, 2, FALSE)))+('PlayerGrades+'!$Y$53*(VLOOKUP(Q607, 'PlayerGrades+'!$X$3:$Y$23, 2, FALSE)))+('PlayerGrades+'!$Y$54*(VLOOKUP(S607, 'PlayerGrades+'!$X$3:$Y$23, 2, FALSE)))+('PlayerGrades+'!$Y$55*(VLOOKUP(U607, 'PlayerGrades+'!$X$3:$Y$23, 2, FALSE)))</f>
        <v>7.3</v>
      </c>
      <c r="D607" s="973">
        <f t="shared" si="1"/>
        <v>0.08522727273</v>
      </c>
      <c r="E607" s="973" t="str">
        <f>IF(D607&lt;'PlayerGrades+'!$AA$21,"F-",IF(D607&lt;'PlayerGrades+'!$AA$20,"F",IF(D607&lt;'PlayerGrades+'!$AA$19,"F+",IF(D607&lt;'PlayerGrades+'!$AA$18,"E-",IF(D607&lt;'PlayerGrades+'!$AA$17,"E",IF(D607&lt;'PlayerGrades+'!$AA$16,"E+",IF(D607&lt;'PlayerGrades+'!$AA$15,"D-",IF(D607&lt;'PlayerGrades+'!$AA$14,"D",IF(D607&lt;'PlayerGrades+'!$AA$13,"D+",IF(D607&lt;'PlayerGrades+'!$AA$12,"C-",IF(D607&lt;'PlayerGrades+'!$AA$11,"C",IF(D607&lt;'PlayerGrades+'!$AA$10,"C+",IF(D607&lt;'PlayerGrades+'!$AA$9,"B-",IF(D607&lt;'PlayerGrades+'!$AA$8,"B",IF(D607&lt;'PlayerGrades+'!$AA$7,"B+",IF(D607&lt;'PlayerGrades+'!$AA$6,"A-",IF(D607&lt;'PlayerGrades+'!$AA$5,"A",IF(D607&lt;'PlayerGrades+'!$AA$4,"A+",IF(D607&lt;'PlayerGrades+'!$AA$3,"S-",IF(D607&lt;'PlayerGrades+'!$AA$2,"S","S+"))))))))))))))))))))</f>
        <v>B</v>
      </c>
      <c r="F607" s="973">
        <f t="shared" si="2"/>
        <v>-1.704545455</v>
      </c>
      <c r="G607" s="973" t="str">
        <f>IF(F607&lt;'PlayerGrades+'!$AB$21,"F-",IF(F607&lt;'PlayerGrades+'!$AB$20,"F",IF(F607&lt;'PlayerGrades+'!$AB$19,"F+",IF(F607&lt;'PlayerGrades+'!$AB$18,"E-",IF(F607&lt;'PlayerGrades+'!$AB$17,"E",IF(F607&lt;'PlayerGrades+'!$AB$16,"E+",IF(F607&lt;'PlayerGrades+'!$AB$15,"D-",IF(F607&lt;'PlayerGrades+'!$AB$14,"D",IF(F607&lt;'PlayerGrades+'!$AB$13,"D+",IF(F607&lt;'PlayerGrades+'!$AB$12,"C-",IF(F607&lt;'PlayerGrades+'!$AB$11,"C",IF(F607&lt;'PlayerGrades+'!$AB$10,"C+",IF(F607&lt;'PlayerGrades+'!$AB$9,"B-",IF(F607&lt;'PlayerGrades+'!$AB$8,"B",IF(F607&lt;'PlayerGrades+'!$AB$7,"B+",IF(F607&lt;'PlayerGrades+'!$AB$6,"A-",IF(F607&lt;'PlayerGrades+'!$AB$5,"A",IF(F607&lt;'PlayerGrades+'!$AB$4,"A+",IF(F607&lt;'PlayerGrades+'!$AB$3,"S-",IF(F607&lt;'PlayerGrades+'!$AB$2,"S","S+"))))))))))))))))))))</f>
        <v>F-</v>
      </c>
      <c r="H607" s="973">
        <f t="shared" si="3"/>
        <v>0.08522727273</v>
      </c>
      <c r="I607" s="973" t="str">
        <f>IF(H607&lt;'PlayerGrades+'!$AC$21,"F-",IF(H607&lt;'PlayerGrades+'!$AC$20,"F",IF(H607&lt;'PlayerGrades+'!$AC$19,"F+",IF(H607&lt;'PlayerGrades+'!$AC$18,"E-",IF(H607&lt;'PlayerGrades+'!$AC$17,"E",IF(H607&lt;'PlayerGrades+'!$AC$16,"E+",IF(H607&lt;'PlayerGrades+'!$AC$15,"D-",IF(H607&lt;'PlayerGrades+'!$AC$14,"D",IF(H607&lt;'PlayerGrades+'!$AC$13,"D+",IF(H607&lt;'PlayerGrades+'!$AC$12,"C-",IF(H607&lt;'PlayerGrades+'!$AC$11,"C",IF(H607&lt;'PlayerGrades+'!$AC$10,"C+",IF(H607&lt;'PlayerGrades+'!$AC$9,"B-",IF(H607&lt;'PlayerGrades+'!$AC$8,"B",IF(H607&lt;'PlayerGrades+'!$AC$7,"B+",IF(H607&lt;'PlayerGrades+'!$AC$6,"A-",IF(H607&lt;'PlayerGrades+'!$AC$5,"A",IF(H607&lt;'PlayerGrades+'!$AC$4,"A+",IF(H607&lt;'PlayerGrades+'!$AC$3,"S-",IF(H607&lt;'PlayerGrades+'!$AC$2,"S","S+"))))))))))))))))))))</f>
        <v>D-</v>
      </c>
      <c r="J607" s="973">
        <f t="shared" si="4"/>
        <v>0</v>
      </c>
      <c r="K607" s="973" t="str">
        <f>IF(J607&lt;'PlayerGrades+'!$AD$21,"F-",IF(J607&lt;'PlayerGrades+'!$AD$20,"F",IF(J607&lt;'PlayerGrades+'!$AD$19,"F+",IF(J607&lt;'PlayerGrades+'!$AD$18,"E-",IF(J607&lt;'PlayerGrades+'!$AD$17,"E",IF(J607&lt;'PlayerGrades+'!$AD$16,"E+",IF(J607&lt;'PlayerGrades+'!$AD$15,"D-",IF(J607&lt;'PlayerGrades+'!$AD$14,"D",IF(J607&lt;'PlayerGrades+'!$AD$13,"D+",IF(J607&lt;'PlayerGrades+'!$AD$12,"C-",IF(J607&lt;'PlayerGrades+'!$AD$11,"C",IF(J607&lt;'PlayerGrades+'!$AD$10,"C+",IF(J607&lt;'PlayerGrades+'!$AD$9,"B-",IF(J607&lt;'PlayerGrades+'!$AD$8,"B",IF(J607&lt;'PlayerGrades+'!$AD$7,"B+",IF(J607&lt;'PlayerGrades+'!$AD$6,"A-",IF(J607&lt;'PlayerGrades+'!$AD$5,"A",IF(J607&lt;'PlayerGrades+'!$AD$4,"A+",IF(J607&lt;'PlayerGrades+'!$AD$3,"S-",IF(J607&lt;'PlayerGrades+'!$AD$2,"S","S+"))))))))))))))))))))</f>
        <v>F-</v>
      </c>
      <c r="L607" s="974">
        <f t="shared" si="5"/>
        <v>0.08522727273</v>
      </c>
      <c r="M607" s="975" t="str">
        <f>IF(L607&lt;'PlayerGrades+'!$AE$21,"F-",IF(L607&lt;'PlayerGrades+'!$AE$20,"F",IF(L607&lt;'PlayerGrades+'!$AE$19,"F+",IF(L607&lt;'PlayerGrades+'!$AE$18,"E-",IF(L607&lt;'PlayerGrades+'!$AE$17,"E",IF(L607&lt;'PlayerGrades+'!$AE$16,"E+",IF(L607&lt;'PlayerGrades+'!$AE$15,"D-",IF(L607&lt;'PlayerGrades+'!$AE$14,"D",IF(L607&lt;'PlayerGrades+'!$AE$13,"D+",IF(L607&lt;'PlayerGrades+'!$AE$12,"C-",IF(L607&lt;'PlayerGrades+'!$AE$11,"C",IF(L607&lt;'PlayerGrades+'!$AE$10,"C+",IF(L607&lt;'PlayerGrades+'!$AE$9,"B-",IF(L607&lt;'PlayerGrades+'!$AE$8,"B",IF(L607&lt;'PlayerGrades+'!$AE$7,"B+",IF(L607&lt;'PlayerGrades+'!$AE$6,"A-",IF(L607&lt;'PlayerGrades+'!$AE$5,"A",IF(L607&lt;'PlayerGrades+'!$AE$4,"A+",IF(L607&lt;'PlayerGrades+'!$AE$3,"S-",IF(L607&lt;'PlayerGrades+'!$AE$2,"S","S+"))))))))))))))))))))</f>
        <v>F-</v>
      </c>
      <c r="N607" s="973">
        <f t="shared" si="6"/>
        <v>0</v>
      </c>
      <c r="O607" s="973" t="str">
        <f>IF(N607&lt;'PlayerGrades+'!$AF$21,"F-",IF(N607&lt;'PlayerGrades+'!$AF$20,"F",IF(N607&lt;'PlayerGrades+'!$AF$19,"F+",IF(N607&lt;'PlayerGrades+'!$AF$18,"E-",IF(N607&lt;'PlayerGrades+'!$AF$17,"E",IF(N607&lt;'PlayerGrades+'!$AF$16,"E+",IF(N607&lt;'PlayerGrades+'!$AF$15,"D-",IF(N607&lt;'PlayerGrades+'!$AF$14,"D",IF(N607&lt;'PlayerGrades+'!$AF$13,"D+",IF(N607&lt;'PlayerGrades+'!$AF$12,"C-",IF(N607&lt;'PlayerGrades+'!$AF$11,"C",IF(N607&lt;'PlayerGrades+'!$AF$10,"C+",IF(N607&lt;'PlayerGrades+'!$AF$9,"B-",IF(N607&lt;'PlayerGrades+'!$AF$8,"B",IF(N607&lt;'PlayerGrades+'!$AF$7,"B+",IF(N607&lt;'PlayerGrades+'!$AF$6,"A-",IF(N607&lt;'PlayerGrades+'!$AF$5,"A",IF(N607&lt;'PlayerGrades+'!$AF$4,"A+",IF(N607&lt;'PlayerGrades+'!$AF$3,"S-",IF(N607&lt;'PlayerGrades+'!$AF$2,"S","S+"))))))))))))))))))))</f>
        <v>F-</v>
      </c>
      <c r="P607" s="973">
        <f t="shared" si="7"/>
        <v>0</v>
      </c>
      <c r="Q607" s="973" t="str">
        <f>IF(P607&lt;'PlayerGrades+'!$AG$21,"F-",IF(P607&lt;'PlayerGrades+'!$AG$20,"F",IF(P607&lt;'PlayerGrades+'!$AG$19,"F+",IF(P607&lt;'PlayerGrades+'!$AG$18,"E-",IF(P607&lt;'PlayerGrades+'!$AG$17,"E",IF(P607&lt;'PlayerGrades+'!$AG$16,"E+",IF(P607&lt;'PlayerGrades+'!$AG$15,"D-",IF(P607&lt;'PlayerGrades+'!$AG$14,"D",IF(P607&lt;'PlayerGrades+'!$AG$13,"D+",IF(P607&lt;'PlayerGrades+'!$AG$12,"C-",IF(P607&lt;'PlayerGrades+'!$AG$11,"C",IF(P607&lt;'PlayerGrades+'!$AG$10,"C+",IF(P607&lt;'PlayerGrades+'!$AG$9,"B-",IF(P607&lt;'PlayerGrades+'!$AG$8,"B",IF(P607&lt;'PlayerGrades+'!$AG$7,"B+",IF(P607&lt;'PlayerGrades+'!$AG$6,"A-",IF(P607&lt;'PlayerGrades+'!$AG$5,"A",IF(P607&lt;'PlayerGrades+'!$AG$4,"A+",IF(P607&lt;'PlayerGrades+'!$AG$3,"S-",IF(P607&lt;'PlayerGrades+'!$AG$2,"S","S+"))))))))))))))))))))</f>
        <v>F</v>
      </c>
      <c r="R607" s="973">
        <f t="shared" si="8"/>
        <v>0.2556818182</v>
      </c>
      <c r="S607" s="973" t="str">
        <f>IF(R607&lt;'PlayerGrades+'!$AH$21,"F-",IF(R607&lt;'PlayerGrades+'!$AH$20,"F",IF(R607&lt;'PlayerGrades+'!$AH$19,"F+",IF(R607&lt;'PlayerGrades+'!$AH$18,"E-",IF(R607&lt;'PlayerGrades+'!$AH$17,"E",IF(R607&lt;'PlayerGrades+'!$AH$16,"E+",IF(R607&lt;'PlayerGrades+'!$AH$15,"D-",IF(R607&lt;'PlayerGrades+'!$AH$14,"D",IF(R607&lt;'PlayerGrades+'!$AH$13,"D+",IF(R607&lt;'PlayerGrades+'!$AH$12,"C-",IF(R607&lt;'PlayerGrades+'!$AH$11,"C",IF(R607&lt;'PlayerGrades+'!$AH$10,"C+",IF(R607&lt;'PlayerGrades+'!$AH$9,"B-",IF(R607&lt;'PlayerGrades+'!$AH$8,"B",IF(R607&lt;'PlayerGrades+'!$AH$7,"B+",IF(R607&lt;'PlayerGrades+'!$AH$6,"A-",IF(R607&lt;'PlayerGrades+'!$AH$5,"A",IF(R607&lt;'PlayerGrades+'!$AH$4,"A+",IF(R607&lt;'PlayerGrades+'!$AH$3,"S-",IF(R607&lt;'PlayerGrades+'!$AH$2,"S","S+"))))))))))))))))))))</f>
        <v>F-</v>
      </c>
      <c r="T607" s="973">
        <f t="shared" si="9"/>
        <v>0.2556818182</v>
      </c>
      <c r="U607" s="973" t="str">
        <f>IF(T607&lt;'PlayerGrades+'!$AI$21,"F-",IF(T607&lt;'PlayerGrades+'!$AI$20,"F",IF(T607&lt;'PlayerGrades+'!$AI$19,"F+",IF(T607&lt;'PlayerGrades+'!$AI$18,"E-",IF(T607&lt;'PlayerGrades+'!$AI$17,"E",IF(T607&lt;'PlayerGrades+'!$AI$16,"E+",IF(T607&lt;'PlayerGrades+'!$AI$15,"D-",IF(T607&lt;'PlayerGrades+'!$AI$14,"D",IF(T607&lt;'PlayerGrades+'!$AI$13,"D+",IF(T607&lt;'PlayerGrades+'!$AI$12,"C-",IF(T607&lt;'PlayerGrades+'!$AI$11,"C",IF(T607&lt;'PlayerGrades+'!$AI$10,"C+",IF(T607&lt;'PlayerGrades+'!$AI$9,"B-",IF(T607&lt;'PlayerGrades+'!$AI$8,"B",IF(T607&lt;'PlayerGrades+'!$AI$7,"B+",IF(T607&lt;'PlayerGrades+'!$AI$6,"A-",IF(T607&lt;'PlayerGrades+'!$AI$5,"A",IF(T607&lt;'PlayerGrades+'!$AI$4,"A+",IF(T607&lt;'PlayerGrades+'!$AI$3,"S-",IF(T607&lt;'PlayerGrades+'!$AI$2,"S","S+"))))))))))))))))))))</f>
        <v>F-</v>
      </c>
      <c r="V607" s="941">
        <v>1.0</v>
      </c>
      <c r="W607" s="941">
        <v>0.0</v>
      </c>
      <c r="X607" s="941">
        <v>1.0</v>
      </c>
      <c r="Y607" s="941">
        <v>1.0</v>
      </c>
      <c r="Z607" s="941">
        <v>1.0</v>
      </c>
      <c r="AA607" s="941">
        <v>45.0</v>
      </c>
      <c r="AB607" s="941">
        <v>85.0</v>
      </c>
      <c r="AC607" s="941">
        <v>-40.0</v>
      </c>
      <c r="AD607" s="941">
        <v>3.0</v>
      </c>
      <c r="AE607" s="941">
        <v>2.0</v>
      </c>
      <c r="AF607" s="941">
        <v>1.0</v>
      </c>
      <c r="AG607" s="941">
        <v>1163.0</v>
      </c>
      <c r="AH607" s="1">
        <v>1408.0</v>
      </c>
      <c r="AI607" s="941">
        <v>13.0</v>
      </c>
      <c r="AJ607" s="941">
        <v>216.0</v>
      </c>
      <c r="AK607" s="941">
        <v>0.0</v>
      </c>
      <c r="AL607" s="941">
        <v>0.0</v>
      </c>
      <c r="AM607" s="941">
        <v>0.0</v>
      </c>
      <c r="AN607" s="941">
        <v>0.0</v>
      </c>
      <c r="AO607" s="941">
        <v>0.0</v>
      </c>
      <c r="AP607" s="941">
        <v>0.0</v>
      </c>
      <c r="AQ607" s="941">
        <v>0.0</v>
      </c>
      <c r="AR607" s="941">
        <v>2.0</v>
      </c>
      <c r="AS607" s="941">
        <v>0.0</v>
      </c>
      <c r="AT607" s="941">
        <v>0.0</v>
      </c>
      <c r="AU607" s="941">
        <v>0.0</v>
      </c>
      <c r="AV607" s="941">
        <v>0.0</v>
      </c>
      <c r="AW607" s="941">
        <v>0.0</v>
      </c>
      <c r="AX607" s="941">
        <v>0.0</v>
      </c>
      <c r="AY607" s="941">
        <v>0.0</v>
      </c>
      <c r="AZ607" s="941">
        <v>0.0</v>
      </c>
      <c r="BA607" s="941">
        <v>0.0</v>
      </c>
      <c r="BB607" s="941">
        <v>2.0</v>
      </c>
      <c r="BC607" s="941">
        <v>0.0</v>
      </c>
      <c r="BD607" s="941">
        <v>3.0</v>
      </c>
      <c r="BE607" s="941">
        <v>6.0</v>
      </c>
      <c r="BF607" s="941">
        <v>0.0</v>
      </c>
      <c r="BG607" s="942">
        <v>0.0</v>
      </c>
    </row>
    <row r="608">
      <c r="A608" s="935" t="s">
        <v>121</v>
      </c>
      <c r="B608" s="421" t="str">
        <f>IF(C608&lt;'PlayerGrades+'!$Y$44,"F-",IF(C608&lt;'PlayerGrades+'!$Y$43,"F",IF(C608&lt;'PlayerGrades+'!$Y$42,"F+",IF(C608&lt;'PlayerGrades+'!$Y$41,"E-",IF(C608&lt;'PlayerGrades+'!$Y$40,"E",IF(C608&lt;'PlayerGrades+'!$Y$39,"E+",IF(C608&lt;'PlayerGrades+'!$Y$38,"D-",IF(C608&lt;'PlayerGrades+'!$Y$37,"D",IF(C608&lt;'PlayerGrades+'!$Y$36,"D+",IF(C608&lt;'PlayerGrades+'!$Y$35,"C-",IF(C608&lt;'PlayerGrades+'!$Y$34,"C",IF(C608&lt;'PlayerGrades+'!$Y$33,"C+",IF(C608&lt;'PlayerGrades+'!$Y$32,"B-",IF(C608&lt;'PlayerGrades+'!$Y$31,"B",IF(C608&lt;'PlayerGrades+'!$Y$30,"B+",IF(C608&lt;'PlayerGrades+'!$Y$29,"A-",IF(C608&lt;'PlayerGrades+'!$Y$28,"A",IF(C608&lt;'PlayerGrades+'!$Y$27,"A+",IF(C608&lt;'PlayerGrades+'!$Y$26,"S-",IF(C608&lt;'PlayerGrades+'!$Y$25,"S","S+"))))))))))))))))))))</f>
        <v>S-</v>
      </c>
      <c r="C608" s="972">
        <f>('PlayerGrades+'!$Y$47*(VLOOKUP(E608, 'PlayerGrades+'!$X$3:$Y$23, 2, FALSE)))+('PlayerGrades+'!$Y$48*(VLOOKUP(G608, 'PlayerGrades+'!$X$3:$Y$23, 2, FALSE)))+('PlayerGrades+'!$Y$49*(VLOOKUP(I608, 'PlayerGrades+'!$X$3:$Y$23, 2, FALSE)))+('PlayerGrades+'!$Y$50*(VLOOKUP(K608, 'PlayerGrades+'!$X$3:$Y$23, 2, FALSE)))+('PlayerGrades+'!$Y$51*(VLOOKUP(M608, 'PlayerGrades+'!$X$3:$Y$23, 2, FALSE)))+('PlayerGrades+'!$Y$52*(VLOOKUP(O608, 'PlayerGrades+'!$X$3:$Y$23, 2, FALSE)))+('PlayerGrades+'!$Y$53*(VLOOKUP(Q608, 'PlayerGrades+'!$X$3:$Y$23, 2, FALSE)))+('PlayerGrades+'!$Y$54*(VLOOKUP(S608, 'PlayerGrades+'!$X$3:$Y$23, 2, FALSE)))+('PlayerGrades+'!$Y$55*(VLOOKUP(U608, 'PlayerGrades+'!$X$3:$Y$23, 2, FALSE)))</f>
        <v>31.2</v>
      </c>
      <c r="D608" s="973">
        <f t="shared" si="1"/>
        <v>0.08522727273</v>
      </c>
      <c r="E608" s="973" t="str">
        <f>IF(D608&lt;'PlayerGrades+'!$AA$21,"F-",IF(D608&lt;'PlayerGrades+'!$AA$20,"F",IF(D608&lt;'PlayerGrades+'!$AA$19,"F+",IF(D608&lt;'PlayerGrades+'!$AA$18,"E-",IF(D608&lt;'PlayerGrades+'!$AA$17,"E",IF(D608&lt;'PlayerGrades+'!$AA$16,"E+",IF(D608&lt;'PlayerGrades+'!$AA$15,"D-",IF(D608&lt;'PlayerGrades+'!$AA$14,"D",IF(D608&lt;'PlayerGrades+'!$AA$13,"D+",IF(D608&lt;'PlayerGrades+'!$AA$12,"C-",IF(D608&lt;'PlayerGrades+'!$AA$11,"C",IF(D608&lt;'PlayerGrades+'!$AA$10,"C+",IF(D608&lt;'PlayerGrades+'!$AA$9,"B-",IF(D608&lt;'PlayerGrades+'!$AA$8,"B",IF(D608&lt;'PlayerGrades+'!$AA$7,"B+",IF(D608&lt;'PlayerGrades+'!$AA$6,"A-",IF(D608&lt;'PlayerGrades+'!$AA$5,"A",IF(D608&lt;'PlayerGrades+'!$AA$4,"A+",IF(D608&lt;'PlayerGrades+'!$AA$3,"S-",IF(D608&lt;'PlayerGrades+'!$AA$2,"S","S+"))))))))))))))))))))</f>
        <v>B</v>
      </c>
      <c r="F608" s="973">
        <f t="shared" si="2"/>
        <v>0.7244318182</v>
      </c>
      <c r="G608" s="973" t="str">
        <f>IF(F608&lt;'PlayerGrades+'!$AB$21,"F-",IF(F608&lt;'PlayerGrades+'!$AB$20,"F",IF(F608&lt;'PlayerGrades+'!$AB$19,"F+",IF(F608&lt;'PlayerGrades+'!$AB$18,"E-",IF(F608&lt;'PlayerGrades+'!$AB$17,"E",IF(F608&lt;'PlayerGrades+'!$AB$16,"E+",IF(F608&lt;'PlayerGrades+'!$AB$15,"D-",IF(F608&lt;'PlayerGrades+'!$AB$14,"D",IF(F608&lt;'PlayerGrades+'!$AB$13,"D+",IF(F608&lt;'PlayerGrades+'!$AB$12,"C-",IF(F608&lt;'PlayerGrades+'!$AB$11,"C",IF(F608&lt;'PlayerGrades+'!$AB$10,"C+",IF(F608&lt;'PlayerGrades+'!$AB$9,"B-",IF(F608&lt;'PlayerGrades+'!$AB$8,"B",IF(F608&lt;'PlayerGrades+'!$AB$7,"B+",IF(F608&lt;'PlayerGrades+'!$AB$6,"A-",IF(F608&lt;'PlayerGrades+'!$AB$5,"A",IF(F608&lt;'PlayerGrades+'!$AB$4,"A+",IF(F608&lt;'PlayerGrades+'!$AB$3,"S-",IF(F608&lt;'PlayerGrades+'!$AB$2,"S","S+"))))))))))))))))))))</f>
        <v>S</v>
      </c>
      <c r="H608" s="973">
        <f t="shared" si="3"/>
        <v>0.4261363636</v>
      </c>
      <c r="I608" s="973" t="str">
        <f>IF(H608&lt;'PlayerGrades+'!$AC$21,"F-",IF(H608&lt;'PlayerGrades+'!$AC$20,"F",IF(H608&lt;'PlayerGrades+'!$AC$19,"F+",IF(H608&lt;'PlayerGrades+'!$AC$18,"E-",IF(H608&lt;'PlayerGrades+'!$AC$17,"E",IF(H608&lt;'PlayerGrades+'!$AC$16,"E+",IF(H608&lt;'PlayerGrades+'!$AC$15,"D-",IF(H608&lt;'PlayerGrades+'!$AC$14,"D",IF(H608&lt;'PlayerGrades+'!$AC$13,"D+",IF(H608&lt;'PlayerGrades+'!$AC$12,"C-",IF(H608&lt;'PlayerGrades+'!$AC$11,"C",IF(H608&lt;'PlayerGrades+'!$AC$10,"C+",IF(H608&lt;'PlayerGrades+'!$AC$9,"B-",IF(H608&lt;'PlayerGrades+'!$AC$8,"B",IF(H608&lt;'PlayerGrades+'!$AC$7,"B+",IF(H608&lt;'PlayerGrades+'!$AC$6,"A-",IF(H608&lt;'PlayerGrades+'!$AC$5,"A",IF(H608&lt;'PlayerGrades+'!$AC$4,"A+",IF(H608&lt;'PlayerGrades+'!$AC$3,"S-",IF(H608&lt;'PlayerGrades+'!$AC$2,"S","S+"))))))))))))))))))))</f>
        <v>S+</v>
      </c>
      <c r="J608" s="973">
        <f t="shared" si="4"/>
        <v>0.1278409091</v>
      </c>
      <c r="K608" s="973" t="str">
        <f>IF(J608&lt;'PlayerGrades+'!$AD$21,"F-",IF(J608&lt;'PlayerGrades+'!$AD$20,"F",IF(J608&lt;'PlayerGrades+'!$AD$19,"F+",IF(J608&lt;'PlayerGrades+'!$AD$18,"E-",IF(J608&lt;'PlayerGrades+'!$AD$17,"E",IF(J608&lt;'PlayerGrades+'!$AD$16,"E+",IF(J608&lt;'PlayerGrades+'!$AD$15,"D-",IF(J608&lt;'PlayerGrades+'!$AD$14,"D",IF(J608&lt;'PlayerGrades+'!$AD$13,"D+",IF(J608&lt;'PlayerGrades+'!$AD$12,"C-",IF(J608&lt;'PlayerGrades+'!$AD$11,"C",IF(J608&lt;'PlayerGrades+'!$AD$10,"C+",IF(J608&lt;'PlayerGrades+'!$AD$9,"B-",IF(J608&lt;'PlayerGrades+'!$AD$8,"B",IF(J608&lt;'PlayerGrades+'!$AD$7,"B+",IF(J608&lt;'PlayerGrades+'!$AD$6,"A-",IF(J608&lt;'PlayerGrades+'!$AD$5,"A",IF(J608&lt;'PlayerGrades+'!$AD$4,"A+",IF(J608&lt;'PlayerGrades+'!$AD$3,"S-",IF(J608&lt;'PlayerGrades+'!$AD$2,"S","S+"))))))))))))))))))))</f>
        <v>S+</v>
      </c>
      <c r="L608" s="974">
        <f t="shared" si="5"/>
        <v>0.6392045455</v>
      </c>
      <c r="M608" s="975" t="str">
        <f>IF(L608&lt;'PlayerGrades+'!$AE$21,"F-",IF(L608&lt;'PlayerGrades+'!$AE$20,"F",IF(L608&lt;'PlayerGrades+'!$AE$19,"F+",IF(L608&lt;'PlayerGrades+'!$AE$18,"E-",IF(L608&lt;'PlayerGrades+'!$AE$17,"E",IF(L608&lt;'PlayerGrades+'!$AE$16,"E+",IF(L608&lt;'PlayerGrades+'!$AE$15,"D-",IF(L608&lt;'PlayerGrades+'!$AE$14,"D",IF(L608&lt;'PlayerGrades+'!$AE$13,"D+",IF(L608&lt;'PlayerGrades+'!$AE$12,"C-",IF(L608&lt;'PlayerGrades+'!$AE$11,"C",IF(L608&lt;'PlayerGrades+'!$AE$10,"C+",IF(L608&lt;'PlayerGrades+'!$AE$9,"B-",IF(L608&lt;'PlayerGrades+'!$AE$8,"B",IF(L608&lt;'PlayerGrades+'!$AE$7,"B+",IF(L608&lt;'PlayerGrades+'!$AE$6,"A-",IF(L608&lt;'PlayerGrades+'!$AE$5,"A",IF(L608&lt;'PlayerGrades+'!$AE$4,"A+",IF(L608&lt;'PlayerGrades+'!$AE$3,"S-",IF(L608&lt;'PlayerGrades+'!$AE$2,"S","S+"))))))))))))))))))))</f>
        <v>S-</v>
      </c>
      <c r="N608" s="973">
        <f t="shared" si="6"/>
        <v>0.08522727273</v>
      </c>
      <c r="O608" s="973" t="str">
        <f>IF(N608&lt;'PlayerGrades+'!$AF$21,"F-",IF(N608&lt;'PlayerGrades+'!$AF$20,"F",IF(N608&lt;'PlayerGrades+'!$AF$19,"F+",IF(N608&lt;'PlayerGrades+'!$AF$18,"E-",IF(N608&lt;'PlayerGrades+'!$AF$17,"E",IF(N608&lt;'PlayerGrades+'!$AF$16,"E+",IF(N608&lt;'PlayerGrades+'!$AF$15,"D-",IF(N608&lt;'PlayerGrades+'!$AF$14,"D",IF(N608&lt;'PlayerGrades+'!$AF$13,"D+",IF(N608&lt;'PlayerGrades+'!$AF$12,"C-",IF(N608&lt;'PlayerGrades+'!$AF$11,"C",IF(N608&lt;'PlayerGrades+'!$AF$10,"C+",IF(N608&lt;'PlayerGrades+'!$AF$9,"B-",IF(N608&lt;'PlayerGrades+'!$AF$8,"B",IF(N608&lt;'PlayerGrades+'!$AF$7,"B+",IF(N608&lt;'PlayerGrades+'!$AF$6,"A-",IF(N608&lt;'PlayerGrades+'!$AF$5,"A",IF(N608&lt;'PlayerGrades+'!$AF$4,"A+",IF(N608&lt;'PlayerGrades+'!$AF$3,"S-",IF(N608&lt;'PlayerGrades+'!$AF$2,"S","S+"))))))))))))))))))))</f>
        <v>B</v>
      </c>
      <c r="P608" s="973">
        <f t="shared" si="7"/>
        <v>0.1278409091</v>
      </c>
      <c r="Q608" s="973" t="str">
        <f>IF(P608&lt;'PlayerGrades+'!$AG$21,"F-",IF(P608&lt;'PlayerGrades+'!$AG$20,"F",IF(P608&lt;'PlayerGrades+'!$AG$19,"F+",IF(P608&lt;'PlayerGrades+'!$AG$18,"E-",IF(P608&lt;'PlayerGrades+'!$AG$17,"E",IF(P608&lt;'PlayerGrades+'!$AG$16,"E+",IF(P608&lt;'PlayerGrades+'!$AG$15,"D-",IF(P608&lt;'PlayerGrades+'!$AG$14,"D",IF(P608&lt;'PlayerGrades+'!$AG$13,"D+",IF(P608&lt;'PlayerGrades+'!$AG$12,"C-",IF(P608&lt;'PlayerGrades+'!$AG$11,"C",IF(P608&lt;'PlayerGrades+'!$AG$10,"C+",IF(P608&lt;'PlayerGrades+'!$AG$9,"B-",IF(P608&lt;'PlayerGrades+'!$AG$8,"B",IF(P608&lt;'PlayerGrades+'!$AG$7,"B+",IF(P608&lt;'PlayerGrades+'!$AG$6,"A-",IF(P608&lt;'PlayerGrades+'!$AG$5,"A",IF(P608&lt;'PlayerGrades+'!$AG$4,"A+",IF(P608&lt;'PlayerGrades+'!$AG$3,"S-",IF(P608&lt;'PlayerGrades+'!$AG$2,"S","S+"))))))))))))))))))))</f>
        <v>S+</v>
      </c>
      <c r="R608" s="973">
        <f t="shared" si="8"/>
        <v>0.5965909091</v>
      </c>
      <c r="S608" s="973" t="str">
        <f>IF(R608&lt;'PlayerGrades+'!$AH$21,"F-",IF(R608&lt;'PlayerGrades+'!$AH$20,"F",IF(R608&lt;'PlayerGrades+'!$AH$19,"F+",IF(R608&lt;'PlayerGrades+'!$AH$18,"E-",IF(R608&lt;'PlayerGrades+'!$AH$17,"E",IF(R608&lt;'PlayerGrades+'!$AH$16,"E+",IF(R608&lt;'PlayerGrades+'!$AH$15,"D-",IF(R608&lt;'PlayerGrades+'!$AH$14,"D",IF(R608&lt;'PlayerGrades+'!$AH$13,"D+",IF(R608&lt;'PlayerGrades+'!$AH$12,"C-",IF(R608&lt;'PlayerGrades+'!$AH$11,"C",IF(R608&lt;'PlayerGrades+'!$AH$10,"C+",IF(R608&lt;'PlayerGrades+'!$AH$9,"B-",IF(R608&lt;'PlayerGrades+'!$AH$8,"B",IF(R608&lt;'PlayerGrades+'!$AH$7,"B+",IF(R608&lt;'PlayerGrades+'!$AH$6,"A-",IF(R608&lt;'PlayerGrades+'!$AH$5,"A",IF(R608&lt;'PlayerGrades+'!$AH$4,"A+",IF(R608&lt;'PlayerGrades+'!$AH$3,"S-",IF(R608&lt;'PlayerGrades+'!$AH$2,"S","S+"))))))))))))))))))))</f>
        <v>A-</v>
      </c>
      <c r="T608" s="973">
        <f t="shared" si="9"/>
        <v>1.340909091</v>
      </c>
      <c r="U608" s="973" t="str">
        <f>IF(T608&lt;'PlayerGrades+'!$AI$21,"F-",IF(T608&lt;'PlayerGrades+'!$AI$20,"F",IF(T608&lt;'PlayerGrades+'!$AI$19,"F+",IF(T608&lt;'PlayerGrades+'!$AI$18,"E-",IF(T608&lt;'PlayerGrades+'!$AI$17,"E",IF(T608&lt;'PlayerGrades+'!$AI$16,"E+",IF(T608&lt;'PlayerGrades+'!$AI$15,"D-",IF(T608&lt;'PlayerGrades+'!$AI$14,"D",IF(T608&lt;'PlayerGrades+'!$AI$13,"D+",IF(T608&lt;'PlayerGrades+'!$AI$12,"C-",IF(T608&lt;'PlayerGrades+'!$AI$11,"C",IF(T608&lt;'PlayerGrades+'!$AI$10,"C+",IF(T608&lt;'PlayerGrades+'!$AI$9,"B-",IF(T608&lt;'PlayerGrades+'!$AI$8,"B",IF(T608&lt;'PlayerGrades+'!$AI$7,"B+",IF(T608&lt;'PlayerGrades+'!$AI$6,"A-",IF(T608&lt;'PlayerGrades+'!$AI$5,"A",IF(T608&lt;'PlayerGrades+'!$AI$4,"A+",IF(T608&lt;'PlayerGrades+'!$AI$3,"S-",IF(T608&lt;'PlayerGrades+'!$AI$2,"S","S+"))))))))))))))))))))</f>
        <v>B-</v>
      </c>
      <c r="V608" s="941">
        <v>1.0</v>
      </c>
      <c r="W608" s="941">
        <v>0.0</v>
      </c>
      <c r="X608" s="941">
        <v>1.0</v>
      </c>
      <c r="Y608" s="941">
        <v>0.0</v>
      </c>
      <c r="Z608" s="941">
        <v>2.0</v>
      </c>
      <c r="AA608" s="941">
        <v>84.0</v>
      </c>
      <c r="AB608" s="941">
        <v>67.0</v>
      </c>
      <c r="AC608" s="941">
        <v>17.0</v>
      </c>
      <c r="AD608" s="941">
        <v>2.0</v>
      </c>
      <c r="AE608" s="941">
        <v>7.0</v>
      </c>
      <c r="AF608" s="941">
        <v>1.0</v>
      </c>
      <c r="AG608" s="941">
        <v>1217.0</v>
      </c>
      <c r="AH608" s="1">
        <v>1408.0</v>
      </c>
      <c r="AI608" s="941">
        <v>18.0</v>
      </c>
      <c r="AJ608" s="941">
        <v>15.0</v>
      </c>
      <c r="AK608" s="941">
        <v>0.0</v>
      </c>
      <c r="AL608" s="941">
        <v>3.0</v>
      </c>
      <c r="AM608" s="941">
        <v>0.0</v>
      </c>
      <c r="AN608" s="941">
        <v>0.0</v>
      </c>
      <c r="AO608" s="941">
        <v>0.0</v>
      </c>
      <c r="AP608" s="941">
        <v>3.0</v>
      </c>
      <c r="AQ608" s="941">
        <v>0.0</v>
      </c>
      <c r="AR608" s="941">
        <v>15.0</v>
      </c>
      <c r="AS608" s="941">
        <v>2.0</v>
      </c>
      <c r="AT608" s="941">
        <v>0.0</v>
      </c>
      <c r="AU608" s="941">
        <v>0.0</v>
      </c>
      <c r="AV608" s="941">
        <v>0.0</v>
      </c>
      <c r="AW608" s="941">
        <v>0.0</v>
      </c>
      <c r="AX608" s="941">
        <v>0.0</v>
      </c>
      <c r="AY608" s="941">
        <v>0.0</v>
      </c>
      <c r="AZ608" s="941">
        <v>0.0</v>
      </c>
      <c r="BA608" s="941">
        <v>0.0</v>
      </c>
      <c r="BB608" s="941">
        <v>10.0</v>
      </c>
      <c r="BC608" s="941">
        <v>0.0</v>
      </c>
      <c r="BD608" s="941">
        <v>12.0</v>
      </c>
      <c r="BE608" s="941">
        <v>8.0</v>
      </c>
      <c r="BF608" s="941">
        <v>1.0</v>
      </c>
      <c r="BG608" s="942">
        <v>0.0</v>
      </c>
    </row>
    <row r="609">
      <c r="A609" s="943" t="s">
        <v>514</v>
      </c>
      <c r="B609" s="421" t="str">
        <f>IF(C609&lt;'PlayerGrades+'!$Y$44,"F-",IF(C609&lt;'PlayerGrades+'!$Y$43,"F",IF(C609&lt;'PlayerGrades+'!$Y$42,"F+",IF(C609&lt;'PlayerGrades+'!$Y$41,"E-",IF(C609&lt;'PlayerGrades+'!$Y$40,"E",IF(C609&lt;'PlayerGrades+'!$Y$39,"E+",IF(C609&lt;'PlayerGrades+'!$Y$38,"D-",IF(C609&lt;'PlayerGrades+'!$Y$37,"D",IF(C609&lt;'PlayerGrades+'!$Y$36,"D+",IF(C609&lt;'PlayerGrades+'!$Y$35,"C-",IF(C609&lt;'PlayerGrades+'!$Y$34,"C",IF(C609&lt;'PlayerGrades+'!$Y$33,"C+",IF(C609&lt;'PlayerGrades+'!$Y$32,"B-",IF(C609&lt;'PlayerGrades+'!$Y$31,"B",IF(C609&lt;'PlayerGrades+'!$Y$30,"B+",IF(C609&lt;'PlayerGrades+'!$Y$29,"A-",IF(C609&lt;'PlayerGrades+'!$Y$28,"A",IF(C609&lt;'PlayerGrades+'!$Y$27,"A+",IF(C609&lt;'PlayerGrades+'!$Y$26,"S-",IF(C609&lt;'PlayerGrades+'!$Y$25,"S","S+"))))))))))))))))))))</f>
        <v>A-</v>
      </c>
      <c r="C609" s="972">
        <f>('PlayerGrades+'!$Y$47*(VLOOKUP(E609, 'PlayerGrades+'!$X$3:$Y$23, 2, FALSE)))+('PlayerGrades+'!$Y$48*(VLOOKUP(G609, 'PlayerGrades+'!$X$3:$Y$23, 2, FALSE)))+('PlayerGrades+'!$Y$49*(VLOOKUP(I609, 'PlayerGrades+'!$X$3:$Y$23, 2, FALSE)))+('PlayerGrades+'!$Y$50*(VLOOKUP(K609, 'PlayerGrades+'!$X$3:$Y$23, 2, FALSE)))+('PlayerGrades+'!$Y$51*(VLOOKUP(M609, 'PlayerGrades+'!$X$3:$Y$23, 2, FALSE)))+('PlayerGrades+'!$Y$52*(VLOOKUP(O609, 'PlayerGrades+'!$X$3:$Y$23, 2, FALSE)))+('PlayerGrades+'!$Y$53*(VLOOKUP(Q609, 'PlayerGrades+'!$X$3:$Y$23, 2, FALSE)))+('PlayerGrades+'!$Y$54*(VLOOKUP(S609, 'PlayerGrades+'!$X$3:$Y$23, 2, FALSE)))+('PlayerGrades+'!$Y$55*(VLOOKUP(U609, 'PlayerGrades+'!$X$3:$Y$23, 2, FALSE)))</f>
        <v>24.6</v>
      </c>
      <c r="D609" s="973">
        <f t="shared" si="1"/>
        <v>0.04261363636</v>
      </c>
      <c r="E609" s="973" t="str">
        <f>IF(D609&lt;'PlayerGrades+'!$AA$21,"F-",IF(D609&lt;'PlayerGrades+'!$AA$20,"F",IF(D609&lt;'PlayerGrades+'!$AA$19,"F+",IF(D609&lt;'PlayerGrades+'!$AA$18,"E-",IF(D609&lt;'PlayerGrades+'!$AA$17,"E",IF(D609&lt;'PlayerGrades+'!$AA$16,"E+",IF(D609&lt;'PlayerGrades+'!$AA$15,"D-",IF(D609&lt;'PlayerGrades+'!$AA$14,"D",IF(D609&lt;'PlayerGrades+'!$AA$13,"D+",IF(D609&lt;'PlayerGrades+'!$AA$12,"C-",IF(D609&lt;'PlayerGrades+'!$AA$11,"C",IF(D609&lt;'PlayerGrades+'!$AA$10,"C+",IF(D609&lt;'PlayerGrades+'!$AA$9,"B-",IF(D609&lt;'PlayerGrades+'!$AA$8,"B",IF(D609&lt;'PlayerGrades+'!$AA$7,"B+",IF(D609&lt;'PlayerGrades+'!$AA$6,"A-",IF(D609&lt;'PlayerGrades+'!$AA$5,"A",IF(D609&lt;'PlayerGrades+'!$AA$4,"A+",IF(D609&lt;'PlayerGrades+'!$AA$3,"S-",IF(D609&lt;'PlayerGrades+'!$AA$2,"S","S+"))))))))))))))))))))</f>
        <v>C</v>
      </c>
      <c r="F609" s="973">
        <f t="shared" si="2"/>
        <v>-0.8096590909</v>
      </c>
      <c r="G609" s="973" t="str">
        <f>IF(F609&lt;'PlayerGrades+'!$AB$21,"F-",IF(F609&lt;'PlayerGrades+'!$AB$20,"F",IF(F609&lt;'PlayerGrades+'!$AB$19,"F+",IF(F609&lt;'PlayerGrades+'!$AB$18,"E-",IF(F609&lt;'PlayerGrades+'!$AB$17,"E",IF(F609&lt;'PlayerGrades+'!$AB$16,"E+",IF(F609&lt;'PlayerGrades+'!$AB$15,"D-",IF(F609&lt;'PlayerGrades+'!$AB$14,"D",IF(F609&lt;'PlayerGrades+'!$AB$13,"D+",IF(F609&lt;'PlayerGrades+'!$AB$12,"C-",IF(F609&lt;'PlayerGrades+'!$AB$11,"C",IF(F609&lt;'PlayerGrades+'!$AB$10,"C+",IF(F609&lt;'PlayerGrades+'!$AB$9,"B-",IF(F609&lt;'PlayerGrades+'!$AB$8,"B",IF(F609&lt;'PlayerGrades+'!$AB$7,"B+",IF(F609&lt;'PlayerGrades+'!$AB$6,"A-",IF(F609&lt;'PlayerGrades+'!$AB$5,"A",IF(F609&lt;'PlayerGrades+'!$AB$4,"A+",IF(F609&lt;'PlayerGrades+'!$AB$3,"S-",IF(F609&lt;'PlayerGrades+'!$AB$2,"S","S+"))))))))))))))))))))</f>
        <v>E</v>
      </c>
      <c r="H609" s="973">
        <f t="shared" si="3"/>
        <v>0.2982954545</v>
      </c>
      <c r="I609" s="973" t="str">
        <f>IF(H609&lt;'PlayerGrades+'!$AC$21,"F-",IF(H609&lt;'PlayerGrades+'!$AC$20,"F",IF(H609&lt;'PlayerGrades+'!$AC$19,"F+",IF(H609&lt;'PlayerGrades+'!$AC$18,"E-",IF(H609&lt;'PlayerGrades+'!$AC$17,"E",IF(H609&lt;'PlayerGrades+'!$AC$16,"E+",IF(H609&lt;'PlayerGrades+'!$AC$15,"D-",IF(H609&lt;'PlayerGrades+'!$AC$14,"D",IF(H609&lt;'PlayerGrades+'!$AC$13,"D+",IF(H609&lt;'PlayerGrades+'!$AC$12,"C-",IF(H609&lt;'PlayerGrades+'!$AC$11,"C",IF(H609&lt;'PlayerGrades+'!$AC$10,"C+",IF(H609&lt;'PlayerGrades+'!$AC$9,"B-",IF(H609&lt;'PlayerGrades+'!$AC$8,"B",IF(H609&lt;'PlayerGrades+'!$AC$7,"B+",IF(H609&lt;'PlayerGrades+'!$AC$6,"A-",IF(H609&lt;'PlayerGrades+'!$AC$5,"A",IF(H609&lt;'PlayerGrades+'!$AC$4,"A+",IF(H609&lt;'PlayerGrades+'!$AC$3,"S-",IF(H609&lt;'PlayerGrades+'!$AC$2,"S","S+"))))))))))))))))))))</f>
        <v>S</v>
      </c>
      <c r="J609" s="973">
        <f t="shared" si="4"/>
        <v>0.04261363636</v>
      </c>
      <c r="K609" s="973" t="str">
        <f>IF(J609&lt;'PlayerGrades+'!$AD$21,"F-",IF(J609&lt;'PlayerGrades+'!$AD$20,"F",IF(J609&lt;'PlayerGrades+'!$AD$19,"F+",IF(J609&lt;'PlayerGrades+'!$AD$18,"E-",IF(J609&lt;'PlayerGrades+'!$AD$17,"E",IF(J609&lt;'PlayerGrades+'!$AD$16,"E+",IF(J609&lt;'PlayerGrades+'!$AD$15,"D-",IF(J609&lt;'PlayerGrades+'!$AD$14,"D",IF(J609&lt;'PlayerGrades+'!$AD$13,"D+",IF(J609&lt;'PlayerGrades+'!$AD$12,"C-",IF(J609&lt;'PlayerGrades+'!$AD$11,"C",IF(J609&lt;'PlayerGrades+'!$AD$10,"C+",IF(J609&lt;'PlayerGrades+'!$AD$9,"B-",IF(J609&lt;'PlayerGrades+'!$AD$8,"B",IF(J609&lt;'PlayerGrades+'!$AD$7,"B+",IF(J609&lt;'PlayerGrades+'!$AD$6,"A-",IF(J609&lt;'PlayerGrades+'!$AD$5,"A",IF(J609&lt;'PlayerGrades+'!$AD$4,"A+",IF(J609&lt;'PlayerGrades+'!$AD$3,"S-",IF(J609&lt;'PlayerGrades+'!$AD$2,"S","S+"))))))))))))))))))))</f>
        <v>C+</v>
      </c>
      <c r="L609" s="974">
        <f t="shared" si="5"/>
        <v>0.6818181818</v>
      </c>
      <c r="M609" s="975" t="str">
        <f>IF(L609&lt;'PlayerGrades+'!$AE$21,"F-",IF(L609&lt;'PlayerGrades+'!$AE$20,"F",IF(L609&lt;'PlayerGrades+'!$AE$19,"F+",IF(L609&lt;'PlayerGrades+'!$AE$18,"E-",IF(L609&lt;'PlayerGrades+'!$AE$17,"E",IF(L609&lt;'PlayerGrades+'!$AE$16,"E+",IF(L609&lt;'PlayerGrades+'!$AE$15,"D-",IF(L609&lt;'PlayerGrades+'!$AE$14,"D",IF(L609&lt;'PlayerGrades+'!$AE$13,"D+",IF(L609&lt;'PlayerGrades+'!$AE$12,"C-",IF(L609&lt;'PlayerGrades+'!$AE$11,"C",IF(L609&lt;'PlayerGrades+'!$AE$10,"C+",IF(L609&lt;'PlayerGrades+'!$AE$9,"B-",IF(L609&lt;'PlayerGrades+'!$AE$8,"B",IF(L609&lt;'PlayerGrades+'!$AE$7,"B+",IF(L609&lt;'PlayerGrades+'!$AE$6,"A-",IF(L609&lt;'PlayerGrades+'!$AE$5,"A",IF(L609&lt;'PlayerGrades+'!$AE$4,"A+",IF(L609&lt;'PlayerGrades+'!$AE$3,"S-",IF(L609&lt;'PlayerGrades+'!$AE$2,"S","S+"))))))))))))))))))))</f>
        <v>S</v>
      </c>
      <c r="N609" s="973">
        <f t="shared" si="6"/>
        <v>0.1704545455</v>
      </c>
      <c r="O609" s="973" t="str">
        <f>IF(N609&lt;'PlayerGrades+'!$AF$21,"F-",IF(N609&lt;'PlayerGrades+'!$AF$20,"F",IF(N609&lt;'PlayerGrades+'!$AF$19,"F+",IF(N609&lt;'PlayerGrades+'!$AF$18,"E-",IF(N609&lt;'PlayerGrades+'!$AF$17,"E",IF(N609&lt;'PlayerGrades+'!$AF$16,"E+",IF(N609&lt;'PlayerGrades+'!$AF$15,"D-",IF(N609&lt;'PlayerGrades+'!$AF$14,"D",IF(N609&lt;'PlayerGrades+'!$AF$13,"D+",IF(N609&lt;'PlayerGrades+'!$AF$12,"C-",IF(N609&lt;'PlayerGrades+'!$AF$11,"C",IF(N609&lt;'PlayerGrades+'!$AF$10,"C+",IF(N609&lt;'PlayerGrades+'!$AF$9,"B-",IF(N609&lt;'PlayerGrades+'!$AF$8,"B",IF(N609&lt;'PlayerGrades+'!$AF$7,"B+",IF(N609&lt;'PlayerGrades+'!$AF$6,"A-",IF(N609&lt;'PlayerGrades+'!$AF$5,"A",IF(N609&lt;'PlayerGrades+'!$AF$4,"A+",IF(N609&lt;'PlayerGrades+'!$AF$3,"S-",IF(N609&lt;'PlayerGrades+'!$AF$2,"S","S+"))))))))))))))))))))</f>
        <v>S+</v>
      </c>
      <c r="P609" s="973">
        <f t="shared" si="7"/>
        <v>0.04261363636</v>
      </c>
      <c r="Q609" s="973" t="str">
        <f>IF(P609&lt;'PlayerGrades+'!$AG$21,"F-",IF(P609&lt;'PlayerGrades+'!$AG$20,"F",IF(P609&lt;'PlayerGrades+'!$AG$19,"F+",IF(P609&lt;'PlayerGrades+'!$AG$18,"E-",IF(P609&lt;'PlayerGrades+'!$AG$17,"E",IF(P609&lt;'PlayerGrades+'!$AG$16,"E+",IF(P609&lt;'PlayerGrades+'!$AG$15,"D-",IF(P609&lt;'PlayerGrades+'!$AG$14,"D",IF(P609&lt;'PlayerGrades+'!$AG$13,"D+",IF(P609&lt;'PlayerGrades+'!$AG$12,"C-",IF(P609&lt;'PlayerGrades+'!$AG$11,"C",IF(P609&lt;'PlayerGrades+'!$AG$10,"C+",IF(P609&lt;'PlayerGrades+'!$AG$9,"B-",IF(P609&lt;'PlayerGrades+'!$AG$8,"B",IF(P609&lt;'PlayerGrades+'!$AG$7,"B+",IF(P609&lt;'PlayerGrades+'!$AG$6,"A-",IF(P609&lt;'PlayerGrades+'!$AG$5,"A",IF(P609&lt;'PlayerGrades+'!$AG$4,"A+",IF(P609&lt;'PlayerGrades+'!$AG$3,"S-",IF(P609&lt;'PlayerGrades+'!$AG$2,"S","S+"))))))))))))))))))))</f>
        <v>A</v>
      </c>
      <c r="R609" s="973">
        <f t="shared" si="8"/>
        <v>0.4261363636</v>
      </c>
      <c r="S609" s="973" t="str">
        <f>IF(R609&lt;'PlayerGrades+'!$AH$21,"F-",IF(R609&lt;'PlayerGrades+'!$AH$20,"F",IF(R609&lt;'PlayerGrades+'!$AH$19,"F+",IF(R609&lt;'PlayerGrades+'!$AH$18,"E-",IF(R609&lt;'PlayerGrades+'!$AH$17,"E",IF(R609&lt;'PlayerGrades+'!$AH$16,"E+",IF(R609&lt;'PlayerGrades+'!$AH$15,"D-",IF(R609&lt;'PlayerGrades+'!$AH$14,"D",IF(R609&lt;'PlayerGrades+'!$AH$13,"D+",IF(R609&lt;'PlayerGrades+'!$AH$12,"C-",IF(R609&lt;'PlayerGrades+'!$AH$11,"C",IF(R609&lt;'PlayerGrades+'!$AH$10,"C+",IF(R609&lt;'PlayerGrades+'!$AH$9,"B-",IF(R609&lt;'PlayerGrades+'!$AH$8,"B",IF(R609&lt;'PlayerGrades+'!$AH$7,"B+",IF(R609&lt;'PlayerGrades+'!$AH$6,"A-",IF(R609&lt;'PlayerGrades+'!$AH$5,"A",IF(R609&lt;'PlayerGrades+'!$AH$4,"A+",IF(R609&lt;'PlayerGrades+'!$AH$3,"S-",IF(R609&lt;'PlayerGrades+'!$AH$2,"S","S+"))))))))))))))))))))</f>
        <v>F+</v>
      </c>
      <c r="T609" s="973">
        <f t="shared" si="9"/>
        <v>1.426136364</v>
      </c>
      <c r="U609" s="973" t="str">
        <f>IF(T609&lt;'PlayerGrades+'!$AI$21,"F-",IF(T609&lt;'PlayerGrades+'!$AI$20,"F",IF(T609&lt;'PlayerGrades+'!$AI$19,"F+",IF(T609&lt;'PlayerGrades+'!$AI$18,"E-",IF(T609&lt;'PlayerGrades+'!$AI$17,"E",IF(T609&lt;'PlayerGrades+'!$AI$16,"E+",IF(T609&lt;'PlayerGrades+'!$AI$15,"D-",IF(T609&lt;'PlayerGrades+'!$AI$14,"D",IF(T609&lt;'PlayerGrades+'!$AI$13,"D+",IF(T609&lt;'PlayerGrades+'!$AI$12,"C-",IF(T609&lt;'PlayerGrades+'!$AI$11,"C",IF(T609&lt;'PlayerGrades+'!$AI$10,"C+",IF(T609&lt;'PlayerGrades+'!$AI$9,"B-",IF(T609&lt;'PlayerGrades+'!$AI$8,"B",IF(T609&lt;'PlayerGrades+'!$AI$7,"B+",IF(T609&lt;'PlayerGrades+'!$AI$6,"A-",IF(T609&lt;'PlayerGrades+'!$AI$5,"A",IF(T609&lt;'PlayerGrades+'!$AI$4,"A+",IF(T609&lt;'PlayerGrades+'!$AI$3,"S-",IF(T609&lt;'PlayerGrades+'!$AI$2,"S","S+"))))))))))))))))))))</f>
        <v>B+</v>
      </c>
      <c r="V609" s="944">
        <v>1.0</v>
      </c>
      <c r="W609" s="944">
        <v>0.0</v>
      </c>
      <c r="X609" s="944">
        <v>1.0</v>
      </c>
      <c r="Y609" s="944">
        <v>0.0</v>
      </c>
      <c r="Z609" s="944">
        <v>1.0</v>
      </c>
      <c r="AA609" s="944">
        <v>93.0</v>
      </c>
      <c r="AB609" s="944">
        <v>112.0</v>
      </c>
      <c r="AC609" s="944">
        <v>-19.0</v>
      </c>
      <c r="AD609" s="944">
        <v>4.0</v>
      </c>
      <c r="AE609" s="944">
        <v>5.0</v>
      </c>
      <c r="AF609" s="944">
        <v>1.0</v>
      </c>
      <c r="AG609" s="944">
        <v>1091.0</v>
      </c>
      <c r="AH609" s="882">
        <v>1408.0</v>
      </c>
      <c r="AI609" s="944">
        <v>9.0</v>
      </c>
      <c r="AJ609" s="944">
        <v>14.0</v>
      </c>
      <c r="AK609" s="944">
        <v>0.0</v>
      </c>
      <c r="AL609" s="944">
        <v>1.0</v>
      </c>
      <c r="AM609" s="944">
        <v>0.0</v>
      </c>
      <c r="AN609" s="944">
        <v>0.0</v>
      </c>
      <c r="AO609" s="944">
        <v>0.0</v>
      </c>
      <c r="AP609" s="944">
        <v>1.0</v>
      </c>
      <c r="AQ609" s="944">
        <v>0.0</v>
      </c>
      <c r="AR609" s="944">
        <v>16.0</v>
      </c>
      <c r="AS609" s="944">
        <v>4.0</v>
      </c>
      <c r="AT609" s="944">
        <v>1.0</v>
      </c>
      <c r="AU609" s="944">
        <v>1.0</v>
      </c>
      <c r="AV609" s="944">
        <v>0.0</v>
      </c>
      <c r="AW609" s="944">
        <v>0.0</v>
      </c>
      <c r="AX609" s="944">
        <v>0.0</v>
      </c>
      <c r="AY609" s="944">
        <v>0.0</v>
      </c>
      <c r="AZ609" s="944">
        <v>0.0</v>
      </c>
      <c r="BA609" s="944">
        <v>0.0</v>
      </c>
      <c r="BB609" s="944">
        <v>7.0</v>
      </c>
      <c r="BC609" s="944">
        <v>0.0</v>
      </c>
      <c r="BD609" s="944">
        <v>6.0</v>
      </c>
      <c r="BE609" s="944">
        <v>10.0</v>
      </c>
      <c r="BF609" s="944">
        <v>1.0</v>
      </c>
      <c r="BG609" s="945">
        <v>0.0</v>
      </c>
    </row>
    <row r="610">
      <c r="A610" s="946" t="s">
        <v>123</v>
      </c>
      <c r="B610" s="421" t="str">
        <f>IF(C610&lt;'PlayerGrades+'!$Y$44,"F-",IF(C610&lt;'PlayerGrades+'!$Y$43,"F",IF(C610&lt;'PlayerGrades+'!$Y$42,"F+",IF(C610&lt;'PlayerGrades+'!$Y$41,"E-",IF(C610&lt;'PlayerGrades+'!$Y$40,"E",IF(C610&lt;'PlayerGrades+'!$Y$39,"E+",IF(C610&lt;'PlayerGrades+'!$Y$38,"D-",IF(C610&lt;'PlayerGrades+'!$Y$37,"D",IF(C610&lt;'PlayerGrades+'!$Y$36,"D+",IF(C610&lt;'PlayerGrades+'!$Y$35,"C-",IF(C610&lt;'PlayerGrades+'!$Y$34,"C",IF(C610&lt;'PlayerGrades+'!$Y$33,"C+",IF(C610&lt;'PlayerGrades+'!$Y$32,"B-",IF(C610&lt;'PlayerGrades+'!$Y$31,"B",IF(C610&lt;'PlayerGrades+'!$Y$30,"B+",IF(C610&lt;'PlayerGrades+'!$Y$29,"A-",IF(C610&lt;'PlayerGrades+'!$Y$28,"A",IF(C610&lt;'PlayerGrades+'!$Y$27,"A+",IF(C610&lt;'PlayerGrades+'!$Y$26,"S-",IF(C610&lt;'PlayerGrades+'!$Y$25,"S","S+"))))))))))))))))))))</f>
        <v>S</v>
      </c>
      <c r="C610" s="972">
        <f>('PlayerGrades+'!$Y$47*(VLOOKUP(E610, 'PlayerGrades+'!$X$3:$Y$23, 2, FALSE)))+('PlayerGrades+'!$Y$48*(VLOOKUP(G610, 'PlayerGrades+'!$X$3:$Y$23, 2, FALSE)))+('PlayerGrades+'!$Y$49*(VLOOKUP(I610, 'PlayerGrades+'!$X$3:$Y$23, 2, FALSE)))+('PlayerGrades+'!$Y$50*(VLOOKUP(K610, 'PlayerGrades+'!$X$3:$Y$23, 2, FALSE)))+('PlayerGrades+'!$Y$51*(VLOOKUP(M610, 'PlayerGrades+'!$X$3:$Y$23, 2, FALSE)))+('PlayerGrades+'!$Y$52*(VLOOKUP(O610, 'PlayerGrades+'!$X$3:$Y$23, 2, FALSE)))+('PlayerGrades+'!$Y$53*(VLOOKUP(Q610, 'PlayerGrades+'!$X$3:$Y$23, 2, FALSE)))+('PlayerGrades+'!$Y$54*(VLOOKUP(S610, 'PlayerGrades+'!$X$3:$Y$23, 2, FALSE)))+('PlayerGrades+'!$Y$55*(VLOOKUP(U610, 'PlayerGrades+'!$X$3:$Y$23, 2, FALSE)))</f>
        <v>32.55</v>
      </c>
      <c r="D610" s="973">
        <f t="shared" si="1"/>
        <v>0.7300585849</v>
      </c>
      <c r="E610" s="973" t="str">
        <f>IF(D610&lt;'PlayerGrades+'!$AA$21,"F-",IF(D610&lt;'PlayerGrades+'!$AA$20,"F",IF(D610&lt;'PlayerGrades+'!$AA$19,"F+",IF(D610&lt;'PlayerGrades+'!$AA$18,"E-",IF(D610&lt;'PlayerGrades+'!$AA$17,"E",IF(D610&lt;'PlayerGrades+'!$AA$16,"E+",IF(D610&lt;'PlayerGrades+'!$AA$15,"D-",IF(D610&lt;'PlayerGrades+'!$AA$14,"D",IF(D610&lt;'PlayerGrades+'!$AA$13,"D+",IF(D610&lt;'PlayerGrades+'!$AA$12,"C-",IF(D610&lt;'PlayerGrades+'!$AA$11,"C",IF(D610&lt;'PlayerGrades+'!$AA$10,"C+",IF(D610&lt;'PlayerGrades+'!$AA$9,"B-",IF(D610&lt;'PlayerGrades+'!$AA$8,"B",IF(D610&lt;'PlayerGrades+'!$AA$7,"B+",IF(D610&lt;'PlayerGrades+'!$AA$6,"A-",IF(D610&lt;'PlayerGrades+'!$AA$5,"A",IF(D610&lt;'PlayerGrades+'!$AA$4,"A+",IF(D610&lt;'PlayerGrades+'!$AA$3,"S-",IF(D610&lt;'PlayerGrades+'!$AA$2,"S","S+"))))))))))))))))))))</f>
        <v>S</v>
      </c>
      <c r="F610" s="973">
        <f t="shared" si="2"/>
        <v>0.7300585849</v>
      </c>
      <c r="G610" s="973" t="str">
        <f>IF(F610&lt;'PlayerGrades+'!$AB$21,"F-",IF(F610&lt;'PlayerGrades+'!$AB$20,"F",IF(F610&lt;'PlayerGrades+'!$AB$19,"F+",IF(F610&lt;'PlayerGrades+'!$AB$18,"E-",IF(F610&lt;'PlayerGrades+'!$AB$17,"E",IF(F610&lt;'PlayerGrades+'!$AB$16,"E+",IF(F610&lt;'PlayerGrades+'!$AB$15,"D-",IF(F610&lt;'PlayerGrades+'!$AB$14,"D",IF(F610&lt;'PlayerGrades+'!$AB$13,"D+",IF(F610&lt;'PlayerGrades+'!$AB$12,"C-",IF(F610&lt;'PlayerGrades+'!$AB$11,"C",IF(F610&lt;'PlayerGrades+'!$AB$10,"C+",IF(F610&lt;'PlayerGrades+'!$AB$9,"B-",IF(F610&lt;'PlayerGrades+'!$AB$8,"B",IF(F610&lt;'PlayerGrades+'!$AB$7,"B+",IF(F610&lt;'PlayerGrades+'!$AB$6,"A-",IF(F610&lt;'PlayerGrades+'!$AB$5,"A",IF(F610&lt;'PlayerGrades+'!$AB$4,"A+",IF(F610&lt;'PlayerGrades+'!$AB$3,"S-",IF(F610&lt;'PlayerGrades+'!$AB$2,"S","S+"))))))))))))))))))))</f>
        <v>S</v>
      </c>
      <c r="H610" s="973">
        <f t="shared" si="3"/>
        <v>0.1081568274</v>
      </c>
      <c r="I610" s="973" t="str">
        <f>IF(H610&lt;'PlayerGrades+'!$AC$21,"F-",IF(H610&lt;'PlayerGrades+'!$AC$20,"F",IF(H610&lt;'PlayerGrades+'!$AC$19,"F+",IF(H610&lt;'PlayerGrades+'!$AC$18,"E-",IF(H610&lt;'PlayerGrades+'!$AC$17,"E",IF(H610&lt;'PlayerGrades+'!$AC$16,"E+",IF(H610&lt;'PlayerGrades+'!$AC$15,"D-",IF(H610&lt;'PlayerGrades+'!$AC$14,"D",IF(H610&lt;'PlayerGrades+'!$AC$13,"D+",IF(H610&lt;'PlayerGrades+'!$AC$12,"C-",IF(H610&lt;'PlayerGrades+'!$AC$11,"C",IF(H610&lt;'PlayerGrades+'!$AC$10,"C+",IF(H610&lt;'PlayerGrades+'!$AC$9,"B-",IF(H610&lt;'PlayerGrades+'!$AC$8,"B",IF(H610&lt;'PlayerGrades+'!$AC$7,"B+",IF(H610&lt;'PlayerGrades+'!$AC$6,"A-",IF(H610&lt;'PlayerGrades+'!$AC$5,"A",IF(H610&lt;'PlayerGrades+'!$AC$4,"A+",IF(H610&lt;'PlayerGrades+'!$AC$3,"S-",IF(H610&lt;'PlayerGrades+'!$AC$2,"S","S+"))))))))))))))))))))</f>
        <v>C-</v>
      </c>
      <c r="J610" s="973">
        <f t="shared" si="4"/>
        <v>0.1081568274</v>
      </c>
      <c r="K610" s="973" t="str">
        <f>IF(J610&lt;'PlayerGrades+'!$AD$21,"F-",IF(J610&lt;'PlayerGrades+'!$AD$20,"F",IF(J610&lt;'PlayerGrades+'!$AD$19,"F+",IF(J610&lt;'PlayerGrades+'!$AD$18,"E-",IF(J610&lt;'PlayerGrades+'!$AD$17,"E",IF(J610&lt;'PlayerGrades+'!$AD$16,"E+",IF(J610&lt;'PlayerGrades+'!$AD$15,"D-",IF(J610&lt;'PlayerGrades+'!$AD$14,"D",IF(J610&lt;'PlayerGrades+'!$AD$13,"D+",IF(J610&lt;'PlayerGrades+'!$AD$12,"C-",IF(J610&lt;'PlayerGrades+'!$AD$11,"C",IF(J610&lt;'PlayerGrades+'!$AD$10,"C+",IF(J610&lt;'PlayerGrades+'!$AD$9,"B-",IF(J610&lt;'PlayerGrades+'!$AD$8,"B",IF(J610&lt;'PlayerGrades+'!$AD$7,"B+",IF(J610&lt;'PlayerGrades+'!$AD$6,"A-",IF(J610&lt;'PlayerGrades+'!$AD$5,"A",IF(J610&lt;'PlayerGrades+'!$AD$4,"A+",IF(J610&lt;'PlayerGrades+'!$AD$3,"S-",IF(J610&lt;'PlayerGrades+'!$AD$2,"S","S+"))))))))))))))))))))</f>
        <v>S+</v>
      </c>
      <c r="L610" s="974">
        <f t="shared" si="5"/>
        <v>0.4596665164</v>
      </c>
      <c r="M610" s="975" t="str">
        <f>IF(L610&lt;'PlayerGrades+'!$AE$21,"F-",IF(L610&lt;'PlayerGrades+'!$AE$20,"F",IF(L610&lt;'PlayerGrades+'!$AE$19,"F+",IF(L610&lt;'PlayerGrades+'!$AE$18,"E-",IF(L610&lt;'PlayerGrades+'!$AE$17,"E",IF(L610&lt;'PlayerGrades+'!$AE$16,"E+",IF(L610&lt;'PlayerGrades+'!$AE$15,"D-",IF(L610&lt;'PlayerGrades+'!$AE$14,"D",IF(L610&lt;'PlayerGrades+'!$AE$13,"D+",IF(L610&lt;'PlayerGrades+'!$AE$12,"C-",IF(L610&lt;'PlayerGrades+'!$AE$11,"C",IF(L610&lt;'PlayerGrades+'!$AE$10,"C+",IF(L610&lt;'PlayerGrades+'!$AE$9,"B-",IF(L610&lt;'PlayerGrades+'!$AE$8,"B",IF(L610&lt;'PlayerGrades+'!$AE$7,"B+",IF(L610&lt;'PlayerGrades+'!$AE$6,"A-",IF(L610&lt;'PlayerGrades+'!$AE$5,"A",IF(L610&lt;'PlayerGrades+'!$AE$4,"A+",IF(L610&lt;'PlayerGrades+'!$AE$3,"S-",IF(L610&lt;'PlayerGrades+'!$AE$2,"S","S+"))))))))))))))))))))</f>
        <v>B+</v>
      </c>
      <c r="N610" s="973">
        <f t="shared" si="6"/>
        <v>0.1081568274</v>
      </c>
      <c r="O610" s="973" t="str">
        <f>IF(N610&lt;'PlayerGrades+'!$AF$21,"F-",IF(N610&lt;'PlayerGrades+'!$AF$20,"F",IF(N610&lt;'PlayerGrades+'!$AF$19,"F+",IF(N610&lt;'PlayerGrades+'!$AF$18,"E-",IF(N610&lt;'PlayerGrades+'!$AF$17,"E",IF(N610&lt;'PlayerGrades+'!$AF$16,"E+",IF(N610&lt;'PlayerGrades+'!$AF$15,"D-",IF(N610&lt;'PlayerGrades+'!$AF$14,"D",IF(N610&lt;'PlayerGrades+'!$AF$13,"D+",IF(N610&lt;'PlayerGrades+'!$AF$12,"C-",IF(N610&lt;'PlayerGrades+'!$AF$11,"C",IF(N610&lt;'PlayerGrades+'!$AF$10,"C+",IF(N610&lt;'PlayerGrades+'!$AF$9,"B-",IF(N610&lt;'PlayerGrades+'!$AF$8,"B",IF(N610&lt;'PlayerGrades+'!$AF$7,"B+",IF(N610&lt;'PlayerGrades+'!$AF$6,"A-",IF(N610&lt;'PlayerGrades+'!$AF$5,"A",IF(N610&lt;'PlayerGrades+'!$AF$4,"A+",IF(N610&lt;'PlayerGrades+'!$AF$3,"S-",IF(N610&lt;'PlayerGrades+'!$AF$2,"S","S+"))))))))))))))))))))</f>
        <v>S-</v>
      </c>
      <c r="P610" s="973">
        <f t="shared" si="7"/>
        <v>0.0540784137</v>
      </c>
      <c r="Q610" s="973" t="str">
        <f>IF(P610&lt;'PlayerGrades+'!$AG$21,"F-",IF(P610&lt;'PlayerGrades+'!$AG$20,"F",IF(P610&lt;'PlayerGrades+'!$AG$19,"F+",IF(P610&lt;'PlayerGrades+'!$AG$18,"E-",IF(P610&lt;'PlayerGrades+'!$AG$17,"E",IF(P610&lt;'PlayerGrades+'!$AG$16,"E+",IF(P610&lt;'PlayerGrades+'!$AG$15,"D-",IF(P610&lt;'PlayerGrades+'!$AG$14,"D",IF(P610&lt;'PlayerGrades+'!$AG$13,"D+",IF(P610&lt;'PlayerGrades+'!$AG$12,"C-",IF(P610&lt;'PlayerGrades+'!$AG$11,"C",IF(P610&lt;'PlayerGrades+'!$AG$10,"C+",IF(P610&lt;'PlayerGrades+'!$AG$9,"B-",IF(P610&lt;'PlayerGrades+'!$AG$8,"B",IF(P610&lt;'PlayerGrades+'!$AG$7,"B+",IF(P610&lt;'PlayerGrades+'!$AG$6,"A-",IF(P610&lt;'PlayerGrades+'!$AG$5,"A",IF(P610&lt;'PlayerGrades+'!$AG$4,"A+",IF(P610&lt;'PlayerGrades+'!$AG$3,"S-",IF(P610&lt;'PlayerGrades+'!$AG$2,"S","S+"))))))))))))))))))))</f>
        <v>A</v>
      </c>
      <c r="R610" s="973">
        <f t="shared" si="8"/>
        <v>0.7841369986</v>
      </c>
      <c r="S610" s="973" t="str">
        <f>IF(R610&lt;'PlayerGrades+'!$AH$21,"F-",IF(R610&lt;'PlayerGrades+'!$AH$20,"F",IF(R610&lt;'PlayerGrades+'!$AH$19,"F+",IF(R610&lt;'PlayerGrades+'!$AH$18,"E-",IF(R610&lt;'PlayerGrades+'!$AH$17,"E",IF(R610&lt;'PlayerGrades+'!$AH$16,"E+",IF(R610&lt;'PlayerGrades+'!$AH$15,"D-",IF(R610&lt;'PlayerGrades+'!$AH$14,"D",IF(R610&lt;'PlayerGrades+'!$AH$13,"D+",IF(R610&lt;'PlayerGrades+'!$AH$12,"C-",IF(R610&lt;'PlayerGrades+'!$AH$11,"C",IF(R610&lt;'PlayerGrades+'!$AH$10,"C+",IF(R610&lt;'PlayerGrades+'!$AH$9,"B-",IF(R610&lt;'PlayerGrades+'!$AH$8,"B",IF(R610&lt;'PlayerGrades+'!$AH$7,"B+",IF(R610&lt;'PlayerGrades+'!$AH$6,"A-",IF(R610&lt;'PlayerGrades+'!$AH$5,"A",IF(R610&lt;'PlayerGrades+'!$AH$4,"A+",IF(R610&lt;'PlayerGrades+'!$AH$3,"S-",IF(R610&lt;'PlayerGrades+'!$AH$2,"S","S+"))))))))))))))))))))</f>
        <v>S+</v>
      </c>
      <c r="T610" s="973">
        <f t="shared" si="9"/>
        <v>2.324470482</v>
      </c>
      <c r="U610" s="973" t="str">
        <f>IF(T610&lt;'PlayerGrades+'!$AI$21,"F-",IF(T610&lt;'PlayerGrades+'!$AI$20,"F",IF(T610&lt;'PlayerGrades+'!$AI$19,"F+",IF(T610&lt;'PlayerGrades+'!$AI$18,"E-",IF(T610&lt;'PlayerGrades+'!$AI$17,"E",IF(T610&lt;'PlayerGrades+'!$AI$16,"E+",IF(T610&lt;'PlayerGrades+'!$AI$15,"D-",IF(T610&lt;'PlayerGrades+'!$AI$14,"D",IF(T610&lt;'PlayerGrades+'!$AI$13,"D+",IF(T610&lt;'PlayerGrades+'!$AI$12,"C-",IF(T610&lt;'PlayerGrades+'!$AI$11,"C",IF(T610&lt;'PlayerGrades+'!$AI$10,"C+",IF(T610&lt;'PlayerGrades+'!$AI$9,"B-",IF(T610&lt;'PlayerGrades+'!$AI$8,"B",IF(T610&lt;'PlayerGrades+'!$AI$7,"B+",IF(T610&lt;'PlayerGrades+'!$AI$6,"A-",IF(T610&lt;'PlayerGrades+'!$AI$5,"A",IF(T610&lt;'PlayerGrades+'!$AI$4,"A+",IF(T610&lt;'PlayerGrades+'!$AI$3,"S-",IF(T610&lt;'PlayerGrades+'!$AI$2,"S","S+"))))))))))))))))))))</f>
        <v>S+</v>
      </c>
      <c r="V610" s="939">
        <v>1.0</v>
      </c>
      <c r="W610" s="939">
        <v>1.0</v>
      </c>
      <c r="X610" s="939">
        <v>0.0</v>
      </c>
      <c r="Y610" s="939">
        <v>3.0</v>
      </c>
      <c r="Z610" s="939">
        <v>24.0</v>
      </c>
      <c r="AA610" s="939">
        <v>128.0</v>
      </c>
      <c r="AB610" s="939">
        <v>101.0</v>
      </c>
      <c r="AC610" s="939">
        <v>27.0</v>
      </c>
      <c r="AD610" s="939">
        <v>4.0</v>
      </c>
      <c r="AE610" s="939">
        <v>9.0</v>
      </c>
      <c r="AF610" s="939">
        <v>1.0</v>
      </c>
      <c r="AG610" s="939">
        <v>1821.0</v>
      </c>
      <c r="AH610" s="939">
        <v>2219.0</v>
      </c>
      <c r="AI610" s="939">
        <v>18.0</v>
      </c>
      <c r="AJ610" s="939">
        <v>461.0</v>
      </c>
      <c r="AK610" s="939">
        <v>0.0</v>
      </c>
      <c r="AL610" s="939">
        <v>4.0</v>
      </c>
      <c r="AM610" s="939">
        <v>0.0</v>
      </c>
      <c r="AN610" s="939">
        <v>0.0</v>
      </c>
      <c r="AO610" s="939">
        <v>0.0</v>
      </c>
      <c r="AP610" s="939">
        <v>2.0</v>
      </c>
      <c r="AQ610" s="939">
        <v>0.0</v>
      </c>
      <c r="AR610" s="939">
        <v>17.0</v>
      </c>
      <c r="AS610" s="939">
        <v>4.0</v>
      </c>
      <c r="AT610" s="939">
        <v>1.0</v>
      </c>
      <c r="AU610" s="939">
        <v>0.0</v>
      </c>
      <c r="AV610" s="939">
        <v>0.0</v>
      </c>
      <c r="AW610" s="939">
        <v>0.0</v>
      </c>
      <c r="AX610" s="939">
        <v>0.0</v>
      </c>
      <c r="AY610" s="939">
        <v>0.0</v>
      </c>
      <c r="AZ610" s="939">
        <v>0.0</v>
      </c>
      <c r="BA610" s="939">
        <v>0.0</v>
      </c>
      <c r="BB610" s="939">
        <v>4.0</v>
      </c>
      <c r="BC610" s="939">
        <v>0.0</v>
      </c>
      <c r="BD610" s="939">
        <v>25.0</v>
      </c>
      <c r="BE610" s="939">
        <v>12.0</v>
      </c>
      <c r="BF610" s="939">
        <v>2.0</v>
      </c>
      <c r="BG610" s="940">
        <v>1.0</v>
      </c>
    </row>
    <row r="611">
      <c r="A611" s="935" t="s">
        <v>419</v>
      </c>
      <c r="B611" s="421" t="str">
        <f>IF(C611&lt;'PlayerGrades+'!$Y$44,"F-",IF(C611&lt;'PlayerGrades+'!$Y$43,"F",IF(C611&lt;'PlayerGrades+'!$Y$42,"F+",IF(C611&lt;'PlayerGrades+'!$Y$41,"E-",IF(C611&lt;'PlayerGrades+'!$Y$40,"E",IF(C611&lt;'PlayerGrades+'!$Y$39,"E+",IF(C611&lt;'PlayerGrades+'!$Y$38,"D-",IF(C611&lt;'PlayerGrades+'!$Y$37,"D",IF(C611&lt;'PlayerGrades+'!$Y$36,"D+",IF(C611&lt;'PlayerGrades+'!$Y$35,"C-",IF(C611&lt;'PlayerGrades+'!$Y$34,"C",IF(C611&lt;'PlayerGrades+'!$Y$33,"C+",IF(C611&lt;'PlayerGrades+'!$Y$32,"B-",IF(C611&lt;'PlayerGrades+'!$Y$31,"B",IF(C611&lt;'PlayerGrades+'!$Y$30,"B+",IF(C611&lt;'PlayerGrades+'!$Y$29,"A-",IF(C611&lt;'PlayerGrades+'!$Y$28,"A",IF(C611&lt;'PlayerGrades+'!$Y$27,"A+",IF(C611&lt;'PlayerGrades+'!$Y$26,"S-",IF(C611&lt;'PlayerGrades+'!$Y$25,"S","S+"))))))))))))))))))))</f>
        <v>A-</v>
      </c>
      <c r="C611" s="972">
        <f>('PlayerGrades+'!$Y$47*(VLOOKUP(E611, 'PlayerGrades+'!$X$3:$Y$23, 2, FALSE)))+('PlayerGrades+'!$Y$48*(VLOOKUP(G611, 'PlayerGrades+'!$X$3:$Y$23, 2, FALSE)))+('PlayerGrades+'!$Y$49*(VLOOKUP(I611, 'PlayerGrades+'!$X$3:$Y$23, 2, FALSE)))+('PlayerGrades+'!$Y$50*(VLOOKUP(K611, 'PlayerGrades+'!$X$3:$Y$23, 2, FALSE)))+('PlayerGrades+'!$Y$51*(VLOOKUP(M611, 'PlayerGrades+'!$X$3:$Y$23, 2, FALSE)))+('PlayerGrades+'!$Y$52*(VLOOKUP(O611, 'PlayerGrades+'!$X$3:$Y$23, 2, FALSE)))+('PlayerGrades+'!$Y$53*(VLOOKUP(Q611, 'PlayerGrades+'!$X$3:$Y$23, 2, FALSE)))+('PlayerGrades+'!$Y$54*(VLOOKUP(S611, 'PlayerGrades+'!$X$3:$Y$23, 2, FALSE)))+('PlayerGrades+'!$Y$55*(VLOOKUP(U611, 'PlayerGrades+'!$X$3:$Y$23, 2, FALSE)))</f>
        <v>24.45</v>
      </c>
      <c r="D611" s="973">
        <f t="shared" si="1"/>
        <v>0.0540784137</v>
      </c>
      <c r="E611" s="973" t="str">
        <f>IF(D611&lt;'PlayerGrades+'!$AA$21,"F-",IF(D611&lt;'PlayerGrades+'!$AA$20,"F",IF(D611&lt;'PlayerGrades+'!$AA$19,"F+",IF(D611&lt;'PlayerGrades+'!$AA$18,"E-",IF(D611&lt;'PlayerGrades+'!$AA$17,"E",IF(D611&lt;'PlayerGrades+'!$AA$16,"E+",IF(D611&lt;'PlayerGrades+'!$AA$15,"D-",IF(D611&lt;'PlayerGrades+'!$AA$14,"D",IF(D611&lt;'PlayerGrades+'!$AA$13,"D+",IF(D611&lt;'PlayerGrades+'!$AA$12,"C-",IF(D611&lt;'PlayerGrades+'!$AA$11,"C",IF(D611&lt;'PlayerGrades+'!$AA$10,"C+",IF(D611&lt;'PlayerGrades+'!$AA$9,"B-",IF(D611&lt;'PlayerGrades+'!$AA$8,"B",IF(D611&lt;'PlayerGrades+'!$AA$7,"B+",IF(D611&lt;'PlayerGrades+'!$AA$6,"A-",IF(D611&lt;'PlayerGrades+'!$AA$5,"A",IF(D611&lt;'PlayerGrades+'!$AA$4,"A+",IF(D611&lt;'PlayerGrades+'!$AA$3,"S-",IF(D611&lt;'PlayerGrades+'!$AA$2,"S","S+"))))))))))))))))))))</f>
        <v>B-</v>
      </c>
      <c r="F611" s="973">
        <f t="shared" si="2"/>
        <v>0.5948625507</v>
      </c>
      <c r="G611" s="973" t="str">
        <f>IF(F611&lt;'PlayerGrades+'!$AB$21,"F-",IF(F611&lt;'PlayerGrades+'!$AB$20,"F",IF(F611&lt;'PlayerGrades+'!$AB$19,"F+",IF(F611&lt;'PlayerGrades+'!$AB$18,"E-",IF(F611&lt;'PlayerGrades+'!$AB$17,"E",IF(F611&lt;'PlayerGrades+'!$AB$16,"E+",IF(F611&lt;'PlayerGrades+'!$AB$15,"D-",IF(F611&lt;'PlayerGrades+'!$AB$14,"D",IF(F611&lt;'PlayerGrades+'!$AB$13,"D+",IF(F611&lt;'PlayerGrades+'!$AB$12,"C-",IF(F611&lt;'PlayerGrades+'!$AB$11,"C",IF(F611&lt;'PlayerGrades+'!$AB$10,"C+",IF(F611&lt;'PlayerGrades+'!$AB$9,"B-",IF(F611&lt;'PlayerGrades+'!$AB$8,"B",IF(F611&lt;'PlayerGrades+'!$AB$7,"B+",IF(F611&lt;'PlayerGrades+'!$AB$6,"A-",IF(F611&lt;'PlayerGrades+'!$AB$5,"A",IF(F611&lt;'PlayerGrades+'!$AB$4,"A+",IF(F611&lt;'PlayerGrades+'!$AB$3,"S-",IF(F611&lt;'PlayerGrades+'!$AB$2,"S","S+"))))))))))))))))))))</f>
        <v>S-</v>
      </c>
      <c r="H611" s="973">
        <f t="shared" si="3"/>
        <v>0.1081568274</v>
      </c>
      <c r="I611" s="973" t="str">
        <f>IF(H611&lt;'PlayerGrades+'!$AC$21,"F-",IF(H611&lt;'PlayerGrades+'!$AC$20,"F",IF(H611&lt;'PlayerGrades+'!$AC$19,"F+",IF(H611&lt;'PlayerGrades+'!$AC$18,"E-",IF(H611&lt;'PlayerGrades+'!$AC$17,"E",IF(H611&lt;'PlayerGrades+'!$AC$16,"E+",IF(H611&lt;'PlayerGrades+'!$AC$15,"D-",IF(H611&lt;'PlayerGrades+'!$AC$14,"D",IF(H611&lt;'PlayerGrades+'!$AC$13,"D+",IF(H611&lt;'PlayerGrades+'!$AC$12,"C-",IF(H611&lt;'PlayerGrades+'!$AC$11,"C",IF(H611&lt;'PlayerGrades+'!$AC$10,"C+",IF(H611&lt;'PlayerGrades+'!$AC$9,"B-",IF(H611&lt;'PlayerGrades+'!$AC$8,"B",IF(H611&lt;'PlayerGrades+'!$AC$7,"B+",IF(H611&lt;'PlayerGrades+'!$AC$6,"A-",IF(H611&lt;'PlayerGrades+'!$AC$5,"A",IF(H611&lt;'PlayerGrades+'!$AC$4,"A+",IF(H611&lt;'PlayerGrades+'!$AC$3,"S-",IF(H611&lt;'PlayerGrades+'!$AC$2,"S","S+"))))))))))))))))))))</f>
        <v>C-</v>
      </c>
      <c r="J611" s="973">
        <f t="shared" si="4"/>
        <v>0.0540784137</v>
      </c>
      <c r="K611" s="973" t="str">
        <f>IF(J611&lt;'PlayerGrades+'!$AD$21,"F-",IF(J611&lt;'PlayerGrades+'!$AD$20,"F",IF(J611&lt;'PlayerGrades+'!$AD$19,"F+",IF(J611&lt;'PlayerGrades+'!$AD$18,"E-",IF(J611&lt;'PlayerGrades+'!$AD$17,"E",IF(J611&lt;'PlayerGrades+'!$AD$16,"E+",IF(J611&lt;'PlayerGrades+'!$AD$15,"D-",IF(J611&lt;'PlayerGrades+'!$AD$14,"D",IF(J611&lt;'PlayerGrades+'!$AD$13,"D+",IF(J611&lt;'PlayerGrades+'!$AD$12,"C-",IF(J611&lt;'PlayerGrades+'!$AD$11,"C",IF(J611&lt;'PlayerGrades+'!$AD$10,"C+",IF(J611&lt;'PlayerGrades+'!$AD$9,"B-",IF(J611&lt;'PlayerGrades+'!$AD$8,"B",IF(J611&lt;'PlayerGrades+'!$AD$7,"B+",IF(J611&lt;'PlayerGrades+'!$AD$6,"A-",IF(J611&lt;'PlayerGrades+'!$AD$5,"A",IF(J611&lt;'PlayerGrades+'!$AD$4,"A+",IF(J611&lt;'PlayerGrades+'!$AD$3,"S-",IF(J611&lt;'PlayerGrades+'!$AD$2,"S","S+"))))))))))))))))))))</f>
        <v>B+</v>
      </c>
      <c r="L611" s="974">
        <f t="shared" si="5"/>
        <v>0.5678233438</v>
      </c>
      <c r="M611" s="975" t="str">
        <f>IF(L611&lt;'PlayerGrades+'!$AE$21,"F-",IF(L611&lt;'PlayerGrades+'!$AE$20,"F",IF(L611&lt;'PlayerGrades+'!$AE$19,"F+",IF(L611&lt;'PlayerGrades+'!$AE$18,"E-",IF(L611&lt;'PlayerGrades+'!$AE$17,"E",IF(L611&lt;'PlayerGrades+'!$AE$16,"E+",IF(L611&lt;'PlayerGrades+'!$AE$15,"D-",IF(L611&lt;'PlayerGrades+'!$AE$14,"D",IF(L611&lt;'PlayerGrades+'!$AE$13,"D+",IF(L611&lt;'PlayerGrades+'!$AE$12,"C-",IF(L611&lt;'PlayerGrades+'!$AE$11,"C",IF(L611&lt;'PlayerGrades+'!$AE$10,"C+",IF(L611&lt;'PlayerGrades+'!$AE$9,"B-",IF(L611&lt;'PlayerGrades+'!$AE$8,"B",IF(L611&lt;'PlayerGrades+'!$AE$7,"B+",IF(L611&lt;'PlayerGrades+'!$AE$6,"A-",IF(L611&lt;'PlayerGrades+'!$AE$5,"A",IF(L611&lt;'PlayerGrades+'!$AE$4,"A+",IF(L611&lt;'PlayerGrades+'!$AE$3,"S-",IF(L611&lt;'PlayerGrades+'!$AE$2,"S","S+"))))))))))))))))))))</f>
        <v>A</v>
      </c>
      <c r="N611" s="973">
        <f t="shared" si="6"/>
        <v>0.1351960342</v>
      </c>
      <c r="O611" s="973" t="str">
        <f>IF(N611&lt;'PlayerGrades+'!$AF$21,"F-",IF(N611&lt;'PlayerGrades+'!$AF$20,"F",IF(N611&lt;'PlayerGrades+'!$AF$19,"F+",IF(N611&lt;'PlayerGrades+'!$AF$18,"E-",IF(N611&lt;'PlayerGrades+'!$AF$17,"E",IF(N611&lt;'PlayerGrades+'!$AF$16,"E+",IF(N611&lt;'PlayerGrades+'!$AF$15,"D-",IF(N611&lt;'PlayerGrades+'!$AF$14,"D",IF(N611&lt;'PlayerGrades+'!$AF$13,"D+",IF(N611&lt;'PlayerGrades+'!$AF$12,"C-",IF(N611&lt;'PlayerGrades+'!$AF$11,"C",IF(N611&lt;'PlayerGrades+'!$AF$10,"C+",IF(N611&lt;'PlayerGrades+'!$AF$9,"B-",IF(N611&lt;'PlayerGrades+'!$AF$8,"B",IF(N611&lt;'PlayerGrades+'!$AF$7,"B+",IF(N611&lt;'PlayerGrades+'!$AF$6,"A-",IF(N611&lt;'PlayerGrades+'!$AF$5,"A",IF(N611&lt;'PlayerGrades+'!$AF$4,"A+",IF(N611&lt;'PlayerGrades+'!$AF$3,"S-",IF(N611&lt;'PlayerGrades+'!$AF$2,"S","S+"))))))))))))))))))))</f>
        <v>S</v>
      </c>
      <c r="P611" s="973">
        <f t="shared" si="7"/>
        <v>0.02703920685</v>
      </c>
      <c r="Q611" s="973" t="str">
        <f>IF(P611&lt;'PlayerGrades+'!$AG$21,"F-",IF(P611&lt;'PlayerGrades+'!$AG$20,"F",IF(P611&lt;'PlayerGrades+'!$AG$19,"F+",IF(P611&lt;'PlayerGrades+'!$AG$18,"E-",IF(P611&lt;'PlayerGrades+'!$AG$17,"E",IF(P611&lt;'PlayerGrades+'!$AG$16,"E+",IF(P611&lt;'PlayerGrades+'!$AG$15,"D-",IF(P611&lt;'PlayerGrades+'!$AG$14,"D",IF(P611&lt;'PlayerGrades+'!$AG$13,"D+",IF(P611&lt;'PlayerGrades+'!$AG$12,"C-",IF(P611&lt;'PlayerGrades+'!$AG$11,"C",IF(P611&lt;'PlayerGrades+'!$AG$10,"C+",IF(P611&lt;'PlayerGrades+'!$AG$9,"B-",IF(P611&lt;'PlayerGrades+'!$AG$8,"B",IF(P611&lt;'PlayerGrades+'!$AG$7,"B+",IF(P611&lt;'PlayerGrades+'!$AG$6,"A-",IF(P611&lt;'PlayerGrades+'!$AG$5,"A",IF(P611&lt;'PlayerGrades+'!$AG$4,"A+",IF(P611&lt;'PlayerGrades+'!$AG$3,"S-",IF(P611&lt;'PlayerGrades+'!$AG$2,"S","S+"))))))))))))))))))))</f>
        <v>B</v>
      </c>
      <c r="R611" s="973">
        <f t="shared" si="8"/>
        <v>0.4596665164</v>
      </c>
      <c r="S611" s="973" t="str">
        <f>IF(R611&lt;'PlayerGrades+'!$AH$21,"F-",IF(R611&lt;'PlayerGrades+'!$AH$20,"F",IF(R611&lt;'PlayerGrades+'!$AH$19,"F+",IF(R611&lt;'PlayerGrades+'!$AH$18,"E-",IF(R611&lt;'PlayerGrades+'!$AH$17,"E",IF(R611&lt;'PlayerGrades+'!$AH$16,"E+",IF(R611&lt;'PlayerGrades+'!$AH$15,"D-",IF(R611&lt;'PlayerGrades+'!$AH$14,"D",IF(R611&lt;'PlayerGrades+'!$AH$13,"D+",IF(R611&lt;'PlayerGrades+'!$AH$12,"C-",IF(R611&lt;'PlayerGrades+'!$AH$11,"C",IF(R611&lt;'PlayerGrades+'!$AH$10,"C+",IF(R611&lt;'PlayerGrades+'!$AH$9,"B-",IF(R611&lt;'PlayerGrades+'!$AH$8,"B",IF(R611&lt;'PlayerGrades+'!$AH$7,"B+",IF(R611&lt;'PlayerGrades+'!$AH$6,"A-",IF(R611&lt;'PlayerGrades+'!$AH$5,"A",IF(R611&lt;'PlayerGrades+'!$AH$4,"A+",IF(R611&lt;'PlayerGrades+'!$AH$3,"S-",IF(R611&lt;'PlayerGrades+'!$AH$2,"S","S+"))))))))))))))))))))</f>
        <v>E-</v>
      </c>
      <c r="T611" s="973">
        <f t="shared" si="9"/>
        <v>0.4326273096</v>
      </c>
      <c r="U611" s="973" t="str">
        <f>IF(T611&lt;'PlayerGrades+'!$AI$21,"F-",IF(T611&lt;'PlayerGrades+'!$AI$20,"F",IF(T611&lt;'PlayerGrades+'!$AI$19,"F+",IF(T611&lt;'PlayerGrades+'!$AI$18,"E-",IF(T611&lt;'PlayerGrades+'!$AI$17,"E",IF(T611&lt;'PlayerGrades+'!$AI$16,"E+",IF(T611&lt;'PlayerGrades+'!$AI$15,"D-",IF(T611&lt;'PlayerGrades+'!$AI$14,"D",IF(T611&lt;'PlayerGrades+'!$AI$13,"D+",IF(T611&lt;'PlayerGrades+'!$AI$12,"C-",IF(T611&lt;'PlayerGrades+'!$AI$11,"C",IF(T611&lt;'PlayerGrades+'!$AI$10,"C+",IF(T611&lt;'PlayerGrades+'!$AI$9,"B-",IF(T611&lt;'PlayerGrades+'!$AI$8,"B",IF(T611&lt;'PlayerGrades+'!$AI$7,"B+",IF(T611&lt;'PlayerGrades+'!$AI$6,"A-",IF(T611&lt;'PlayerGrades+'!$AI$5,"A",IF(T611&lt;'PlayerGrades+'!$AI$4,"A+",IF(T611&lt;'PlayerGrades+'!$AI$3,"S-",IF(T611&lt;'PlayerGrades+'!$AI$2,"S","S+"))))))))))))))))))))</f>
        <v>F-</v>
      </c>
      <c r="V611" s="941">
        <v>1.0</v>
      </c>
      <c r="W611" s="941">
        <v>1.0</v>
      </c>
      <c r="X611" s="941">
        <v>0.0</v>
      </c>
      <c r="Y611" s="941">
        <v>2.0</v>
      </c>
      <c r="Z611" s="941">
        <v>0.0</v>
      </c>
      <c r="AA611" s="941">
        <v>130.0</v>
      </c>
      <c r="AB611" s="941">
        <v>108.0</v>
      </c>
      <c r="AC611" s="941">
        <v>22.0</v>
      </c>
      <c r="AD611" s="941">
        <v>5.0</v>
      </c>
      <c r="AE611" s="941">
        <v>7.0</v>
      </c>
      <c r="AF611" s="941">
        <v>1.0</v>
      </c>
      <c r="AG611" s="941">
        <v>1807.0</v>
      </c>
      <c r="AH611" s="941">
        <v>2219.0</v>
      </c>
      <c r="AI611" s="941">
        <v>16.0</v>
      </c>
      <c r="AJ611" s="941">
        <v>10.0</v>
      </c>
      <c r="AK611" s="941">
        <v>0.0</v>
      </c>
      <c r="AL611" s="941">
        <v>2.0</v>
      </c>
      <c r="AM611" s="941">
        <v>0.0</v>
      </c>
      <c r="AN611" s="941">
        <v>0.0</v>
      </c>
      <c r="AO611" s="941">
        <v>0.0</v>
      </c>
      <c r="AP611" s="941">
        <v>1.0</v>
      </c>
      <c r="AQ611" s="941">
        <v>0.0</v>
      </c>
      <c r="AR611" s="941">
        <v>21.0</v>
      </c>
      <c r="AS611" s="941">
        <v>5.0</v>
      </c>
      <c r="AT611" s="941">
        <v>1.0</v>
      </c>
      <c r="AU611" s="941">
        <v>0.0</v>
      </c>
      <c r="AV611" s="941">
        <v>0.0</v>
      </c>
      <c r="AW611" s="941">
        <v>0.0</v>
      </c>
      <c r="AX611" s="941">
        <v>0.0</v>
      </c>
      <c r="AY611" s="941">
        <v>0.0</v>
      </c>
      <c r="AZ611" s="941">
        <v>0.0</v>
      </c>
      <c r="BA611" s="941">
        <v>0.0</v>
      </c>
      <c r="BB611" s="941">
        <v>4.0</v>
      </c>
      <c r="BC611" s="941">
        <v>0.0</v>
      </c>
      <c r="BD611" s="941">
        <v>12.0</v>
      </c>
      <c r="BE611" s="941">
        <v>16.0</v>
      </c>
      <c r="BF611" s="941">
        <v>0.0</v>
      </c>
      <c r="BG611" s="942">
        <v>1.0</v>
      </c>
    </row>
    <row r="612">
      <c r="A612" s="935" t="s">
        <v>145</v>
      </c>
      <c r="B612" s="421" t="str">
        <f>IF(C612&lt;'PlayerGrades+'!$Y$44,"F-",IF(C612&lt;'PlayerGrades+'!$Y$43,"F",IF(C612&lt;'PlayerGrades+'!$Y$42,"F+",IF(C612&lt;'PlayerGrades+'!$Y$41,"E-",IF(C612&lt;'PlayerGrades+'!$Y$40,"E",IF(C612&lt;'PlayerGrades+'!$Y$39,"E+",IF(C612&lt;'PlayerGrades+'!$Y$38,"D-",IF(C612&lt;'PlayerGrades+'!$Y$37,"D",IF(C612&lt;'PlayerGrades+'!$Y$36,"D+",IF(C612&lt;'PlayerGrades+'!$Y$35,"C-",IF(C612&lt;'PlayerGrades+'!$Y$34,"C",IF(C612&lt;'PlayerGrades+'!$Y$33,"C+",IF(C612&lt;'PlayerGrades+'!$Y$32,"B-",IF(C612&lt;'PlayerGrades+'!$Y$31,"B",IF(C612&lt;'PlayerGrades+'!$Y$30,"B+",IF(C612&lt;'PlayerGrades+'!$Y$29,"A-",IF(C612&lt;'PlayerGrades+'!$Y$28,"A",IF(C612&lt;'PlayerGrades+'!$Y$27,"A+",IF(C612&lt;'PlayerGrades+'!$Y$26,"S-",IF(C612&lt;'PlayerGrades+'!$Y$25,"S","S+"))))))))))))))))))))</f>
        <v>D</v>
      </c>
      <c r="C612" s="972">
        <f>('PlayerGrades+'!$Y$47*(VLOOKUP(E612, 'PlayerGrades+'!$X$3:$Y$23, 2, FALSE)))+('PlayerGrades+'!$Y$48*(VLOOKUP(G612, 'PlayerGrades+'!$X$3:$Y$23, 2, FALSE)))+('PlayerGrades+'!$Y$49*(VLOOKUP(I612, 'PlayerGrades+'!$X$3:$Y$23, 2, FALSE)))+('PlayerGrades+'!$Y$50*(VLOOKUP(K612, 'PlayerGrades+'!$X$3:$Y$23, 2, FALSE)))+('PlayerGrades+'!$Y$51*(VLOOKUP(M612, 'PlayerGrades+'!$X$3:$Y$23, 2, FALSE)))+('PlayerGrades+'!$Y$52*(VLOOKUP(O612, 'PlayerGrades+'!$X$3:$Y$23, 2, FALSE)))+('PlayerGrades+'!$Y$53*(VLOOKUP(Q612, 'PlayerGrades+'!$X$3:$Y$23, 2, FALSE)))+('PlayerGrades+'!$Y$54*(VLOOKUP(S612, 'PlayerGrades+'!$X$3:$Y$23, 2, FALSE)))+('PlayerGrades+'!$Y$55*(VLOOKUP(U612, 'PlayerGrades+'!$X$3:$Y$23, 2, FALSE)))</f>
        <v>16.75</v>
      </c>
      <c r="D612" s="973">
        <f t="shared" si="1"/>
        <v>0</v>
      </c>
      <c r="E612" s="973" t="str">
        <f>IF(D612&lt;'PlayerGrades+'!$AA$21,"F-",IF(D612&lt;'PlayerGrades+'!$AA$20,"F",IF(D612&lt;'PlayerGrades+'!$AA$19,"F+",IF(D612&lt;'PlayerGrades+'!$AA$18,"E-",IF(D612&lt;'PlayerGrades+'!$AA$17,"E",IF(D612&lt;'PlayerGrades+'!$AA$16,"E+",IF(D612&lt;'PlayerGrades+'!$AA$15,"D-",IF(D612&lt;'PlayerGrades+'!$AA$14,"D",IF(D612&lt;'PlayerGrades+'!$AA$13,"D+",IF(D612&lt;'PlayerGrades+'!$AA$12,"C-",IF(D612&lt;'PlayerGrades+'!$AA$11,"C",IF(D612&lt;'PlayerGrades+'!$AA$10,"C+",IF(D612&lt;'PlayerGrades+'!$AA$9,"B-",IF(D612&lt;'PlayerGrades+'!$AA$8,"B",IF(D612&lt;'PlayerGrades+'!$AA$7,"B+",IF(D612&lt;'PlayerGrades+'!$AA$6,"A-",IF(D612&lt;'PlayerGrades+'!$AA$5,"A",IF(D612&lt;'PlayerGrades+'!$AA$4,"A+",IF(D612&lt;'PlayerGrades+'!$AA$3,"S-",IF(D612&lt;'PlayerGrades+'!$AA$2,"S","S+"))))))))))))))))))))</f>
        <v>F-</v>
      </c>
      <c r="F612" s="973">
        <f t="shared" si="2"/>
        <v>-0.5948625507</v>
      </c>
      <c r="G612" s="973" t="str">
        <f>IF(F612&lt;'PlayerGrades+'!$AB$21,"F-",IF(F612&lt;'PlayerGrades+'!$AB$20,"F",IF(F612&lt;'PlayerGrades+'!$AB$19,"F+",IF(F612&lt;'PlayerGrades+'!$AB$18,"E-",IF(F612&lt;'PlayerGrades+'!$AB$17,"E",IF(F612&lt;'PlayerGrades+'!$AB$16,"E+",IF(F612&lt;'PlayerGrades+'!$AB$15,"D-",IF(F612&lt;'PlayerGrades+'!$AB$14,"D",IF(F612&lt;'PlayerGrades+'!$AB$13,"D+",IF(F612&lt;'PlayerGrades+'!$AB$12,"C-",IF(F612&lt;'PlayerGrades+'!$AB$11,"C",IF(F612&lt;'PlayerGrades+'!$AB$10,"C+",IF(F612&lt;'PlayerGrades+'!$AB$9,"B-",IF(F612&lt;'PlayerGrades+'!$AB$8,"B",IF(F612&lt;'PlayerGrades+'!$AB$7,"B+",IF(F612&lt;'PlayerGrades+'!$AB$6,"A-",IF(F612&lt;'PlayerGrades+'!$AB$5,"A",IF(F612&lt;'PlayerGrades+'!$AB$4,"A+",IF(F612&lt;'PlayerGrades+'!$AB$3,"S-",IF(F612&lt;'PlayerGrades+'!$AB$2,"S","S+"))))))))))))))))))))</f>
        <v>D</v>
      </c>
      <c r="H612" s="973">
        <f t="shared" si="3"/>
        <v>0.08111762055</v>
      </c>
      <c r="I612" s="973" t="str">
        <f>IF(H612&lt;'PlayerGrades+'!$AC$21,"F-",IF(H612&lt;'PlayerGrades+'!$AC$20,"F",IF(H612&lt;'PlayerGrades+'!$AC$19,"F+",IF(H612&lt;'PlayerGrades+'!$AC$18,"E-",IF(H612&lt;'PlayerGrades+'!$AC$17,"E",IF(H612&lt;'PlayerGrades+'!$AC$16,"E+",IF(H612&lt;'PlayerGrades+'!$AC$15,"D-",IF(H612&lt;'PlayerGrades+'!$AC$14,"D",IF(H612&lt;'PlayerGrades+'!$AC$13,"D+",IF(H612&lt;'PlayerGrades+'!$AC$12,"C-",IF(H612&lt;'PlayerGrades+'!$AC$11,"C",IF(H612&lt;'PlayerGrades+'!$AC$10,"C+",IF(H612&lt;'PlayerGrades+'!$AC$9,"B-",IF(H612&lt;'PlayerGrades+'!$AC$8,"B",IF(H612&lt;'PlayerGrades+'!$AC$7,"B+",IF(H612&lt;'PlayerGrades+'!$AC$6,"A-",IF(H612&lt;'PlayerGrades+'!$AC$5,"A",IF(H612&lt;'PlayerGrades+'!$AC$4,"A+",IF(H612&lt;'PlayerGrades+'!$AC$3,"S-",IF(H612&lt;'PlayerGrades+'!$AC$2,"S","S+"))))))))))))))))))))</f>
        <v>D-</v>
      </c>
      <c r="J612" s="973">
        <f t="shared" si="4"/>
        <v>0</v>
      </c>
      <c r="K612" s="973" t="str">
        <f>IF(J612&lt;'PlayerGrades+'!$AD$21,"F-",IF(J612&lt;'PlayerGrades+'!$AD$20,"F",IF(J612&lt;'PlayerGrades+'!$AD$19,"F+",IF(J612&lt;'PlayerGrades+'!$AD$18,"E-",IF(J612&lt;'PlayerGrades+'!$AD$17,"E",IF(J612&lt;'PlayerGrades+'!$AD$16,"E+",IF(J612&lt;'PlayerGrades+'!$AD$15,"D-",IF(J612&lt;'PlayerGrades+'!$AD$14,"D",IF(J612&lt;'PlayerGrades+'!$AD$13,"D+",IF(J612&lt;'PlayerGrades+'!$AD$12,"C-",IF(J612&lt;'PlayerGrades+'!$AD$11,"C",IF(J612&lt;'PlayerGrades+'!$AD$10,"C+",IF(J612&lt;'PlayerGrades+'!$AD$9,"B-",IF(J612&lt;'PlayerGrades+'!$AD$8,"B",IF(J612&lt;'PlayerGrades+'!$AD$7,"B+",IF(J612&lt;'PlayerGrades+'!$AD$6,"A-",IF(J612&lt;'PlayerGrades+'!$AD$5,"A",IF(J612&lt;'PlayerGrades+'!$AD$4,"A+",IF(J612&lt;'PlayerGrades+'!$AD$3,"S-",IF(J612&lt;'PlayerGrades+'!$AD$2,"S","S+"))))))))))))))))))))</f>
        <v>F-</v>
      </c>
      <c r="L612" s="974">
        <f t="shared" si="5"/>
        <v>0.2974312753</v>
      </c>
      <c r="M612" s="975" t="str">
        <f>IF(L612&lt;'PlayerGrades+'!$AE$21,"F-",IF(L612&lt;'PlayerGrades+'!$AE$20,"F",IF(L612&lt;'PlayerGrades+'!$AE$19,"F+",IF(L612&lt;'PlayerGrades+'!$AE$18,"E-",IF(L612&lt;'PlayerGrades+'!$AE$17,"E",IF(L612&lt;'PlayerGrades+'!$AE$16,"E+",IF(L612&lt;'PlayerGrades+'!$AE$15,"D-",IF(L612&lt;'PlayerGrades+'!$AE$14,"D",IF(L612&lt;'PlayerGrades+'!$AE$13,"D+",IF(L612&lt;'PlayerGrades+'!$AE$12,"C-",IF(L612&lt;'PlayerGrades+'!$AE$11,"C",IF(L612&lt;'PlayerGrades+'!$AE$10,"C+",IF(L612&lt;'PlayerGrades+'!$AE$9,"B-",IF(L612&lt;'PlayerGrades+'!$AE$8,"B",IF(L612&lt;'PlayerGrades+'!$AE$7,"B+",IF(L612&lt;'PlayerGrades+'!$AE$6,"A-",IF(L612&lt;'PlayerGrades+'!$AE$5,"A",IF(L612&lt;'PlayerGrades+'!$AE$4,"A+",IF(L612&lt;'PlayerGrades+'!$AE$3,"S-",IF(L612&lt;'PlayerGrades+'!$AE$2,"S","S+"))))))))))))))))))))</f>
        <v>F+</v>
      </c>
      <c r="N612" s="973">
        <f t="shared" si="6"/>
        <v>0.1081568274</v>
      </c>
      <c r="O612" s="973" t="str">
        <f>IF(N612&lt;'PlayerGrades+'!$AF$21,"F-",IF(N612&lt;'PlayerGrades+'!$AF$20,"F",IF(N612&lt;'PlayerGrades+'!$AF$19,"F+",IF(N612&lt;'PlayerGrades+'!$AF$18,"E-",IF(N612&lt;'PlayerGrades+'!$AF$17,"E",IF(N612&lt;'PlayerGrades+'!$AF$16,"E+",IF(N612&lt;'PlayerGrades+'!$AF$15,"D-",IF(N612&lt;'PlayerGrades+'!$AF$14,"D",IF(N612&lt;'PlayerGrades+'!$AF$13,"D+",IF(N612&lt;'PlayerGrades+'!$AF$12,"C-",IF(N612&lt;'PlayerGrades+'!$AF$11,"C",IF(N612&lt;'PlayerGrades+'!$AF$10,"C+",IF(N612&lt;'PlayerGrades+'!$AF$9,"B-",IF(N612&lt;'PlayerGrades+'!$AF$8,"B",IF(N612&lt;'PlayerGrades+'!$AF$7,"B+",IF(N612&lt;'PlayerGrades+'!$AF$6,"A-",IF(N612&lt;'PlayerGrades+'!$AF$5,"A",IF(N612&lt;'PlayerGrades+'!$AF$4,"A+",IF(N612&lt;'PlayerGrades+'!$AF$3,"S-",IF(N612&lt;'PlayerGrades+'!$AF$2,"S","S+"))))))))))))))))))))</f>
        <v>S-</v>
      </c>
      <c r="P612" s="973">
        <f t="shared" si="7"/>
        <v>0</v>
      </c>
      <c r="Q612" s="973" t="str">
        <f>IF(P612&lt;'PlayerGrades+'!$AG$21,"F-",IF(P612&lt;'PlayerGrades+'!$AG$20,"F",IF(P612&lt;'PlayerGrades+'!$AG$19,"F+",IF(P612&lt;'PlayerGrades+'!$AG$18,"E-",IF(P612&lt;'PlayerGrades+'!$AG$17,"E",IF(P612&lt;'PlayerGrades+'!$AG$16,"E+",IF(P612&lt;'PlayerGrades+'!$AG$15,"D-",IF(P612&lt;'PlayerGrades+'!$AG$14,"D",IF(P612&lt;'PlayerGrades+'!$AG$13,"D+",IF(P612&lt;'PlayerGrades+'!$AG$12,"C-",IF(P612&lt;'PlayerGrades+'!$AG$11,"C",IF(P612&lt;'PlayerGrades+'!$AG$10,"C+",IF(P612&lt;'PlayerGrades+'!$AG$9,"B-",IF(P612&lt;'PlayerGrades+'!$AG$8,"B",IF(P612&lt;'PlayerGrades+'!$AG$7,"B+",IF(P612&lt;'PlayerGrades+'!$AG$6,"A-",IF(P612&lt;'PlayerGrades+'!$AG$5,"A",IF(P612&lt;'PlayerGrades+'!$AG$4,"A+",IF(P612&lt;'PlayerGrades+'!$AG$3,"S-",IF(P612&lt;'PlayerGrades+'!$AG$2,"S","S+"))))))))))))))))))))</f>
        <v>F</v>
      </c>
      <c r="R612" s="973">
        <f t="shared" si="8"/>
        <v>0.6759801712</v>
      </c>
      <c r="S612" s="973" t="str">
        <f>IF(R612&lt;'PlayerGrades+'!$AH$21,"F-",IF(R612&lt;'PlayerGrades+'!$AH$20,"F",IF(R612&lt;'PlayerGrades+'!$AH$19,"F+",IF(R612&lt;'PlayerGrades+'!$AH$18,"E-",IF(R612&lt;'PlayerGrades+'!$AH$17,"E",IF(R612&lt;'PlayerGrades+'!$AH$16,"E+",IF(R612&lt;'PlayerGrades+'!$AH$15,"D-",IF(R612&lt;'PlayerGrades+'!$AH$14,"D",IF(R612&lt;'PlayerGrades+'!$AH$13,"D+",IF(R612&lt;'PlayerGrades+'!$AH$12,"C-",IF(R612&lt;'PlayerGrades+'!$AH$11,"C",IF(R612&lt;'PlayerGrades+'!$AH$10,"C+",IF(R612&lt;'PlayerGrades+'!$AH$9,"B-",IF(R612&lt;'PlayerGrades+'!$AH$8,"B",IF(R612&lt;'PlayerGrades+'!$AH$7,"B+",IF(R612&lt;'PlayerGrades+'!$AH$6,"A-",IF(R612&lt;'PlayerGrades+'!$AH$5,"A",IF(R612&lt;'PlayerGrades+'!$AH$4,"A+",IF(R612&lt;'PlayerGrades+'!$AH$3,"S-",IF(R612&lt;'PlayerGrades+'!$AH$2,"S","S+"))))))))))))))))))))</f>
        <v>S-</v>
      </c>
      <c r="T612" s="973">
        <f t="shared" si="9"/>
        <v>0.5137449301</v>
      </c>
      <c r="U612" s="973" t="str">
        <f>IF(T612&lt;'PlayerGrades+'!$AI$21,"F-",IF(T612&lt;'PlayerGrades+'!$AI$20,"F",IF(T612&lt;'PlayerGrades+'!$AI$19,"F+",IF(T612&lt;'PlayerGrades+'!$AI$18,"E-",IF(T612&lt;'PlayerGrades+'!$AI$17,"E",IF(T612&lt;'PlayerGrades+'!$AI$16,"E+",IF(T612&lt;'PlayerGrades+'!$AI$15,"D-",IF(T612&lt;'PlayerGrades+'!$AI$14,"D",IF(T612&lt;'PlayerGrades+'!$AI$13,"D+",IF(T612&lt;'PlayerGrades+'!$AI$12,"C-",IF(T612&lt;'PlayerGrades+'!$AI$11,"C",IF(T612&lt;'PlayerGrades+'!$AI$10,"C+",IF(T612&lt;'PlayerGrades+'!$AI$9,"B-",IF(T612&lt;'PlayerGrades+'!$AI$8,"B",IF(T612&lt;'PlayerGrades+'!$AI$7,"B+",IF(T612&lt;'PlayerGrades+'!$AI$6,"A-",IF(T612&lt;'PlayerGrades+'!$AI$5,"A",IF(T612&lt;'PlayerGrades+'!$AI$4,"A+",IF(T612&lt;'PlayerGrades+'!$AI$3,"S-",IF(T612&lt;'PlayerGrades+'!$AI$2,"S","S+"))))))))))))))))))))</f>
        <v>F-</v>
      </c>
      <c r="V612" s="941">
        <v>1.0</v>
      </c>
      <c r="W612" s="941">
        <v>1.0</v>
      </c>
      <c r="X612" s="941">
        <v>0.0</v>
      </c>
      <c r="Y612" s="941">
        <v>0.0</v>
      </c>
      <c r="Z612" s="941">
        <v>0.0</v>
      </c>
      <c r="AA612" s="941">
        <v>116.0</v>
      </c>
      <c r="AB612" s="941">
        <v>138.0</v>
      </c>
      <c r="AC612" s="941">
        <v>-22.0</v>
      </c>
      <c r="AD612" s="941">
        <v>15.0</v>
      </c>
      <c r="AE612" s="941">
        <v>4.0</v>
      </c>
      <c r="AF612" s="941">
        <v>1.0</v>
      </c>
      <c r="AG612" s="941">
        <v>1715.0</v>
      </c>
      <c r="AH612" s="941">
        <v>2219.0</v>
      </c>
      <c r="AI612" s="941">
        <v>12.0</v>
      </c>
      <c r="AJ612" s="941">
        <v>1.0</v>
      </c>
      <c r="AK612" s="941">
        <v>0.0</v>
      </c>
      <c r="AL612" s="941">
        <v>0.0</v>
      </c>
      <c r="AM612" s="941">
        <v>0.0</v>
      </c>
      <c r="AN612" s="941">
        <v>0.0</v>
      </c>
      <c r="AO612" s="941">
        <v>0.0</v>
      </c>
      <c r="AP612" s="941">
        <v>0.0</v>
      </c>
      <c r="AQ612" s="941">
        <v>0.0</v>
      </c>
      <c r="AR612" s="941">
        <v>11.0</v>
      </c>
      <c r="AS612" s="941">
        <v>4.0</v>
      </c>
      <c r="AT612" s="941">
        <v>0.0</v>
      </c>
      <c r="AU612" s="941">
        <v>0.0</v>
      </c>
      <c r="AV612" s="941">
        <v>0.0</v>
      </c>
      <c r="AW612" s="941">
        <v>0.0</v>
      </c>
      <c r="AX612" s="941">
        <v>0.0</v>
      </c>
      <c r="AY612" s="941">
        <v>0.0</v>
      </c>
      <c r="AZ612" s="941">
        <v>0.0</v>
      </c>
      <c r="BA612" s="941">
        <v>0.0</v>
      </c>
      <c r="BB612" s="941">
        <v>3.0</v>
      </c>
      <c r="BC612" s="941">
        <v>0.0</v>
      </c>
      <c r="BD612" s="941">
        <v>10.0</v>
      </c>
      <c r="BE612" s="941">
        <v>19.0</v>
      </c>
      <c r="BF612" s="941">
        <v>0.0</v>
      </c>
      <c r="BG612" s="942">
        <v>1.0</v>
      </c>
    </row>
    <row r="613">
      <c r="A613" s="935" t="s">
        <v>156</v>
      </c>
      <c r="B613" s="421" t="str">
        <f>IF(C613&lt;'PlayerGrades+'!$Y$44,"F-",IF(C613&lt;'PlayerGrades+'!$Y$43,"F",IF(C613&lt;'PlayerGrades+'!$Y$42,"F+",IF(C613&lt;'PlayerGrades+'!$Y$41,"E-",IF(C613&lt;'PlayerGrades+'!$Y$40,"E",IF(C613&lt;'PlayerGrades+'!$Y$39,"E+",IF(C613&lt;'PlayerGrades+'!$Y$38,"D-",IF(C613&lt;'PlayerGrades+'!$Y$37,"D",IF(C613&lt;'PlayerGrades+'!$Y$36,"D+",IF(C613&lt;'PlayerGrades+'!$Y$35,"C-",IF(C613&lt;'PlayerGrades+'!$Y$34,"C",IF(C613&lt;'PlayerGrades+'!$Y$33,"C+",IF(C613&lt;'PlayerGrades+'!$Y$32,"B-",IF(C613&lt;'PlayerGrades+'!$Y$31,"B",IF(C613&lt;'PlayerGrades+'!$Y$30,"B+",IF(C613&lt;'PlayerGrades+'!$Y$29,"A-",IF(C613&lt;'PlayerGrades+'!$Y$28,"A",IF(C613&lt;'PlayerGrades+'!$Y$27,"A+",IF(C613&lt;'PlayerGrades+'!$Y$26,"S-",IF(C613&lt;'PlayerGrades+'!$Y$25,"S","S+"))))))))))))))))))))</f>
        <v>F-</v>
      </c>
      <c r="C613" s="972">
        <f>('PlayerGrades+'!$Y$47*(VLOOKUP(E613, 'PlayerGrades+'!$X$3:$Y$23, 2, FALSE)))+('PlayerGrades+'!$Y$48*(VLOOKUP(G613, 'PlayerGrades+'!$X$3:$Y$23, 2, FALSE)))+('PlayerGrades+'!$Y$49*(VLOOKUP(I613, 'PlayerGrades+'!$X$3:$Y$23, 2, FALSE)))+('PlayerGrades+'!$Y$50*(VLOOKUP(K613, 'PlayerGrades+'!$X$3:$Y$23, 2, FALSE)))+('PlayerGrades+'!$Y$51*(VLOOKUP(M613, 'PlayerGrades+'!$X$3:$Y$23, 2, FALSE)))+('PlayerGrades+'!$Y$52*(VLOOKUP(O613, 'PlayerGrades+'!$X$3:$Y$23, 2, FALSE)))+('PlayerGrades+'!$Y$53*(VLOOKUP(Q613, 'PlayerGrades+'!$X$3:$Y$23, 2, FALSE)))+('PlayerGrades+'!$Y$54*(VLOOKUP(S613, 'PlayerGrades+'!$X$3:$Y$23, 2, FALSE)))+('PlayerGrades+'!$Y$55*(VLOOKUP(U613, 'PlayerGrades+'!$X$3:$Y$23, 2, FALSE)))</f>
        <v>6.2</v>
      </c>
      <c r="D613" s="973">
        <f t="shared" si="1"/>
        <v>0</v>
      </c>
      <c r="E613" s="973" t="str">
        <f>IF(D613&lt;'PlayerGrades+'!$AA$21,"F-",IF(D613&lt;'PlayerGrades+'!$AA$20,"F",IF(D613&lt;'PlayerGrades+'!$AA$19,"F+",IF(D613&lt;'PlayerGrades+'!$AA$18,"E-",IF(D613&lt;'PlayerGrades+'!$AA$17,"E",IF(D613&lt;'PlayerGrades+'!$AA$16,"E+",IF(D613&lt;'PlayerGrades+'!$AA$15,"D-",IF(D613&lt;'PlayerGrades+'!$AA$14,"D",IF(D613&lt;'PlayerGrades+'!$AA$13,"D+",IF(D613&lt;'PlayerGrades+'!$AA$12,"C-",IF(D613&lt;'PlayerGrades+'!$AA$11,"C",IF(D613&lt;'PlayerGrades+'!$AA$10,"C+",IF(D613&lt;'PlayerGrades+'!$AA$9,"B-",IF(D613&lt;'PlayerGrades+'!$AA$8,"B",IF(D613&lt;'PlayerGrades+'!$AA$7,"B+",IF(D613&lt;'PlayerGrades+'!$AA$6,"A-",IF(D613&lt;'PlayerGrades+'!$AA$5,"A",IF(D613&lt;'PlayerGrades+'!$AA$4,"A+",IF(D613&lt;'PlayerGrades+'!$AA$3,"S-",IF(D613&lt;'PlayerGrades+'!$AA$2,"S","S+"))))))))))))))))))))</f>
        <v>F-</v>
      </c>
      <c r="F613" s="973">
        <f t="shared" si="2"/>
        <v>-1.270842722</v>
      </c>
      <c r="G613" s="973" t="str">
        <f>IF(F613&lt;'PlayerGrades+'!$AB$21,"F-",IF(F613&lt;'PlayerGrades+'!$AB$20,"F",IF(F613&lt;'PlayerGrades+'!$AB$19,"F+",IF(F613&lt;'PlayerGrades+'!$AB$18,"E-",IF(F613&lt;'PlayerGrades+'!$AB$17,"E",IF(F613&lt;'PlayerGrades+'!$AB$16,"E+",IF(F613&lt;'PlayerGrades+'!$AB$15,"D-",IF(F613&lt;'PlayerGrades+'!$AB$14,"D",IF(F613&lt;'PlayerGrades+'!$AB$13,"D+",IF(F613&lt;'PlayerGrades+'!$AB$12,"C-",IF(F613&lt;'PlayerGrades+'!$AB$11,"C",IF(F613&lt;'PlayerGrades+'!$AB$10,"C+",IF(F613&lt;'PlayerGrades+'!$AB$9,"B-",IF(F613&lt;'PlayerGrades+'!$AB$8,"B",IF(F613&lt;'PlayerGrades+'!$AB$7,"B+",IF(F613&lt;'PlayerGrades+'!$AB$6,"A-",IF(F613&lt;'PlayerGrades+'!$AB$5,"A",IF(F613&lt;'PlayerGrades+'!$AB$4,"A+",IF(F613&lt;'PlayerGrades+'!$AB$3,"S-",IF(F613&lt;'PlayerGrades+'!$AB$2,"S","S+"))))))))))))))))))))</f>
        <v>F-</v>
      </c>
      <c r="H613" s="973">
        <f t="shared" si="3"/>
        <v>0.0540784137</v>
      </c>
      <c r="I613" s="973" t="str">
        <f>IF(H613&lt;'PlayerGrades+'!$AC$21,"F-",IF(H613&lt;'PlayerGrades+'!$AC$20,"F",IF(H613&lt;'PlayerGrades+'!$AC$19,"F+",IF(H613&lt;'PlayerGrades+'!$AC$18,"E-",IF(H613&lt;'PlayerGrades+'!$AC$17,"E",IF(H613&lt;'PlayerGrades+'!$AC$16,"E+",IF(H613&lt;'PlayerGrades+'!$AC$15,"D-",IF(H613&lt;'PlayerGrades+'!$AC$14,"D",IF(H613&lt;'PlayerGrades+'!$AC$13,"D+",IF(H613&lt;'PlayerGrades+'!$AC$12,"C-",IF(H613&lt;'PlayerGrades+'!$AC$11,"C",IF(H613&lt;'PlayerGrades+'!$AC$10,"C+",IF(H613&lt;'PlayerGrades+'!$AC$9,"B-",IF(H613&lt;'PlayerGrades+'!$AC$8,"B",IF(H613&lt;'PlayerGrades+'!$AC$7,"B+",IF(H613&lt;'PlayerGrades+'!$AC$6,"A-",IF(H613&lt;'PlayerGrades+'!$AC$5,"A",IF(H613&lt;'PlayerGrades+'!$AC$4,"A+",IF(H613&lt;'PlayerGrades+'!$AC$3,"S-",IF(H613&lt;'PlayerGrades+'!$AC$2,"S","S+"))))))))))))))))))))</f>
        <v>F+</v>
      </c>
      <c r="J613" s="973">
        <f t="shared" si="4"/>
        <v>0</v>
      </c>
      <c r="K613" s="973" t="str">
        <f>IF(J613&lt;'PlayerGrades+'!$AD$21,"F-",IF(J613&lt;'PlayerGrades+'!$AD$20,"F",IF(J613&lt;'PlayerGrades+'!$AD$19,"F+",IF(J613&lt;'PlayerGrades+'!$AD$18,"E-",IF(J613&lt;'PlayerGrades+'!$AD$17,"E",IF(J613&lt;'PlayerGrades+'!$AD$16,"E+",IF(J613&lt;'PlayerGrades+'!$AD$15,"D-",IF(J613&lt;'PlayerGrades+'!$AD$14,"D",IF(J613&lt;'PlayerGrades+'!$AD$13,"D+",IF(J613&lt;'PlayerGrades+'!$AD$12,"C-",IF(J613&lt;'PlayerGrades+'!$AD$11,"C",IF(J613&lt;'PlayerGrades+'!$AD$10,"C+",IF(J613&lt;'PlayerGrades+'!$AD$9,"B-",IF(J613&lt;'PlayerGrades+'!$AD$8,"B",IF(J613&lt;'PlayerGrades+'!$AD$7,"B+",IF(J613&lt;'PlayerGrades+'!$AD$6,"A-",IF(J613&lt;'PlayerGrades+'!$AD$5,"A",IF(J613&lt;'PlayerGrades+'!$AD$4,"A+",IF(J613&lt;'PlayerGrades+'!$AD$3,"S-",IF(J613&lt;'PlayerGrades+'!$AD$2,"S","S+"))))))))))))))))))))</f>
        <v>F-</v>
      </c>
      <c r="L613" s="974">
        <f t="shared" si="5"/>
        <v>0.1081568274</v>
      </c>
      <c r="M613" s="975" t="str">
        <f>IF(L613&lt;'PlayerGrades+'!$AE$21,"F-",IF(L613&lt;'PlayerGrades+'!$AE$20,"F",IF(L613&lt;'PlayerGrades+'!$AE$19,"F+",IF(L613&lt;'PlayerGrades+'!$AE$18,"E-",IF(L613&lt;'PlayerGrades+'!$AE$17,"E",IF(L613&lt;'PlayerGrades+'!$AE$16,"E+",IF(L613&lt;'PlayerGrades+'!$AE$15,"D-",IF(L613&lt;'PlayerGrades+'!$AE$14,"D",IF(L613&lt;'PlayerGrades+'!$AE$13,"D+",IF(L613&lt;'PlayerGrades+'!$AE$12,"C-",IF(L613&lt;'PlayerGrades+'!$AE$11,"C",IF(L613&lt;'PlayerGrades+'!$AE$10,"C+",IF(L613&lt;'PlayerGrades+'!$AE$9,"B-",IF(L613&lt;'PlayerGrades+'!$AE$8,"B",IF(L613&lt;'PlayerGrades+'!$AE$7,"B+",IF(L613&lt;'PlayerGrades+'!$AE$6,"A-",IF(L613&lt;'PlayerGrades+'!$AE$5,"A",IF(L613&lt;'PlayerGrades+'!$AE$4,"A+",IF(L613&lt;'PlayerGrades+'!$AE$3,"S-",IF(L613&lt;'PlayerGrades+'!$AE$2,"S","S+"))))))))))))))))))))</f>
        <v>F-</v>
      </c>
      <c r="N613" s="973">
        <f t="shared" si="6"/>
        <v>0.02703920685</v>
      </c>
      <c r="O613" s="973" t="str">
        <f>IF(N613&lt;'PlayerGrades+'!$AF$21,"F-",IF(N613&lt;'PlayerGrades+'!$AF$20,"F",IF(N613&lt;'PlayerGrades+'!$AF$19,"F+",IF(N613&lt;'PlayerGrades+'!$AF$18,"E-",IF(N613&lt;'PlayerGrades+'!$AF$17,"E",IF(N613&lt;'PlayerGrades+'!$AF$16,"E+",IF(N613&lt;'PlayerGrades+'!$AF$15,"D-",IF(N613&lt;'PlayerGrades+'!$AF$14,"D",IF(N613&lt;'PlayerGrades+'!$AF$13,"D+",IF(N613&lt;'PlayerGrades+'!$AF$12,"C-",IF(N613&lt;'PlayerGrades+'!$AF$11,"C",IF(N613&lt;'PlayerGrades+'!$AF$10,"C+",IF(N613&lt;'PlayerGrades+'!$AF$9,"B-",IF(N613&lt;'PlayerGrades+'!$AF$8,"B",IF(N613&lt;'PlayerGrades+'!$AF$7,"B+",IF(N613&lt;'PlayerGrades+'!$AF$6,"A-",IF(N613&lt;'PlayerGrades+'!$AF$5,"A",IF(N613&lt;'PlayerGrades+'!$AF$4,"A+",IF(N613&lt;'PlayerGrades+'!$AF$3,"S-",IF(N613&lt;'PlayerGrades+'!$AF$2,"S","S+"))))))))))))))))))))</f>
        <v>F</v>
      </c>
      <c r="P613" s="973">
        <f t="shared" si="7"/>
        <v>0</v>
      </c>
      <c r="Q613" s="973" t="str">
        <f>IF(P613&lt;'PlayerGrades+'!$AG$21,"F-",IF(P613&lt;'PlayerGrades+'!$AG$20,"F",IF(P613&lt;'PlayerGrades+'!$AG$19,"F+",IF(P613&lt;'PlayerGrades+'!$AG$18,"E-",IF(P613&lt;'PlayerGrades+'!$AG$17,"E",IF(P613&lt;'PlayerGrades+'!$AG$16,"E+",IF(P613&lt;'PlayerGrades+'!$AG$15,"D-",IF(P613&lt;'PlayerGrades+'!$AG$14,"D",IF(P613&lt;'PlayerGrades+'!$AG$13,"D+",IF(P613&lt;'PlayerGrades+'!$AG$12,"C-",IF(P613&lt;'PlayerGrades+'!$AG$11,"C",IF(P613&lt;'PlayerGrades+'!$AG$10,"C+",IF(P613&lt;'PlayerGrades+'!$AG$9,"B-",IF(P613&lt;'PlayerGrades+'!$AG$8,"B",IF(P613&lt;'PlayerGrades+'!$AG$7,"B+",IF(P613&lt;'PlayerGrades+'!$AG$6,"A-",IF(P613&lt;'PlayerGrades+'!$AG$5,"A",IF(P613&lt;'PlayerGrades+'!$AG$4,"A+",IF(P613&lt;'PlayerGrades+'!$AG$3,"S-",IF(P613&lt;'PlayerGrades+'!$AG$2,"S","S+"))))))))))))))))))))</f>
        <v>F</v>
      </c>
      <c r="R613" s="973">
        <f t="shared" si="8"/>
        <v>0.4055881027</v>
      </c>
      <c r="S613" s="973" t="str">
        <f>IF(R613&lt;'PlayerGrades+'!$AH$21,"F-",IF(R613&lt;'PlayerGrades+'!$AH$20,"F",IF(R613&lt;'PlayerGrades+'!$AH$19,"F+",IF(R613&lt;'PlayerGrades+'!$AH$18,"E-",IF(R613&lt;'PlayerGrades+'!$AH$17,"E",IF(R613&lt;'PlayerGrades+'!$AH$16,"E+",IF(R613&lt;'PlayerGrades+'!$AH$15,"D-",IF(R613&lt;'PlayerGrades+'!$AH$14,"D",IF(R613&lt;'PlayerGrades+'!$AH$13,"D+",IF(R613&lt;'PlayerGrades+'!$AH$12,"C-",IF(R613&lt;'PlayerGrades+'!$AH$11,"C",IF(R613&lt;'PlayerGrades+'!$AH$10,"C+",IF(R613&lt;'PlayerGrades+'!$AH$9,"B-",IF(R613&lt;'PlayerGrades+'!$AH$8,"B",IF(R613&lt;'PlayerGrades+'!$AH$7,"B+",IF(R613&lt;'PlayerGrades+'!$AH$6,"A-",IF(R613&lt;'PlayerGrades+'!$AH$5,"A",IF(R613&lt;'PlayerGrades+'!$AH$4,"A+",IF(R613&lt;'PlayerGrades+'!$AH$3,"S-",IF(R613&lt;'PlayerGrades+'!$AH$2,"S","S+"))))))))))))))))))))</f>
        <v>F+</v>
      </c>
      <c r="T613" s="973">
        <f t="shared" si="9"/>
        <v>1.486705723</v>
      </c>
      <c r="U613" s="973" t="str">
        <f>IF(T613&lt;'PlayerGrades+'!$AI$21,"F-",IF(T613&lt;'PlayerGrades+'!$AI$20,"F",IF(T613&lt;'PlayerGrades+'!$AI$19,"F+",IF(T613&lt;'PlayerGrades+'!$AI$18,"E-",IF(T613&lt;'PlayerGrades+'!$AI$17,"E",IF(T613&lt;'PlayerGrades+'!$AI$16,"E+",IF(T613&lt;'PlayerGrades+'!$AI$15,"D-",IF(T613&lt;'PlayerGrades+'!$AI$14,"D",IF(T613&lt;'PlayerGrades+'!$AI$13,"D+",IF(T613&lt;'PlayerGrades+'!$AI$12,"C-",IF(T613&lt;'PlayerGrades+'!$AI$11,"C",IF(T613&lt;'PlayerGrades+'!$AI$10,"C+",IF(T613&lt;'PlayerGrades+'!$AI$9,"B-",IF(T613&lt;'PlayerGrades+'!$AI$8,"B",IF(T613&lt;'PlayerGrades+'!$AI$7,"B+",IF(T613&lt;'PlayerGrades+'!$AI$6,"A-",IF(T613&lt;'PlayerGrades+'!$AI$5,"A",IF(T613&lt;'PlayerGrades+'!$AI$4,"A+",IF(T613&lt;'PlayerGrades+'!$AI$3,"S-",IF(T613&lt;'PlayerGrades+'!$AI$2,"S","S+"))))))))))))))))))))</f>
        <v>A-</v>
      </c>
      <c r="V613" s="941">
        <v>1.0</v>
      </c>
      <c r="W613" s="941">
        <v>1.0</v>
      </c>
      <c r="X613" s="941">
        <v>0.0</v>
      </c>
      <c r="Y613" s="941">
        <v>0.0</v>
      </c>
      <c r="Z613" s="941">
        <v>0.0</v>
      </c>
      <c r="AA613" s="941">
        <v>93.0</v>
      </c>
      <c r="AB613" s="941">
        <v>140.0</v>
      </c>
      <c r="AC613" s="941">
        <v>-47.0</v>
      </c>
      <c r="AD613" s="941">
        <v>1.0</v>
      </c>
      <c r="AE613" s="941">
        <v>3.0</v>
      </c>
      <c r="AF613" s="941">
        <v>1.0</v>
      </c>
      <c r="AG613" s="941">
        <v>1704.0</v>
      </c>
      <c r="AH613" s="941">
        <v>2219.0</v>
      </c>
      <c r="AI613" s="941">
        <v>12.0</v>
      </c>
      <c r="AJ613" s="941">
        <v>13.0</v>
      </c>
      <c r="AK613" s="941">
        <v>0.0</v>
      </c>
      <c r="AL613" s="941">
        <v>0.0</v>
      </c>
      <c r="AM613" s="941">
        <v>0.0</v>
      </c>
      <c r="AN613" s="941">
        <v>0.0</v>
      </c>
      <c r="AO613" s="941">
        <v>0.0</v>
      </c>
      <c r="AP613" s="941">
        <v>0.0</v>
      </c>
      <c r="AQ613" s="941">
        <v>0.0</v>
      </c>
      <c r="AR613" s="941">
        <v>4.0</v>
      </c>
      <c r="AS613" s="941">
        <v>1.0</v>
      </c>
      <c r="AT613" s="941">
        <v>0.0</v>
      </c>
      <c r="AU613" s="941">
        <v>0.0</v>
      </c>
      <c r="AV613" s="941">
        <v>0.0</v>
      </c>
      <c r="AW613" s="941">
        <v>0.0</v>
      </c>
      <c r="AX613" s="941">
        <v>0.0</v>
      </c>
      <c r="AY613" s="941">
        <v>0.0</v>
      </c>
      <c r="AZ613" s="941">
        <v>0.0</v>
      </c>
      <c r="BA613" s="941">
        <v>0.0</v>
      </c>
      <c r="BB613" s="941">
        <v>2.0</v>
      </c>
      <c r="BC613" s="941">
        <v>0.0</v>
      </c>
      <c r="BD613" s="941">
        <v>14.0</v>
      </c>
      <c r="BE613" s="941">
        <v>18.0</v>
      </c>
      <c r="BF613" s="941">
        <v>1.0</v>
      </c>
      <c r="BG613" s="942">
        <v>1.0</v>
      </c>
    </row>
    <row r="614">
      <c r="A614" s="935" t="s">
        <v>514</v>
      </c>
      <c r="B614" s="421" t="str">
        <f>IF(C614&lt;'PlayerGrades+'!$Y$44,"F-",IF(C614&lt;'PlayerGrades+'!$Y$43,"F",IF(C614&lt;'PlayerGrades+'!$Y$42,"F+",IF(C614&lt;'PlayerGrades+'!$Y$41,"E-",IF(C614&lt;'PlayerGrades+'!$Y$40,"E",IF(C614&lt;'PlayerGrades+'!$Y$39,"E+",IF(C614&lt;'PlayerGrades+'!$Y$38,"D-",IF(C614&lt;'PlayerGrades+'!$Y$37,"D",IF(C614&lt;'PlayerGrades+'!$Y$36,"D+",IF(C614&lt;'PlayerGrades+'!$Y$35,"C-",IF(C614&lt;'PlayerGrades+'!$Y$34,"C",IF(C614&lt;'PlayerGrades+'!$Y$33,"C+",IF(C614&lt;'PlayerGrades+'!$Y$32,"B-",IF(C614&lt;'PlayerGrades+'!$Y$31,"B",IF(C614&lt;'PlayerGrades+'!$Y$30,"B+",IF(C614&lt;'PlayerGrades+'!$Y$29,"A-",IF(C614&lt;'PlayerGrades+'!$Y$28,"A",IF(C614&lt;'PlayerGrades+'!$Y$27,"A+",IF(C614&lt;'PlayerGrades+'!$Y$26,"S-",IF(C614&lt;'PlayerGrades+'!$Y$25,"S","S+"))))))))))))))))))))</f>
        <v>A-</v>
      </c>
      <c r="C614" s="972">
        <f>('PlayerGrades+'!$Y$47*(VLOOKUP(E614, 'PlayerGrades+'!$X$3:$Y$23, 2, FALSE)))+('PlayerGrades+'!$Y$48*(VLOOKUP(G614, 'PlayerGrades+'!$X$3:$Y$23, 2, FALSE)))+('PlayerGrades+'!$Y$49*(VLOOKUP(I614, 'PlayerGrades+'!$X$3:$Y$23, 2, FALSE)))+('PlayerGrades+'!$Y$50*(VLOOKUP(K614, 'PlayerGrades+'!$X$3:$Y$23, 2, FALSE)))+('PlayerGrades+'!$Y$51*(VLOOKUP(M614, 'PlayerGrades+'!$X$3:$Y$23, 2, FALSE)))+('PlayerGrades+'!$Y$52*(VLOOKUP(O614, 'PlayerGrades+'!$X$3:$Y$23, 2, FALSE)))+('PlayerGrades+'!$Y$53*(VLOOKUP(Q614, 'PlayerGrades+'!$X$3:$Y$23, 2, FALSE)))+('PlayerGrades+'!$Y$54*(VLOOKUP(S614, 'PlayerGrades+'!$X$3:$Y$23, 2, FALSE)))+('PlayerGrades+'!$Y$55*(VLOOKUP(U614, 'PlayerGrades+'!$X$3:$Y$23, 2, FALSE)))</f>
        <v>24.7</v>
      </c>
      <c r="D614" s="973">
        <f t="shared" si="1"/>
        <v>0.08111762055</v>
      </c>
      <c r="E614" s="973" t="str">
        <f>IF(D614&lt;'PlayerGrades+'!$AA$21,"F-",IF(D614&lt;'PlayerGrades+'!$AA$20,"F",IF(D614&lt;'PlayerGrades+'!$AA$19,"F+",IF(D614&lt;'PlayerGrades+'!$AA$18,"E-",IF(D614&lt;'PlayerGrades+'!$AA$17,"E",IF(D614&lt;'PlayerGrades+'!$AA$16,"E+",IF(D614&lt;'PlayerGrades+'!$AA$15,"D-",IF(D614&lt;'PlayerGrades+'!$AA$14,"D",IF(D614&lt;'PlayerGrades+'!$AA$13,"D+",IF(D614&lt;'PlayerGrades+'!$AA$12,"C-",IF(D614&lt;'PlayerGrades+'!$AA$11,"C",IF(D614&lt;'PlayerGrades+'!$AA$10,"C+",IF(D614&lt;'PlayerGrades+'!$AA$9,"B-",IF(D614&lt;'PlayerGrades+'!$AA$8,"B",IF(D614&lt;'PlayerGrades+'!$AA$7,"B+",IF(D614&lt;'PlayerGrades+'!$AA$6,"A-",IF(D614&lt;'PlayerGrades+'!$AA$5,"A",IF(D614&lt;'PlayerGrades+'!$AA$4,"A+",IF(D614&lt;'PlayerGrades+'!$AA$3,"S-",IF(D614&lt;'PlayerGrades+'!$AA$2,"S","S+"))))))))))))))))))))</f>
        <v>B</v>
      </c>
      <c r="F614" s="973">
        <f t="shared" si="2"/>
        <v>-0.3244704822</v>
      </c>
      <c r="G614" s="973" t="str">
        <f>IF(F614&lt;'PlayerGrades+'!$AB$21,"F-",IF(F614&lt;'PlayerGrades+'!$AB$20,"F",IF(F614&lt;'PlayerGrades+'!$AB$19,"F+",IF(F614&lt;'PlayerGrades+'!$AB$18,"E-",IF(F614&lt;'PlayerGrades+'!$AB$17,"E",IF(F614&lt;'PlayerGrades+'!$AB$16,"E+",IF(F614&lt;'PlayerGrades+'!$AB$15,"D-",IF(F614&lt;'PlayerGrades+'!$AB$14,"D",IF(F614&lt;'PlayerGrades+'!$AB$13,"D+",IF(F614&lt;'PlayerGrades+'!$AB$12,"C-",IF(F614&lt;'PlayerGrades+'!$AB$11,"C",IF(F614&lt;'PlayerGrades+'!$AB$10,"C+",IF(F614&lt;'PlayerGrades+'!$AB$9,"B-",IF(F614&lt;'PlayerGrades+'!$AB$8,"B",IF(F614&lt;'PlayerGrades+'!$AB$7,"B+",IF(F614&lt;'PlayerGrades+'!$AB$6,"A-",IF(F614&lt;'PlayerGrades+'!$AB$5,"A",IF(F614&lt;'PlayerGrades+'!$AB$4,"A+",IF(F614&lt;'PlayerGrades+'!$AB$3,"S-",IF(F614&lt;'PlayerGrades+'!$AB$2,"S","S+"))))))))))))))))))))</f>
        <v>C</v>
      </c>
      <c r="H614" s="973">
        <f t="shared" si="3"/>
        <v>0.1892744479</v>
      </c>
      <c r="I614" s="973" t="str">
        <f>IF(H614&lt;'PlayerGrades+'!$AC$21,"F-",IF(H614&lt;'PlayerGrades+'!$AC$20,"F",IF(H614&lt;'PlayerGrades+'!$AC$19,"F+",IF(H614&lt;'PlayerGrades+'!$AC$18,"E-",IF(H614&lt;'PlayerGrades+'!$AC$17,"E",IF(H614&lt;'PlayerGrades+'!$AC$16,"E+",IF(H614&lt;'PlayerGrades+'!$AC$15,"D-",IF(H614&lt;'PlayerGrades+'!$AC$14,"D",IF(H614&lt;'PlayerGrades+'!$AC$13,"D+",IF(H614&lt;'PlayerGrades+'!$AC$12,"C-",IF(H614&lt;'PlayerGrades+'!$AC$11,"C",IF(H614&lt;'PlayerGrades+'!$AC$10,"C+",IF(H614&lt;'PlayerGrades+'!$AC$9,"B-",IF(H614&lt;'PlayerGrades+'!$AC$8,"B",IF(H614&lt;'PlayerGrades+'!$AC$7,"B+",IF(H614&lt;'PlayerGrades+'!$AC$6,"A-",IF(H614&lt;'PlayerGrades+'!$AC$5,"A",IF(H614&lt;'PlayerGrades+'!$AC$4,"A+",IF(H614&lt;'PlayerGrades+'!$AC$3,"S-",IF(H614&lt;'PlayerGrades+'!$AC$2,"S","S+"))))))))))))))))))))</f>
        <v>S</v>
      </c>
      <c r="J614" s="973">
        <f t="shared" si="4"/>
        <v>0.02703920685</v>
      </c>
      <c r="K614" s="973" t="str">
        <f>IF(J614&lt;'PlayerGrades+'!$AD$21,"F-",IF(J614&lt;'PlayerGrades+'!$AD$20,"F",IF(J614&lt;'PlayerGrades+'!$AD$19,"F+",IF(J614&lt;'PlayerGrades+'!$AD$18,"E-",IF(J614&lt;'PlayerGrades+'!$AD$17,"E",IF(J614&lt;'PlayerGrades+'!$AD$16,"E+",IF(J614&lt;'PlayerGrades+'!$AD$15,"D-",IF(J614&lt;'PlayerGrades+'!$AD$14,"D",IF(J614&lt;'PlayerGrades+'!$AD$13,"D+",IF(J614&lt;'PlayerGrades+'!$AD$12,"C-",IF(J614&lt;'PlayerGrades+'!$AD$11,"C",IF(J614&lt;'PlayerGrades+'!$AD$10,"C+",IF(J614&lt;'PlayerGrades+'!$AD$9,"B-",IF(J614&lt;'PlayerGrades+'!$AD$8,"B",IF(J614&lt;'PlayerGrades+'!$AD$7,"B+",IF(J614&lt;'PlayerGrades+'!$AD$6,"A-",IF(J614&lt;'PlayerGrades+'!$AD$5,"A",IF(J614&lt;'PlayerGrades+'!$AD$4,"A+",IF(J614&lt;'PlayerGrades+'!$AD$3,"S-",IF(J614&lt;'PlayerGrades+'!$AD$2,"S","S+"))))))))))))))))))))</f>
        <v>D+</v>
      </c>
      <c r="L614" s="974">
        <f t="shared" si="5"/>
        <v>0.5678233438</v>
      </c>
      <c r="M614" s="975" t="str">
        <f>IF(L614&lt;'PlayerGrades+'!$AE$21,"F-",IF(L614&lt;'PlayerGrades+'!$AE$20,"F",IF(L614&lt;'PlayerGrades+'!$AE$19,"F+",IF(L614&lt;'PlayerGrades+'!$AE$18,"E-",IF(L614&lt;'PlayerGrades+'!$AE$17,"E",IF(L614&lt;'PlayerGrades+'!$AE$16,"E+",IF(L614&lt;'PlayerGrades+'!$AE$15,"D-",IF(L614&lt;'PlayerGrades+'!$AE$14,"D",IF(L614&lt;'PlayerGrades+'!$AE$13,"D+",IF(L614&lt;'PlayerGrades+'!$AE$12,"C-",IF(L614&lt;'PlayerGrades+'!$AE$11,"C",IF(L614&lt;'PlayerGrades+'!$AE$10,"C+",IF(L614&lt;'PlayerGrades+'!$AE$9,"B-",IF(L614&lt;'PlayerGrades+'!$AE$8,"B",IF(L614&lt;'PlayerGrades+'!$AE$7,"B+",IF(L614&lt;'PlayerGrades+'!$AE$6,"A-",IF(L614&lt;'PlayerGrades+'!$AE$5,"A",IF(L614&lt;'PlayerGrades+'!$AE$4,"A+",IF(L614&lt;'PlayerGrades+'!$AE$3,"S-",IF(L614&lt;'PlayerGrades+'!$AE$2,"S","S+"))))))))))))))))))))</f>
        <v>A</v>
      </c>
      <c r="N614" s="973">
        <f t="shared" si="6"/>
        <v>0.0540784137</v>
      </c>
      <c r="O614" s="973" t="str">
        <f>IF(N614&lt;'PlayerGrades+'!$AF$21,"F-",IF(N614&lt;'PlayerGrades+'!$AF$20,"F",IF(N614&lt;'PlayerGrades+'!$AF$19,"F+",IF(N614&lt;'PlayerGrades+'!$AF$18,"E-",IF(N614&lt;'PlayerGrades+'!$AF$17,"E",IF(N614&lt;'PlayerGrades+'!$AF$16,"E+",IF(N614&lt;'PlayerGrades+'!$AF$15,"D-",IF(N614&lt;'PlayerGrades+'!$AF$14,"D",IF(N614&lt;'PlayerGrades+'!$AF$13,"D+",IF(N614&lt;'PlayerGrades+'!$AF$12,"C-",IF(N614&lt;'PlayerGrades+'!$AF$11,"C",IF(N614&lt;'PlayerGrades+'!$AF$10,"C+",IF(N614&lt;'PlayerGrades+'!$AF$9,"B-",IF(N614&lt;'PlayerGrades+'!$AF$8,"B",IF(N614&lt;'PlayerGrades+'!$AF$7,"B+",IF(N614&lt;'PlayerGrades+'!$AF$6,"A-",IF(N614&lt;'PlayerGrades+'!$AF$5,"A",IF(N614&lt;'PlayerGrades+'!$AF$4,"A+",IF(N614&lt;'PlayerGrades+'!$AF$3,"S-",IF(N614&lt;'PlayerGrades+'!$AF$2,"S","S+"))))))))))))))))))))</f>
        <v>D</v>
      </c>
      <c r="P614" s="973">
        <f t="shared" si="7"/>
        <v>0.02703920685</v>
      </c>
      <c r="Q614" s="973" t="str">
        <f>IF(P614&lt;'PlayerGrades+'!$AG$21,"F-",IF(P614&lt;'PlayerGrades+'!$AG$20,"F",IF(P614&lt;'PlayerGrades+'!$AG$19,"F+",IF(P614&lt;'PlayerGrades+'!$AG$18,"E-",IF(P614&lt;'PlayerGrades+'!$AG$17,"E",IF(P614&lt;'PlayerGrades+'!$AG$16,"E+",IF(P614&lt;'PlayerGrades+'!$AG$15,"D-",IF(P614&lt;'PlayerGrades+'!$AG$14,"D",IF(P614&lt;'PlayerGrades+'!$AG$13,"D+",IF(P614&lt;'PlayerGrades+'!$AG$12,"C-",IF(P614&lt;'PlayerGrades+'!$AG$11,"C",IF(P614&lt;'PlayerGrades+'!$AG$10,"C+",IF(P614&lt;'PlayerGrades+'!$AG$9,"B-",IF(P614&lt;'PlayerGrades+'!$AG$8,"B",IF(P614&lt;'PlayerGrades+'!$AG$7,"B+",IF(P614&lt;'PlayerGrades+'!$AG$6,"A-",IF(P614&lt;'PlayerGrades+'!$AG$5,"A",IF(P614&lt;'PlayerGrades+'!$AG$4,"A+",IF(P614&lt;'PlayerGrades+'!$AG$3,"S-",IF(P614&lt;'PlayerGrades+'!$AG$2,"S","S+"))))))))))))))))))))</f>
        <v>B</v>
      </c>
      <c r="R614" s="973">
        <f t="shared" si="8"/>
        <v>0.5678233438</v>
      </c>
      <c r="S614" s="973" t="str">
        <f>IF(R614&lt;'PlayerGrades+'!$AH$21,"F-",IF(R614&lt;'PlayerGrades+'!$AH$20,"F",IF(R614&lt;'PlayerGrades+'!$AH$19,"F+",IF(R614&lt;'PlayerGrades+'!$AH$18,"E-",IF(R614&lt;'PlayerGrades+'!$AH$17,"E",IF(R614&lt;'PlayerGrades+'!$AH$16,"E+",IF(R614&lt;'PlayerGrades+'!$AH$15,"D-",IF(R614&lt;'PlayerGrades+'!$AH$14,"D",IF(R614&lt;'PlayerGrades+'!$AH$13,"D+",IF(R614&lt;'PlayerGrades+'!$AH$12,"C-",IF(R614&lt;'PlayerGrades+'!$AH$11,"C",IF(R614&lt;'PlayerGrades+'!$AH$10,"C+",IF(R614&lt;'PlayerGrades+'!$AH$9,"B-",IF(R614&lt;'PlayerGrades+'!$AH$8,"B",IF(R614&lt;'PlayerGrades+'!$AH$7,"B+",IF(R614&lt;'PlayerGrades+'!$AH$6,"A-",IF(R614&lt;'PlayerGrades+'!$AH$5,"A",IF(R614&lt;'PlayerGrades+'!$AH$4,"A+",IF(R614&lt;'PlayerGrades+'!$AH$3,"S-",IF(R614&lt;'PlayerGrades+'!$AH$2,"S","S+"))))))))))))))))))))</f>
        <v>B-</v>
      </c>
      <c r="T614" s="973">
        <f t="shared" si="9"/>
        <v>2.675980171</v>
      </c>
      <c r="U614" s="973" t="str">
        <f>IF(T614&lt;'PlayerGrades+'!$AI$21,"F-",IF(T614&lt;'PlayerGrades+'!$AI$20,"F",IF(T614&lt;'PlayerGrades+'!$AI$19,"F+",IF(T614&lt;'PlayerGrades+'!$AI$18,"E-",IF(T614&lt;'PlayerGrades+'!$AI$17,"E",IF(T614&lt;'PlayerGrades+'!$AI$16,"E+",IF(T614&lt;'PlayerGrades+'!$AI$15,"D-",IF(T614&lt;'PlayerGrades+'!$AI$14,"D",IF(T614&lt;'PlayerGrades+'!$AI$13,"D+",IF(T614&lt;'PlayerGrades+'!$AI$12,"C-",IF(T614&lt;'PlayerGrades+'!$AI$11,"C",IF(T614&lt;'PlayerGrades+'!$AI$10,"C+",IF(T614&lt;'PlayerGrades+'!$AI$9,"B-",IF(T614&lt;'PlayerGrades+'!$AI$8,"B",IF(T614&lt;'PlayerGrades+'!$AI$7,"B+",IF(T614&lt;'PlayerGrades+'!$AI$6,"A-",IF(T614&lt;'PlayerGrades+'!$AI$5,"A",IF(T614&lt;'PlayerGrades+'!$AI$4,"A+",IF(T614&lt;'PlayerGrades+'!$AI$3,"S-",IF(T614&lt;'PlayerGrades+'!$AI$2,"S","S+"))))))))))))))))))))</f>
        <v>S+</v>
      </c>
      <c r="V614" s="941">
        <v>1.0</v>
      </c>
      <c r="W614" s="941">
        <v>0.0</v>
      </c>
      <c r="X614" s="941">
        <v>1.0</v>
      </c>
      <c r="Y614" s="941">
        <v>1.0</v>
      </c>
      <c r="Z614" s="941">
        <v>2.0</v>
      </c>
      <c r="AA614" s="941">
        <v>150.0</v>
      </c>
      <c r="AB614" s="941">
        <v>162.0</v>
      </c>
      <c r="AC614" s="941">
        <v>-12.0</v>
      </c>
      <c r="AD614" s="941">
        <v>13.0</v>
      </c>
      <c r="AE614" s="941">
        <v>5.0</v>
      </c>
      <c r="AF614" s="941">
        <v>5.0</v>
      </c>
      <c r="AG614" s="941">
        <v>1640.0</v>
      </c>
      <c r="AH614" s="941">
        <v>2219.0</v>
      </c>
      <c r="AI614" s="941">
        <v>10.0</v>
      </c>
      <c r="AJ614" s="941">
        <v>80.0</v>
      </c>
      <c r="AK614" s="941">
        <v>0.0</v>
      </c>
      <c r="AL614" s="941">
        <v>1.0</v>
      </c>
      <c r="AM614" s="941">
        <v>0.0</v>
      </c>
      <c r="AN614" s="941">
        <v>0.0</v>
      </c>
      <c r="AO614" s="941">
        <v>0.0</v>
      </c>
      <c r="AP614" s="941">
        <v>1.0</v>
      </c>
      <c r="AQ614" s="941">
        <v>0.0</v>
      </c>
      <c r="AR614" s="941">
        <v>21.0</v>
      </c>
      <c r="AS614" s="941">
        <v>2.0</v>
      </c>
      <c r="AT614" s="941">
        <v>0.0</v>
      </c>
      <c r="AU614" s="941">
        <v>0.0</v>
      </c>
      <c r="AV614" s="941">
        <v>0.0</v>
      </c>
      <c r="AW614" s="941">
        <v>0.0</v>
      </c>
      <c r="AX614" s="941">
        <v>0.0</v>
      </c>
      <c r="AY614" s="941">
        <v>0.0</v>
      </c>
      <c r="AZ614" s="941">
        <v>0.0</v>
      </c>
      <c r="BA614" s="941">
        <v>0.0</v>
      </c>
      <c r="BB614" s="941">
        <v>7.0</v>
      </c>
      <c r="BC614" s="941">
        <v>0.0</v>
      </c>
      <c r="BD614" s="941">
        <v>8.0</v>
      </c>
      <c r="BE614" s="941">
        <v>25.0</v>
      </c>
      <c r="BF614" s="941">
        <v>2.0</v>
      </c>
      <c r="BG614" s="942">
        <v>0.0</v>
      </c>
    </row>
    <row r="615">
      <c r="A615" s="935" t="s">
        <v>154</v>
      </c>
      <c r="B615" s="421" t="str">
        <f>IF(C615&lt;'PlayerGrades+'!$Y$44,"F-",IF(C615&lt;'PlayerGrades+'!$Y$43,"F",IF(C615&lt;'PlayerGrades+'!$Y$42,"F+",IF(C615&lt;'PlayerGrades+'!$Y$41,"E-",IF(C615&lt;'PlayerGrades+'!$Y$40,"E",IF(C615&lt;'PlayerGrades+'!$Y$39,"E+",IF(C615&lt;'PlayerGrades+'!$Y$38,"D-",IF(C615&lt;'PlayerGrades+'!$Y$37,"D",IF(C615&lt;'PlayerGrades+'!$Y$36,"D+",IF(C615&lt;'PlayerGrades+'!$Y$35,"C-",IF(C615&lt;'PlayerGrades+'!$Y$34,"C",IF(C615&lt;'PlayerGrades+'!$Y$33,"C+",IF(C615&lt;'PlayerGrades+'!$Y$32,"B-",IF(C615&lt;'PlayerGrades+'!$Y$31,"B",IF(C615&lt;'PlayerGrades+'!$Y$30,"B+",IF(C615&lt;'PlayerGrades+'!$Y$29,"A-",IF(C615&lt;'PlayerGrades+'!$Y$28,"A",IF(C615&lt;'PlayerGrades+'!$Y$27,"A+",IF(C615&lt;'PlayerGrades+'!$Y$26,"S-",IF(C615&lt;'PlayerGrades+'!$Y$25,"S","S+"))))))))))))))))))))</f>
        <v>E-</v>
      </c>
      <c r="C615" s="972">
        <f>('PlayerGrades+'!$Y$47*(VLOOKUP(E615, 'PlayerGrades+'!$X$3:$Y$23, 2, FALSE)))+('PlayerGrades+'!$Y$48*(VLOOKUP(G615, 'PlayerGrades+'!$X$3:$Y$23, 2, FALSE)))+('PlayerGrades+'!$Y$49*(VLOOKUP(I615, 'PlayerGrades+'!$X$3:$Y$23, 2, FALSE)))+('PlayerGrades+'!$Y$50*(VLOOKUP(K615, 'PlayerGrades+'!$X$3:$Y$23, 2, FALSE)))+('PlayerGrades+'!$Y$51*(VLOOKUP(M615, 'PlayerGrades+'!$X$3:$Y$23, 2, FALSE)))+('PlayerGrades+'!$Y$52*(VLOOKUP(O615, 'PlayerGrades+'!$X$3:$Y$23, 2, FALSE)))+('PlayerGrades+'!$Y$53*(VLOOKUP(Q615, 'PlayerGrades+'!$X$3:$Y$23, 2, FALSE)))+('PlayerGrades+'!$Y$54*(VLOOKUP(S615, 'PlayerGrades+'!$X$3:$Y$23, 2, FALSE)))+('PlayerGrades+'!$Y$55*(VLOOKUP(U615, 'PlayerGrades+'!$X$3:$Y$23, 2, FALSE)))</f>
        <v>11.1</v>
      </c>
      <c r="D615" s="973">
        <f t="shared" si="1"/>
        <v>0.4867057233</v>
      </c>
      <c r="E615" s="973" t="str">
        <f>IF(D615&lt;'PlayerGrades+'!$AA$21,"F-",IF(D615&lt;'PlayerGrades+'!$AA$20,"F",IF(D615&lt;'PlayerGrades+'!$AA$19,"F+",IF(D615&lt;'PlayerGrades+'!$AA$18,"E-",IF(D615&lt;'PlayerGrades+'!$AA$17,"E",IF(D615&lt;'PlayerGrades+'!$AA$16,"E+",IF(D615&lt;'PlayerGrades+'!$AA$15,"D-",IF(D615&lt;'PlayerGrades+'!$AA$14,"D",IF(D615&lt;'PlayerGrades+'!$AA$13,"D+",IF(D615&lt;'PlayerGrades+'!$AA$12,"C-",IF(D615&lt;'PlayerGrades+'!$AA$11,"C",IF(D615&lt;'PlayerGrades+'!$AA$10,"C+",IF(D615&lt;'PlayerGrades+'!$AA$9,"B-",IF(D615&lt;'PlayerGrades+'!$AA$8,"B",IF(D615&lt;'PlayerGrades+'!$AA$7,"B+",IF(D615&lt;'PlayerGrades+'!$AA$6,"A-",IF(D615&lt;'PlayerGrades+'!$AA$5,"A",IF(D615&lt;'PlayerGrades+'!$AA$4,"A+",IF(D615&lt;'PlayerGrades+'!$AA$3,"S-",IF(D615&lt;'PlayerGrades+'!$AA$2,"S","S+"))))))))))))))))))))</f>
        <v>A+</v>
      </c>
      <c r="F615" s="973">
        <f t="shared" si="2"/>
        <v>-0.4055881027</v>
      </c>
      <c r="G615" s="973" t="str">
        <f>IF(F615&lt;'PlayerGrades+'!$AB$21,"F-",IF(F615&lt;'PlayerGrades+'!$AB$20,"F",IF(F615&lt;'PlayerGrades+'!$AB$19,"F+",IF(F615&lt;'PlayerGrades+'!$AB$18,"E-",IF(F615&lt;'PlayerGrades+'!$AB$17,"E",IF(F615&lt;'PlayerGrades+'!$AB$16,"E+",IF(F615&lt;'PlayerGrades+'!$AB$15,"D-",IF(F615&lt;'PlayerGrades+'!$AB$14,"D",IF(F615&lt;'PlayerGrades+'!$AB$13,"D+",IF(F615&lt;'PlayerGrades+'!$AB$12,"C-",IF(F615&lt;'PlayerGrades+'!$AB$11,"C",IF(F615&lt;'PlayerGrades+'!$AB$10,"C+",IF(F615&lt;'PlayerGrades+'!$AB$9,"B-",IF(F615&lt;'PlayerGrades+'!$AB$8,"B",IF(F615&lt;'PlayerGrades+'!$AB$7,"B+",IF(F615&lt;'PlayerGrades+'!$AB$6,"A-",IF(F615&lt;'PlayerGrades+'!$AB$5,"A",IF(F615&lt;'PlayerGrades+'!$AB$4,"A+",IF(F615&lt;'PlayerGrades+'!$AB$3,"S-",IF(F615&lt;'PlayerGrades+'!$AB$2,"S","S+"))))))))))))))))))))</f>
        <v>D+</v>
      </c>
      <c r="H615" s="973">
        <f t="shared" si="3"/>
        <v>0.02703920685</v>
      </c>
      <c r="I615" s="973" t="str">
        <f>IF(H615&lt;'PlayerGrades+'!$AC$21,"F-",IF(H615&lt;'PlayerGrades+'!$AC$20,"F",IF(H615&lt;'PlayerGrades+'!$AC$19,"F+",IF(H615&lt;'PlayerGrades+'!$AC$18,"E-",IF(H615&lt;'PlayerGrades+'!$AC$17,"E",IF(H615&lt;'PlayerGrades+'!$AC$16,"E+",IF(H615&lt;'PlayerGrades+'!$AC$15,"D-",IF(H615&lt;'PlayerGrades+'!$AC$14,"D",IF(H615&lt;'PlayerGrades+'!$AC$13,"D+",IF(H615&lt;'PlayerGrades+'!$AC$12,"C-",IF(H615&lt;'PlayerGrades+'!$AC$11,"C",IF(H615&lt;'PlayerGrades+'!$AC$10,"C+",IF(H615&lt;'PlayerGrades+'!$AC$9,"B-",IF(H615&lt;'PlayerGrades+'!$AC$8,"B",IF(H615&lt;'PlayerGrades+'!$AC$7,"B+",IF(H615&lt;'PlayerGrades+'!$AC$6,"A-",IF(H615&lt;'PlayerGrades+'!$AC$5,"A",IF(H615&lt;'PlayerGrades+'!$AC$4,"A+",IF(H615&lt;'PlayerGrades+'!$AC$3,"S-",IF(H615&lt;'PlayerGrades+'!$AC$2,"S","S+"))))))))))))))))))))</f>
        <v>F-</v>
      </c>
      <c r="J615" s="973">
        <f t="shared" si="4"/>
        <v>0.0540784137</v>
      </c>
      <c r="K615" s="973" t="str">
        <f>IF(J615&lt;'PlayerGrades+'!$AD$21,"F-",IF(J615&lt;'PlayerGrades+'!$AD$20,"F",IF(J615&lt;'PlayerGrades+'!$AD$19,"F+",IF(J615&lt;'PlayerGrades+'!$AD$18,"E-",IF(J615&lt;'PlayerGrades+'!$AD$17,"E",IF(J615&lt;'PlayerGrades+'!$AD$16,"E+",IF(J615&lt;'PlayerGrades+'!$AD$15,"D-",IF(J615&lt;'PlayerGrades+'!$AD$14,"D",IF(J615&lt;'PlayerGrades+'!$AD$13,"D+",IF(J615&lt;'PlayerGrades+'!$AD$12,"C-",IF(J615&lt;'PlayerGrades+'!$AD$11,"C",IF(J615&lt;'PlayerGrades+'!$AD$10,"C+",IF(J615&lt;'PlayerGrades+'!$AD$9,"B-",IF(J615&lt;'PlayerGrades+'!$AD$8,"B",IF(J615&lt;'PlayerGrades+'!$AD$7,"B+",IF(J615&lt;'PlayerGrades+'!$AD$6,"A-",IF(J615&lt;'PlayerGrades+'!$AD$5,"A",IF(J615&lt;'PlayerGrades+'!$AD$4,"A+",IF(J615&lt;'PlayerGrades+'!$AD$3,"S-",IF(J615&lt;'PlayerGrades+'!$AD$2,"S","S+"))))))))))))))))))))</f>
        <v>B+</v>
      </c>
      <c r="L615" s="974">
        <f t="shared" si="5"/>
        <v>0.02703920685</v>
      </c>
      <c r="M615" s="975" t="str">
        <f>IF(L615&lt;'PlayerGrades+'!$AE$21,"F-",IF(L615&lt;'PlayerGrades+'!$AE$20,"F",IF(L615&lt;'PlayerGrades+'!$AE$19,"F+",IF(L615&lt;'PlayerGrades+'!$AE$18,"E-",IF(L615&lt;'PlayerGrades+'!$AE$17,"E",IF(L615&lt;'PlayerGrades+'!$AE$16,"E+",IF(L615&lt;'PlayerGrades+'!$AE$15,"D-",IF(L615&lt;'PlayerGrades+'!$AE$14,"D",IF(L615&lt;'PlayerGrades+'!$AE$13,"D+",IF(L615&lt;'PlayerGrades+'!$AE$12,"C-",IF(L615&lt;'PlayerGrades+'!$AE$11,"C",IF(L615&lt;'PlayerGrades+'!$AE$10,"C+",IF(L615&lt;'PlayerGrades+'!$AE$9,"B-",IF(L615&lt;'PlayerGrades+'!$AE$8,"B",IF(L615&lt;'PlayerGrades+'!$AE$7,"B+",IF(L615&lt;'PlayerGrades+'!$AE$6,"A-",IF(L615&lt;'PlayerGrades+'!$AE$5,"A",IF(L615&lt;'PlayerGrades+'!$AE$4,"A+",IF(L615&lt;'PlayerGrades+'!$AE$3,"S-",IF(L615&lt;'PlayerGrades+'!$AE$2,"S","S+"))))))))))))))))))))</f>
        <v>F-</v>
      </c>
      <c r="N615" s="973">
        <f t="shared" si="6"/>
        <v>0</v>
      </c>
      <c r="O615" s="973" t="str">
        <f>IF(N615&lt;'PlayerGrades+'!$AF$21,"F-",IF(N615&lt;'PlayerGrades+'!$AF$20,"F",IF(N615&lt;'PlayerGrades+'!$AF$19,"F+",IF(N615&lt;'PlayerGrades+'!$AF$18,"E-",IF(N615&lt;'PlayerGrades+'!$AF$17,"E",IF(N615&lt;'PlayerGrades+'!$AF$16,"E+",IF(N615&lt;'PlayerGrades+'!$AF$15,"D-",IF(N615&lt;'PlayerGrades+'!$AF$14,"D",IF(N615&lt;'PlayerGrades+'!$AF$13,"D+",IF(N615&lt;'PlayerGrades+'!$AF$12,"C-",IF(N615&lt;'PlayerGrades+'!$AF$11,"C",IF(N615&lt;'PlayerGrades+'!$AF$10,"C+",IF(N615&lt;'PlayerGrades+'!$AF$9,"B-",IF(N615&lt;'PlayerGrades+'!$AF$8,"B",IF(N615&lt;'PlayerGrades+'!$AF$7,"B+",IF(N615&lt;'PlayerGrades+'!$AF$6,"A-",IF(N615&lt;'PlayerGrades+'!$AF$5,"A",IF(N615&lt;'PlayerGrades+'!$AF$4,"A+",IF(N615&lt;'PlayerGrades+'!$AF$3,"S-",IF(N615&lt;'PlayerGrades+'!$AF$2,"S","S+"))))))))))))))))))))</f>
        <v>F-</v>
      </c>
      <c r="P615" s="973">
        <f t="shared" si="7"/>
        <v>0</v>
      </c>
      <c r="Q615" s="973" t="str">
        <f>IF(P615&lt;'PlayerGrades+'!$AG$21,"F-",IF(P615&lt;'PlayerGrades+'!$AG$20,"F",IF(P615&lt;'PlayerGrades+'!$AG$19,"F+",IF(P615&lt;'PlayerGrades+'!$AG$18,"E-",IF(P615&lt;'PlayerGrades+'!$AG$17,"E",IF(P615&lt;'PlayerGrades+'!$AG$16,"E+",IF(P615&lt;'PlayerGrades+'!$AG$15,"D-",IF(P615&lt;'PlayerGrades+'!$AG$14,"D",IF(P615&lt;'PlayerGrades+'!$AG$13,"D+",IF(P615&lt;'PlayerGrades+'!$AG$12,"C-",IF(P615&lt;'PlayerGrades+'!$AG$11,"C",IF(P615&lt;'PlayerGrades+'!$AG$10,"C+",IF(P615&lt;'PlayerGrades+'!$AG$9,"B-",IF(P615&lt;'PlayerGrades+'!$AG$8,"B",IF(P615&lt;'PlayerGrades+'!$AG$7,"B+",IF(P615&lt;'PlayerGrades+'!$AG$6,"A-",IF(P615&lt;'PlayerGrades+'!$AG$5,"A",IF(P615&lt;'PlayerGrades+'!$AG$4,"A+",IF(P615&lt;'PlayerGrades+'!$AG$3,"S-",IF(P615&lt;'PlayerGrades+'!$AG$2,"S","S+"))))))))))))))))))))</f>
        <v>F</v>
      </c>
      <c r="R615" s="973">
        <f t="shared" si="8"/>
        <v>0.2163136548</v>
      </c>
      <c r="S615" s="973" t="str">
        <f>IF(R615&lt;'PlayerGrades+'!$AH$21,"F-",IF(R615&lt;'PlayerGrades+'!$AH$20,"F",IF(R615&lt;'PlayerGrades+'!$AH$19,"F+",IF(R615&lt;'PlayerGrades+'!$AH$18,"E-",IF(R615&lt;'PlayerGrades+'!$AH$17,"E",IF(R615&lt;'PlayerGrades+'!$AH$16,"E+",IF(R615&lt;'PlayerGrades+'!$AH$15,"D-",IF(R615&lt;'PlayerGrades+'!$AH$14,"D",IF(R615&lt;'PlayerGrades+'!$AH$13,"D+",IF(R615&lt;'PlayerGrades+'!$AH$12,"C-",IF(R615&lt;'PlayerGrades+'!$AH$11,"C",IF(R615&lt;'PlayerGrades+'!$AH$10,"C+",IF(R615&lt;'PlayerGrades+'!$AH$9,"B-",IF(R615&lt;'PlayerGrades+'!$AH$8,"B",IF(R615&lt;'PlayerGrades+'!$AH$7,"B+",IF(R615&lt;'PlayerGrades+'!$AH$6,"A-",IF(R615&lt;'PlayerGrades+'!$AH$5,"A",IF(R615&lt;'PlayerGrades+'!$AH$4,"A+",IF(R615&lt;'PlayerGrades+'!$AH$3,"S-",IF(R615&lt;'PlayerGrades+'!$AH$2,"S","S+"))))))))))))))))))))</f>
        <v>F-</v>
      </c>
      <c r="T615" s="973">
        <f t="shared" si="9"/>
        <v>1.189274448</v>
      </c>
      <c r="U615" s="973" t="str">
        <f>IF(T615&lt;'PlayerGrades+'!$AI$21,"F-",IF(T615&lt;'PlayerGrades+'!$AI$20,"F",IF(T615&lt;'PlayerGrades+'!$AI$19,"F+",IF(T615&lt;'PlayerGrades+'!$AI$18,"E-",IF(T615&lt;'PlayerGrades+'!$AI$17,"E",IF(T615&lt;'PlayerGrades+'!$AI$16,"E+",IF(T615&lt;'PlayerGrades+'!$AI$15,"D-",IF(T615&lt;'PlayerGrades+'!$AI$14,"D",IF(T615&lt;'PlayerGrades+'!$AI$13,"D+",IF(T615&lt;'PlayerGrades+'!$AI$12,"C-",IF(T615&lt;'PlayerGrades+'!$AI$11,"C",IF(T615&lt;'PlayerGrades+'!$AI$10,"C+",IF(T615&lt;'PlayerGrades+'!$AI$9,"B-",IF(T615&lt;'PlayerGrades+'!$AI$8,"B",IF(T615&lt;'PlayerGrades+'!$AI$7,"B+",IF(T615&lt;'PlayerGrades+'!$AI$6,"A-",IF(T615&lt;'PlayerGrades+'!$AI$5,"A",IF(T615&lt;'PlayerGrades+'!$AI$4,"A+",IF(T615&lt;'PlayerGrades+'!$AI$3,"S-",IF(T615&lt;'PlayerGrades+'!$AI$2,"S","S+"))))))))))))))))))))</f>
        <v>D+</v>
      </c>
      <c r="V615" s="941">
        <v>1.0</v>
      </c>
      <c r="W615" s="941">
        <v>0.0</v>
      </c>
      <c r="X615" s="941">
        <v>1.0</v>
      </c>
      <c r="Y615" s="941">
        <v>1.0</v>
      </c>
      <c r="Z615" s="941">
        <v>17.0</v>
      </c>
      <c r="AA615" s="941">
        <v>48.0</v>
      </c>
      <c r="AB615" s="941">
        <v>63.0</v>
      </c>
      <c r="AC615" s="941">
        <v>-15.0</v>
      </c>
      <c r="AD615" s="941">
        <v>0.0</v>
      </c>
      <c r="AE615" s="941">
        <v>6.0</v>
      </c>
      <c r="AF615" s="941">
        <v>0.0</v>
      </c>
      <c r="AG615" s="941">
        <v>1937.0</v>
      </c>
      <c r="AH615" s="941">
        <v>2219.0</v>
      </c>
      <c r="AI615" s="941">
        <v>30.0</v>
      </c>
      <c r="AJ615" s="941">
        <v>1377.0</v>
      </c>
      <c r="AK615" s="941">
        <v>0.0</v>
      </c>
      <c r="AL615" s="941">
        <v>2.0</v>
      </c>
      <c r="AM615" s="941">
        <v>0.0</v>
      </c>
      <c r="AN615" s="941">
        <v>0.0</v>
      </c>
      <c r="AO615" s="941">
        <v>0.0</v>
      </c>
      <c r="AP615" s="941">
        <v>0.0</v>
      </c>
      <c r="AQ615" s="941">
        <v>0.0</v>
      </c>
      <c r="AR615" s="941">
        <v>1.0</v>
      </c>
      <c r="AS615" s="941">
        <v>0.0</v>
      </c>
      <c r="AT615" s="941">
        <v>0.0</v>
      </c>
      <c r="AU615" s="941">
        <v>0.0</v>
      </c>
      <c r="AV615" s="941">
        <v>0.0</v>
      </c>
      <c r="AW615" s="941">
        <v>0.0</v>
      </c>
      <c r="AX615" s="941">
        <v>0.0</v>
      </c>
      <c r="AY615" s="941">
        <v>0.0</v>
      </c>
      <c r="AZ615" s="941">
        <v>0.0</v>
      </c>
      <c r="BA615" s="941">
        <v>0.0</v>
      </c>
      <c r="BB615" s="941">
        <v>1.0</v>
      </c>
      <c r="BC615" s="941">
        <v>0.0</v>
      </c>
      <c r="BD615" s="941">
        <v>8.0</v>
      </c>
      <c r="BE615" s="941">
        <v>7.0</v>
      </c>
      <c r="BF615" s="941">
        <v>1.0</v>
      </c>
      <c r="BG615" s="942">
        <v>0.0</v>
      </c>
    </row>
    <row r="616">
      <c r="A616" s="935" t="s">
        <v>132</v>
      </c>
      <c r="B616" s="421" t="str">
        <f>IF(C616&lt;'PlayerGrades+'!$Y$44,"F-",IF(C616&lt;'PlayerGrades+'!$Y$43,"F",IF(C616&lt;'PlayerGrades+'!$Y$42,"F+",IF(C616&lt;'PlayerGrades+'!$Y$41,"E-",IF(C616&lt;'PlayerGrades+'!$Y$40,"E",IF(C616&lt;'PlayerGrades+'!$Y$39,"E+",IF(C616&lt;'PlayerGrades+'!$Y$38,"D-",IF(C616&lt;'PlayerGrades+'!$Y$37,"D",IF(C616&lt;'PlayerGrades+'!$Y$36,"D+",IF(C616&lt;'PlayerGrades+'!$Y$35,"C-",IF(C616&lt;'PlayerGrades+'!$Y$34,"C",IF(C616&lt;'PlayerGrades+'!$Y$33,"C+",IF(C616&lt;'PlayerGrades+'!$Y$32,"B-",IF(C616&lt;'PlayerGrades+'!$Y$31,"B",IF(C616&lt;'PlayerGrades+'!$Y$30,"B+",IF(C616&lt;'PlayerGrades+'!$Y$29,"A-",IF(C616&lt;'PlayerGrades+'!$Y$28,"A",IF(C616&lt;'PlayerGrades+'!$Y$27,"A+",IF(C616&lt;'PlayerGrades+'!$Y$26,"S-",IF(C616&lt;'PlayerGrades+'!$Y$25,"S","S+"))))))))))))))))))))</f>
        <v>A</v>
      </c>
      <c r="C616" s="972">
        <f>('PlayerGrades+'!$Y$47*(VLOOKUP(E616, 'PlayerGrades+'!$X$3:$Y$23, 2, FALSE)))+('PlayerGrades+'!$Y$48*(VLOOKUP(G616, 'PlayerGrades+'!$X$3:$Y$23, 2, FALSE)))+('PlayerGrades+'!$Y$49*(VLOOKUP(I616, 'PlayerGrades+'!$X$3:$Y$23, 2, FALSE)))+('PlayerGrades+'!$Y$50*(VLOOKUP(K616, 'PlayerGrades+'!$X$3:$Y$23, 2, FALSE)))+('PlayerGrades+'!$Y$51*(VLOOKUP(M616, 'PlayerGrades+'!$X$3:$Y$23, 2, FALSE)))+('PlayerGrades+'!$Y$52*(VLOOKUP(O616, 'PlayerGrades+'!$X$3:$Y$23, 2, FALSE)))+('PlayerGrades+'!$Y$53*(VLOOKUP(Q616, 'PlayerGrades+'!$X$3:$Y$23, 2, FALSE)))+('PlayerGrades+'!$Y$54*(VLOOKUP(S616, 'PlayerGrades+'!$X$3:$Y$23, 2, FALSE)))+('PlayerGrades+'!$Y$55*(VLOOKUP(U616, 'PlayerGrades+'!$X$3:$Y$23, 2, FALSE)))</f>
        <v>25.9</v>
      </c>
      <c r="D616" s="973">
        <f t="shared" si="1"/>
        <v>0</v>
      </c>
      <c r="E616" s="973" t="str">
        <f>IF(D616&lt;'PlayerGrades+'!$AA$21,"F-",IF(D616&lt;'PlayerGrades+'!$AA$20,"F",IF(D616&lt;'PlayerGrades+'!$AA$19,"F+",IF(D616&lt;'PlayerGrades+'!$AA$18,"E-",IF(D616&lt;'PlayerGrades+'!$AA$17,"E",IF(D616&lt;'PlayerGrades+'!$AA$16,"E+",IF(D616&lt;'PlayerGrades+'!$AA$15,"D-",IF(D616&lt;'PlayerGrades+'!$AA$14,"D",IF(D616&lt;'PlayerGrades+'!$AA$13,"D+",IF(D616&lt;'PlayerGrades+'!$AA$12,"C-",IF(D616&lt;'PlayerGrades+'!$AA$11,"C",IF(D616&lt;'PlayerGrades+'!$AA$10,"C+",IF(D616&lt;'PlayerGrades+'!$AA$9,"B-",IF(D616&lt;'PlayerGrades+'!$AA$8,"B",IF(D616&lt;'PlayerGrades+'!$AA$7,"B+",IF(D616&lt;'PlayerGrades+'!$AA$6,"A-",IF(D616&lt;'PlayerGrades+'!$AA$5,"A",IF(D616&lt;'PlayerGrades+'!$AA$4,"A+",IF(D616&lt;'PlayerGrades+'!$AA$3,"S-",IF(D616&lt;'PlayerGrades+'!$AA$2,"S","S+"))))))))))))))))))))</f>
        <v>F-</v>
      </c>
      <c r="F616" s="973">
        <f t="shared" si="2"/>
        <v>0.02703920685</v>
      </c>
      <c r="G616" s="973" t="str">
        <f>IF(F616&lt;'PlayerGrades+'!$AB$21,"F-",IF(F616&lt;'PlayerGrades+'!$AB$20,"F",IF(F616&lt;'PlayerGrades+'!$AB$19,"F+",IF(F616&lt;'PlayerGrades+'!$AB$18,"E-",IF(F616&lt;'PlayerGrades+'!$AB$17,"E",IF(F616&lt;'PlayerGrades+'!$AB$16,"E+",IF(F616&lt;'PlayerGrades+'!$AB$15,"D-",IF(F616&lt;'PlayerGrades+'!$AB$14,"D",IF(F616&lt;'PlayerGrades+'!$AB$13,"D+",IF(F616&lt;'PlayerGrades+'!$AB$12,"C-",IF(F616&lt;'PlayerGrades+'!$AB$11,"C",IF(F616&lt;'PlayerGrades+'!$AB$10,"C+",IF(F616&lt;'PlayerGrades+'!$AB$9,"B-",IF(F616&lt;'PlayerGrades+'!$AB$8,"B",IF(F616&lt;'PlayerGrades+'!$AB$7,"B+",IF(F616&lt;'PlayerGrades+'!$AB$6,"A-",IF(F616&lt;'PlayerGrades+'!$AB$5,"A",IF(F616&lt;'PlayerGrades+'!$AB$4,"A+",IF(F616&lt;'PlayerGrades+'!$AB$3,"S-",IF(F616&lt;'PlayerGrades+'!$AB$2,"S","S+"))))))))))))))))))))</f>
        <v>B</v>
      </c>
      <c r="H616" s="973">
        <f t="shared" si="3"/>
        <v>0.2163136548</v>
      </c>
      <c r="I616" s="973" t="str">
        <f>IF(H616&lt;'PlayerGrades+'!$AC$21,"F-",IF(H616&lt;'PlayerGrades+'!$AC$20,"F",IF(H616&lt;'PlayerGrades+'!$AC$19,"F+",IF(H616&lt;'PlayerGrades+'!$AC$18,"E-",IF(H616&lt;'PlayerGrades+'!$AC$17,"E",IF(H616&lt;'PlayerGrades+'!$AC$16,"E+",IF(H616&lt;'PlayerGrades+'!$AC$15,"D-",IF(H616&lt;'PlayerGrades+'!$AC$14,"D",IF(H616&lt;'PlayerGrades+'!$AC$13,"D+",IF(H616&lt;'PlayerGrades+'!$AC$12,"C-",IF(H616&lt;'PlayerGrades+'!$AC$11,"C",IF(H616&lt;'PlayerGrades+'!$AC$10,"C+",IF(H616&lt;'PlayerGrades+'!$AC$9,"B-",IF(H616&lt;'PlayerGrades+'!$AC$8,"B",IF(H616&lt;'PlayerGrades+'!$AC$7,"B+",IF(H616&lt;'PlayerGrades+'!$AC$6,"A-",IF(H616&lt;'PlayerGrades+'!$AC$5,"A",IF(H616&lt;'PlayerGrades+'!$AC$4,"A+",IF(H616&lt;'PlayerGrades+'!$AC$3,"S-",IF(H616&lt;'PlayerGrades+'!$AC$2,"S","S+"))))))))))))))))))))</f>
        <v>S</v>
      </c>
      <c r="J616" s="973">
        <f t="shared" si="4"/>
        <v>0.0540784137</v>
      </c>
      <c r="K616" s="973" t="str">
        <f>IF(J616&lt;'PlayerGrades+'!$AD$21,"F-",IF(J616&lt;'PlayerGrades+'!$AD$20,"F",IF(J616&lt;'PlayerGrades+'!$AD$19,"F+",IF(J616&lt;'PlayerGrades+'!$AD$18,"E-",IF(J616&lt;'PlayerGrades+'!$AD$17,"E",IF(J616&lt;'PlayerGrades+'!$AD$16,"E+",IF(J616&lt;'PlayerGrades+'!$AD$15,"D-",IF(J616&lt;'PlayerGrades+'!$AD$14,"D",IF(J616&lt;'PlayerGrades+'!$AD$13,"D+",IF(J616&lt;'PlayerGrades+'!$AD$12,"C-",IF(J616&lt;'PlayerGrades+'!$AD$11,"C",IF(J616&lt;'PlayerGrades+'!$AD$10,"C+",IF(J616&lt;'PlayerGrades+'!$AD$9,"B-",IF(J616&lt;'PlayerGrades+'!$AD$8,"B",IF(J616&lt;'PlayerGrades+'!$AD$7,"B+",IF(J616&lt;'PlayerGrades+'!$AD$6,"A-",IF(J616&lt;'PlayerGrades+'!$AD$5,"A",IF(J616&lt;'PlayerGrades+'!$AD$4,"A+",IF(J616&lt;'PlayerGrades+'!$AD$3,"S-",IF(J616&lt;'PlayerGrades+'!$AD$2,"S","S+"))))))))))))))))))))</f>
        <v>B+</v>
      </c>
      <c r="L616" s="974">
        <f t="shared" si="5"/>
        <v>0.4867057233</v>
      </c>
      <c r="M616" s="975" t="str">
        <f>IF(L616&lt;'PlayerGrades+'!$AE$21,"F-",IF(L616&lt;'PlayerGrades+'!$AE$20,"F",IF(L616&lt;'PlayerGrades+'!$AE$19,"F+",IF(L616&lt;'PlayerGrades+'!$AE$18,"E-",IF(L616&lt;'PlayerGrades+'!$AE$17,"E",IF(L616&lt;'PlayerGrades+'!$AE$16,"E+",IF(L616&lt;'PlayerGrades+'!$AE$15,"D-",IF(L616&lt;'PlayerGrades+'!$AE$14,"D",IF(L616&lt;'PlayerGrades+'!$AE$13,"D+",IF(L616&lt;'PlayerGrades+'!$AE$12,"C-",IF(L616&lt;'PlayerGrades+'!$AE$11,"C",IF(L616&lt;'PlayerGrades+'!$AE$10,"C+",IF(L616&lt;'PlayerGrades+'!$AE$9,"B-",IF(L616&lt;'PlayerGrades+'!$AE$8,"B",IF(L616&lt;'PlayerGrades+'!$AE$7,"B+",IF(L616&lt;'PlayerGrades+'!$AE$6,"A-",IF(L616&lt;'PlayerGrades+'!$AE$5,"A",IF(L616&lt;'PlayerGrades+'!$AE$4,"A+",IF(L616&lt;'PlayerGrades+'!$AE$3,"S-",IF(L616&lt;'PlayerGrades+'!$AE$2,"S","S+"))))))))))))))))))))</f>
        <v>B+</v>
      </c>
      <c r="N616" s="973">
        <f t="shared" si="6"/>
        <v>0.1351960342</v>
      </c>
      <c r="O616" s="973" t="str">
        <f>IF(N616&lt;'PlayerGrades+'!$AF$21,"F-",IF(N616&lt;'PlayerGrades+'!$AF$20,"F",IF(N616&lt;'PlayerGrades+'!$AF$19,"F+",IF(N616&lt;'PlayerGrades+'!$AF$18,"E-",IF(N616&lt;'PlayerGrades+'!$AF$17,"E",IF(N616&lt;'PlayerGrades+'!$AF$16,"E+",IF(N616&lt;'PlayerGrades+'!$AF$15,"D-",IF(N616&lt;'PlayerGrades+'!$AF$14,"D",IF(N616&lt;'PlayerGrades+'!$AF$13,"D+",IF(N616&lt;'PlayerGrades+'!$AF$12,"C-",IF(N616&lt;'PlayerGrades+'!$AF$11,"C",IF(N616&lt;'PlayerGrades+'!$AF$10,"C+",IF(N616&lt;'PlayerGrades+'!$AF$9,"B-",IF(N616&lt;'PlayerGrades+'!$AF$8,"B",IF(N616&lt;'PlayerGrades+'!$AF$7,"B+",IF(N616&lt;'PlayerGrades+'!$AF$6,"A-",IF(N616&lt;'PlayerGrades+'!$AF$5,"A",IF(N616&lt;'PlayerGrades+'!$AF$4,"A+",IF(N616&lt;'PlayerGrades+'!$AF$3,"S-",IF(N616&lt;'PlayerGrades+'!$AF$2,"S","S+"))))))))))))))))))))</f>
        <v>S</v>
      </c>
      <c r="P616" s="973">
        <f t="shared" si="7"/>
        <v>0.02703920685</v>
      </c>
      <c r="Q616" s="973" t="str">
        <f>IF(P616&lt;'PlayerGrades+'!$AG$21,"F-",IF(P616&lt;'PlayerGrades+'!$AG$20,"F",IF(P616&lt;'PlayerGrades+'!$AG$19,"F+",IF(P616&lt;'PlayerGrades+'!$AG$18,"E-",IF(P616&lt;'PlayerGrades+'!$AG$17,"E",IF(P616&lt;'PlayerGrades+'!$AG$16,"E+",IF(P616&lt;'PlayerGrades+'!$AG$15,"D-",IF(P616&lt;'PlayerGrades+'!$AG$14,"D",IF(P616&lt;'PlayerGrades+'!$AG$13,"D+",IF(P616&lt;'PlayerGrades+'!$AG$12,"C-",IF(P616&lt;'PlayerGrades+'!$AG$11,"C",IF(P616&lt;'PlayerGrades+'!$AG$10,"C+",IF(P616&lt;'PlayerGrades+'!$AG$9,"B-",IF(P616&lt;'PlayerGrades+'!$AG$8,"B",IF(P616&lt;'PlayerGrades+'!$AG$7,"B+",IF(P616&lt;'PlayerGrades+'!$AG$6,"A-",IF(P616&lt;'PlayerGrades+'!$AG$5,"A",IF(P616&lt;'PlayerGrades+'!$AG$4,"A+",IF(P616&lt;'PlayerGrades+'!$AG$3,"S-",IF(P616&lt;'PlayerGrades+'!$AG$2,"S","S+"))))))))))))))))))))</f>
        <v>B</v>
      </c>
      <c r="R616" s="973">
        <f t="shared" si="8"/>
        <v>0.6489409644</v>
      </c>
      <c r="S616" s="973" t="str">
        <f>IF(R616&lt;'PlayerGrades+'!$AH$21,"F-",IF(R616&lt;'PlayerGrades+'!$AH$20,"F",IF(R616&lt;'PlayerGrades+'!$AH$19,"F+",IF(R616&lt;'PlayerGrades+'!$AH$18,"E-",IF(R616&lt;'PlayerGrades+'!$AH$17,"E",IF(R616&lt;'PlayerGrades+'!$AH$16,"E+",IF(R616&lt;'PlayerGrades+'!$AH$15,"D-",IF(R616&lt;'PlayerGrades+'!$AH$14,"D",IF(R616&lt;'PlayerGrades+'!$AH$13,"D+",IF(R616&lt;'PlayerGrades+'!$AH$12,"C-",IF(R616&lt;'PlayerGrades+'!$AH$11,"C",IF(R616&lt;'PlayerGrades+'!$AH$10,"C+",IF(R616&lt;'PlayerGrades+'!$AH$9,"B-",IF(R616&lt;'PlayerGrades+'!$AH$8,"B",IF(R616&lt;'PlayerGrades+'!$AH$7,"B+",IF(R616&lt;'PlayerGrades+'!$AH$6,"A-",IF(R616&lt;'PlayerGrades+'!$AH$5,"A",IF(R616&lt;'PlayerGrades+'!$AH$4,"A+",IF(R616&lt;'PlayerGrades+'!$AH$3,"S-",IF(R616&lt;'PlayerGrades+'!$AH$2,"S","S+"))))))))))))))))))))</f>
        <v>A+</v>
      </c>
      <c r="T616" s="973">
        <f t="shared" si="9"/>
        <v>0.540784137</v>
      </c>
      <c r="U616" s="973" t="str">
        <f>IF(T616&lt;'PlayerGrades+'!$AI$21,"F-",IF(T616&lt;'PlayerGrades+'!$AI$20,"F",IF(T616&lt;'PlayerGrades+'!$AI$19,"F+",IF(T616&lt;'PlayerGrades+'!$AI$18,"E-",IF(T616&lt;'PlayerGrades+'!$AI$17,"E",IF(T616&lt;'PlayerGrades+'!$AI$16,"E+",IF(T616&lt;'PlayerGrades+'!$AI$15,"D-",IF(T616&lt;'PlayerGrades+'!$AI$14,"D",IF(T616&lt;'PlayerGrades+'!$AI$13,"D+",IF(T616&lt;'PlayerGrades+'!$AI$12,"C-",IF(T616&lt;'PlayerGrades+'!$AI$11,"C",IF(T616&lt;'PlayerGrades+'!$AI$10,"C+",IF(T616&lt;'PlayerGrades+'!$AI$9,"B-",IF(T616&lt;'PlayerGrades+'!$AI$8,"B",IF(T616&lt;'PlayerGrades+'!$AI$7,"B+",IF(T616&lt;'PlayerGrades+'!$AI$6,"A-",IF(T616&lt;'PlayerGrades+'!$AI$5,"A",IF(T616&lt;'PlayerGrades+'!$AI$4,"A+",IF(T616&lt;'PlayerGrades+'!$AI$3,"S-",IF(T616&lt;'PlayerGrades+'!$AI$2,"S","S+"))))))))))))))))))))</f>
        <v>F-</v>
      </c>
      <c r="V616" s="941">
        <v>1.0</v>
      </c>
      <c r="W616" s="941">
        <v>0.0</v>
      </c>
      <c r="X616" s="941">
        <v>1.0</v>
      </c>
      <c r="Y616" s="941">
        <v>0.0</v>
      </c>
      <c r="Z616" s="941">
        <v>0.0</v>
      </c>
      <c r="AA616" s="941">
        <v>147.0</v>
      </c>
      <c r="AB616" s="941">
        <v>146.0</v>
      </c>
      <c r="AC616" s="941">
        <v>1.0</v>
      </c>
      <c r="AD616" s="941">
        <v>11.0</v>
      </c>
      <c r="AE616" s="941">
        <v>8.0</v>
      </c>
      <c r="AF616" s="941">
        <v>0.0</v>
      </c>
      <c r="AG616" s="941">
        <v>1685.0</v>
      </c>
      <c r="AH616" s="941">
        <v>2219.0</v>
      </c>
      <c r="AI616" s="941">
        <v>11.0</v>
      </c>
      <c r="AJ616" s="941">
        <v>0.0</v>
      </c>
      <c r="AK616" s="941">
        <v>0.0</v>
      </c>
      <c r="AL616" s="941">
        <v>2.0</v>
      </c>
      <c r="AM616" s="941">
        <v>0.0</v>
      </c>
      <c r="AN616" s="941">
        <v>0.0</v>
      </c>
      <c r="AO616" s="941">
        <v>0.0</v>
      </c>
      <c r="AP616" s="941">
        <v>1.0</v>
      </c>
      <c r="AQ616" s="941">
        <v>0.0</v>
      </c>
      <c r="AR616" s="941">
        <v>18.0</v>
      </c>
      <c r="AS616" s="941">
        <v>5.0</v>
      </c>
      <c r="AT616" s="941">
        <v>1.0</v>
      </c>
      <c r="AU616" s="941">
        <v>0.0</v>
      </c>
      <c r="AV616" s="941">
        <v>0.0</v>
      </c>
      <c r="AW616" s="941">
        <v>0.0</v>
      </c>
      <c r="AX616" s="941">
        <v>0.0</v>
      </c>
      <c r="AY616" s="941">
        <v>0.0</v>
      </c>
      <c r="AZ616" s="941">
        <v>0.0</v>
      </c>
      <c r="BA616" s="941">
        <v>0.0</v>
      </c>
      <c r="BB616" s="941">
        <v>8.0</v>
      </c>
      <c r="BC616" s="941">
        <v>0.0</v>
      </c>
      <c r="BD616" s="941">
        <v>13.0</v>
      </c>
      <c r="BE616" s="941">
        <v>20.0</v>
      </c>
      <c r="BF616" s="941">
        <v>0.0</v>
      </c>
      <c r="BG616" s="942">
        <v>0.0</v>
      </c>
    </row>
    <row r="617">
      <c r="A617" s="943" t="s">
        <v>121</v>
      </c>
      <c r="B617" s="421" t="str">
        <f>IF(C617&lt;'PlayerGrades+'!$Y$44,"F-",IF(C617&lt;'PlayerGrades+'!$Y$43,"F",IF(C617&lt;'PlayerGrades+'!$Y$42,"F+",IF(C617&lt;'PlayerGrades+'!$Y$41,"E-",IF(C617&lt;'PlayerGrades+'!$Y$40,"E",IF(C617&lt;'PlayerGrades+'!$Y$39,"E+",IF(C617&lt;'PlayerGrades+'!$Y$38,"D-",IF(C617&lt;'PlayerGrades+'!$Y$37,"D",IF(C617&lt;'PlayerGrades+'!$Y$36,"D+",IF(C617&lt;'PlayerGrades+'!$Y$35,"C-",IF(C617&lt;'PlayerGrades+'!$Y$34,"C",IF(C617&lt;'PlayerGrades+'!$Y$33,"C+",IF(C617&lt;'PlayerGrades+'!$Y$32,"B-",IF(C617&lt;'PlayerGrades+'!$Y$31,"B",IF(C617&lt;'PlayerGrades+'!$Y$30,"B+",IF(C617&lt;'PlayerGrades+'!$Y$29,"A-",IF(C617&lt;'PlayerGrades+'!$Y$28,"A",IF(C617&lt;'PlayerGrades+'!$Y$27,"A+",IF(C617&lt;'PlayerGrades+'!$Y$26,"S-",IF(C617&lt;'PlayerGrades+'!$Y$25,"S","S+"))))))))))))))))))))</f>
        <v>S-</v>
      </c>
      <c r="C617" s="972">
        <f>('PlayerGrades+'!$Y$47*(VLOOKUP(E617, 'PlayerGrades+'!$X$3:$Y$23, 2, FALSE)))+('PlayerGrades+'!$Y$48*(VLOOKUP(G617, 'PlayerGrades+'!$X$3:$Y$23, 2, FALSE)))+('PlayerGrades+'!$Y$49*(VLOOKUP(I617, 'PlayerGrades+'!$X$3:$Y$23, 2, FALSE)))+('PlayerGrades+'!$Y$50*(VLOOKUP(K617, 'PlayerGrades+'!$X$3:$Y$23, 2, FALSE)))+('PlayerGrades+'!$Y$51*(VLOOKUP(M617, 'PlayerGrades+'!$X$3:$Y$23, 2, FALSE)))+('PlayerGrades+'!$Y$52*(VLOOKUP(O617, 'PlayerGrades+'!$X$3:$Y$23, 2, FALSE)))+('PlayerGrades+'!$Y$53*(VLOOKUP(Q617, 'PlayerGrades+'!$X$3:$Y$23, 2, FALSE)))+('PlayerGrades+'!$Y$54*(VLOOKUP(S617, 'PlayerGrades+'!$X$3:$Y$23, 2, FALSE)))+('PlayerGrades+'!$Y$55*(VLOOKUP(U617, 'PlayerGrades+'!$X$3:$Y$23, 2, FALSE)))</f>
        <v>30.65</v>
      </c>
      <c r="D617" s="973">
        <f t="shared" si="1"/>
        <v>0.02703920685</v>
      </c>
      <c r="E617" s="973" t="str">
        <f>IF(D617&lt;'PlayerGrades+'!$AA$21,"F-",IF(D617&lt;'PlayerGrades+'!$AA$20,"F",IF(D617&lt;'PlayerGrades+'!$AA$19,"F+",IF(D617&lt;'PlayerGrades+'!$AA$18,"E-",IF(D617&lt;'PlayerGrades+'!$AA$17,"E",IF(D617&lt;'PlayerGrades+'!$AA$16,"E+",IF(D617&lt;'PlayerGrades+'!$AA$15,"D-",IF(D617&lt;'PlayerGrades+'!$AA$14,"D",IF(D617&lt;'PlayerGrades+'!$AA$13,"D+",IF(D617&lt;'PlayerGrades+'!$AA$12,"C-",IF(D617&lt;'PlayerGrades+'!$AA$11,"C",IF(D617&lt;'PlayerGrades+'!$AA$10,"C+",IF(D617&lt;'PlayerGrades+'!$AA$9,"B-",IF(D617&lt;'PlayerGrades+'!$AA$8,"B",IF(D617&lt;'PlayerGrades+'!$AA$7,"B+",IF(D617&lt;'PlayerGrades+'!$AA$6,"A-",IF(D617&lt;'PlayerGrades+'!$AA$5,"A",IF(D617&lt;'PlayerGrades+'!$AA$4,"A+",IF(D617&lt;'PlayerGrades+'!$AA$3,"S-",IF(D617&lt;'PlayerGrades+'!$AA$2,"S","S+"))))))))))))))))))))</f>
        <v>D-</v>
      </c>
      <c r="F617" s="973">
        <f t="shared" si="2"/>
        <v>0.5137449301</v>
      </c>
      <c r="G617" s="973" t="str">
        <f>IF(F617&lt;'PlayerGrades+'!$AB$21,"F-",IF(F617&lt;'PlayerGrades+'!$AB$20,"F",IF(F617&lt;'PlayerGrades+'!$AB$19,"F+",IF(F617&lt;'PlayerGrades+'!$AB$18,"E-",IF(F617&lt;'PlayerGrades+'!$AB$17,"E",IF(F617&lt;'PlayerGrades+'!$AB$16,"E+",IF(F617&lt;'PlayerGrades+'!$AB$15,"D-",IF(F617&lt;'PlayerGrades+'!$AB$14,"D",IF(F617&lt;'PlayerGrades+'!$AB$13,"D+",IF(F617&lt;'PlayerGrades+'!$AB$12,"C-",IF(F617&lt;'PlayerGrades+'!$AB$11,"C",IF(F617&lt;'PlayerGrades+'!$AB$10,"C+",IF(F617&lt;'PlayerGrades+'!$AB$9,"B-",IF(F617&lt;'PlayerGrades+'!$AB$8,"B",IF(F617&lt;'PlayerGrades+'!$AB$7,"B+",IF(F617&lt;'PlayerGrades+'!$AB$6,"A-",IF(F617&lt;'PlayerGrades+'!$AB$5,"A",IF(F617&lt;'PlayerGrades+'!$AB$4,"A+",IF(F617&lt;'PlayerGrades+'!$AB$3,"S-",IF(F617&lt;'PlayerGrades+'!$AB$2,"S","S+"))))))))))))))))))))</f>
        <v>A+</v>
      </c>
      <c r="H617" s="973">
        <f t="shared" si="3"/>
        <v>0.3244704822</v>
      </c>
      <c r="I617" s="973" t="str">
        <f>IF(H617&lt;'PlayerGrades+'!$AC$21,"F-",IF(H617&lt;'PlayerGrades+'!$AC$20,"F",IF(H617&lt;'PlayerGrades+'!$AC$19,"F+",IF(H617&lt;'PlayerGrades+'!$AC$18,"E-",IF(H617&lt;'PlayerGrades+'!$AC$17,"E",IF(H617&lt;'PlayerGrades+'!$AC$16,"E+",IF(H617&lt;'PlayerGrades+'!$AC$15,"D-",IF(H617&lt;'PlayerGrades+'!$AC$14,"D",IF(H617&lt;'PlayerGrades+'!$AC$13,"D+",IF(H617&lt;'PlayerGrades+'!$AC$12,"C-",IF(H617&lt;'PlayerGrades+'!$AC$11,"C",IF(H617&lt;'PlayerGrades+'!$AC$10,"C+",IF(H617&lt;'PlayerGrades+'!$AC$9,"B-",IF(H617&lt;'PlayerGrades+'!$AC$8,"B",IF(H617&lt;'PlayerGrades+'!$AC$7,"B+",IF(H617&lt;'PlayerGrades+'!$AC$6,"A-",IF(H617&lt;'PlayerGrades+'!$AC$5,"A",IF(H617&lt;'PlayerGrades+'!$AC$4,"A+",IF(H617&lt;'PlayerGrades+'!$AC$3,"S-",IF(H617&lt;'PlayerGrades+'!$AC$2,"S","S+"))))))))))))))))))))</f>
        <v>S+</v>
      </c>
      <c r="J617" s="973">
        <f t="shared" si="4"/>
        <v>0.0540784137</v>
      </c>
      <c r="K617" s="973" t="str">
        <f>IF(J617&lt;'PlayerGrades+'!$AD$21,"F-",IF(J617&lt;'PlayerGrades+'!$AD$20,"F",IF(J617&lt;'PlayerGrades+'!$AD$19,"F+",IF(J617&lt;'PlayerGrades+'!$AD$18,"E-",IF(J617&lt;'PlayerGrades+'!$AD$17,"E",IF(J617&lt;'PlayerGrades+'!$AD$16,"E+",IF(J617&lt;'PlayerGrades+'!$AD$15,"D-",IF(J617&lt;'PlayerGrades+'!$AD$14,"D",IF(J617&lt;'PlayerGrades+'!$AD$13,"D+",IF(J617&lt;'PlayerGrades+'!$AD$12,"C-",IF(J617&lt;'PlayerGrades+'!$AD$11,"C",IF(J617&lt;'PlayerGrades+'!$AD$10,"C+",IF(J617&lt;'PlayerGrades+'!$AD$9,"B-",IF(J617&lt;'PlayerGrades+'!$AD$8,"B",IF(J617&lt;'PlayerGrades+'!$AD$7,"B+",IF(J617&lt;'PlayerGrades+'!$AD$6,"A-",IF(J617&lt;'PlayerGrades+'!$AD$5,"A",IF(J617&lt;'PlayerGrades+'!$AD$4,"A+",IF(J617&lt;'PlayerGrades+'!$AD$3,"S-",IF(J617&lt;'PlayerGrades+'!$AD$2,"S","S+"))))))))))))))))))))</f>
        <v>B+</v>
      </c>
      <c r="L617" s="974">
        <f t="shared" si="5"/>
        <v>0.6219017575</v>
      </c>
      <c r="M617" s="975" t="str">
        <f>IF(L617&lt;'PlayerGrades+'!$AE$21,"F-",IF(L617&lt;'PlayerGrades+'!$AE$20,"F",IF(L617&lt;'PlayerGrades+'!$AE$19,"F+",IF(L617&lt;'PlayerGrades+'!$AE$18,"E-",IF(L617&lt;'PlayerGrades+'!$AE$17,"E",IF(L617&lt;'PlayerGrades+'!$AE$16,"E+",IF(L617&lt;'PlayerGrades+'!$AE$15,"D-",IF(L617&lt;'PlayerGrades+'!$AE$14,"D",IF(L617&lt;'PlayerGrades+'!$AE$13,"D+",IF(L617&lt;'PlayerGrades+'!$AE$12,"C-",IF(L617&lt;'PlayerGrades+'!$AE$11,"C",IF(L617&lt;'PlayerGrades+'!$AE$10,"C+",IF(L617&lt;'PlayerGrades+'!$AE$9,"B-",IF(L617&lt;'PlayerGrades+'!$AE$8,"B",IF(L617&lt;'PlayerGrades+'!$AE$7,"B+",IF(L617&lt;'PlayerGrades+'!$AE$6,"A-",IF(L617&lt;'PlayerGrades+'!$AE$5,"A",IF(L617&lt;'PlayerGrades+'!$AE$4,"A+",IF(L617&lt;'PlayerGrades+'!$AE$3,"S-",IF(L617&lt;'PlayerGrades+'!$AE$2,"S","S+"))))))))))))))))))))</f>
        <v>S-</v>
      </c>
      <c r="N617" s="973">
        <f t="shared" si="6"/>
        <v>0.1081568274</v>
      </c>
      <c r="O617" s="973" t="str">
        <f>IF(N617&lt;'PlayerGrades+'!$AF$21,"F-",IF(N617&lt;'PlayerGrades+'!$AF$20,"F",IF(N617&lt;'PlayerGrades+'!$AF$19,"F+",IF(N617&lt;'PlayerGrades+'!$AF$18,"E-",IF(N617&lt;'PlayerGrades+'!$AF$17,"E",IF(N617&lt;'PlayerGrades+'!$AF$16,"E+",IF(N617&lt;'PlayerGrades+'!$AF$15,"D-",IF(N617&lt;'PlayerGrades+'!$AF$14,"D",IF(N617&lt;'PlayerGrades+'!$AF$13,"D+",IF(N617&lt;'PlayerGrades+'!$AF$12,"C-",IF(N617&lt;'PlayerGrades+'!$AF$11,"C",IF(N617&lt;'PlayerGrades+'!$AF$10,"C+",IF(N617&lt;'PlayerGrades+'!$AF$9,"B-",IF(N617&lt;'PlayerGrades+'!$AF$8,"B",IF(N617&lt;'PlayerGrades+'!$AF$7,"B+",IF(N617&lt;'PlayerGrades+'!$AF$6,"A-",IF(N617&lt;'PlayerGrades+'!$AF$5,"A",IF(N617&lt;'PlayerGrades+'!$AF$4,"A+",IF(N617&lt;'PlayerGrades+'!$AF$3,"S-",IF(N617&lt;'PlayerGrades+'!$AF$2,"S","S+"))))))))))))))))))))</f>
        <v>S-</v>
      </c>
      <c r="P617" s="973">
        <f t="shared" si="7"/>
        <v>0.0540784137</v>
      </c>
      <c r="Q617" s="973" t="str">
        <f>IF(P617&lt;'PlayerGrades+'!$AG$21,"F-",IF(P617&lt;'PlayerGrades+'!$AG$20,"F",IF(P617&lt;'PlayerGrades+'!$AG$19,"F+",IF(P617&lt;'PlayerGrades+'!$AG$18,"E-",IF(P617&lt;'PlayerGrades+'!$AG$17,"E",IF(P617&lt;'PlayerGrades+'!$AG$16,"E+",IF(P617&lt;'PlayerGrades+'!$AG$15,"D-",IF(P617&lt;'PlayerGrades+'!$AG$14,"D",IF(P617&lt;'PlayerGrades+'!$AG$13,"D+",IF(P617&lt;'PlayerGrades+'!$AG$12,"C-",IF(P617&lt;'PlayerGrades+'!$AG$11,"C",IF(P617&lt;'PlayerGrades+'!$AG$10,"C+",IF(P617&lt;'PlayerGrades+'!$AG$9,"B-",IF(P617&lt;'PlayerGrades+'!$AG$8,"B",IF(P617&lt;'PlayerGrades+'!$AG$7,"B+",IF(P617&lt;'PlayerGrades+'!$AG$6,"A-",IF(P617&lt;'PlayerGrades+'!$AG$5,"A",IF(P617&lt;'PlayerGrades+'!$AG$4,"A+",IF(P617&lt;'PlayerGrades+'!$AG$3,"S-",IF(P617&lt;'PlayerGrades+'!$AG$2,"S","S+"))))))))))))))))))))</f>
        <v>A</v>
      </c>
      <c r="R617" s="973">
        <f t="shared" si="8"/>
        <v>0.6759801712</v>
      </c>
      <c r="S617" s="973" t="str">
        <f>IF(R617&lt;'PlayerGrades+'!$AH$21,"F-",IF(R617&lt;'PlayerGrades+'!$AH$20,"F",IF(R617&lt;'PlayerGrades+'!$AH$19,"F+",IF(R617&lt;'PlayerGrades+'!$AH$18,"E-",IF(R617&lt;'PlayerGrades+'!$AH$17,"E",IF(R617&lt;'PlayerGrades+'!$AH$16,"E+",IF(R617&lt;'PlayerGrades+'!$AH$15,"D-",IF(R617&lt;'PlayerGrades+'!$AH$14,"D",IF(R617&lt;'PlayerGrades+'!$AH$13,"D+",IF(R617&lt;'PlayerGrades+'!$AH$12,"C-",IF(R617&lt;'PlayerGrades+'!$AH$11,"C",IF(R617&lt;'PlayerGrades+'!$AH$10,"C+",IF(R617&lt;'PlayerGrades+'!$AH$9,"B-",IF(R617&lt;'PlayerGrades+'!$AH$8,"B",IF(R617&lt;'PlayerGrades+'!$AH$7,"B+",IF(R617&lt;'PlayerGrades+'!$AH$6,"A-",IF(R617&lt;'PlayerGrades+'!$AH$5,"A",IF(R617&lt;'PlayerGrades+'!$AH$4,"A+",IF(R617&lt;'PlayerGrades+'!$AH$3,"S-",IF(R617&lt;'PlayerGrades+'!$AH$2,"S","S+"))))))))))))))))))))</f>
        <v>S-</v>
      </c>
      <c r="T617" s="973">
        <f t="shared" si="9"/>
        <v>1.378548896</v>
      </c>
      <c r="U617" s="973" t="str">
        <f>IF(T617&lt;'PlayerGrades+'!$AI$21,"F-",IF(T617&lt;'PlayerGrades+'!$AI$20,"F",IF(T617&lt;'PlayerGrades+'!$AI$19,"F+",IF(T617&lt;'PlayerGrades+'!$AI$18,"E-",IF(T617&lt;'PlayerGrades+'!$AI$17,"E",IF(T617&lt;'PlayerGrades+'!$AI$16,"E+",IF(T617&lt;'PlayerGrades+'!$AI$15,"D-",IF(T617&lt;'PlayerGrades+'!$AI$14,"D",IF(T617&lt;'PlayerGrades+'!$AI$13,"D+",IF(T617&lt;'PlayerGrades+'!$AI$12,"C-",IF(T617&lt;'PlayerGrades+'!$AI$11,"C",IF(T617&lt;'PlayerGrades+'!$AI$10,"C+",IF(T617&lt;'PlayerGrades+'!$AI$9,"B-",IF(T617&lt;'PlayerGrades+'!$AI$8,"B",IF(T617&lt;'PlayerGrades+'!$AI$7,"B+",IF(T617&lt;'PlayerGrades+'!$AI$6,"A-",IF(T617&lt;'PlayerGrades+'!$AI$5,"A",IF(T617&lt;'PlayerGrades+'!$AI$4,"A+",IF(T617&lt;'PlayerGrades+'!$AI$3,"S-",IF(T617&lt;'PlayerGrades+'!$AI$2,"S","S+"))))))))))))))))))))</f>
        <v>B</v>
      </c>
      <c r="V617" s="944">
        <v>1.0</v>
      </c>
      <c r="W617" s="944">
        <v>0.0</v>
      </c>
      <c r="X617" s="944">
        <v>1.0</v>
      </c>
      <c r="Y617" s="944">
        <v>0.0</v>
      </c>
      <c r="Z617" s="944">
        <v>1.0</v>
      </c>
      <c r="AA617" s="944">
        <v>129.0</v>
      </c>
      <c r="AB617" s="944">
        <v>110.0</v>
      </c>
      <c r="AC617" s="944">
        <v>19.0</v>
      </c>
      <c r="AD617" s="944">
        <v>3.0</v>
      </c>
      <c r="AE617" s="944">
        <v>6.0</v>
      </c>
      <c r="AF617" s="944">
        <v>2.0</v>
      </c>
      <c r="AG617" s="944">
        <v>1795.0</v>
      </c>
      <c r="AH617" s="944">
        <v>2219.0</v>
      </c>
      <c r="AI617" s="944">
        <v>16.0</v>
      </c>
      <c r="AJ617" s="944">
        <v>55.0</v>
      </c>
      <c r="AK617" s="944">
        <v>0.0</v>
      </c>
      <c r="AL617" s="944">
        <v>2.0</v>
      </c>
      <c r="AM617" s="944">
        <v>0.0</v>
      </c>
      <c r="AN617" s="944">
        <v>0.0</v>
      </c>
      <c r="AO617" s="944">
        <v>0.0</v>
      </c>
      <c r="AP617" s="944">
        <v>2.0</v>
      </c>
      <c r="AQ617" s="944">
        <v>0.0</v>
      </c>
      <c r="AR617" s="944">
        <v>23.0</v>
      </c>
      <c r="AS617" s="944">
        <v>4.0</v>
      </c>
      <c r="AT617" s="944">
        <v>2.0</v>
      </c>
      <c r="AU617" s="944">
        <v>0.0</v>
      </c>
      <c r="AV617" s="944">
        <v>0.0</v>
      </c>
      <c r="AW617" s="944">
        <v>0.0</v>
      </c>
      <c r="AX617" s="944">
        <v>0.0</v>
      </c>
      <c r="AY617" s="944">
        <v>0.0</v>
      </c>
      <c r="AZ617" s="944">
        <v>0.0</v>
      </c>
      <c r="BA617" s="944">
        <v>0.0</v>
      </c>
      <c r="BB617" s="944">
        <v>12.0</v>
      </c>
      <c r="BC617" s="944">
        <v>0.0</v>
      </c>
      <c r="BD617" s="944">
        <v>22.0</v>
      </c>
      <c r="BE617" s="944">
        <v>14.0</v>
      </c>
      <c r="BF617" s="944">
        <v>1.0</v>
      </c>
      <c r="BG617" s="945">
        <v>0.0</v>
      </c>
    </row>
    <row r="618">
      <c r="A618" s="946" t="s">
        <v>132</v>
      </c>
      <c r="B618" s="421" t="str">
        <f>IF(C618&lt;'PlayerGrades+'!$Y$44,"F-",IF(C618&lt;'PlayerGrades+'!$Y$43,"F",IF(C618&lt;'PlayerGrades+'!$Y$42,"F+",IF(C618&lt;'PlayerGrades+'!$Y$41,"E-",IF(C618&lt;'PlayerGrades+'!$Y$40,"E",IF(C618&lt;'PlayerGrades+'!$Y$39,"E+",IF(C618&lt;'PlayerGrades+'!$Y$38,"D-",IF(C618&lt;'PlayerGrades+'!$Y$37,"D",IF(C618&lt;'PlayerGrades+'!$Y$36,"D+",IF(C618&lt;'PlayerGrades+'!$Y$35,"C-",IF(C618&lt;'PlayerGrades+'!$Y$34,"C",IF(C618&lt;'PlayerGrades+'!$Y$33,"C+",IF(C618&lt;'PlayerGrades+'!$Y$32,"B-",IF(C618&lt;'PlayerGrades+'!$Y$31,"B",IF(C618&lt;'PlayerGrades+'!$Y$30,"B+",IF(C618&lt;'PlayerGrades+'!$Y$29,"A-",IF(C618&lt;'PlayerGrades+'!$Y$28,"A",IF(C618&lt;'PlayerGrades+'!$Y$27,"A+",IF(C618&lt;'PlayerGrades+'!$Y$26,"S-",IF(C618&lt;'PlayerGrades+'!$Y$25,"S","S+"))))))))))))))))))))</f>
        <v>D</v>
      </c>
      <c r="C618" s="972">
        <f>('PlayerGrades+'!$Y$47*(VLOOKUP(E618, 'PlayerGrades+'!$X$3:$Y$23, 2, FALSE)))+('PlayerGrades+'!$Y$48*(VLOOKUP(G618, 'PlayerGrades+'!$X$3:$Y$23, 2, FALSE)))+('PlayerGrades+'!$Y$49*(VLOOKUP(I618, 'PlayerGrades+'!$X$3:$Y$23, 2, FALSE)))+('PlayerGrades+'!$Y$50*(VLOOKUP(K618, 'PlayerGrades+'!$X$3:$Y$23, 2, FALSE)))+('PlayerGrades+'!$Y$51*(VLOOKUP(M618, 'PlayerGrades+'!$X$3:$Y$23, 2, FALSE)))+('PlayerGrades+'!$Y$52*(VLOOKUP(O618, 'PlayerGrades+'!$X$3:$Y$23, 2, FALSE)))+('PlayerGrades+'!$Y$53*(VLOOKUP(Q618, 'PlayerGrades+'!$X$3:$Y$23, 2, FALSE)))+('PlayerGrades+'!$Y$54*(VLOOKUP(S618, 'PlayerGrades+'!$X$3:$Y$23, 2, FALSE)))+('PlayerGrades+'!$Y$55*(VLOOKUP(U618, 'PlayerGrades+'!$X$3:$Y$23, 2, FALSE)))</f>
        <v>16.25</v>
      </c>
      <c r="D618" s="973">
        <f t="shared" si="1"/>
        <v>0.3937653815</v>
      </c>
      <c r="E618" s="973" t="str">
        <f>IF(D618&lt;'PlayerGrades+'!$AA$21,"F-",IF(D618&lt;'PlayerGrades+'!$AA$20,"F",IF(D618&lt;'PlayerGrades+'!$AA$19,"F+",IF(D618&lt;'PlayerGrades+'!$AA$18,"E-",IF(D618&lt;'PlayerGrades+'!$AA$17,"E",IF(D618&lt;'PlayerGrades+'!$AA$16,"E+",IF(D618&lt;'PlayerGrades+'!$AA$15,"D-",IF(D618&lt;'PlayerGrades+'!$AA$14,"D",IF(D618&lt;'PlayerGrades+'!$AA$13,"D+",IF(D618&lt;'PlayerGrades+'!$AA$12,"C-",IF(D618&lt;'PlayerGrades+'!$AA$11,"C",IF(D618&lt;'PlayerGrades+'!$AA$10,"C+",IF(D618&lt;'PlayerGrades+'!$AA$9,"B-",IF(D618&lt;'PlayerGrades+'!$AA$8,"B",IF(D618&lt;'PlayerGrades+'!$AA$7,"B+",IF(D618&lt;'PlayerGrades+'!$AA$6,"A-",IF(D618&lt;'PlayerGrades+'!$AA$5,"A",IF(D618&lt;'PlayerGrades+'!$AA$4,"A+",IF(D618&lt;'PlayerGrades+'!$AA$3,"S-",IF(D618&lt;'PlayerGrades+'!$AA$2,"S","S+"))))))))))))))))))))</f>
        <v>A+</v>
      </c>
      <c r="F618" s="973">
        <f t="shared" si="2"/>
        <v>0.1968826907</v>
      </c>
      <c r="G618" s="973" t="str">
        <f>IF(F618&lt;'PlayerGrades+'!$AB$21,"F-",IF(F618&lt;'PlayerGrades+'!$AB$20,"F",IF(F618&lt;'PlayerGrades+'!$AB$19,"F+",IF(F618&lt;'PlayerGrades+'!$AB$18,"E-",IF(F618&lt;'PlayerGrades+'!$AB$17,"E",IF(F618&lt;'PlayerGrades+'!$AB$16,"E+",IF(F618&lt;'PlayerGrades+'!$AB$15,"D-",IF(F618&lt;'PlayerGrades+'!$AB$14,"D",IF(F618&lt;'PlayerGrades+'!$AB$13,"D+",IF(F618&lt;'PlayerGrades+'!$AB$12,"C-",IF(F618&lt;'PlayerGrades+'!$AB$11,"C",IF(F618&lt;'PlayerGrades+'!$AB$10,"C+",IF(F618&lt;'PlayerGrades+'!$AB$9,"B-",IF(F618&lt;'PlayerGrades+'!$AB$8,"B",IF(F618&lt;'PlayerGrades+'!$AB$7,"B+",IF(F618&lt;'PlayerGrades+'!$AB$6,"A-",IF(F618&lt;'PlayerGrades+'!$AB$5,"A",IF(F618&lt;'PlayerGrades+'!$AB$4,"A+",IF(F618&lt;'PlayerGrades+'!$AB$3,"S-",IF(F618&lt;'PlayerGrades+'!$AB$2,"S","S+"))))))))))))))))))))</f>
        <v>B+</v>
      </c>
      <c r="H618" s="973">
        <f t="shared" si="3"/>
        <v>0.04922067268</v>
      </c>
      <c r="I618" s="973" t="str">
        <f>IF(H618&lt;'PlayerGrades+'!$AC$21,"F-",IF(H618&lt;'PlayerGrades+'!$AC$20,"F",IF(H618&lt;'PlayerGrades+'!$AC$19,"F+",IF(H618&lt;'PlayerGrades+'!$AC$18,"E-",IF(H618&lt;'PlayerGrades+'!$AC$17,"E",IF(H618&lt;'PlayerGrades+'!$AC$16,"E+",IF(H618&lt;'PlayerGrades+'!$AC$15,"D-",IF(H618&lt;'PlayerGrades+'!$AC$14,"D",IF(H618&lt;'PlayerGrades+'!$AC$13,"D+",IF(H618&lt;'PlayerGrades+'!$AC$12,"C-",IF(H618&lt;'PlayerGrades+'!$AC$11,"C",IF(H618&lt;'PlayerGrades+'!$AC$10,"C+",IF(H618&lt;'PlayerGrades+'!$AC$9,"B-",IF(H618&lt;'PlayerGrades+'!$AC$8,"B",IF(H618&lt;'PlayerGrades+'!$AC$7,"B+",IF(H618&lt;'PlayerGrades+'!$AC$6,"A-",IF(H618&lt;'PlayerGrades+'!$AC$5,"A",IF(H618&lt;'PlayerGrades+'!$AC$4,"A+",IF(H618&lt;'PlayerGrades+'!$AC$3,"S-",IF(H618&lt;'PlayerGrades+'!$AC$2,"S","S+"))))))))))))))))))))</f>
        <v>F</v>
      </c>
      <c r="J618" s="973">
        <f t="shared" si="4"/>
        <v>0.07383100902</v>
      </c>
      <c r="K618" s="973" t="str">
        <f>IF(J618&lt;'PlayerGrades+'!$AD$21,"F-",IF(J618&lt;'PlayerGrades+'!$AD$20,"F",IF(J618&lt;'PlayerGrades+'!$AD$19,"F+",IF(J618&lt;'PlayerGrades+'!$AD$18,"E-",IF(J618&lt;'PlayerGrades+'!$AD$17,"E",IF(J618&lt;'PlayerGrades+'!$AD$16,"E+",IF(J618&lt;'PlayerGrades+'!$AD$15,"D-",IF(J618&lt;'PlayerGrades+'!$AD$14,"D",IF(J618&lt;'PlayerGrades+'!$AD$13,"D+",IF(J618&lt;'PlayerGrades+'!$AD$12,"C-",IF(J618&lt;'PlayerGrades+'!$AD$11,"C",IF(J618&lt;'PlayerGrades+'!$AD$10,"C+",IF(J618&lt;'PlayerGrades+'!$AD$9,"B-",IF(J618&lt;'PlayerGrades+'!$AD$8,"B",IF(J618&lt;'PlayerGrades+'!$AD$7,"B+",IF(J618&lt;'PlayerGrades+'!$AD$6,"A-",IF(J618&lt;'PlayerGrades+'!$AD$5,"A",IF(J618&lt;'PlayerGrades+'!$AD$4,"A+",IF(J618&lt;'PlayerGrades+'!$AD$3,"S-",IF(J618&lt;'PlayerGrades+'!$AD$2,"S","S+"))))))))))))))))))))</f>
        <v>A</v>
      </c>
      <c r="L618" s="974">
        <f t="shared" si="5"/>
        <v>0.2707136998</v>
      </c>
      <c r="M618" s="975" t="str">
        <f>IF(L618&lt;'PlayerGrades+'!$AE$21,"F-",IF(L618&lt;'PlayerGrades+'!$AE$20,"F",IF(L618&lt;'PlayerGrades+'!$AE$19,"F+",IF(L618&lt;'PlayerGrades+'!$AE$18,"E-",IF(L618&lt;'PlayerGrades+'!$AE$17,"E",IF(L618&lt;'PlayerGrades+'!$AE$16,"E+",IF(L618&lt;'PlayerGrades+'!$AE$15,"D-",IF(L618&lt;'PlayerGrades+'!$AE$14,"D",IF(L618&lt;'PlayerGrades+'!$AE$13,"D+",IF(L618&lt;'PlayerGrades+'!$AE$12,"C-",IF(L618&lt;'PlayerGrades+'!$AE$11,"C",IF(L618&lt;'PlayerGrades+'!$AE$10,"C+",IF(L618&lt;'PlayerGrades+'!$AE$9,"B-",IF(L618&lt;'PlayerGrades+'!$AE$8,"B",IF(L618&lt;'PlayerGrades+'!$AE$7,"B+",IF(L618&lt;'PlayerGrades+'!$AE$6,"A-",IF(L618&lt;'PlayerGrades+'!$AE$5,"A",IF(L618&lt;'PlayerGrades+'!$AE$4,"A+",IF(L618&lt;'PlayerGrades+'!$AE$3,"S-",IF(L618&lt;'PlayerGrades+'!$AE$2,"S","S+"))))))))))))))))))))</f>
        <v>F</v>
      </c>
      <c r="N618" s="973">
        <f t="shared" si="6"/>
        <v>0</v>
      </c>
      <c r="O618" s="973" t="str">
        <f>IF(N618&lt;'PlayerGrades+'!$AF$21,"F-",IF(N618&lt;'PlayerGrades+'!$AF$20,"F",IF(N618&lt;'PlayerGrades+'!$AF$19,"F+",IF(N618&lt;'PlayerGrades+'!$AF$18,"E-",IF(N618&lt;'PlayerGrades+'!$AF$17,"E",IF(N618&lt;'PlayerGrades+'!$AF$16,"E+",IF(N618&lt;'PlayerGrades+'!$AF$15,"D-",IF(N618&lt;'PlayerGrades+'!$AF$14,"D",IF(N618&lt;'PlayerGrades+'!$AF$13,"D+",IF(N618&lt;'PlayerGrades+'!$AF$12,"C-",IF(N618&lt;'PlayerGrades+'!$AF$11,"C",IF(N618&lt;'PlayerGrades+'!$AF$10,"C+",IF(N618&lt;'PlayerGrades+'!$AF$9,"B-",IF(N618&lt;'PlayerGrades+'!$AF$8,"B",IF(N618&lt;'PlayerGrades+'!$AF$7,"B+",IF(N618&lt;'PlayerGrades+'!$AF$6,"A-",IF(N618&lt;'PlayerGrades+'!$AF$5,"A",IF(N618&lt;'PlayerGrades+'!$AF$4,"A+",IF(N618&lt;'PlayerGrades+'!$AF$3,"S-",IF(N618&lt;'PlayerGrades+'!$AF$2,"S","S+"))))))))))))))))))))</f>
        <v>F-</v>
      </c>
      <c r="P618" s="973">
        <f t="shared" si="7"/>
        <v>0.02461033634</v>
      </c>
      <c r="Q618" s="973" t="str">
        <f>IF(P618&lt;'PlayerGrades+'!$AG$21,"F-",IF(P618&lt;'PlayerGrades+'!$AG$20,"F",IF(P618&lt;'PlayerGrades+'!$AG$19,"F+",IF(P618&lt;'PlayerGrades+'!$AG$18,"E-",IF(P618&lt;'PlayerGrades+'!$AG$17,"E",IF(P618&lt;'PlayerGrades+'!$AG$16,"E+",IF(P618&lt;'PlayerGrades+'!$AG$15,"D-",IF(P618&lt;'PlayerGrades+'!$AG$14,"D",IF(P618&lt;'PlayerGrades+'!$AG$13,"D+",IF(P618&lt;'PlayerGrades+'!$AG$12,"C-",IF(P618&lt;'PlayerGrades+'!$AG$11,"C",IF(P618&lt;'PlayerGrades+'!$AG$10,"C+",IF(P618&lt;'PlayerGrades+'!$AG$9,"B-",IF(P618&lt;'PlayerGrades+'!$AG$8,"B",IF(P618&lt;'PlayerGrades+'!$AG$7,"B+",IF(P618&lt;'PlayerGrades+'!$AG$6,"A-",IF(P618&lt;'PlayerGrades+'!$AG$5,"A",IF(P618&lt;'PlayerGrades+'!$AG$4,"A+",IF(P618&lt;'PlayerGrades+'!$AG$3,"S-",IF(P618&lt;'PlayerGrades+'!$AG$2,"S","S+"))))))))))))))))))))</f>
        <v>B-</v>
      </c>
      <c r="R618" s="973">
        <f t="shared" si="8"/>
        <v>0.5414273995</v>
      </c>
      <c r="S618" s="973" t="str">
        <f>IF(R618&lt;'PlayerGrades+'!$AH$21,"F-",IF(R618&lt;'PlayerGrades+'!$AH$20,"F",IF(R618&lt;'PlayerGrades+'!$AH$19,"F+",IF(R618&lt;'PlayerGrades+'!$AH$18,"E-",IF(R618&lt;'PlayerGrades+'!$AH$17,"E",IF(R618&lt;'PlayerGrades+'!$AH$16,"E+",IF(R618&lt;'PlayerGrades+'!$AH$15,"D-",IF(R618&lt;'PlayerGrades+'!$AH$14,"D",IF(R618&lt;'PlayerGrades+'!$AH$13,"D+",IF(R618&lt;'PlayerGrades+'!$AH$12,"C-",IF(R618&lt;'PlayerGrades+'!$AH$11,"C",IF(R618&lt;'PlayerGrades+'!$AH$10,"C+",IF(R618&lt;'PlayerGrades+'!$AH$9,"B-",IF(R618&lt;'PlayerGrades+'!$AH$8,"B",IF(R618&lt;'PlayerGrades+'!$AH$7,"B+",IF(R618&lt;'PlayerGrades+'!$AH$6,"A-",IF(R618&lt;'PlayerGrades+'!$AH$5,"A",IF(R618&lt;'PlayerGrades+'!$AH$4,"A+",IF(R618&lt;'PlayerGrades+'!$AH$3,"S-",IF(R618&lt;'PlayerGrades+'!$AH$2,"S","S+"))))))))))))))))))))</f>
        <v>C+</v>
      </c>
      <c r="T618" s="973">
        <f t="shared" si="9"/>
        <v>0.3937653815</v>
      </c>
      <c r="U618" s="973" t="str">
        <f>IF(T618&lt;'PlayerGrades+'!$AI$21,"F-",IF(T618&lt;'PlayerGrades+'!$AI$20,"F",IF(T618&lt;'PlayerGrades+'!$AI$19,"F+",IF(T618&lt;'PlayerGrades+'!$AI$18,"E-",IF(T618&lt;'PlayerGrades+'!$AI$17,"E",IF(T618&lt;'PlayerGrades+'!$AI$16,"E+",IF(T618&lt;'PlayerGrades+'!$AI$15,"D-",IF(T618&lt;'PlayerGrades+'!$AI$14,"D",IF(T618&lt;'PlayerGrades+'!$AI$13,"D+",IF(T618&lt;'PlayerGrades+'!$AI$12,"C-",IF(T618&lt;'PlayerGrades+'!$AI$11,"C",IF(T618&lt;'PlayerGrades+'!$AI$10,"C+",IF(T618&lt;'PlayerGrades+'!$AI$9,"B-",IF(T618&lt;'PlayerGrades+'!$AI$8,"B",IF(T618&lt;'PlayerGrades+'!$AI$7,"B+",IF(T618&lt;'PlayerGrades+'!$AI$6,"A-",IF(T618&lt;'PlayerGrades+'!$AI$5,"A",IF(T618&lt;'PlayerGrades+'!$AI$4,"A+",IF(T618&lt;'PlayerGrades+'!$AI$3,"S-",IF(T618&lt;'PlayerGrades+'!$AI$2,"S","S+"))))))))))))))))))))</f>
        <v>F-</v>
      </c>
      <c r="V618" s="939">
        <v>1.0</v>
      </c>
      <c r="W618" s="939">
        <v>1.0</v>
      </c>
      <c r="X618" s="939">
        <v>0.0</v>
      </c>
      <c r="Y618" s="939">
        <v>4.0</v>
      </c>
      <c r="Z618" s="939">
        <v>12.0</v>
      </c>
      <c r="AA618" s="939">
        <v>123.0</v>
      </c>
      <c r="AB618" s="939">
        <v>115.0</v>
      </c>
      <c r="AC618" s="939">
        <v>8.0</v>
      </c>
      <c r="AD618" s="939">
        <v>7.0</v>
      </c>
      <c r="AE618" s="939">
        <v>9.0</v>
      </c>
      <c r="AF618" s="939">
        <v>1.0</v>
      </c>
      <c r="AG618" s="939">
        <v>2013.0</v>
      </c>
      <c r="AH618" s="939">
        <v>2438.0</v>
      </c>
      <c r="AI618" s="939">
        <v>17.0</v>
      </c>
      <c r="AJ618" s="939">
        <v>457.0</v>
      </c>
      <c r="AK618" s="939">
        <v>0.0</v>
      </c>
      <c r="AL618" s="939">
        <v>3.0</v>
      </c>
      <c r="AM618" s="939">
        <v>0.0</v>
      </c>
      <c r="AN618" s="939">
        <v>0.0</v>
      </c>
      <c r="AO618" s="939">
        <v>0.0</v>
      </c>
      <c r="AP618" s="939">
        <v>1.0</v>
      </c>
      <c r="AQ618" s="939">
        <v>0.0</v>
      </c>
      <c r="AR618" s="939">
        <v>11.0</v>
      </c>
      <c r="AS618" s="939">
        <v>0.0</v>
      </c>
      <c r="AT618" s="939">
        <v>0.0</v>
      </c>
      <c r="AU618" s="939">
        <v>0.0</v>
      </c>
      <c r="AV618" s="939">
        <v>0.0</v>
      </c>
      <c r="AW618" s="939">
        <v>0.0</v>
      </c>
      <c r="AX618" s="939">
        <v>0.0</v>
      </c>
      <c r="AY618" s="939">
        <v>0.0</v>
      </c>
      <c r="AZ618" s="939">
        <v>0.0</v>
      </c>
      <c r="BA618" s="939">
        <v>0.0</v>
      </c>
      <c r="BB618" s="939">
        <v>2.0</v>
      </c>
      <c r="BC618" s="939">
        <v>0.0</v>
      </c>
      <c r="BD618" s="939">
        <v>15.0</v>
      </c>
      <c r="BE618" s="939">
        <v>16.0</v>
      </c>
      <c r="BF618" s="939">
        <v>0.0</v>
      </c>
      <c r="BG618" s="940">
        <v>0.0</v>
      </c>
    </row>
    <row r="619">
      <c r="A619" s="935" t="s">
        <v>136</v>
      </c>
      <c r="B619" s="421" t="str">
        <f>IF(C619&lt;'PlayerGrades+'!$Y$44,"F-",IF(C619&lt;'PlayerGrades+'!$Y$43,"F",IF(C619&lt;'PlayerGrades+'!$Y$42,"F+",IF(C619&lt;'PlayerGrades+'!$Y$41,"E-",IF(C619&lt;'PlayerGrades+'!$Y$40,"E",IF(C619&lt;'PlayerGrades+'!$Y$39,"E+",IF(C619&lt;'PlayerGrades+'!$Y$38,"D-",IF(C619&lt;'PlayerGrades+'!$Y$37,"D",IF(C619&lt;'PlayerGrades+'!$Y$36,"D+",IF(C619&lt;'PlayerGrades+'!$Y$35,"C-",IF(C619&lt;'PlayerGrades+'!$Y$34,"C",IF(C619&lt;'PlayerGrades+'!$Y$33,"C+",IF(C619&lt;'PlayerGrades+'!$Y$32,"B-",IF(C619&lt;'PlayerGrades+'!$Y$31,"B",IF(C619&lt;'PlayerGrades+'!$Y$30,"B+",IF(C619&lt;'PlayerGrades+'!$Y$29,"A-",IF(C619&lt;'PlayerGrades+'!$Y$28,"A",IF(C619&lt;'PlayerGrades+'!$Y$27,"A+",IF(C619&lt;'PlayerGrades+'!$Y$26,"S-",IF(C619&lt;'PlayerGrades+'!$Y$25,"S","S+"))))))))))))))))))))</f>
        <v>C+</v>
      </c>
      <c r="C619" s="972">
        <f>('PlayerGrades+'!$Y$47*(VLOOKUP(E619, 'PlayerGrades+'!$X$3:$Y$23, 2, FALSE)))+('PlayerGrades+'!$Y$48*(VLOOKUP(G619, 'PlayerGrades+'!$X$3:$Y$23, 2, FALSE)))+('PlayerGrades+'!$Y$49*(VLOOKUP(I619, 'PlayerGrades+'!$X$3:$Y$23, 2, FALSE)))+('PlayerGrades+'!$Y$50*(VLOOKUP(K619, 'PlayerGrades+'!$X$3:$Y$23, 2, FALSE)))+('PlayerGrades+'!$Y$51*(VLOOKUP(M619, 'PlayerGrades+'!$X$3:$Y$23, 2, FALSE)))+('PlayerGrades+'!$Y$52*(VLOOKUP(O619, 'PlayerGrades+'!$X$3:$Y$23, 2, FALSE)))+('PlayerGrades+'!$Y$53*(VLOOKUP(Q619, 'PlayerGrades+'!$X$3:$Y$23, 2, FALSE)))+('PlayerGrades+'!$Y$54*(VLOOKUP(S619, 'PlayerGrades+'!$X$3:$Y$23, 2, FALSE)))+('PlayerGrades+'!$Y$55*(VLOOKUP(U619, 'PlayerGrades+'!$X$3:$Y$23, 2, FALSE)))</f>
        <v>21.5</v>
      </c>
      <c r="D619" s="973">
        <f t="shared" si="1"/>
        <v>0.02461033634</v>
      </c>
      <c r="E619" s="973" t="str">
        <f>IF(D619&lt;'PlayerGrades+'!$AA$21,"F-",IF(D619&lt;'PlayerGrades+'!$AA$20,"F",IF(D619&lt;'PlayerGrades+'!$AA$19,"F+",IF(D619&lt;'PlayerGrades+'!$AA$18,"E-",IF(D619&lt;'PlayerGrades+'!$AA$17,"E",IF(D619&lt;'PlayerGrades+'!$AA$16,"E+",IF(D619&lt;'PlayerGrades+'!$AA$15,"D-",IF(D619&lt;'PlayerGrades+'!$AA$14,"D",IF(D619&lt;'PlayerGrades+'!$AA$13,"D+",IF(D619&lt;'PlayerGrades+'!$AA$12,"C-",IF(D619&lt;'PlayerGrades+'!$AA$11,"C",IF(D619&lt;'PlayerGrades+'!$AA$10,"C+",IF(D619&lt;'PlayerGrades+'!$AA$9,"B-",IF(D619&lt;'PlayerGrades+'!$AA$8,"B",IF(D619&lt;'PlayerGrades+'!$AA$7,"B+",IF(D619&lt;'PlayerGrades+'!$AA$6,"A-",IF(D619&lt;'PlayerGrades+'!$AA$5,"A",IF(D619&lt;'PlayerGrades+'!$AA$4,"A+",IF(D619&lt;'PlayerGrades+'!$AA$3,"S-",IF(D619&lt;'PlayerGrades+'!$AA$2,"S","S+"))))))))))))))))))))</f>
        <v>E+</v>
      </c>
      <c r="F619" s="973">
        <f t="shared" si="2"/>
        <v>0.2707136998</v>
      </c>
      <c r="G619" s="973" t="str">
        <f>IF(F619&lt;'PlayerGrades+'!$AB$21,"F-",IF(F619&lt;'PlayerGrades+'!$AB$20,"F",IF(F619&lt;'PlayerGrades+'!$AB$19,"F+",IF(F619&lt;'PlayerGrades+'!$AB$18,"E-",IF(F619&lt;'PlayerGrades+'!$AB$17,"E",IF(F619&lt;'PlayerGrades+'!$AB$16,"E+",IF(F619&lt;'PlayerGrades+'!$AB$15,"D-",IF(F619&lt;'PlayerGrades+'!$AB$14,"D",IF(F619&lt;'PlayerGrades+'!$AB$13,"D+",IF(F619&lt;'PlayerGrades+'!$AB$12,"C-",IF(F619&lt;'PlayerGrades+'!$AB$11,"C",IF(F619&lt;'PlayerGrades+'!$AB$10,"C+",IF(F619&lt;'PlayerGrades+'!$AB$9,"B-",IF(F619&lt;'PlayerGrades+'!$AB$8,"B",IF(F619&lt;'PlayerGrades+'!$AB$7,"B+",IF(F619&lt;'PlayerGrades+'!$AB$6,"A-",IF(F619&lt;'PlayerGrades+'!$AB$5,"A",IF(F619&lt;'PlayerGrades+'!$AB$4,"A+",IF(F619&lt;'PlayerGrades+'!$AB$3,"S-",IF(F619&lt;'PlayerGrades+'!$AB$2,"S","S+"))))))))))))))))))))</f>
        <v>B+</v>
      </c>
      <c r="H619" s="973">
        <f t="shared" si="3"/>
        <v>0</v>
      </c>
      <c r="I619" s="973" t="str">
        <f>IF(H619&lt;'PlayerGrades+'!$AC$21,"F-",IF(H619&lt;'PlayerGrades+'!$AC$20,"F",IF(H619&lt;'PlayerGrades+'!$AC$19,"F+",IF(H619&lt;'PlayerGrades+'!$AC$18,"E-",IF(H619&lt;'PlayerGrades+'!$AC$17,"E",IF(H619&lt;'PlayerGrades+'!$AC$16,"E+",IF(H619&lt;'PlayerGrades+'!$AC$15,"D-",IF(H619&lt;'PlayerGrades+'!$AC$14,"D",IF(H619&lt;'PlayerGrades+'!$AC$13,"D+",IF(H619&lt;'PlayerGrades+'!$AC$12,"C-",IF(H619&lt;'PlayerGrades+'!$AC$11,"C",IF(H619&lt;'PlayerGrades+'!$AC$10,"C+",IF(H619&lt;'PlayerGrades+'!$AC$9,"B-",IF(H619&lt;'PlayerGrades+'!$AC$8,"B",IF(H619&lt;'PlayerGrades+'!$AC$7,"B+",IF(H619&lt;'PlayerGrades+'!$AC$6,"A-",IF(H619&lt;'PlayerGrades+'!$AC$5,"A",IF(H619&lt;'PlayerGrades+'!$AC$4,"A+",IF(H619&lt;'PlayerGrades+'!$AC$3,"S-",IF(H619&lt;'PlayerGrades+'!$AC$2,"S","S+"))))))))))))))))))))</f>
        <v>F-</v>
      </c>
      <c r="J619" s="973">
        <f t="shared" si="4"/>
        <v>0</v>
      </c>
      <c r="K619" s="973" t="str">
        <f>IF(J619&lt;'PlayerGrades+'!$AD$21,"F-",IF(J619&lt;'PlayerGrades+'!$AD$20,"F",IF(J619&lt;'PlayerGrades+'!$AD$19,"F+",IF(J619&lt;'PlayerGrades+'!$AD$18,"E-",IF(J619&lt;'PlayerGrades+'!$AD$17,"E",IF(J619&lt;'PlayerGrades+'!$AD$16,"E+",IF(J619&lt;'PlayerGrades+'!$AD$15,"D-",IF(J619&lt;'PlayerGrades+'!$AD$14,"D",IF(J619&lt;'PlayerGrades+'!$AD$13,"D+",IF(J619&lt;'PlayerGrades+'!$AD$12,"C-",IF(J619&lt;'PlayerGrades+'!$AD$11,"C",IF(J619&lt;'PlayerGrades+'!$AD$10,"C+",IF(J619&lt;'PlayerGrades+'!$AD$9,"B-",IF(J619&lt;'PlayerGrades+'!$AD$8,"B",IF(J619&lt;'PlayerGrades+'!$AD$7,"B+",IF(J619&lt;'PlayerGrades+'!$AD$6,"A-",IF(J619&lt;'PlayerGrades+'!$AD$5,"A",IF(J619&lt;'PlayerGrades+'!$AD$4,"A+",IF(J619&lt;'PlayerGrades+'!$AD$3,"S-",IF(J619&lt;'PlayerGrades+'!$AD$2,"S","S+"))))))))))))))))))))</f>
        <v>F-</v>
      </c>
      <c r="L619" s="974">
        <f t="shared" si="5"/>
        <v>0.7383100902</v>
      </c>
      <c r="M619" s="975" t="str">
        <f>IF(L619&lt;'PlayerGrades+'!$AE$21,"F-",IF(L619&lt;'PlayerGrades+'!$AE$20,"F",IF(L619&lt;'PlayerGrades+'!$AE$19,"F+",IF(L619&lt;'PlayerGrades+'!$AE$18,"E-",IF(L619&lt;'PlayerGrades+'!$AE$17,"E",IF(L619&lt;'PlayerGrades+'!$AE$16,"E+",IF(L619&lt;'PlayerGrades+'!$AE$15,"D-",IF(L619&lt;'PlayerGrades+'!$AE$14,"D",IF(L619&lt;'PlayerGrades+'!$AE$13,"D+",IF(L619&lt;'PlayerGrades+'!$AE$12,"C-",IF(L619&lt;'PlayerGrades+'!$AE$11,"C",IF(L619&lt;'PlayerGrades+'!$AE$10,"C+",IF(L619&lt;'PlayerGrades+'!$AE$9,"B-",IF(L619&lt;'PlayerGrades+'!$AE$8,"B",IF(L619&lt;'PlayerGrades+'!$AE$7,"B+",IF(L619&lt;'PlayerGrades+'!$AE$6,"A-",IF(L619&lt;'PlayerGrades+'!$AE$5,"A",IF(L619&lt;'PlayerGrades+'!$AE$4,"A+",IF(L619&lt;'PlayerGrades+'!$AE$3,"S-",IF(L619&lt;'PlayerGrades+'!$AE$2,"S","S+"))))))))))))))))))))</f>
        <v>S+</v>
      </c>
      <c r="N619" s="973">
        <f t="shared" si="6"/>
        <v>0.1968826907</v>
      </c>
      <c r="O619" s="973" t="str">
        <f>IF(N619&lt;'PlayerGrades+'!$AF$21,"F-",IF(N619&lt;'PlayerGrades+'!$AF$20,"F",IF(N619&lt;'PlayerGrades+'!$AF$19,"F+",IF(N619&lt;'PlayerGrades+'!$AF$18,"E-",IF(N619&lt;'PlayerGrades+'!$AF$17,"E",IF(N619&lt;'PlayerGrades+'!$AF$16,"E+",IF(N619&lt;'PlayerGrades+'!$AF$15,"D-",IF(N619&lt;'PlayerGrades+'!$AF$14,"D",IF(N619&lt;'PlayerGrades+'!$AF$13,"D+",IF(N619&lt;'PlayerGrades+'!$AF$12,"C-",IF(N619&lt;'PlayerGrades+'!$AF$11,"C",IF(N619&lt;'PlayerGrades+'!$AF$10,"C+",IF(N619&lt;'PlayerGrades+'!$AF$9,"B-",IF(N619&lt;'PlayerGrades+'!$AF$8,"B",IF(N619&lt;'PlayerGrades+'!$AF$7,"B+",IF(N619&lt;'PlayerGrades+'!$AF$6,"A-",IF(N619&lt;'PlayerGrades+'!$AF$5,"A",IF(N619&lt;'PlayerGrades+'!$AF$4,"A+",IF(N619&lt;'PlayerGrades+'!$AF$3,"S-",IF(N619&lt;'PlayerGrades+'!$AF$2,"S","S+"))))))))))))))))))))</f>
        <v>S+</v>
      </c>
      <c r="P619" s="973">
        <f t="shared" si="7"/>
        <v>0</v>
      </c>
      <c r="Q619" s="973" t="str">
        <f>IF(P619&lt;'PlayerGrades+'!$AG$21,"F-",IF(P619&lt;'PlayerGrades+'!$AG$20,"F",IF(P619&lt;'PlayerGrades+'!$AG$19,"F+",IF(P619&lt;'PlayerGrades+'!$AG$18,"E-",IF(P619&lt;'PlayerGrades+'!$AG$17,"E",IF(P619&lt;'PlayerGrades+'!$AG$16,"E+",IF(P619&lt;'PlayerGrades+'!$AG$15,"D-",IF(P619&lt;'PlayerGrades+'!$AG$14,"D",IF(P619&lt;'PlayerGrades+'!$AG$13,"D+",IF(P619&lt;'PlayerGrades+'!$AG$12,"C-",IF(P619&lt;'PlayerGrades+'!$AG$11,"C",IF(P619&lt;'PlayerGrades+'!$AG$10,"C+",IF(P619&lt;'PlayerGrades+'!$AG$9,"B-",IF(P619&lt;'PlayerGrades+'!$AG$8,"B",IF(P619&lt;'PlayerGrades+'!$AG$7,"B+",IF(P619&lt;'PlayerGrades+'!$AG$6,"A-",IF(P619&lt;'PlayerGrades+'!$AG$5,"A",IF(P619&lt;'PlayerGrades+'!$AG$4,"A+",IF(P619&lt;'PlayerGrades+'!$AG$3,"S-",IF(P619&lt;'PlayerGrades+'!$AG$2,"S","S+"))))))))))))))))))))</f>
        <v>F</v>
      </c>
      <c r="R619" s="973">
        <f t="shared" si="8"/>
        <v>0.5906480722</v>
      </c>
      <c r="S619" s="973" t="str">
        <f>IF(R619&lt;'PlayerGrades+'!$AH$21,"F-",IF(R619&lt;'PlayerGrades+'!$AH$20,"F",IF(R619&lt;'PlayerGrades+'!$AH$19,"F+",IF(R619&lt;'PlayerGrades+'!$AH$18,"E-",IF(R619&lt;'PlayerGrades+'!$AH$17,"E",IF(R619&lt;'PlayerGrades+'!$AH$16,"E+",IF(R619&lt;'PlayerGrades+'!$AH$15,"D-",IF(R619&lt;'PlayerGrades+'!$AH$14,"D",IF(R619&lt;'PlayerGrades+'!$AH$13,"D+",IF(R619&lt;'PlayerGrades+'!$AH$12,"C-",IF(R619&lt;'PlayerGrades+'!$AH$11,"C",IF(R619&lt;'PlayerGrades+'!$AH$10,"C+",IF(R619&lt;'PlayerGrades+'!$AH$9,"B-",IF(R619&lt;'PlayerGrades+'!$AH$8,"B",IF(R619&lt;'PlayerGrades+'!$AH$7,"B+",IF(R619&lt;'PlayerGrades+'!$AH$6,"A-",IF(R619&lt;'PlayerGrades+'!$AH$5,"A",IF(R619&lt;'PlayerGrades+'!$AH$4,"A+",IF(R619&lt;'PlayerGrades+'!$AH$3,"S-",IF(R619&lt;'PlayerGrades+'!$AH$2,"S","S+"))))))))))))))))))))</f>
        <v>B+</v>
      </c>
      <c r="T619" s="973">
        <f t="shared" si="9"/>
        <v>0.4922067268</v>
      </c>
      <c r="U619" s="973" t="str">
        <f>IF(T619&lt;'PlayerGrades+'!$AI$21,"F-",IF(T619&lt;'PlayerGrades+'!$AI$20,"F",IF(T619&lt;'PlayerGrades+'!$AI$19,"F+",IF(T619&lt;'PlayerGrades+'!$AI$18,"E-",IF(T619&lt;'PlayerGrades+'!$AI$17,"E",IF(T619&lt;'PlayerGrades+'!$AI$16,"E+",IF(T619&lt;'PlayerGrades+'!$AI$15,"D-",IF(T619&lt;'PlayerGrades+'!$AI$14,"D",IF(T619&lt;'PlayerGrades+'!$AI$13,"D+",IF(T619&lt;'PlayerGrades+'!$AI$12,"C-",IF(T619&lt;'PlayerGrades+'!$AI$11,"C",IF(T619&lt;'PlayerGrades+'!$AI$10,"C+",IF(T619&lt;'PlayerGrades+'!$AI$9,"B-",IF(T619&lt;'PlayerGrades+'!$AI$8,"B",IF(T619&lt;'PlayerGrades+'!$AI$7,"B+",IF(T619&lt;'PlayerGrades+'!$AI$6,"A-",IF(T619&lt;'PlayerGrades+'!$AI$5,"A",IF(T619&lt;'PlayerGrades+'!$AI$4,"A+",IF(T619&lt;'PlayerGrades+'!$AI$3,"S-",IF(T619&lt;'PlayerGrades+'!$AI$2,"S","S+"))))))))))))))))))))</f>
        <v>F-</v>
      </c>
      <c r="V619" s="941">
        <v>1.0</v>
      </c>
      <c r="W619" s="941">
        <v>1.0</v>
      </c>
      <c r="X619" s="941">
        <v>0.0</v>
      </c>
      <c r="Y619" s="941">
        <v>1.0</v>
      </c>
      <c r="Z619" s="941">
        <v>0.0</v>
      </c>
      <c r="AA619" s="941">
        <v>169.0</v>
      </c>
      <c r="AB619" s="941">
        <v>158.0</v>
      </c>
      <c r="AC619" s="941">
        <v>11.0</v>
      </c>
      <c r="AD619" s="941">
        <v>6.0</v>
      </c>
      <c r="AE619" s="941">
        <v>4.0</v>
      </c>
      <c r="AF619" s="941">
        <v>2.0</v>
      </c>
      <c r="AG619" s="941">
        <v>1885.0</v>
      </c>
      <c r="AH619" s="941">
        <v>2438.0</v>
      </c>
      <c r="AI619" s="941">
        <v>11.0</v>
      </c>
      <c r="AJ619" s="941">
        <v>32.0</v>
      </c>
      <c r="AK619" s="941">
        <v>0.0</v>
      </c>
      <c r="AL619" s="941">
        <v>0.0</v>
      </c>
      <c r="AM619" s="941">
        <v>0.0</v>
      </c>
      <c r="AN619" s="941">
        <v>0.0</v>
      </c>
      <c r="AO619" s="941">
        <v>0.0</v>
      </c>
      <c r="AP619" s="941">
        <v>0.0</v>
      </c>
      <c r="AQ619" s="941">
        <v>0.0</v>
      </c>
      <c r="AR619" s="941">
        <v>30.0</v>
      </c>
      <c r="AS619" s="941">
        <v>8.0</v>
      </c>
      <c r="AT619" s="941">
        <v>1.0</v>
      </c>
      <c r="AU619" s="941">
        <v>0.0</v>
      </c>
      <c r="AV619" s="941">
        <v>0.0</v>
      </c>
      <c r="AW619" s="941">
        <v>0.0</v>
      </c>
      <c r="AX619" s="941">
        <v>0.0</v>
      </c>
      <c r="AY619" s="941">
        <v>0.0</v>
      </c>
      <c r="AZ619" s="941">
        <v>0.0</v>
      </c>
      <c r="BA619" s="941">
        <v>0.0</v>
      </c>
      <c r="BB619" s="941">
        <v>0.0</v>
      </c>
      <c r="BC619" s="941">
        <v>0.0</v>
      </c>
      <c r="BD619" s="941">
        <v>18.0</v>
      </c>
      <c r="BE619" s="941">
        <v>20.0</v>
      </c>
      <c r="BF619" s="941">
        <v>0.0</v>
      </c>
      <c r="BG619" s="942">
        <v>0.0</v>
      </c>
    </row>
    <row r="620">
      <c r="A620" s="935" t="s">
        <v>147</v>
      </c>
      <c r="B620" s="421" t="str">
        <f>IF(C620&lt;'PlayerGrades+'!$Y$44,"F-",IF(C620&lt;'PlayerGrades+'!$Y$43,"F",IF(C620&lt;'PlayerGrades+'!$Y$42,"F+",IF(C620&lt;'PlayerGrades+'!$Y$41,"E-",IF(C620&lt;'PlayerGrades+'!$Y$40,"E",IF(C620&lt;'PlayerGrades+'!$Y$39,"E+",IF(C620&lt;'PlayerGrades+'!$Y$38,"D-",IF(C620&lt;'PlayerGrades+'!$Y$37,"D",IF(C620&lt;'PlayerGrades+'!$Y$36,"D+",IF(C620&lt;'PlayerGrades+'!$Y$35,"C-",IF(C620&lt;'PlayerGrades+'!$Y$34,"C",IF(C620&lt;'PlayerGrades+'!$Y$33,"C+",IF(C620&lt;'PlayerGrades+'!$Y$32,"B-",IF(C620&lt;'PlayerGrades+'!$Y$31,"B",IF(C620&lt;'PlayerGrades+'!$Y$30,"B+",IF(C620&lt;'PlayerGrades+'!$Y$29,"A-",IF(C620&lt;'PlayerGrades+'!$Y$28,"A",IF(C620&lt;'PlayerGrades+'!$Y$27,"A+",IF(C620&lt;'PlayerGrades+'!$Y$26,"S-",IF(C620&lt;'PlayerGrades+'!$Y$25,"S","S+"))))))))))))))))))))</f>
        <v>F</v>
      </c>
      <c r="C620" s="972">
        <f>('PlayerGrades+'!$Y$47*(VLOOKUP(E620, 'PlayerGrades+'!$X$3:$Y$23, 2, FALSE)))+('PlayerGrades+'!$Y$48*(VLOOKUP(G620, 'PlayerGrades+'!$X$3:$Y$23, 2, FALSE)))+('PlayerGrades+'!$Y$49*(VLOOKUP(I620, 'PlayerGrades+'!$X$3:$Y$23, 2, FALSE)))+('PlayerGrades+'!$Y$50*(VLOOKUP(K620, 'PlayerGrades+'!$X$3:$Y$23, 2, FALSE)))+('PlayerGrades+'!$Y$51*(VLOOKUP(M620, 'PlayerGrades+'!$X$3:$Y$23, 2, FALSE)))+('PlayerGrades+'!$Y$52*(VLOOKUP(O620, 'PlayerGrades+'!$X$3:$Y$23, 2, FALSE)))+('PlayerGrades+'!$Y$53*(VLOOKUP(Q620, 'PlayerGrades+'!$X$3:$Y$23, 2, FALSE)))+('PlayerGrades+'!$Y$54*(VLOOKUP(S620, 'PlayerGrades+'!$X$3:$Y$23, 2, FALSE)))+('PlayerGrades+'!$Y$55*(VLOOKUP(U620, 'PlayerGrades+'!$X$3:$Y$23, 2, FALSE)))</f>
        <v>8.6</v>
      </c>
      <c r="D620" s="973">
        <f t="shared" si="1"/>
        <v>0</v>
      </c>
      <c r="E620" s="973" t="str">
        <f>IF(D620&lt;'PlayerGrades+'!$AA$21,"F-",IF(D620&lt;'PlayerGrades+'!$AA$20,"F",IF(D620&lt;'PlayerGrades+'!$AA$19,"F+",IF(D620&lt;'PlayerGrades+'!$AA$18,"E-",IF(D620&lt;'PlayerGrades+'!$AA$17,"E",IF(D620&lt;'PlayerGrades+'!$AA$16,"E+",IF(D620&lt;'PlayerGrades+'!$AA$15,"D-",IF(D620&lt;'PlayerGrades+'!$AA$14,"D",IF(D620&lt;'PlayerGrades+'!$AA$13,"D+",IF(D620&lt;'PlayerGrades+'!$AA$12,"C-",IF(D620&lt;'PlayerGrades+'!$AA$11,"C",IF(D620&lt;'PlayerGrades+'!$AA$10,"C+",IF(D620&lt;'PlayerGrades+'!$AA$9,"B-",IF(D620&lt;'PlayerGrades+'!$AA$8,"B",IF(D620&lt;'PlayerGrades+'!$AA$7,"B+",IF(D620&lt;'PlayerGrades+'!$AA$6,"A-",IF(D620&lt;'PlayerGrades+'!$AA$5,"A",IF(D620&lt;'PlayerGrades+'!$AA$4,"A+",IF(D620&lt;'PlayerGrades+'!$AA$3,"S-",IF(D620&lt;'PlayerGrades+'!$AA$2,"S","S+"))))))))))))))))))))</f>
        <v>F-</v>
      </c>
      <c r="F620" s="973">
        <f t="shared" si="2"/>
        <v>-0.9844134537</v>
      </c>
      <c r="G620" s="973" t="str">
        <f>IF(F620&lt;'PlayerGrades+'!$AB$21,"F-",IF(F620&lt;'PlayerGrades+'!$AB$20,"F",IF(F620&lt;'PlayerGrades+'!$AB$19,"F+",IF(F620&lt;'PlayerGrades+'!$AB$18,"E-",IF(F620&lt;'PlayerGrades+'!$AB$17,"E",IF(F620&lt;'PlayerGrades+'!$AB$16,"E+",IF(F620&lt;'PlayerGrades+'!$AB$15,"D-",IF(F620&lt;'PlayerGrades+'!$AB$14,"D",IF(F620&lt;'PlayerGrades+'!$AB$13,"D+",IF(F620&lt;'PlayerGrades+'!$AB$12,"C-",IF(F620&lt;'PlayerGrades+'!$AB$11,"C",IF(F620&lt;'PlayerGrades+'!$AB$10,"C+",IF(F620&lt;'PlayerGrades+'!$AB$9,"B-",IF(F620&lt;'PlayerGrades+'!$AB$8,"B",IF(F620&lt;'PlayerGrades+'!$AB$7,"B+",IF(F620&lt;'PlayerGrades+'!$AB$6,"A-",IF(F620&lt;'PlayerGrades+'!$AB$5,"A",IF(F620&lt;'PlayerGrades+'!$AB$4,"A+",IF(F620&lt;'PlayerGrades+'!$AB$3,"S-",IF(F620&lt;'PlayerGrades+'!$AB$2,"S","S+"))))))))))))))))))))</f>
        <v>F</v>
      </c>
      <c r="H620" s="973">
        <f t="shared" si="3"/>
        <v>0.1230516817</v>
      </c>
      <c r="I620" s="973" t="str">
        <f>IF(H620&lt;'PlayerGrades+'!$AC$21,"F-",IF(H620&lt;'PlayerGrades+'!$AC$20,"F",IF(H620&lt;'PlayerGrades+'!$AC$19,"F+",IF(H620&lt;'PlayerGrades+'!$AC$18,"E-",IF(H620&lt;'PlayerGrades+'!$AC$17,"E",IF(H620&lt;'PlayerGrades+'!$AC$16,"E+",IF(H620&lt;'PlayerGrades+'!$AC$15,"D-",IF(H620&lt;'PlayerGrades+'!$AC$14,"D",IF(H620&lt;'PlayerGrades+'!$AC$13,"D+",IF(H620&lt;'PlayerGrades+'!$AC$12,"C-",IF(H620&lt;'PlayerGrades+'!$AC$11,"C",IF(H620&lt;'PlayerGrades+'!$AC$10,"C+",IF(H620&lt;'PlayerGrades+'!$AC$9,"B-",IF(H620&lt;'PlayerGrades+'!$AC$8,"B",IF(H620&lt;'PlayerGrades+'!$AC$7,"B+",IF(H620&lt;'PlayerGrades+'!$AC$6,"A-",IF(H620&lt;'PlayerGrades+'!$AC$5,"A",IF(H620&lt;'PlayerGrades+'!$AC$4,"A+",IF(H620&lt;'PlayerGrades+'!$AC$3,"S-",IF(H620&lt;'PlayerGrades+'!$AC$2,"S","S+"))))))))))))))))))))</f>
        <v>B-</v>
      </c>
      <c r="J620" s="973">
        <f t="shared" si="4"/>
        <v>0</v>
      </c>
      <c r="K620" s="973" t="str">
        <f>IF(J620&lt;'PlayerGrades+'!$AD$21,"F-",IF(J620&lt;'PlayerGrades+'!$AD$20,"F",IF(J620&lt;'PlayerGrades+'!$AD$19,"F+",IF(J620&lt;'PlayerGrades+'!$AD$18,"E-",IF(J620&lt;'PlayerGrades+'!$AD$17,"E",IF(J620&lt;'PlayerGrades+'!$AD$16,"E+",IF(J620&lt;'PlayerGrades+'!$AD$15,"D-",IF(J620&lt;'PlayerGrades+'!$AD$14,"D",IF(J620&lt;'PlayerGrades+'!$AD$13,"D+",IF(J620&lt;'PlayerGrades+'!$AD$12,"C-",IF(J620&lt;'PlayerGrades+'!$AD$11,"C",IF(J620&lt;'PlayerGrades+'!$AD$10,"C+",IF(J620&lt;'PlayerGrades+'!$AD$9,"B-",IF(J620&lt;'PlayerGrades+'!$AD$8,"B",IF(J620&lt;'PlayerGrades+'!$AD$7,"B+",IF(J620&lt;'PlayerGrades+'!$AD$6,"A-",IF(J620&lt;'PlayerGrades+'!$AD$5,"A",IF(J620&lt;'PlayerGrades+'!$AD$4,"A+",IF(J620&lt;'PlayerGrades+'!$AD$3,"S-",IF(J620&lt;'PlayerGrades+'!$AD$2,"S","S+"))))))))))))))))))))</f>
        <v>F-</v>
      </c>
      <c r="L620" s="974">
        <f t="shared" si="5"/>
        <v>0.1968826907</v>
      </c>
      <c r="M620" s="975" t="str">
        <f>IF(L620&lt;'PlayerGrades+'!$AE$21,"F-",IF(L620&lt;'PlayerGrades+'!$AE$20,"F",IF(L620&lt;'PlayerGrades+'!$AE$19,"F+",IF(L620&lt;'PlayerGrades+'!$AE$18,"E-",IF(L620&lt;'PlayerGrades+'!$AE$17,"E",IF(L620&lt;'PlayerGrades+'!$AE$16,"E+",IF(L620&lt;'PlayerGrades+'!$AE$15,"D-",IF(L620&lt;'PlayerGrades+'!$AE$14,"D",IF(L620&lt;'PlayerGrades+'!$AE$13,"D+",IF(L620&lt;'PlayerGrades+'!$AE$12,"C-",IF(L620&lt;'PlayerGrades+'!$AE$11,"C",IF(L620&lt;'PlayerGrades+'!$AE$10,"C+",IF(L620&lt;'PlayerGrades+'!$AE$9,"B-",IF(L620&lt;'PlayerGrades+'!$AE$8,"B",IF(L620&lt;'PlayerGrades+'!$AE$7,"B+",IF(L620&lt;'PlayerGrades+'!$AE$6,"A-",IF(L620&lt;'PlayerGrades+'!$AE$5,"A",IF(L620&lt;'PlayerGrades+'!$AE$4,"A+",IF(L620&lt;'PlayerGrades+'!$AE$3,"S-",IF(L620&lt;'PlayerGrades+'!$AE$2,"S","S+"))))))))))))))))))))</f>
        <v>F</v>
      </c>
      <c r="N620" s="973">
        <f t="shared" si="6"/>
        <v>0</v>
      </c>
      <c r="O620" s="973" t="str">
        <f>IF(N620&lt;'PlayerGrades+'!$AF$21,"F-",IF(N620&lt;'PlayerGrades+'!$AF$20,"F",IF(N620&lt;'PlayerGrades+'!$AF$19,"F+",IF(N620&lt;'PlayerGrades+'!$AF$18,"E-",IF(N620&lt;'PlayerGrades+'!$AF$17,"E",IF(N620&lt;'PlayerGrades+'!$AF$16,"E+",IF(N620&lt;'PlayerGrades+'!$AF$15,"D-",IF(N620&lt;'PlayerGrades+'!$AF$14,"D",IF(N620&lt;'PlayerGrades+'!$AF$13,"D+",IF(N620&lt;'PlayerGrades+'!$AF$12,"C-",IF(N620&lt;'PlayerGrades+'!$AF$11,"C",IF(N620&lt;'PlayerGrades+'!$AF$10,"C+",IF(N620&lt;'PlayerGrades+'!$AF$9,"B-",IF(N620&lt;'PlayerGrades+'!$AF$8,"B",IF(N620&lt;'PlayerGrades+'!$AF$7,"B+",IF(N620&lt;'PlayerGrades+'!$AF$6,"A-",IF(N620&lt;'PlayerGrades+'!$AF$5,"A",IF(N620&lt;'PlayerGrades+'!$AF$4,"A+",IF(N620&lt;'PlayerGrades+'!$AF$3,"S-",IF(N620&lt;'PlayerGrades+'!$AF$2,"S","S+"))))))))))))))))))))</f>
        <v>F-</v>
      </c>
      <c r="P620" s="973">
        <f t="shared" si="7"/>
        <v>0</v>
      </c>
      <c r="Q620" s="973" t="str">
        <f>IF(P620&lt;'PlayerGrades+'!$AG$21,"F-",IF(P620&lt;'PlayerGrades+'!$AG$20,"F",IF(P620&lt;'PlayerGrades+'!$AG$19,"F+",IF(P620&lt;'PlayerGrades+'!$AG$18,"E-",IF(P620&lt;'PlayerGrades+'!$AG$17,"E",IF(P620&lt;'PlayerGrades+'!$AG$16,"E+",IF(P620&lt;'PlayerGrades+'!$AG$15,"D-",IF(P620&lt;'PlayerGrades+'!$AG$14,"D",IF(P620&lt;'PlayerGrades+'!$AG$13,"D+",IF(P620&lt;'PlayerGrades+'!$AG$12,"C-",IF(P620&lt;'PlayerGrades+'!$AG$11,"C",IF(P620&lt;'PlayerGrades+'!$AG$10,"C+",IF(P620&lt;'PlayerGrades+'!$AG$9,"B-",IF(P620&lt;'PlayerGrades+'!$AG$8,"B",IF(P620&lt;'PlayerGrades+'!$AG$7,"B+",IF(P620&lt;'PlayerGrades+'!$AG$6,"A-",IF(P620&lt;'PlayerGrades+'!$AG$5,"A",IF(P620&lt;'PlayerGrades+'!$AG$4,"A+",IF(P620&lt;'PlayerGrades+'!$AG$3,"S-",IF(P620&lt;'PlayerGrades+'!$AG$2,"S","S+"))))))))))))))))))))</f>
        <v>F</v>
      </c>
      <c r="R620" s="973">
        <f t="shared" si="8"/>
        <v>0.3691550451</v>
      </c>
      <c r="S620" s="973" t="str">
        <f>IF(R620&lt;'PlayerGrades+'!$AH$21,"F-",IF(R620&lt;'PlayerGrades+'!$AH$20,"F",IF(R620&lt;'PlayerGrades+'!$AH$19,"F+",IF(R620&lt;'PlayerGrades+'!$AH$18,"E-",IF(R620&lt;'PlayerGrades+'!$AH$17,"E",IF(R620&lt;'PlayerGrades+'!$AH$16,"E+",IF(R620&lt;'PlayerGrades+'!$AH$15,"D-",IF(R620&lt;'PlayerGrades+'!$AH$14,"D",IF(R620&lt;'PlayerGrades+'!$AH$13,"D+",IF(R620&lt;'PlayerGrades+'!$AH$12,"C-",IF(R620&lt;'PlayerGrades+'!$AH$11,"C",IF(R620&lt;'PlayerGrades+'!$AH$10,"C+",IF(R620&lt;'PlayerGrades+'!$AH$9,"B-",IF(R620&lt;'PlayerGrades+'!$AH$8,"B",IF(R620&lt;'PlayerGrades+'!$AH$7,"B+",IF(R620&lt;'PlayerGrades+'!$AH$6,"A-",IF(R620&lt;'PlayerGrades+'!$AH$5,"A",IF(R620&lt;'PlayerGrades+'!$AH$4,"A+",IF(R620&lt;'PlayerGrades+'!$AH$3,"S-",IF(R620&lt;'PlayerGrades+'!$AH$2,"S","S+"))))))))))))))))))))</f>
        <v>F</v>
      </c>
      <c r="T620" s="973">
        <f t="shared" si="9"/>
        <v>2.344544709</v>
      </c>
      <c r="U620" s="973" t="str">
        <f>IF(T620&lt;'PlayerGrades+'!$AI$21,"F-",IF(T620&lt;'PlayerGrades+'!$AI$20,"F",IF(T620&lt;'PlayerGrades+'!$AI$19,"F+",IF(T620&lt;'PlayerGrades+'!$AI$18,"E-",IF(T620&lt;'PlayerGrades+'!$AI$17,"E",IF(T620&lt;'PlayerGrades+'!$AI$16,"E+",IF(T620&lt;'PlayerGrades+'!$AI$15,"D-",IF(T620&lt;'PlayerGrades+'!$AI$14,"D",IF(T620&lt;'PlayerGrades+'!$AI$13,"D+",IF(T620&lt;'PlayerGrades+'!$AI$12,"C-",IF(T620&lt;'PlayerGrades+'!$AI$11,"C",IF(T620&lt;'PlayerGrades+'!$AI$10,"C+",IF(T620&lt;'PlayerGrades+'!$AI$9,"B-",IF(T620&lt;'PlayerGrades+'!$AI$8,"B",IF(T620&lt;'PlayerGrades+'!$AI$7,"B+",IF(T620&lt;'PlayerGrades+'!$AI$6,"A-",IF(T620&lt;'PlayerGrades+'!$AI$5,"A",IF(T620&lt;'PlayerGrades+'!$AI$4,"A+",IF(T620&lt;'PlayerGrades+'!$AI$3,"S-",IF(T620&lt;'PlayerGrades+'!$AI$2,"S","S+"))))))))))))))))))))</f>
        <v>S+</v>
      </c>
      <c r="V620" s="941">
        <v>1.0</v>
      </c>
      <c r="W620" s="941">
        <v>1.0</v>
      </c>
      <c r="X620" s="941">
        <v>0.0</v>
      </c>
      <c r="Y620" s="941">
        <v>0.0</v>
      </c>
      <c r="Z620" s="941">
        <v>0.0</v>
      </c>
      <c r="AA620" s="941">
        <v>102.0</v>
      </c>
      <c r="AB620" s="941">
        <v>142.0</v>
      </c>
      <c r="AC620" s="941">
        <v>-40.0</v>
      </c>
      <c r="AD620" s="941">
        <v>10.0</v>
      </c>
      <c r="AE620" s="941">
        <v>4.0</v>
      </c>
      <c r="AF620" s="941">
        <v>2.0</v>
      </c>
      <c r="AG620" s="941">
        <v>1932.0</v>
      </c>
      <c r="AH620" s="941">
        <v>2438.0</v>
      </c>
      <c r="AI620" s="941">
        <v>13.0</v>
      </c>
      <c r="AJ620" s="941">
        <v>6.0</v>
      </c>
      <c r="AK620" s="941">
        <v>0.0</v>
      </c>
      <c r="AL620" s="941">
        <v>0.0</v>
      </c>
      <c r="AM620" s="941">
        <v>0.0</v>
      </c>
      <c r="AN620" s="941">
        <v>0.0</v>
      </c>
      <c r="AO620" s="941">
        <v>0.0</v>
      </c>
      <c r="AP620" s="941">
        <v>0.0</v>
      </c>
      <c r="AQ620" s="941">
        <v>0.0</v>
      </c>
      <c r="AR620" s="941">
        <v>8.0</v>
      </c>
      <c r="AS620" s="941">
        <v>0.0</v>
      </c>
      <c r="AT620" s="941">
        <v>0.0</v>
      </c>
      <c r="AU620" s="941">
        <v>0.0</v>
      </c>
      <c r="AV620" s="941">
        <v>0.0</v>
      </c>
      <c r="AW620" s="941">
        <v>0.0</v>
      </c>
      <c r="AX620" s="941">
        <v>0.0</v>
      </c>
      <c r="AY620" s="941">
        <v>0.0</v>
      </c>
      <c r="AZ620" s="941">
        <v>0.0</v>
      </c>
      <c r="BA620" s="941">
        <v>0.0</v>
      </c>
      <c r="BB620" s="941">
        <v>5.0</v>
      </c>
      <c r="BC620" s="941">
        <v>0.0</v>
      </c>
      <c r="BD620" s="941">
        <v>5.0</v>
      </c>
      <c r="BE620" s="941">
        <v>14.0</v>
      </c>
      <c r="BF620" s="941">
        <v>2.0</v>
      </c>
      <c r="BG620" s="942">
        <v>0.0</v>
      </c>
    </row>
    <row r="621">
      <c r="A621" s="935" t="s">
        <v>114</v>
      </c>
      <c r="B621" s="421" t="str">
        <f>IF(C621&lt;'PlayerGrades+'!$Y$44,"F-",IF(C621&lt;'PlayerGrades+'!$Y$43,"F",IF(C621&lt;'PlayerGrades+'!$Y$42,"F+",IF(C621&lt;'PlayerGrades+'!$Y$41,"E-",IF(C621&lt;'PlayerGrades+'!$Y$40,"E",IF(C621&lt;'PlayerGrades+'!$Y$39,"E+",IF(C621&lt;'PlayerGrades+'!$Y$38,"D-",IF(C621&lt;'PlayerGrades+'!$Y$37,"D",IF(C621&lt;'PlayerGrades+'!$Y$36,"D+",IF(C621&lt;'PlayerGrades+'!$Y$35,"C-",IF(C621&lt;'PlayerGrades+'!$Y$34,"C",IF(C621&lt;'PlayerGrades+'!$Y$33,"C+",IF(C621&lt;'PlayerGrades+'!$Y$32,"B-",IF(C621&lt;'PlayerGrades+'!$Y$31,"B",IF(C621&lt;'PlayerGrades+'!$Y$30,"B+",IF(C621&lt;'PlayerGrades+'!$Y$29,"A-",IF(C621&lt;'PlayerGrades+'!$Y$28,"A",IF(C621&lt;'PlayerGrades+'!$Y$27,"A+",IF(C621&lt;'PlayerGrades+'!$Y$26,"S-",IF(C621&lt;'PlayerGrades+'!$Y$25,"S","S+"))))))))))))))))))))</f>
        <v>D</v>
      </c>
      <c r="C621" s="972">
        <f>('PlayerGrades+'!$Y$47*(VLOOKUP(E621, 'PlayerGrades+'!$X$3:$Y$23, 2, FALSE)))+('PlayerGrades+'!$Y$48*(VLOOKUP(G621, 'PlayerGrades+'!$X$3:$Y$23, 2, FALSE)))+('PlayerGrades+'!$Y$49*(VLOOKUP(I621, 'PlayerGrades+'!$X$3:$Y$23, 2, FALSE)))+('PlayerGrades+'!$Y$50*(VLOOKUP(K621, 'PlayerGrades+'!$X$3:$Y$23, 2, FALSE)))+('PlayerGrades+'!$Y$51*(VLOOKUP(M621, 'PlayerGrades+'!$X$3:$Y$23, 2, FALSE)))+('PlayerGrades+'!$Y$52*(VLOOKUP(O621, 'PlayerGrades+'!$X$3:$Y$23, 2, FALSE)))+('PlayerGrades+'!$Y$53*(VLOOKUP(Q621, 'PlayerGrades+'!$X$3:$Y$23, 2, FALSE)))+('PlayerGrades+'!$Y$54*(VLOOKUP(S621, 'PlayerGrades+'!$X$3:$Y$23, 2, FALSE)))+('PlayerGrades+'!$Y$55*(VLOOKUP(U621, 'PlayerGrades+'!$X$3:$Y$23, 2, FALSE)))</f>
        <v>15.95</v>
      </c>
      <c r="D621" s="973">
        <f t="shared" si="1"/>
        <v>0.4922067268</v>
      </c>
      <c r="E621" s="973" t="str">
        <f>IF(D621&lt;'PlayerGrades+'!$AA$21,"F-",IF(D621&lt;'PlayerGrades+'!$AA$20,"F",IF(D621&lt;'PlayerGrades+'!$AA$19,"F+",IF(D621&lt;'PlayerGrades+'!$AA$18,"E-",IF(D621&lt;'PlayerGrades+'!$AA$17,"E",IF(D621&lt;'PlayerGrades+'!$AA$16,"E+",IF(D621&lt;'PlayerGrades+'!$AA$15,"D-",IF(D621&lt;'PlayerGrades+'!$AA$14,"D",IF(D621&lt;'PlayerGrades+'!$AA$13,"D+",IF(D621&lt;'PlayerGrades+'!$AA$12,"C-",IF(D621&lt;'PlayerGrades+'!$AA$11,"C",IF(D621&lt;'PlayerGrades+'!$AA$10,"C+",IF(D621&lt;'PlayerGrades+'!$AA$9,"B-",IF(D621&lt;'PlayerGrades+'!$AA$8,"B",IF(D621&lt;'PlayerGrades+'!$AA$7,"B+",IF(D621&lt;'PlayerGrades+'!$AA$6,"A-",IF(D621&lt;'PlayerGrades+'!$AA$5,"A",IF(D621&lt;'PlayerGrades+'!$AA$4,"A+",IF(D621&lt;'PlayerGrades+'!$AA$3,"S-",IF(D621&lt;'PlayerGrades+'!$AA$2,"S","S+"))))))))))))))))))))</f>
        <v>A+</v>
      </c>
      <c r="F621" s="973">
        <f t="shared" si="2"/>
        <v>-0.04922067268</v>
      </c>
      <c r="G621" s="973" t="str">
        <f>IF(F621&lt;'PlayerGrades+'!$AB$21,"F-",IF(F621&lt;'PlayerGrades+'!$AB$20,"F",IF(F621&lt;'PlayerGrades+'!$AB$19,"F+",IF(F621&lt;'PlayerGrades+'!$AB$18,"E-",IF(F621&lt;'PlayerGrades+'!$AB$17,"E",IF(F621&lt;'PlayerGrades+'!$AB$16,"E+",IF(F621&lt;'PlayerGrades+'!$AB$15,"D-",IF(F621&lt;'PlayerGrades+'!$AB$14,"D",IF(F621&lt;'PlayerGrades+'!$AB$13,"D+",IF(F621&lt;'PlayerGrades+'!$AB$12,"C-",IF(F621&lt;'PlayerGrades+'!$AB$11,"C",IF(F621&lt;'PlayerGrades+'!$AB$10,"C+",IF(F621&lt;'PlayerGrades+'!$AB$9,"B-",IF(F621&lt;'PlayerGrades+'!$AB$8,"B",IF(F621&lt;'PlayerGrades+'!$AB$7,"B+",IF(F621&lt;'PlayerGrades+'!$AB$6,"A-",IF(F621&lt;'PlayerGrades+'!$AB$5,"A",IF(F621&lt;'PlayerGrades+'!$AB$4,"A+",IF(F621&lt;'PlayerGrades+'!$AB$3,"S-",IF(F621&lt;'PlayerGrades+'!$AB$2,"S","S+"))))))))))))))))))))</f>
        <v>B-</v>
      </c>
      <c r="H621" s="973">
        <f t="shared" si="3"/>
        <v>0.09844134537</v>
      </c>
      <c r="I621" s="973" t="str">
        <f>IF(H621&lt;'PlayerGrades+'!$AC$21,"F-",IF(H621&lt;'PlayerGrades+'!$AC$20,"F",IF(H621&lt;'PlayerGrades+'!$AC$19,"F+",IF(H621&lt;'PlayerGrades+'!$AC$18,"E-",IF(H621&lt;'PlayerGrades+'!$AC$17,"E",IF(H621&lt;'PlayerGrades+'!$AC$16,"E+",IF(H621&lt;'PlayerGrades+'!$AC$15,"D-",IF(H621&lt;'PlayerGrades+'!$AC$14,"D",IF(H621&lt;'PlayerGrades+'!$AC$13,"D+",IF(H621&lt;'PlayerGrades+'!$AC$12,"C-",IF(H621&lt;'PlayerGrades+'!$AC$11,"C",IF(H621&lt;'PlayerGrades+'!$AC$10,"C+",IF(H621&lt;'PlayerGrades+'!$AC$9,"B-",IF(H621&lt;'PlayerGrades+'!$AC$8,"B",IF(H621&lt;'PlayerGrades+'!$AC$7,"B+",IF(H621&lt;'PlayerGrades+'!$AC$6,"A-",IF(H621&lt;'PlayerGrades+'!$AC$5,"A",IF(H621&lt;'PlayerGrades+'!$AC$4,"A+",IF(H621&lt;'PlayerGrades+'!$AC$3,"S-",IF(H621&lt;'PlayerGrades+'!$AC$2,"S","S+"))))))))))))))))))))</f>
        <v>C-</v>
      </c>
      <c r="J621" s="973">
        <f t="shared" si="4"/>
        <v>0.04922067268</v>
      </c>
      <c r="K621" s="973" t="str">
        <f>IF(J621&lt;'PlayerGrades+'!$AD$21,"F-",IF(J621&lt;'PlayerGrades+'!$AD$20,"F",IF(J621&lt;'PlayerGrades+'!$AD$19,"F+",IF(J621&lt;'PlayerGrades+'!$AD$18,"E-",IF(J621&lt;'PlayerGrades+'!$AD$17,"E",IF(J621&lt;'PlayerGrades+'!$AD$16,"E+",IF(J621&lt;'PlayerGrades+'!$AD$15,"D-",IF(J621&lt;'PlayerGrades+'!$AD$14,"D",IF(J621&lt;'PlayerGrades+'!$AD$13,"D+",IF(J621&lt;'PlayerGrades+'!$AD$12,"C-",IF(J621&lt;'PlayerGrades+'!$AD$11,"C",IF(J621&lt;'PlayerGrades+'!$AD$10,"C+",IF(J621&lt;'PlayerGrades+'!$AD$9,"B-",IF(J621&lt;'PlayerGrades+'!$AD$8,"B",IF(J621&lt;'PlayerGrades+'!$AD$7,"B+",IF(J621&lt;'PlayerGrades+'!$AD$6,"A-",IF(J621&lt;'PlayerGrades+'!$AD$5,"A",IF(J621&lt;'PlayerGrades+'!$AD$4,"A+",IF(J621&lt;'PlayerGrades+'!$AD$3,"S-",IF(J621&lt;'PlayerGrades+'!$AD$2,"S","S+"))))))))))))))))))))</f>
        <v>B</v>
      </c>
      <c r="L621" s="974">
        <f t="shared" si="5"/>
        <v>0.2461033634</v>
      </c>
      <c r="M621" s="975" t="str">
        <f>IF(L621&lt;'PlayerGrades+'!$AE$21,"F-",IF(L621&lt;'PlayerGrades+'!$AE$20,"F",IF(L621&lt;'PlayerGrades+'!$AE$19,"F+",IF(L621&lt;'PlayerGrades+'!$AE$18,"E-",IF(L621&lt;'PlayerGrades+'!$AE$17,"E",IF(L621&lt;'PlayerGrades+'!$AE$16,"E+",IF(L621&lt;'PlayerGrades+'!$AE$15,"D-",IF(L621&lt;'PlayerGrades+'!$AE$14,"D",IF(L621&lt;'PlayerGrades+'!$AE$13,"D+",IF(L621&lt;'PlayerGrades+'!$AE$12,"C-",IF(L621&lt;'PlayerGrades+'!$AE$11,"C",IF(L621&lt;'PlayerGrades+'!$AE$10,"C+",IF(L621&lt;'PlayerGrades+'!$AE$9,"B-",IF(L621&lt;'PlayerGrades+'!$AE$8,"B",IF(L621&lt;'PlayerGrades+'!$AE$7,"B+",IF(L621&lt;'PlayerGrades+'!$AE$6,"A-",IF(L621&lt;'PlayerGrades+'!$AE$5,"A",IF(L621&lt;'PlayerGrades+'!$AE$4,"A+",IF(L621&lt;'PlayerGrades+'!$AE$3,"S-",IF(L621&lt;'PlayerGrades+'!$AE$2,"S","S+"))))))))))))))))))))</f>
        <v>F</v>
      </c>
      <c r="N621" s="973">
        <f t="shared" si="6"/>
        <v>0</v>
      </c>
      <c r="O621" s="973" t="str">
        <f>IF(N621&lt;'PlayerGrades+'!$AF$21,"F-",IF(N621&lt;'PlayerGrades+'!$AF$20,"F",IF(N621&lt;'PlayerGrades+'!$AF$19,"F+",IF(N621&lt;'PlayerGrades+'!$AF$18,"E-",IF(N621&lt;'PlayerGrades+'!$AF$17,"E",IF(N621&lt;'PlayerGrades+'!$AF$16,"E+",IF(N621&lt;'PlayerGrades+'!$AF$15,"D-",IF(N621&lt;'PlayerGrades+'!$AF$14,"D",IF(N621&lt;'PlayerGrades+'!$AF$13,"D+",IF(N621&lt;'PlayerGrades+'!$AF$12,"C-",IF(N621&lt;'PlayerGrades+'!$AF$11,"C",IF(N621&lt;'PlayerGrades+'!$AF$10,"C+",IF(N621&lt;'PlayerGrades+'!$AF$9,"B-",IF(N621&lt;'PlayerGrades+'!$AF$8,"B",IF(N621&lt;'PlayerGrades+'!$AF$7,"B+",IF(N621&lt;'PlayerGrades+'!$AF$6,"A-",IF(N621&lt;'PlayerGrades+'!$AF$5,"A",IF(N621&lt;'PlayerGrades+'!$AF$4,"A+",IF(N621&lt;'PlayerGrades+'!$AF$3,"S-",IF(N621&lt;'PlayerGrades+'!$AF$2,"S","S+"))))))))))))))))))))</f>
        <v>F-</v>
      </c>
      <c r="P621" s="973">
        <f t="shared" si="7"/>
        <v>0</v>
      </c>
      <c r="Q621" s="973" t="str">
        <f>IF(P621&lt;'PlayerGrades+'!$AG$21,"F-",IF(P621&lt;'PlayerGrades+'!$AG$20,"F",IF(P621&lt;'PlayerGrades+'!$AG$19,"F+",IF(P621&lt;'PlayerGrades+'!$AG$18,"E-",IF(P621&lt;'PlayerGrades+'!$AG$17,"E",IF(P621&lt;'PlayerGrades+'!$AG$16,"E+",IF(P621&lt;'PlayerGrades+'!$AG$15,"D-",IF(P621&lt;'PlayerGrades+'!$AG$14,"D",IF(P621&lt;'PlayerGrades+'!$AG$13,"D+",IF(P621&lt;'PlayerGrades+'!$AG$12,"C-",IF(P621&lt;'PlayerGrades+'!$AG$11,"C",IF(P621&lt;'PlayerGrades+'!$AG$10,"C+",IF(P621&lt;'PlayerGrades+'!$AG$9,"B-",IF(P621&lt;'PlayerGrades+'!$AG$8,"B",IF(P621&lt;'PlayerGrades+'!$AG$7,"B+",IF(P621&lt;'PlayerGrades+'!$AG$6,"A-",IF(P621&lt;'PlayerGrades+'!$AG$5,"A",IF(P621&lt;'PlayerGrades+'!$AG$4,"A+",IF(P621&lt;'PlayerGrades+'!$AG$3,"S-",IF(P621&lt;'PlayerGrades+'!$AG$2,"S","S+"))))))))))))))))))))</f>
        <v>F</v>
      </c>
      <c r="R621" s="973">
        <f t="shared" si="8"/>
        <v>0.5414273995</v>
      </c>
      <c r="S621" s="973" t="str">
        <f>IF(R621&lt;'PlayerGrades+'!$AH$21,"F-",IF(R621&lt;'PlayerGrades+'!$AH$20,"F",IF(R621&lt;'PlayerGrades+'!$AH$19,"F+",IF(R621&lt;'PlayerGrades+'!$AH$18,"E-",IF(R621&lt;'PlayerGrades+'!$AH$17,"E",IF(R621&lt;'PlayerGrades+'!$AH$16,"E+",IF(R621&lt;'PlayerGrades+'!$AH$15,"D-",IF(R621&lt;'PlayerGrades+'!$AH$14,"D",IF(R621&lt;'PlayerGrades+'!$AH$13,"D+",IF(R621&lt;'PlayerGrades+'!$AH$12,"C-",IF(R621&lt;'PlayerGrades+'!$AH$11,"C",IF(R621&lt;'PlayerGrades+'!$AH$10,"C+",IF(R621&lt;'PlayerGrades+'!$AH$9,"B-",IF(R621&lt;'PlayerGrades+'!$AH$8,"B",IF(R621&lt;'PlayerGrades+'!$AH$7,"B+",IF(R621&lt;'PlayerGrades+'!$AH$6,"A-",IF(R621&lt;'PlayerGrades+'!$AH$5,"A",IF(R621&lt;'PlayerGrades+'!$AH$4,"A+",IF(R621&lt;'PlayerGrades+'!$AH$3,"S-",IF(R621&lt;'PlayerGrades+'!$AH$2,"S","S+"))))))))))))))))))))</f>
        <v>C+</v>
      </c>
      <c r="T621" s="973">
        <f t="shared" si="9"/>
        <v>0.2953240361</v>
      </c>
      <c r="U621" s="973" t="str">
        <f>IF(T621&lt;'PlayerGrades+'!$AI$21,"F-",IF(T621&lt;'PlayerGrades+'!$AI$20,"F",IF(T621&lt;'PlayerGrades+'!$AI$19,"F+",IF(T621&lt;'PlayerGrades+'!$AI$18,"E-",IF(T621&lt;'PlayerGrades+'!$AI$17,"E",IF(T621&lt;'PlayerGrades+'!$AI$16,"E+",IF(T621&lt;'PlayerGrades+'!$AI$15,"D-",IF(T621&lt;'PlayerGrades+'!$AI$14,"D",IF(T621&lt;'PlayerGrades+'!$AI$13,"D+",IF(T621&lt;'PlayerGrades+'!$AI$12,"C-",IF(T621&lt;'PlayerGrades+'!$AI$11,"C",IF(T621&lt;'PlayerGrades+'!$AI$10,"C+",IF(T621&lt;'PlayerGrades+'!$AI$9,"B-",IF(T621&lt;'PlayerGrades+'!$AI$8,"B",IF(T621&lt;'PlayerGrades+'!$AI$7,"B+",IF(T621&lt;'PlayerGrades+'!$AI$6,"A-",IF(T621&lt;'PlayerGrades+'!$AI$5,"A",IF(T621&lt;'PlayerGrades+'!$AI$4,"A+",IF(T621&lt;'PlayerGrades+'!$AI$3,"S-",IF(T621&lt;'PlayerGrades+'!$AI$2,"S","S+"))))))))))))))))))))</f>
        <v>F-</v>
      </c>
      <c r="V621" s="941">
        <v>1.0</v>
      </c>
      <c r="W621" s="941">
        <v>1.0</v>
      </c>
      <c r="X621" s="941">
        <v>0.0</v>
      </c>
      <c r="Y621" s="941">
        <v>0.0</v>
      </c>
      <c r="Z621" s="941">
        <v>20.0</v>
      </c>
      <c r="AA621" s="941">
        <v>103.0</v>
      </c>
      <c r="AB621" s="941">
        <v>105.0</v>
      </c>
      <c r="AC621" s="941">
        <v>-2.0</v>
      </c>
      <c r="AD621" s="941">
        <v>10.0</v>
      </c>
      <c r="AE621" s="941">
        <v>13.0</v>
      </c>
      <c r="AF621" s="941">
        <v>2.0</v>
      </c>
      <c r="AG621" s="941">
        <v>2048.0</v>
      </c>
      <c r="AH621" s="941">
        <v>2438.0</v>
      </c>
      <c r="AI621" s="941">
        <v>19.0</v>
      </c>
      <c r="AJ621" s="941">
        <v>691.0</v>
      </c>
      <c r="AK621" s="941">
        <v>0.0</v>
      </c>
      <c r="AL621" s="941">
        <v>2.0</v>
      </c>
      <c r="AM621" s="941">
        <v>1.0</v>
      </c>
      <c r="AN621" s="941">
        <v>0.0</v>
      </c>
      <c r="AO621" s="941">
        <v>0.0</v>
      </c>
      <c r="AP621" s="941">
        <v>0.0</v>
      </c>
      <c r="AQ621" s="941">
        <v>0.0</v>
      </c>
      <c r="AR621" s="941">
        <v>10.0</v>
      </c>
      <c r="AS621" s="941">
        <v>0.0</v>
      </c>
      <c r="AT621" s="941">
        <v>0.0</v>
      </c>
      <c r="AU621" s="941">
        <v>0.0</v>
      </c>
      <c r="AV621" s="941">
        <v>0.0</v>
      </c>
      <c r="AW621" s="941">
        <v>0.0</v>
      </c>
      <c r="AX621" s="941">
        <v>0.0</v>
      </c>
      <c r="AY621" s="941">
        <v>0.0</v>
      </c>
      <c r="AZ621" s="941">
        <v>0.0</v>
      </c>
      <c r="BA621" s="941">
        <v>0.0</v>
      </c>
      <c r="BB621" s="941">
        <v>4.0</v>
      </c>
      <c r="BC621" s="941">
        <v>0.0</v>
      </c>
      <c r="BD621" s="941">
        <v>12.0</v>
      </c>
      <c r="BE621" s="941">
        <v>12.0</v>
      </c>
      <c r="BF621" s="941">
        <v>0.0</v>
      </c>
      <c r="BG621" s="942">
        <v>0.0</v>
      </c>
    </row>
    <row r="622">
      <c r="A622" s="935" t="s">
        <v>418</v>
      </c>
      <c r="B622" s="421" t="str">
        <f>IF(C622&lt;'PlayerGrades+'!$Y$44,"F-",IF(C622&lt;'PlayerGrades+'!$Y$43,"F",IF(C622&lt;'PlayerGrades+'!$Y$42,"F+",IF(C622&lt;'PlayerGrades+'!$Y$41,"E-",IF(C622&lt;'PlayerGrades+'!$Y$40,"E",IF(C622&lt;'PlayerGrades+'!$Y$39,"E+",IF(C622&lt;'PlayerGrades+'!$Y$38,"D-",IF(C622&lt;'PlayerGrades+'!$Y$37,"D",IF(C622&lt;'PlayerGrades+'!$Y$36,"D+",IF(C622&lt;'PlayerGrades+'!$Y$35,"C-",IF(C622&lt;'PlayerGrades+'!$Y$34,"C",IF(C622&lt;'PlayerGrades+'!$Y$33,"C+",IF(C622&lt;'PlayerGrades+'!$Y$32,"B-",IF(C622&lt;'PlayerGrades+'!$Y$31,"B",IF(C622&lt;'PlayerGrades+'!$Y$30,"B+",IF(C622&lt;'PlayerGrades+'!$Y$29,"A-",IF(C622&lt;'PlayerGrades+'!$Y$28,"A",IF(C622&lt;'PlayerGrades+'!$Y$27,"A+",IF(C622&lt;'PlayerGrades+'!$Y$26,"S-",IF(C622&lt;'PlayerGrades+'!$Y$25,"S","S+"))))))))))))))))))))</f>
        <v>A+</v>
      </c>
      <c r="C622" s="972">
        <f>('PlayerGrades+'!$Y$47*(VLOOKUP(E622, 'PlayerGrades+'!$X$3:$Y$23, 2, FALSE)))+('PlayerGrades+'!$Y$48*(VLOOKUP(G622, 'PlayerGrades+'!$X$3:$Y$23, 2, FALSE)))+('PlayerGrades+'!$Y$49*(VLOOKUP(I622, 'PlayerGrades+'!$X$3:$Y$23, 2, FALSE)))+('PlayerGrades+'!$Y$50*(VLOOKUP(K622, 'PlayerGrades+'!$X$3:$Y$23, 2, FALSE)))+('PlayerGrades+'!$Y$51*(VLOOKUP(M622, 'PlayerGrades+'!$X$3:$Y$23, 2, FALSE)))+('PlayerGrades+'!$Y$52*(VLOOKUP(O622, 'PlayerGrades+'!$X$3:$Y$23, 2, FALSE)))+('PlayerGrades+'!$Y$53*(VLOOKUP(Q622, 'PlayerGrades+'!$X$3:$Y$23, 2, FALSE)))+('PlayerGrades+'!$Y$54*(VLOOKUP(S622, 'PlayerGrades+'!$X$3:$Y$23, 2, FALSE)))+('PlayerGrades+'!$Y$55*(VLOOKUP(U622, 'PlayerGrades+'!$X$3:$Y$23, 2, FALSE)))</f>
        <v>29.25</v>
      </c>
      <c r="D622" s="973">
        <f t="shared" si="1"/>
        <v>0.02461033634</v>
      </c>
      <c r="E622" s="973" t="str">
        <f>IF(D622&lt;'PlayerGrades+'!$AA$21,"F-",IF(D622&lt;'PlayerGrades+'!$AA$20,"F",IF(D622&lt;'PlayerGrades+'!$AA$19,"F+",IF(D622&lt;'PlayerGrades+'!$AA$18,"E-",IF(D622&lt;'PlayerGrades+'!$AA$17,"E",IF(D622&lt;'PlayerGrades+'!$AA$16,"E+",IF(D622&lt;'PlayerGrades+'!$AA$15,"D-",IF(D622&lt;'PlayerGrades+'!$AA$14,"D",IF(D622&lt;'PlayerGrades+'!$AA$13,"D+",IF(D622&lt;'PlayerGrades+'!$AA$12,"C-",IF(D622&lt;'PlayerGrades+'!$AA$11,"C",IF(D622&lt;'PlayerGrades+'!$AA$10,"C+",IF(D622&lt;'PlayerGrades+'!$AA$9,"B-",IF(D622&lt;'PlayerGrades+'!$AA$8,"B",IF(D622&lt;'PlayerGrades+'!$AA$7,"B+",IF(D622&lt;'PlayerGrades+'!$AA$6,"A-",IF(D622&lt;'PlayerGrades+'!$AA$5,"A",IF(D622&lt;'PlayerGrades+'!$AA$4,"A+",IF(D622&lt;'PlayerGrades+'!$AA$3,"S-",IF(D622&lt;'PlayerGrades+'!$AA$2,"S","S+"))))))))))))))))))))</f>
        <v>E+</v>
      </c>
      <c r="F622" s="973">
        <f t="shared" si="2"/>
        <v>0.8121410993</v>
      </c>
      <c r="G622" s="973" t="str">
        <f>IF(F622&lt;'PlayerGrades+'!$AB$21,"F-",IF(F622&lt;'PlayerGrades+'!$AB$20,"F",IF(F622&lt;'PlayerGrades+'!$AB$19,"F+",IF(F622&lt;'PlayerGrades+'!$AB$18,"E-",IF(F622&lt;'PlayerGrades+'!$AB$17,"E",IF(F622&lt;'PlayerGrades+'!$AB$16,"E+",IF(F622&lt;'PlayerGrades+'!$AB$15,"D-",IF(F622&lt;'PlayerGrades+'!$AB$14,"D",IF(F622&lt;'PlayerGrades+'!$AB$13,"D+",IF(F622&lt;'PlayerGrades+'!$AB$12,"C-",IF(F622&lt;'PlayerGrades+'!$AB$11,"C",IF(F622&lt;'PlayerGrades+'!$AB$10,"C+",IF(F622&lt;'PlayerGrades+'!$AB$9,"B-",IF(F622&lt;'PlayerGrades+'!$AB$8,"B",IF(F622&lt;'PlayerGrades+'!$AB$7,"B+",IF(F622&lt;'PlayerGrades+'!$AB$6,"A-",IF(F622&lt;'PlayerGrades+'!$AB$5,"A",IF(F622&lt;'PlayerGrades+'!$AB$4,"A+",IF(F622&lt;'PlayerGrades+'!$AB$3,"S-",IF(F622&lt;'PlayerGrades+'!$AB$2,"S","S+"))))))))))))))))))))</f>
        <v>S</v>
      </c>
      <c r="H622" s="973">
        <f t="shared" si="3"/>
        <v>0.04922067268</v>
      </c>
      <c r="I622" s="973" t="str">
        <f>IF(H622&lt;'PlayerGrades+'!$AC$21,"F-",IF(H622&lt;'PlayerGrades+'!$AC$20,"F",IF(H622&lt;'PlayerGrades+'!$AC$19,"F+",IF(H622&lt;'PlayerGrades+'!$AC$18,"E-",IF(H622&lt;'PlayerGrades+'!$AC$17,"E",IF(H622&lt;'PlayerGrades+'!$AC$16,"E+",IF(H622&lt;'PlayerGrades+'!$AC$15,"D-",IF(H622&lt;'PlayerGrades+'!$AC$14,"D",IF(H622&lt;'PlayerGrades+'!$AC$13,"D+",IF(H622&lt;'PlayerGrades+'!$AC$12,"C-",IF(H622&lt;'PlayerGrades+'!$AC$11,"C",IF(H622&lt;'PlayerGrades+'!$AC$10,"C+",IF(H622&lt;'PlayerGrades+'!$AC$9,"B-",IF(H622&lt;'PlayerGrades+'!$AC$8,"B",IF(H622&lt;'PlayerGrades+'!$AC$7,"B+",IF(H622&lt;'PlayerGrades+'!$AC$6,"A-",IF(H622&lt;'PlayerGrades+'!$AC$5,"A",IF(H622&lt;'PlayerGrades+'!$AC$4,"A+",IF(H622&lt;'PlayerGrades+'!$AC$3,"S-",IF(H622&lt;'PlayerGrades+'!$AC$2,"S","S+"))))))))))))))))))))</f>
        <v>F</v>
      </c>
      <c r="J622" s="973">
        <f t="shared" si="4"/>
        <v>0.09844134537</v>
      </c>
      <c r="K622" s="973" t="str">
        <f>IF(J622&lt;'PlayerGrades+'!$AD$21,"F-",IF(J622&lt;'PlayerGrades+'!$AD$20,"F",IF(J622&lt;'PlayerGrades+'!$AD$19,"F+",IF(J622&lt;'PlayerGrades+'!$AD$18,"E-",IF(J622&lt;'PlayerGrades+'!$AD$17,"E",IF(J622&lt;'PlayerGrades+'!$AD$16,"E+",IF(J622&lt;'PlayerGrades+'!$AD$15,"D-",IF(J622&lt;'PlayerGrades+'!$AD$14,"D",IF(J622&lt;'PlayerGrades+'!$AD$13,"D+",IF(J622&lt;'PlayerGrades+'!$AD$12,"C-",IF(J622&lt;'PlayerGrades+'!$AD$11,"C",IF(J622&lt;'PlayerGrades+'!$AD$10,"C+",IF(J622&lt;'PlayerGrades+'!$AD$9,"B-",IF(J622&lt;'PlayerGrades+'!$AD$8,"B",IF(J622&lt;'PlayerGrades+'!$AD$7,"B+",IF(J622&lt;'PlayerGrades+'!$AD$6,"A-",IF(J622&lt;'PlayerGrades+'!$AD$5,"A",IF(J622&lt;'PlayerGrades+'!$AD$4,"A+",IF(J622&lt;'PlayerGrades+'!$AD$3,"S-",IF(J622&lt;'PlayerGrades+'!$AD$2,"S","S+"))))))))))))))))))))</f>
        <v>S</v>
      </c>
      <c r="L622" s="974">
        <f t="shared" si="5"/>
        <v>0.6152584085</v>
      </c>
      <c r="M622" s="975" t="str">
        <f>IF(L622&lt;'PlayerGrades+'!$AE$21,"F-",IF(L622&lt;'PlayerGrades+'!$AE$20,"F",IF(L622&lt;'PlayerGrades+'!$AE$19,"F+",IF(L622&lt;'PlayerGrades+'!$AE$18,"E-",IF(L622&lt;'PlayerGrades+'!$AE$17,"E",IF(L622&lt;'PlayerGrades+'!$AE$16,"E+",IF(L622&lt;'PlayerGrades+'!$AE$15,"D-",IF(L622&lt;'PlayerGrades+'!$AE$14,"D",IF(L622&lt;'PlayerGrades+'!$AE$13,"D+",IF(L622&lt;'PlayerGrades+'!$AE$12,"C-",IF(L622&lt;'PlayerGrades+'!$AE$11,"C",IF(L622&lt;'PlayerGrades+'!$AE$10,"C+",IF(L622&lt;'PlayerGrades+'!$AE$9,"B-",IF(L622&lt;'PlayerGrades+'!$AE$8,"B",IF(L622&lt;'PlayerGrades+'!$AE$7,"B+",IF(L622&lt;'PlayerGrades+'!$AE$6,"A-",IF(L622&lt;'PlayerGrades+'!$AE$5,"A",IF(L622&lt;'PlayerGrades+'!$AE$4,"A+",IF(L622&lt;'PlayerGrades+'!$AE$3,"S-",IF(L622&lt;'PlayerGrades+'!$AE$2,"S","S+"))))))))))))))))))))</f>
        <v>S-</v>
      </c>
      <c r="N622" s="973">
        <f t="shared" si="6"/>
        <v>0.1230516817</v>
      </c>
      <c r="O622" s="973" t="str">
        <f>IF(N622&lt;'PlayerGrades+'!$AF$21,"F-",IF(N622&lt;'PlayerGrades+'!$AF$20,"F",IF(N622&lt;'PlayerGrades+'!$AF$19,"F+",IF(N622&lt;'PlayerGrades+'!$AF$18,"E-",IF(N622&lt;'PlayerGrades+'!$AF$17,"E",IF(N622&lt;'PlayerGrades+'!$AF$16,"E+",IF(N622&lt;'PlayerGrades+'!$AF$15,"D-",IF(N622&lt;'PlayerGrades+'!$AF$14,"D",IF(N622&lt;'PlayerGrades+'!$AF$13,"D+",IF(N622&lt;'PlayerGrades+'!$AF$12,"C-",IF(N622&lt;'PlayerGrades+'!$AF$11,"C",IF(N622&lt;'PlayerGrades+'!$AF$10,"C+",IF(N622&lt;'PlayerGrades+'!$AF$9,"B-",IF(N622&lt;'PlayerGrades+'!$AF$8,"B",IF(N622&lt;'PlayerGrades+'!$AF$7,"B+",IF(N622&lt;'PlayerGrades+'!$AF$6,"A-",IF(N622&lt;'PlayerGrades+'!$AF$5,"A",IF(N622&lt;'PlayerGrades+'!$AF$4,"A+",IF(N622&lt;'PlayerGrades+'!$AF$3,"S-",IF(N622&lt;'PlayerGrades+'!$AF$2,"S","S+"))))))))))))))))))))</f>
        <v>S</v>
      </c>
      <c r="P622" s="973">
        <f t="shared" si="7"/>
        <v>0.09844134537</v>
      </c>
      <c r="Q622" s="973" t="str">
        <f>IF(P622&lt;'PlayerGrades+'!$AG$21,"F-",IF(P622&lt;'PlayerGrades+'!$AG$20,"F",IF(P622&lt;'PlayerGrades+'!$AG$19,"F+",IF(P622&lt;'PlayerGrades+'!$AG$18,"E-",IF(P622&lt;'PlayerGrades+'!$AG$17,"E",IF(P622&lt;'PlayerGrades+'!$AG$16,"E+",IF(P622&lt;'PlayerGrades+'!$AG$15,"D-",IF(P622&lt;'PlayerGrades+'!$AG$14,"D",IF(P622&lt;'PlayerGrades+'!$AG$13,"D+",IF(P622&lt;'PlayerGrades+'!$AG$12,"C-",IF(P622&lt;'PlayerGrades+'!$AG$11,"C",IF(P622&lt;'PlayerGrades+'!$AG$10,"C+",IF(P622&lt;'PlayerGrades+'!$AG$9,"B-",IF(P622&lt;'PlayerGrades+'!$AG$8,"B",IF(P622&lt;'PlayerGrades+'!$AG$7,"B+",IF(P622&lt;'PlayerGrades+'!$AG$6,"A-",IF(P622&lt;'PlayerGrades+'!$AG$5,"A",IF(P622&lt;'PlayerGrades+'!$AG$4,"A+",IF(P622&lt;'PlayerGrades+'!$AG$3,"S-",IF(P622&lt;'PlayerGrades+'!$AG$2,"S","S+"))))))))))))))))))))</f>
        <v>S+</v>
      </c>
      <c r="R622" s="973">
        <f t="shared" si="8"/>
        <v>0.935192781</v>
      </c>
      <c r="S622" s="973" t="str">
        <f>IF(R622&lt;'PlayerGrades+'!$AH$21,"F-",IF(R622&lt;'PlayerGrades+'!$AH$20,"F",IF(R622&lt;'PlayerGrades+'!$AH$19,"F+",IF(R622&lt;'PlayerGrades+'!$AH$18,"E-",IF(R622&lt;'PlayerGrades+'!$AH$17,"E",IF(R622&lt;'PlayerGrades+'!$AH$16,"E+",IF(R622&lt;'PlayerGrades+'!$AH$15,"D-",IF(R622&lt;'PlayerGrades+'!$AH$14,"D",IF(R622&lt;'PlayerGrades+'!$AH$13,"D+",IF(R622&lt;'PlayerGrades+'!$AH$12,"C-",IF(R622&lt;'PlayerGrades+'!$AH$11,"C",IF(R622&lt;'PlayerGrades+'!$AH$10,"C+",IF(R622&lt;'PlayerGrades+'!$AH$9,"B-",IF(R622&lt;'PlayerGrades+'!$AH$8,"B",IF(R622&lt;'PlayerGrades+'!$AH$7,"B+",IF(R622&lt;'PlayerGrades+'!$AH$6,"A-",IF(R622&lt;'PlayerGrades+'!$AH$5,"A",IF(R622&lt;'PlayerGrades+'!$AH$4,"A+",IF(R622&lt;'PlayerGrades+'!$AH$3,"S-",IF(R622&lt;'PlayerGrades+'!$AH$2,"S","S+"))))))))))))))))))))</f>
        <v>S+</v>
      </c>
      <c r="T622" s="973">
        <f t="shared" si="9"/>
        <v>1.566037736</v>
      </c>
      <c r="U622" s="973" t="str">
        <f>IF(T622&lt;'PlayerGrades+'!$AI$21,"F-",IF(T622&lt;'PlayerGrades+'!$AI$20,"F",IF(T622&lt;'PlayerGrades+'!$AI$19,"F+",IF(T622&lt;'PlayerGrades+'!$AI$18,"E-",IF(T622&lt;'PlayerGrades+'!$AI$17,"E",IF(T622&lt;'PlayerGrades+'!$AI$16,"E+",IF(T622&lt;'PlayerGrades+'!$AI$15,"D-",IF(T622&lt;'PlayerGrades+'!$AI$14,"D",IF(T622&lt;'PlayerGrades+'!$AI$13,"D+",IF(T622&lt;'PlayerGrades+'!$AI$12,"C-",IF(T622&lt;'PlayerGrades+'!$AI$11,"C",IF(T622&lt;'PlayerGrades+'!$AI$10,"C+",IF(T622&lt;'PlayerGrades+'!$AI$9,"B-",IF(T622&lt;'PlayerGrades+'!$AI$8,"B",IF(T622&lt;'PlayerGrades+'!$AI$7,"B+",IF(T622&lt;'PlayerGrades+'!$AI$6,"A-",IF(T622&lt;'PlayerGrades+'!$AI$5,"A",IF(T622&lt;'PlayerGrades+'!$AI$4,"A+",IF(T622&lt;'PlayerGrades+'!$AI$3,"S-",IF(T622&lt;'PlayerGrades+'!$AI$2,"S","S+"))))))))))))))))))))</f>
        <v>A+</v>
      </c>
      <c r="V622" s="941">
        <v>1.0</v>
      </c>
      <c r="W622" s="941">
        <v>0.0</v>
      </c>
      <c r="X622" s="941">
        <v>1.0</v>
      </c>
      <c r="Y622" s="941">
        <v>1.0</v>
      </c>
      <c r="Z622" s="941">
        <v>0.0</v>
      </c>
      <c r="AA622" s="941">
        <v>154.0</v>
      </c>
      <c r="AB622" s="941">
        <v>121.0</v>
      </c>
      <c r="AC622" s="941">
        <v>33.0</v>
      </c>
      <c r="AD622" s="941">
        <v>8.0</v>
      </c>
      <c r="AE622" s="941">
        <v>7.0</v>
      </c>
      <c r="AF622" s="941">
        <v>2.0</v>
      </c>
      <c r="AG622" s="941">
        <v>1997.0</v>
      </c>
      <c r="AH622" s="941">
        <v>2438.0</v>
      </c>
      <c r="AI622" s="941">
        <v>16.0</v>
      </c>
      <c r="AJ622" s="941">
        <v>35.0</v>
      </c>
      <c r="AK622" s="941">
        <v>0.0</v>
      </c>
      <c r="AL622" s="941">
        <v>4.0</v>
      </c>
      <c r="AM622" s="941">
        <v>0.0</v>
      </c>
      <c r="AN622" s="941">
        <v>0.0</v>
      </c>
      <c r="AO622" s="941">
        <v>0.0</v>
      </c>
      <c r="AP622" s="941">
        <v>4.0</v>
      </c>
      <c r="AQ622" s="941">
        <v>0.0</v>
      </c>
      <c r="AR622" s="941">
        <v>25.0</v>
      </c>
      <c r="AS622" s="941">
        <v>5.0</v>
      </c>
      <c r="AT622" s="941">
        <v>0.0</v>
      </c>
      <c r="AU622" s="941">
        <v>0.0</v>
      </c>
      <c r="AV622" s="941">
        <v>0.0</v>
      </c>
      <c r="AW622" s="941">
        <v>0.0</v>
      </c>
      <c r="AX622" s="941">
        <v>0.0</v>
      </c>
      <c r="AY622" s="941">
        <v>0.0</v>
      </c>
      <c r="AZ622" s="941">
        <v>0.0</v>
      </c>
      <c r="BA622" s="941">
        <v>0.0</v>
      </c>
      <c r="BB622" s="941">
        <v>2.0</v>
      </c>
      <c r="BC622" s="941">
        <v>0.0</v>
      </c>
      <c r="BD622" s="941">
        <v>30.0</v>
      </c>
      <c r="BE622" s="941">
        <v>23.0</v>
      </c>
      <c r="BF622" s="941">
        <v>1.0</v>
      </c>
      <c r="BG622" s="942">
        <v>1.0</v>
      </c>
    </row>
    <row r="623">
      <c r="A623" s="935" t="s">
        <v>138</v>
      </c>
      <c r="B623" s="421" t="str">
        <f>IF(C623&lt;'PlayerGrades+'!$Y$44,"F-",IF(C623&lt;'PlayerGrades+'!$Y$43,"F",IF(C623&lt;'PlayerGrades+'!$Y$42,"F+",IF(C623&lt;'PlayerGrades+'!$Y$41,"E-",IF(C623&lt;'PlayerGrades+'!$Y$40,"E",IF(C623&lt;'PlayerGrades+'!$Y$39,"E+",IF(C623&lt;'PlayerGrades+'!$Y$38,"D-",IF(C623&lt;'PlayerGrades+'!$Y$37,"D",IF(C623&lt;'PlayerGrades+'!$Y$36,"D+",IF(C623&lt;'PlayerGrades+'!$Y$35,"C-",IF(C623&lt;'PlayerGrades+'!$Y$34,"C",IF(C623&lt;'PlayerGrades+'!$Y$33,"C+",IF(C623&lt;'PlayerGrades+'!$Y$32,"B-",IF(C623&lt;'PlayerGrades+'!$Y$31,"B",IF(C623&lt;'PlayerGrades+'!$Y$30,"B+",IF(C623&lt;'PlayerGrades+'!$Y$29,"A-",IF(C623&lt;'PlayerGrades+'!$Y$28,"A",IF(C623&lt;'PlayerGrades+'!$Y$27,"A+",IF(C623&lt;'PlayerGrades+'!$Y$26,"S-",IF(C623&lt;'PlayerGrades+'!$Y$25,"S","S+"))))))))))))))))))))</f>
        <v>A</v>
      </c>
      <c r="C623" s="972">
        <f>('PlayerGrades+'!$Y$47*(VLOOKUP(E623, 'PlayerGrades+'!$X$3:$Y$23, 2, FALSE)))+('PlayerGrades+'!$Y$48*(VLOOKUP(G623, 'PlayerGrades+'!$X$3:$Y$23, 2, FALSE)))+('PlayerGrades+'!$Y$49*(VLOOKUP(I623, 'PlayerGrades+'!$X$3:$Y$23, 2, FALSE)))+('PlayerGrades+'!$Y$50*(VLOOKUP(K623, 'PlayerGrades+'!$X$3:$Y$23, 2, FALSE)))+('PlayerGrades+'!$Y$51*(VLOOKUP(M623, 'PlayerGrades+'!$X$3:$Y$23, 2, FALSE)))+('PlayerGrades+'!$Y$52*(VLOOKUP(O623, 'PlayerGrades+'!$X$3:$Y$23, 2, FALSE)))+('PlayerGrades+'!$Y$53*(VLOOKUP(Q623, 'PlayerGrades+'!$X$3:$Y$23, 2, FALSE)))+('PlayerGrades+'!$Y$54*(VLOOKUP(S623, 'PlayerGrades+'!$X$3:$Y$23, 2, FALSE)))+('PlayerGrades+'!$Y$55*(VLOOKUP(U623, 'PlayerGrades+'!$X$3:$Y$23, 2, FALSE)))</f>
        <v>26.45</v>
      </c>
      <c r="D623" s="973">
        <f t="shared" si="1"/>
        <v>0.02461033634</v>
      </c>
      <c r="E623" s="973" t="str">
        <f>IF(D623&lt;'PlayerGrades+'!$AA$21,"F-",IF(D623&lt;'PlayerGrades+'!$AA$20,"F",IF(D623&lt;'PlayerGrades+'!$AA$19,"F+",IF(D623&lt;'PlayerGrades+'!$AA$18,"E-",IF(D623&lt;'PlayerGrades+'!$AA$17,"E",IF(D623&lt;'PlayerGrades+'!$AA$16,"E+",IF(D623&lt;'PlayerGrades+'!$AA$15,"D-",IF(D623&lt;'PlayerGrades+'!$AA$14,"D",IF(D623&lt;'PlayerGrades+'!$AA$13,"D+",IF(D623&lt;'PlayerGrades+'!$AA$12,"C-",IF(D623&lt;'PlayerGrades+'!$AA$11,"C",IF(D623&lt;'PlayerGrades+'!$AA$10,"C+",IF(D623&lt;'PlayerGrades+'!$AA$9,"B-",IF(D623&lt;'PlayerGrades+'!$AA$8,"B",IF(D623&lt;'PlayerGrades+'!$AA$7,"B+",IF(D623&lt;'PlayerGrades+'!$AA$6,"A-",IF(D623&lt;'PlayerGrades+'!$AA$5,"A",IF(D623&lt;'PlayerGrades+'!$AA$4,"A+",IF(D623&lt;'PlayerGrades+'!$AA$3,"S-",IF(D623&lt;'PlayerGrades+'!$AA$2,"S","S+"))))))))))))))))))))</f>
        <v>E+</v>
      </c>
      <c r="F623" s="973">
        <f t="shared" si="2"/>
        <v>0.4675963905</v>
      </c>
      <c r="G623" s="973" t="str">
        <f>IF(F623&lt;'PlayerGrades+'!$AB$21,"F-",IF(F623&lt;'PlayerGrades+'!$AB$20,"F",IF(F623&lt;'PlayerGrades+'!$AB$19,"F+",IF(F623&lt;'PlayerGrades+'!$AB$18,"E-",IF(F623&lt;'PlayerGrades+'!$AB$17,"E",IF(F623&lt;'PlayerGrades+'!$AB$16,"E+",IF(F623&lt;'PlayerGrades+'!$AB$15,"D-",IF(F623&lt;'PlayerGrades+'!$AB$14,"D",IF(F623&lt;'PlayerGrades+'!$AB$13,"D+",IF(F623&lt;'PlayerGrades+'!$AB$12,"C-",IF(F623&lt;'PlayerGrades+'!$AB$11,"C",IF(F623&lt;'PlayerGrades+'!$AB$10,"C+",IF(F623&lt;'PlayerGrades+'!$AB$9,"B-",IF(F623&lt;'PlayerGrades+'!$AB$8,"B",IF(F623&lt;'PlayerGrades+'!$AB$7,"B+",IF(F623&lt;'PlayerGrades+'!$AB$6,"A-",IF(F623&lt;'PlayerGrades+'!$AB$5,"A",IF(F623&lt;'PlayerGrades+'!$AB$4,"A+",IF(F623&lt;'PlayerGrades+'!$AB$3,"S-",IF(F623&lt;'PlayerGrades+'!$AB$2,"S","S+"))))))))))))))))))))</f>
        <v>A+</v>
      </c>
      <c r="H623" s="973">
        <f t="shared" si="3"/>
        <v>0.07383100902</v>
      </c>
      <c r="I623" s="973" t="str">
        <f>IF(H623&lt;'PlayerGrades+'!$AC$21,"F-",IF(H623&lt;'PlayerGrades+'!$AC$20,"F",IF(H623&lt;'PlayerGrades+'!$AC$19,"F+",IF(H623&lt;'PlayerGrades+'!$AC$18,"E-",IF(H623&lt;'PlayerGrades+'!$AC$17,"E",IF(H623&lt;'PlayerGrades+'!$AC$16,"E+",IF(H623&lt;'PlayerGrades+'!$AC$15,"D-",IF(H623&lt;'PlayerGrades+'!$AC$14,"D",IF(H623&lt;'PlayerGrades+'!$AC$13,"D+",IF(H623&lt;'PlayerGrades+'!$AC$12,"C-",IF(H623&lt;'PlayerGrades+'!$AC$11,"C",IF(H623&lt;'PlayerGrades+'!$AC$10,"C+",IF(H623&lt;'PlayerGrades+'!$AC$9,"B-",IF(H623&lt;'PlayerGrades+'!$AC$8,"B",IF(H623&lt;'PlayerGrades+'!$AC$7,"B+",IF(H623&lt;'PlayerGrades+'!$AC$6,"A-",IF(H623&lt;'PlayerGrades+'!$AC$5,"A",IF(H623&lt;'PlayerGrades+'!$AC$4,"A+",IF(H623&lt;'PlayerGrades+'!$AC$3,"S-",IF(H623&lt;'PlayerGrades+'!$AC$2,"S","S+"))))))))))))))))))))</f>
        <v>E</v>
      </c>
      <c r="J623" s="973">
        <f t="shared" si="4"/>
        <v>0.1230516817</v>
      </c>
      <c r="K623" s="973" t="str">
        <f>IF(J623&lt;'PlayerGrades+'!$AD$21,"F-",IF(J623&lt;'PlayerGrades+'!$AD$20,"F",IF(J623&lt;'PlayerGrades+'!$AD$19,"F+",IF(J623&lt;'PlayerGrades+'!$AD$18,"E-",IF(J623&lt;'PlayerGrades+'!$AD$17,"E",IF(J623&lt;'PlayerGrades+'!$AD$16,"E+",IF(J623&lt;'PlayerGrades+'!$AD$15,"D-",IF(J623&lt;'PlayerGrades+'!$AD$14,"D",IF(J623&lt;'PlayerGrades+'!$AD$13,"D+",IF(J623&lt;'PlayerGrades+'!$AD$12,"C-",IF(J623&lt;'PlayerGrades+'!$AD$11,"C",IF(J623&lt;'PlayerGrades+'!$AD$10,"C+",IF(J623&lt;'PlayerGrades+'!$AD$9,"B-",IF(J623&lt;'PlayerGrades+'!$AD$8,"B",IF(J623&lt;'PlayerGrades+'!$AD$7,"B+",IF(J623&lt;'PlayerGrades+'!$AD$6,"A-",IF(J623&lt;'PlayerGrades+'!$AD$5,"A",IF(J623&lt;'PlayerGrades+'!$AD$4,"A+",IF(J623&lt;'PlayerGrades+'!$AD$3,"S-",IF(J623&lt;'PlayerGrades+'!$AD$2,"S","S+"))))))))))))))))))))</f>
        <v>S+</v>
      </c>
      <c r="L623" s="974">
        <f t="shared" si="5"/>
        <v>0.5660377358</v>
      </c>
      <c r="M623" s="975" t="str">
        <f>IF(L623&lt;'PlayerGrades+'!$AE$21,"F-",IF(L623&lt;'PlayerGrades+'!$AE$20,"F",IF(L623&lt;'PlayerGrades+'!$AE$19,"F+",IF(L623&lt;'PlayerGrades+'!$AE$18,"E-",IF(L623&lt;'PlayerGrades+'!$AE$17,"E",IF(L623&lt;'PlayerGrades+'!$AE$16,"E+",IF(L623&lt;'PlayerGrades+'!$AE$15,"D-",IF(L623&lt;'PlayerGrades+'!$AE$14,"D",IF(L623&lt;'PlayerGrades+'!$AE$13,"D+",IF(L623&lt;'PlayerGrades+'!$AE$12,"C-",IF(L623&lt;'PlayerGrades+'!$AE$11,"C",IF(L623&lt;'PlayerGrades+'!$AE$10,"C+",IF(L623&lt;'PlayerGrades+'!$AE$9,"B-",IF(L623&lt;'PlayerGrades+'!$AE$8,"B",IF(L623&lt;'PlayerGrades+'!$AE$7,"B+",IF(L623&lt;'PlayerGrades+'!$AE$6,"A-",IF(L623&lt;'PlayerGrades+'!$AE$5,"A",IF(L623&lt;'PlayerGrades+'!$AE$4,"A+",IF(L623&lt;'PlayerGrades+'!$AE$3,"S-",IF(L623&lt;'PlayerGrades+'!$AE$2,"S","S+"))))))))))))))))))))</f>
        <v>A</v>
      </c>
      <c r="N623" s="973">
        <f t="shared" si="6"/>
        <v>0.09844134537</v>
      </c>
      <c r="O623" s="973" t="str">
        <f>IF(N623&lt;'PlayerGrades+'!$AF$21,"F-",IF(N623&lt;'PlayerGrades+'!$AF$20,"F",IF(N623&lt;'PlayerGrades+'!$AF$19,"F+",IF(N623&lt;'PlayerGrades+'!$AF$18,"E-",IF(N623&lt;'PlayerGrades+'!$AF$17,"E",IF(N623&lt;'PlayerGrades+'!$AF$16,"E+",IF(N623&lt;'PlayerGrades+'!$AF$15,"D-",IF(N623&lt;'PlayerGrades+'!$AF$14,"D",IF(N623&lt;'PlayerGrades+'!$AF$13,"D+",IF(N623&lt;'PlayerGrades+'!$AF$12,"C-",IF(N623&lt;'PlayerGrades+'!$AF$11,"C",IF(N623&lt;'PlayerGrades+'!$AF$10,"C+",IF(N623&lt;'PlayerGrades+'!$AF$9,"B-",IF(N623&lt;'PlayerGrades+'!$AF$8,"B",IF(N623&lt;'PlayerGrades+'!$AF$7,"B+",IF(N623&lt;'PlayerGrades+'!$AF$6,"A-",IF(N623&lt;'PlayerGrades+'!$AF$5,"A",IF(N623&lt;'PlayerGrades+'!$AF$4,"A+",IF(N623&lt;'PlayerGrades+'!$AF$3,"S-",IF(N623&lt;'PlayerGrades+'!$AF$2,"S","S+"))))))))))))))))))))</f>
        <v>A-</v>
      </c>
      <c r="P623" s="973">
        <f t="shared" si="7"/>
        <v>0.09844134537</v>
      </c>
      <c r="Q623" s="973" t="str">
        <f>IF(P623&lt;'PlayerGrades+'!$AG$21,"F-",IF(P623&lt;'PlayerGrades+'!$AG$20,"F",IF(P623&lt;'PlayerGrades+'!$AG$19,"F+",IF(P623&lt;'PlayerGrades+'!$AG$18,"E-",IF(P623&lt;'PlayerGrades+'!$AG$17,"E",IF(P623&lt;'PlayerGrades+'!$AG$16,"E+",IF(P623&lt;'PlayerGrades+'!$AG$15,"D-",IF(P623&lt;'PlayerGrades+'!$AG$14,"D",IF(P623&lt;'PlayerGrades+'!$AG$13,"D+",IF(P623&lt;'PlayerGrades+'!$AG$12,"C-",IF(P623&lt;'PlayerGrades+'!$AG$11,"C",IF(P623&lt;'PlayerGrades+'!$AG$10,"C+",IF(P623&lt;'PlayerGrades+'!$AG$9,"B-",IF(P623&lt;'PlayerGrades+'!$AG$8,"B",IF(P623&lt;'PlayerGrades+'!$AG$7,"B+",IF(P623&lt;'PlayerGrades+'!$AG$6,"A-",IF(P623&lt;'PlayerGrades+'!$AG$5,"A",IF(P623&lt;'PlayerGrades+'!$AG$4,"A+",IF(P623&lt;'PlayerGrades+'!$AG$3,"S-",IF(P623&lt;'PlayerGrades+'!$AG$2,"S","S+"))))))))))))))))))))</f>
        <v>S+</v>
      </c>
      <c r="R623" s="973">
        <f t="shared" si="8"/>
        <v>0.6398687449</v>
      </c>
      <c r="S623" s="973" t="str">
        <f>IF(R623&lt;'PlayerGrades+'!$AH$21,"F-",IF(R623&lt;'PlayerGrades+'!$AH$20,"F",IF(R623&lt;'PlayerGrades+'!$AH$19,"F+",IF(R623&lt;'PlayerGrades+'!$AH$18,"E-",IF(R623&lt;'PlayerGrades+'!$AH$17,"E",IF(R623&lt;'PlayerGrades+'!$AH$16,"E+",IF(R623&lt;'PlayerGrades+'!$AH$15,"D-",IF(R623&lt;'PlayerGrades+'!$AH$14,"D",IF(R623&lt;'PlayerGrades+'!$AH$13,"D+",IF(R623&lt;'PlayerGrades+'!$AH$12,"C-",IF(R623&lt;'PlayerGrades+'!$AH$11,"C",IF(R623&lt;'PlayerGrades+'!$AH$10,"C+",IF(R623&lt;'PlayerGrades+'!$AH$9,"B-",IF(R623&lt;'PlayerGrades+'!$AH$8,"B",IF(R623&lt;'PlayerGrades+'!$AH$7,"B+",IF(R623&lt;'PlayerGrades+'!$AH$6,"A-",IF(R623&lt;'PlayerGrades+'!$AH$5,"A",IF(R623&lt;'PlayerGrades+'!$AH$4,"A+",IF(R623&lt;'PlayerGrades+'!$AH$3,"S-",IF(R623&lt;'PlayerGrades+'!$AH$2,"S","S+"))))))))))))))))))))</f>
        <v>A</v>
      </c>
      <c r="T623" s="973">
        <f t="shared" si="9"/>
        <v>1.418375718</v>
      </c>
      <c r="U623" s="973" t="str">
        <f>IF(T623&lt;'PlayerGrades+'!$AI$21,"F-",IF(T623&lt;'PlayerGrades+'!$AI$20,"F",IF(T623&lt;'PlayerGrades+'!$AI$19,"F+",IF(T623&lt;'PlayerGrades+'!$AI$18,"E-",IF(T623&lt;'PlayerGrades+'!$AI$17,"E",IF(T623&lt;'PlayerGrades+'!$AI$16,"E+",IF(T623&lt;'PlayerGrades+'!$AI$15,"D-",IF(T623&lt;'PlayerGrades+'!$AI$14,"D",IF(T623&lt;'PlayerGrades+'!$AI$13,"D+",IF(T623&lt;'PlayerGrades+'!$AI$12,"C-",IF(T623&lt;'PlayerGrades+'!$AI$11,"C",IF(T623&lt;'PlayerGrades+'!$AI$10,"C+",IF(T623&lt;'PlayerGrades+'!$AI$9,"B-",IF(T623&lt;'PlayerGrades+'!$AI$8,"B",IF(T623&lt;'PlayerGrades+'!$AI$7,"B+",IF(T623&lt;'PlayerGrades+'!$AI$6,"A-",IF(T623&lt;'PlayerGrades+'!$AI$5,"A",IF(T623&lt;'PlayerGrades+'!$AI$4,"A+",IF(T623&lt;'PlayerGrades+'!$AI$3,"S-",IF(T623&lt;'PlayerGrades+'!$AI$2,"S","S+"))))))))))))))))))))</f>
        <v>B</v>
      </c>
      <c r="V623" s="941">
        <v>1.0</v>
      </c>
      <c r="W623" s="941">
        <v>0.0</v>
      </c>
      <c r="X623" s="941">
        <v>1.0</v>
      </c>
      <c r="Y623" s="941">
        <v>0.0</v>
      </c>
      <c r="Z623" s="941">
        <v>1.0</v>
      </c>
      <c r="AA623" s="941">
        <v>162.0</v>
      </c>
      <c r="AB623" s="941">
        <v>143.0</v>
      </c>
      <c r="AC623" s="941">
        <v>19.0</v>
      </c>
      <c r="AD623" s="941">
        <v>12.0</v>
      </c>
      <c r="AE623" s="941">
        <v>7.0</v>
      </c>
      <c r="AF623" s="941">
        <v>0.0</v>
      </c>
      <c r="AG623" s="941">
        <v>1934.0</v>
      </c>
      <c r="AH623" s="941">
        <v>2438.0</v>
      </c>
      <c r="AI623" s="941">
        <v>13.0</v>
      </c>
      <c r="AJ623" s="941">
        <v>7.0</v>
      </c>
      <c r="AK623" s="941">
        <v>0.0</v>
      </c>
      <c r="AL623" s="941">
        <v>5.0</v>
      </c>
      <c r="AM623" s="941">
        <v>0.0</v>
      </c>
      <c r="AN623" s="941">
        <v>0.0</v>
      </c>
      <c r="AO623" s="941">
        <v>0.0</v>
      </c>
      <c r="AP623" s="941">
        <v>4.0</v>
      </c>
      <c r="AQ623" s="941">
        <v>0.0</v>
      </c>
      <c r="AR623" s="941">
        <v>23.0</v>
      </c>
      <c r="AS623" s="941">
        <v>4.0</v>
      </c>
      <c r="AT623" s="941">
        <v>0.0</v>
      </c>
      <c r="AU623" s="941">
        <v>0.0</v>
      </c>
      <c r="AV623" s="941">
        <v>0.0</v>
      </c>
      <c r="AW623" s="941">
        <v>0.0</v>
      </c>
      <c r="AX623" s="941">
        <v>0.0</v>
      </c>
      <c r="AY623" s="941">
        <v>0.0</v>
      </c>
      <c r="AZ623" s="941">
        <v>0.0</v>
      </c>
      <c r="BA623" s="941">
        <v>0.0</v>
      </c>
      <c r="BB623" s="941">
        <v>3.0</v>
      </c>
      <c r="BC623" s="941">
        <v>0.0</v>
      </c>
      <c r="BD623" s="941">
        <v>14.0</v>
      </c>
      <c r="BE623" s="941">
        <v>17.0</v>
      </c>
      <c r="BF623" s="941">
        <v>1.0</v>
      </c>
      <c r="BG623" s="942">
        <v>1.0</v>
      </c>
    </row>
    <row r="624">
      <c r="A624" s="935" t="s">
        <v>392</v>
      </c>
      <c r="B624" s="421" t="str">
        <f>IF(C624&lt;'PlayerGrades+'!$Y$44,"F-",IF(C624&lt;'PlayerGrades+'!$Y$43,"F",IF(C624&lt;'PlayerGrades+'!$Y$42,"F+",IF(C624&lt;'PlayerGrades+'!$Y$41,"E-",IF(C624&lt;'PlayerGrades+'!$Y$40,"E",IF(C624&lt;'PlayerGrades+'!$Y$39,"E+",IF(C624&lt;'PlayerGrades+'!$Y$38,"D-",IF(C624&lt;'PlayerGrades+'!$Y$37,"D",IF(C624&lt;'PlayerGrades+'!$Y$36,"D+",IF(C624&lt;'PlayerGrades+'!$Y$35,"C-",IF(C624&lt;'PlayerGrades+'!$Y$34,"C",IF(C624&lt;'PlayerGrades+'!$Y$33,"C+",IF(C624&lt;'PlayerGrades+'!$Y$32,"B-",IF(C624&lt;'PlayerGrades+'!$Y$31,"B",IF(C624&lt;'PlayerGrades+'!$Y$30,"B+",IF(C624&lt;'PlayerGrades+'!$Y$29,"A-",IF(C624&lt;'PlayerGrades+'!$Y$28,"A",IF(C624&lt;'PlayerGrades+'!$Y$27,"A+",IF(C624&lt;'PlayerGrades+'!$Y$26,"S-",IF(C624&lt;'PlayerGrades+'!$Y$25,"S","S+"))))))))))))))))))))</f>
        <v>F-</v>
      </c>
      <c r="C624" s="972">
        <f>('PlayerGrades+'!$Y$47*(VLOOKUP(E624, 'PlayerGrades+'!$X$3:$Y$23, 2, FALSE)))+('PlayerGrades+'!$Y$48*(VLOOKUP(G624, 'PlayerGrades+'!$X$3:$Y$23, 2, FALSE)))+('PlayerGrades+'!$Y$49*(VLOOKUP(I624, 'PlayerGrades+'!$X$3:$Y$23, 2, FALSE)))+('PlayerGrades+'!$Y$50*(VLOOKUP(K624, 'PlayerGrades+'!$X$3:$Y$23, 2, FALSE)))+('PlayerGrades+'!$Y$51*(VLOOKUP(M624, 'PlayerGrades+'!$X$3:$Y$23, 2, FALSE)))+('PlayerGrades+'!$Y$52*(VLOOKUP(O624, 'PlayerGrades+'!$X$3:$Y$23, 2, FALSE)))+('PlayerGrades+'!$Y$53*(VLOOKUP(Q624, 'PlayerGrades+'!$X$3:$Y$23, 2, FALSE)))+('PlayerGrades+'!$Y$54*(VLOOKUP(S624, 'PlayerGrades+'!$X$3:$Y$23, 2, FALSE)))+('PlayerGrades+'!$Y$55*(VLOOKUP(U624, 'PlayerGrades+'!$X$3:$Y$23, 2, FALSE)))</f>
        <v>7.2</v>
      </c>
      <c r="D624" s="973">
        <f t="shared" si="1"/>
        <v>0</v>
      </c>
      <c r="E624" s="973" t="str">
        <f>IF(D624&lt;'PlayerGrades+'!$AA$21,"F-",IF(D624&lt;'PlayerGrades+'!$AA$20,"F",IF(D624&lt;'PlayerGrades+'!$AA$19,"F+",IF(D624&lt;'PlayerGrades+'!$AA$18,"E-",IF(D624&lt;'PlayerGrades+'!$AA$17,"E",IF(D624&lt;'PlayerGrades+'!$AA$16,"E+",IF(D624&lt;'PlayerGrades+'!$AA$15,"D-",IF(D624&lt;'PlayerGrades+'!$AA$14,"D",IF(D624&lt;'PlayerGrades+'!$AA$13,"D+",IF(D624&lt;'PlayerGrades+'!$AA$12,"C-",IF(D624&lt;'PlayerGrades+'!$AA$11,"C",IF(D624&lt;'PlayerGrades+'!$AA$10,"C+",IF(D624&lt;'PlayerGrades+'!$AA$9,"B-",IF(D624&lt;'PlayerGrades+'!$AA$8,"B",IF(D624&lt;'PlayerGrades+'!$AA$7,"B+",IF(D624&lt;'PlayerGrades+'!$AA$6,"A-",IF(D624&lt;'PlayerGrades+'!$AA$5,"A",IF(D624&lt;'PlayerGrades+'!$AA$4,"A+",IF(D624&lt;'PlayerGrades+'!$AA$3,"S-",IF(D624&lt;'PlayerGrades+'!$AA$2,"S","S+"))))))))))))))))))))</f>
        <v>F-</v>
      </c>
      <c r="F624" s="973">
        <f t="shared" si="2"/>
        <v>-1.353568499</v>
      </c>
      <c r="G624" s="973" t="str">
        <f>IF(F624&lt;'PlayerGrades+'!$AB$21,"F-",IF(F624&lt;'PlayerGrades+'!$AB$20,"F",IF(F624&lt;'PlayerGrades+'!$AB$19,"F+",IF(F624&lt;'PlayerGrades+'!$AB$18,"E-",IF(F624&lt;'PlayerGrades+'!$AB$17,"E",IF(F624&lt;'PlayerGrades+'!$AB$16,"E+",IF(F624&lt;'PlayerGrades+'!$AB$15,"D-",IF(F624&lt;'PlayerGrades+'!$AB$14,"D",IF(F624&lt;'PlayerGrades+'!$AB$13,"D+",IF(F624&lt;'PlayerGrades+'!$AB$12,"C-",IF(F624&lt;'PlayerGrades+'!$AB$11,"C",IF(F624&lt;'PlayerGrades+'!$AB$10,"C+",IF(F624&lt;'PlayerGrades+'!$AB$9,"B-",IF(F624&lt;'PlayerGrades+'!$AB$8,"B",IF(F624&lt;'PlayerGrades+'!$AB$7,"B+",IF(F624&lt;'PlayerGrades+'!$AB$6,"A-",IF(F624&lt;'PlayerGrades+'!$AB$5,"A",IF(F624&lt;'PlayerGrades+'!$AB$4,"A+",IF(F624&lt;'PlayerGrades+'!$AB$3,"S-",IF(F624&lt;'PlayerGrades+'!$AB$2,"S","S+"))))))))))))))))))))</f>
        <v>F-</v>
      </c>
      <c r="H624" s="973">
        <f t="shared" si="3"/>
        <v>0</v>
      </c>
      <c r="I624" s="973" t="str">
        <f>IF(H624&lt;'PlayerGrades+'!$AC$21,"F-",IF(H624&lt;'PlayerGrades+'!$AC$20,"F",IF(H624&lt;'PlayerGrades+'!$AC$19,"F+",IF(H624&lt;'PlayerGrades+'!$AC$18,"E-",IF(H624&lt;'PlayerGrades+'!$AC$17,"E",IF(H624&lt;'PlayerGrades+'!$AC$16,"E+",IF(H624&lt;'PlayerGrades+'!$AC$15,"D-",IF(H624&lt;'PlayerGrades+'!$AC$14,"D",IF(H624&lt;'PlayerGrades+'!$AC$13,"D+",IF(H624&lt;'PlayerGrades+'!$AC$12,"C-",IF(H624&lt;'PlayerGrades+'!$AC$11,"C",IF(H624&lt;'PlayerGrades+'!$AC$10,"C+",IF(H624&lt;'PlayerGrades+'!$AC$9,"B-",IF(H624&lt;'PlayerGrades+'!$AC$8,"B",IF(H624&lt;'PlayerGrades+'!$AC$7,"B+",IF(H624&lt;'PlayerGrades+'!$AC$6,"A-",IF(H624&lt;'PlayerGrades+'!$AC$5,"A",IF(H624&lt;'PlayerGrades+'!$AC$4,"A+",IF(H624&lt;'PlayerGrades+'!$AC$3,"S-",IF(H624&lt;'PlayerGrades+'!$AC$2,"S","S+"))))))))))))))))))))</f>
        <v>F-</v>
      </c>
      <c r="J624" s="973">
        <f t="shared" si="4"/>
        <v>0</v>
      </c>
      <c r="K624" s="973" t="str">
        <f>IF(J624&lt;'PlayerGrades+'!$AD$21,"F-",IF(J624&lt;'PlayerGrades+'!$AD$20,"F",IF(J624&lt;'PlayerGrades+'!$AD$19,"F+",IF(J624&lt;'PlayerGrades+'!$AD$18,"E-",IF(J624&lt;'PlayerGrades+'!$AD$17,"E",IF(J624&lt;'PlayerGrades+'!$AD$16,"E+",IF(J624&lt;'PlayerGrades+'!$AD$15,"D-",IF(J624&lt;'PlayerGrades+'!$AD$14,"D",IF(J624&lt;'PlayerGrades+'!$AD$13,"D+",IF(J624&lt;'PlayerGrades+'!$AD$12,"C-",IF(J624&lt;'PlayerGrades+'!$AD$11,"C",IF(J624&lt;'PlayerGrades+'!$AD$10,"C+",IF(J624&lt;'PlayerGrades+'!$AD$9,"B-",IF(J624&lt;'PlayerGrades+'!$AD$8,"B",IF(J624&lt;'PlayerGrades+'!$AD$7,"B+",IF(J624&lt;'PlayerGrades+'!$AD$6,"A-",IF(J624&lt;'PlayerGrades+'!$AD$5,"A",IF(J624&lt;'PlayerGrades+'!$AD$4,"A+",IF(J624&lt;'PlayerGrades+'!$AD$3,"S-",IF(J624&lt;'PlayerGrades+'!$AD$2,"S","S+"))))))))))))))))))))</f>
        <v>F-</v>
      </c>
      <c r="L624" s="974">
        <f t="shared" si="5"/>
        <v>0.3445447088</v>
      </c>
      <c r="M624" s="975" t="str">
        <f>IF(L624&lt;'PlayerGrades+'!$AE$21,"F-",IF(L624&lt;'PlayerGrades+'!$AE$20,"F",IF(L624&lt;'PlayerGrades+'!$AE$19,"F+",IF(L624&lt;'PlayerGrades+'!$AE$18,"E-",IF(L624&lt;'PlayerGrades+'!$AE$17,"E",IF(L624&lt;'PlayerGrades+'!$AE$16,"E+",IF(L624&lt;'PlayerGrades+'!$AE$15,"D-",IF(L624&lt;'PlayerGrades+'!$AE$14,"D",IF(L624&lt;'PlayerGrades+'!$AE$13,"D+",IF(L624&lt;'PlayerGrades+'!$AE$12,"C-",IF(L624&lt;'PlayerGrades+'!$AE$11,"C",IF(L624&lt;'PlayerGrades+'!$AE$10,"C+",IF(L624&lt;'PlayerGrades+'!$AE$9,"B-",IF(L624&lt;'PlayerGrades+'!$AE$8,"B",IF(L624&lt;'PlayerGrades+'!$AE$7,"B+",IF(L624&lt;'PlayerGrades+'!$AE$6,"A-",IF(L624&lt;'PlayerGrades+'!$AE$5,"A",IF(L624&lt;'PlayerGrades+'!$AE$4,"A+",IF(L624&lt;'PlayerGrades+'!$AE$3,"S-",IF(L624&lt;'PlayerGrades+'!$AE$2,"S","S+"))))))))))))))))))))</f>
        <v>D</v>
      </c>
      <c r="N624" s="973">
        <f t="shared" si="6"/>
        <v>0.04922067268</v>
      </c>
      <c r="O624" s="973" t="str">
        <f>IF(N624&lt;'PlayerGrades+'!$AF$21,"F-",IF(N624&lt;'PlayerGrades+'!$AF$20,"F",IF(N624&lt;'PlayerGrades+'!$AF$19,"F+",IF(N624&lt;'PlayerGrades+'!$AF$18,"E-",IF(N624&lt;'PlayerGrades+'!$AF$17,"E",IF(N624&lt;'PlayerGrades+'!$AF$16,"E+",IF(N624&lt;'PlayerGrades+'!$AF$15,"D-",IF(N624&lt;'PlayerGrades+'!$AF$14,"D",IF(N624&lt;'PlayerGrades+'!$AF$13,"D+",IF(N624&lt;'PlayerGrades+'!$AF$12,"C-",IF(N624&lt;'PlayerGrades+'!$AF$11,"C",IF(N624&lt;'PlayerGrades+'!$AF$10,"C+",IF(N624&lt;'PlayerGrades+'!$AF$9,"B-",IF(N624&lt;'PlayerGrades+'!$AF$8,"B",IF(N624&lt;'PlayerGrades+'!$AF$7,"B+",IF(N624&lt;'PlayerGrades+'!$AF$6,"A-",IF(N624&lt;'PlayerGrades+'!$AF$5,"A",IF(N624&lt;'PlayerGrades+'!$AF$4,"A+",IF(N624&lt;'PlayerGrades+'!$AF$3,"S-",IF(N624&lt;'PlayerGrades+'!$AF$2,"S","S+"))))))))))))))))))))</f>
        <v>D-</v>
      </c>
      <c r="P624" s="973">
        <f t="shared" si="7"/>
        <v>0</v>
      </c>
      <c r="Q624" s="973" t="str">
        <f>IF(P624&lt;'PlayerGrades+'!$AG$21,"F-",IF(P624&lt;'PlayerGrades+'!$AG$20,"F",IF(P624&lt;'PlayerGrades+'!$AG$19,"F+",IF(P624&lt;'PlayerGrades+'!$AG$18,"E-",IF(P624&lt;'PlayerGrades+'!$AG$17,"E",IF(P624&lt;'PlayerGrades+'!$AG$16,"E+",IF(P624&lt;'PlayerGrades+'!$AG$15,"D-",IF(P624&lt;'PlayerGrades+'!$AG$14,"D",IF(P624&lt;'PlayerGrades+'!$AG$13,"D+",IF(P624&lt;'PlayerGrades+'!$AG$12,"C-",IF(P624&lt;'PlayerGrades+'!$AG$11,"C",IF(P624&lt;'PlayerGrades+'!$AG$10,"C+",IF(P624&lt;'PlayerGrades+'!$AG$9,"B-",IF(P624&lt;'PlayerGrades+'!$AG$8,"B",IF(P624&lt;'PlayerGrades+'!$AG$7,"B+",IF(P624&lt;'PlayerGrades+'!$AG$6,"A-",IF(P624&lt;'PlayerGrades+'!$AG$5,"A",IF(P624&lt;'PlayerGrades+'!$AG$4,"A+",IF(P624&lt;'PlayerGrades+'!$AG$3,"S-",IF(P624&lt;'PlayerGrades+'!$AG$2,"S","S+"))))))))))))))))))))</f>
        <v>F</v>
      </c>
      <c r="R624" s="973">
        <f t="shared" si="8"/>
        <v>0.4183757178</v>
      </c>
      <c r="S624" s="973" t="str">
        <f>IF(R624&lt;'PlayerGrades+'!$AH$21,"F-",IF(R624&lt;'PlayerGrades+'!$AH$20,"F",IF(R624&lt;'PlayerGrades+'!$AH$19,"F+",IF(R624&lt;'PlayerGrades+'!$AH$18,"E-",IF(R624&lt;'PlayerGrades+'!$AH$17,"E",IF(R624&lt;'PlayerGrades+'!$AH$16,"E+",IF(R624&lt;'PlayerGrades+'!$AH$15,"D-",IF(R624&lt;'PlayerGrades+'!$AH$14,"D",IF(R624&lt;'PlayerGrades+'!$AH$13,"D+",IF(R624&lt;'PlayerGrades+'!$AH$12,"C-",IF(R624&lt;'PlayerGrades+'!$AH$11,"C",IF(R624&lt;'PlayerGrades+'!$AH$10,"C+",IF(R624&lt;'PlayerGrades+'!$AH$9,"B-",IF(R624&lt;'PlayerGrades+'!$AH$8,"B",IF(R624&lt;'PlayerGrades+'!$AH$7,"B+",IF(R624&lt;'PlayerGrades+'!$AH$6,"A-",IF(R624&lt;'PlayerGrades+'!$AH$5,"A",IF(R624&lt;'PlayerGrades+'!$AH$4,"A+",IF(R624&lt;'PlayerGrades+'!$AH$3,"S-",IF(R624&lt;'PlayerGrades+'!$AH$2,"S","S+"))))))))))))))))))))</f>
        <v>F+</v>
      </c>
      <c r="T624" s="973">
        <f t="shared" si="9"/>
        <v>0.5660377358</v>
      </c>
      <c r="U624" s="973" t="str">
        <f>IF(T624&lt;'PlayerGrades+'!$AI$21,"F-",IF(T624&lt;'PlayerGrades+'!$AI$20,"F",IF(T624&lt;'PlayerGrades+'!$AI$19,"F+",IF(T624&lt;'PlayerGrades+'!$AI$18,"E-",IF(T624&lt;'PlayerGrades+'!$AI$17,"E",IF(T624&lt;'PlayerGrades+'!$AI$16,"E+",IF(T624&lt;'PlayerGrades+'!$AI$15,"D-",IF(T624&lt;'PlayerGrades+'!$AI$14,"D",IF(T624&lt;'PlayerGrades+'!$AI$13,"D+",IF(T624&lt;'PlayerGrades+'!$AI$12,"C-",IF(T624&lt;'PlayerGrades+'!$AI$11,"C",IF(T624&lt;'PlayerGrades+'!$AI$10,"C+",IF(T624&lt;'PlayerGrades+'!$AI$9,"B-",IF(T624&lt;'PlayerGrades+'!$AI$8,"B",IF(T624&lt;'PlayerGrades+'!$AI$7,"B+",IF(T624&lt;'PlayerGrades+'!$AI$6,"A-",IF(T624&lt;'PlayerGrades+'!$AI$5,"A",IF(T624&lt;'PlayerGrades+'!$AI$4,"A+",IF(T624&lt;'PlayerGrades+'!$AI$3,"S-",IF(T624&lt;'PlayerGrades+'!$AI$2,"S","S+"))))))))))))))))))))</f>
        <v>F-</v>
      </c>
      <c r="V624" s="941">
        <v>1.0</v>
      </c>
      <c r="W624" s="941">
        <v>0.0</v>
      </c>
      <c r="X624" s="941">
        <v>1.0</v>
      </c>
      <c r="Y624" s="941">
        <v>0.0</v>
      </c>
      <c r="Z624" s="941">
        <v>0.0</v>
      </c>
      <c r="AA624" s="941">
        <v>112.0</v>
      </c>
      <c r="AB624" s="941">
        <v>167.0</v>
      </c>
      <c r="AC624" s="941">
        <v>-55.0</v>
      </c>
      <c r="AD624" s="941">
        <v>8.0</v>
      </c>
      <c r="AE624" s="941">
        <v>4.0</v>
      </c>
      <c r="AF624" s="941">
        <v>0.0</v>
      </c>
      <c r="AG624" s="941">
        <v>1860.0</v>
      </c>
      <c r="AH624" s="941">
        <v>2438.0</v>
      </c>
      <c r="AI624" s="941">
        <v>11.0</v>
      </c>
      <c r="AJ624" s="941">
        <v>0.0</v>
      </c>
      <c r="AK624" s="941">
        <v>0.0</v>
      </c>
      <c r="AL624" s="941">
        <v>0.0</v>
      </c>
      <c r="AM624" s="941">
        <v>0.0</v>
      </c>
      <c r="AN624" s="941">
        <v>0.0</v>
      </c>
      <c r="AO624" s="941">
        <v>0.0</v>
      </c>
      <c r="AP624" s="941">
        <v>0.0</v>
      </c>
      <c r="AQ624" s="941">
        <v>0.0</v>
      </c>
      <c r="AR624" s="941">
        <v>14.0</v>
      </c>
      <c r="AS624" s="941">
        <v>2.0</v>
      </c>
      <c r="AT624" s="941">
        <v>1.0</v>
      </c>
      <c r="AU624" s="941">
        <v>0.0</v>
      </c>
      <c r="AV624" s="941">
        <v>0.0</v>
      </c>
      <c r="AW624" s="941">
        <v>0.0</v>
      </c>
      <c r="AX624" s="941">
        <v>0.0</v>
      </c>
      <c r="AY624" s="941">
        <v>0.0</v>
      </c>
      <c r="AZ624" s="941">
        <v>0.0</v>
      </c>
      <c r="BA624" s="941">
        <v>0.0</v>
      </c>
      <c r="BB624" s="941">
        <v>0.0</v>
      </c>
      <c r="BC624" s="941">
        <v>0.0</v>
      </c>
      <c r="BD624" s="941">
        <v>9.0</v>
      </c>
      <c r="BE624" s="941">
        <v>23.0</v>
      </c>
      <c r="BF624" s="941">
        <v>0.0</v>
      </c>
      <c r="BG624" s="942">
        <v>1.0</v>
      </c>
    </row>
    <row r="625">
      <c r="A625" s="943" t="s">
        <v>149</v>
      </c>
      <c r="B625" s="421" t="str">
        <f>IF(C625&lt;'PlayerGrades+'!$Y$44,"F-",IF(C625&lt;'PlayerGrades+'!$Y$43,"F",IF(C625&lt;'PlayerGrades+'!$Y$42,"F+",IF(C625&lt;'PlayerGrades+'!$Y$41,"E-",IF(C625&lt;'PlayerGrades+'!$Y$40,"E",IF(C625&lt;'PlayerGrades+'!$Y$39,"E+",IF(C625&lt;'PlayerGrades+'!$Y$38,"D-",IF(C625&lt;'PlayerGrades+'!$Y$37,"D",IF(C625&lt;'PlayerGrades+'!$Y$36,"D+",IF(C625&lt;'PlayerGrades+'!$Y$35,"C-",IF(C625&lt;'PlayerGrades+'!$Y$34,"C",IF(C625&lt;'PlayerGrades+'!$Y$33,"C+",IF(C625&lt;'PlayerGrades+'!$Y$32,"B-",IF(C625&lt;'PlayerGrades+'!$Y$31,"B",IF(C625&lt;'PlayerGrades+'!$Y$30,"B+",IF(C625&lt;'PlayerGrades+'!$Y$29,"A-",IF(C625&lt;'PlayerGrades+'!$Y$28,"A",IF(C625&lt;'PlayerGrades+'!$Y$27,"A+",IF(C625&lt;'PlayerGrades+'!$Y$26,"S-",IF(C625&lt;'PlayerGrades+'!$Y$25,"S","S+"))))))))))))))))))))</f>
        <v>D+</v>
      </c>
      <c r="C625" s="972">
        <f>('PlayerGrades+'!$Y$47*(VLOOKUP(E625, 'PlayerGrades+'!$X$3:$Y$23, 2, FALSE)))+('PlayerGrades+'!$Y$48*(VLOOKUP(G625, 'PlayerGrades+'!$X$3:$Y$23, 2, FALSE)))+('PlayerGrades+'!$Y$49*(VLOOKUP(I625, 'PlayerGrades+'!$X$3:$Y$23, 2, FALSE)))+('PlayerGrades+'!$Y$50*(VLOOKUP(K625, 'PlayerGrades+'!$X$3:$Y$23, 2, FALSE)))+('PlayerGrades+'!$Y$51*(VLOOKUP(M625, 'PlayerGrades+'!$X$3:$Y$23, 2, FALSE)))+('PlayerGrades+'!$Y$52*(VLOOKUP(O625, 'PlayerGrades+'!$X$3:$Y$23, 2, FALSE)))+('PlayerGrades+'!$Y$53*(VLOOKUP(Q625, 'PlayerGrades+'!$X$3:$Y$23, 2, FALSE)))+('PlayerGrades+'!$Y$54*(VLOOKUP(S625, 'PlayerGrades+'!$X$3:$Y$23, 2, FALSE)))+('PlayerGrades+'!$Y$55*(VLOOKUP(U625, 'PlayerGrades+'!$X$3:$Y$23, 2, FALSE)))</f>
        <v>17.5</v>
      </c>
      <c r="D625" s="973">
        <f t="shared" si="1"/>
        <v>0.2461033634</v>
      </c>
      <c r="E625" s="973" t="str">
        <f>IF(D625&lt;'PlayerGrades+'!$AA$21,"F-",IF(D625&lt;'PlayerGrades+'!$AA$20,"F",IF(D625&lt;'PlayerGrades+'!$AA$19,"F+",IF(D625&lt;'PlayerGrades+'!$AA$18,"E-",IF(D625&lt;'PlayerGrades+'!$AA$17,"E",IF(D625&lt;'PlayerGrades+'!$AA$16,"E+",IF(D625&lt;'PlayerGrades+'!$AA$15,"D-",IF(D625&lt;'PlayerGrades+'!$AA$14,"D",IF(D625&lt;'PlayerGrades+'!$AA$13,"D+",IF(D625&lt;'PlayerGrades+'!$AA$12,"C-",IF(D625&lt;'PlayerGrades+'!$AA$11,"C",IF(D625&lt;'PlayerGrades+'!$AA$10,"C+",IF(D625&lt;'PlayerGrades+'!$AA$9,"B-",IF(D625&lt;'PlayerGrades+'!$AA$8,"B",IF(D625&lt;'PlayerGrades+'!$AA$7,"B+",IF(D625&lt;'PlayerGrades+'!$AA$6,"A-",IF(D625&lt;'PlayerGrades+'!$AA$5,"A",IF(D625&lt;'PlayerGrades+'!$AA$4,"A+",IF(D625&lt;'PlayerGrades+'!$AA$3,"S-",IF(D625&lt;'PlayerGrades+'!$AA$2,"S","S+"))))))))))))))))))))</f>
        <v>A-</v>
      </c>
      <c r="F625" s="973">
        <f t="shared" si="2"/>
        <v>-0.07383100902</v>
      </c>
      <c r="G625" s="973" t="str">
        <f>IF(F625&lt;'PlayerGrades+'!$AB$21,"F-",IF(F625&lt;'PlayerGrades+'!$AB$20,"F",IF(F625&lt;'PlayerGrades+'!$AB$19,"F+",IF(F625&lt;'PlayerGrades+'!$AB$18,"E-",IF(F625&lt;'PlayerGrades+'!$AB$17,"E",IF(F625&lt;'PlayerGrades+'!$AB$16,"E+",IF(F625&lt;'PlayerGrades+'!$AB$15,"D-",IF(F625&lt;'PlayerGrades+'!$AB$14,"D",IF(F625&lt;'PlayerGrades+'!$AB$13,"D+",IF(F625&lt;'PlayerGrades+'!$AB$12,"C-",IF(F625&lt;'PlayerGrades+'!$AB$11,"C",IF(F625&lt;'PlayerGrades+'!$AB$10,"C+",IF(F625&lt;'PlayerGrades+'!$AB$9,"B-",IF(F625&lt;'PlayerGrades+'!$AB$8,"B",IF(F625&lt;'PlayerGrades+'!$AB$7,"B+",IF(F625&lt;'PlayerGrades+'!$AB$6,"A-",IF(F625&lt;'PlayerGrades+'!$AB$5,"A",IF(F625&lt;'PlayerGrades+'!$AB$4,"A+",IF(F625&lt;'PlayerGrades+'!$AB$3,"S-",IF(F625&lt;'PlayerGrades+'!$AB$2,"S","S+"))))))))))))))))))))</f>
        <v>B-</v>
      </c>
      <c r="H625" s="973">
        <f t="shared" si="3"/>
        <v>0.04922067268</v>
      </c>
      <c r="I625" s="973" t="str">
        <f>IF(H625&lt;'PlayerGrades+'!$AC$21,"F-",IF(H625&lt;'PlayerGrades+'!$AC$20,"F",IF(H625&lt;'PlayerGrades+'!$AC$19,"F+",IF(H625&lt;'PlayerGrades+'!$AC$18,"E-",IF(H625&lt;'PlayerGrades+'!$AC$17,"E",IF(H625&lt;'PlayerGrades+'!$AC$16,"E+",IF(H625&lt;'PlayerGrades+'!$AC$15,"D-",IF(H625&lt;'PlayerGrades+'!$AC$14,"D",IF(H625&lt;'PlayerGrades+'!$AC$13,"D+",IF(H625&lt;'PlayerGrades+'!$AC$12,"C-",IF(H625&lt;'PlayerGrades+'!$AC$11,"C",IF(H625&lt;'PlayerGrades+'!$AC$10,"C+",IF(H625&lt;'PlayerGrades+'!$AC$9,"B-",IF(H625&lt;'PlayerGrades+'!$AC$8,"B",IF(H625&lt;'PlayerGrades+'!$AC$7,"B+",IF(H625&lt;'PlayerGrades+'!$AC$6,"A-",IF(H625&lt;'PlayerGrades+'!$AC$5,"A",IF(H625&lt;'PlayerGrades+'!$AC$4,"A+",IF(H625&lt;'PlayerGrades+'!$AC$3,"S-",IF(H625&lt;'PlayerGrades+'!$AC$2,"S","S+"))))))))))))))))))))</f>
        <v>F</v>
      </c>
      <c r="J625" s="973">
        <f t="shared" si="4"/>
        <v>0.02461033634</v>
      </c>
      <c r="K625" s="973" t="str">
        <f>IF(J625&lt;'PlayerGrades+'!$AD$21,"F-",IF(J625&lt;'PlayerGrades+'!$AD$20,"F",IF(J625&lt;'PlayerGrades+'!$AD$19,"F+",IF(J625&lt;'PlayerGrades+'!$AD$18,"E-",IF(J625&lt;'PlayerGrades+'!$AD$17,"E",IF(J625&lt;'PlayerGrades+'!$AD$16,"E+",IF(J625&lt;'PlayerGrades+'!$AD$15,"D-",IF(J625&lt;'PlayerGrades+'!$AD$14,"D",IF(J625&lt;'PlayerGrades+'!$AD$13,"D+",IF(J625&lt;'PlayerGrades+'!$AD$12,"C-",IF(J625&lt;'PlayerGrades+'!$AD$11,"C",IF(J625&lt;'PlayerGrades+'!$AD$10,"C+",IF(J625&lt;'PlayerGrades+'!$AD$9,"B-",IF(J625&lt;'PlayerGrades+'!$AD$8,"B",IF(J625&lt;'PlayerGrades+'!$AD$7,"B+",IF(J625&lt;'PlayerGrades+'!$AD$6,"A-",IF(J625&lt;'PlayerGrades+'!$AD$5,"A",IF(J625&lt;'PlayerGrades+'!$AD$4,"A+",IF(J625&lt;'PlayerGrades+'!$AD$3,"S-",IF(J625&lt;'PlayerGrades+'!$AD$2,"S","S+"))))))))))))))))))))</f>
        <v>D</v>
      </c>
      <c r="L625" s="974">
        <f t="shared" si="5"/>
        <v>0.1968826907</v>
      </c>
      <c r="M625" s="975" t="str">
        <f>IF(L625&lt;'PlayerGrades+'!$AE$21,"F-",IF(L625&lt;'PlayerGrades+'!$AE$20,"F",IF(L625&lt;'PlayerGrades+'!$AE$19,"F+",IF(L625&lt;'PlayerGrades+'!$AE$18,"E-",IF(L625&lt;'PlayerGrades+'!$AE$17,"E",IF(L625&lt;'PlayerGrades+'!$AE$16,"E+",IF(L625&lt;'PlayerGrades+'!$AE$15,"D-",IF(L625&lt;'PlayerGrades+'!$AE$14,"D",IF(L625&lt;'PlayerGrades+'!$AE$13,"D+",IF(L625&lt;'PlayerGrades+'!$AE$12,"C-",IF(L625&lt;'PlayerGrades+'!$AE$11,"C",IF(L625&lt;'PlayerGrades+'!$AE$10,"C+",IF(L625&lt;'PlayerGrades+'!$AE$9,"B-",IF(L625&lt;'PlayerGrades+'!$AE$8,"B",IF(L625&lt;'PlayerGrades+'!$AE$7,"B+",IF(L625&lt;'PlayerGrades+'!$AE$6,"A-",IF(L625&lt;'PlayerGrades+'!$AE$5,"A",IF(L625&lt;'PlayerGrades+'!$AE$4,"A+",IF(L625&lt;'PlayerGrades+'!$AE$3,"S-",IF(L625&lt;'PlayerGrades+'!$AE$2,"S","S+"))))))))))))))))))))</f>
        <v>F</v>
      </c>
      <c r="N625" s="973">
        <f t="shared" si="6"/>
        <v>0.04922067268</v>
      </c>
      <c r="O625" s="973" t="str">
        <f>IF(N625&lt;'PlayerGrades+'!$AF$21,"F-",IF(N625&lt;'PlayerGrades+'!$AF$20,"F",IF(N625&lt;'PlayerGrades+'!$AF$19,"F+",IF(N625&lt;'PlayerGrades+'!$AF$18,"E-",IF(N625&lt;'PlayerGrades+'!$AF$17,"E",IF(N625&lt;'PlayerGrades+'!$AF$16,"E+",IF(N625&lt;'PlayerGrades+'!$AF$15,"D-",IF(N625&lt;'PlayerGrades+'!$AF$14,"D",IF(N625&lt;'PlayerGrades+'!$AF$13,"D+",IF(N625&lt;'PlayerGrades+'!$AF$12,"C-",IF(N625&lt;'PlayerGrades+'!$AF$11,"C",IF(N625&lt;'PlayerGrades+'!$AF$10,"C+",IF(N625&lt;'PlayerGrades+'!$AF$9,"B-",IF(N625&lt;'PlayerGrades+'!$AF$8,"B",IF(N625&lt;'PlayerGrades+'!$AF$7,"B+",IF(N625&lt;'PlayerGrades+'!$AF$6,"A-",IF(N625&lt;'PlayerGrades+'!$AF$5,"A",IF(N625&lt;'PlayerGrades+'!$AF$4,"A+",IF(N625&lt;'PlayerGrades+'!$AF$3,"S-",IF(N625&lt;'PlayerGrades+'!$AF$2,"S","S+"))))))))))))))))))))</f>
        <v>D-</v>
      </c>
      <c r="P625" s="973">
        <f t="shared" si="7"/>
        <v>0.02461033634</v>
      </c>
      <c r="Q625" s="973" t="str">
        <f>IF(P625&lt;'PlayerGrades+'!$AG$21,"F-",IF(P625&lt;'PlayerGrades+'!$AG$20,"F",IF(P625&lt;'PlayerGrades+'!$AG$19,"F+",IF(P625&lt;'PlayerGrades+'!$AG$18,"E-",IF(P625&lt;'PlayerGrades+'!$AG$17,"E",IF(P625&lt;'PlayerGrades+'!$AG$16,"E+",IF(P625&lt;'PlayerGrades+'!$AG$15,"D-",IF(P625&lt;'PlayerGrades+'!$AG$14,"D",IF(P625&lt;'PlayerGrades+'!$AG$13,"D+",IF(P625&lt;'PlayerGrades+'!$AG$12,"C-",IF(P625&lt;'PlayerGrades+'!$AG$11,"C",IF(P625&lt;'PlayerGrades+'!$AG$10,"C+",IF(P625&lt;'PlayerGrades+'!$AG$9,"B-",IF(P625&lt;'PlayerGrades+'!$AG$8,"B",IF(P625&lt;'PlayerGrades+'!$AG$7,"B+",IF(P625&lt;'PlayerGrades+'!$AG$6,"A-",IF(P625&lt;'PlayerGrades+'!$AG$5,"A",IF(P625&lt;'PlayerGrades+'!$AG$4,"A+",IF(P625&lt;'PlayerGrades+'!$AG$3,"S-",IF(P625&lt;'PlayerGrades+'!$AG$2,"S","S+"))))))))))))))))))))</f>
        <v>B-</v>
      </c>
      <c r="R625" s="973">
        <f t="shared" si="8"/>
        <v>0.5168170632</v>
      </c>
      <c r="S625" s="973" t="str">
        <f>IF(R625&lt;'PlayerGrades+'!$AH$21,"F-",IF(R625&lt;'PlayerGrades+'!$AH$20,"F",IF(R625&lt;'PlayerGrades+'!$AH$19,"F+",IF(R625&lt;'PlayerGrades+'!$AH$18,"E-",IF(R625&lt;'PlayerGrades+'!$AH$17,"E",IF(R625&lt;'PlayerGrades+'!$AH$16,"E+",IF(R625&lt;'PlayerGrades+'!$AH$15,"D-",IF(R625&lt;'PlayerGrades+'!$AH$14,"D",IF(R625&lt;'PlayerGrades+'!$AH$13,"D+",IF(R625&lt;'PlayerGrades+'!$AH$12,"C-",IF(R625&lt;'PlayerGrades+'!$AH$11,"C",IF(R625&lt;'PlayerGrades+'!$AH$10,"C+",IF(R625&lt;'PlayerGrades+'!$AH$9,"B-",IF(R625&lt;'PlayerGrades+'!$AH$8,"B",IF(R625&lt;'PlayerGrades+'!$AH$7,"B+",IF(R625&lt;'PlayerGrades+'!$AH$6,"A-",IF(R625&lt;'PlayerGrades+'!$AH$5,"A",IF(R625&lt;'PlayerGrades+'!$AH$4,"A+",IF(R625&lt;'PlayerGrades+'!$AH$3,"S-",IF(R625&lt;'PlayerGrades+'!$AH$2,"S","S+"))))))))))))))))))))</f>
        <v>D+</v>
      </c>
      <c r="T625" s="973">
        <f t="shared" si="9"/>
        <v>2.2707137</v>
      </c>
      <c r="U625" s="973" t="str">
        <f>IF(T625&lt;'PlayerGrades+'!$AI$21,"F-",IF(T625&lt;'PlayerGrades+'!$AI$20,"F",IF(T625&lt;'PlayerGrades+'!$AI$19,"F+",IF(T625&lt;'PlayerGrades+'!$AI$18,"E-",IF(T625&lt;'PlayerGrades+'!$AI$17,"E",IF(T625&lt;'PlayerGrades+'!$AI$16,"E+",IF(T625&lt;'PlayerGrades+'!$AI$15,"D-",IF(T625&lt;'PlayerGrades+'!$AI$14,"D",IF(T625&lt;'PlayerGrades+'!$AI$13,"D+",IF(T625&lt;'PlayerGrades+'!$AI$12,"C-",IF(T625&lt;'PlayerGrades+'!$AI$11,"C",IF(T625&lt;'PlayerGrades+'!$AI$10,"C+",IF(T625&lt;'PlayerGrades+'!$AI$9,"B-",IF(T625&lt;'PlayerGrades+'!$AI$8,"B",IF(T625&lt;'PlayerGrades+'!$AI$7,"B+",IF(T625&lt;'PlayerGrades+'!$AI$6,"A-",IF(T625&lt;'PlayerGrades+'!$AI$5,"A",IF(T625&lt;'PlayerGrades+'!$AI$4,"A+",IF(T625&lt;'PlayerGrades+'!$AI$3,"S-",IF(T625&lt;'PlayerGrades+'!$AI$2,"S","S+"))))))))))))))))))))</f>
        <v>S+</v>
      </c>
      <c r="V625" s="944">
        <v>1.0</v>
      </c>
      <c r="W625" s="944">
        <v>0.0</v>
      </c>
      <c r="X625" s="944">
        <v>1.0</v>
      </c>
      <c r="Y625" s="944">
        <v>0.0</v>
      </c>
      <c r="Z625" s="944">
        <v>10.0</v>
      </c>
      <c r="AA625" s="944">
        <v>80.0</v>
      </c>
      <c r="AB625" s="944">
        <v>83.0</v>
      </c>
      <c r="AC625" s="944">
        <v>-3.0</v>
      </c>
      <c r="AD625" s="944">
        <v>4.0</v>
      </c>
      <c r="AE625" s="944">
        <v>5.0</v>
      </c>
      <c r="AF625" s="944">
        <v>3.0</v>
      </c>
      <c r="AG625" s="944">
        <v>2115.0</v>
      </c>
      <c r="AH625" s="944">
        <v>2438.0</v>
      </c>
      <c r="AI625" s="944">
        <v>25.0</v>
      </c>
      <c r="AJ625" s="944">
        <v>1006.0</v>
      </c>
      <c r="AK625" s="944">
        <v>0.0</v>
      </c>
      <c r="AL625" s="944">
        <v>1.0</v>
      </c>
      <c r="AM625" s="944">
        <v>0.0</v>
      </c>
      <c r="AN625" s="944">
        <v>0.0</v>
      </c>
      <c r="AO625" s="944">
        <v>0.0</v>
      </c>
      <c r="AP625" s="944">
        <v>1.0</v>
      </c>
      <c r="AQ625" s="944">
        <v>0.0</v>
      </c>
      <c r="AR625" s="944">
        <v>8.0</v>
      </c>
      <c r="AS625" s="944">
        <v>2.0</v>
      </c>
      <c r="AT625" s="944">
        <v>0.0</v>
      </c>
      <c r="AU625" s="944">
        <v>0.0</v>
      </c>
      <c r="AV625" s="944">
        <v>0.0</v>
      </c>
      <c r="AW625" s="944">
        <v>0.0</v>
      </c>
      <c r="AX625" s="944">
        <v>0.0</v>
      </c>
      <c r="AY625" s="944">
        <v>0.0</v>
      </c>
      <c r="AZ625" s="944">
        <v>0.0</v>
      </c>
      <c r="BA625" s="944">
        <v>0.0</v>
      </c>
      <c r="BB625" s="944">
        <v>2.0</v>
      </c>
      <c r="BC625" s="944">
        <v>0.0</v>
      </c>
      <c r="BD625" s="944">
        <v>17.0</v>
      </c>
      <c r="BE625" s="944">
        <v>11.0</v>
      </c>
      <c r="BF625" s="944">
        <v>2.0</v>
      </c>
      <c r="BG625" s="945">
        <v>1.0</v>
      </c>
    </row>
    <row r="626">
      <c r="A626" s="946" t="s">
        <v>149</v>
      </c>
      <c r="B626" s="421" t="str">
        <f>IF(C626&lt;'PlayerGrades+'!$Y$44,"F-",IF(C626&lt;'PlayerGrades+'!$Y$43,"F",IF(C626&lt;'PlayerGrades+'!$Y$42,"F+",IF(C626&lt;'PlayerGrades+'!$Y$41,"E-",IF(C626&lt;'PlayerGrades+'!$Y$40,"E",IF(C626&lt;'PlayerGrades+'!$Y$39,"E+",IF(C626&lt;'PlayerGrades+'!$Y$38,"D-",IF(C626&lt;'PlayerGrades+'!$Y$37,"D",IF(C626&lt;'PlayerGrades+'!$Y$36,"D+",IF(C626&lt;'PlayerGrades+'!$Y$35,"C-",IF(C626&lt;'PlayerGrades+'!$Y$34,"C",IF(C626&lt;'PlayerGrades+'!$Y$33,"C+",IF(C626&lt;'PlayerGrades+'!$Y$32,"B-",IF(C626&lt;'PlayerGrades+'!$Y$31,"B",IF(C626&lt;'PlayerGrades+'!$Y$30,"B+",IF(C626&lt;'PlayerGrades+'!$Y$29,"A-",IF(C626&lt;'PlayerGrades+'!$Y$28,"A",IF(C626&lt;'PlayerGrades+'!$Y$27,"A+",IF(C626&lt;'PlayerGrades+'!$Y$26,"S-",IF(C626&lt;'PlayerGrades+'!$Y$25,"S","S+"))))))))))))))))))))</f>
        <v>C</v>
      </c>
      <c r="C626" s="972">
        <f>('PlayerGrades+'!$Y$47*(VLOOKUP(E626, 'PlayerGrades+'!$X$3:$Y$23, 2, FALSE)))+('PlayerGrades+'!$Y$48*(VLOOKUP(G626, 'PlayerGrades+'!$X$3:$Y$23, 2, FALSE)))+('PlayerGrades+'!$Y$49*(VLOOKUP(I626, 'PlayerGrades+'!$X$3:$Y$23, 2, FALSE)))+('PlayerGrades+'!$Y$50*(VLOOKUP(K626, 'PlayerGrades+'!$X$3:$Y$23, 2, FALSE)))+('PlayerGrades+'!$Y$51*(VLOOKUP(M626, 'PlayerGrades+'!$X$3:$Y$23, 2, FALSE)))+('PlayerGrades+'!$Y$52*(VLOOKUP(O626, 'PlayerGrades+'!$X$3:$Y$23, 2, FALSE)))+('PlayerGrades+'!$Y$53*(VLOOKUP(Q626, 'PlayerGrades+'!$X$3:$Y$23, 2, FALSE)))+('PlayerGrades+'!$Y$54*(VLOOKUP(S626, 'PlayerGrades+'!$X$3:$Y$23, 2, FALSE)))+('PlayerGrades+'!$Y$55*(VLOOKUP(U626, 'PlayerGrades+'!$X$3:$Y$23, 2, FALSE)))</f>
        <v>20.45</v>
      </c>
      <c r="D626" s="973">
        <f t="shared" si="1"/>
        <v>1.09375</v>
      </c>
      <c r="E626" s="973" t="str">
        <f>IF(D626&lt;'PlayerGrades+'!$AA$21,"F-",IF(D626&lt;'PlayerGrades+'!$AA$20,"F",IF(D626&lt;'PlayerGrades+'!$AA$19,"F+",IF(D626&lt;'PlayerGrades+'!$AA$18,"E-",IF(D626&lt;'PlayerGrades+'!$AA$17,"E",IF(D626&lt;'PlayerGrades+'!$AA$16,"E+",IF(D626&lt;'PlayerGrades+'!$AA$15,"D-",IF(D626&lt;'PlayerGrades+'!$AA$14,"D",IF(D626&lt;'PlayerGrades+'!$AA$13,"D+",IF(D626&lt;'PlayerGrades+'!$AA$12,"C-",IF(D626&lt;'PlayerGrades+'!$AA$11,"C",IF(D626&lt;'PlayerGrades+'!$AA$10,"C+",IF(D626&lt;'PlayerGrades+'!$AA$9,"B-",IF(D626&lt;'PlayerGrades+'!$AA$8,"B",IF(D626&lt;'PlayerGrades+'!$AA$7,"B+",IF(D626&lt;'PlayerGrades+'!$AA$6,"A-",IF(D626&lt;'PlayerGrades+'!$AA$5,"A",IF(D626&lt;'PlayerGrades+'!$AA$4,"A+",IF(D626&lt;'PlayerGrades+'!$AA$3,"S-",IF(D626&lt;'PlayerGrades+'!$AA$2,"S","S+"))))))))))))))))))))</f>
        <v>S+</v>
      </c>
      <c r="F626" s="973">
        <f t="shared" si="2"/>
        <v>0.859375</v>
      </c>
      <c r="G626" s="973" t="str">
        <f>IF(F626&lt;'PlayerGrades+'!$AB$21,"F-",IF(F626&lt;'PlayerGrades+'!$AB$20,"F",IF(F626&lt;'PlayerGrades+'!$AB$19,"F+",IF(F626&lt;'PlayerGrades+'!$AB$18,"E-",IF(F626&lt;'PlayerGrades+'!$AB$17,"E",IF(F626&lt;'PlayerGrades+'!$AB$16,"E+",IF(F626&lt;'PlayerGrades+'!$AB$15,"D-",IF(F626&lt;'PlayerGrades+'!$AB$14,"D",IF(F626&lt;'PlayerGrades+'!$AB$13,"D+",IF(F626&lt;'PlayerGrades+'!$AB$12,"C-",IF(F626&lt;'PlayerGrades+'!$AB$11,"C",IF(F626&lt;'PlayerGrades+'!$AB$10,"C+",IF(F626&lt;'PlayerGrades+'!$AB$9,"B-",IF(F626&lt;'PlayerGrades+'!$AB$8,"B",IF(F626&lt;'PlayerGrades+'!$AB$7,"B+",IF(F626&lt;'PlayerGrades+'!$AB$6,"A-",IF(F626&lt;'PlayerGrades+'!$AB$5,"A",IF(F626&lt;'PlayerGrades+'!$AB$4,"A+",IF(F626&lt;'PlayerGrades+'!$AB$3,"S-",IF(F626&lt;'PlayerGrades+'!$AB$2,"S","S+"))))))))))))))))))))</f>
        <v>S</v>
      </c>
      <c r="H626" s="973">
        <f t="shared" si="3"/>
        <v>0.078125</v>
      </c>
      <c r="I626" s="973" t="str">
        <f>IF(H626&lt;'PlayerGrades+'!$AC$21,"F-",IF(H626&lt;'PlayerGrades+'!$AC$20,"F",IF(H626&lt;'PlayerGrades+'!$AC$19,"F+",IF(H626&lt;'PlayerGrades+'!$AC$18,"E-",IF(H626&lt;'PlayerGrades+'!$AC$17,"E",IF(H626&lt;'PlayerGrades+'!$AC$16,"E+",IF(H626&lt;'PlayerGrades+'!$AC$15,"D-",IF(H626&lt;'PlayerGrades+'!$AC$14,"D",IF(H626&lt;'PlayerGrades+'!$AC$13,"D+",IF(H626&lt;'PlayerGrades+'!$AC$12,"C-",IF(H626&lt;'PlayerGrades+'!$AC$11,"C",IF(H626&lt;'PlayerGrades+'!$AC$10,"C+",IF(H626&lt;'PlayerGrades+'!$AC$9,"B-",IF(H626&lt;'PlayerGrades+'!$AC$8,"B",IF(H626&lt;'PlayerGrades+'!$AC$7,"B+",IF(H626&lt;'PlayerGrades+'!$AC$6,"A-",IF(H626&lt;'PlayerGrades+'!$AC$5,"A",IF(H626&lt;'PlayerGrades+'!$AC$4,"A+",IF(H626&lt;'PlayerGrades+'!$AC$3,"S-",IF(H626&lt;'PlayerGrades+'!$AC$2,"S","S+"))))))))))))))))))))</f>
        <v>E+</v>
      </c>
      <c r="J626" s="973">
        <f t="shared" si="4"/>
        <v>0.15625</v>
      </c>
      <c r="K626" s="973" t="str">
        <f>IF(J626&lt;'PlayerGrades+'!$AD$21,"F-",IF(J626&lt;'PlayerGrades+'!$AD$20,"F",IF(J626&lt;'PlayerGrades+'!$AD$19,"F+",IF(J626&lt;'PlayerGrades+'!$AD$18,"E-",IF(J626&lt;'PlayerGrades+'!$AD$17,"E",IF(J626&lt;'PlayerGrades+'!$AD$16,"E+",IF(J626&lt;'PlayerGrades+'!$AD$15,"D-",IF(J626&lt;'PlayerGrades+'!$AD$14,"D",IF(J626&lt;'PlayerGrades+'!$AD$13,"D+",IF(J626&lt;'PlayerGrades+'!$AD$12,"C-",IF(J626&lt;'PlayerGrades+'!$AD$11,"C",IF(J626&lt;'PlayerGrades+'!$AD$10,"C+",IF(J626&lt;'PlayerGrades+'!$AD$9,"B-",IF(J626&lt;'PlayerGrades+'!$AD$8,"B",IF(J626&lt;'PlayerGrades+'!$AD$7,"B+",IF(J626&lt;'PlayerGrades+'!$AD$6,"A-",IF(J626&lt;'PlayerGrades+'!$AD$5,"A",IF(J626&lt;'PlayerGrades+'!$AD$4,"A+",IF(J626&lt;'PlayerGrades+'!$AD$3,"S-",IF(J626&lt;'PlayerGrades+'!$AD$2,"S","S+"))))))))))))))))))))</f>
        <v>S+</v>
      </c>
      <c r="L626" s="974">
        <f t="shared" si="5"/>
        <v>0.234375</v>
      </c>
      <c r="M626" s="975" t="str">
        <f>IF(L626&lt;'PlayerGrades+'!$AE$21,"F-",IF(L626&lt;'PlayerGrades+'!$AE$20,"F",IF(L626&lt;'PlayerGrades+'!$AE$19,"F+",IF(L626&lt;'PlayerGrades+'!$AE$18,"E-",IF(L626&lt;'PlayerGrades+'!$AE$17,"E",IF(L626&lt;'PlayerGrades+'!$AE$16,"E+",IF(L626&lt;'PlayerGrades+'!$AE$15,"D-",IF(L626&lt;'PlayerGrades+'!$AE$14,"D",IF(L626&lt;'PlayerGrades+'!$AE$13,"D+",IF(L626&lt;'PlayerGrades+'!$AE$12,"C-",IF(L626&lt;'PlayerGrades+'!$AE$11,"C",IF(L626&lt;'PlayerGrades+'!$AE$10,"C+",IF(L626&lt;'PlayerGrades+'!$AE$9,"B-",IF(L626&lt;'PlayerGrades+'!$AE$8,"B",IF(L626&lt;'PlayerGrades+'!$AE$7,"B+",IF(L626&lt;'PlayerGrades+'!$AE$6,"A-",IF(L626&lt;'PlayerGrades+'!$AE$5,"A",IF(L626&lt;'PlayerGrades+'!$AE$4,"A+",IF(L626&lt;'PlayerGrades+'!$AE$3,"S-",IF(L626&lt;'PlayerGrades+'!$AE$2,"S","S+"))))))))))))))))))))</f>
        <v>F</v>
      </c>
      <c r="N626" s="973">
        <f t="shared" si="6"/>
        <v>0</v>
      </c>
      <c r="O626" s="973" t="str">
        <f>IF(N626&lt;'PlayerGrades+'!$AF$21,"F-",IF(N626&lt;'PlayerGrades+'!$AF$20,"F",IF(N626&lt;'PlayerGrades+'!$AF$19,"F+",IF(N626&lt;'PlayerGrades+'!$AF$18,"E-",IF(N626&lt;'PlayerGrades+'!$AF$17,"E",IF(N626&lt;'PlayerGrades+'!$AF$16,"E+",IF(N626&lt;'PlayerGrades+'!$AF$15,"D-",IF(N626&lt;'PlayerGrades+'!$AF$14,"D",IF(N626&lt;'PlayerGrades+'!$AF$13,"D+",IF(N626&lt;'PlayerGrades+'!$AF$12,"C-",IF(N626&lt;'PlayerGrades+'!$AF$11,"C",IF(N626&lt;'PlayerGrades+'!$AF$10,"C+",IF(N626&lt;'PlayerGrades+'!$AF$9,"B-",IF(N626&lt;'PlayerGrades+'!$AF$8,"B",IF(N626&lt;'PlayerGrades+'!$AF$7,"B+",IF(N626&lt;'PlayerGrades+'!$AF$6,"A-",IF(N626&lt;'PlayerGrades+'!$AF$5,"A",IF(N626&lt;'PlayerGrades+'!$AF$4,"A+",IF(N626&lt;'PlayerGrades+'!$AF$3,"S-",IF(N626&lt;'PlayerGrades+'!$AF$2,"S","S+"))))))))))))))))))))</f>
        <v>F-</v>
      </c>
      <c r="P626" s="973">
        <f t="shared" si="7"/>
        <v>0</v>
      </c>
      <c r="Q626" s="973" t="str">
        <f>IF(P626&lt;'PlayerGrades+'!$AG$21,"F-",IF(P626&lt;'PlayerGrades+'!$AG$20,"F",IF(P626&lt;'PlayerGrades+'!$AG$19,"F+",IF(P626&lt;'PlayerGrades+'!$AG$18,"E-",IF(P626&lt;'PlayerGrades+'!$AG$17,"E",IF(P626&lt;'PlayerGrades+'!$AG$16,"E+",IF(P626&lt;'PlayerGrades+'!$AG$15,"D-",IF(P626&lt;'PlayerGrades+'!$AG$14,"D",IF(P626&lt;'PlayerGrades+'!$AG$13,"D+",IF(P626&lt;'PlayerGrades+'!$AG$12,"C-",IF(P626&lt;'PlayerGrades+'!$AG$11,"C",IF(P626&lt;'PlayerGrades+'!$AG$10,"C+",IF(P626&lt;'PlayerGrades+'!$AG$9,"B-",IF(P626&lt;'PlayerGrades+'!$AG$8,"B",IF(P626&lt;'PlayerGrades+'!$AG$7,"B+",IF(P626&lt;'PlayerGrades+'!$AG$6,"A-",IF(P626&lt;'PlayerGrades+'!$AG$5,"A",IF(P626&lt;'PlayerGrades+'!$AG$4,"A+",IF(P626&lt;'PlayerGrades+'!$AG$3,"S-",IF(P626&lt;'PlayerGrades+'!$AG$2,"S","S+"))))))))))))))))))))</f>
        <v>F</v>
      </c>
      <c r="R626" s="973">
        <f t="shared" si="8"/>
        <v>0.78125</v>
      </c>
      <c r="S626" s="973" t="str">
        <f>IF(R626&lt;'PlayerGrades+'!$AH$21,"F-",IF(R626&lt;'PlayerGrades+'!$AH$20,"F",IF(R626&lt;'PlayerGrades+'!$AH$19,"F+",IF(R626&lt;'PlayerGrades+'!$AH$18,"E-",IF(R626&lt;'PlayerGrades+'!$AH$17,"E",IF(R626&lt;'PlayerGrades+'!$AH$16,"E+",IF(R626&lt;'PlayerGrades+'!$AH$15,"D-",IF(R626&lt;'PlayerGrades+'!$AH$14,"D",IF(R626&lt;'PlayerGrades+'!$AH$13,"D+",IF(R626&lt;'PlayerGrades+'!$AH$12,"C-",IF(R626&lt;'PlayerGrades+'!$AH$11,"C",IF(R626&lt;'PlayerGrades+'!$AH$10,"C+",IF(R626&lt;'PlayerGrades+'!$AH$9,"B-",IF(R626&lt;'PlayerGrades+'!$AH$8,"B",IF(R626&lt;'PlayerGrades+'!$AH$7,"B+",IF(R626&lt;'PlayerGrades+'!$AH$6,"A-",IF(R626&lt;'PlayerGrades+'!$AH$5,"A",IF(R626&lt;'PlayerGrades+'!$AH$4,"A+",IF(R626&lt;'PlayerGrades+'!$AH$3,"S-",IF(R626&lt;'PlayerGrades+'!$AH$2,"S","S+"))))))))))))))))))))</f>
        <v>S+</v>
      </c>
      <c r="T626" s="973">
        <f t="shared" si="9"/>
        <v>0.15625</v>
      </c>
      <c r="U626" s="973" t="str">
        <f>IF(T626&lt;'PlayerGrades+'!$AI$21,"F-",IF(T626&lt;'PlayerGrades+'!$AI$20,"F",IF(T626&lt;'PlayerGrades+'!$AI$19,"F+",IF(T626&lt;'PlayerGrades+'!$AI$18,"E-",IF(T626&lt;'PlayerGrades+'!$AI$17,"E",IF(T626&lt;'PlayerGrades+'!$AI$16,"E+",IF(T626&lt;'PlayerGrades+'!$AI$15,"D-",IF(T626&lt;'PlayerGrades+'!$AI$14,"D",IF(T626&lt;'PlayerGrades+'!$AI$13,"D+",IF(T626&lt;'PlayerGrades+'!$AI$12,"C-",IF(T626&lt;'PlayerGrades+'!$AI$11,"C",IF(T626&lt;'PlayerGrades+'!$AI$10,"C+",IF(T626&lt;'PlayerGrades+'!$AI$9,"B-",IF(T626&lt;'PlayerGrades+'!$AI$8,"B",IF(T626&lt;'PlayerGrades+'!$AI$7,"B+",IF(T626&lt;'PlayerGrades+'!$AI$6,"A-",IF(T626&lt;'PlayerGrades+'!$AI$5,"A",IF(T626&lt;'PlayerGrades+'!$AI$4,"A+",IF(T626&lt;'PlayerGrades+'!$AI$3,"S-",IF(T626&lt;'PlayerGrades+'!$AI$2,"S","S+"))))))))))))))))))))</f>
        <v>F-</v>
      </c>
      <c r="V626" s="895">
        <v>0.0</v>
      </c>
      <c r="W626" s="895">
        <v>0.0</v>
      </c>
      <c r="X626" s="939">
        <v>0.0</v>
      </c>
      <c r="Y626" s="939">
        <v>2.0</v>
      </c>
      <c r="Z626" s="939">
        <v>12.0</v>
      </c>
      <c r="AA626" s="939">
        <v>27.0</v>
      </c>
      <c r="AB626" s="939">
        <v>16.0</v>
      </c>
      <c r="AC626" s="939">
        <v>11.0</v>
      </c>
      <c r="AD626" s="939">
        <v>2.0</v>
      </c>
      <c r="AE626" s="939">
        <v>8.0</v>
      </c>
      <c r="AF626" s="939">
        <v>0.0</v>
      </c>
      <c r="AG626" s="939">
        <v>662.0</v>
      </c>
      <c r="AH626" s="939">
        <v>768.0</v>
      </c>
      <c r="AI626" s="939">
        <v>41.0</v>
      </c>
      <c r="AJ626" s="939">
        <v>481.0</v>
      </c>
      <c r="AK626" s="939">
        <v>0.0</v>
      </c>
      <c r="AL626" s="939">
        <v>2.0</v>
      </c>
      <c r="AM626" s="939">
        <v>0.0</v>
      </c>
      <c r="AN626" s="939">
        <v>0.0</v>
      </c>
      <c r="AO626" s="939">
        <v>0.0</v>
      </c>
      <c r="AP626" s="939">
        <v>0.0</v>
      </c>
      <c r="AQ626" s="939">
        <v>0.0</v>
      </c>
      <c r="AR626" s="939">
        <v>3.0</v>
      </c>
      <c r="AS626" s="939">
        <v>0.0</v>
      </c>
      <c r="AT626" s="939">
        <v>0.0</v>
      </c>
      <c r="AU626" s="939">
        <v>0.0</v>
      </c>
      <c r="AV626" s="939">
        <v>0.0</v>
      </c>
      <c r="AW626" s="939">
        <v>0.0</v>
      </c>
      <c r="AX626" s="939">
        <v>0.0</v>
      </c>
      <c r="AY626" s="939">
        <v>0.0</v>
      </c>
      <c r="AZ626" s="939">
        <v>0.0</v>
      </c>
      <c r="BA626" s="939">
        <v>0.0</v>
      </c>
      <c r="BB626" s="939">
        <v>1.0</v>
      </c>
      <c r="BC626" s="939">
        <v>0.0</v>
      </c>
      <c r="BD626" s="939">
        <v>8.0</v>
      </c>
      <c r="BE626" s="939">
        <v>2.0</v>
      </c>
      <c r="BF626" s="939">
        <v>0.0</v>
      </c>
      <c r="BG626" s="940">
        <v>1.0</v>
      </c>
    </row>
    <row r="627">
      <c r="A627" s="935" t="s">
        <v>392</v>
      </c>
      <c r="B627" s="421" t="str">
        <f>IF(C627&lt;'PlayerGrades+'!$Y$44,"F-",IF(C627&lt;'PlayerGrades+'!$Y$43,"F",IF(C627&lt;'PlayerGrades+'!$Y$42,"F+",IF(C627&lt;'PlayerGrades+'!$Y$41,"E-",IF(C627&lt;'PlayerGrades+'!$Y$40,"E",IF(C627&lt;'PlayerGrades+'!$Y$39,"E+",IF(C627&lt;'PlayerGrades+'!$Y$38,"D-",IF(C627&lt;'PlayerGrades+'!$Y$37,"D",IF(C627&lt;'PlayerGrades+'!$Y$36,"D+",IF(C627&lt;'PlayerGrades+'!$Y$35,"C-",IF(C627&lt;'PlayerGrades+'!$Y$34,"C",IF(C627&lt;'PlayerGrades+'!$Y$33,"C+",IF(C627&lt;'PlayerGrades+'!$Y$32,"B-",IF(C627&lt;'PlayerGrades+'!$Y$31,"B",IF(C627&lt;'PlayerGrades+'!$Y$30,"B+",IF(C627&lt;'PlayerGrades+'!$Y$29,"A-",IF(C627&lt;'PlayerGrades+'!$Y$28,"A",IF(C627&lt;'PlayerGrades+'!$Y$27,"A+",IF(C627&lt;'PlayerGrades+'!$Y$26,"S-",IF(C627&lt;'PlayerGrades+'!$Y$25,"S","S+"))))))))))))))))))))</f>
        <v>D</v>
      </c>
      <c r="C627" s="972">
        <f>('PlayerGrades+'!$Y$47*(VLOOKUP(E627, 'PlayerGrades+'!$X$3:$Y$23, 2, FALSE)))+('PlayerGrades+'!$Y$48*(VLOOKUP(G627, 'PlayerGrades+'!$X$3:$Y$23, 2, FALSE)))+('PlayerGrades+'!$Y$49*(VLOOKUP(I627, 'PlayerGrades+'!$X$3:$Y$23, 2, FALSE)))+('PlayerGrades+'!$Y$50*(VLOOKUP(K627, 'PlayerGrades+'!$X$3:$Y$23, 2, FALSE)))+('PlayerGrades+'!$Y$51*(VLOOKUP(M627, 'PlayerGrades+'!$X$3:$Y$23, 2, FALSE)))+('PlayerGrades+'!$Y$52*(VLOOKUP(O627, 'PlayerGrades+'!$X$3:$Y$23, 2, FALSE)))+('PlayerGrades+'!$Y$53*(VLOOKUP(Q627, 'PlayerGrades+'!$X$3:$Y$23, 2, FALSE)))+('PlayerGrades+'!$Y$54*(VLOOKUP(S627, 'PlayerGrades+'!$X$3:$Y$23, 2, FALSE)))+('PlayerGrades+'!$Y$55*(VLOOKUP(U627, 'PlayerGrades+'!$X$3:$Y$23, 2, FALSE)))</f>
        <v>16.25</v>
      </c>
      <c r="D627" s="973">
        <f t="shared" si="1"/>
        <v>0</v>
      </c>
      <c r="E627" s="973" t="str">
        <f>IF(D627&lt;'PlayerGrades+'!$AA$21,"F-",IF(D627&lt;'PlayerGrades+'!$AA$20,"F",IF(D627&lt;'PlayerGrades+'!$AA$19,"F+",IF(D627&lt;'PlayerGrades+'!$AA$18,"E-",IF(D627&lt;'PlayerGrades+'!$AA$17,"E",IF(D627&lt;'PlayerGrades+'!$AA$16,"E+",IF(D627&lt;'PlayerGrades+'!$AA$15,"D-",IF(D627&lt;'PlayerGrades+'!$AA$14,"D",IF(D627&lt;'PlayerGrades+'!$AA$13,"D+",IF(D627&lt;'PlayerGrades+'!$AA$12,"C-",IF(D627&lt;'PlayerGrades+'!$AA$11,"C",IF(D627&lt;'PlayerGrades+'!$AA$10,"C+",IF(D627&lt;'PlayerGrades+'!$AA$9,"B-",IF(D627&lt;'PlayerGrades+'!$AA$8,"B",IF(D627&lt;'PlayerGrades+'!$AA$7,"B+",IF(D627&lt;'PlayerGrades+'!$AA$6,"A-",IF(D627&lt;'PlayerGrades+'!$AA$5,"A",IF(D627&lt;'PlayerGrades+'!$AA$4,"A+",IF(D627&lt;'PlayerGrades+'!$AA$3,"S-",IF(D627&lt;'PlayerGrades+'!$AA$2,"S","S+"))))))))))))))))))))</f>
        <v>F-</v>
      </c>
      <c r="F627" s="973">
        <f t="shared" si="2"/>
        <v>-0.8581644815</v>
      </c>
      <c r="G627" s="973" t="str">
        <f>IF(F627&lt;'PlayerGrades+'!$AB$21,"F-",IF(F627&lt;'PlayerGrades+'!$AB$20,"F",IF(F627&lt;'PlayerGrades+'!$AB$19,"F+",IF(F627&lt;'PlayerGrades+'!$AB$18,"E-",IF(F627&lt;'PlayerGrades+'!$AB$17,"E",IF(F627&lt;'PlayerGrades+'!$AB$16,"E+",IF(F627&lt;'PlayerGrades+'!$AB$15,"D-",IF(F627&lt;'PlayerGrades+'!$AB$14,"D",IF(F627&lt;'PlayerGrades+'!$AB$13,"D+",IF(F627&lt;'PlayerGrades+'!$AB$12,"C-",IF(F627&lt;'PlayerGrades+'!$AB$11,"C",IF(F627&lt;'PlayerGrades+'!$AB$10,"C+",IF(F627&lt;'PlayerGrades+'!$AB$9,"B-",IF(F627&lt;'PlayerGrades+'!$AB$8,"B",IF(F627&lt;'PlayerGrades+'!$AB$7,"B+",IF(F627&lt;'PlayerGrades+'!$AB$6,"A-",IF(F627&lt;'PlayerGrades+'!$AB$5,"A",IF(F627&lt;'PlayerGrades+'!$AB$4,"A+",IF(F627&lt;'PlayerGrades+'!$AB$3,"S-",IF(F627&lt;'PlayerGrades+'!$AB$2,"S","S+"))))))))))))))))))))</f>
        <v>E</v>
      </c>
      <c r="H627" s="973">
        <f t="shared" si="3"/>
        <v>0.07151370679</v>
      </c>
      <c r="I627" s="973" t="str">
        <f>IF(H627&lt;'PlayerGrades+'!$AC$21,"F-",IF(H627&lt;'PlayerGrades+'!$AC$20,"F",IF(H627&lt;'PlayerGrades+'!$AC$19,"F+",IF(H627&lt;'PlayerGrades+'!$AC$18,"E-",IF(H627&lt;'PlayerGrades+'!$AC$17,"E",IF(H627&lt;'PlayerGrades+'!$AC$16,"E+",IF(H627&lt;'PlayerGrades+'!$AC$15,"D-",IF(H627&lt;'PlayerGrades+'!$AC$14,"D",IF(H627&lt;'PlayerGrades+'!$AC$13,"D+",IF(H627&lt;'PlayerGrades+'!$AC$12,"C-",IF(H627&lt;'PlayerGrades+'!$AC$11,"C",IF(H627&lt;'PlayerGrades+'!$AC$10,"C+",IF(H627&lt;'PlayerGrades+'!$AC$9,"B-",IF(H627&lt;'PlayerGrades+'!$AC$8,"B",IF(H627&lt;'PlayerGrades+'!$AC$7,"B+",IF(H627&lt;'PlayerGrades+'!$AC$6,"A-",IF(H627&lt;'PlayerGrades+'!$AC$5,"A",IF(H627&lt;'PlayerGrades+'!$AC$4,"A+",IF(H627&lt;'PlayerGrades+'!$AC$3,"S-",IF(H627&lt;'PlayerGrades+'!$AC$2,"S","S+"))))))))))))))))))))</f>
        <v>E</v>
      </c>
      <c r="J627" s="973">
        <f t="shared" si="4"/>
        <v>0</v>
      </c>
      <c r="K627" s="973" t="str">
        <f>IF(J627&lt;'PlayerGrades+'!$AD$21,"F-",IF(J627&lt;'PlayerGrades+'!$AD$20,"F",IF(J627&lt;'PlayerGrades+'!$AD$19,"F+",IF(J627&lt;'PlayerGrades+'!$AD$18,"E-",IF(J627&lt;'PlayerGrades+'!$AD$17,"E",IF(J627&lt;'PlayerGrades+'!$AD$16,"E+",IF(J627&lt;'PlayerGrades+'!$AD$15,"D-",IF(J627&lt;'PlayerGrades+'!$AD$14,"D",IF(J627&lt;'PlayerGrades+'!$AD$13,"D+",IF(J627&lt;'PlayerGrades+'!$AD$12,"C-",IF(J627&lt;'PlayerGrades+'!$AD$11,"C",IF(J627&lt;'PlayerGrades+'!$AD$10,"C+",IF(J627&lt;'PlayerGrades+'!$AD$9,"B-",IF(J627&lt;'PlayerGrades+'!$AD$8,"B",IF(J627&lt;'PlayerGrades+'!$AD$7,"B+",IF(J627&lt;'PlayerGrades+'!$AD$6,"A-",IF(J627&lt;'PlayerGrades+'!$AD$5,"A",IF(J627&lt;'PlayerGrades+'!$AD$4,"A+",IF(J627&lt;'PlayerGrades+'!$AD$3,"S-",IF(J627&lt;'PlayerGrades+'!$AD$2,"S","S+"))))))))))))))))))))</f>
        <v>F-</v>
      </c>
      <c r="L627" s="974">
        <f t="shared" si="5"/>
        <v>0.5005959476</v>
      </c>
      <c r="M627" s="975" t="str">
        <f>IF(L627&lt;'PlayerGrades+'!$AE$21,"F-",IF(L627&lt;'PlayerGrades+'!$AE$20,"F",IF(L627&lt;'PlayerGrades+'!$AE$19,"F+",IF(L627&lt;'PlayerGrades+'!$AE$18,"E-",IF(L627&lt;'PlayerGrades+'!$AE$17,"E",IF(L627&lt;'PlayerGrades+'!$AE$16,"E+",IF(L627&lt;'PlayerGrades+'!$AE$15,"D-",IF(L627&lt;'PlayerGrades+'!$AE$14,"D",IF(L627&lt;'PlayerGrades+'!$AE$13,"D+",IF(L627&lt;'PlayerGrades+'!$AE$12,"C-",IF(L627&lt;'PlayerGrades+'!$AE$11,"C",IF(L627&lt;'PlayerGrades+'!$AE$10,"C+",IF(L627&lt;'PlayerGrades+'!$AE$9,"B-",IF(L627&lt;'PlayerGrades+'!$AE$8,"B",IF(L627&lt;'PlayerGrades+'!$AE$7,"B+",IF(L627&lt;'PlayerGrades+'!$AE$6,"A-",IF(L627&lt;'PlayerGrades+'!$AE$5,"A",IF(L627&lt;'PlayerGrades+'!$AE$4,"A+",IF(L627&lt;'PlayerGrades+'!$AE$3,"S-",IF(L627&lt;'PlayerGrades+'!$AE$2,"S","S+"))))))))))))))))))))</f>
        <v>A-</v>
      </c>
      <c r="N627" s="973">
        <f t="shared" si="6"/>
        <v>0.2145411204</v>
      </c>
      <c r="O627" s="973" t="str">
        <f>IF(N627&lt;'PlayerGrades+'!$AF$21,"F-",IF(N627&lt;'PlayerGrades+'!$AF$20,"F",IF(N627&lt;'PlayerGrades+'!$AF$19,"F+",IF(N627&lt;'PlayerGrades+'!$AF$18,"E-",IF(N627&lt;'PlayerGrades+'!$AF$17,"E",IF(N627&lt;'PlayerGrades+'!$AF$16,"E+",IF(N627&lt;'PlayerGrades+'!$AF$15,"D-",IF(N627&lt;'PlayerGrades+'!$AF$14,"D",IF(N627&lt;'PlayerGrades+'!$AF$13,"D+",IF(N627&lt;'PlayerGrades+'!$AF$12,"C-",IF(N627&lt;'PlayerGrades+'!$AF$11,"C",IF(N627&lt;'PlayerGrades+'!$AF$10,"C+",IF(N627&lt;'PlayerGrades+'!$AF$9,"B-",IF(N627&lt;'PlayerGrades+'!$AF$8,"B",IF(N627&lt;'PlayerGrades+'!$AF$7,"B+",IF(N627&lt;'PlayerGrades+'!$AF$6,"A-",IF(N627&lt;'PlayerGrades+'!$AF$5,"A",IF(N627&lt;'PlayerGrades+'!$AF$4,"A+",IF(N627&lt;'PlayerGrades+'!$AF$3,"S-",IF(N627&lt;'PlayerGrades+'!$AF$2,"S","S+"))))))))))))))))))))</f>
        <v>S+</v>
      </c>
      <c r="P627" s="973">
        <f t="shared" si="7"/>
        <v>0</v>
      </c>
      <c r="Q627" s="973" t="str">
        <f>IF(P627&lt;'PlayerGrades+'!$AG$21,"F-",IF(P627&lt;'PlayerGrades+'!$AG$20,"F",IF(P627&lt;'PlayerGrades+'!$AG$19,"F+",IF(P627&lt;'PlayerGrades+'!$AG$18,"E-",IF(P627&lt;'PlayerGrades+'!$AG$17,"E",IF(P627&lt;'PlayerGrades+'!$AG$16,"E+",IF(P627&lt;'PlayerGrades+'!$AG$15,"D-",IF(P627&lt;'PlayerGrades+'!$AG$14,"D",IF(P627&lt;'PlayerGrades+'!$AG$13,"D+",IF(P627&lt;'PlayerGrades+'!$AG$12,"C-",IF(P627&lt;'PlayerGrades+'!$AG$11,"C",IF(P627&lt;'PlayerGrades+'!$AG$10,"C+",IF(P627&lt;'PlayerGrades+'!$AG$9,"B-",IF(P627&lt;'PlayerGrades+'!$AG$8,"B",IF(P627&lt;'PlayerGrades+'!$AG$7,"B+",IF(P627&lt;'PlayerGrades+'!$AG$6,"A-",IF(P627&lt;'PlayerGrades+'!$AG$5,"A",IF(P627&lt;'PlayerGrades+'!$AG$4,"A+",IF(P627&lt;'PlayerGrades+'!$AG$3,"S-",IF(P627&lt;'PlayerGrades+'!$AG$2,"S","S+"))))))))))))))))))))</f>
        <v>F</v>
      </c>
      <c r="R627" s="973">
        <f t="shared" si="8"/>
        <v>0.357568534</v>
      </c>
      <c r="S627" s="973" t="str">
        <f>IF(R627&lt;'PlayerGrades+'!$AH$21,"F-",IF(R627&lt;'PlayerGrades+'!$AH$20,"F",IF(R627&lt;'PlayerGrades+'!$AH$19,"F+",IF(R627&lt;'PlayerGrades+'!$AH$18,"E-",IF(R627&lt;'PlayerGrades+'!$AH$17,"E",IF(R627&lt;'PlayerGrades+'!$AH$16,"E+",IF(R627&lt;'PlayerGrades+'!$AH$15,"D-",IF(R627&lt;'PlayerGrades+'!$AH$14,"D",IF(R627&lt;'PlayerGrades+'!$AH$13,"D+",IF(R627&lt;'PlayerGrades+'!$AH$12,"C-",IF(R627&lt;'PlayerGrades+'!$AH$11,"C",IF(R627&lt;'PlayerGrades+'!$AH$10,"C+",IF(R627&lt;'PlayerGrades+'!$AH$9,"B-",IF(R627&lt;'PlayerGrades+'!$AH$8,"B",IF(R627&lt;'PlayerGrades+'!$AH$7,"B+",IF(R627&lt;'PlayerGrades+'!$AH$6,"A-",IF(R627&lt;'PlayerGrades+'!$AH$5,"A",IF(R627&lt;'PlayerGrades+'!$AH$4,"A+",IF(R627&lt;'PlayerGrades+'!$AH$3,"S-",IF(R627&lt;'PlayerGrades+'!$AH$2,"S","S+"))))))))))))))))))))</f>
        <v>F</v>
      </c>
      <c r="T627" s="973">
        <f t="shared" si="9"/>
        <v>1.572109654</v>
      </c>
      <c r="U627" s="973" t="str">
        <f>IF(T627&lt;'PlayerGrades+'!$AI$21,"F-",IF(T627&lt;'PlayerGrades+'!$AI$20,"F",IF(T627&lt;'PlayerGrades+'!$AI$19,"F+",IF(T627&lt;'PlayerGrades+'!$AI$18,"E-",IF(T627&lt;'PlayerGrades+'!$AI$17,"E",IF(T627&lt;'PlayerGrades+'!$AI$16,"E+",IF(T627&lt;'PlayerGrades+'!$AI$15,"D-",IF(T627&lt;'PlayerGrades+'!$AI$14,"D",IF(T627&lt;'PlayerGrades+'!$AI$13,"D+",IF(T627&lt;'PlayerGrades+'!$AI$12,"C-",IF(T627&lt;'PlayerGrades+'!$AI$11,"C",IF(T627&lt;'PlayerGrades+'!$AI$10,"C+",IF(T627&lt;'PlayerGrades+'!$AI$9,"B-",IF(T627&lt;'PlayerGrades+'!$AI$8,"B",IF(T627&lt;'PlayerGrades+'!$AI$7,"B+",IF(T627&lt;'PlayerGrades+'!$AI$6,"A-",IF(T627&lt;'PlayerGrades+'!$AI$5,"A",IF(T627&lt;'PlayerGrades+'!$AI$4,"A+",IF(T627&lt;'PlayerGrades+'!$AI$3,"S-",IF(T627&lt;'PlayerGrades+'!$AI$2,"S","S+"))))))))))))))))))))</f>
        <v>A+</v>
      </c>
      <c r="V627" s="1">
        <v>0.0</v>
      </c>
      <c r="W627" s="1">
        <v>0.0</v>
      </c>
      <c r="X627" s="941">
        <v>0.0</v>
      </c>
      <c r="Y627" s="941">
        <v>0.0</v>
      </c>
      <c r="Z627" s="941">
        <v>0.0</v>
      </c>
      <c r="AA627" s="941">
        <v>43.0</v>
      </c>
      <c r="AB627" s="941">
        <v>55.0</v>
      </c>
      <c r="AC627" s="941">
        <v>-12.0</v>
      </c>
      <c r="AD627" s="941">
        <v>3.0</v>
      </c>
      <c r="AE627" s="941">
        <v>4.0</v>
      </c>
      <c r="AF627" s="941">
        <v>1.0</v>
      </c>
      <c r="AG627" s="941">
        <v>625.0</v>
      </c>
      <c r="AH627" s="941">
        <v>839.0</v>
      </c>
      <c r="AI627" s="941">
        <v>11.0</v>
      </c>
      <c r="AJ627" s="941">
        <v>0.0</v>
      </c>
      <c r="AK627" s="941">
        <v>0.0</v>
      </c>
      <c r="AL627" s="941">
        <v>0.0</v>
      </c>
      <c r="AM627" s="941">
        <v>0.0</v>
      </c>
      <c r="AN627" s="941">
        <v>0.0</v>
      </c>
      <c r="AO627" s="941">
        <v>0.0</v>
      </c>
      <c r="AP627" s="941">
        <v>0.0</v>
      </c>
      <c r="AQ627" s="941">
        <v>0.0</v>
      </c>
      <c r="AR627" s="941">
        <v>7.0</v>
      </c>
      <c r="AS627" s="941">
        <v>3.0</v>
      </c>
      <c r="AT627" s="941">
        <v>1.0</v>
      </c>
      <c r="AU627" s="941">
        <v>0.0</v>
      </c>
      <c r="AV627" s="941">
        <v>0.0</v>
      </c>
      <c r="AW627" s="941">
        <v>0.0</v>
      </c>
      <c r="AX627" s="941">
        <v>0.0</v>
      </c>
      <c r="AY627" s="941">
        <v>0.0</v>
      </c>
      <c r="AZ627" s="941">
        <v>0.0</v>
      </c>
      <c r="BA627" s="941">
        <v>0.0</v>
      </c>
      <c r="BB627" s="941">
        <v>1.0</v>
      </c>
      <c r="BC627" s="941">
        <v>0.0</v>
      </c>
      <c r="BD627" s="941">
        <v>2.0</v>
      </c>
      <c r="BE627" s="941">
        <v>8.0</v>
      </c>
      <c r="BF627" s="941">
        <v>1.0</v>
      </c>
      <c r="BG627" s="942">
        <v>1.0</v>
      </c>
    </row>
    <row r="628">
      <c r="A628" s="935" t="s">
        <v>138</v>
      </c>
      <c r="B628" s="421" t="str">
        <f>IF(C628&lt;'PlayerGrades+'!$Y$44,"F-",IF(C628&lt;'PlayerGrades+'!$Y$43,"F",IF(C628&lt;'PlayerGrades+'!$Y$42,"F+",IF(C628&lt;'PlayerGrades+'!$Y$41,"E-",IF(C628&lt;'PlayerGrades+'!$Y$40,"E",IF(C628&lt;'PlayerGrades+'!$Y$39,"E+",IF(C628&lt;'PlayerGrades+'!$Y$38,"D-",IF(C628&lt;'PlayerGrades+'!$Y$37,"D",IF(C628&lt;'PlayerGrades+'!$Y$36,"D+",IF(C628&lt;'PlayerGrades+'!$Y$35,"C-",IF(C628&lt;'PlayerGrades+'!$Y$34,"C",IF(C628&lt;'PlayerGrades+'!$Y$33,"C+",IF(C628&lt;'PlayerGrades+'!$Y$32,"B-",IF(C628&lt;'PlayerGrades+'!$Y$31,"B",IF(C628&lt;'PlayerGrades+'!$Y$30,"B+",IF(C628&lt;'PlayerGrades+'!$Y$29,"A-",IF(C628&lt;'PlayerGrades+'!$Y$28,"A",IF(C628&lt;'PlayerGrades+'!$Y$27,"A+",IF(C628&lt;'PlayerGrades+'!$Y$26,"S-",IF(C628&lt;'PlayerGrades+'!$Y$25,"S","S+"))))))))))))))))))))</f>
        <v>S+</v>
      </c>
      <c r="C628" s="972">
        <f>('PlayerGrades+'!$Y$47*(VLOOKUP(E628, 'PlayerGrades+'!$X$3:$Y$23, 2, FALSE)))+('PlayerGrades+'!$Y$48*(VLOOKUP(G628, 'PlayerGrades+'!$X$3:$Y$23, 2, FALSE)))+('PlayerGrades+'!$Y$49*(VLOOKUP(I628, 'PlayerGrades+'!$X$3:$Y$23, 2, FALSE)))+('PlayerGrades+'!$Y$50*(VLOOKUP(K628, 'PlayerGrades+'!$X$3:$Y$23, 2, FALSE)))+('PlayerGrades+'!$Y$51*(VLOOKUP(M628, 'PlayerGrades+'!$X$3:$Y$23, 2, FALSE)))+('PlayerGrades+'!$Y$52*(VLOOKUP(O628, 'PlayerGrades+'!$X$3:$Y$23, 2, FALSE)))+('PlayerGrades+'!$Y$53*(VLOOKUP(Q628, 'PlayerGrades+'!$X$3:$Y$23, 2, FALSE)))+('PlayerGrades+'!$Y$54*(VLOOKUP(S628, 'PlayerGrades+'!$X$3:$Y$23, 2, FALSE)))+('PlayerGrades+'!$Y$55*(VLOOKUP(U628, 'PlayerGrades+'!$X$3:$Y$23, 2, FALSE)))</f>
        <v>34</v>
      </c>
      <c r="D628" s="973">
        <f t="shared" si="1"/>
        <v>0.15625</v>
      </c>
      <c r="E628" s="973" t="str">
        <f>IF(D628&lt;'PlayerGrades+'!$AA$21,"F-",IF(D628&lt;'PlayerGrades+'!$AA$20,"F",IF(D628&lt;'PlayerGrades+'!$AA$19,"F+",IF(D628&lt;'PlayerGrades+'!$AA$18,"E-",IF(D628&lt;'PlayerGrades+'!$AA$17,"E",IF(D628&lt;'PlayerGrades+'!$AA$16,"E+",IF(D628&lt;'PlayerGrades+'!$AA$15,"D-",IF(D628&lt;'PlayerGrades+'!$AA$14,"D",IF(D628&lt;'PlayerGrades+'!$AA$13,"D+",IF(D628&lt;'PlayerGrades+'!$AA$12,"C-",IF(D628&lt;'PlayerGrades+'!$AA$11,"C",IF(D628&lt;'PlayerGrades+'!$AA$10,"C+",IF(D628&lt;'PlayerGrades+'!$AA$9,"B-",IF(D628&lt;'PlayerGrades+'!$AA$8,"B",IF(D628&lt;'PlayerGrades+'!$AA$7,"B+",IF(D628&lt;'PlayerGrades+'!$AA$6,"A-",IF(D628&lt;'PlayerGrades+'!$AA$5,"A",IF(D628&lt;'PlayerGrades+'!$AA$4,"A+",IF(D628&lt;'PlayerGrades+'!$AA$3,"S-",IF(D628&lt;'PlayerGrades+'!$AA$2,"S","S+"))))))))))))))))))))</f>
        <v>B+</v>
      </c>
      <c r="F628" s="973">
        <f t="shared" si="2"/>
        <v>1.40625</v>
      </c>
      <c r="G628" s="973" t="str">
        <f>IF(F628&lt;'PlayerGrades+'!$AB$21,"F-",IF(F628&lt;'PlayerGrades+'!$AB$20,"F",IF(F628&lt;'PlayerGrades+'!$AB$19,"F+",IF(F628&lt;'PlayerGrades+'!$AB$18,"E-",IF(F628&lt;'PlayerGrades+'!$AB$17,"E",IF(F628&lt;'PlayerGrades+'!$AB$16,"E+",IF(F628&lt;'PlayerGrades+'!$AB$15,"D-",IF(F628&lt;'PlayerGrades+'!$AB$14,"D",IF(F628&lt;'PlayerGrades+'!$AB$13,"D+",IF(F628&lt;'PlayerGrades+'!$AB$12,"C-",IF(F628&lt;'PlayerGrades+'!$AB$11,"C",IF(F628&lt;'PlayerGrades+'!$AB$10,"C+",IF(F628&lt;'PlayerGrades+'!$AB$9,"B-",IF(F628&lt;'PlayerGrades+'!$AB$8,"B",IF(F628&lt;'PlayerGrades+'!$AB$7,"B+",IF(F628&lt;'PlayerGrades+'!$AB$6,"A-",IF(F628&lt;'PlayerGrades+'!$AB$5,"A",IF(F628&lt;'PlayerGrades+'!$AB$4,"A+",IF(F628&lt;'PlayerGrades+'!$AB$3,"S-",IF(F628&lt;'PlayerGrades+'!$AB$2,"S","S+"))))))))))))))))))))</f>
        <v>S+</v>
      </c>
      <c r="H628" s="973">
        <f t="shared" si="3"/>
        <v>0.234375</v>
      </c>
      <c r="I628" s="973" t="str">
        <f>IF(H628&lt;'PlayerGrades+'!$AC$21,"F-",IF(H628&lt;'PlayerGrades+'!$AC$20,"F",IF(H628&lt;'PlayerGrades+'!$AC$19,"F+",IF(H628&lt;'PlayerGrades+'!$AC$18,"E-",IF(H628&lt;'PlayerGrades+'!$AC$17,"E",IF(H628&lt;'PlayerGrades+'!$AC$16,"E+",IF(H628&lt;'PlayerGrades+'!$AC$15,"D-",IF(H628&lt;'PlayerGrades+'!$AC$14,"D",IF(H628&lt;'PlayerGrades+'!$AC$13,"D+",IF(H628&lt;'PlayerGrades+'!$AC$12,"C-",IF(H628&lt;'PlayerGrades+'!$AC$11,"C",IF(H628&lt;'PlayerGrades+'!$AC$10,"C+",IF(H628&lt;'PlayerGrades+'!$AC$9,"B-",IF(H628&lt;'PlayerGrades+'!$AC$8,"B",IF(H628&lt;'PlayerGrades+'!$AC$7,"B+",IF(H628&lt;'PlayerGrades+'!$AC$6,"A-",IF(H628&lt;'PlayerGrades+'!$AC$5,"A",IF(H628&lt;'PlayerGrades+'!$AC$4,"A+",IF(H628&lt;'PlayerGrades+'!$AC$3,"S-",IF(H628&lt;'PlayerGrades+'!$AC$2,"S","S+"))))))))))))))))))))</f>
        <v>S</v>
      </c>
      <c r="J628" s="973">
        <f t="shared" si="4"/>
        <v>0.3125</v>
      </c>
      <c r="K628" s="973" t="str">
        <f>IF(J628&lt;'PlayerGrades+'!$AD$21,"F-",IF(J628&lt;'PlayerGrades+'!$AD$20,"F",IF(J628&lt;'PlayerGrades+'!$AD$19,"F+",IF(J628&lt;'PlayerGrades+'!$AD$18,"E-",IF(J628&lt;'PlayerGrades+'!$AD$17,"E",IF(J628&lt;'PlayerGrades+'!$AD$16,"E+",IF(J628&lt;'PlayerGrades+'!$AD$15,"D-",IF(J628&lt;'PlayerGrades+'!$AD$14,"D",IF(J628&lt;'PlayerGrades+'!$AD$13,"D+",IF(J628&lt;'PlayerGrades+'!$AD$12,"C-",IF(J628&lt;'PlayerGrades+'!$AD$11,"C",IF(J628&lt;'PlayerGrades+'!$AD$10,"C+",IF(J628&lt;'PlayerGrades+'!$AD$9,"B-",IF(J628&lt;'PlayerGrades+'!$AD$8,"B",IF(J628&lt;'PlayerGrades+'!$AD$7,"B+",IF(J628&lt;'PlayerGrades+'!$AD$6,"A-",IF(J628&lt;'PlayerGrades+'!$AD$5,"A",IF(J628&lt;'PlayerGrades+'!$AD$4,"A+",IF(J628&lt;'PlayerGrades+'!$AD$3,"S-",IF(J628&lt;'PlayerGrades+'!$AD$2,"S","S+"))))))))))))))))))))</f>
        <v>S+</v>
      </c>
      <c r="L628" s="974">
        <f t="shared" si="5"/>
        <v>0.78125</v>
      </c>
      <c r="M628" s="975" t="str">
        <f>IF(L628&lt;'PlayerGrades+'!$AE$21,"F-",IF(L628&lt;'PlayerGrades+'!$AE$20,"F",IF(L628&lt;'PlayerGrades+'!$AE$19,"F+",IF(L628&lt;'PlayerGrades+'!$AE$18,"E-",IF(L628&lt;'PlayerGrades+'!$AE$17,"E",IF(L628&lt;'PlayerGrades+'!$AE$16,"E+",IF(L628&lt;'PlayerGrades+'!$AE$15,"D-",IF(L628&lt;'PlayerGrades+'!$AE$14,"D",IF(L628&lt;'PlayerGrades+'!$AE$13,"D+",IF(L628&lt;'PlayerGrades+'!$AE$12,"C-",IF(L628&lt;'PlayerGrades+'!$AE$11,"C",IF(L628&lt;'PlayerGrades+'!$AE$10,"C+",IF(L628&lt;'PlayerGrades+'!$AE$9,"B-",IF(L628&lt;'PlayerGrades+'!$AE$8,"B",IF(L628&lt;'PlayerGrades+'!$AE$7,"B+",IF(L628&lt;'PlayerGrades+'!$AE$6,"A-",IF(L628&lt;'PlayerGrades+'!$AE$5,"A",IF(L628&lt;'PlayerGrades+'!$AE$4,"A+",IF(L628&lt;'PlayerGrades+'!$AE$3,"S-",IF(L628&lt;'PlayerGrades+'!$AE$2,"S","S+"))))))))))))))))))))</f>
        <v>S+</v>
      </c>
      <c r="N628" s="973">
        <f t="shared" si="6"/>
        <v>0.15625</v>
      </c>
      <c r="O628" s="973" t="str">
        <f>IF(N628&lt;'PlayerGrades+'!$AF$21,"F-",IF(N628&lt;'PlayerGrades+'!$AF$20,"F",IF(N628&lt;'PlayerGrades+'!$AF$19,"F+",IF(N628&lt;'PlayerGrades+'!$AF$18,"E-",IF(N628&lt;'PlayerGrades+'!$AF$17,"E",IF(N628&lt;'PlayerGrades+'!$AF$16,"E+",IF(N628&lt;'PlayerGrades+'!$AF$15,"D-",IF(N628&lt;'PlayerGrades+'!$AF$14,"D",IF(N628&lt;'PlayerGrades+'!$AF$13,"D+",IF(N628&lt;'PlayerGrades+'!$AF$12,"C-",IF(N628&lt;'PlayerGrades+'!$AF$11,"C",IF(N628&lt;'PlayerGrades+'!$AF$10,"C+",IF(N628&lt;'PlayerGrades+'!$AF$9,"B-",IF(N628&lt;'PlayerGrades+'!$AF$8,"B",IF(N628&lt;'PlayerGrades+'!$AF$7,"B+",IF(N628&lt;'PlayerGrades+'!$AF$6,"A-",IF(N628&lt;'PlayerGrades+'!$AF$5,"A",IF(N628&lt;'PlayerGrades+'!$AF$4,"A+",IF(N628&lt;'PlayerGrades+'!$AF$3,"S-",IF(N628&lt;'PlayerGrades+'!$AF$2,"S","S+"))))))))))))))))))))</f>
        <v>S+</v>
      </c>
      <c r="P628" s="973">
        <f t="shared" si="7"/>
        <v>0.3125</v>
      </c>
      <c r="Q628" s="973" t="str">
        <f>IF(P628&lt;'PlayerGrades+'!$AG$21,"F-",IF(P628&lt;'PlayerGrades+'!$AG$20,"F",IF(P628&lt;'PlayerGrades+'!$AG$19,"F+",IF(P628&lt;'PlayerGrades+'!$AG$18,"E-",IF(P628&lt;'PlayerGrades+'!$AG$17,"E",IF(P628&lt;'PlayerGrades+'!$AG$16,"E+",IF(P628&lt;'PlayerGrades+'!$AG$15,"D-",IF(P628&lt;'PlayerGrades+'!$AG$14,"D",IF(P628&lt;'PlayerGrades+'!$AG$13,"D+",IF(P628&lt;'PlayerGrades+'!$AG$12,"C-",IF(P628&lt;'PlayerGrades+'!$AG$11,"C",IF(P628&lt;'PlayerGrades+'!$AG$10,"C+",IF(P628&lt;'PlayerGrades+'!$AG$9,"B-",IF(P628&lt;'PlayerGrades+'!$AG$8,"B",IF(P628&lt;'PlayerGrades+'!$AG$7,"B+",IF(P628&lt;'PlayerGrades+'!$AG$6,"A-",IF(P628&lt;'PlayerGrades+'!$AG$5,"A",IF(P628&lt;'PlayerGrades+'!$AG$4,"A+",IF(P628&lt;'PlayerGrades+'!$AG$3,"S-",IF(P628&lt;'PlayerGrades+'!$AG$2,"S","S+"))))))))))))))))))))</f>
        <v>S+</v>
      </c>
      <c r="R628" s="973">
        <f t="shared" si="8"/>
        <v>0.546875</v>
      </c>
      <c r="S628" s="973" t="str">
        <f>IF(R628&lt;'PlayerGrades+'!$AH$21,"F-",IF(R628&lt;'PlayerGrades+'!$AH$20,"F",IF(R628&lt;'PlayerGrades+'!$AH$19,"F+",IF(R628&lt;'PlayerGrades+'!$AH$18,"E-",IF(R628&lt;'PlayerGrades+'!$AH$17,"E",IF(R628&lt;'PlayerGrades+'!$AH$16,"E+",IF(R628&lt;'PlayerGrades+'!$AH$15,"D-",IF(R628&lt;'PlayerGrades+'!$AH$14,"D",IF(R628&lt;'PlayerGrades+'!$AH$13,"D+",IF(R628&lt;'PlayerGrades+'!$AH$12,"C-",IF(R628&lt;'PlayerGrades+'!$AH$11,"C",IF(R628&lt;'PlayerGrades+'!$AH$10,"C+",IF(R628&lt;'PlayerGrades+'!$AH$9,"B-",IF(R628&lt;'PlayerGrades+'!$AH$8,"B",IF(R628&lt;'PlayerGrades+'!$AH$7,"B+",IF(R628&lt;'PlayerGrades+'!$AH$6,"A-",IF(R628&lt;'PlayerGrades+'!$AH$5,"A",IF(R628&lt;'PlayerGrades+'!$AH$4,"A+",IF(R628&lt;'PlayerGrades+'!$AH$3,"S-",IF(R628&lt;'PlayerGrades+'!$AH$2,"S","S+"))))))))))))))))))))</f>
        <v>B-</v>
      </c>
      <c r="T628" s="973">
        <f t="shared" si="9"/>
        <v>2.15625</v>
      </c>
      <c r="U628" s="973" t="str">
        <f>IF(T628&lt;'PlayerGrades+'!$AI$21,"F-",IF(T628&lt;'PlayerGrades+'!$AI$20,"F",IF(T628&lt;'PlayerGrades+'!$AI$19,"F+",IF(T628&lt;'PlayerGrades+'!$AI$18,"E-",IF(T628&lt;'PlayerGrades+'!$AI$17,"E",IF(T628&lt;'PlayerGrades+'!$AI$16,"E+",IF(T628&lt;'PlayerGrades+'!$AI$15,"D-",IF(T628&lt;'PlayerGrades+'!$AI$14,"D",IF(T628&lt;'PlayerGrades+'!$AI$13,"D+",IF(T628&lt;'PlayerGrades+'!$AI$12,"C-",IF(T628&lt;'PlayerGrades+'!$AI$11,"C",IF(T628&lt;'PlayerGrades+'!$AI$10,"C+",IF(T628&lt;'PlayerGrades+'!$AI$9,"B-",IF(T628&lt;'PlayerGrades+'!$AI$8,"B",IF(T628&lt;'PlayerGrades+'!$AI$7,"B+",IF(T628&lt;'PlayerGrades+'!$AI$6,"A-",IF(T628&lt;'PlayerGrades+'!$AI$5,"A",IF(T628&lt;'PlayerGrades+'!$AI$4,"A+",IF(T628&lt;'PlayerGrades+'!$AI$3,"S-",IF(T628&lt;'PlayerGrades+'!$AI$2,"S","S+"))))))))))))))))))))</f>
        <v>S+</v>
      </c>
      <c r="V628" s="1">
        <v>0.0</v>
      </c>
      <c r="W628" s="1">
        <v>0.0</v>
      </c>
      <c r="X628" s="941">
        <v>0.0</v>
      </c>
      <c r="Y628" s="941">
        <v>0.0</v>
      </c>
      <c r="Z628" s="941">
        <v>2.0</v>
      </c>
      <c r="AA628" s="941">
        <v>56.0</v>
      </c>
      <c r="AB628" s="941">
        <v>38.0</v>
      </c>
      <c r="AC628" s="941">
        <v>18.0</v>
      </c>
      <c r="AD628" s="941">
        <v>3.0</v>
      </c>
      <c r="AE628" s="941">
        <v>7.0</v>
      </c>
      <c r="AF628" s="941">
        <v>0.0</v>
      </c>
      <c r="AG628" s="941">
        <v>606.0</v>
      </c>
      <c r="AH628" s="941">
        <v>768.0</v>
      </c>
      <c r="AI628" s="941">
        <v>15.0</v>
      </c>
      <c r="AJ628" s="941">
        <v>7.0</v>
      </c>
      <c r="AK628" s="941">
        <v>0.0</v>
      </c>
      <c r="AL628" s="941">
        <v>4.0</v>
      </c>
      <c r="AM628" s="941">
        <v>0.0</v>
      </c>
      <c r="AN628" s="941">
        <v>0.0</v>
      </c>
      <c r="AO628" s="941">
        <v>0.0</v>
      </c>
      <c r="AP628" s="941">
        <v>4.0</v>
      </c>
      <c r="AQ628" s="941">
        <v>0.0</v>
      </c>
      <c r="AR628" s="941">
        <v>10.0</v>
      </c>
      <c r="AS628" s="941">
        <v>2.0</v>
      </c>
      <c r="AT628" s="941">
        <v>0.0</v>
      </c>
      <c r="AU628" s="941">
        <v>0.0</v>
      </c>
      <c r="AV628" s="941">
        <v>0.0</v>
      </c>
      <c r="AW628" s="941">
        <v>0.0</v>
      </c>
      <c r="AX628" s="941">
        <v>0.0</v>
      </c>
      <c r="AY628" s="941">
        <v>0.0</v>
      </c>
      <c r="AZ628" s="941">
        <v>0.0</v>
      </c>
      <c r="BA628" s="941">
        <v>0.0</v>
      </c>
      <c r="BB628" s="941">
        <v>3.0</v>
      </c>
      <c r="BC628" s="941">
        <v>0.0</v>
      </c>
      <c r="BD628" s="941">
        <v>4.0</v>
      </c>
      <c r="BE628" s="941">
        <v>2.0</v>
      </c>
      <c r="BF628" s="941">
        <v>2.0</v>
      </c>
      <c r="BG628" s="942">
        <v>1.0</v>
      </c>
    </row>
    <row r="629">
      <c r="A629" s="935" t="s">
        <v>418</v>
      </c>
      <c r="B629" s="421" t="str">
        <f>IF(C629&lt;'PlayerGrades+'!$Y$44,"F-",IF(C629&lt;'PlayerGrades+'!$Y$43,"F",IF(C629&lt;'PlayerGrades+'!$Y$42,"F+",IF(C629&lt;'PlayerGrades+'!$Y$41,"E-",IF(C629&lt;'PlayerGrades+'!$Y$40,"E",IF(C629&lt;'PlayerGrades+'!$Y$39,"E+",IF(C629&lt;'PlayerGrades+'!$Y$38,"D-",IF(C629&lt;'PlayerGrades+'!$Y$37,"D",IF(C629&lt;'PlayerGrades+'!$Y$36,"D+",IF(C629&lt;'PlayerGrades+'!$Y$35,"C-",IF(C629&lt;'PlayerGrades+'!$Y$34,"C",IF(C629&lt;'PlayerGrades+'!$Y$33,"C+",IF(C629&lt;'PlayerGrades+'!$Y$32,"B-",IF(C629&lt;'PlayerGrades+'!$Y$31,"B",IF(C629&lt;'PlayerGrades+'!$Y$30,"B+",IF(C629&lt;'PlayerGrades+'!$Y$29,"A-",IF(C629&lt;'PlayerGrades+'!$Y$28,"A",IF(C629&lt;'PlayerGrades+'!$Y$27,"A+",IF(C629&lt;'PlayerGrades+'!$Y$26,"S-",IF(C629&lt;'PlayerGrades+'!$Y$25,"S","S+"))))))))))))))))))))</f>
        <v>A</v>
      </c>
      <c r="C629" s="972">
        <f>('PlayerGrades+'!$Y$47*(VLOOKUP(E629, 'PlayerGrades+'!$X$3:$Y$23, 2, FALSE)))+('PlayerGrades+'!$Y$48*(VLOOKUP(G629, 'PlayerGrades+'!$X$3:$Y$23, 2, FALSE)))+('PlayerGrades+'!$Y$49*(VLOOKUP(I629, 'PlayerGrades+'!$X$3:$Y$23, 2, FALSE)))+('PlayerGrades+'!$Y$50*(VLOOKUP(K629, 'PlayerGrades+'!$X$3:$Y$23, 2, FALSE)))+('PlayerGrades+'!$Y$51*(VLOOKUP(M629, 'PlayerGrades+'!$X$3:$Y$23, 2, FALSE)))+('PlayerGrades+'!$Y$52*(VLOOKUP(O629, 'PlayerGrades+'!$X$3:$Y$23, 2, FALSE)))+('PlayerGrades+'!$Y$53*(VLOOKUP(Q629, 'PlayerGrades+'!$X$3:$Y$23, 2, FALSE)))+('PlayerGrades+'!$Y$54*(VLOOKUP(S629, 'PlayerGrades+'!$X$3:$Y$23, 2, FALSE)))+('PlayerGrades+'!$Y$55*(VLOOKUP(U629, 'PlayerGrades+'!$X$3:$Y$23, 2, FALSE)))</f>
        <v>26.3</v>
      </c>
      <c r="D629" s="973">
        <f t="shared" si="1"/>
        <v>0</v>
      </c>
      <c r="E629" s="973" t="str">
        <f>IF(D629&lt;'PlayerGrades+'!$AA$21,"F-",IF(D629&lt;'PlayerGrades+'!$AA$20,"F",IF(D629&lt;'PlayerGrades+'!$AA$19,"F+",IF(D629&lt;'PlayerGrades+'!$AA$18,"E-",IF(D629&lt;'PlayerGrades+'!$AA$17,"E",IF(D629&lt;'PlayerGrades+'!$AA$16,"E+",IF(D629&lt;'PlayerGrades+'!$AA$15,"D-",IF(D629&lt;'PlayerGrades+'!$AA$14,"D",IF(D629&lt;'PlayerGrades+'!$AA$13,"D+",IF(D629&lt;'PlayerGrades+'!$AA$12,"C-",IF(D629&lt;'PlayerGrades+'!$AA$11,"C",IF(D629&lt;'PlayerGrades+'!$AA$10,"C+",IF(D629&lt;'PlayerGrades+'!$AA$9,"B-",IF(D629&lt;'PlayerGrades+'!$AA$8,"B",IF(D629&lt;'PlayerGrades+'!$AA$7,"B+",IF(D629&lt;'PlayerGrades+'!$AA$6,"A-",IF(D629&lt;'PlayerGrades+'!$AA$5,"A",IF(D629&lt;'PlayerGrades+'!$AA$4,"A+",IF(D629&lt;'PlayerGrades+'!$AA$3,"S-",IF(D629&lt;'PlayerGrades+'!$AA$2,"S","S+"))))))))))))))))))))</f>
        <v>F-</v>
      </c>
      <c r="F629" s="973">
        <f t="shared" si="2"/>
        <v>1.953125</v>
      </c>
      <c r="G629" s="973" t="str">
        <f>IF(F629&lt;'PlayerGrades+'!$AB$21,"F-",IF(F629&lt;'PlayerGrades+'!$AB$20,"F",IF(F629&lt;'PlayerGrades+'!$AB$19,"F+",IF(F629&lt;'PlayerGrades+'!$AB$18,"E-",IF(F629&lt;'PlayerGrades+'!$AB$17,"E",IF(F629&lt;'PlayerGrades+'!$AB$16,"E+",IF(F629&lt;'PlayerGrades+'!$AB$15,"D-",IF(F629&lt;'PlayerGrades+'!$AB$14,"D",IF(F629&lt;'PlayerGrades+'!$AB$13,"D+",IF(F629&lt;'PlayerGrades+'!$AB$12,"C-",IF(F629&lt;'PlayerGrades+'!$AB$11,"C",IF(F629&lt;'PlayerGrades+'!$AB$10,"C+",IF(F629&lt;'PlayerGrades+'!$AB$9,"B-",IF(F629&lt;'PlayerGrades+'!$AB$8,"B",IF(F629&lt;'PlayerGrades+'!$AB$7,"B+",IF(F629&lt;'PlayerGrades+'!$AB$6,"A-",IF(F629&lt;'PlayerGrades+'!$AB$5,"A",IF(F629&lt;'PlayerGrades+'!$AB$4,"A+",IF(F629&lt;'PlayerGrades+'!$AB$3,"S-",IF(F629&lt;'PlayerGrades+'!$AB$2,"S","S+"))))))))))))))))))))</f>
        <v>S+</v>
      </c>
      <c r="H629" s="973">
        <f t="shared" si="3"/>
        <v>0</v>
      </c>
      <c r="I629" s="973" t="str">
        <f>IF(H629&lt;'PlayerGrades+'!$AC$21,"F-",IF(H629&lt;'PlayerGrades+'!$AC$20,"F",IF(H629&lt;'PlayerGrades+'!$AC$19,"F+",IF(H629&lt;'PlayerGrades+'!$AC$18,"E-",IF(H629&lt;'PlayerGrades+'!$AC$17,"E",IF(H629&lt;'PlayerGrades+'!$AC$16,"E+",IF(H629&lt;'PlayerGrades+'!$AC$15,"D-",IF(H629&lt;'PlayerGrades+'!$AC$14,"D",IF(H629&lt;'PlayerGrades+'!$AC$13,"D+",IF(H629&lt;'PlayerGrades+'!$AC$12,"C-",IF(H629&lt;'PlayerGrades+'!$AC$11,"C",IF(H629&lt;'PlayerGrades+'!$AC$10,"C+",IF(H629&lt;'PlayerGrades+'!$AC$9,"B-",IF(H629&lt;'PlayerGrades+'!$AC$8,"B",IF(H629&lt;'PlayerGrades+'!$AC$7,"B+",IF(H629&lt;'PlayerGrades+'!$AC$6,"A-",IF(H629&lt;'PlayerGrades+'!$AC$5,"A",IF(H629&lt;'PlayerGrades+'!$AC$4,"A+",IF(H629&lt;'PlayerGrades+'!$AC$3,"S-",IF(H629&lt;'PlayerGrades+'!$AC$2,"S","S+"))))))))))))))))))))</f>
        <v>F-</v>
      </c>
      <c r="J629" s="973">
        <f t="shared" si="4"/>
        <v>0.15625</v>
      </c>
      <c r="K629" s="973" t="str">
        <f>IF(J629&lt;'PlayerGrades+'!$AD$21,"F-",IF(J629&lt;'PlayerGrades+'!$AD$20,"F",IF(J629&lt;'PlayerGrades+'!$AD$19,"F+",IF(J629&lt;'PlayerGrades+'!$AD$18,"E-",IF(J629&lt;'PlayerGrades+'!$AD$17,"E",IF(J629&lt;'PlayerGrades+'!$AD$16,"E+",IF(J629&lt;'PlayerGrades+'!$AD$15,"D-",IF(J629&lt;'PlayerGrades+'!$AD$14,"D",IF(J629&lt;'PlayerGrades+'!$AD$13,"D+",IF(J629&lt;'PlayerGrades+'!$AD$12,"C-",IF(J629&lt;'PlayerGrades+'!$AD$11,"C",IF(J629&lt;'PlayerGrades+'!$AD$10,"C+",IF(J629&lt;'PlayerGrades+'!$AD$9,"B-",IF(J629&lt;'PlayerGrades+'!$AD$8,"B",IF(J629&lt;'PlayerGrades+'!$AD$7,"B+",IF(J629&lt;'PlayerGrades+'!$AD$6,"A-",IF(J629&lt;'PlayerGrades+'!$AD$5,"A",IF(J629&lt;'PlayerGrades+'!$AD$4,"A+",IF(J629&lt;'PlayerGrades+'!$AD$3,"S-",IF(J629&lt;'PlayerGrades+'!$AD$2,"S","S+"))))))))))))))))))))</f>
        <v>S+</v>
      </c>
      <c r="L629" s="974">
        <f t="shared" si="5"/>
        <v>1.015625</v>
      </c>
      <c r="M629" s="975" t="str">
        <f>IF(L629&lt;'PlayerGrades+'!$AE$21,"F-",IF(L629&lt;'PlayerGrades+'!$AE$20,"F",IF(L629&lt;'PlayerGrades+'!$AE$19,"F+",IF(L629&lt;'PlayerGrades+'!$AE$18,"E-",IF(L629&lt;'PlayerGrades+'!$AE$17,"E",IF(L629&lt;'PlayerGrades+'!$AE$16,"E+",IF(L629&lt;'PlayerGrades+'!$AE$15,"D-",IF(L629&lt;'PlayerGrades+'!$AE$14,"D",IF(L629&lt;'PlayerGrades+'!$AE$13,"D+",IF(L629&lt;'PlayerGrades+'!$AE$12,"C-",IF(L629&lt;'PlayerGrades+'!$AE$11,"C",IF(L629&lt;'PlayerGrades+'!$AE$10,"C+",IF(L629&lt;'PlayerGrades+'!$AE$9,"B-",IF(L629&lt;'PlayerGrades+'!$AE$8,"B",IF(L629&lt;'PlayerGrades+'!$AE$7,"B+",IF(L629&lt;'PlayerGrades+'!$AE$6,"A-",IF(L629&lt;'PlayerGrades+'!$AE$5,"A",IF(L629&lt;'PlayerGrades+'!$AE$4,"A+",IF(L629&lt;'PlayerGrades+'!$AE$3,"S-",IF(L629&lt;'PlayerGrades+'!$AE$2,"S","S+"))))))))))))))))))))</f>
        <v>S+</v>
      </c>
      <c r="N629" s="973">
        <f t="shared" si="6"/>
        <v>0.078125</v>
      </c>
      <c r="O629" s="973" t="str">
        <f>IF(N629&lt;'PlayerGrades+'!$AF$21,"F-",IF(N629&lt;'PlayerGrades+'!$AF$20,"F",IF(N629&lt;'PlayerGrades+'!$AF$19,"F+",IF(N629&lt;'PlayerGrades+'!$AF$18,"E-",IF(N629&lt;'PlayerGrades+'!$AF$17,"E",IF(N629&lt;'PlayerGrades+'!$AF$16,"E+",IF(N629&lt;'PlayerGrades+'!$AF$15,"D-",IF(N629&lt;'PlayerGrades+'!$AF$14,"D",IF(N629&lt;'PlayerGrades+'!$AF$13,"D+",IF(N629&lt;'PlayerGrades+'!$AF$12,"C-",IF(N629&lt;'PlayerGrades+'!$AF$11,"C",IF(N629&lt;'PlayerGrades+'!$AF$10,"C+",IF(N629&lt;'PlayerGrades+'!$AF$9,"B-",IF(N629&lt;'PlayerGrades+'!$AF$8,"B",IF(N629&lt;'PlayerGrades+'!$AF$7,"B+",IF(N629&lt;'PlayerGrades+'!$AF$6,"A-",IF(N629&lt;'PlayerGrades+'!$AF$5,"A",IF(N629&lt;'PlayerGrades+'!$AF$4,"A+",IF(N629&lt;'PlayerGrades+'!$AF$3,"S-",IF(N629&lt;'PlayerGrades+'!$AF$2,"S","S+"))))))))))))))))))))</f>
        <v>B-</v>
      </c>
      <c r="P629" s="973">
        <f t="shared" si="7"/>
        <v>0.078125</v>
      </c>
      <c r="Q629" s="973" t="str">
        <f>IF(P629&lt;'PlayerGrades+'!$AG$21,"F-",IF(P629&lt;'PlayerGrades+'!$AG$20,"F",IF(P629&lt;'PlayerGrades+'!$AG$19,"F+",IF(P629&lt;'PlayerGrades+'!$AG$18,"E-",IF(P629&lt;'PlayerGrades+'!$AG$17,"E",IF(P629&lt;'PlayerGrades+'!$AG$16,"E+",IF(P629&lt;'PlayerGrades+'!$AG$15,"D-",IF(P629&lt;'PlayerGrades+'!$AG$14,"D",IF(P629&lt;'PlayerGrades+'!$AG$13,"D+",IF(P629&lt;'PlayerGrades+'!$AG$12,"C-",IF(P629&lt;'PlayerGrades+'!$AG$11,"C",IF(P629&lt;'PlayerGrades+'!$AG$10,"C+",IF(P629&lt;'PlayerGrades+'!$AG$9,"B-",IF(P629&lt;'PlayerGrades+'!$AG$8,"B",IF(P629&lt;'PlayerGrades+'!$AG$7,"B+",IF(P629&lt;'PlayerGrades+'!$AG$6,"A-",IF(P629&lt;'PlayerGrades+'!$AG$5,"A",IF(P629&lt;'PlayerGrades+'!$AG$4,"A+",IF(P629&lt;'PlayerGrades+'!$AG$3,"S-",IF(P629&lt;'PlayerGrades+'!$AG$2,"S","S+"))))))))))))))))))))</f>
        <v>S-</v>
      </c>
      <c r="R629" s="973">
        <f t="shared" si="8"/>
        <v>0.9375</v>
      </c>
      <c r="S629" s="973" t="str">
        <f>IF(R629&lt;'PlayerGrades+'!$AH$21,"F-",IF(R629&lt;'PlayerGrades+'!$AH$20,"F",IF(R629&lt;'PlayerGrades+'!$AH$19,"F+",IF(R629&lt;'PlayerGrades+'!$AH$18,"E-",IF(R629&lt;'PlayerGrades+'!$AH$17,"E",IF(R629&lt;'PlayerGrades+'!$AH$16,"E+",IF(R629&lt;'PlayerGrades+'!$AH$15,"D-",IF(R629&lt;'PlayerGrades+'!$AH$14,"D",IF(R629&lt;'PlayerGrades+'!$AH$13,"D+",IF(R629&lt;'PlayerGrades+'!$AH$12,"C-",IF(R629&lt;'PlayerGrades+'!$AH$11,"C",IF(R629&lt;'PlayerGrades+'!$AH$10,"C+",IF(R629&lt;'PlayerGrades+'!$AH$9,"B-",IF(R629&lt;'PlayerGrades+'!$AH$8,"B",IF(R629&lt;'PlayerGrades+'!$AH$7,"B+",IF(R629&lt;'PlayerGrades+'!$AH$6,"A-",IF(R629&lt;'PlayerGrades+'!$AH$5,"A",IF(R629&lt;'PlayerGrades+'!$AH$4,"A+",IF(R629&lt;'PlayerGrades+'!$AH$3,"S-",IF(R629&lt;'PlayerGrades+'!$AH$2,"S","S+"))))))))))))))))))))</f>
        <v>S+</v>
      </c>
      <c r="T629" s="973">
        <f t="shared" si="9"/>
        <v>1.46875</v>
      </c>
      <c r="U629" s="973" t="str">
        <f>IF(T629&lt;'PlayerGrades+'!$AI$21,"F-",IF(T629&lt;'PlayerGrades+'!$AI$20,"F",IF(T629&lt;'PlayerGrades+'!$AI$19,"F+",IF(T629&lt;'PlayerGrades+'!$AI$18,"E-",IF(T629&lt;'PlayerGrades+'!$AI$17,"E",IF(T629&lt;'PlayerGrades+'!$AI$16,"E+",IF(T629&lt;'PlayerGrades+'!$AI$15,"D-",IF(T629&lt;'PlayerGrades+'!$AI$14,"D",IF(T629&lt;'PlayerGrades+'!$AI$13,"D+",IF(T629&lt;'PlayerGrades+'!$AI$12,"C-",IF(T629&lt;'PlayerGrades+'!$AI$11,"C",IF(T629&lt;'PlayerGrades+'!$AI$10,"C+",IF(T629&lt;'PlayerGrades+'!$AI$9,"B-",IF(T629&lt;'PlayerGrades+'!$AI$8,"B",IF(T629&lt;'PlayerGrades+'!$AI$7,"B+",IF(T629&lt;'PlayerGrades+'!$AI$6,"A-",IF(T629&lt;'PlayerGrades+'!$AI$5,"A",IF(T629&lt;'PlayerGrades+'!$AI$4,"A+",IF(T629&lt;'PlayerGrades+'!$AI$3,"S-",IF(T629&lt;'PlayerGrades+'!$AI$2,"S","S+"))))))))))))))))))))</f>
        <v>A-</v>
      </c>
      <c r="V629" s="1">
        <v>0.0</v>
      </c>
      <c r="W629" s="1">
        <v>0.0</v>
      </c>
      <c r="X629" s="941">
        <v>0.0</v>
      </c>
      <c r="Y629" s="941">
        <v>0.0</v>
      </c>
      <c r="Z629" s="941">
        <v>0.0</v>
      </c>
      <c r="AA629" s="941">
        <v>61.0</v>
      </c>
      <c r="AB629" s="941">
        <v>36.0</v>
      </c>
      <c r="AC629" s="941">
        <v>25.0</v>
      </c>
      <c r="AD629" s="941">
        <v>0.0</v>
      </c>
      <c r="AE629" s="941">
        <v>7.0</v>
      </c>
      <c r="AF629" s="941">
        <v>0.0</v>
      </c>
      <c r="AG629" s="941">
        <v>608.0</v>
      </c>
      <c r="AH629" s="941">
        <v>768.0</v>
      </c>
      <c r="AI629" s="941">
        <v>16.0</v>
      </c>
      <c r="AJ629" s="941">
        <v>2.0</v>
      </c>
      <c r="AK629" s="941">
        <v>0.0</v>
      </c>
      <c r="AL629" s="941">
        <v>2.0</v>
      </c>
      <c r="AM629" s="941">
        <v>0.0</v>
      </c>
      <c r="AN629" s="941">
        <v>0.0</v>
      </c>
      <c r="AO629" s="941">
        <v>0.0</v>
      </c>
      <c r="AP629" s="941">
        <v>1.0</v>
      </c>
      <c r="AQ629" s="941">
        <v>0.0</v>
      </c>
      <c r="AR629" s="941">
        <v>13.0</v>
      </c>
      <c r="AS629" s="941">
        <v>1.0</v>
      </c>
      <c r="AT629" s="941">
        <v>1.0</v>
      </c>
      <c r="AU629" s="941">
        <v>1.0</v>
      </c>
      <c r="AV629" s="941">
        <v>1.0</v>
      </c>
      <c r="AW629" s="941">
        <v>1.0</v>
      </c>
      <c r="AX629" s="941">
        <v>0.0</v>
      </c>
      <c r="AY629" s="941">
        <v>0.0</v>
      </c>
      <c r="AZ629" s="941">
        <v>0.0</v>
      </c>
      <c r="BA629" s="941">
        <v>0.0</v>
      </c>
      <c r="BB629" s="941">
        <v>0.0</v>
      </c>
      <c r="BC629" s="941">
        <v>0.0</v>
      </c>
      <c r="BD629" s="941">
        <v>12.0</v>
      </c>
      <c r="BE629" s="941">
        <v>6.0</v>
      </c>
      <c r="BF629" s="941">
        <v>1.0</v>
      </c>
      <c r="BG629" s="942">
        <v>1.0</v>
      </c>
    </row>
    <row r="630">
      <c r="A630" s="935" t="s">
        <v>132</v>
      </c>
      <c r="B630" s="421" t="str">
        <f>IF(C630&lt;'PlayerGrades+'!$Y$44,"F-",IF(C630&lt;'PlayerGrades+'!$Y$43,"F",IF(C630&lt;'PlayerGrades+'!$Y$42,"F+",IF(C630&lt;'PlayerGrades+'!$Y$41,"E-",IF(C630&lt;'PlayerGrades+'!$Y$40,"E",IF(C630&lt;'PlayerGrades+'!$Y$39,"E+",IF(C630&lt;'PlayerGrades+'!$Y$38,"D-",IF(C630&lt;'PlayerGrades+'!$Y$37,"D",IF(C630&lt;'PlayerGrades+'!$Y$36,"D+",IF(C630&lt;'PlayerGrades+'!$Y$35,"C-",IF(C630&lt;'PlayerGrades+'!$Y$34,"C",IF(C630&lt;'PlayerGrades+'!$Y$33,"C+",IF(C630&lt;'PlayerGrades+'!$Y$32,"B-",IF(C630&lt;'PlayerGrades+'!$Y$31,"B",IF(C630&lt;'PlayerGrades+'!$Y$30,"B+",IF(C630&lt;'PlayerGrades+'!$Y$29,"A-",IF(C630&lt;'PlayerGrades+'!$Y$28,"A",IF(C630&lt;'PlayerGrades+'!$Y$27,"A+",IF(C630&lt;'PlayerGrades+'!$Y$26,"S-",IF(C630&lt;'PlayerGrades+'!$Y$25,"S","S+"))))))))))))))))))))</f>
        <v>C</v>
      </c>
      <c r="C630" s="972">
        <f>('PlayerGrades+'!$Y$47*(VLOOKUP(E630, 'PlayerGrades+'!$X$3:$Y$23, 2, FALSE)))+('PlayerGrades+'!$Y$48*(VLOOKUP(G630, 'PlayerGrades+'!$X$3:$Y$23, 2, FALSE)))+('PlayerGrades+'!$Y$49*(VLOOKUP(I630, 'PlayerGrades+'!$X$3:$Y$23, 2, FALSE)))+('PlayerGrades+'!$Y$50*(VLOOKUP(K630, 'PlayerGrades+'!$X$3:$Y$23, 2, FALSE)))+('PlayerGrades+'!$Y$51*(VLOOKUP(M630, 'PlayerGrades+'!$X$3:$Y$23, 2, FALSE)))+('PlayerGrades+'!$Y$52*(VLOOKUP(O630, 'PlayerGrades+'!$X$3:$Y$23, 2, FALSE)))+('PlayerGrades+'!$Y$53*(VLOOKUP(Q630, 'PlayerGrades+'!$X$3:$Y$23, 2, FALSE)))+('PlayerGrades+'!$Y$54*(VLOOKUP(S630, 'PlayerGrades+'!$X$3:$Y$23, 2, FALSE)))+('PlayerGrades+'!$Y$55*(VLOOKUP(U630, 'PlayerGrades+'!$X$3:$Y$23, 2, FALSE)))</f>
        <v>19.55</v>
      </c>
      <c r="D630" s="973">
        <f t="shared" si="1"/>
        <v>0.357568534</v>
      </c>
      <c r="E630" s="973" t="str">
        <f>IF(D630&lt;'PlayerGrades+'!$AA$21,"F-",IF(D630&lt;'PlayerGrades+'!$AA$20,"F",IF(D630&lt;'PlayerGrades+'!$AA$19,"F+",IF(D630&lt;'PlayerGrades+'!$AA$18,"E-",IF(D630&lt;'PlayerGrades+'!$AA$17,"E",IF(D630&lt;'PlayerGrades+'!$AA$16,"E+",IF(D630&lt;'PlayerGrades+'!$AA$15,"D-",IF(D630&lt;'PlayerGrades+'!$AA$14,"D",IF(D630&lt;'PlayerGrades+'!$AA$13,"D+",IF(D630&lt;'PlayerGrades+'!$AA$12,"C-",IF(D630&lt;'PlayerGrades+'!$AA$11,"C",IF(D630&lt;'PlayerGrades+'!$AA$10,"C+",IF(D630&lt;'PlayerGrades+'!$AA$9,"B-",IF(D630&lt;'PlayerGrades+'!$AA$8,"B",IF(D630&lt;'PlayerGrades+'!$AA$7,"B+",IF(D630&lt;'PlayerGrades+'!$AA$6,"A-",IF(D630&lt;'PlayerGrades+'!$AA$5,"A",IF(D630&lt;'PlayerGrades+'!$AA$4,"A+",IF(D630&lt;'PlayerGrades+'!$AA$3,"S-",IF(D630&lt;'PlayerGrades+'!$AA$2,"S","S+"))))))))))))))))))))</f>
        <v>A</v>
      </c>
      <c r="F630" s="973">
        <f t="shared" si="2"/>
        <v>-0.1430274136</v>
      </c>
      <c r="G630" s="973" t="str">
        <f>IF(F630&lt;'PlayerGrades+'!$AB$21,"F-",IF(F630&lt;'PlayerGrades+'!$AB$20,"F",IF(F630&lt;'PlayerGrades+'!$AB$19,"F+",IF(F630&lt;'PlayerGrades+'!$AB$18,"E-",IF(F630&lt;'PlayerGrades+'!$AB$17,"E",IF(F630&lt;'PlayerGrades+'!$AB$16,"E+",IF(F630&lt;'PlayerGrades+'!$AB$15,"D-",IF(F630&lt;'PlayerGrades+'!$AB$14,"D",IF(F630&lt;'PlayerGrades+'!$AB$13,"D+",IF(F630&lt;'PlayerGrades+'!$AB$12,"C-",IF(F630&lt;'PlayerGrades+'!$AB$11,"C",IF(F630&lt;'PlayerGrades+'!$AB$10,"C+",IF(F630&lt;'PlayerGrades+'!$AB$9,"B-",IF(F630&lt;'PlayerGrades+'!$AB$8,"B",IF(F630&lt;'PlayerGrades+'!$AB$7,"B+",IF(F630&lt;'PlayerGrades+'!$AB$6,"A-",IF(F630&lt;'PlayerGrades+'!$AB$5,"A",IF(F630&lt;'PlayerGrades+'!$AB$4,"A+",IF(F630&lt;'PlayerGrades+'!$AB$3,"S-",IF(F630&lt;'PlayerGrades+'!$AB$2,"S","S+"))))))))))))))))))))</f>
        <v>C+</v>
      </c>
      <c r="H630" s="973">
        <f t="shared" si="3"/>
        <v>0</v>
      </c>
      <c r="I630" s="973" t="str">
        <f>IF(H630&lt;'PlayerGrades+'!$AC$21,"F-",IF(H630&lt;'PlayerGrades+'!$AC$20,"F",IF(H630&lt;'PlayerGrades+'!$AC$19,"F+",IF(H630&lt;'PlayerGrades+'!$AC$18,"E-",IF(H630&lt;'PlayerGrades+'!$AC$17,"E",IF(H630&lt;'PlayerGrades+'!$AC$16,"E+",IF(H630&lt;'PlayerGrades+'!$AC$15,"D-",IF(H630&lt;'PlayerGrades+'!$AC$14,"D",IF(H630&lt;'PlayerGrades+'!$AC$13,"D+",IF(H630&lt;'PlayerGrades+'!$AC$12,"C-",IF(H630&lt;'PlayerGrades+'!$AC$11,"C",IF(H630&lt;'PlayerGrades+'!$AC$10,"C+",IF(H630&lt;'PlayerGrades+'!$AC$9,"B-",IF(H630&lt;'PlayerGrades+'!$AC$8,"B",IF(H630&lt;'PlayerGrades+'!$AC$7,"B+",IF(H630&lt;'PlayerGrades+'!$AC$6,"A-",IF(H630&lt;'PlayerGrades+'!$AC$5,"A",IF(H630&lt;'PlayerGrades+'!$AC$4,"A+",IF(H630&lt;'PlayerGrades+'!$AC$3,"S-",IF(H630&lt;'PlayerGrades+'!$AC$2,"S","S+"))))))))))))))))))))</f>
        <v>F-</v>
      </c>
      <c r="J630" s="973">
        <f t="shared" si="4"/>
        <v>0.07151370679</v>
      </c>
      <c r="K630" s="973" t="str">
        <f>IF(J630&lt;'PlayerGrades+'!$AD$21,"F-",IF(J630&lt;'PlayerGrades+'!$AD$20,"F",IF(J630&lt;'PlayerGrades+'!$AD$19,"F+",IF(J630&lt;'PlayerGrades+'!$AD$18,"E-",IF(J630&lt;'PlayerGrades+'!$AD$17,"E",IF(J630&lt;'PlayerGrades+'!$AD$16,"E+",IF(J630&lt;'PlayerGrades+'!$AD$15,"D-",IF(J630&lt;'PlayerGrades+'!$AD$14,"D",IF(J630&lt;'PlayerGrades+'!$AD$13,"D+",IF(J630&lt;'PlayerGrades+'!$AD$12,"C-",IF(J630&lt;'PlayerGrades+'!$AD$11,"C",IF(J630&lt;'PlayerGrades+'!$AD$10,"C+",IF(J630&lt;'PlayerGrades+'!$AD$9,"B-",IF(J630&lt;'PlayerGrades+'!$AD$8,"B",IF(J630&lt;'PlayerGrades+'!$AD$7,"B+",IF(J630&lt;'PlayerGrades+'!$AD$6,"A-",IF(J630&lt;'PlayerGrades+'!$AD$5,"A",IF(J630&lt;'PlayerGrades+'!$AD$4,"A+",IF(J630&lt;'PlayerGrades+'!$AD$3,"S-",IF(J630&lt;'PlayerGrades+'!$AD$2,"S","S+"))))))))))))))))))))</f>
        <v>A</v>
      </c>
      <c r="L630" s="974">
        <f t="shared" si="5"/>
        <v>0.5005959476</v>
      </c>
      <c r="M630" s="975" t="str">
        <f>IF(L630&lt;'PlayerGrades+'!$AE$21,"F-",IF(L630&lt;'PlayerGrades+'!$AE$20,"F",IF(L630&lt;'PlayerGrades+'!$AE$19,"F+",IF(L630&lt;'PlayerGrades+'!$AE$18,"E-",IF(L630&lt;'PlayerGrades+'!$AE$17,"E",IF(L630&lt;'PlayerGrades+'!$AE$16,"E+",IF(L630&lt;'PlayerGrades+'!$AE$15,"D-",IF(L630&lt;'PlayerGrades+'!$AE$14,"D",IF(L630&lt;'PlayerGrades+'!$AE$13,"D+",IF(L630&lt;'PlayerGrades+'!$AE$12,"C-",IF(L630&lt;'PlayerGrades+'!$AE$11,"C",IF(L630&lt;'PlayerGrades+'!$AE$10,"C+",IF(L630&lt;'PlayerGrades+'!$AE$9,"B-",IF(L630&lt;'PlayerGrades+'!$AE$8,"B",IF(L630&lt;'PlayerGrades+'!$AE$7,"B+",IF(L630&lt;'PlayerGrades+'!$AE$6,"A-",IF(L630&lt;'PlayerGrades+'!$AE$5,"A",IF(L630&lt;'PlayerGrades+'!$AE$4,"A+",IF(L630&lt;'PlayerGrades+'!$AE$3,"S-",IF(L630&lt;'PlayerGrades+'!$AE$2,"S","S+"))))))))))))))))))))</f>
        <v>A-</v>
      </c>
      <c r="N630" s="973">
        <f t="shared" si="6"/>
        <v>0.07151370679</v>
      </c>
      <c r="O630" s="973" t="str">
        <f>IF(N630&lt;'PlayerGrades+'!$AF$21,"F-",IF(N630&lt;'PlayerGrades+'!$AF$20,"F",IF(N630&lt;'PlayerGrades+'!$AF$19,"F+",IF(N630&lt;'PlayerGrades+'!$AF$18,"E-",IF(N630&lt;'PlayerGrades+'!$AF$17,"E",IF(N630&lt;'PlayerGrades+'!$AF$16,"E+",IF(N630&lt;'PlayerGrades+'!$AF$15,"D-",IF(N630&lt;'PlayerGrades+'!$AF$14,"D",IF(N630&lt;'PlayerGrades+'!$AF$13,"D+",IF(N630&lt;'PlayerGrades+'!$AF$12,"C-",IF(N630&lt;'PlayerGrades+'!$AF$11,"C",IF(N630&lt;'PlayerGrades+'!$AF$10,"C+",IF(N630&lt;'PlayerGrades+'!$AF$9,"B-",IF(N630&lt;'PlayerGrades+'!$AF$8,"B",IF(N630&lt;'PlayerGrades+'!$AF$7,"B+",IF(N630&lt;'PlayerGrades+'!$AF$6,"A-",IF(N630&lt;'PlayerGrades+'!$AF$5,"A",IF(N630&lt;'PlayerGrades+'!$AF$4,"A+",IF(N630&lt;'PlayerGrades+'!$AF$3,"S-",IF(N630&lt;'PlayerGrades+'!$AF$2,"S","S+"))))))))))))))))))))</f>
        <v>C+</v>
      </c>
      <c r="P630" s="973">
        <f t="shared" si="7"/>
        <v>0.07151370679</v>
      </c>
      <c r="Q630" s="973" t="str">
        <f>IF(P630&lt;'PlayerGrades+'!$AG$21,"F-",IF(P630&lt;'PlayerGrades+'!$AG$20,"F",IF(P630&lt;'PlayerGrades+'!$AG$19,"F+",IF(P630&lt;'PlayerGrades+'!$AG$18,"E-",IF(P630&lt;'PlayerGrades+'!$AG$17,"E",IF(P630&lt;'PlayerGrades+'!$AG$16,"E+",IF(P630&lt;'PlayerGrades+'!$AG$15,"D-",IF(P630&lt;'PlayerGrades+'!$AG$14,"D",IF(P630&lt;'PlayerGrades+'!$AG$13,"D+",IF(P630&lt;'PlayerGrades+'!$AG$12,"C-",IF(P630&lt;'PlayerGrades+'!$AG$11,"C",IF(P630&lt;'PlayerGrades+'!$AG$10,"C+",IF(P630&lt;'PlayerGrades+'!$AG$9,"B-",IF(P630&lt;'PlayerGrades+'!$AG$8,"B",IF(P630&lt;'PlayerGrades+'!$AG$7,"B+",IF(P630&lt;'PlayerGrades+'!$AG$6,"A-",IF(P630&lt;'PlayerGrades+'!$AG$5,"A",IF(P630&lt;'PlayerGrades+'!$AG$4,"A+",IF(P630&lt;'PlayerGrades+'!$AG$3,"S-",IF(P630&lt;'PlayerGrades+'!$AG$2,"S","S+"))))))))))))))))))))</f>
        <v>S-</v>
      </c>
      <c r="R630" s="973">
        <f t="shared" si="8"/>
        <v>0.4290822408</v>
      </c>
      <c r="S630" s="973" t="str">
        <f>IF(R630&lt;'PlayerGrades+'!$AH$21,"F-",IF(R630&lt;'PlayerGrades+'!$AH$20,"F",IF(R630&lt;'PlayerGrades+'!$AH$19,"F+",IF(R630&lt;'PlayerGrades+'!$AH$18,"E-",IF(R630&lt;'PlayerGrades+'!$AH$17,"E",IF(R630&lt;'PlayerGrades+'!$AH$16,"E+",IF(R630&lt;'PlayerGrades+'!$AH$15,"D-",IF(R630&lt;'PlayerGrades+'!$AH$14,"D",IF(R630&lt;'PlayerGrades+'!$AH$13,"D+",IF(R630&lt;'PlayerGrades+'!$AH$12,"C-",IF(R630&lt;'PlayerGrades+'!$AH$11,"C",IF(R630&lt;'PlayerGrades+'!$AH$10,"C+",IF(R630&lt;'PlayerGrades+'!$AH$9,"B-",IF(R630&lt;'PlayerGrades+'!$AH$8,"B",IF(R630&lt;'PlayerGrades+'!$AH$7,"B+",IF(R630&lt;'PlayerGrades+'!$AH$6,"A-",IF(R630&lt;'PlayerGrades+'!$AH$5,"A",IF(R630&lt;'PlayerGrades+'!$AH$4,"A+",IF(R630&lt;'PlayerGrades+'!$AH$3,"S-",IF(R630&lt;'PlayerGrades+'!$AH$2,"S","S+"))))))))))))))))))))</f>
        <v>F+</v>
      </c>
      <c r="T630" s="973">
        <f t="shared" si="9"/>
        <v>0.2145411204</v>
      </c>
      <c r="U630" s="973" t="str">
        <f>IF(T630&lt;'PlayerGrades+'!$AI$21,"F-",IF(T630&lt;'PlayerGrades+'!$AI$20,"F",IF(T630&lt;'PlayerGrades+'!$AI$19,"F+",IF(T630&lt;'PlayerGrades+'!$AI$18,"E-",IF(T630&lt;'PlayerGrades+'!$AI$17,"E",IF(T630&lt;'PlayerGrades+'!$AI$16,"E+",IF(T630&lt;'PlayerGrades+'!$AI$15,"D-",IF(T630&lt;'PlayerGrades+'!$AI$14,"D",IF(T630&lt;'PlayerGrades+'!$AI$13,"D+",IF(T630&lt;'PlayerGrades+'!$AI$12,"C-",IF(T630&lt;'PlayerGrades+'!$AI$11,"C",IF(T630&lt;'PlayerGrades+'!$AI$10,"C+",IF(T630&lt;'PlayerGrades+'!$AI$9,"B-",IF(T630&lt;'PlayerGrades+'!$AI$8,"B",IF(T630&lt;'PlayerGrades+'!$AI$7,"B+",IF(T630&lt;'PlayerGrades+'!$AI$6,"A-",IF(T630&lt;'PlayerGrades+'!$AI$5,"A",IF(T630&lt;'PlayerGrades+'!$AI$4,"A+",IF(T630&lt;'PlayerGrades+'!$AI$3,"S-",IF(T630&lt;'PlayerGrades+'!$AI$2,"S","S+"))))))))))))))))))))</f>
        <v>F-</v>
      </c>
      <c r="V630" s="1">
        <v>0.0</v>
      </c>
      <c r="W630" s="941">
        <v>0.0</v>
      </c>
      <c r="X630" s="1">
        <v>0.0</v>
      </c>
      <c r="Y630" s="941">
        <v>1.0</v>
      </c>
      <c r="Z630" s="941">
        <v>4.0</v>
      </c>
      <c r="AA630" s="941">
        <v>38.0</v>
      </c>
      <c r="AB630" s="941">
        <v>40.0</v>
      </c>
      <c r="AC630" s="941">
        <v>-2.0</v>
      </c>
      <c r="AD630" s="941">
        <v>2.0</v>
      </c>
      <c r="AE630" s="941">
        <v>5.0</v>
      </c>
      <c r="AF630" s="941">
        <v>0.0</v>
      </c>
      <c r="AG630" s="941">
        <v>668.0</v>
      </c>
      <c r="AH630" s="941">
        <v>839.0</v>
      </c>
      <c r="AI630" s="941">
        <v>16.0</v>
      </c>
      <c r="AJ630" s="941">
        <v>214.0</v>
      </c>
      <c r="AK630" s="941">
        <v>0.0</v>
      </c>
      <c r="AL630" s="941">
        <v>1.0</v>
      </c>
      <c r="AM630" s="941">
        <v>0.0</v>
      </c>
      <c r="AN630" s="941">
        <v>0.0</v>
      </c>
      <c r="AO630" s="941">
        <v>0.0</v>
      </c>
      <c r="AP630" s="941">
        <v>1.0</v>
      </c>
      <c r="AQ630" s="941">
        <v>0.0</v>
      </c>
      <c r="AR630" s="941">
        <v>7.0</v>
      </c>
      <c r="AS630" s="941">
        <v>1.0</v>
      </c>
      <c r="AT630" s="941">
        <v>1.0</v>
      </c>
      <c r="AU630" s="941">
        <v>0.0</v>
      </c>
      <c r="AV630" s="941">
        <v>0.0</v>
      </c>
      <c r="AW630" s="941">
        <v>0.0</v>
      </c>
      <c r="AX630" s="941">
        <v>0.0</v>
      </c>
      <c r="AY630" s="941">
        <v>0.0</v>
      </c>
      <c r="AZ630" s="941">
        <v>0.0</v>
      </c>
      <c r="BA630" s="941">
        <v>0.0</v>
      </c>
      <c r="BB630" s="941">
        <v>0.0</v>
      </c>
      <c r="BC630" s="941">
        <v>0.0</v>
      </c>
      <c r="BD630" s="941">
        <v>4.0</v>
      </c>
      <c r="BE630" s="941">
        <v>3.0</v>
      </c>
      <c r="BF630" s="941">
        <v>0.0</v>
      </c>
      <c r="BG630" s="942">
        <v>0.0</v>
      </c>
    </row>
    <row r="631">
      <c r="A631" s="935" t="s">
        <v>147</v>
      </c>
      <c r="B631" s="421" t="str">
        <f>IF(C631&lt;'PlayerGrades+'!$Y$44,"F-",IF(C631&lt;'PlayerGrades+'!$Y$43,"F",IF(C631&lt;'PlayerGrades+'!$Y$42,"F+",IF(C631&lt;'PlayerGrades+'!$Y$41,"E-",IF(C631&lt;'PlayerGrades+'!$Y$40,"E",IF(C631&lt;'PlayerGrades+'!$Y$39,"E+",IF(C631&lt;'PlayerGrades+'!$Y$38,"D-",IF(C631&lt;'PlayerGrades+'!$Y$37,"D",IF(C631&lt;'PlayerGrades+'!$Y$36,"D+",IF(C631&lt;'PlayerGrades+'!$Y$35,"C-",IF(C631&lt;'PlayerGrades+'!$Y$34,"C",IF(C631&lt;'PlayerGrades+'!$Y$33,"C+",IF(C631&lt;'PlayerGrades+'!$Y$32,"B-",IF(C631&lt;'PlayerGrades+'!$Y$31,"B",IF(C631&lt;'PlayerGrades+'!$Y$30,"B+",IF(C631&lt;'PlayerGrades+'!$Y$29,"A-",IF(C631&lt;'PlayerGrades+'!$Y$28,"A",IF(C631&lt;'PlayerGrades+'!$Y$27,"A+",IF(C631&lt;'PlayerGrades+'!$Y$26,"S-",IF(C631&lt;'PlayerGrades+'!$Y$25,"S","S+"))))))))))))))))))))</f>
        <v>F+</v>
      </c>
      <c r="C631" s="972">
        <f>('PlayerGrades+'!$Y$47*(VLOOKUP(E631, 'PlayerGrades+'!$X$3:$Y$23, 2, FALSE)))+('PlayerGrades+'!$Y$48*(VLOOKUP(G631, 'PlayerGrades+'!$X$3:$Y$23, 2, FALSE)))+('PlayerGrades+'!$Y$49*(VLOOKUP(I631, 'PlayerGrades+'!$X$3:$Y$23, 2, FALSE)))+('PlayerGrades+'!$Y$50*(VLOOKUP(K631, 'PlayerGrades+'!$X$3:$Y$23, 2, FALSE)))+('PlayerGrades+'!$Y$51*(VLOOKUP(M631, 'PlayerGrades+'!$X$3:$Y$23, 2, FALSE)))+('PlayerGrades+'!$Y$52*(VLOOKUP(O631, 'PlayerGrades+'!$X$3:$Y$23, 2, FALSE)))+('PlayerGrades+'!$Y$53*(VLOOKUP(Q631, 'PlayerGrades+'!$X$3:$Y$23, 2, FALSE)))+('PlayerGrades+'!$Y$54*(VLOOKUP(S631, 'PlayerGrades+'!$X$3:$Y$23, 2, FALSE)))+('PlayerGrades+'!$Y$55*(VLOOKUP(U631, 'PlayerGrades+'!$X$3:$Y$23, 2, FALSE)))</f>
        <v>10.55</v>
      </c>
      <c r="D631" s="973">
        <f t="shared" si="1"/>
        <v>0</v>
      </c>
      <c r="E631" s="973" t="str">
        <f>IF(D631&lt;'PlayerGrades+'!$AA$21,"F-",IF(D631&lt;'PlayerGrades+'!$AA$20,"F",IF(D631&lt;'PlayerGrades+'!$AA$19,"F+",IF(D631&lt;'PlayerGrades+'!$AA$18,"E-",IF(D631&lt;'PlayerGrades+'!$AA$17,"E",IF(D631&lt;'PlayerGrades+'!$AA$16,"E+",IF(D631&lt;'PlayerGrades+'!$AA$15,"D-",IF(D631&lt;'PlayerGrades+'!$AA$14,"D",IF(D631&lt;'PlayerGrades+'!$AA$13,"D+",IF(D631&lt;'PlayerGrades+'!$AA$12,"C-",IF(D631&lt;'PlayerGrades+'!$AA$11,"C",IF(D631&lt;'PlayerGrades+'!$AA$10,"C+",IF(D631&lt;'PlayerGrades+'!$AA$9,"B-",IF(D631&lt;'PlayerGrades+'!$AA$8,"B",IF(D631&lt;'PlayerGrades+'!$AA$7,"B+",IF(D631&lt;'PlayerGrades+'!$AA$6,"A-",IF(D631&lt;'PlayerGrades+'!$AA$5,"A",IF(D631&lt;'PlayerGrades+'!$AA$4,"A+",IF(D631&lt;'PlayerGrades+'!$AA$3,"S-",IF(D631&lt;'PlayerGrades+'!$AA$2,"S","S+"))))))))))))))))))))</f>
        <v>F-</v>
      </c>
      <c r="F631" s="973">
        <f t="shared" si="2"/>
        <v>-1.430274136</v>
      </c>
      <c r="G631" s="973" t="str">
        <f>IF(F631&lt;'PlayerGrades+'!$AB$21,"F-",IF(F631&lt;'PlayerGrades+'!$AB$20,"F",IF(F631&lt;'PlayerGrades+'!$AB$19,"F+",IF(F631&lt;'PlayerGrades+'!$AB$18,"E-",IF(F631&lt;'PlayerGrades+'!$AB$17,"E",IF(F631&lt;'PlayerGrades+'!$AB$16,"E+",IF(F631&lt;'PlayerGrades+'!$AB$15,"D-",IF(F631&lt;'PlayerGrades+'!$AB$14,"D",IF(F631&lt;'PlayerGrades+'!$AB$13,"D+",IF(F631&lt;'PlayerGrades+'!$AB$12,"C-",IF(F631&lt;'PlayerGrades+'!$AB$11,"C",IF(F631&lt;'PlayerGrades+'!$AB$10,"C+",IF(F631&lt;'PlayerGrades+'!$AB$9,"B-",IF(F631&lt;'PlayerGrades+'!$AB$8,"B",IF(F631&lt;'PlayerGrades+'!$AB$7,"B+",IF(F631&lt;'PlayerGrades+'!$AB$6,"A-",IF(F631&lt;'PlayerGrades+'!$AB$5,"A",IF(F631&lt;'PlayerGrades+'!$AB$4,"A+",IF(F631&lt;'PlayerGrades+'!$AB$3,"S-",IF(F631&lt;'PlayerGrades+'!$AB$2,"S","S+"))))))))))))))))))))</f>
        <v>F-</v>
      </c>
      <c r="H631" s="973">
        <f t="shared" si="3"/>
        <v>0</v>
      </c>
      <c r="I631" s="973" t="str">
        <f>IF(H631&lt;'PlayerGrades+'!$AC$21,"F-",IF(H631&lt;'PlayerGrades+'!$AC$20,"F",IF(H631&lt;'PlayerGrades+'!$AC$19,"F+",IF(H631&lt;'PlayerGrades+'!$AC$18,"E-",IF(H631&lt;'PlayerGrades+'!$AC$17,"E",IF(H631&lt;'PlayerGrades+'!$AC$16,"E+",IF(H631&lt;'PlayerGrades+'!$AC$15,"D-",IF(H631&lt;'PlayerGrades+'!$AC$14,"D",IF(H631&lt;'PlayerGrades+'!$AC$13,"D+",IF(H631&lt;'PlayerGrades+'!$AC$12,"C-",IF(H631&lt;'PlayerGrades+'!$AC$11,"C",IF(H631&lt;'PlayerGrades+'!$AC$10,"C+",IF(H631&lt;'PlayerGrades+'!$AC$9,"B-",IF(H631&lt;'PlayerGrades+'!$AC$8,"B",IF(H631&lt;'PlayerGrades+'!$AC$7,"B+",IF(H631&lt;'PlayerGrades+'!$AC$6,"A-",IF(H631&lt;'PlayerGrades+'!$AC$5,"A",IF(H631&lt;'PlayerGrades+'!$AC$4,"A+",IF(H631&lt;'PlayerGrades+'!$AC$3,"S-",IF(H631&lt;'PlayerGrades+'!$AC$2,"S","S+"))))))))))))))))))))</f>
        <v>F-</v>
      </c>
      <c r="J631" s="973">
        <f t="shared" si="4"/>
        <v>0.07151370679</v>
      </c>
      <c r="K631" s="973" t="str">
        <f>IF(J631&lt;'PlayerGrades+'!$AD$21,"F-",IF(J631&lt;'PlayerGrades+'!$AD$20,"F",IF(J631&lt;'PlayerGrades+'!$AD$19,"F+",IF(J631&lt;'PlayerGrades+'!$AD$18,"E-",IF(J631&lt;'PlayerGrades+'!$AD$17,"E",IF(J631&lt;'PlayerGrades+'!$AD$16,"E+",IF(J631&lt;'PlayerGrades+'!$AD$15,"D-",IF(J631&lt;'PlayerGrades+'!$AD$14,"D",IF(J631&lt;'PlayerGrades+'!$AD$13,"D+",IF(J631&lt;'PlayerGrades+'!$AD$12,"C-",IF(J631&lt;'PlayerGrades+'!$AD$11,"C",IF(J631&lt;'PlayerGrades+'!$AD$10,"C+",IF(J631&lt;'PlayerGrades+'!$AD$9,"B-",IF(J631&lt;'PlayerGrades+'!$AD$8,"B",IF(J631&lt;'PlayerGrades+'!$AD$7,"B+",IF(J631&lt;'PlayerGrades+'!$AD$6,"A-",IF(J631&lt;'PlayerGrades+'!$AD$5,"A",IF(J631&lt;'PlayerGrades+'!$AD$4,"A+",IF(J631&lt;'PlayerGrades+'!$AD$3,"S-",IF(J631&lt;'PlayerGrades+'!$AD$2,"S","S+"))))))))))))))))))))</f>
        <v>A</v>
      </c>
      <c r="L631" s="974">
        <f t="shared" si="5"/>
        <v>0.2145411204</v>
      </c>
      <c r="M631" s="975" t="str">
        <f>IF(L631&lt;'PlayerGrades+'!$AE$21,"F-",IF(L631&lt;'PlayerGrades+'!$AE$20,"F",IF(L631&lt;'PlayerGrades+'!$AE$19,"F+",IF(L631&lt;'PlayerGrades+'!$AE$18,"E-",IF(L631&lt;'PlayerGrades+'!$AE$17,"E",IF(L631&lt;'PlayerGrades+'!$AE$16,"E+",IF(L631&lt;'PlayerGrades+'!$AE$15,"D-",IF(L631&lt;'PlayerGrades+'!$AE$14,"D",IF(L631&lt;'PlayerGrades+'!$AE$13,"D+",IF(L631&lt;'PlayerGrades+'!$AE$12,"C-",IF(L631&lt;'PlayerGrades+'!$AE$11,"C",IF(L631&lt;'PlayerGrades+'!$AE$10,"C+",IF(L631&lt;'PlayerGrades+'!$AE$9,"B-",IF(L631&lt;'PlayerGrades+'!$AE$8,"B",IF(L631&lt;'PlayerGrades+'!$AE$7,"B+",IF(L631&lt;'PlayerGrades+'!$AE$6,"A-",IF(L631&lt;'PlayerGrades+'!$AE$5,"A",IF(L631&lt;'PlayerGrades+'!$AE$4,"A+",IF(L631&lt;'PlayerGrades+'!$AE$3,"S-",IF(L631&lt;'PlayerGrades+'!$AE$2,"S","S+"))))))))))))))))))))</f>
        <v>F</v>
      </c>
      <c r="N631" s="973">
        <f t="shared" si="6"/>
        <v>0.07151370679</v>
      </c>
      <c r="O631" s="973" t="str">
        <f>IF(N631&lt;'PlayerGrades+'!$AF$21,"F-",IF(N631&lt;'PlayerGrades+'!$AF$20,"F",IF(N631&lt;'PlayerGrades+'!$AF$19,"F+",IF(N631&lt;'PlayerGrades+'!$AF$18,"E-",IF(N631&lt;'PlayerGrades+'!$AF$17,"E",IF(N631&lt;'PlayerGrades+'!$AF$16,"E+",IF(N631&lt;'PlayerGrades+'!$AF$15,"D-",IF(N631&lt;'PlayerGrades+'!$AF$14,"D",IF(N631&lt;'PlayerGrades+'!$AF$13,"D+",IF(N631&lt;'PlayerGrades+'!$AF$12,"C-",IF(N631&lt;'PlayerGrades+'!$AF$11,"C",IF(N631&lt;'PlayerGrades+'!$AF$10,"C+",IF(N631&lt;'PlayerGrades+'!$AF$9,"B-",IF(N631&lt;'PlayerGrades+'!$AF$8,"B",IF(N631&lt;'PlayerGrades+'!$AF$7,"B+",IF(N631&lt;'PlayerGrades+'!$AF$6,"A-",IF(N631&lt;'PlayerGrades+'!$AF$5,"A",IF(N631&lt;'PlayerGrades+'!$AF$4,"A+",IF(N631&lt;'PlayerGrades+'!$AF$3,"S-",IF(N631&lt;'PlayerGrades+'!$AF$2,"S","S+"))))))))))))))))))))</f>
        <v>C+</v>
      </c>
      <c r="P631" s="973">
        <f t="shared" si="7"/>
        <v>0.07151370679</v>
      </c>
      <c r="Q631" s="973" t="str">
        <f>IF(P631&lt;'PlayerGrades+'!$AG$21,"F-",IF(P631&lt;'PlayerGrades+'!$AG$20,"F",IF(P631&lt;'PlayerGrades+'!$AG$19,"F+",IF(P631&lt;'PlayerGrades+'!$AG$18,"E-",IF(P631&lt;'PlayerGrades+'!$AG$17,"E",IF(P631&lt;'PlayerGrades+'!$AG$16,"E+",IF(P631&lt;'PlayerGrades+'!$AG$15,"D-",IF(P631&lt;'PlayerGrades+'!$AG$14,"D",IF(P631&lt;'PlayerGrades+'!$AG$13,"D+",IF(P631&lt;'PlayerGrades+'!$AG$12,"C-",IF(P631&lt;'PlayerGrades+'!$AG$11,"C",IF(P631&lt;'PlayerGrades+'!$AG$10,"C+",IF(P631&lt;'PlayerGrades+'!$AG$9,"B-",IF(P631&lt;'PlayerGrades+'!$AG$8,"B",IF(P631&lt;'PlayerGrades+'!$AG$7,"B+",IF(P631&lt;'PlayerGrades+'!$AG$6,"A-",IF(P631&lt;'PlayerGrades+'!$AG$5,"A",IF(P631&lt;'PlayerGrades+'!$AG$4,"A+",IF(P631&lt;'PlayerGrades+'!$AG$3,"S-",IF(P631&lt;'PlayerGrades+'!$AG$2,"S","S+"))))))))))))))))))))</f>
        <v>S-</v>
      </c>
      <c r="R631" s="973">
        <f t="shared" si="8"/>
        <v>0.357568534</v>
      </c>
      <c r="S631" s="973" t="str">
        <f>IF(R631&lt;'PlayerGrades+'!$AH$21,"F-",IF(R631&lt;'PlayerGrades+'!$AH$20,"F",IF(R631&lt;'PlayerGrades+'!$AH$19,"F+",IF(R631&lt;'PlayerGrades+'!$AH$18,"E-",IF(R631&lt;'PlayerGrades+'!$AH$17,"E",IF(R631&lt;'PlayerGrades+'!$AH$16,"E+",IF(R631&lt;'PlayerGrades+'!$AH$15,"D-",IF(R631&lt;'PlayerGrades+'!$AH$14,"D",IF(R631&lt;'PlayerGrades+'!$AH$13,"D+",IF(R631&lt;'PlayerGrades+'!$AH$12,"C-",IF(R631&lt;'PlayerGrades+'!$AH$11,"C",IF(R631&lt;'PlayerGrades+'!$AH$10,"C+",IF(R631&lt;'PlayerGrades+'!$AH$9,"B-",IF(R631&lt;'PlayerGrades+'!$AH$8,"B",IF(R631&lt;'PlayerGrades+'!$AH$7,"B+",IF(R631&lt;'PlayerGrades+'!$AH$6,"A-",IF(R631&lt;'PlayerGrades+'!$AH$5,"A",IF(R631&lt;'PlayerGrades+'!$AH$4,"A+",IF(R631&lt;'PlayerGrades+'!$AH$3,"S-",IF(R631&lt;'PlayerGrades+'!$AH$2,"S","S+"))))))))))))))))))))</f>
        <v>F</v>
      </c>
      <c r="T631" s="973">
        <f t="shared" si="9"/>
        <v>0.07151370679</v>
      </c>
      <c r="U631" s="973" t="str">
        <f>IF(T631&lt;'PlayerGrades+'!$AI$21,"F-",IF(T631&lt;'PlayerGrades+'!$AI$20,"F",IF(T631&lt;'PlayerGrades+'!$AI$19,"F+",IF(T631&lt;'PlayerGrades+'!$AI$18,"E-",IF(T631&lt;'PlayerGrades+'!$AI$17,"E",IF(T631&lt;'PlayerGrades+'!$AI$16,"E+",IF(T631&lt;'PlayerGrades+'!$AI$15,"D-",IF(T631&lt;'PlayerGrades+'!$AI$14,"D",IF(T631&lt;'PlayerGrades+'!$AI$13,"D+",IF(T631&lt;'PlayerGrades+'!$AI$12,"C-",IF(T631&lt;'PlayerGrades+'!$AI$11,"C",IF(T631&lt;'PlayerGrades+'!$AI$10,"C+",IF(T631&lt;'PlayerGrades+'!$AI$9,"B-",IF(T631&lt;'PlayerGrades+'!$AI$8,"B",IF(T631&lt;'PlayerGrades+'!$AI$7,"B+",IF(T631&lt;'PlayerGrades+'!$AI$6,"A-",IF(T631&lt;'PlayerGrades+'!$AI$5,"A",IF(T631&lt;'PlayerGrades+'!$AI$4,"A+",IF(T631&lt;'PlayerGrades+'!$AI$3,"S-",IF(T631&lt;'PlayerGrades+'!$AI$2,"S","S+"))))))))))))))))))))</f>
        <v>F-</v>
      </c>
      <c r="V631" s="1">
        <v>0.0</v>
      </c>
      <c r="W631" s="941">
        <v>0.0</v>
      </c>
      <c r="X631" s="1">
        <v>0.0</v>
      </c>
      <c r="Y631" s="941">
        <v>0.0</v>
      </c>
      <c r="Z631" s="941">
        <v>0.0</v>
      </c>
      <c r="AA631" s="941">
        <v>27.0</v>
      </c>
      <c r="AB631" s="941">
        <v>47.0</v>
      </c>
      <c r="AC631" s="941">
        <v>-20.0</v>
      </c>
      <c r="AD631" s="941">
        <v>1.0</v>
      </c>
      <c r="AE631" s="941">
        <v>6.0</v>
      </c>
      <c r="AF631" s="941">
        <v>0.0</v>
      </c>
      <c r="AG631" s="941">
        <v>646.0</v>
      </c>
      <c r="AH631" s="941">
        <v>839.0</v>
      </c>
      <c r="AI631" s="941">
        <v>13.0</v>
      </c>
      <c r="AJ631" s="941">
        <v>8.0</v>
      </c>
      <c r="AK631" s="941">
        <v>0.0</v>
      </c>
      <c r="AL631" s="941">
        <v>1.0</v>
      </c>
      <c r="AM631" s="941">
        <v>0.0</v>
      </c>
      <c r="AN631" s="941">
        <v>0.0</v>
      </c>
      <c r="AO631" s="941">
        <v>0.0</v>
      </c>
      <c r="AP631" s="941">
        <v>1.0</v>
      </c>
      <c r="AQ631" s="941">
        <v>0.0</v>
      </c>
      <c r="AR631" s="941">
        <v>3.0</v>
      </c>
      <c r="AS631" s="941">
        <v>1.0</v>
      </c>
      <c r="AT631" s="941">
        <v>0.0</v>
      </c>
      <c r="AU631" s="941">
        <v>0.0</v>
      </c>
      <c r="AV631" s="941">
        <v>0.0</v>
      </c>
      <c r="AW631" s="941">
        <v>0.0</v>
      </c>
      <c r="AX631" s="941">
        <v>0.0</v>
      </c>
      <c r="AY631" s="941">
        <v>0.0</v>
      </c>
      <c r="AZ631" s="941">
        <v>0.0</v>
      </c>
      <c r="BA631" s="941">
        <v>0.0</v>
      </c>
      <c r="BB631" s="941">
        <v>0.0</v>
      </c>
      <c r="BC631" s="941">
        <v>0.0</v>
      </c>
      <c r="BD631" s="941">
        <v>4.0</v>
      </c>
      <c r="BE631" s="941">
        <v>1.0</v>
      </c>
      <c r="BF631" s="941">
        <v>0.0</v>
      </c>
      <c r="BG631" s="942">
        <v>0.0</v>
      </c>
    </row>
    <row r="632">
      <c r="A632" s="935" t="s">
        <v>114</v>
      </c>
      <c r="B632" s="421" t="str">
        <f>IF(C632&lt;'PlayerGrades+'!$Y$44,"F-",IF(C632&lt;'PlayerGrades+'!$Y$43,"F",IF(C632&lt;'PlayerGrades+'!$Y$42,"F+",IF(C632&lt;'PlayerGrades+'!$Y$41,"E-",IF(C632&lt;'PlayerGrades+'!$Y$40,"E",IF(C632&lt;'PlayerGrades+'!$Y$39,"E+",IF(C632&lt;'PlayerGrades+'!$Y$38,"D-",IF(C632&lt;'PlayerGrades+'!$Y$37,"D",IF(C632&lt;'PlayerGrades+'!$Y$36,"D+",IF(C632&lt;'PlayerGrades+'!$Y$35,"C-",IF(C632&lt;'PlayerGrades+'!$Y$34,"C",IF(C632&lt;'PlayerGrades+'!$Y$33,"C+",IF(C632&lt;'PlayerGrades+'!$Y$32,"B-",IF(C632&lt;'PlayerGrades+'!$Y$31,"B",IF(C632&lt;'PlayerGrades+'!$Y$30,"B+",IF(C632&lt;'PlayerGrades+'!$Y$29,"A-",IF(C632&lt;'PlayerGrades+'!$Y$28,"A",IF(C632&lt;'PlayerGrades+'!$Y$27,"A+",IF(C632&lt;'PlayerGrades+'!$Y$26,"S-",IF(C632&lt;'PlayerGrades+'!$Y$25,"S","S+"))))))))))))))))))))</f>
        <v>D-</v>
      </c>
      <c r="C632" s="972">
        <f>('PlayerGrades+'!$Y$47*(VLOOKUP(E632, 'PlayerGrades+'!$X$3:$Y$23, 2, FALSE)))+('PlayerGrades+'!$Y$48*(VLOOKUP(G632, 'PlayerGrades+'!$X$3:$Y$23, 2, FALSE)))+('PlayerGrades+'!$Y$49*(VLOOKUP(I632, 'PlayerGrades+'!$X$3:$Y$23, 2, FALSE)))+('PlayerGrades+'!$Y$50*(VLOOKUP(K632, 'PlayerGrades+'!$X$3:$Y$23, 2, FALSE)))+('PlayerGrades+'!$Y$51*(VLOOKUP(M632, 'PlayerGrades+'!$X$3:$Y$23, 2, FALSE)))+('PlayerGrades+'!$Y$52*(VLOOKUP(O632, 'PlayerGrades+'!$X$3:$Y$23, 2, FALSE)))+('PlayerGrades+'!$Y$53*(VLOOKUP(Q632, 'PlayerGrades+'!$X$3:$Y$23, 2, FALSE)))+('PlayerGrades+'!$Y$54*(VLOOKUP(S632, 'PlayerGrades+'!$X$3:$Y$23, 2, FALSE)))+('PlayerGrades+'!$Y$55*(VLOOKUP(U632, 'PlayerGrades+'!$X$3:$Y$23, 2, FALSE)))</f>
        <v>15.05</v>
      </c>
      <c r="D632" s="973">
        <f t="shared" si="1"/>
        <v>0</v>
      </c>
      <c r="E632" s="973" t="str">
        <f>IF(D632&lt;'PlayerGrades+'!$AA$21,"F-",IF(D632&lt;'PlayerGrades+'!$AA$20,"F",IF(D632&lt;'PlayerGrades+'!$AA$19,"F+",IF(D632&lt;'PlayerGrades+'!$AA$18,"E-",IF(D632&lt;'PlayerGrades+'!$AA$17,"E",IF(D632&lt;'PlayerGrades+'!$AA$16,"E+",IF(D632&lt;'PlayerGrades+'!$AA$15,"D-",IF(D632&lt;'PlayerGrades+'!$AA$14,"D",IF(D632&lt;'PlayerGrades+'!$AA$13,"D+",IF(D632&lt;'PlayerGrades+'!$AA$12,"C-",IF(D632&lt;'PlayerGrades+'!$AA$11,"C",IF(D632&lt;'PlayerGrades+'!$AA$10,"C+",IF(D632&lt;'PlayerGrades+'!$AA$9,"B-",IF(D632&lt;'PlayerGrades+'!$AA$8,"B",IF(D632&lt;'PlayerGrades+'!$AA$7,"B+",IF(D632&lt;'PlayerGrades+'!$AA$6,"A-",IF(D632&lt;'PlayerGrades+'!$AA$5,"A",IF(D632&lt;'PlayerGrades+'!$AA$4,"A+",IF(D632&lt;'PlayerGrades+'!$AA$3,"S-",IF(D632&lt;'PlayerGrades+'!$AA$2,"S","S+"))))))))))))))))))))</f>
        <v>F-</v>
      </c>
      <c r="F632" s="973">
        <f t="shared" si="2"/>
        <v>-1.09375</v>
      </c>
      <c r="G632" s="973" t="str">
        <f>IF(F632&lt;'PlayerGrades+'!$AB$21,"F-",IF(F632&lt;'PlayerGrades+'!$AB$20,"F",IF(F632&lt;'PlayerGrades+'!$AB$19,"F+",IF(F632&lt;'PlayerGrades+'!$AB$18,"E-",IF(F632&lt;'PlayerGrades+'!$AB$17,"E",IF(F632&lt;'PlayerGrades+'!$AB$16,"E+",IF(F632&lt;'PlayerGrades+'!$AB$15,"D-",IF(F632&lt;'PlayerGrades+'!$AB$14,"D",IF(F632&lt;'PlayerGrades+'!$AB$13,"D+",IF(F632&lt;'PlayerGrades+'!$AB$12,"C-",IF(F632&lt;'PlayerGrades+'!$AB$11,"C",IF(F632&lt;'PlayerGrades+'!$AB$10,"C+",IF(F632&lt;'PlayerGrades+'!$AB$9,"B-",IF(F632&lt;'PlayerGrades+'!$AB$8,"B",IF(F632&lt;'PlayerGrades+'!$AB$7,"B+",IF(F632&lt;'PlayerGrades+'!$AB$6,"A-",IF(F632&lt;'PlayerGrades+'!$AB$5,"A",IF(F632&lt;'PlayerGrades+'!$AB$4,"A+",IF(F632&lt;'PlayerGrades+'!$AB$3,"S-",IF(F632&lt;'PlayerGrades+'!$AB$2,"S","S+"))))))))))))))))))))</f>
        <v>F</v>
      </c>
      <c r="H632" s="973">
        <f t="shared" si="3"/>
        <v>0</v>
      </c>
      <c r="I632" s="973" t="str">
        <f>IF(H632&lt;'PlayerGrades+'!$AC$21,"F-",IF(H632&lt;'PlayerGrades+'!$AC$20,"F",IF(H632&lt;'PlayerGrades+'!$AC$19,"F+",IF(H632&lt;'PlayerGrades+'!$AC$18,"E-",IF(H632&lt;'PlayerGrades+'!$AC$17,"E",IF(H632&lt;'PlayerGrades+'!$AC$16,"E+",IF(H632&lt;'PlayerGrades+'!$AC$15,"D-",IF(H632&lt;'PlayerGrades+'!$AC$14,"D",IF(H632&lt;'PlayerGrades+'!$AC$13,"D+",IF(H632&lt;'PlayerGrades+'!$AC$12,"C-",IF(H632&lt;'PlayerGrades+'!$AC$11,"C",IF(H632&lt;'PlayerGrades+'!$AC$10,"C+",IF(H632&lt;'PlayerGrades+'!$AC$9,"B-",IF(H632&lt;'PlayerGrades+'!$AC$8,"B",IF(H632&lt;'PlayerGrades+'!$AC$7,"B+",IF(H632&lt;'PlayerGrades+'!$AC$6,"A-",IF(H632&lt;'PlayerGrades+'!$AC$5,"A",IF(H632&lt;'PlayerGrades+'!$AC$4,"A+",IF(H632&lt;'PlayerGrades+'!$AC$3,"S-",IF(H632&lt;'PlayerGrades+'!$AC$2,"S","S+"))))))))))))))))))))</f>
        <v>F-</v>
      </c>
      <c r="J632" s="973">
        <f t="shared" si="4"/>
        <v>0</v>
      </c>
      <c r="K632" s="973" t="str">
        <f>IF(J632&lt;'PlayerGrades+'!$AD$21,"F-",IF(J632&lt;'PlayerGrades+'!$AD$20,"F",IF(J632&lt;'PlayerGrades+'!$AD$19,"F+",IF(J632&lt;'PlayerGrades+'!$AD$18,"E-",IF(J632&lt;'PlayerGrades+'!$AD$17,"E",IF(J632&lt;'PlayerGrades+'!$AD$16,"E+",IF(J632&lt;'PlayerGrades+'!$AD$15,"D-",IF(J632&lt;'PlayerGrades+'!$AD$14,"D",IF(J632&lt;'PlayerGrades+'!$AD$13,"D+",IF(J632&lt;'PlayerGrades+'!$AD$12,"C-",IF(J632&lt;'PlayerGrades+'!$AD$11,"C",IF(J632&lt;'PlayerGrades+'!$AD$10,"C+",IF(J632&lt;'PlayerGrades+'!$AD$9,"B-",IF(J632&lt;'PlayerGrades+'!$AD$8,"B",IF(J632&lt;'PlayerGrades+'!$AD$7,"B+",IF(J632&lt;'PlayerGrades+'!$AD$6,"A-",IF(J632&lt;'PlayerGrades+'!$AD$5,"A",IF(J632&lt;'PlayerGrades+'!$AD$4,"A+",IF(J632&lt;'PlayerGrades+'!$AD$3,"S-",IF(J632&lt;'PlayerGrades+'!$AD$2,"S","S+"))))))))))))))))))))</f>
        <v>F-</v>
      </c>
      <c r="L632" s="974">
        <f t="shared" si="5"/>
        <v>0.546875</v>
      </c>
      <c r="M632" s="975" t="str">
        <f>IF(L632&lt;'PlayerGrades+'!$AE$21,"F-",IF(L632&lt;'PlayerGrades+'!$AE$20,"F",IF(L632&lt;'PlayerGrades+'!$AE$19,"F+",IF(L632&lt;'PlayerGrades+'!$AE$18,"E-",IF(L632&lt;'PlayerGrades+'!$AE$17,"E",IF(L632&lt;'PlayerGrades+'!$AE$16,"E+",IF(L632&lt;'PlayerGrades+'!$AE$15,"D-",IF(L632&lt;'PlayerGrades+'!$AE$14,"D",IF(L632&lt;'PlayerGrades+'!$AE$13,"D+",IF(L632&lt;'PlayerGrades+'!$AE$12,"C-",IF(L632&lt;'PlayerGrades+'!$AE$11,"C",IF(L632&lt;'PlayerGrades+'!$AE$10,"C+",IF(L632&lt;'PlayerGrades+'!$AE$9,"B-",IF(L632&lt;'PlayerGrades+'!$AE$8,"B",IF(L632&lt;'PlayerGrades+'!$AE$7,"B+",IF(L632&lt;'PlayerGrades+'!$AE$6,"A-",IF(L632&lt;'PlayerGrades+'!$AE$5,"A",IF(L632&lt;'PlayerGrades+'!$AE$4,"A+",IF(L632&lt;'PlayerGrades+'!$AE$3,"S-",IF(L632&lt;'PlayerGrades+'!$AE$2,"S","S+"))))))))))))))))))))</f>
        <v>A</v>
      </c>
      <c r="N632" s="973">
        <f t="shared" si="6"/>
        <v>0.078125</v>
      </c>
      <c r="O632" s="973" t="str">
        <f>IF(N632&lt;'PlayerGrades+'!$AF$21,"F-",IF(N632&lt;'PlayerGrades+'!$AF$20,"F",IF(N632&lt;'PlayerGrades+'!$AF$19,"F+",IF(N632&lt;'PlayerGrades+'!$AF$18,"E-",IF(N632&lt;'PlayerGrades+'!$AF$17,"E",IF(N632&lt;'PlayerGrades+'!$AF$16,"E+",IF(N632&lt;'PlayerGrades+'!$AF$15,"D-",IF(N632&lt;'PlayerGrades+'!$AF$14,"D",IF(N632&lt;'PlayerGrades+'!$AF$13,"D+",IF(N632&lt;'PlayerGrades+'!$AF$12,"C-",IF(N632&lt;'PlayerGrades+'!$AF$11,"C",IF(N632&lt;'PlayerGrades+'!$AF$10,"C+",IF(N632&lt;'PlayerGrades+'!$AF$9,"B-",IF(N632&lt;'PlayerGrades+'!$AF$8,"B",IF(N632&lt;'PlayerGrades+'!$AF$7,"B+",IF(N632&lt;'PlayerGrades+'!$AF$6,"A-",IF(N632&lt;'PlayerGrades+'!$AF$5,"A",IF(N632&lt;'PlayerGrades+'!$AF$4,"A+",IF(N632&lt;'PlayerGrades+'!$AF$3,"S-",IF(N632&lt;'PlayerGrades+'!$AF$2,"S","S+"))))))))))))))))))))</f>
        <v>B-</v>
      </c>
      <c r="P632" s="973">
        <f t="shared" si="7"/>
        <v>0</v>
      </c>
      <c r="Q632" s="973" t="str">
        <f>IF(P632&lt;'PlayerGrades+'!$AG$21,"F-",IF(P632&lt;'PlayerGrades+'!$AG$20,"F",IF(P632&lt;'PlayerGrades+'!$AG$19,"F+",IF(P632&lt;'PlayerGrades+'!$AG$18,"E-",IF(P632&lt;'PlayerGrades+'!$AG$17,"E",IF(P632&lt;'PlayerGrades+'!$AG$16,"E+",IF(P632&lt;'PlayerGrades+'!$AG$15,"D-",IF(P632&lt;'PlayerGrades+'!$AG$14,"D",IF(P632&lt;'PlayerGrades+'!$AG$13,"D+",IF(P632&lt;'PlayerGrades+'!$AG$12,"C-",IF(P632&lt;'PlayerGrades+'!$AG$11,"C",IF(P632&lt;'PlayerGrades+'!$AG$10,"C+",IF(P632&lt;'PlayerGrades+'!$AG$9,"B-",IF(P632&lt;'PlayerGrades+'!$AG$8,"B",IF(P632&lt;'PlayerGrades+'!$AG$7,"B+",IF(P632&lt;'PlayerGrades+'!$AG$6,"A-",IF(P632&lt;'PlayerGrades+'!$AG$5,"A",IF(P632&lt;'PlayerGrades+'!$AG$4,"A+",IF(P632&lt;'PlayerGrades+'!$AG$3,"S-",IF(P632&lt;'PlayerGrades+'!$AG$2,"S","S+"))))))))))))))))))))</f>
        <v>F</v>
      </c>
      <c r="R632" s="973">
        <f t="shared" si="8"/>
        <v>0.703125</v>
      </c>
      <c r="S632" s="973" t="str">
        <f>IF(R632&lt;'PlayerGrades+'!$AH$21,"F-",IF(R632&lt;'PlayerGrades+'!$AH$20,"F",IF(R632&lt;'PlayerGrades+'!$AH$19,"F+",IF(R632&lt;'PlayerGrades+'!$AH$18,"E-",IF(R632&lt;'PlayerGrades+'!$AH$17,"E",IF(R632&lt;'PlayerGrades+'!$AH$16,"E+",IF(R632&lt;'PlayerGrades+'!$AH$15,"D-",IF(R632&lt;'PlayerGrades+'!$AH$14,"D",IF(R632&lt;'PlayerGrades+'!$AH$13,"D+",IF(R632&lt;'PlayerGrades+'!$AH$12,"C-",IF(R632&lt;'PlayerGrades+'!$AH$11,"C",IF(R632&lt;'PlayerGrades+'!$AH$10,"C+",IF(R632&lt;'PlayerGrades+'!$AH$9,"B-",IF(R632&lt;'PlayerGrades+'!$AH$8,"B",IF(R632&lt;'PlayerGrades+'!$AH$7,"B+",IF(R632&lt;'PlayerGrades+'!$AH$6,"A-",IF(R632&lt;'PlayerGrades+'!$AH$5,"A",IF(R632&lt;'PlayerGrades+'!$AH$4,"A+",IF(R632&lt;'PlayerGrades+'!$AH$3,"S-",IF(R632&lt;'PlayerGrades+'!$AH$2,"S","S+"))))))))))))))))))))</f>
        <v>S-</v>
      </c>
      <c r="T632" s="973">
        <f t="shared" si="9"/>
        <v>0.546875</v>
      </c>
      <c r="U632" s="973" t="str">
        <f>IF(T632&lt;'PlayerGrades+'!$AI$21,"F-",IF(T632&lt;'PlayerGrades+'!$AI$20,"F",IF(T632&lt;'PlayerGrades+'!$AI$19,"F+",IF(T632&lt;'PlayerGrades+'!$AI$18,"E-",IF(T632&lt;'PlayerGrades+'!$AI$17,"E",IF(T632&lt;'PlayerGrades+'!$AI$16,"E+",IF(T632&lt;'PlayerGrades+'!$AI$15,"D-",IF(T632&lt;'PlayerGrades+'!$AI$14,"D",IF(T632&lt;'PlayerGrades+'!$AI$13,"D+",IF(T632&lt;'PlayerGrades+'!$AI$12,"C-",IF(T632&lt;'PlayerGrades+'!$AI$11,"C",IF(T632&lt;'PlayerGrades+'!$AI$10,"C+",IF(T632&lt;'PlayerGrades+'!$AI$9,"B-",IF(T632&lt;'PlayerGrades+'!$AI$8,"B",IF(T632&lt;'PlayerGrades+'!$AI$7,"B+",IF(T632&lt;'PlayerGrades+'!$AI$6,"A-",IF(T632&lt;'PlayerGrades+'!$AI$5,"A",IF(T632&lt;'PlayerGrades+'!$AI$4,"A+",IF(T632&lt;'PlayerGrades+'!$AI$3,"S-",IF(T632&lt;'PlayerGrades+'!$AI$2,"S","S+"))))))))))))))))))))</f>
        <v>F-</v>
      </c>
      <c r="V632" s="1">
        <v>0.0</v>
      </c>
      <c r="W632" s="941">
        <v>0.0</v>
      </c>
      <c r="X632" s="1">
        <v>0.0</v>
      </c>
      <c r="Y632" s="941">
        <v>0.0</v>
      </c>
      <c r="Z632" s="941">
        <v>0.0</v>
      </c>
      <c r="AA632" s="941">
        <v>37.0</v>
      </c>
      <c r="AB632" s="941">
        <v>51.0</v>
      </c>
      <c r="AC632" s="941">
        <v>-14.0</v>
      </c>
      <c r="AD632" s="941">
        <v>0.0</v>
      </c>
      <c r="AE632" s="941">
        <v>3.0</v>
      </c>
      <c r="AF632" s="941">
        <v>1.0</v>
      </c>
      <c r="AG632" s="941">
        <v>562.0</v>
      </c>
      <c r="AH632" s="941">
        <v>768.0</v>
      </c>
      <c r="AI632" s="941">
        <v>11.0</v>
      </c>
      <c r="AJ632" s="941">
        <v>2.0</v>
      </c>
      <c r="AK632" s="941">
        <v>0.0</v>
      </c>
      <c r="AL632" s="941">
        <v>0.0</v>
      </c>
      <c r="AM632" s="941">
        <v>0.0</v>
      </c>
      <c r="AN632" s="941">
        <v>0.0</v>
      </c>
      <c r="AO632" s="941">
        <v>0.0</v>
      </c>
      <c r="AP632" s="941">
        <v>0.0</v>
      </c>
      <c r="AQ632" s="941">
        <v>0.0</v>
      </c>
      <c r="AR632" s="941">
        <v>7.0</v>
      </c>
      <c r="AS632" s="941">
        <v>1.0</v>
      </c>
      <c r="AT632" s="941">
        <v>0.0</v>
      </c>
      <c r="AU632" s="941">
        <v>0.0</v>
      </c>
      <c r="AV632" s="941">
        <v>0.0</v>
      </c>
      <c r="AW632" s="941">
        <v>0.0</v>
      </c>
      <c r="AX632" s="941">
        <v>0.0</v>
      </c>
      <c r="AY632" s="941">
        <v>0.0</v>
      </c>
      <c r="AZ632" s="941">
        <v>0.0</v>
      </c>
      <c r="BA632" s="941">
        <v>0.0</v>
      </c>
      <c r="BB632" s="941">
        <v>0.0</v>
      </c>
      <c r="BC632" s="941">
        <v>0.0</v>
      </c>
      <c r="BD632" s="941">
        <v>9.0</v>
      </c>
      <c r="BE632" s="941">
        <v>7.0</v>
      </c>
      <c r="BF632" s="941">
        <v>0.0</v>
      </c>
      <c r="BG632" s="942">
        <v>0.0</v>
      </c>
    </row>
    <row r="633">
      <c r="A633" s="943" t="s">
        <v>136</v>
      </c>
      <c r="B633" s="421" t="str">
        <f>IF(C633&lt;'PlayerGrades+'!$Y$44,"F-",IF(C633&lt;'PlayerGrades+'!$Y$43,"F",IF(C633&lt;'PlayerGrades+'!$Y$42,"F+",IF(C633&lt;'PlayerGrades+'!$Y$41,"E-",IF(C633&lt;'PlayerGrades+'!$Y$40,"E",IF(C633&lt;'PlayerGrades+'!$Y$39,"E+",IF(C633&lt;'PlayerGrades+'!$Y$38,"D-",IF(C633&lt;'PlayerGrades+'!$Y$37,"D",IF(C633&lt;'PlayerGrades+'!$Y$36,"D+",IF(C633&lt;'PlayerGrades+'!$Y$35,"C-",IF(C633&lt;'PlayerGrades+'!$Y$34,"C",IF(C633&lt;'PlayerGrades+'!$Y$33,"C+",IF(C633&lt;'PlayerGrades+'!$Y$32,"B-",IF(C633&lt;'PlayerGrades+'!$Y$31,"B",IF(C633&lt;'PlayerGrades+'!$Y$30,"B+",IF(C633&lt;'PlayerGrades+'!$Y$29,"A-",IF(C633&lt;'PlayerGrades+'!$Y$28,"A",IF(C633&lt;'PlayerGrades+'!$Y$27,"A+",IF(C633&lt;'PlayerGrades+'!$Y$26,"S-",IF(C633&lt;'PlayerGrades+'!$Y$25,"S","S+"))))))))))))))))))))</f>
        <v>D-</v>
      </c>
      <c r="C633" s="972">
        <f>('PlayerGrades+'!$Y$47*(VLOOKUP(E633, 'PlayerGrades+'!$X$3:$Y$23, 2, FALSE)))+('PlayerGrades+'!$Y$48*(VLOOKUP(G633, 'PlayerGrades+'!$X$3:$Y$23, 2, FALSE)))+('PlayerGrades+'!$Y$49*(VLOOKUP(I633, 'PlayerGrades+'!$X$3:$Y$23, 2, FALSE)))+('PlayerGrades+'!$Y$50*(VLOOKUP(K633, 'PlayerGrades+'!$X$3:$Y$23, 2, FALSE)))+('PlayerGrades+'!$Y$51*(VLOOKUP(M633, 'PlayerGrades+'!$X$3:$Y$23, 2, FALSE)))+('PlayerGrades+'!$Y$52*(VLOOKUP(O633, 'PlayerGrades+'!$X$3:$Y$23, 2, FALSE)))+('PlayerGrades+'!$Y$53*(VLOOKUP(Q633, 'PlayerGrades+'!$X$3:$Y$23, 2, FALSE)))+('PlayerGrades+'!$Y$54*(VLOOKUP(S633, 'PlayerGrades+'!$X$3:$Y$23, 2, FALSE)))+('PlayerGrades+'!$Y$55*(VLOOKUP(U633, 'PlayerGrades+'!$X$3:$Y$23, 2, FALSE)))</f>
        <v>15.15</v>
      </c>
      <c r="D633" s="973">
        <f t="shared" si="1"/>
        <v>0.078125</v>
      </c>
      <c r="E633" s="973" t="str">
        <f>IF(D633&lt;'PlayerGrades+'!$AA$21,"F-",IF(D633&lt;'PlayerGrades+'!$AA$20,"F",IF(D633&lt;'PlayerGrades+'!$AA$19,"F+",IF(D633&lt;'PlayerGrades+'!$AA$18,"E-",IF(D633&lt;'PlayerGrades+'!$AA$17,"E",IF(D633&lt;'PlayerGrades+'!$AA$16,"E+",IF(D633&lt;'PlayerGrades+'!$AA$15,"D-",IF(D633&lt;'PlayerGrades+'!$AA$14,"D",IF(D633&lt;'PlayerGrades+'!$AA$13,"D+",IF(D633&lt;'PlayerGrades+'!$AA$12,"C-",IF(D633&lt;'PlayerGrades+'!$AA$11,"C",IF(D633&lt;'PlayerGrades+'!$AA$10,"C+",IF(D633&lt;'PlayerGrades+'!$AA$9,"B-",IF(D633&lt;'PlayerGrades+'!$AA$8,"B",IF(D633&lt;'PlayerGrades+'!$AA$7,"B+",IF(D633&lt;'PlayerGrades+'!$AA$6,"A-",IF(D633&lt;'PlayerGrades+'!$AA$5,"A",IF(D633&lt;'PlayerGrades+'!$AA$4,"A+",IF(D633&lt;'PlayerGrades+'!$AA$3,"S-",IF(D633&lt;'PlayerGrades+'!$AA$2,"S","S+"))))))))))))))))))))</f>
        <v>B</v>
      </c>
      <c r="F633" s="973">
        <f t="shared" si="2"/>
        <v>-1.015625</v>
      </c>
      <c r="G633" s="973" t="str">
        <f>IF(F633&lt;'PlayerGrades+'!$AB$21,"F-",IF(F633&lt;'PlayerGrades+'!$AB$20,"F",IF(F633&lt;'PlayerGrades+'!$AB$19,"F+",IF(F633&lt;'PlayerGrades+'!$AB$18,"E-",IF(F633&lt;'PlayerGrades+'!$AB$17,"E",IF(F633&lt;'PlayerGrades+'!$AB$16,"E+",IF(F633&lt;'PlayerGrades+'!$AB$15,"D-",IF(F633&lt;'PlayerGrades+'!$AB$14,"D",IF(F633&lt;'PlayerGrades+'!$AB$13,"D+",IF(F633&lt;'PlayerGrades+'!$AB$12,"C-",IF(F633&lt;'PlayerGrades+'!$AB$11,"C",IF(F633&lt;'PlayerGrades+'!$AB$10,"C+",IF(F633&lt;'PlayerGrades+'!$AB$9,"B-",IF(F633&lt;'PlayerGrades+'!$AB$8,"B",IF(F633&lt;'PlayerGrades+'!$AB$7,"B+",IF(F633&lt;'PlayerGrades+'!$AB$6,"A-",IF(F633&lt;'PlayerGrades+'!$AB$5,"A",IF(F633&lt;'PlayerGrades+'!$AB$4,"A+",IF(F633&lt;'PlayerGrades+'!$AB$3,"S-",IF(F633&lt;'PlayerGrades+'!$AB$2,"S","S+"))))))))))))))))))))</f>
        <v>F</v>
      </c>
      <c r="H633" s="973">
        <f t="shared" si="3"/>
        <v>0.078125</v>
      </c>
      <c r="I633" s="973" t="str">
        <f>IF(H633&lt;'PlayerGrades+'!$AC$21,"F-",IF(H633&lt;'PlayerGrades+'!$AC$20,"F",IF(H633&lt;'PlayerGrades+'!$AC$19,"F+",IF(H633&lt;'PlayerGrades+'!$AC$18,"E-",IF(H633&lt;'PlayerGrades+'!$AC$17,"E",IF(H633&lt;'PlayerGrades+'!$AC$16,"E+",IF(H633&lt;'PlayerGrades+'!$AC$15,"D-",IF(H633&lt;'PlayerGrades+'!$AC$14,"D",IF(H633&lt;'PlayerGrades+'!$AC$13,"D+",IF(H633&lt;'PlayerGrades+'!$AC$12,"C-",IF(H633&lt;'PlayerGrades+'!$AC$11,"C",IF(H633&lt;'PlayerGrades+'!$AC$10,"C+",IF(H633&lt;'PlayerGrades+'!$AC$9,"B-",IF(H633&lt;'PlayerGrades+'!$AC$8,"B",IF(H633&lt;'PlayerGrades+'!$AC$7,"B+",IF(H633&lt;'PlayerGrades+'!$AC$6,"A-",IF(H633&lt;'PlayerGrades+'!$AC$5,"A",IF(H633&lt;'PlayerGrades+'!$AC$4,"A+",IF(H633&lt;'PlayerGrades+'!$AC$3,"S-",IF(H633&lt;'PlayerGrades+'!$AC$2,"S","S+"))))))))))))))))))))</f>
        <v>E+</v>
      </c>
      <c r="J633" s="973">
        <f t="shared" si="4"/>
        <v>0</v>
      </c>
      <c r="K633" s="973" t="str">
        <f>IF(J633&lt;'PlayerGrades+'!$AD$21,"F-",IF(J633&lt;'PlayerGrades+'!$AD$20,"F",IF(J633&lt;'PlayerGrades+'!$AD$19,"F+",IF(J633&lt;'PlayerGrades+'!$AD$18,"E-",IF(J633&lt;'PlayerGrades+'!$AD$17,"E",IF(J633&lt;'PlayerGrades+'!$AD$16,"E+",IF(J633&lt;'PlayerGrades+'!$AD$15,"D-",IF(J633&lt;'PlayerGrades+'!$AD$14,"D",IF(J633&lt;'PlayerGrades+'!$AD$13,"D+",IF(J633&lt;'PlayerGrades+'!$AD$12,"C-",IF(J633&lt;'PlayerGrades+'!$AD$11,"C",IF(J633&lt;'PlayerGrades+'!$AD$10,"C+",IF(J633&lt;'PlayerGrades+'!$AD$9,"B-",IF(J633&lt;'PlayerGrades+'!$AD$8,"B",IF(J633&lt;'PlayerGrades+'!$AD$7,"B+",IF(J633&lt;'PlayerGrades+'!$AD$6,"A-",IF(J633&lt;'PlayerGrades+'!$AD$5,"A",IF(J633&lt;'PlayerGrades+'!$AD$4,"A+",IF(J633&lt;'PlayerGrades+'!$AD$3,"S-",IF(J633&lt;'PlayerGrades+'!$AD$2,"S","S+"))))))))))))))))))))</f>
        <v>F-</v>
      </c>
      <c r="L633" s="974">
        <f t="shared" si="5"/>
        <v>0.703125</v>
      </c>
      <c r="M633" s="975" t="str">
        <f>IF(L633&lt;'PlayerGrades+'!$AE$21,"F-",IF(L633&lt;'PlayerGrades+'!$AE$20,"F",IF(L633&lt;'PlayerGrades+'!$AE$19,"F+",IF(L633&lt;'PlayerGrades+'!$AE$18,"E-",IF(L633&lt;'PlayerGrades+'!$AE$17,"E",IF(L633&lt;'PlayerGrades+'!$AE$16,"E+",IF(L633&lt;'PlayerGrades+'!$AE$15,"D-",IF(L633&lt;'PlayerGrades+'!$AE$14,"D",IF(L633&lt;'PlayerGrades+'!$AE$13,"D+",IF(L633&lt;'PlayerGrades+'!$AE$12,"C-",IF(L633&lt;'PlayerGrades+'!$AE$11,"C",IF(L633&lt;'PlayerGrades+'!$AE$10,"C+",IF(L633&lt;'PlayerGrades+'!$AE$9,"B-",IF(L633&lt;'PlayerGrades+'!$AE$8,"B",IF(L633&lt;'PlayerGrades+'!$AE$7,"B+",IF(L633&lt;'PlayerGrades+'!$AE$6,"A-",IF(L633&lt;'PlayerGrades+'!$AE$5,"A",IF(L633&lt;'PlayerGrades+'!$AE$4,"A+",IF(L633&lt;'PlayerGrades+'!$AE$3,"S-",IF(L633&lt;'PlayerGrades+'!$AE$2,"S","S+"))))))))))))))))))))</f>
        <v>S</v>
      </c>
      <c r="N633" s="973">
        <f t="shared" si="6"/>
        <v>0</v>
      </c>
      <c r="O633" s="973" t="str">
        <f>IF(N633&lt;'PlayerGrades+'!$AF$21,"F-",IF(N633&lt;'PlayerGrades+'!$AF$20,"F",IF(N633&lt;'PlayerGrades+'!$AF$19,"F+",IF(N633&lt;'PlayerGrades+'!$AF$18,"E-",IF(N633&lt;'PlayerGrades+'!$AF$17,"E",IF(N633&lt;'PlayerGrades+'!$AF$16,"E+",IF(N633&lt;'PlayerGrades+'!$AF$15,"D-",IF(N633&lt;'PlayerGrades+'!$AF$14,"D",IF(N633&lt;'PlayerGrades+'!$AF$13,"D+",IF(N633&lt;'PlayerGrades+'!$AF$12,"C-",IF(N633&lt;'PlayerGrades+'!$AF$11,"C",IF(N633&lt;'PlayerGrades+'!$AF$10,"C+",IF(N633&lt;'PlayerGrades+'!$AF$9,"B-",IF(N633&lt;'PlayerGrades+'!$AF$8,"B",IF(N633&lt;'PlayerGrades+'!$AF$7,"B+",IF(N633&lt;'PlayerGrades+'!$AF$6,"A-",IF(N633&lt;'PlayerGrades+'!$AF$5,"A",IF(N633&lt;'PlayerGrades+'!$AF$4,"A+",IF(N633&lt;'PlayerGrades+'!$AF$3,"S-",IF(N633&lt;'PlayerGrades+'!$AF$2,"S","S+"))))))))))))))))))))</f>
        <v>F-</v>
      </c>
      <c r="P633" s="973">
        <f t="shared" si="7"/>
        <v>0</v>
      </c>
      <c r="Q633" s="973" t="str">
        <f>IF(P633&lt;'PlayerGrades+'!$AG$21,"F-",IF(P633&lt;'PlayerGrades+'!$AG$20,"F",IF(P633&lt;'PlayerGrades+'!$AG$19,"F+",IF(P633&lt;'PlayerGrades+'!$AG$18,"E-",IF(P633&lt;'PlayerGrades+'!$AG$17,"E",IF(P633&lt;'PlayerGrades+'!$AG$16,"E+",IF(P633&lt;'PlayerGrades+'!$AG$15,"D-",IF(P633&lt;'PlayerGrades+'!$AG$14,"D",IF(P633&lt;'PlayerGrades+'!$AG$13,"D+",IF(P633&lt;'PlayerGrades+'!$AG$12,"C-",IF(P633&lt;'PlayerGrades+'!$AG$11,"C",IF(P633&lt;'PlayerGrades+'!$AG$10,"C+",IF(P633&lt;'PlayerGrades+'!$AG$9,"B-",IF(P633&lt;'PlayerGrades+'!$AG$8,"B",IF(P633&lt;'PlayerGrades+'!$AG$7,"B+",IF(P633&lt;'PlayerGrades+'!$AG$6,"A-",IF(P633&lt;'PlayerGrades+'!$AG$5,"A",IF(P633&lt;'PlayerGrades+'!$AG$4,"A+",IF(P633&lt;'PlayerGrades+'!$AG$3,"S-",IF(P633&lt;'PlayerGrades+'!$AG$2,"S","S+"))))))))))))))))))))</f>
        <v>F</v>
      </c>
      <c r="R633" s="973">
        <f t="shared" si="8"/>
        <v>0.625</v>
      </c>
      <c r="S633" s="973" t="str">
        <f>IF(R633&lt;'PlayerGrades+'!$AH$21,"F-",IF(R633&lt;'PlayerGrades+'!$AH$20,"F",IF(R633&lt;'PlayerGrades+'!$AH$19,"F+",IF(R633&lt;'PlayerGrades+'!$AH$18,"E-",IF(R633&lt;'PlayerGrades+'!$AH$17,"E",IF(R633&lt;'PlayerGrades+'!$AH$16,"E+",IF(R633&lt;'PlayerGrades+'!$AH$15,"D-",IF(R633&lt;'PlayerGrades+'!$AH$14,"D",IF(R633&lt;'PlayerGrades+'!$AH$13,"D+",IF(R633&lt;'PlayerGrades+'!$AH$12,"C-",IF(R633&lt;'PlayerGrades+'!$AH$11,"C",IF(R633&lt;'PlayerGrades+'!$AH$10,"C+",IF(R633&lt;'PlayerGrades+'!$AH$9,"B-",IF(R633&lt;'PlayerGrades+'!$AH$8,"B",IF(R633&lt;'PlayerGrades+'!$AH$7,"B+",IF(R633&lt;'PlayerGrades+'!$AH$6,"A-",IF(R633&lt;'PlayerGrades+'!$AH$5,"A",IF(R633&lt;'PlayerGrades+'!$AH$4,"A+",IF(R633&lt;'PlayerGrades+'!$AH$3,"S-",IF(R633&lt;'PlayerGrades+'!$AH$2,"S","S+"))))))))))))))))))))</f>
        <v>A</v>
      </c>
      <c r="T633" s="973">
        <f t="shared" si="9"/>
        <v>0.546875</v>
      </c>
      <c r="U633" s="973" t="str">
        <f>IF(T633&lt;'PlayerGrades+'!$AI$21,"F-",IF(T633&lt;'PlayerGrades+'!$AI$20,"F",IF(T633&lt;'PlayerGrades+'!$AI$19,"F+",IF(T633&lt;'PlayerGrades+'!$AI$18,"E-",IF(T633&lt;'PlayerGrades+'!$AI$17,"E",IF(T633&lt;'PlayerGrades+'!$AI$16,"E+",IF(T633&lt;'PlayerGrades+'!$AI$15,"D-",IF(T633&lt;'PlayerGrades+'!$AI$14,"D",IF(T633&lt;'PlayerGrades+'!$AI$13,"D+",IF(T633&lt;'PlayerGrades+'!$AI$12,"C-",IF(T633&lt;'PlayerGrades+'!$AI$11,"C",IF(T633&lt;'PlayerGrades+'!$AI$10,"C+",IF(T633&lt;'PlayerGrades+'!$AI$9,"B-",IF(T633&lt;'PlayerGrades+'!$AI$8,"B",IF(T633&lt;'PlayerGrades+'!$AI$7,"B+",IF(T633&lt;'PlayerGrades+'!$AI$6,"A-",IF(T633&lt;'PlayerGrades+'!$AI$5,"A",IF(T633&lt;'PlayerGrades+'!$AI$4,"A+",IF(T633&lt;'PlayerGrades+'!$AI$3,"S-",IF(T633&lt;'PlayerGrades+'!$AI$2,"S","S+"))))))))))))))))))))</f>
        <v>F-</v>
      </c>
      <c r="V633" s="882">
        <v>0.0</v>
      </c>
      <c r="W633" s="944">
        <v>0.0</v>
      </c>
      <c r="X633" s="882">
        <v>0.0</v>
      </c>
      <c r="Y633" s="944">
        <v>0.0</v>
      </c>
      <c r="Z633" s="944">
        <v>1.0</v>
      </c>
      <c r="AA633" s="944">
        <v>39.0</v>
      </c>
      <c r="AB633" s="944">
        <v>52.0</v>
      </c>
      <c r="AC633" s="944">
        <v>-13.0</v>
      </c>
      <c r="AD633" s="944">
        <v>1.0</v>
      </c>
      <c r="AE633" s="944">
        <v>4.0</v>
      </c>
      <c r="AF633" s="944">
        <v>0.0</v>
      </c>
      <c r="AG633" s="944">
        <v>559.0</v>
      </c>
      <c r="AH633" s="944">
        <v>768.0</v>
      </c>
      <c r="AI633" s="944">
        <v>10.0</v>
      </c>
      <c r="AJ633" s="944">
        <v>7.0</v>
      </c>
      <c r="AK633" s="944">
        <v>0.0</v>
      </c>
      <c r="AL633" s="944">
        <v>0.0</v>
      </c>
      <c r="AM633" s="944">
        <v>0.0</v>
      </c>
      <c r="AN633" s="944">
        <v>0.0</v>
      </c>
      <c r="AO633" s="944">
        <v>0.0</v>
      </c>
      <c r="AP633" s="944">
        <v>0.0</v>
      </c>
      <c r="AQ633" s="944">
        <v>0.0</v>
      </c>
      <c r="AR633" s="944">
        <v>9.0</v>
      </c>
      <c r="AS633" s="944">
        <v>0.0</v>
      </c>
      <c r="AT633" s="944">
        <v>0.0</v>
      </c>
      <c r="AU633" s="944">
        <v>0.0</v>
      </c>
      <c r="AV633" s="944">
        <v>0.0</v>
      </c>
      <c r="AW633" s="944">
        <v>0.0</v>
      </c>
      <c r="AX633" s="944">
        <v>0.0</v>
      </c>
      <c r="AY633" s="944">
        <v>0.0</v>
      </c>
      <c r="AZ633" s="944">
        <v>0.0</v>
      </c>
      <c r="BA633" s="944">
        <v>0.0</v>
      </c>
      <c r="BB633" s="944">
        <v>1.0</v>
      </c>
      <c r="BC633" s="944">
        <v>0.0</v>
      </c>
      <c r="BD633" s="944">
        <v>7.0</v>
      </c>
      <c r="BE633" s="944">
        <v>7.0</v>
      </c>
      <c r="BF633" s="944">
        <v>0.0</v>
      </c>
      <c r="BG633" s="945">
        <v>0.0</v>
      </c>
    </row>
    <row r="634">
      <c r="A634" s="946" t="s">
        <v>138</v>
      </c>
      <c r="B634" s="421" t="str">
        <f>IF(C634&lt;'PlayerGrades+'!$Y$44,"F-",IF(C634&lt;'PlayerGrades+'!$Y$43,"F",IF(C634&lt;'PlayerGrades+'!$Y$42,"F+",IF(C634&lt;'PlayerGrades+'!$Y$41,"E-",IF(C634&lt;'PlayerGrades+'!$Y$40,"E",IF(C634&lt;'PlayerGrades+'!$Y$39,"E+",IF(C634&lt;'PlayerGrades+'!$Y$38,"D-",IF(C634&lt;'PlayerGrades+'!$Y$37,"D",IF(C634&lt;'PlayerGrades+'!$Y$36,"D+",IF(C634&lt;'PlayerGrades+'!$Y$35,"C-",IF(C634&lt;'PlayerGrades+'!$Y$34,"C",IF(C634&lt;'PlayerGrades+'!$Y$33,"C+",IF(C634&lt;'PlayerGrades+'!$Y$32,"B-",IF(C634&lt;'PlayerGrades+'!$Y$31,"B",IF(C634&lt;'PlayerGrades+'!$Y$30,"B+",IF(C634&lt;'PlayerGrades+'!$Y$29,"A-",IF(C634&lt;'PlayerGrades+'!$Y$28,"A",IF(C634&lt;'PlayerGrades+'!$Y$27,"A+",IF(C634&lt;'PlayerGrades+'!$Y$26,"S-",IF(C634&lt;'PlayerGrades+'!$Y$25,"S","S+"))))))))))))))))))))</f>
        <v>A</v>
      </c>
      <c r="C634" s="972">
        <f>('PlayerGrades+'!$Y$47*(VLOOKUP(E634, 'PlayerGrades+'!$X$3:$Y$23, 2, FALSE)))+('PlayerGrades+'!$Y$48*(VLOOKUP(G634, 'PlayerGrades+'!$X$3:$Y$23, 2, FALSE)))+('PlayerGrades+'!$Y$49*(VLOOKUP(I634, 'PlayerGrades+'!$X$3:$Y$23, 2, FALSE)))+('PlayerGrades+'!$Y$50*(VLOOKUP(K634, 'PlayerGrades+'!$X$3:$Y$23, 2, FALSE)))+('PlayerGrades+'!$Y$51*(VLOOKUP(M634, 'PlayerGrades+'!$X$3:$Y$23, 2, FALSE)))+('PlayerGrades+'!$Y$52*(VLOOKUP(O634, 'PlayerGrades+'!$X$3:$Y$23, 2, FALSE)))+('PlayerGrades+'!$Y$53*(VLOOKUP(Q634, 'PlayerGrades+'!$X$3:$Y$23, 2, FALSE)))+('PlayerGrades+'!$Y$54*(VLOOKUP(S634, 'PlayerGrades+'!$X$3:$Y$23, 2, FALSE)))+('PlayerGrades+'!$Y$55*(VLOOKUP(U634, 'PlayerGrades+'!$X$3:$Y$23, 2, FALSE)))</f>
        <v>27.05</v>
      </c>
      <c r="D634" s="973">
        <f t="shared" si="1"/>
        <v>0.08948545861</v>
      </c>
      <c r="E634" s="973" t="str">
        <f>IF(D634&lt;'PlayerGrades+'!$AA$21,"F-",IF(D634&lt;'PlayerGrades+'!$AA$20,"F",IF(D634&lt;'PlayerGrades+'!$AA$19,"F+",IF(D634&lt;'PlayerGrades+'!$AA$18,"E-",IF(D634&lt;'PlayerGrades+'!$AA$17,"E",IF(D634&lt;'PlayerGrades+'!$AA$16,"E+",IF(D634&lt;'PlayerGrades+'!$AA$15,"D-",IF(D634&lt;'PlayerGrades+'!$AA$14,"D",IF(D634&lt;'PlayerGrades+'!$AA$13,"D+",IF(D634&lt;'PlayerGrades+'!$AA$12,"C-",IF(D634&lt;'PlayerGrades+'!$AA$11,"C",IF(D634&lt;'PlayerGrades+'!$AA$10,"C+",IF(D634&lt;'PlayerGrades+'!$AA$9,"B-",IF(D634&lt;'PlayerGrades+'!$AA$8,"B",IF(D634&lt;'PlayerGrades+'!$AA$7,"B+",IF(D634&lt;'PlayerGrades+'!$AA$6,"A-",IF(D634&lt;'PlayerGrades+'!$AA$5,"A",IF(D634&lt;'PlayerGrades+'!$AA$4,"A+",IF(D634&lt;'PlayerGrades+'!$AA$3,"S-",IF(D634&lt;'PlayerGrades+'!$AA$2,"S","S+"))))))))))))))))))))</f>
        <v>B</v>
      </c>
      <c r="F634" s="973">
        <f t="shared" si="2"/>
        <v>0.04474272931</v>
      </c>
      <c r="G634" s="973" t="str">
        <f>IF(F634&lt;'PlayerGrades+'!$AB$21,"F-",IF(F634&lt;'PlayerGrades+'!$AB$20,"F",IF(F634&lt;'PlayerGrades+'!$AB$19,"F+",IF(F634&lt;'PlayerGrades+'!$AB$18,"E-",IF(F634&lt;'PlayerGrades+'!$AB$17,"E",IF(F634&lt;'PlayerGrades+'!$AB$16,"E+",IF(F634&lt;'PlayerGrades+'!$AB$15,"D-",IF(F634&lt;'PlayerGrades+'!$AB$14,"D",IF(F634&lt;'PlayerGrades+'!$AB$13,"D+",IF(F634&lt;'PlayerGrades+'!$AB$12,"C-",IF(F634&lt;'PlayerGrades+'!$AB$11,"C",IF(F634&lt;'PlayerGrades+'!$AB$10,"C+",IF(F634&lt;'PlayerGrades+'!$AB$9,"B-",IF(F634&lt;'PlayerGrades+'!$AB$8,"B",IF(F634&lt;'PlayerGrades+'!$AB$7,"B+",IF(F634&lt;'PlayerGrades+'!$AB$6,"A-",IF(F634&lt;'PlayerGrades+'!$AB$5,"A",IF(F634&lt;'PlayerGrades+'!$AB$4,"A+",IF(F634&lt;'PlayerGrades+'!$AB$3,"S-",IF(F634&lt;'PlayerGrades+'!$AB$2,"S","S+"))))))))))))))))))))</f>
        <v>B</v>
      </c>
      <c r="H634" s="973">
        <f t="shared" si="3"/>
        <v>0.04474272931</v>
      </c>
      <c r="I634" s="973" t="str">
        <f>IF(H634&lt;'PlayerGrades+'!$AC$21,"F-",IF(H634&lt;'PlayerGrades+'!$AC$20,"F",IF(H634&lt;'PlayerGrades+'!$AC$19,"F+",IF(H634&lt;'PlayerGrades+'!$AC$18,"E-",IF(H634&lt;'PlayerGrades+'!$AC$17,"E",IF(H634&lt;'PlayerGrades+'!$AC$16,"E+",IF(H634&lt;'PlayerGrades+'!$AC$15,"D-",IF(H634&lt;'PlayerGrades+'!$AC$14,"D",IF(H634&lt;'PlayerGrades+'!$AC$13,"D+",IF(H634&lt;'PlayerGrades+'!$AC$12,"C-",IF(H634&lt;'PlayerGrades+'!$AC$11,"C",IF(H634&lt;'PlayerGrades+'!$AC$10,"C+",IF(H634&lt;'PlayerGrades+'!$AC$9,"B-",IF(H634&lt;'PlayerGrades+'!$AC$8,"B",IF(H634&lt;'PlayerGrades+'!$AC$7,"B+",IF(H634&lt;'PlayerGrades+'!$AC$6,"A-",IF(H634&lt;'PlayerGrades+'!$AC$5,"A",IF(H634&lt;'PlayerGrades+'!$AC$4,"A+",IF(H634&lt;'PlayerGrades+'!$AC$3,"S-",IF(H634&lt;'PlayerGrades+'!$AC$2,"S","S+"))))))))))))))))))))</f>
        <v>F</v>
      </c>
      <c r="J634" s="973">
        <f t="shared" si="4"/>
        <v>0.08948545861</v>
      </c>
      <c r="K634" s="973" t="str">
        <f>IF(J634&lt;'PlayerGrades+'!$AD$21,"F-",IF(J634&lt;'PlayerGrades+'!$AD$20,"F",IF(J634&lt;'PlayerGrades+'!$AD$19,"F+",IF(J634&lt;'PlayerGrades+'!$AD$18,"E-",IF(J634&lt;'PlayerGrades+'!$AD$17,"E",IF(J634&lt;'PlayerGrades+'!$AD$16,"E+",IF(J634&lt;'PlayerGrades+'!$AD$15,"D-",IF(J634&lt;'PlayerGrades+'!$AD$14,"D",IF(J634&lt;'PlayerGrades+'!$AD$13,"D+",IF(J634&lt;'PlayerGrades+'!$AD$12,"C-",IF(J634&lt;'PlayerGrades+'!$AD$11,"C",IF(J634&lt;'PlayerGrades+'!$AD$10,"C+",IF(J634&lt;'PlayerGrades+'!$AD$9,"B-",IF(J634&lt;'PlayerGrades+'!$AD$8,"B",IF(J634&lt;'PlayerGrades+'!$AD$7,"B+",IF(J634&lt;'PlayerGrades+'!$AD$6,"A-",IF(J634&lt;'PlayerGrades+'!$AD$5,"A",IF(J634&lt;'PlayerGrades+'!$AD$4,"A+",IF(J634&lt;'PlayerGrades+'!$AD$3,"S-",IF(J634&lt;'PlayerGrades+'!$AD$2,"S","S+"))))))))))))))))))))</f>
        <v>S-</v>
      </c>
      <c r="L634" s="974">
        <f t="shared" si="5"/>
        <v>0.6711409396</v>
      </c>
      <c r="M634" s="975" t="str">
        <f>IF(L634&lt;'PlayerGrades+'!$AE$21,"F-",IF(L634&lt;'PlayerGrades+'!$AE$20,"F",IF(L634&lt;'PlayerGrades+'!$AE$19,"F+",IF(L634&lt;'PlayerGrades+'!$AE$18,"E-",IF(L634&lt;'PlayerGrades+'!$AE$17,"E",IF(L634&lt;'PlayerGrades+'!$AE$16,"E+",IF(L634&lt;'PlayerGrades+'!$AE$15,"D-",IF(L634&lt;'PlayerGrades+'!$AE$14,"D",IF(L634&lt;'PlayerGrades+'!$AE$13,"D+",IF(L634&lt;'PlayerGrades+'!$AE$12,"C-",IF(L634&lt;'PlayerGrades+'!$AE$11,"C",IF(L634&lt;'PlayerGrades+'!$AE$10,"C+",IF(L634&lt;'PlayerGrades+'!$AE$9,"B-",IF(L634&lt;'PlayerGrades+'!$AE$8,"B",IF(L634&lt;'PlayerGrades+'!$AE$7,"B+",IF(L634&lt;'PlayerGrades+'!$AE$6,"A-",IF(L634&lt;'PlayerGrades+'!$AE$5,"A",IF(L634&lt;'PlayerGrades+'!$AE$4,"A+",IF(L634&lt;'PlayerGrades+'!$AE$3,"S-",IF(L634&lt;'PlayerGrades+'!$AE$2,"S","S+"))))))))))))))))))))</f>
        <v>S</v>
      </c>
      <c r="N634" s="973">
        <f t="shared" si="6"/>
        <v>0.2237136465</v>
      </c>
      <c r="O634" s="973" t="str">
        <f>IF(N634&lt;'PlayerGrades+'!$AF$21,"F-",IF(N634&lt;'PlayerGrades+'!$AF$20,"F",IF(N634&lt;'PlayerGrades+'!$AF$19,"F+",IF(N634&lt;'PlayerGrades+'!$AF$18,"E-",IF(N634&lt;'PlayerGrades+'!$AF$17,"E",IF(N634&lt;'PlayerGrades+'!$AF$16,"E+",IF(N634&lt;'PlayerGrades+'!$AF$15,"D-",IF(N634&lt;'PlayerGrades+'!$AF$14,"D",IF(N634&lt;'PlayerGrades+'!$AF$13,"D+",IF(N634&lt;'PlayerGrades+'!$AF$12,"C-",IF(N634&lt;'PlayerGrades+'!$AF$11,"C",IF(N634&lt;'PlayerGrades+'!$AF$10,"C+",IF(N634&lt;'PlayerGrades+'!$AF$9,"B-",IF(N634&lt;'PlayerGrades+'!$AF$8,"B",IF(N634&lt;'PlayerGrades+'!$AF$7,"B+",IF(N634&lt;'PlayerGrades+'!$AF$6,"A-",IF(N634&lt;'PlayerGrades+'!$AF$5,"A",IF(N634&lt;'PlayerGrades+'!$AF$4,"A+",IF(N634&lt;'PlayerGrades+'!$AF$3,"S-",IF(N634&lt;'PlayerGrades+'!$AF$2,"S","S+"))))))))))))))))))))</f>
        <v>S+</v>
      </c>
      <c r="P634" s="973">
        <f t="shared" si="7"/>
        <v>0.08948545861</v>
      </c>
      <c r="Q634" s="973" t="str">
        <f>IF(P634&lt;'PlayerGrades+'!$AG$21,"F-",IF(P634&lt;'PlayerGrades+'!$AG$20,"F",IF(P634&lt;'PlayerGrades+'!$AG$19,"F+",IF(P634&lt;'PlayerGrades+'!$AG$18,"E-",IF(P634&lt;'PlayerGrades+'!$AG$17,"E",IF(P634&lt;'PlayerGrades+'!$AG$16,"E+",IF(P634&lt;'PlayerGrades+'!$AG$15,"D-",IF(P634&lt;'PlayerGrades+'!$AG$14,"D",IF(P634&lt;'PlayerGrades+'!$AG$13,"D+",IF(P634&lt;'PlayerGrades+'!$AG$12,"C-",IF(P634&lt;'PlayerGrades+'!$AG$11,"C",IF(P634&lt;'PlayerGrades+'!$AG$10,"C+",IF(P634&lt;'PlayerGrades+'!$AG$9,"B-",IF(P634&lt;'PlayerGrades+'!$AG$8,"B",IF(P634&lt;'PlayerGrades+'!$AG$7,"B+",IF(P634&lt;'PlayerGrades+'!$AG$6,"A-",IF(P634&lt;'PlayerGrades+'!$AG$5,"A",IF(P634&lt;'PlayerGrades+'!$AG$4,"A+",IF(P634&lt;'PlayerGrades+'!$AG$3,"S-",IF(P634&lt;'PlayerGrades+'!$AG$2,"S","S+"))))))))))))))))))))</f>
        <v>S+</v>
      </c>
      <c r="R634" s="973">
        <f t="shared" si="8"/>
        <v>0.6263982103</v>
      </c>
      <c r="S634" s="973" t="str">
        <f>IF(R634&lt;'PlayerGrades+'!$AH$21,"F-",IF(R634&lt;'PlayerGrades+'!$AH$20,"F",IF(R634&lt;'PlayerGrades+'!$AH$19,"F+",IF(R634&lt;'PlayerGrades+'!$AH$18,"E-",IF(R634&lt;'PlayerGrades+'!$AH$17,"E",IF(R634&lt;'PlayerGrades+'!$AH$16,"E+",IF(R634&lt;'PlayerGrades+'!$AH$15,"D-",IF(R634&lt;'PlayerGrades+'!$AH$14,"D",IF(R634&lt;'PlayerGrades+'!$AH$13,"D+",IF(R634&lt;'PlayerGrades+'!$AH$12,"C-",IF(R634&lt;'PlayerGrades+'!$AH$11,"C",IF(R634&lt;'PlayerGrades+'!$AH$10,"C+",IF(R634&lt;'PlayerGrades+'!$AH$9,"B-",IF(R634&lt;'PlayerGrades+'!$AH$8,"B",IF(R634&lt;'PlayerGrades+'!$AH$7,"B+",IF(R634&lt;'PlayerGrades+'!$AH$6,"A-",IF(R634&lt;'PlayerGrades+'!$AH$5,"A",IF(R634&lt;'PlayerGrades+'!$AH$4,"A+",IF(R634&lt;'PlayerGrades+'!$AH$3,"S-",IF(R634&lt;'PlayerGrades+'!$AH$2,"S","S+"))))))))))))))))))))</f>
        <v>A</v>
      </c>
      <c r="T634" s="973">
        <f t="shared" si="9"/>
        <v>0.4474272931</v>
      </c>
      <c r="U634" s="973" t="str">
        <f>IF(T634&lt;'PlayerGrades+'!$AI$21,"F-",IF(T634&lt;'PlayerGrades+'!$AI$20,"F",IF(T634&lt;'PlayerGrades+'!$AI$19,"F+",IF(T634&lt;'PlayerGrades+'!$AI$18,"E-",IF(T634&lt;'PlayerGrades+'!$AI$17,"E",IF(T634&lt;'PlayerGrades+'!$AI$16,"E+",IF(T634&lt;'PlayerGrades+'!$AI$15,"D-",IF(T634&lt;'PlayerGrades+'!$AI$14,"D",IF(T634&lt;'PlayerGrades+'!$AI$13,"D+",IF(T634&lt;'PlayerGrades+'!$AI$12,"C-",IF(T634&lt;'PlayerGrades+'!$AI$11,"C",IF(T634&lt;'PlayerGrades+'!$AI$10,"C+",IF(T634&lt;'PlayerGrades+'!$AI$9,"B-",IF(T634&lt;'PlayerGrades+'!$AI$8,"B",IF(T634&lt;'PlayerGrades+'!$AI$7,"B+",IF(T634&lt;'PlayerGrades+'!$AI$6,"A-",IF(T634&lt;'PlayerGrades+'!$AI$5,"A",IF(T634&lt;'PlayerGrades+'!$AI$4,"A+",IF(T634&lt;'PlayerGrades+'!$AI$3,"S-",IF(T634&lt;'PlayerGrades+'!$AI$2,"S","S+"))))))))))))))))))))</f>
        <v>F-</v>
      </c>
      <c r="V634" s="939">
        <v>1.0</v>
      </c>
      <c r="W634" s="939">
        <v>1.0</v>
      </c>
      <c r="X634" s="939">
        <v>0.0</v>
      </c>
      <c r="Y634" s="939">
        <v>2.0</v>
      </c>
      <c r="Z634" s="939">
        <v>0.0</v>
      </c>
      <c r="AA634" s="939">
        <v>84.0</v>
      </c>
      <c r="AB634" s="939">
        <v>83.0</v>
      </c>
      <c r="AC634" s="939">
        <v>1.0</v>
      </c>
      <c r="AD634" s="939">
        <v>5.0</v>
      </c>
      <c r="AE634" s="939">
        <v>5.0</v>
      </c>
      <c r="AF634" s="939">
        <v>1.0</v>
      </c>
      <c r="AG634" s="939">
        <v>1018.0</v>
      </c>
      <c r="AH634" s="939">
        <v>1341.0</v>
      </c>
      <c r="AI634" s="939">
        <v>12.0</v>
      </c>
      <c r="AJ634" s="939">
        <v>35.0</v>
      </c>
      <c r="AK634" s="939">
        <v>0.0</v>
      </c>
      <c r="AL634" s="939">
        <v>2.0</v>
      </c>
      <c r="AM634" s="939">
        <v>0.0</v>
      </c>
      <c r="AN634" s="939">
        <v>0.0</v>
      </c>
      <c r="AO634" s="939">
        <v>0.0</v>
      </c>
      <c r="AP634" s="939">
        <v>2.0</v>
      </c>
      <c r="AQ634" s="939">
        <v>0.0</v>
      </c>
      <c r="AR634" s="939">
        <v>15.0</v>
      </c>
      <c r="AS634" s="939">
        <v>5.0</v>
      </c>
      <c r="AT634" s="939">
        <v>0.0</v>
      </c>
      <c r="AU634" s="939">
        <v>0.0</v>
      </c>
      <c r="AV634" s="939">
        <v>0.0</v>
      </c>
      <c r="AW634" s="939">
        <v>0.0</v>
      </c>
      <c r="AX634" s="939">
        <v>0.0</v>
      </c>
      <c r="AY634" s="939">
        <v>0.0</v>
      </c>
      <c r="AZ634" s="939">
        <v>0.0</v>
      </c>
      <c r="BA634" s="939">
        <v>0.0</v>
      </c>
      <c r="BB634" s="939">
        <v>1.0</v>
      </c>
      <c r="BC634" s="939">
        <v>0.0</v>
      </c>
      <c r="BD634" s="939">
        <v>9.0</v>
      </c>
      <c r="BE634" s="939">
        <v>10.0</v>
      </c>
      <c r="BF634" s="939">
        <v>0.0</v>
      </c>
      <c r="BG634" s="940">
        <v>1.0</v>
      </c>
    </row>
    <row r="635">
      <c r="A635" s="935" t="s">
        <v>149</v>
      </c>
      <c r="B635" s="421" t="str">
        <f>IF(C635&lt;'PlayerGrades+'!$Y$44,"F-",IF(C635&lt;'PlayerGrades+'!$Y$43,"F",IF(C635&lt;'PlayerGrades+'!$Y$42,"F+",IF(C635&lt;'PlayerGrades+'!$Y$41,"E-",IF(C635&lt;'PlayerGrades+'!$Y$40,"E",IF(C635&lt;'PlayerGrades+'!$Y$39,"E+",IF(C635&lt;'PlayerGrades+'!$Y$38,"D-",IF(C635&lt;'PlayerGrades+'!$Y$37,"D",IF(C635&lt;'PlayerGrades+'!$Y$36,"D+",IF(C635&lt;'PlayerGrades+'!$Y$35,"C-",IF(C635&lt;'PlayerGrades+'!$Y$34,"C",IF(C635&lt;'PlayerGrades+'!$Y$33,"C+",IF(C635&lt;'PlayerGrades+'!$Y$32,"B-",IF(C635&lt;'PlayerGrades+'!$Y$31,"B",IF(C635&lt;'PlayerGrades+'!$Y$30,"B+",IF(C635&lt;'PlayerGrades+'!$Y$29,"A-",IF(C635&lt;'PlayerGrades+'!$Y$28,"A",IF(C635&lt;'PlayerGrades+'!$Y$27,"A+",IF(C635&lt;'PlayerGrades+'!$Y$26,"S-",IF(C635&lt;'PlayerGrades+'!$Y$25,"S","S+"))))))))))))))))))))</f>
        <v>D</v>
      </c>
      <c r="C635" s="972">
        <f>('PlayerGrades+'!$Y$47*(VLOOKUP(E635, 'PlayerGrades+'!$X$3:$Y$23, 2, FALSE)))+('PlayerGrades+'!$Y$48*(VLOOKUP(G635, 'PlayerGrades+'!$X$3:$Y$23, 2, FALSE)))+('PlayerGrades+'!$Y$49*(VLOOKUP(I635, 'PlayerGrades+'!$X$3:$Y$23, 2, FALSE)))+('PlayerGrades+'!$Y$50*(VLOOKUP(K635, 'PlayerGrades+'!$X$3:$Y$23, 2, FALSE)))+('PlayerGrades+'!$Y$51*(VLOOKUP(M635, 'PlayerGrades+'!$X$3:$Y$23, 2, FALSE)))+('PlayerGrades+'!$Y$52*(VLOOKUP(O635, 'PlayerGrades+'!$X$3:$Y$23, 2, FALSE)))+('PlayerGrades+'!$Y$53*(VLOOKUP(Q635, 'PlayerGrades+'!$X$3:$Y$23, 2, FALSE)))+('PlayerGrades+'!$Y$54*(VLOOKUP(S635, 'PlayerGrades+'!$X$3:$Y$23, 2, FALSE)))+('PlayerGrades+'!$Y$55*(VLOOKUP(U635, 'PlayerGrades+'!$X$3:$Y$23, 2, FALSE)))</f>
        <v>16.45</v>
      </c>
      <c r="D635" s="973">
        <f t="shared" si="1"/>
        <v>0.3579418345</v>
      </c>
      <c r="E635" s="973" t="str">
        <f>IF(D635&lt;'PlayerGrades+'!$AA$21,"F-",IF(D635&lt;'PlayerGrades+'!$AA$20,"F",IF(D635&lt;'PlayerGrades+'!$AA$19,"F+",IF(D635&lt;'PlayerGrades+'!$AA$18,"E-",IF(D635&lt;'PlayerGrades+'!$AA$17,"E",IF(D635&lt;'PlayerGrades+'!$AA$16,"E+",IF(D635&lt;'PlayerGrades+'!$AA$15,"D-",IF(D635&lt;'PlayerGrades+'!$AA$14,"D",IF(D635&lt;'PlayerGrades+'!$AA$13,"D+",IF(D635&lt;'PlayerGrades+'!$AA$12,"C-",IF(D635&lt;'PlayerGrades+'!$AA$11,"C",IF(D635&lt;'PlayerGrades+'!$AA$10,"C+",IF(D635&lt;'PlayerGrades+'!$AA$9,"B-",IF(D635&lt;'PlayerGrades+'!$AA$8,"B",IF(D635&lt;'PlayerGrades+'!$AA$7,"B+",IF(D635&lt;'PlayerGrades+'!$AA$6,"A-",IF(D635&lt;'PlayerGrades+'!$AA$5,"A",IF(D635&lt;'PlayerGrades+'!$AA$4,"A+",IF(D635&lt;'PlayerGrades+'!$AA$3,"S-",IF(D635&lt;'PlayerGrades+'!$AA$2,"S","S+"))))))))))))))))))))</f>
        <v>A</v>
      </c>
      <c r="F635" s="973">
        <f t="shared" si="2"/>
        <v>0.04474272931</v>
      </c>
      <c r="G635" s="973" t="str">
        <f>IF(F635&lt;'PlayerGrades+'!$AB$21,"F-",IF(F635&lt;'PlayerGrades+'!$AB$20,"F",IF(F635&lt;'PlayerGrades+'!$AB$19,"F+",IF(F635&lt;'PlayerGrades+'!$AB$18,"E-",IF(F635&lt;'PlayerGrades+'!$AB$17,"E",IF(F635&lt;'PlayerGrades+'!$AB$16,"E+",IF(F635&lt;'PlayerGrades+'!$AB$15,"D-",IF(F635&lt;'PlayerGrades+'!$AB$14,"D",IF(F635&lt;'PlayerGrades+'!$AB$13,"D+",IF(F635&lt;'PlayerGrades+'!$AB$12,"C-",IF(F635&lt;'PlayerGrades+'!$AB$11,"C",IF(F635&lt;'PlayerGrades+'!$AB$10,"C+",IF(F635&lt;'PlayerGrades+'!$AB$9,"B-",IF(F635&lt;'PlayerGrades+'!$AB$8,"B",IF(F635&lt;'PlayerGrades+'!$AB$7,"B+",IF(F635&lt;'PlayerGrades+'!$AB$6,"A-",IF(F635&lt;'PlayerGrades+'!$AB$5,"A",IF(F635&lt;'PlayerGrades+'!$AB$4,"A+",IF(F635&lt;'PlayerGrades+'!$AB$3,"S-",IF(F635&lt;'PlayerGrades+'!$AB$2,"S","S+"))))))))))))))))))))</f>
        <v>B</v>
      </c>
      <c r="H635" s="973">
        <f t="shared" si="3"/>
        <v>0</v>
      </c>
      <c r="I635" s="973" t="str">
        <f>IF(H635&lt;'PlayerGrades+'!$AC$21,"F-",IF(H635&lt;'PlayerGrades+'!$AC$20,"F",IF(H635&lt;'PlayerGrades+'!$AC$19,"F+",IF(H635&lt;'PlayerGrades+'!$AC$18,"E-",IF(H635&lt;'PlayerGrades+'!$AC$17,"E",IF(H635&lt;'PlayerGrades+'!$AC$16,"E+",IF(H635&lt;'PlayerGrades+'!$AC$15,"D-",IF(H635&lt;'PlayerGrades+'!$AC$14,"D",IF(H635&lt;'PlayerGrades+'!$AC$13,"D+",IF(H635&lt;'PlayerGrades+'!$AC$12,"C-",IF(H635&lt;'PlayerGrades+'!$AC$11,"C",IF(H635&lt;'PlayerGrades+'!$AC$10,"C+",IF(H635&lt;'PlayerGrades+'!$AC$9,"B-",IF(H635&lt;'PlayerGrades+'!$AC$8,"B",IF(H635&lt;'PlayerGrades+'!$AC$7,"B+",IF(H635&lt;'PlayerGrades+'!$AC$6,"A-",IF(H635&lt;'PlayerGrades+'!$AC$5,"A",IF(H635&lt;'PlayerGrades+'!$AC$4,"A+",IF(H635&lt;'PlayerGrades+'!$AC$3,"S-",IF(H635&lt;'PlayerGrades+'!$AC$2,"S","S+"))))))))))))))))))))</f>
        <v>F-</v>
      </c>
      <c r="J635" s="973">
        <f t="shared" si="4"/>
        <v>0</v>
      </c>
      <c r="K635" s="973" t="str">
        <f>IF(J635&lt;'PlayerGrades+'!$AD$21,"F-",IF(J635&lt;'PlayerGrades+'!$AD$20,"F",IF(J635&lt;'PlayerGrades+'!$AD$19,"F+",IF(J635&lt;'PlayerGrades+'!$AD$18,"E-",IF(J635&lt;'PlayerGrades+'!$AD$17,"E",IF(J635&lt;'PlayerGrades+'!$AD$16,"E+",IF(J635&lt;'PlayerGrades+'!$AD$15,"D-",IF(J635&lt;'PlayerGrades+'!$AD$14,"D",IF(J635&lt;'PlayerGrades+'!$AD$13,"D+",IF(J635&lt;'PlayerGrades+'!$AD$12,"C-",IF(J635&lt;'PlayerGrades+'!$AD$11,"C",IF(J635&lt;'PlayerGrades+'!$AD$10,"C+",IF(J635&lt;'PlayerGrades+'!$AD$9,"B-",IF(J635&lt;'PlayerGrades+'!$AD$8,"B",IF(J635&lt;'PlayerGrades+'!$AD$7,"B+",IF(J635&lt;'PlayerGrades+'!$AD$6,"A-",IF(J635&lt;'PlayerGrades+'!$AD$5,"A",IF(J635&lt;'PlayerGrades+'!$AD$4,"A+",IF(J635&lt;'PlayerGrades+'!$AD$3,"S-",IF(J635&lt;'PlayerGrades+'!$AD$2,"S","S+"))))))))))))))))))))</f>
        <v>F-</v>
      </c>
      <c r="L635" s="974">
        <f t="shared" si="5"/>
        <v>0.1789709172</v>
      </c>
      <c r="M635" s="975" t="str">
        <f>IF(L635&lt;'PlayerGrades+'!$AE$21,"F-",IF(L635&lt;'PlayerGrades+'!$AE$20,"F",IF(L635&lt;'PlayerGrades+'!$AE$19,"F+",IF(L635&lt;'PlayerGrades+'!$AE$18,"E-",IF(L635&lt;'PlayerGrades+'!$AE$17,"E",IF(L635&lt;'PlayerGrades+'!$AE$16,"E+",IF(L635&lt;'PlayerGrades+'!$AE$15,"D-",IF(L635&lt;'PlayerGrades+'!$AE$14,"D",IF(L635&lt;'PlayerGrades+'!$AE$13,"D+",IF(L635&lt;'PlayerGrades+'!$AE$12,"C-",IF(L635&lt;'PlayerGrades+'!$AE$11,"C",IF(L635&lt;'PlayerGrades+'!$AE$10,"C+",IF(L635&lt;'PlayerGrades+'!$AE$9,"B-",IF(L635&lt;'PlayerGrades+'!$AE$8,"B",IF(L635&lt;'PlayerGrades+'!$AE$7,"B+",IF(L635&lt;'PlayerGrades+'!$AE$6,"A-",IF(L635&lt;'PlayerGrades+'!$AE$5,"A",IF(L635&lt;'PlayerGrades+'!$AE$4,"A+",IF(L635&lt;'PlayerGrades+'!$AE$3,"S-",IF(L635&lt;'PlayerGrades+'!$AE$2,"S","S+"))))))))))))))))))))</f>
        <v>F-</v>
      </c>
      <c r="N635" s="973">
        <f t="shared" si="6"/>
        <v>0.08948545861</v>
      </c>
      <c r="O635" s="973" t="str">
        <f>IF(N635&lt;'PlayerGrades+'!$AF$21,"F-",IF(N635&lt;'PlayerGrades+'!$AF$20,"F",IF(N635&lt;'PlayerGrades+'!$AF$19,"F+",IF(N635&lt;'PlayerGrades+'!$AF$18,"E-",IF(N635&lt;'PlayerGrades+'!$AF$17,"E",IF(N635&lt;'PlayerGrades+'!$AF$16,"E+",IF(N635&lt;'PlayerGrades+'!$AF$15,"D-",IF(N635&lt;'PlayerGrades+'!$AF$14,"D",IF(N635&lt;'PlayerGrades+'!$AF$13,"D+",IF(N635&lt;'PlayerGrades+'!$AF$12,"C-",IF(N635&lt;'PlayerGrades+'!$AF$11,"C",IF(N635&lt;'PlayerGrades+'!$AF$10,"C+",IF(N635&lt;'PlayerGrades+'!$AF$9,"B-",IF(N635&lt;'PlayerGrades+'!$AF$8,"B",IF(N635&lt;'PlayerGrades+'!$AF$7,"B+",IF(N635&lt;'PlayerGrades+'!$AF$6,"A-",IF(N635&lt;'PlayerGrades+'!$AF$5,"A",IF(N635&lt;'PlayerGrades+'!$AF$4,"A+",IF(N635&lt;'PlayerGrades+'!$AF$3,"S-",IF(N635&lt;'PlayerGrades+'!$AF$2,"S","S+"))))))))))))))))))))</f>
        <v>B+</v>
      </c>
      <c r="P635" s="973">
        <f t="shared" si="7"/>
        <v>0</v>
      </c>
      <c r="Q635" s="973" t="str">
        <f>IF(P635&lt;'PlayerGrades+'!$AG$21,"F-",IF(P635&lt;'PlayerGrades+'!$AG$20,"F",IF(P635&lt;'PlayerGrades+'!$AG$19,"F+",IF(P635&lt;'PlayerGrades+'!$AG$18,"E-",IF(P635&lt;'PlayerGrades+'!$AG$17,"E",IF(P635&lt;'PlayerGrades+'!$AG$16,"E+",IF(P635&lt;'PlayerGrades+'!$AG$15,"D-",IF(P635&lt;'PlayerGrades+'!$AG$14,"D",IF(P635&lt;'PlayerGrades+'!$AG$13,"D+",IF(P635&lt;'PlayerGrades+'!$AG$12,"C-",IF(P635&lt;'PlayerGrades+'!$AG$11,"C",IF(P635&lt;'PlayerGrades+'!$AG$10,"C+",IF(P635&lt;'PlayerGrades+'!$AG$9,"B-",IF(P635&lt;'PlayerGrades+'!$AG$8,"B",IF(P635&lt;'PlayerGrades+'!$AG$7,"B+",IF(P635&lt;'PlayerGrades+'!$AG$6,"A-",IF(P635&lt;'PlayerGrades+'!$AG$5,"A",IF(P635&lt;'PlayerGrades+'!$AG$4,"A+",IF(P635&lt;'PlayerGrades+'!$AG$3,"S-",IF(P635&lt;'PlayerGrades+'!$AG$2,"S","S+"))))))))))))))))))))</f>
        <v>F</v>
      </c>
      <c r="R635" s="973">
        <f t="shared" si="8"/>
        <v>0.4921700224</v>
      </c>
      <c r="S635" s="973" t="str">
        <f>IF(R635&lt;'PlayerGrades+'!$AH$21,"F-",IF(R635&lt;'PlayerGrades+'!$AH$20,"F",IF(R635&lt;'PlayerGrades+'!$AH$19,"F+",IF(R635&lt;'PlayerGrades+'!$AH$18,"E-",IF(R635&lt;'PlayerGrades+'!$AH$17,"E",IF(R635&lt;'PlayerGrades+'!$AH$16,"E+",IF(R635&lt;'PlayerGrades+'!$AH$15,"D-",IF(R635&lt;'PlayerGrades+'!$AH$14,"D",IF(R635&lt;'PlayerGrades+'!$AH$13,"D+",IF(R635&lt;'PlayerGrades+'!$AH$12,"C-",IF(R635&lt;'PlayerGrades+'!$AH$11,"C",IF(R635&lt;'PlayerGrades+'!$AH$10,"C+",IF(R635&lt;'PlayerGrades+'!$AH$9,"B-",IF(R635&lt;'PlayerGrades+'!$AH$8,"B",IF(R635&lt;'PlayerGrades+'!$AH$7,"B+",IF(R635&lt;'PlayerGrades+'!$AH$6,"A-",IF(R635&lt;'PlayerGrades+'!$AH$5,"A",IF(R635&lt;'PlayerGrades+'!$AH$4,"A+",IF(R635&lt;'PlayerGrades+'!$AH$3,"S-",IF(R635&lt;'PlayerGrades+'!$AH$2,"S","S+"))))))))))))))))))))</f>
        <v>D-</v>
      </c>
      <c r="T635" s="973">
        <f t="shared" si="9"/>
        <v>1.178970917</v>
      </c>
      <c r="U635" s="973" t="str">
        <f>IF(T635&lt;'PlayerGrades+'!$AI$21,"F-",IF(T635&lt;'PlayerGrades+'!$AI$20,"F",IF(T635&lt;'PlayerGrades+'!$AI$19,"F+",IF(T635&lt;'PlayerGrades+'!$AI$18,"E-",IF(T635&lt;'PlayerGrades+'!$AI$17,"E",IF(T635&lt;'PlayerGrades+'!$AI$16,"E+",IF(T635&lt;'PlayerGrades+'!$AI$15,"D-",IF(T635&lt;'PlayerGrades+'!$AI$14,"D",IF(T635&lt;'PlayerGrades+'!$AI$13,"D+",IF(T635&lt;'PlayerGrades+'!$AI$12,"C-",IF(T635&lt;'PlayerGrades+'!$AI$11,"C",IF(T635&lt;'PlayerGrades+'!$AI$10,"C+",IF(T635&lt;'PlayerGrades+'!$AI$9,"B-",IF(T635&lt;'PlayerGrades+'!$AI$8,"B",IF(T635&lt;'PlayerGrades+'!$AI$7,"B+",IF(T635&lt;'PlayerGrades+'!$AI$6,"A-",IF(T635&lt;'PlayerGrades+'!$AI$5,"A",IF(T635&lt;'PlayerGrades+'!$AI$4,"A+",IF(T635&lt;'PlayerGrades+'!$AI$3,"S-",IF(T635&lt;'PlayerGrades+'!$AI$2,"S","S+"))))))))))))))))))))</f>
        <v>D+</v>
      </c>
      <c r="V635" s="941">
        <v>1.0</v>
      </c>
      <c r="W635" s="941">
        <v>1.0</v>
      </c>
      <c r="X635" s="941">
        <v>0.0</v>
      </c>
      <c r="Y635" s="941">
        <v>1.0</v>
      </c>
      <c r="Z635" s="941">
        <v>7.0</v>
      </c>
      <c r="AA635" s="941">
        <v>44.0</v>
      </c>
      <c r="AB635" s="941">
        <v>43.0</v>
      </c>
      <c r="AC635" s="941">
        <v>1.0</v>
      </c>
      <c r="AD635" s="941">
        <v>2.0</v>
      </c>
      <c r="AE635" s="941">
        <v>4.0</v>
      </c>
      <c r="AF635" s="941">
        <v>0.0</v>
      </c>
      <c r="AG635" s="941">
        <v>1145.0</v>
      </c>
      <c r="AH635" s="941">
        <v>1341.0</v>
      </c>
      <c r="AI635" s="941">
        <v>26.0</v>
      </c>
      <c r="AJ635" s="941">
        <v>663.0</v>
      </c>
      <c r="AK635" s="941">
        <v>0.0</v>
      </c>
      <c r="AL635" s="941">
        <v>0.0</v>
      </c>
      <c r="AM635" s="941">
        <v>0.0</v>
      </c>
      <c r="AN635" s="941">
        <v>0.0</v>
      </c>
      <c r="AO635" s="941">
        <v>0.0</v>
      </c>
      <c r="AP635" s="941">
        <v>0.0</v>
      </c>
      <c r="AQ635" s="941">
        <v>0.0</v>
      </c>
      <c r="AR635" s="941">
        <v>4.0</v>
      </c>
      <c r="AS635" s="941">
        <v>2.0</v>
      </c>
      <c r="AT635" s="941">
        <v>0.0</v>
      </c>
      <c r="AU635" s="941">
        <v>0.0</v>
      </c>
      <c r="AV635" s="941">
        <v>0.0</v>
      </c>
      <c r="AW635" s="941">
        <v>0.0</v>
      </c>
      <c r="AX635" s="941">
        <v>0.0</v>
      </c>
      <c r="AY635" s="941">
        <v>0.0</v>
      </c>
      <c r="AZ635" s="941">
        <v>0.0</v>
      </c>
      <c r="BA635" s="941">
        <v>0.0</v>
      </c>
      <c r="BB635" s="941">
        <v>0.0</v>
      </c>
      <c r="BC635" s="941">
        <v>0.0</v>
      </c>
      <c r="BD635" s="941">
        <v>9.0</v>
      </c>
      <c r="BE635" s="941">
        <v>4.0</v>
      </c>
      <c r="BF635" s="941">
        <v>1.0</v>
      </c>
      <c r="BG635" s="942">
        <v>1.0</v>
      </c>
    </row>
    <row r="636">
      <c r="A636" s="935" t="s">
        <v>392</v>
      </c>
      <c r="B636" s="421" t="str">
        <f>IF(C636&lt;'PlayerGrades+'!$Y$44,"F-",IF(C636&lt;'PlayerGrades+'!$Y$43,"F",IF(C636&lt;'PlayerGrades+'!$Y$42,"F+",IF(C636&lt;'PlayerGrades+'!$Y$41,"E-",IF(C636&lt;'PlayerGrades+'!$Y$40,"E",IF(C636&lt;'PlayerGrades+'!$Y$39,"E+",IF(C636&lt;'PlayerGrades+'!$Y$38,"D-",IF(C636&lt;'PlayerGrades+'!$Y$37,"D",IF(C636&lt;'PlayerGrades+'!$Y$36,"D+",IF(C636&lt;'PlayerGrades+'!$Y$35,"C-",IF(C636&lt;'PlayerGrades+'!$Y$34,"C",IF(C636&lt;'PlayerGrades+'!$Y$33,"C+",IF(C636&lt;'PlayerGrades+'!$Y$32,"B-",IF(C636&lt;'PlayerGrades+'!$Y$31,"B",IF(C636&lt;'PlayerGrades+'!$Y$30,"B+",IF(C636&lt;'PlayerGrades+'!$Y$29,"A-",IF(C636&lt;'PlayerGrades+'!$Y$28,"A",IF(C636&lt;'PlayerGrades+'!$Y$27,"A+",IF(C636&lt;'PlayerGrades+'!$Y$26,"S-",IF(C636&lt;'PlayerGrades+'!$Y$25,"S","S+"))))))))))))))))))))</f>
        <v>D-</v>
      </c>
      <c r="C636" s="972">
        <f>('PlayerGrades+'!$Y$47*(VLOOKUP(E636, 'PlayerGrades+'!$X$3:$Y$23, 2, FALSE)))+('PlayerGrades+'!$Y$48*(VLOOKUP(G636, 'PlayerGrades+'!$X$3:$Y$23, 2, FALSE)))+('PlayerGrades+'!$Y$49*(VLOOKUP(I636, 'PlayerGrades+'!$X$3:$Y$23, 2, FALSE)))+('PlayerGrades+'!$Y$50*(VLOOKUP(K636, 'PlayerGrades+'!$X$3:$Y$23, 2, FALSE)))+('PlayerGrades+'!$Y$51*(VLOOKUP(M636, 'PlayerGrades+'!$X$3:$Y$23, 2, FALSE)))+('PlayerGrades+'!$Y$52*(VLOOKUP(O636, 'PlayerGrades+'!$X$3:$Y$23, 2, FALSE)))+('PlayerGrades+'!$Y$53*(VLOOKUP(Q636, 'PlayerGrades+'!$X$3:$Y$23, 2, FALSE)))+('PlayerGrades+'!$Y$54*(VLOOKUP(S636, 'PlayerGrades+'!$X$3:$Y$23, 2, FALSE)))+('PlayerGrades+'!$Y$55*(VLOOKUP(U636, 'PlayerGrades+'!$X$3:$Y$23, 2, FALSE)))</f>
        <v>15.15</v>
      </c>
      <c r="D636" s="973">
        <f t="shared" si="1"/>
        <v>0</v>
      </c>
      <c r="E636" s="973" t="str">
        <f>IF(D636&lt;'PlayerGrades+'!$AA$21,"F-",IF(D636&lt;'PlayerGrades+'!$AA$20,"F",IF(D636&lt;'PlayerGrades+'!$AA$19,"F+",IF(D636&lt;'PlayerGrades+'!$AA$18,"E-",IF(D636&lt;'PlayerGrades+'!$AA$17,"E",IF(D636&lt;'PlayerGrades+'!$AA$16,"E+",IF(D636&lt;'PlayerGrades+'!$AA$15,"D-",IF(D636&lt;'PlayerGrades+'!$AA$14,"D",IF(D636&lt;'PlayerGrades+'!$AA$13,"D+",IF(D636&lt;'PlayerGrades+'!$AA$12,"C-",IF(D636&lt;'PlayerGrades+'!$AA$11,"C",IF(D636&lt;'PlayerGrades+'!$AA$10,"C+",IF(D636&lt;'PlayerGrades+'!$AA$9,"B-",IF(D636&lt;'PlayerGrades+'!$AA$8,"B",IF(D636&lt;'PlayerGrades+'!$AA$7,"B+",IF(D636&lt;'PlayerGrades+'!$AA$6,"A-",IF(D636&lt;'PlayerGrades+'!$AA$5,"A",IF(D636&lt;'PlayerGrades+'!$AA$4,"A+",IF(D636&lt;'PlayerGrades+'!$AA$3,"S-",IF(D636&lt;'PlayerGrades+'!$AA$2,"S","S+"))))))))))))))))))))</f>
        <v>F-</v>
      </c>
      <c r="F636" s="973">
        <f t="shared" si="2"/>
        <v>-1.565995526</v>
      </c>
      <c r="G636" s="973" t="str">
        <f>IF(F636&lt;'PlayerGrades+'!$AB$21,"F-",IF(F636&lt;'PlayerGrades+'!$AB$20,"F",IF(F636&lt;'PlayerGrades+'!$AB$19,"F+",IF(F636&lt;'PlayerGrades+'!$AB$18,"E-",IF(F636&lt;'PlayerGrades+'!$AB$17,"E",IF(F636&lt;'PlayerGrades+'!$AB$16,"E+",IF(F636&lt;'PlayerGrades+'!$AB$15,"D-",IF(F636&lt;'PlayerGrades+'!$AB$14,"D",IF(F636&lt;'PlayerGrades+'!$AB$13,"D+",IF(F636&lt;'PlayerGrades+'!$AB$12,"C-",IF(F636&lt;'PlayerGrades+'!$AB$11,"C",IF(F636&lt;'PlayerGrades+'!$AB$10,"C+",IF(F636&lt;'PlayerGrades+'!$AB$9,"B-",IF(F636&lt;'PlayerGrades+'!$AB$8,"B",IF(F636&lt;'PlayerGrades+'!$AB$7,"B+",IF(F636&lt;'PlayerGrades+'!$AB$6,"A-",IF(F636&lt;'PlayerGrades+'!$AB$5,"A",IF(F636&lt;'PlayerGrades+'!$AB$4,"A+",IF(F636&lt;'PlayerGrades+'!$AB$3,"S-",IF(F636&lt;'PlayerGrades+'!$AB$2,"S","S+"))))))))))))))))))))</f>
        <v>F-</v>
      </c>
      <c r="H636" s="973">
        <f t="shared" si="3"/>
        <v>0</v>
      </c>
      <c r="I636" s="973" t="str">
        <f>IF(H636&lt;'PlayerGrades+'!$AC$21,"F-",IF(H636&lt;'PlayerGrades+'!$AC$20,"F",IF(H636&lt;'PlayerGrades+'!$AC$19,"F+",IF(H636&lt;'PlayerGrades+'!$AC$18,"E-",IF(H636&lt;'PlayerGrades+'!$AC$17,"E",IF(H636&lt;'PlayerGrades+'!$AC$16,"E+",IF(H636&lt;'PlayerGrades+'!$AC$15,"D-",IF(H636&lt;'PlayerGrades+'!$AC$14,"D",IF(H636&lt;'PlayerGrades+'!$AC$13,"D+",IF(H636&lt;'PlayerGrades+'!$AC$12,"C-",IF(H636&lt;'PlayerGrades+'!$AC$11,"C",IF(H636&lt;'PlayerGrades+'!$AC$10,"C+",IF(H636&lt;'PlayerGrades+'!$AC$9,"B-",IF(H636&lt;'PlayerGrades+'!$AC$8,"B",IF(H636&lt;'PlayerGrades+'!$AC$7,"B+",IF(H636&lt;'PlayerGrades+'!$AC$6,"A-",IF(H636&lt;'PlayerGrades+'!$AC$5,"A",IF(H636&lt;'PlayerGrades+'!$AC$4,"A+",IF(H636&lt;'PlayerGrades+'!$AC$3,"S-",IF(H636&lt;'PlayerGrades+'!$AC$2,"S","S+"))))))))))))))))))))</f>
        <v>F-</v>
      </c>
      <c r="J636" s="973">
        <f t="shared" si="4"/>
        <v>0.04474272931</v>
      </c>
      <c r="K636" s="973" t="str">
        <f>IF(J636&lt;'PlayerGrades+'!$AD$21,"F-",IF(J636&lt;'PlayerGrades+'!$AD$20,"F",IF(J636&lt;'PlayerGrades+'!$AD$19,"F+",IF(J636&lt;'PlayerGrades+'!$AD$18,"E-",IF(J636&lt;'PlayerGrades+'!$AD$17,"E",IF(J636&lt;'PlayerGrades+'!$AD$16,"E+",IF(J636&lt;'PlayerGrades+'!$AD$15,"D-",IF(J636&lt;'PlayerGrades+'!$AD$14,"D",IF(J636&lt;'PlayerGrades+'!$AD$13,"D+",IF(J636&lt;'PlayerGrades+'!$AD$12,"C-",IF(J636&lt;'PlayerGrades+'!$AD$11,"C",IF(J636&lt;'PlayerGrades+'!$AD$10,"C+",IF(J636&lt;'PlayerGrades+'!$AD$9,"B-",IF(J636&lt;'PlayerGrades+'!$AD$8,"B",IF(J636&lt;'PlayerGrades+'!$AD$7,"B+",IF(J636&lt;'PlayerGrades+'!$AD$6,"A-",IF(J636&lt;'PlayerGrades+'!$AD$5,"A",IF(J636&lt;'PlayerGrades+'!$AD$4,"A+",IF(J636&lt;'PlayerGrades+'!$AD$3,"S-",IF(J636&lt;'PlayerGrades+'!$AD$2,"S","S+"))))))))))))))))))))</f>
        <v>B-</v>
      </c>
      <c r="L636" s="974">
        <f t="shared" si="5"/>
        <v>0.4474272931</v>
      </c>
      <c r="M636" s="975" t="str">
        <f>IF(L636&lt;'PlayerGrades+'!$AE$21,"F-",IF(L636&lt;'PlayerGrades+'!$AE$20,"F",IF(L636&lt;'PlayerGrades+'!$AE$19,"F+",IF(L636&lt;'PlayerGrades+'!$AE$18,"E-",IF(L636&lt;'PlayerGrades+'!$AE$17,"E",IF(L636&lt;'PlayerGrades+'!$AE$16,"E+",IF(L636&lt;'PlayerGrades+'!$AE$15,"D-",IF(L636&lt;'PlayerGrades+'!$AE$14,"D",IF(L636&lt;'PlayerGrades+'!$AE$13,"D+",IF(L636&lt;'PlayerGrades+'!$AE$12,"C-",IF(L636&lt;'PlayerGrades+'!$AE$11,"C",IF(L636&lt;'PlayerGrades+'!$AE$10,"C+",IF(L636&lt;'PlayerGrades+'!$AE$9,"B-",IF(L636&lt;'PlayerGrades+'!$AE$8,"B",IF(L636&lt;'PlayerGrades+'!$AE$7,"B+",IF(L636&lt;'PlayerGrades+'!$AE$6,"A-",IF(L636&lt;'PlayerGrades+'!$AE$5,"A",IF(L636&lt;'PlayerGrades+'!$AE$4,"A+",IF(L636&lt;'PlayerGrades+'!$AE$3,"S-",IF(L636&lt;'PlayerGrades+'!$AE$2,"S","S+"))))))))))))))))))))</f>
        <v>B</v>
      </c>
      <c r="N636" s="973">
        <f t="shared" si="6"/>
        <v>0.08948545861</v>
      </c>
      <c r="O636" s="973" t="str">
        <f>IF(N636&lt;'PlayerGrades+'!$AF$21,"F-",IF(N636&lt;'PlayerGrades+'!$AF$20,"F",IF(N636&lt;'PlayerGrades+'!$AF$19,"F+",IF(N636&lt;'PlayerGrades+'!$AF$18,"E-",IF(N636&lt;'PlayerGrades+'!$AF$17,"E",IF(N636&lt;'PlayerGrades+'!$AF$16,"E+",IF(N636&lt;'PlayerGrades+'!$AF$15,"D-",IF(N636&lt;'PlayerGrades+'!$AF$14,"D",IF(N636&lt;'PlayerGrades+'!$AF$13,"D+",IF(N636&lt;'PlayerGrades+'!$AF$12,"C-",IF(N636&lt;'PlayerGrades+'!$AF$11,"C",IF(N636&lt;'PlayerGrades+'!$AF$10,"C+",IF(N636&lt;'PlayerGrades+'!$AF$9,"B-",IF(N636&lt;'PlayerGrades+'!$AF$8,"B",IF(N636&lt;'PlayerGrades+'!$AF$7,"B+",IF(N636&lt;'PlayerGrades+'!$AF$6,"A-",IF(N636&lt;'PlayerGrades+'!$AF$5,"A",IF(N636&lt;'PlayerGrades+'!$AF$4,"A+",IF(N636&lt;'PlayerGrades+'!$AF$3,"S-",IF(N636&lt;'PlayerGrades+'!$AF$2,"S","S+"))))))))))))))))))))</f>
        <v>B+</v>
      </c>
      <c r="P636" s="973">
        <f t="shared" si="7"/>
        <v>0.04474272931</v>
      </c>
      <c r="Q636" s="973" t="str">
        <f>IF(P636&lt;'PlayerGrades+'!$AG$21,"F-",IF(P636&lt;'PlayerGrades+'!$AG$20,"F",IF(P636&lt;'PlayerGrades+'!$AG$19,"F+",IF(P636&lt;'PlayerGrades+'!$AG$18,"E-",IF(P636&lt;'PlayerGrades+'!$AG$17,"E",IF(P636&lt;'PlayerGrades+'!$AG$16,"E+",IF(P636&lt;'PlayerGrades+'!$AG$15,"D-",IF(P636&lt;'PlayerGrades+'!$AG$14,"D",IF(P636&lt;'PlayerGrades+'!$AG$13,"D+",IF(P636&lt;'PlayerGrades+'!$AG$12,"C-",IF(P636&lt;'PlayerGrades+'!$AG$11,"C",IF(P636&lt;'PlayerGrades+'!$AG$10,"C+",IF(P636&lt;'PlayerGrades+'!$AG$9,"B-",IF(P636&lt;'PlayerGrades+'!$AG$8,"B",IF(P636&lt;'PlayerGrades+'!$AG$7,"B+",IF(P636&lt;'PlayerGrades+'!$AG$6,"A-",IF(P636&lt;'PlayerGrades+'!$AG$5,"A",IF(P636&lt;'PlayerGrades+'!$AG$4,"A+",IF(P636&lt;'PlayerGrades+'!$AG$3,"S-",IF(P636&lt;'PlayerGrades+'!$AG$2,"S","S+"))))))))))))))))))))</f>
        <v>A</v>
      </c>
      <c r="R636" s="973">
        <f t="shared" si="8"/>
        <v>0.4474272931</v>
      </c>
      <c r="S636" s="973" t="str">
        <f>IF(R636&lt;'PlayerGrades+'!$AH$21,"F-",IF(R636&lt;'PlayerGrades+'!$AH$20,"F",IF(R636&lt;'PlayerGrades+'!$AH$19,"F+",IF(R636&lt;'PlayerGrades+'!$AH$18,"E-",IF(R636&lt;'PlayerGrades+'!$AH$17,"E",IF(R636&lt;'PlayerGrades+'!$AH$16,"E+",IF(R636&lt;'PlayerGrades+'!$AH$15,"D-",IF(R636&lt;'PlayerGrades+'!$AH$14,"D",IF(R636&lt;'PlayerGrades+'!$AH$13,"D+",IF(R636&lt;'PlayerGrades+'!$AH$12,"C-",IF(R636&lt;'PlayerGrades+'!$AH$11,"C",IF(R636&lt;'PlayerGrades+'!$AH$10,"C+",IF(R636&lt;'PlayerGrades+'!$AH$9,"B-",IF(R636&lt;'PlayerGrades+'!$AH$8,"B",IF(R636&lt;'PlayerGrades+'!$AH$7,"B+",IF(R636&lt;'PlayerGrades+'!$AH$6,"A-",IF(R636&lt;'PlayerGrades+'!$AH$5,"A",IF(R636&lt;'PlayerGrades+'!$AH$4,"A+",IF(R636&lt;'PlayerGrades+'!$AH$3,"S-",IF(R636&lt;'PlayerGrades+'!$AH$2,"S","S+"))))))))))))))))))))</f>
        <v>E-</v>
      </c>
      <c r="T636" s="973">
        <f t="shared" si="9"/>
        <v>1.447427293</v>
      </c>
      <c r="U636" s="973" t="str">
        <f>IF(T636&lt;'PlayerGrades+'!$AI$21,"F-",IF(T636&lt;'PlayerGrades+'!$AI$20,"F",IF(T636&lt;'PlayerGrades+'!$AI$19,"F+",IF(T636&lt;'PlayerGrades+'!$AI$18,"E-",IF(T636&lt;'PlayerGrades+'!$AI$17,"E",IF(T636&lt;'PlayerGrades+'!$AI$16,"E+",IF(T636&lt;'PlayerGrades+'!$AI$15,"D-",IF(T636&lt;'PlayerGrades+'!$AI$14,"D",IF(T636&lt;'PlayerGrades+'!$AI$13,"D+",IF(T636&lt;'PlayerGrades+'!$AI$12,"C-",IF(T636&lt;'PlayerGrades+'!$AI$11,"C",IF(T636&lt;'PlayerGrades+'!$AI$10,"C+",IF(T636&lt;'PlayerGrades+'!$AI$9,"B-",IF(T636&lt;'PlayerGrades+'!$AI$8,"B",IF(T636&lt;'PlayerGrades+'!$AI$7,"B+",IF(T636&lt;'PlayerGrades+'!$AI$6,"A-",IF(T636&lt;'PlayerGrades+'!$AI$5,"A",IF(T636&lt;'PlayerGrades+'!$AI$4,"A+",IF(T636&lt;'PlayerGrades+'!$AI$3,"S-",IF(T636&lt;'PlayerGrades+'!$AI$2,"S","S+"))))))))))))))))))))</f>
        <v>B+</v>
      </c>
      <c r="V636" s="941">
        <v>1.0</v>
      </c>
      <c r="W636" s="941">
        <v>1.0</v>
      </c>
      <c r="X636" s="941">
        <v>0.0</v>
      </c>
      <c r="Y636" s="941">
        <v>0.0</v>
      </c>
      <c r="Z636" s="941">
        <v>0.0</v>
      </c>
      <c r="AA636" s="941">
        <v>68.0</v>
      </c>
      <c r="AB636" s="941">
        <v>103.0</v>
      </c>
      <c r="AC636" s="941">
        <v>-35.0</v>
      </c>
      <c r="AD636" s="941">
        <v>5.0</v>
      </c>
      <c r="AE636" s="941">
        <v>5.0</v>
      </c>
      <c r="AF636" s="941">
        <v>1.0</v>
      </c>
      <c r="AG636" s="941">
        <v>965.0</v>
      </c>
      <c r="AH636" s="941">
        <v>1341.0</v>
      </c>
      <c r="AI636" s="941">
        <v>9.0</v>
      </c>
      <c r="AJ636" s="941">
        <v>4.0</v>
      </c>
      <c r="AK636" s="941">
        <v>0.0</v>
      </c>
      <c r="AL636" s="941">
        <v>1.0</v>
      </c>
      <c r="AM636" s="941">
        <v>0.0</v>
      </c>
      <c r="AN636" s="941">
        <v>0.0</v>
      </c>
      <c r="AO636" s="941">
        <v>0.0</v>
      </c>
      <c r="AP636" s="941">
        <v>1.0</v>
      </c>
      <c r="AQ636" s="941">
        <v>0.0</v>
      </c>
      <c r="AR636" s="941">
        <v>10.0</v>
      </c>
      <c r="AS636" s="941">
        <v>2.0</v>
      </c>
      <c r="AT636" s="941">
        <v>0.0</v>
      </c>
      <c r="AU636" s="941">
        <v>0.0</v>
      </c>
      <c r="AV636" s="941">
        <v>0.0</v>
      </c>
      <c r="AW636" s="941">
        <v>0.0</v>
      </c>
      <c r="AX636" s="941">
        <v>0.0</v>
      </c>
      <c r="AY636" s="941">
        <v>0.0</v>
      </c>
      <c r="AZ636" s="941">
        <v>0.0</v>
      </c>
      <c r="BA636" s="941">
        <v>0.0</v>
      </c>
      <c r="BB636" s="941">
        <v>0.0</v>
      </c>
      <c r="BC636" s="941">
        <v>0.0</v>
      </c>
      <c r="BD636" s="941">
        <v>5.0</v>
      </c>
      <c r="BE636" s="941">
        <v>10.0</v>
      </c>
      <c r="BF636" s="941">
        <v>1.0</v>
      </c>
      <c r="BG636" s="942">
        <v>1.0</v>
      </c>
    </row>
    <row r="637">
      <c r="A637" s="935" t="s">
        <v>418</v>
      </c>
      <c r="B637" s="421" t="str">
        <f>IF(C637&lt;'PlayerGrades+'!$Y$44,"F-",IF(C637&lt;'PlayerGrades+'!$Y$43,"F",IF(C637&lt;'PlayerGrades+'!$Y$42,"F+",IF(C637&lt;'PlayerGrades+'!$Y$41,"E-",IF(C637&lt;'PlayerGrades+'!$Y$40,"E",IF(C637&lt;'PlayerGrades+'!$Y$39,"E+",IF(C637&lt;'PlayerGrades+'!$Y$38,"D-",IF(C637&lt;'PlayerGrades+'!$Y$37,"D",IF(C637&lt;'PlayerGrades+'!$Y$36,"D+",IF(C637&lt;'PlayerGrades+'!$Y$35,"C-",IF(C637&lt;'PlayerGrades+'!$Y$34,"C",IF(C637&lt;'PlayerGrades+'!$Y$33,"C+",IF(C637&lt;'PlayerGrades+'!$Y$32,"B-",IF(C637&lt;'PlayerGrades+'!$Y$31,"B",IF(C637&lt;'PlayerGrades+'!$Y$30,"B+",IF(C637&lt;'PlayerGrades+'!$Y$29,"A-",IF(C637&lt;'PlayerGrades+'!$Y$28,"A",IF(C637&lt;'PlayerGrades+'!$Y$27,"A+",IF(C637&lt;'PlayerGrades+'!$Y$26,"S-",IF(C637&lt;'PlayerGrades+'!$Y$25,"S","S+"))))))))))))))))))))</f>
        <v>B+</v>
      </c>
      <c r="C637" s="972">
        <f>('PlayerGrades+'!$Y$47*(VLOOKUP(E637, 'PlayerGrades+'!$X$3:$Y$23, 2, FALSE)))+('PlayerGrades+'!$Y$48*(VLOOKUP(G637, 'PlayerGrades+'!$X$3:$Y$23, 2, FALSE)))+('PlayerGrades+'!$Y$49*(VLOOKUP(I637, 'PlayerGrades+'!$X$3:$Y$23, 2, FALSE)))+('PlayerGrades+'!$Y$50*(VLOOKUP(K637, 'PlayerGrades+'!$X$3:$Y$23, 2, FALSE)))+('PlayerGrades+'!$Y$51*(VLOOKUP(M637, 'PlayerGrades+'!$X$3:$Y$23, 2, FALSE)))+('PlayerGrades+'!$Y$52*(VLOOKUP(O637, 'PlayerGrades+'!$X$3:$Y$23, 2, FALSE)))+('PlayerGrades+'!$Y$53*(VLOOKUP(Q637, 'PlayerGrades+'!$X$3:$Y$23, 2, FALSE)))+('PlayerGrades+'!$Y$54*(VLOOKUP(S637, 'PlayerGrades+'!$X$3:$Y$23, 2, FALSE)))+('PlayerGrades+'!$Y$55*(VLOOKUP(U637, 'PlayerGrades+'!$X$3:$Y$23, 2, FALSE)))</f>
        <v>23.9</v>
      </c>
      <c r="D637" s="973">
        <f t="shared" si="1"/>
        <v>0</v>
      </c>
      <c r="E637" s="973" t="str">
        <f>IF(D637&lt;'PlayerGrades+'!$AA$21,"F-",IF(D637&lt;'PlayerGrades+'!$AA$20,"F",IF(D637&lt;'PlayerGrades+'!$AA$19,"F+",IF(D637&lt;'PlayerGrades+'!$AA$18,"E-",IF(D637&lt;'PlayerGrades+'!$AA$17,"E",IF(D637&lt;'PlayerGrades+'!$AA$16,"E+",IF(D637&lt;'PlayerGrades+'!$AA$15,"D-",IF(D637&lt;'PlayerGrades+'!$AA$14,"D",IF(D637&lt;'PlayerGrades+'!$AA$13,"D+",IF(D637&lt;'PlayerGrades+'!$AA$12,"C-",IF(D637&lt;'PlayerGrades+'!$AA$11,"C",IF(D637&lt;'PlayerGrades+'!$AA$10,"C+",IF(D637&lt;'PlayerGrades+'!$AA$9,"B-",IF(D637&lt;'PlayerGrades+'!$AA$8,"B",IF(D637&lt;'PlayerGrades+'!$AA$7,"B+",IF(D637&lt;'PlayerGrades+'!$AA$6,"A-",IF(D637&lt;'PlayerGrades+'!$AA$5,"A",IF(D637&lt;'PlayerGrades+'!$AA$4,"A+",IF(D637&lt;'PlayerGrades+'!$AA$3,"S-",IF(D637&lt;'PlayerGrades+'!$AA$2,"S","S+"))))))))))))))))))))</f>
        <v>F-</v>
      </c>
      <c r="F637" s="973">
        <f t="shared" si="2"/>
        <v>0.6263982103</v>
      </c>
      <c r="G637" s="973" t="str">
        <f>IF(F637&lt;'PlayerGrades+'!$AB$21,"F-",IF(F637&lt;'PlayerGrades+'!$AB$20,"F",IF(F637&lt;'PlayerGrades+'!$AB$19,"F+",IF(F637&lt;'PlayerGrades+'!$AB$18,"E-",IF(F637&lt;'PlayerGrades+'!$AB$17,"E",IF(F637&lt;'PlayerGrades+'!$AB$16,"E+",IF(F637&lt;'PlayerGrades+'!$AB$15,"D-",IF(F637&lt;'PlayerGrades+'!$AB$14,"D",IF(F637&lt;'PlayerGrades+'!$AB$13,"D+",IF(F637&lt;'PlayerGrades+'!$AB$12,"C-",IF(F637&lt;'PlayerGrades+'!$AB$11,"C",IF(F637&lt;'PlayerGrades+'!$AB$10,"C+",IF(F637&lt;'PlayerGrades+'!$AB$9,"B-",IF(F637&lt;'PlayerGrades+'!$AB$8,"B",IF(F637&lt;'PlayerGrades+'!$AB$7,"B+",IF(F637&lt;'PlayerGrades+'!$AB$6,"A-",IF(F637&lt;'PlayerGrades+'!$AB$5,"A",IF(F637&lt;'PlayerGrades+'!$AB$4,"A+",IF(F637&lt;'PlayerGrades+'!$AB$3,"S-",IF(F637&lt;'PlayerGrades+'!$AB$2,"S","S+"))))))))))))))))))))</f>
        <v>S-</v>
      </c>
      <c r="H637" s="973">
        <f t="shared" si="3"/>
        <v>0.04474272931</v>
      </c>
      <c r="I637" s="973" t="str">
        <f>IF(H637&lt;'PlayerGrades+'!$AC$21,"F-",IF(H637&lt;'PlayerGrades+'!$AC$20,"F",IF(H637&lt;'PlayerGrades+'!$AC$19,"F+",IF(H637&lt;'PlayerGrades+'!$AC$18,"E-",IF(H637&lt;'PlayerGrades+'!$AC$17,"E",IF(H637&lt;'PlayerGrades+'!$AC$16,"E+",IF(H637&lt;'PlayerGrades+'!$AC$15,"D-",IF(H637&lt;'PlayerGrades+'!$AC$14,"D",IF(H637&lt;'PlayerGrades+'!$AC$13,"D+",IF(H637&lt;'PlayerGrades+'!$AC$12,"C-",IF(H637&lt;'PlayerGrades+'!$AC$11,"C",IF(H637&lt;'PlayerGrades+'!$AC$10,"C+",IF(H637&lt;'PlayerGrades+'!$AC$9,"B-",IF(H637&lt;'PlayerGrades+'!$AC$8,"B",IF(H637&lt;'PlayerGrades+'!$AC$7,"B+",IF(H637&lt;'PlayerGrades+'!$AC$6,"A-",IF(H637&lt;'PlayerGrades+'!$AC$5,"A",IF(H637&lt;'PlayerGrades+'!$AC$4,"A+",IF(H637&lt;'PlayerGrades+'!$AC$3,"S-",IF(H637&lt;'PlayerGrades+'!$AC$2,"S","S+"))))))))))))))))))))</f>
        <v>F</v>
      </c>
      <c r="J637" s="973">
        <f t="shared" si="4"/>
        <v>0.1342281879</v>
      </c>
      <c r="K637" s="973" t="str">
        <f>IF(J637&lt;'PlayerGrades+'!$AD$21,"F-",IF(J637&lt;'PlayerGrades+'!$AD$20,"F",IF(J637&lt;'PlayerGrades+'!$AD$19,"F+",IF(J637&lt;'PlayerGrades+'!$AD$18,"E-",IF(J637&lt;'PlayerGrades+'!$AD$17,"E",IF(J637&lt;'PlayerGrades+'!$AD$16,"E+",IF(J637&lt;'PlayerGrades+'!$AD$15,"D-",IF(J637&lt;'PlayerGrades+'!$AD$14,"D",IF(J637&lt;'PlayerGrades+'!$AD$13,"D+",IF(J637&lt;'PlayerGrades+'!$AD$12,"C-",IF(J637&lt;'PlayerGrades+'!$AD$11,"C",IF(J637&lt;'PlayerGrades+'!$AD$10,"C+",IF(J637&lt;'PlayerGrades+'!$AD$9,"B-",IF(J637&lt;'PlayerGrades+'!$AD$8,"B",IF(J637&lt;'PlayerGrades+'!$AD$7,"B+",IF(J637&lt;'PlayerGrades+'!$AD$6,"A-",IF(J637&lt;'PlayerGrades+'!$AD$5,"A",IF(J637&lt;'PlayerGrades+'!$AD$4,"A+",IF(J637&lt;'PlayerGrades+'!$AD$3,"S-",IF(J637&lt;'PlayerGrades+'!$AD$2,"S","S+"))))))))))))))))))))</f>
        <v>S+</v>
      </c>
      <c r="L637" s="974">
        <f t="shared" si="5"/>
        <v>0.7158836689</v>
      </c>
      <c r="M637" s="975" t="str">
        <f>IF(L637&lt;'PlayerGrades+'!$AE$21,"F-",IF(L637&lt;'PlayerGrades+'!$AE$20,"F",IF(L637&lt;'PlayerGrades+'!$AE$19,"F+",IF(L637&lt;'PlayerGrades+'!$AE$18,"E-",IF(L637&lt;'PlayerGrades+'!$AE$17,"E",IF(L637&lt;'PlayerGrades+'!$AE$16,"E+",IF(L637&lt;'PlayerGrades+'!$AE$15,"D-",IF(L637&lt;'PlayerGrades+'!$AE$14,"D",IF(L637&lt;'PlayerGrades+'!$AE$13,"D+",IF(L637&lt;'PlayerGrades+'!$AE$12,"C-",IF(L637&lt;'PlayerGrades+'!$AE$11,"C",IF(L637&lt;'PlayerGrades+'!$AE$10,"C+",IF(L637&lt;'PlayerGrades+'!$AE$9,"B-",IF(L637&lt;'PlayerGrades+'!$AE$8,"B",IF(L637&lt;'PlayerGrades+'!$AE$7,"B+",IF(L637&lt;'PlayerGrades+'!$AE$6,"A-",IF(L637&lt;'PlayerGrades+'!$AE$5,"A",IF(L637&lt;'PlayerGrades+'!$AE$4,"A+",IF(L637&lt;'PlayerGrades+'!$AE$3,"S-",IF(L637&lt;'PlayerGrades+'!$AE$2,"S","S+"))))))))))))))))))))</f>
        <v>S+</v>
      </c>
      <c r="N637" s="973">
        <f t="shared" si="6"/>
        <v>0.04474272931</v>
      </c>
      <c r="O637" s="973" t="str">
        <f>IF(N637&lt;'PlayerGrades+'!$AF$21,"F-",IF(N637&lt;'PlayerGrades+'!$AF$20,"F",IF(N637&lt;'PlayerGrades+'!$AF$19,"F+",IF(N637&lt;'PlayerGrades+'!$AF$18,"E-",IF(N637&lt;'PlayerGrades+'!$AF$17,"E",IF(N637&lt;'PlayerGrades+'!$AF$16,"E+",IF(N637&lt;'PlayerGrades+'!$AF$15,"D-",IF(N637&lt;'PlayerGrades+'!$AF$14,"D",IF(N637&lt;'PlayerGrades+'!$AF$13,"D+",IF(N637&lt;'PlayerGrades+'!$AF$12,"C-",IF(N637&lt;'PlayerGrades+'!$AF$11,"C",IF(N637&lt;'PlayerGrades+'!$AF$10,"C+",IF(N637&lt;'PlayerGrades+'!$AF$9,"B-",IF(N637&lt;'PlayerGrades+'!$AF$8,"B",IF(N637&lt;'PlayerGrades+'!$AF$7,"B+",IF(N637&lt;'PlayerGrades+'!$AF$6,"A-",IF(N637&lt;'PlayerGrades+'!$AF$5,"A",IF(N637&lt;'PlayerGrades+'!$AF$4,"A+",IF(N637&lt;'PlayerGrades+'!$AF$3,"S-",IF(N637&lt;'PlayerGrades+'!$AF$2,"S","S+"))))))))))))))))))))</f>
        <v>E+</v>
      </c>
      <c r="P637" s="973">
        <f t="shared" si="7"/>
        <v>0.08948545861</v>
      </c>
      <c r="Q637" s="973" t="str">
        <f>IF(P637&lt;'PlayerGrades+'!$AG$21,"F-",IF(P637&lt;'PlayerGrades+'!$AG$20,"F",IF(P637&lt;'PlayerGrades+'!$AG$19,"F+",IF(P637&lt;'PlayerGrades+'!$AG$18,"E-",IF(P637&lt;'PlayerGrades+'!$AG$17,"E",IF(P637&lt;'PlayerGrades+'!$AG$16,"E+",IF(P637&lt;'PlayerGrades+'!$AG$15,"D-",IF(P637&lt;'PlayerGrades+'!$AG$14,"D",IF(P637&lt;'PlayerGrades+'!$AG$13,"D+",IF(P637&lt;'PlayerGrades+'!$AG$12,"C-",IF(P637&lt;'PlayerGrades+'!$AG$11,"C",IF(P637&lt;'PlayerGrades+'!$AG$10,"C+",IF(P637&lt;'PlayerGrades+'!$AG$9,"B-",IF(P637&lt;'PlayerGrades+'!$AG$8,"B",IF(P637&lt;'PlayerGrades+'!$AG$7,"B+",IF(P637&lt;'PlayerGrades+'!$AG$6,"A-",IF(P637&lt;'PlayerGrades+'!$AG$5,"A",IF(P637&lt;'PlayerGrades+'!$AG$4,"A+",IF(P637&lt;'PlayerGrades+'!$AG$3,"S-",IF(P637&lt;'PlayerGrades+'!$AG$2,"S","S+"))))))))))))))))))))</f>
        <v>S+</v>
      </c>
      <c r="R637" s="973">
        <f t="shared" si="8"/>
        <v>0.8948545861</v>
      </c>
      <c r="S637" s="973" t="str">
        <f>IF(R637&lt;'PlayerGrades+'!$AH$21,"F-",IF(R637&lt;'PlayerGrades+'!$AH$20,"F",IF(R637&lt;'PlayerGrades+'!$AH$19,"F+",IF(R637&lt;'PlayerGrades+'!$AH$18,"E-",IF(R637&lt;'PlayerGrades+'!$AH$17,"E",IF(R637&lt;'PlayerGrades+'!$AH$16,"E+",IF(R637&lt;'PlayerGrades+'!$AH$15,"D-",IF(R637&lt;'PlayerGrades+'!$AH$14,"D",IF(R637&lt;'PlayerGrades+'!$AH$13,"D+",IF(R637&lt;'PlayerGrades+'!$AH$12,"C-",IF(R637&lt;'PlayerGrades+'!$AH$11,"C",IF(R637&lt;'PlayerGrades+'!$AH$10,"C+",IF(R637&lt;'PlayerGrades+'!$AH$9,"B-",IF(R637&lt;'PlayerGrades+'!$AH$8,"B",IF(R637&lt;'PlayerGrades+'!$AH$7,"B+",IF(R637&lt;'PlayerGrades+'!$AH$6,"A-",IF(R637&lt;'PlayerGrades+'!$AH$5,"A",IF(R637&lt;'PlayerGrades+'!$AH$4,"A+",IF(R637&lt;'PlayerGrades+'!$AH$3,"S-",IF(R637&lt;'PlayerGrades+'!$AH$2,"S","S+"))))))))))))))))))))</f>
        <v>S+</v>
      </c>
      <c r="T637" s="973">
        <f t="shared" si="9"/>
        <v>1.402684564</v>
      </c>
      <c r="U637" s="973" t="str">
        <f>IF(T637&lt;'PlayerGrades+'!$AI$21,"F-",IF(T637&lt;'PlayerGrades+'!$AI$20,"F",IF(T637&lt;'PlayerGrades+'!$AI$19,"F+",IF(T637&lt;'PlayerGrades+'!$AI$18,"E-",IF(T637&lt;'PlayerGrades+'!$AI$17,"E",IF(T637&lt;'PlayerGrades+'!$AI$16,"E+",IF(T637&lt;'PlayerGrades+'!$AI$15,"D-",IF(T637&lt;'PlayerGrades+'!$AI$14,"D",IF(T637&lt;'PlayerGrades+'!$AI$13,"D+",IF(T637&lt;'PlayerGrades+'!$AI$12,"C-",IF(T637&lt;'PlayerGrades+'!$AI$11,"C",IF(T637&lt;'PlayerGrades+'!$AI$10,"C+",IF(T637&lt;'PlayerGrades+'!$AI$9,"B-",IF(T637&lt;'PlayerGrades+'!$AI$8,"B",IF(T637&lt;'PlayerGrades+'!$AI$7,"B+",IF(T637&lt;'PlayerGrades+'!$AI$6,"A-",IF(T637&lt;'PlayerGrades+'!$AI$5,"A",IF(T637&lt;'PlayerGrades+'!$AI$4,"A+",IF(T637&lt;'PlayerGrades+'!$AI$3,"S-",IF(T637&lt;'PlayerGrades+'!$AI$2,"S","S+"))))))))))))))))))))</f>
        <v>B</v>
      </c>
      <c r="V637" s="941">
        <v>1.0</v>
      </c>
      <c r="W637" s="941">
        <v>1.0</v>
      </c>
      <c r="X637" s="941">
        <v>0.0</v>
      </c>
      <c r="Y637" s="941">
        <v>0.0</v>
      </c>
      <c r="Z637" s="941">
        <v>0.0</v>
      </c>
      <c r="AA637" s="941">
        <v>87.0</v>
      </c>
      <c r="AB637" s="941">
        <v>73.0</v>
      </c>
      <c r="AC637" s="941">
        <v>14.0</v>
      </c>
      <c r="AD637" s="941">
        <v>4.0</v>
      </c>
      <c r="AE637" s="941">
        <v>5.0</v>
      </c>
      <c r="AF637" s="941">
        <v>2.0</v>
      </c>
      <c r="AG637" s="941">
        <v>1053.0</v>
      </c>
      <c r="AH637" s="941">
        <v>1341.0</v>
      </c>
      <c r="AI637" s="941">
        <v>14.0</v>
      </c>
      <c r="AJ637" s="941">
        <v>16.0</v>
      </c>
      <c r="AK637" s="941">
        <v>0.0</v>
      </c>
      <c r="AL637" s="941">
        <v>3.0</v>
      </c>
      <c r="AM637" s="941">
        <v>0.0</v>
      </c>
      <c r="AN637" s="941">
        <v>0.0</v>
      </c>
      <c r="AO637" s="941">
        <v>0.0</v>
      </c>
      <c r="AP637" s="941">
        <v>2.0</v>
      </c>
      <c r="AQ637" s="941">
        <v>0.0</v>
      </c>
      <c r="AR637" s="941">
        <v>16.0</v>
      </c>
      <c r="AS637" s="941">
        <v>1.0</v>
      </c>
      <c r="AT637" s="941">
        <v>0.0</v>
      </c>
      <c r="AU637" s="941">
        <v>0.0</v>
      </c>
      <c r="AV637" s="941">
        <v>0.0</v>
      </c>
      <c r="AW637" s="941">
        <v>0.0</v>
      </c>
      <c r="AX637" s="941">
        <v>0.0</v>
      </c>
      <c r="AY637" s="941">
        <v>0.0</v>
      </c>
      <c r="AZ637" s="941">
        <v>0.0</v>
      </c>
      <c r="BA637" s="941">
        <v>0.0</v>
      </c>
      <c r="BB637" s="941">
        <v>1.0</v>
      </c>
      <c r="BC637" s="941">
        <v>0.0</v>
      </c>
      <c r="BD637" s="941">
        <v>16.0</v>
      </c>
      <c r="BE637" s="941">
        <v>9.0</v>
      </c>
      <c r="BF637" s="941">
        <v>1.0</v>
      </c>
      <c r="BG637" s="942">
        <v>1.0</v>
      </c>
    </row>
    <row r="638">
      <c r="A638" s="935" t="s">
        <v>114</v>
      </c>
      <c r="B638" s="421" t="str">
        <f>IF(C638&lt;'PlayerGrades+'!$Y$44,"F-",IF(C638&lt;'PlayerGrades+'!$Y$43,"F",IF(C638&lt;'PlayerGrades+'!$Y$42,"F+",IF(C638&lt;'PlayerGrades+'!$Y$41,"E-",IF(C638&lt;'PlayerGrades+'!$Y$40,"E",IF(C638&lt;'PlayerGrades+'!$Y$39,"E+",IF(C638&lt;'PlayerGrades+'!$Y$38,"D-",IF(C638&lt;'PlayerGrades+'!$Y$37,"D",IF(C638&lt;'PlayerGrades+'!$Y$36,"D+",IF(C638&lt;'PlayerGrades+'!$Y$35,"C-",IF(C638&lt;'PlayerGrades+'!$Y$34,"C",IF(C638&lt;'PlayerGrades+'!$Y$33,"C+",IF(C638&lt;'PlayerGrades+'!$Y$32,"B-",IF(C638&lt;'PlayerGrades+'!$Y$31,"B",IF(C638&lt;'PlayerGrades+'!$Y$30,"B+",IF(C638&lt;'PlayerGrades+'!$Y$29,"A-",IF(C638&lt;'PlayerGrades+'!$Y$28,"A",IF(C638&lt;'PlayerGrades+'!$Y$27,"A+",IF(C638&lt;'PlayerGrades+'!$Y$26,"S-",IF(C638&lt;'PlayerGrades+'!$Y$25,"S","S+"))))))))))))))))))))</f>
        <v>B+</v>
      </c>
      <c r="C638" s="972">
        <f>('PlayerGrades+'!$Y$47*(VLOOKUP(E638, 'PlayerGrades+'!$X$3:$Y$23, 2, FALSE)))+('PlayerGrades+'!$Y$48*(VLOOKUP(G638, 'PlayerGrades+'!$X$3:$Y$23, 2, FALSE)))+('PlayerGrades+'!$Y$49*(VLOOKUP(I638, 'PlayerGrades+'!$X$3:$Y$23, 2, FALSE)))+('PlayerGrades+'!$Y$50*(VLOOKUP(K638, 'PlayerGrades+'!$X$3:$Y$23, 2, FALSE)))+('PlayerGrades+'!$Y$51*(VLOOKUP(M638, 'PlayerGrades+'!$X$3:$Y$23, 2, FALSE)))+('PlayerGrades+'!$Y$52*(VLOOKUP(O638, 'PlayerGrades+'!$X$3:$Y$23, 2, FALSE)))+('PlayerGrades+'!$Y$53*(VLOOKUP(Q638, 'PlayerGrades+'!$X$3:$Y$23, 2, FALSE)))+('PlayerGrades+'!$Y$54*(VLOOKUP(S638, 'PlayerGrades+'!$X$3:$Y$23, 2, FALSE)))+('PlayerGrades+'!$Y$55*(VLOOKUP(U638, 'PlayerGrades+'!$X$3:$Y$23, 2, FALSE)))</f>
        <v>23.9</v>
      </c>
      <c r="D638" s="973">
        <f t="shared" si="1"/>
        <v>0.04474272931</v>
      </c>
      <c r="E638" s="973" t="str">
        <f>IF(D638&lt;'PlayerGrades+'!$AA$21,"F-",IF(D638&lt;'PlayerGrades+'!$AA$20,"F",IF(D638&lt;'PlayerGrades+'!$AA$19,"F+",IF(D638&lt;'PlayerGrades+'!$AA$18,"E-",IF(D638&lt;'PlayerGrades+'!$AA$17,"E",IF(D638&lt;'PlayerGrades+'!$AA$16,"E+",IF(D638&lt;'PlayerGrades+'!$AA$15,"D-",IF(D638&lt;'PlayerGrades+'!$AA$14,"D",IF(D638&lt;'PlayerGrades+'!$AA$13,"D+",IF(D638&lt;'PlayerGrades+'!$AA$12,"C-",IF(D638&lt;'PlayerGrades+'!$AA$11,"C",IF(D638&lt;'PlayerGrades+'!$AA$10,"C+",IF(D638&lt;'PlayerGrades+'!$AA$9,"B-",IF(D638&lt;'PlayerGrades+'!$AA$8,"B",IF(D638&lt;'PlayerGrades+'!$AA$7,"B+",IF(D638&lt;'PlayerGrades+'!$AA$6,"A-",IF(D638&lt;'PlayerGrades+'!$AA$5,"A",IF(D638&lt;'PlayerGrades+'!$AA$4,"A+",IF(D638&lt;'PlayerGrades+'!$AA$3,"S-",IF(D638&lt;'PlayerGrades+'!$AA$2,"S","S+"))))))))))))))))))))</f>
        <v>C+</v>
      </c>
      <c r="F638" s="973">
        <f t="shared" si="2"/>
        <v>-0.2684563758</v>
      </c>
      <c r="G638" s="973" t="str">
        <f>IF(F638&lt;'PlayerGrades+'!$AB$21,"F-",IF(F638&lt;'PlayerGrades+'!$AB$20,"F",IF(F638&lt;'PlayerGrades+'!$AB$19,"F+",IF(F638&lt;'PlayerGrades+'!$AB$18,"E-",IF(F638&lt;'PlayerGrades+'!$AB$17,"E",IF(F638&lt;'PlayerGrades+'!$AB$16,"E+",IF(F638&lt;'PlayerGrades+'!$AB$15,"D-",IF(F638&lt;'PlayerGrades+'!$AB$14,"D",IF(F638&lt;'PlayerGrades+'!$AB$13,"D+",IF(F638&lt;'PlayerGrades+'!$AB$12,"C-",IF(F638&lt;'PlayerGrades+'!$AB$11,"C",IF(F638&lt;'PlayerGrades+'!$AB$10,"C+",IF(F638&lt;'PlayerGrades+'!$AB$9,"B-",IF(F638&lt;'PlayerGrades+'!$AB$8,"B",IF(F638&lt;'PlayerGrades+'!$AB$7,"B+",IF(F638&lt;'PlayerGrades+'!$AB$6,"A-",IF(F638&lt;'PlayerGrades+'!$AB$5,"A",IF(F638&lt;'PlayerGrades+'!$AB$4,"A+",IF(F638&lt;'PlayerGrades+'!$AB$3,"S-",IF(F638&lt;'PlayerGrades+'!$AB$2,"S","S+"))))))))))))))))))))</f>
        <v>C</v>
      </c>
      <c r="H638" s="973">
        <f t="shared" si="3"/>
        <v>0.1342281879</v>
      </c>
      <c r="I638" s="973" t="str">
        <f>IF(H638&lt;'PlayerGrades+'!$AC$21,"F-",IF(H638&lt;'PlayerGrades+'!$AC$20,"F",IF(H638&lt;'PlayerGrades+'!$AC$19,"F+",IF(H638&lt;'PlayerGrades+'!$AC$18,"E-",IF(H638&lt;'PlayerGrades+'!$AC$17,"E",IF(H638&lt;'PlayerGrades+'!$AC$16,"E+",IF(H638&lt;'PlayerGrades+'!$AC$15,"D-",IF(H638&lt;'PlayerGrades+'!$AC$14,"D",IF(H638&lt;'PlayerGrades+'!$AC$13,"D+",IF(H638&lt;'PlayerGrades+'!$AC$12,"C-",IF(H638&lt;'PlayerGrades+'!$AC$11,"C",IF(H638&lt;'PlayerGrades+'!$AC$10,"C+",IF(H638&lt;'PlayerGrades+'!$AC$9,"B-",IF(H638&lt;'PlayerGrades+'!$AC$8,"B",IF(H638&lt;'PlayerGrades+'!$AC$7,"B+",IF(H638&lt;'PlayerGrades+'!$AC$6,"A-",IF(H638&lt;'PlayerGrades+'!$AC$5,"A",IF(H638&lt;'PlayerGrades+'!$AC$4,"A+",IF(H638&lt;'PlayerGrades+'!$AC$3,"S-",IF(H638&lt;'PlayerGrades+'!$AC$2,"S","S+"))))))))))))))))))))</f>
        <v>B+</v>
      </c>
      <c r="J638" s="973">
        <f t="shared" si="4"/>
        <v>0.04474272931</v>
      </c>
      <c r="K638" s="973" t="str">
        <f>IF(J638&lt;'PlayerGrades+'!$AD$21,"F-",IF(J638&lt;'PlayerGrades+'!$AD$20,"F",IF(J638&lt;'PlayerGrades+'!$AD$19,"F+",IF(J638&lt;'PlayerGrades+'!$AD$18,"E-",IF(J638&lt;'PlayerGrades+'!$AD$17,"E",IF(J638&lt;'PlayerGrades+'!$AD$16,"E+",IF(J638&lt;'PlayerGrades+'!$AD$15,"D-",IF(J638&lt;'PlayerGrades+'!$AD$14,"D",IF(J638&lt;'PlayerGrades+'!$AD$13,"D+",IF(J638&lt;'PlayerGrades+'!$AD$12,"C-",IF(J638&lt;'PlayerGrades+'!$AD$11,"C",IF(J638&lt;'PlayerGrades+'!$AD$10,"C+",IF(J638&lt;'PlayerGrades+'!$AD$9,"B-",IF(J638&lt;'PlayerGrades+'!$AD$8,"B",IF(J638&lt;'PlayerGrades+'!$AD$7,"B+",IF(J638&lt;'PlayerGrades+'!$AD$6,"A-",IF(J638&lt;'PlayerGrades+'!$AD$5,"A",IF(J638&lt;'PlayerGrades+'!$AD$4,"A+",IF(J638&lt;'PlayerGrades+'!$AD$3,"S-",IF(J638&lt;'PlayerGrades+'!$AD$2,"S","S+"))))))))))))))))))))</f>
        <v>B-</v>
      </c>
      <c r="L638" s="974">
        <f t="shared" si="5"/>
        <v>0.4474272931</v>
      </c>
      <c r="M638" s="975" t="str">
        <f>IF(L638&lt;'PlayerGrades+'!$AE$21,"F-",IF(L638&lt;'PlayerGrades+'!$AE$20,"F",IF(L638&lt;'PlayerGrades+'!$AE$19,"F+",IF(L638&lt;'PlayerGrades+'!$AE$18,"E-",IF(L638&lt;'PlayerGrades+'!$AE$17,"E",IF(L638&lt;'PlayerGrades+'!$AE$16,"E+",IF(L638&lt;'PlayerGrades+'!$AE$15,"D-",IF(L638&lt;'PlayerGrades+'!$AE$14,"D",IF(L638&lt;'PlayerGrades+'!$AE$13,"D+",IF(L638&lt;'PlayerGrades+'!$AE$12,"C-",IF(L638&lt;'PlayerGrades+'!$AE$11,"C",IF(L638&lt;'PlayerGrades+'!$AE$10,"C+",IF(L638&lt;'PlayerGrades+'!$AE$9,"B-",IF(L638&lt;'PlayerGrades+'!$AE$8,"B",IF(L638&lt;'PlayerGrades+'!$AE$7,"B+",IF(L638&lt;'PlayerGrades+'!$AE$6,"A-",IF(L638&lt;'PlayerGrades+'!$AE$5,"A",IF(L638&lt;'PlayerGrades+'!$AE$4,"A+",IF(L638&lt;'PlayerGrades+'!$AE$3,"S-",IF(L638&lt;'PlayerGrades+'!$AE$2,"S","S+"))))))))))))))))))))</f>
        <v>B</v>
      </c>
      <c r="N638" s="973">
        <f t="shared" si="6"/>
        <v>0.04474272931</v>
      </c>
      <c r="O638" s="973" t="str">
        <f>IF(N638&lt;'PlayerGrades+'!$AF$21,"F-",IF(N638&lt;'PlayerGrades+'!$AF$20,"F",IF(N638&lt;'PlayerGrades+'!$AF$19,"F+",IF(N638&lt;'PlayerGrades+'!$AF$18,"E-",IF(N638&lt;'PlayerGrades+'!$AF$17,"E",IF(N638&lt;'PlayerGrades+'!$AF$16,"E+",IF(N638&lt;'PlayerGrades+'!$AF$15,"D-",IF(N638&lt;'PlayerGrades+'!$AF$14,"D",IF(N638&lt;'PlayerGrades+'!$AF$13,"D+",IF(N638&lt;'PlayerGrades+'!$AF$12,"C-",IF(N638&lt;'PlayerGrades+'!$AF$11,"C",IF(N638&lt;'PlayerGrades+'!$AF$10,"C+",IF(N638&lt;'PlayerGrades+'!$AF$9,"B-",IF(N638&lt;'PlayerGrades+'!$AF$8,"B",IF(N638&lt;'PlayerGrades+'!$AF$7,"B+",IF(N638&lt;'PlayerGrades+'!$AF$6,"A-",IF(N638&lt;'PlayerGrades+'!$AF$5,"A",IF(N638&lt;'PlayerGrades+'!$AF$4,"A+",IF(N638&lt;'PlayerGrades+'!$AF$3,"S-",IF(N638&lt;'PlayerGrades+'!$AF$2,"S","S+"))))))))))))))))))))</f>
        <v>E+</v>
      </c>
      <c r="P638" s="973">
        <f t="shared" si="7"/>
        <v>0.04474272931</v>
      </c>
      <c r="Q638" s="973" t="str">
        <f>IF(P638&lt;'PlayerGrades+'!$AG$21,"F-",IF(P638&lt;'PlayerGrades+'!$AG$20,"F",IF(P638&lt;'PlayerGrades+'!$AG$19,"F+",IF(P638&lt;'PlayerGrades+'!$AG$18,"E-",IF(P638&lt;'PlayerGrades+'!$AG$17,"E",IF(P638&lt;'PlayerGrades+'!$AG$16,"E+",IF(P638&lt;'PlayerGrades+'!$AG$15,"D-",IF(P638&lt;'PlayerGrades+'!$AG$14,"D",IF(P638&lt;'PlayerGrades+'!$AG$13,"D+",IF(P638&lt;'PlayerGrades+'!$AG$12,"C-",IF(P638&lt;'PlayerGrades+'!$AG$11,"C",IF(P638&lt;'PlayerGrades+'!$AG$10,"C+",IF(P638&lt;'PlayerGrades+'!$AG$9,"B-",IF(P638&lt;'PlayerGrades+'!$AG$8,"B",IF(P638&lt;'PlayerGrades+'!$AG$7,"B+",IF(P638&lt;'PlayerGrades+'!$AG$6,"A-",IF(P638&lt;'PlayerGrades+'!$AG$5,"A",IF(P638&lt;'PlayerGrades+'!$AG$4,"A+",IF(P638&lt;'PlayerGrades+'!$AG$3,"S-",IF(P638&lt;'PlayerGrades+'!$AG$2,"S","S+"))))))))))))))))))))</f>
        <v>A</v>
      </c>
      <c r="R638" s="973">
        <f t="shared" si="8"/>
        <v>0.7606263982</v>
      </c>
      <c r="S638" s="973" t="str">
        <f>IF(R638&lt;'PlayerGrades+'!$AH$21,"F-",IF(R638&lt;'PlayerGrades+'!$AH$20,"F",IF(R638&lt;'PlayerGrades+'!$AH$19,"F+",IF(R638&lt;'PlayerGrades+'!$AH$18,"E-",IF(R638&lt;'PlayerGrades+'!$AH$17,"E",IF(R638&lt;'PlayerGrades+'!$AH$16,"E+",IF(R638&lt;'PlayerGrades+'!$AH$15,"D-",IF(R638&lt;'PlayerGrades+'!$AH$14,"D",IF(R638&lt;'PlayerGrades+'!$AH$13,"D+",IF(R638&lt;'PlayerGrades+'!$AH$12,"C-",IF(R638&lt;'PlayerGrades+'!$AH$11,"C",IF(R638&lt;'PlayerGrades+'!$AH$10,"C+",IF(R638&lt;'PlayerGrades+'!$AH$9,"B-",IF(R638&lt;'PlayerGrades+'!$AH$8,"B",IF(R638&lt;'PlayerGrades+'!$AH$7,"B+",IF(R638&lt;'PlayerGrades+'!$AH$6,"A-",IF(R638&lt;'PlayerGrades+'!$AH$5,"A",IF(R638&lt;'PlayerGrades+'!$AH$4,"A+",IF(R638&lt;'PlayerGrades+'!$AH$3,"S-",IF(R638&lt;'PlayerGrades+'!$AH$2,"S","S+"))))))))))))))))))))</f>
        <v>S+</v>
      </c>
      <c r="T638" s="973">
        <f t="shared" si="9"/>
        <v>1.313199105</v>
      </c>
      <c r="U638" s="973" t="str">
        <f>IF(T638&lt;'PlayerGrades+'!$AI$21,"F-",IF(T638&lt;'PlayerGrades+'!$AI$20,"F",IF(T638&lt;'PlayerGrades+'!$AI$19,"F+",IF(T638&lt;'PlayerGrades+'!$AI$18,"E-",IF(T638&lt;'PlayerGrades+'!$AI$17,"E",IF(T638&lt;'PlayerGrades+'!$AI$16,"E+",IF(T638&lt;'PlayerGrades+'!$AI$15,"D-",IF(T638&lt;'PlayerGrades+'!$AI$14,"D",IF(T638&lt;'PlayerGrades+'!$AI$13,"D+",IF(T638&lt;'PlayerGrades+'!$AI$12,"C-",IF(T638&lt;'PlayerGrades+'!$AI$11,"C",IF(T638&lt;'PlayerGrades+'!$AI$10,"C+",IF(T638&lt;'PlayerGrades+'!$AI$9,"B-",IF(T638&lt;'PlayerGrades+'!$AI$8,"B",IF(T638&lt;'PlayerGrades+'!$AI$7,"B+",IF(T638&lt;'PlayerGrades+'!$AI$6,"A-",IF(T638&lt;'PlayerGrades+'!$AI$5,"A",IF(T638&lt;'PlayerGrades+'!$AI$4,"A+",IF(T638&lt;'PlayerGrades+'!$AI$3,"S-",IF(T638&lt;'PlayerGrades+'!$AI$2,"S","S+"))))))))))))))))))))</f>
        <v>C+</v>
      </c>
      <c r="V638" s="941">
        <v>1.0</v>
      </c>
      <c r="W638" s="941">
        <v>0.0</v>
      </c>
      <c r="X638" s="941">
        <v>1.0</v>
      </c>
      <c r="Y638" s="941">
        <v>1.0</v>
      </c>
      <c r="Z638" s="941">
        <v>0.0</v>
      </c>
      <c r="AA638" s="941">
        <v>77.0</v>
      </c>
      <c r="AB638" s="941">
        <v>83.0</v>
      </c>
      <c r="AC638" s="941">
        <v>-6.0</v>
      </c>
      <c r="AD638" s="941">
        <v>5.0</v>
      </c>
      <c r="AE638" s="941">
        <v>6.0</v>
      </c>
      <c r="AF638" s="941">
        <v>0.0</v>
      </c>
      <c r="AG638" s="941">
        <v>1024.0</v>
      </c>
      <c r="AH638" s="941">
        <v>1341.0</v>
      </c>
      <c r="AI638" s="941">
        <v>12.0</v>
      </c>
      <c r="AJ638" s="941">
        <v>3.0</v>
      </c>
      <c r="AK638" s="941">
        <v>0.0</v>
      </c>
      <c r="AL638" s="941">
        <v>1.0</v>
      </c>
      <c r="AM638" s="941">
        <v>0.0</v>
      </c>
      <c r="AN638" s="941">
        <v>0.0</v>
      </c>
      <c r="AO638" s="941">
        <v>0.0</v>
      </c>
      <c r="AP638" s="941">
        <v>1.0</v>
      </c>
      <c r="AQ638" s="941">
        <v>0.0</v>
      </c>
      <c r="AR638" s="941">
        <v>10.0</v>
      </c>
      <c r="AS638" s="941">
        <v>1.0</v>
      </c>
      <c r="AT638" s="941">
        <v>0.0</v>
      </c>
      <c r="AU638" s="941">
        <v>0.0</v>
      </c>
      <c r="AV638" s="941">
        <v>0.0</v>
      </c>
      <c r="AW638" s="941">
        <v>0.0</v>
      </c>
      <c r="AX638" s="941">
        <v>0.0</v>
      </c>
      <c r="AY638" s="941">
        <v>0.0</v>
      </c>
      <c r="AZ638" s="941">
        <v>0.0</v>
      </c>
      <c r="BA638" s="941">
        <v>0.0</v>
      </c>
      <c r="BB638" s="941">
        <v>3.0</v>
      </c>
      <c r="BC638" s="941">
        <v>0.0</v>
      </c>
      <c r="BD638" s="941">
        <v>12.0</v>
      </c>
      <c r="BE638" s="941">
        <v>7.0</v>
      </c>
      <c r="BF638" s="941">
        <v>1.0</v>
      </c>
      <c r="BG638" s="942">
        <v>0.0</v>
      </c>
    </row>
    <row r="639">
      <c r="A639" s="935" t="s">
        <v>132</v>
      </c>
      <c r="B639" s="421" t="str">
        <f>IF(C639&lt;'PlayerGrades+'!$Y$44,"F-",IF(C639&lt;'PlayerGrades+'!$Y$43,"F",IF(C639&lt;'PlayerGrades+'!$Y$42,"F+",IF(C639&lt;'PlayerGrades+'!$Y$41,"E-",IF(C639&lt;'PlayerGrades+'!$Y$40,"E",IF(C639&lt;'PlayerGrades+'!$Y$39,"E+",IF(C639&lt;'PlayerGrades+'!$Y$38,"D-",IF(C639&lt;'PlayerGrades+'!$Y$37,"D",IF(C639&lt;'PlayerGrades+'!$Y$36,"D+",IF(C639&lt;'PlayerGrades+'!$Y$35,"C-",IF(C639&lt;'PlayerGrades+'!$Y$34,"C",IF(C639&lt;'PlayerGrades+'!$Y$33,"C+",IF(C639&lt;'PlayerGrades+'!$Y$32,"B-",IF(C639&lt;'PlayerGrades+'!$Y$31,"B",IF(C639&lt;'PlayerGrades+'!$Y$30,"B+",IF(C639&lt;'PlayerGrades+'!$Y$29,"A-",IF(C639&lt;'PlayerGrades+'!$Y$28,"A",IF(C639&lt;'PlayerGrades+'!$Y$27,"A+",IF(C639&lt;'PlayerGrades+'!$Y$26,"S-",IF(C639&lt;'PlayerGrades+'!$Y$25,"S","S+"))))))))))))))))))))</f>
        <v>C</v>
      </c>
      <c r="C639" s="972">
        <f>('PlayerGrades+'!$Y$47*(VLOOKUP(E639, 'PlayerGrades+'!$X$3:$Y$23, 2, FALSE)))+('PlayerGrades+'!$Y$48*(VLOOKUP(G639, 'PlayerGrades+'!$X$3:$Y$23, 2, FALSE)))+('PlayerGrades+'!$Y$49*(VLOOKUP(I639, 'PlayerGrades+'!$X$3:$Y$23, 2, FALSE)))+('PlayerGrades+'!$Y$50*(VLOOKUP(K639, 'PlayerGrades+'!$X$3:$Y$23, 2, FALSE)))+('PlayerGrades+'!$Y$51*(VLOOKUP(M639, 'PlayerGrades+'!$X$3:$Y$23, 2, FALSE)))+('PlayerGrades+'!$Y$52*(VLOOKUP(O639, 'PlayerGrades+'!$X$3:$Y$23, 2, FALSE)))+('PlayerGrades+'!$Y$53*(VLOOKUP(Q639, 'PlayerGrades+'!$X$3:$Y$23, 2, FALSE)))+('PlayerGrades+'!$Y$54*(VLOOKUP(S639, 'PlayerGrades+'!$X$3:$Y$23, 2, FALSE)))+('PlayerGrades+'!$Y$55*(VLOOKUP(U639, 'PlayerGrades+'!$X$3:$Y$23, 2, FALSE)))</f>
        <v>20.4</v>
      </c>
      <c r="D639" s="973">
        <f t="shared" si="1"/>
        <v>0.5369127517</v>
      </c>
      <c r="E639" s="973" t="str">
        <f>IF(D639&lt;'PlayerGrades+'!$AA$21,"F-",IF(D639&lt;'PlayerGrades+'!$AA$20,"F",IF(D639&lt;'PlayerGrades+'!$AA$19,"F+",IF(D639&lt;'PlayerGrades+'!$AA$18,"E-",IF(D639&lt;'PlayerGrades+'!$AA$17,"E",IF(D639&lt;'PlayerGrades+'!$AA$16,"E+",IF(D639&lt;'PlayerGrades+'!$AA$15,"D-",IF(D639&lt;'PlayerGrades+'!$AA$14,"D",IF(D639&lt;'PlayerGrades+'!$AA$13,"D+",IF(D639&lt;'PlayerGrades+'!$AA$12,"C-",IF(D639&lt;'PlayerGrades+'!$AA$11,"C",IF(D639&lt;'PlayerGrades+'!$AA$10,"C+",IF(D639&lt;'PlayerGrades+'!$AA$9,"B-",IF(D639&lt;'PlayerGrades+'!$AA$8,"B",IF(D639&lt;'PlayerGrades+'!$AA$7,"B+",IF(D639&lt;'PlayerGrades+'!$AA$6,"A-",IF(D639&lt;'PlayerGrades+'!$AA$5,"A",IF(D639&lt;'PlayerGrades+'!$AA$4,"A+",IF(D639&lt;'PlayerGrades+'!$AA$3,"S-",IF(D639&lt;'PlayerGrades+'!$AA$2,"S","S+"))))))))))))))))))))</f>
        <v>S-</v>
      </c>
      <c r="F639" s="973">
        <f t="shared" si="2"/>
        <v>0.2684563758</v>
      </c>
      <c r="G639" s="973" t="str">
        <f>IF(F639&lt;'PlayerGrades+'!$AB$21,"F-",IF(F639&lt;'PlayerGrades+'!$AB$20,"F",IF(F639&lt;'PlayerGrades+'!$AB$19,"F+",IF(F639&lt;'PlayerGrades+'!$AB$18,"E-",IF(F639&lt;'PlayerGrades+'!$AB$17,"E",IF(F639&lt;'PlayerGrades+'!$AB$16,"E+",IF(F639&lt;'PlayerGrades+'!$AB$15,"D-",IF(F639&lt;'PlayerGrades+'!$AB$14,"D",IF(F639&lt;'PlayerGrades+'!$AB$13,"D+",IF(F639&lt;'PlayerGrades+'!$AB$12,"C-",IF(F639&lt;'PlayerGrades+'!$AB$11,"C",IF(F639&lt;'PlayerGrades+'!$AB$10,"C+",IF(F639&lt;'PlayerGrades+'!$AB$9,"B-",IF(F639&lt;'PlayerGrades+'!$AB$8,"B",IF(F639&lt;'PlayerGrades+'!$AB$7,"B+",IF(F639&lt;'PlayerGrades+'!$AB$6,"A-",IF(F639&lt;'PlayerGrades+'!$AB$5,"A",IF(F639&lt;'PlayerGrades+'!$AB$4,"A+",IF(F639&lt;'PlayerGrades+'!$AB$3,"S-",IF(F639&lt;'PlayerGrades+'!$AB$2,"S","S+"))))))))))))))))))))</f>
        <v>B+</v>
      </c>
      <c r="H639" s="973">
        <f t="shared" si="3"/>
        <v>0</v>
      </c>
      <c r="I639" s="973" t="str">
        <f>IF(H639&lt;'PlayerGrades+'!$AC$21,"F-",IF(H639&lt;'PlayerGrades+'!$AC$20,"F",IF(H639&lt;'PlayerGrades+'!$AC$19,"F+",IF(H639&lt;'PlayerGrades+'!$AC$18,"E-",IF(H639&lt;'PlayerGrades+'!$AC$17,"E",IF(H639&lt;'PlayerGrades+'!$AC$16,"E+",IF(H639&lt;'PlayerGrades+'!$AC$15,"D-",IF(H639&lt;'PlayerGrades+'!$AC$14,"D",IF(H639&lt;'PlayerGrades+'!$AC$13,"D+",IF(H639&lt;'PlayerGrades+'!$AC$12,"C-",IF(H639&lt;'PlayerGrades+'!$AC$11,"C",IF(H639&lt;'PlayerGrades+'!$AC$10,"C+",IF(H639&lt;'PlayerGrades+'!$AC$9,"B-",IF(H639&lt;'PlayerGrades+'!$AC$8,"B",IF(H639&lt;'PlayerGrades+'!$AC$7,"B+",IF(H639&lt;'PlayerGrades+'!$AC$6,"A-",IF(H639&lt;'PlayerGrades+'!$AC$5,"A",IF(H639&lt;'PlayerGrades+'!$AC$4,"A+",IF(H639&lt;'PlayerGrades+'!$AC$3,"S-",IF(H639&lt;'PlayerGrades+'!$AC$2,"S","S+"))))))))))))))))))))</f>
        <v>F-</v>
      </c>
      <c r="J639" s="973">
        <f t="shared" si="4"/>
        <v>0.04474272931</v>
      </c>
      <c r="K639" s="973" t="str">
        <f>IF(J639&lt;'PlayerGrades+'!$AD$21,"F-",IF(J639&lt;'PlayerGrades+'!$AD$20,"F",IF(J639&lt;'PlayerGrades+'!$AD$19,"F+",IF(J639&lt;'PlayerGrades+'!$AD$18,"E-",IF(J639&lt;'PlayerGrades+'!$AD$17,"E",IF(J639&lt;'PlayerGrades+'!$AD$16,"E+",IF(J639&lt;'PlayerGrades+'!$AD$15,"D-",IF(J639&lt;'PlayerGrades+'!$AD$14,"D",IF(J639&lt;'PlayerGrades+'!$AD$13,"D+",IF(J639&lt;'PlayerGrades+'!$AD$12,"C-",IF(J639&lt;'PlayerGrades+'!$AD$11,"C",IF(J639&lt;'PlayerGrades+'!$AD$10,"C+",IF(J639&lt;'PlayerGrades+'!$AD$9,"B-",IF(J639&lt;'PlayerGrades+'!$AD$8,"B",IF(J639&lt;'PlayerGrades+'!$AD$7,"B+",IF(J639&lt;'PlayerGrades+'!$AD$6,"A-",IF(J639&lt;'PlayerGrades+'!$AD$5,"A",IF(J639&lt;'PlayerGrades+'!$AD$4,"A+",IF(J639&lt;'PlayerGrades+'!$AD$3,"S-",IF(J639&lt;'PlayerGrades+'!$AD$2,"S","S+"))))))))))))))))))))</f>
        <v>B-</v>
      </c>
      <c r="L639" s="974">
        <f t="shared" si="5"/>
        <v>0.4474272931</v>
      </c>
      <c r="M639" s="975" t="str">
        <f>IF(L639&lt;'PlayerGrades+'!$AE$21,"F-",IF(L639&lt;'PlayerGrades+'!$AE$20,"F",IF(L639&lt;'PlayerGrades+'!$AE$19,"F+",IF(L639&lt;'PlayerGrades+'!$AE$18,"E-",IF(L639&lt;'PlayerGrades+'!$AE$17,"E",IF(L639&lt;'PlayerGrades+'!$AE$16,"E+",IF(L639&lt;'PlayerGrades+'!$AE$15,"D-",IF(L639&lt;'PlayerGrades+'!$AE$14,"D",IF(L639&lt;'PlayerGrades+'!$AE$13,"D+",IF(L639&lt;'PlayerGrades+'!$AE$12,"C-",IF(L639&lt;'PlayerGrades+'!$AE$11,"C",IF(L639&lt;'PlayerGrades+'!$AE$10,"C+",IF(L639&lt;'PlayerGrades+'!$AE$9,"B-",IF(L639&lt;'PlayerGrades+'!$AE$8,"B",IF(L639&lt;'PlayerGrades+'!$AE$7,"B+",IF(L639&lt;'PlayerGrades+'!$AE$6,"A-",IF(L639&lt;'PlayerGrades+'!$AE$5,"A",IF(L639&lt;'PlayerGrades+'!$AE$4,"A+",IF(L639&lt;'PlayerGrades+'!$AE$3,"S-",IF(L639&lt;'PlayerGrades+'!$AE$2,"S","S+"))))))))))))))))))))</f>
        <v>B</v>
      </c>
      <c r="N639" s="973">
        <f t="shared" si="6"/>
        <v>0.04474272931</v>
      </c>
      <c r="O639" s="973" t="str">
        <f>IF(N639&lt;'PlayerGrades+'!$AF$21,"F-",IF(N639&lt;'PlayerGrades+'!$AF$20,"F",IF(N639&lt;'PlayerGrades+'!$AF$19,"F+",IF(N639&lt;'PlayerGrades+'!$AF$18,"E-",IF(N639&lt;'PlayerGrades+'!$AF$17,"E",IF(N639&lt;'PlayerGrades+'!$AF$16,"E+",IF(N639&lt;'PlayerGrades+'!$AF$15,"D-",IF(N639&lt;'PlayerGrades+'!$AF$14,"D",IF(N639&lt;'PlayerGrades+'!$AF$13,"D+",IF(N639&lt;'PlayerGrades+'!$AF$12,"C-",IF(N639&lt;'PlayerGrades+'!$AF$11,"C",IF(N639&lt;'PlayerGrades+'!$AF$10,"C+",IF(N639&lt;'PlayerGrades+'!$AF$9,"B-",IF(N639&lt;'PlayerGrades+'!$AF$8,"B",IF(N639&lt;'PlayerGrades+'!$AF$7,"B+",IF(N639&lt;'PlayerGrades+'!$AF$6,"A-",IF(N639&lt;'PlayerGrades+'!$AF$5,"A",IF(N639&lt;'PlayerGrades+'!$AF$4,"A+",IF(N639&lt;'PlayerGrades+'!$AF$3,"S-",IF(N639&lt;'PlayerGrades+'!$AF$2,"S","S+"))))))))))))))))))))</f>
        <v>E+</v>
      </c>
      <c r="P639" s="973">
        <f t="shared" si="7"/>
        <v>0</v>
      </c>
      <c r="Q639" s="973" t="str">
        <f>IF(P639&lt;'PlayerGrades+'!$AG$21,"F-",IF(P639&lt;'PlayerGrades+'!$AG$20,"F",IF(P639&lt;'PlayerGrades+'!$AG$19,"F+",IF(P639&lt;'PlayerGrades+'!$AG$18,"E-",IF(P639&lt;'PlayerGrades+'!$AG$17,"E",IF(P639&lt;'PlayerGrades+'!$AG$16,"E+",IF(P639&lt;'PlayerGrades+'!$AG$15,"D-",IF(P639&lt;'PlayerGrades+'!$AG$14,"D",IF(P639&lt;'PlayerGrades+'!$AG$13,"D+",IF(P639&lt;'PlayerGrades+'!$AG$12,"C-",IF(P639&lt;'PlayerGrades+'!$AG$11,"C",IF(P639&lt;'PlayerGrades+'!$AG$10,"C+",IF(P639&lt;'PlayerGrades+'!$AG$9,"B-",IF(P639&lt;'PlayerGrades+'!$AG$8,"B",IF(P639&lt;'PlayerGrades+'!$AG$7,"B+",IF(P639&lt;'PlayerGrades+'!$AG$6,"A-",IF(P639&lt;'PlayerGrades+'!$AG$5,"A",IF(P639&lt;'PlayerGrades+'!$AG$4,"A+",IF(P639&lt;'PlayerGrades+'!$AG$3,"S-",IF(P639&lt;'PlayerGrades+'!$AG$2,"S","S+"))))))))))))))))))))</f>
        <v>F</v>
      </c>
      <c r="R639" s="973">
        <f t="shared" si="8"/>
        <v>0.6711409396</v>
      </c>
      <c r="S639" s="973" t="str">
        <f>IF(R639&lt;'PlayerGrades+'!$AH$21,"F-",IF(R639&lt;'PlayerGrades+'!$AH$20,"F",IF(R639&lt;'PlayerGrades+'!$AH$19,"F+",IF(R639&lt;'PlayerGrades+'!$AH$18,"E-",IF(R639&lt;'PlayerGrades+'!$AH$17,"E",IF(R639&lt;'PlayerGrades+'!$AH$16,"E+",IF(R639&lt;'PlayerGrades+'!$AH$15,"D-",IF(R639&lt;'PlayerGrades+'!$AH$14,"D",IF(R639&lt;'PlayerGrades+'!$AH$13,"D+",IF(R639&lt;'PlayerGrades+'!$AH$12,"C-",IF(R639&lt;'PlayerGrades+'!$AH$11,"C",IF(R639&lt;'PlayerGrades+'!$AH$10,"C+",IF(R639&lt;'PlayerGrades+'!$AH$9,"B-",IF(R639&lt;'PlayerGrades+'!$AH$8,"B",IF(R639&lt;'PlayerGrades+'!$AH$7,"B+",IF(R639&lt;'PlayerGrades+'!$AH$6,"A-",IF(R639&lt;'PlayerGrades+'!$AH$5,"A",IF(R639&lt;'PlayerGrades+'!$AH$4,"A+",IF(R639&lt;'PlayerGrades+'!$AH$3,"S-",IF(R639&lt;'PlayerGrades+'!$AH$2,"S","S+"))))))))))))))))))))</f>
        <v>S-</v>
      </c>
      <c r="T639" s="973">
        <f t="shared" si="9"/>
        <v>0.2684563758</v>
      </c>
      <c r="U639" s="973" t="str">
        <f>IF(T639&lt;'PlayerGrades+'!$AI$21,"F-",IF(T639&lt;'PlayerGrades+'!$AI$20,"F",IF(T639&lt;'PlayerGrades+'!$AI$19,"F+",IF(T639&lt;'PlayerGrades+'!$AI$18,"E-",IF(T639&lt;'PlayerGrades+'!$AI$17,"E",IF(T639&lt;'PlayerGrades+'!$AI$16,"E+",IF(T639&lt;'PlayerGrades+'!$AI$15,"D-",IF(T639&lt;'PlayerGrades+'!$AI$14,"D",IF(T639&lt;'PlayerGrades+'!$AI$13,"D+",IF(T639&lt;'PlayerGrades+'!$AI$12,"C-",IF(T639&lt;'PlayerGrades+'!$AI$11,"C",IF(T639&lt;'PlayerGrades+'!$AI$10,"C+",IF(T639&lt;'PlayerGrades+'!$AI$9,"B-",IF(T639&lt;'PlayerGrades+'!$AI$8,"B",IF(T639&lt;'PlayerGrades+'!$AI$7,"B+",IF(T639&lt;'PlayerGrades+'!$AI$6,"A-",IF(T639&lt;'PlayerGrades+'!$AI$5,"A",IF(T639&lt;'PlayerGrades+'!$AI$4,"A+",IF(T639&lt;'PlayerGrades+'!$AI$3,"S-",IF(T639&lt;'PlayerGrades+'!$AI$2,"S","S+"))))))))))))))))))))</f>
        <v>F-</v>
      </c>
      <c r="V639" s="941">
        <v>1.0</v>
      </c>
      <c r="W639" s="941">
        <v>0.0</v>
      </c>
      <c r="X639" s="941">
        <v>1.0</v>
      </c>
      <c r="Y639" s="941">
        <v>1.0</v>
      </c>
      <c r="Z639" s="941">
        <v>11.0</v>
      </c>
      <c r="AA639" s="941">
        <v>64.0</v>
      </c>
      <c r="AB639" s="941">
        <v>58.0</v>
      </c>
      <c r="AC639" s="941">
        <v>6.0</v>
      </c>
      <c r="AD639" s="941">
        <v>3.0</v>
      </c>
      <c r="AE639" s="941">
        <v>5.0</v>
      </c>
      <c r="AF639" s="941">
        <v>1.0</v>
      </c>
      <c r="AG639" s="941">
        <v>1097.0</v>
      </c>
      <c r="AH639" s="941">
        <v>1341.0</v>
      </c>
      <c r="AI639" s="941">
        <v>18.0</v>
      </c>
      <c r="AJ639" s="941">
        <v>418.0</v>
      </c>
      <c r="AK639" s="941">
        <v>0.0</v>
      </c>
      <c r="AL639" s="941">
        <v>1.0</v>
      </c>
      <c r="AM639" s="941">
        <v>0.0</v>
      </c>
      <c r="AN639" s="941">
        <v>0.0</v>
      </c>
      <c r="AO639" s="941">
        <v>0.0</v>
      </c>
      <c r="AP639" s="941">
        <v>0.0</v>
      </c>
      <c r="AQ639" s="941">
        <v>0.0</v>
      </c>
      <c r="AR639" s="941">
        <v>10.0</v>
      </c>
      <c r="AS639" s="941">
        <v>1.0</v>
      </c>
      <c r="AT639" s="941">
        <v>0.0</v>
      </c>
      <c r="AU639" s="941">
        <v>0.0</v>
      </c>
      <c r="AV639" s="941">
        <v>0.0</v>
      </c>
      <c r="AW639" s="941">
        <v>0.0</v>
      </c>
      <c r="AX639" s="941">
        <v>0.0</v>
      </c>
      <c r="AY639" s="941">
        <v>0.0</v>
      </c>
      <c r="AZ639" s="941">
        <v>0.0</v>
      </c>
      <c r="BA639" s="941">
        <v>0.0</v>
      </c>
      <c r="BB639" s="941">
        <v>0.0</v>
      </c>
      <c r="BC639" s="941">
        <v>0.0</v>
      </c>
      <c r="BD639" s="941">
        <v>12.0</v>
      </c>
      <c r="BE639" s="941">
        <v>6.0</v>
      </c>
      <c r="BF639" s="941">
        <v>0.0</v>
      </c>
      <c r="BG639" s="942">
        <v>0.0</v>
      </c>
    </row>
    <row r="640">
      <c r="A640" s="935" t="s">
        <v>147</v>
      </c>
      <c r="B640" s="421" t="str">
        <f>IF(C640&lt;'PlayerGrades+'!$Y$44,"F-",IF(C640&lt;'PlayerGrades+'!$Y$43,"F",IF(C640&lt;'PlayerGrades+'!$Y$42,"F+",IF(C640&lt;'PlayerGrades+'!$Y$41,"E-",IF(C640&lt;'PlayerGrades+'!$Y$40,"E",IF(C640&lt;'PlayerGrades+'!$Y$39,"E+",IF(C640&lt;'PlayerGrades+'!$Y$38,"D-",IF(C640&lt;'PlayerGrades+'!$Y$37,"D",IF(C640&lt;'PlayerGrades+'!$Y$36,"D+",IF(C640&lt;'PlayerGrades+'!$Y$35,"C-",IF(C640&lt;'PlayerGrades+'!$Y$34,"C",IF(C640&lt;'PlayerGrades+'!$Y$33,"C+",IF(C640&lt;'PlayerGrades+'!$Y$32,"B-",IF(C640&lt;'PlayerGrades+'!$Y$31,"B",IF(C640&lt;'PlayerGrades+'!$Y$30,"B+",IF(C640&lt;'PlayerGrades+'!$Y$29,"A-",IF(C640&lt;'PlayerGrades+'!$Y$28,"A",IF(C640&lt;'PlayerGrades+'!$Y$27,"A+",IF(C640&lt;'PlayerGrades+'!$Y$26,"S-",IF(C640&lt;'PlayerGrades+'!$Y$25,"S","S+"))))))))))))))))))))</f>
        <v>D+</v>
      </c>
      <c r="C640" s="972">
        <f>('PlayerGrades+'!$Y$47*(VLOOKUP(E640, 'PlayerGrades+'!$X$3:$Y$23, 2, FALSE)))+('PlayerGrades+'!$Y$48*(VLOOKUP(G640, 'PlayerGrades+'!$X$3:$Y$23, 2, FALSE)))+('PlayerGrades+'!$Y$49*(VLOOKUP(I640, 'PlayerGrades+'!$X$3:$Y$23, 2, FALSE)))+('PlayerGrades+'!$Y$50*(VLOOKUP(K640, 'PlayerGrades+'!$X$3:$Y$23, 2, FALSE)))+('PlayerGrades+'!$Y$51*(VLOOKUP(M640, 'PlayerGrades+'!$X$3:$Y$23, 2, FALSE)))+('PlayerGrades+'!$Y$52*(VLOOKUP(O640, 'PlayerGrades+'!$X$3:$Y$23, 2, FALSE)))+('PlayerGrades+'!$Y$53*(VLOOKUP(Q640, 'PlayerGrades+'!$X$3:$Y$23, 2, FALSE)))+('PlayerGrades+'!$Y$54*(VLOOKUP(S640, 'PlayerGrades+'!$X$3:$Y$23, 2, FALSE)))+('PlayerGrades+'!$Y$55*(VLOOKUP(U640, 'PlayerGrades+'!$X$3:$Y$23, 2, FALSE)))</f>
        <v>17.95</v>
      </c>
      <c r="D640" s="973">
        <f t="shared" si="1"/>
        <v>0.04474272931</v>
      </c>
      <c r="E640" s="973" t="str">
        <f>IF(D640&lt;'PlayerGrades+'!$AA$21,"F-",IF(D640&lt;'PlayerGrades+'!$AA$20,"F",IF(D640&lt;'PlayerGrades+'!$AA$19,"F+",IF(D640&lt;'PlayerGrades+'!$AA$18,"E-",IF(D640&lt;'PlayerGrades+'!$AA$17,"E",IF(D640&lt;'PlayerGrades+'!$AA$16,"E+",IF(D640&lt;'PlayerGrades+'!$AA$15,"D-",IF(D640&lt;'PlayerGrades+'!$AA$14,"D",IF(D640&lt;'PlayerGrades+'!$AA$13,"D+",IF(D640&lt;'PlayerGrades+'!$AA$12,"C-",IF(D640&lt;'PlayerGrades+'!$AA$11,"C",IF(D640&lt;'PlayerGrades+'!$AA$10,"C+",IF(D640&lt;'PlayerGrades+'!$AA$9,"B-",IF(D640&lt;'PlayerGrades+'!$AA$8,"B",IF(D640&lt;'PlayerGrades+'!$AA$7,"B+",IF(D640&lt;'PlayerGrades+'!$AA$6,"A-",IF(D640&lt;'PlayerGrades+'!$AA$5,"A",IF(D640&lt;'PlayerGrades+'!$AA$4,"A+",IF(D640&lt;'PlayerGrades+'!$AA$3,"S-",IF(D640&lt;'PlayerGrades+'!$AA$2,"S","S+"))))))))))))))))))))</f>
        <v>C+</v>
      </c>
      <c r="F640" s="973">
        <f t="shared" si="2"/>
        <v>-0.4474272931</v>
      </c>
      <c r="G640" s="973" t="str">
        <f>IF(F640&lt;'PlayerGrades+'!$AB$21,"F-",IF(F640&lt;'PlayerGrades+'!$AB$20,"F",IF(F640&lt;'PlayerGrades+'!$AB$19,"F+",IF(F640&lt;'PlayerGrades+'!$AB$18,"E-",IF(F640&lt;'PlayerGrades+'!$AB$17,"E",IF(F640&lt;'PlayerGrades+'!$AB$16,"E+",IF(F640&lt;'PlayerGrades+'!$AB$15,"D-",IF(F640&lt;'PlayerGrades+'!$AB$14,"D",IF(F640&lt;'PlayerGrades+'!$AB$13,"D+",IF(F640&lt;'PlayerGrades+'!$AB$12,"C-",IF(F640&lt;'PlayerGrades+'!$AB$11,"C",IF(F640&lt;'PlayerGrades+'!$AB$10,"C+",IF(F640&lt;'PlayerGrades+'!$AB$9,"B-",IF(F640&lt;'PlayerGrades+'!$AB$8,"B",IF(F640&lt;'PlayerGrades+'!$AB$7,"B+",IF(F640&lt;'PlayerGrades+'!$AB$6,"A-",IF(F640&lt;'PlayerGrades+'!$AB$5,"A",IF(F640&lt;'PlayerGrades+'!$AB$4,"A+",IF(F640&lt;'PlayerGrades+'!$AB$3,"S-",IF(F640&lt;'PlayerGrades+'!$AB$2,"S","S+"))))))))))))))))))))</f>
        <v>D</v>
      </c>
      <c r="H640" s="973">
        <f t="shared" si="3"/>
        <v>0.1342281879</v>
      </c>
      <c r="I640" s="973" t="str">
        <f>IF(H640&lt;'PlayerGrades+'!$AC$21,"F-",IF(H640&lt;'PlayerGrades+'!$AC$20,"F",IF(H640&lt;'PlayerGrades+'!$AC$19,"F+",IF(H640&lt;'PlayerGrades+'!$AC$18,"E-",IF(H640&lt;'PlayerGrades+'!$AC$17,"E",IF(H640&lt;'PlayerGrades+'!$AC$16,"E+",IF(H640&lt;'PlayerGrades+'!$AC$15,"D-",IF(H640&lt;'PlayerGrades+'!$AC$14,"D",IF(H640&lt;'PlayerGrades+'!$AC$13,"D+",IF(H640&lt;'PlayerGrades+'!$AC$12,"C-",IF(H640&lt;'PlayerGrades+'!$AC$11,"C",IF(H640&lt;'PlayerGrades+'!$AC$10,"C+",IF(H640&lt;'PlayerGrades+'!$AC$9,"B-",IF(H640&lt;'PlayerGrades+'!$AC$8,"B",IF(H640&lt;'PlayerGrades+'!$AC$7,"B+",IF(H640&lt;'PlayerGrades+'!$AC$6,"A-",IF(H640&lt;'PlayerGrades+'!$AC$5,"A",IF(H640&lt;'PlayerGrades+'!$AC$4,"A+",IF(H640&lt;'PlayerGrades+'!$AC$3,"S-",IF(H640&lt;'PlayerGrades+'!$AC$2,"S","S+"))))))))))))))))))))</f>
        <v>B+</v>
      </c>
      <c r="J640" s="973">
        <f t="shared" si="4"/>
        <v>0</v>
      </c>
      <c r="K640" s="973" t="str">
        <f>IF(J640&lt;'PlayerGrades+'!$AD$21,"F-",IF(J640&lt;'PlayerGrades+'!$AD$20,"F",IF(J640&lt;'PlayerGrades+'!$AD$19,"F+",IF(J640&lt;'PlayerGrades+'!$AD$18,"E-",IF(J640&lt;'PlayerGrades+'!$AD$17,"E",IF(J640&lt;'PlayerGrades+'!$AD$16,"E+",IF(J640&lt;'PlayerGrades+'!$AD$15,"D-",IF(J640&lt;'PlayerGrades+'!$AD$14,"D",IF(J640&lt;'PlayerGrades+'!$AD$13,"D+",IF(J640&lt;'PlayerGrades+'!$AD$12,"C-",IF(J640&lt;'PlayerGrades+'!$AD$11,"C",IF(J640&lt;'PlayerGrades+'!$AD$10,"C+",IF(J640&lt;'PlayerGrades+'!$AD$9,"B-",IF(J640&lt;'PlayerGrades+'!$AD$8,"B",IF(J640&lt;'PlayerGrades+'!$AD$7,"B+",IF(J640&lt;'PlayerGrades+'!$AD$6,"A-",IF(J640&lt;'PlayerGrades+'!$AD$5,"A",IF(J640&lt;'PlayerGrades+'!$AD$4,"A+",IF(J640&lt;'PlayerGrades+'!$AD$3,"S-",IF(J640&lt;'PlayerGrades+'!$AD$2,"S","S+"))))))))))))))))))))</f>
        <v>F-</v>
      </c>
      <c r="L640" s="974">
        <f t="shared" si="5"/>
        <v>0.3131991051</v>
      </c>
      <c r="M640" s="975" t="str">
        <f>IF(L640&lt;'PlayerGrades+'!$AE$21,"F-",IF(L640&lt;'PlayerGrades+'!$AE$20,"F",IF(L640&lt;'PlayerGrades+'!$AE$19,"F+",IF(L640&lt;'PlayerGrades+'!$AE$18,"E-",IF(L640&lt;'PlayerGrades+'!$AE$17,"E",IF(L640&lt;'PlayerGrades+'!$AE$16,"E+",IF(L640&lt;'PlayerGrades+'!$AE$15,"D-",IF(L640&lt;'PlayerGrades+'!$AE$14,"D",IF(L640&lt;'PlayerGrades+'!$AE$13,"D+",IF(L640&lt;'PlayerGrades+'!$AE$12,"C-",IF(L640&lt;'PlayerGrades+'!$AE$11,"C",IF(L640&lt;'PlayerGrades+'!$AE$10,"C+",IF(L640&lt;'PlayerGrades+'!$AE$9,"B-",IF(L640&lt;'PlayerGrades+'!$AE$8,"B",IF(L640&lt;'PlayerGrades+'!$AE$7,"B+",IF(L640&lt;'PlayerGrades+'!$AE$6,"A-",IF(L640&lt;'PlayerGrades+'!$AE$5,"A",IF(L640&lt;'PlayerGrades+'!$AE$4,"A+",IF(L640&lt;'PlayerGrades+'!$AE$3,"S-",IF(L640&lt;'PlayerGrades+'!$AE$2,"S","S+"))))))))))))))))))))</f>
        <v>E</v>
      </c>
      <c r="N640" s="973">
        <f t="shared" si="6"/>
        <v>0.04474272931</v>
      </c>
      <c r="O640" s="973" t="str">
        <f>IF(N640&lt;'PlayerGrades+'!$AF$21,"F-",IF(N640&lt;'PlayerGrades+'!$AF$20,"F",IF(N640&lt;'PlayerGrades+'!$AF$19,"F+",IF(N640&lt;'PlayerGrades+'!$AF$18,"E-",IF(N640&lt;'PlayerGrades+'!$AF$17,"E",IF(N640&lt;'PlayerGrades+'!$AF$16,"E+",IF(N640&lt;'PlayerGrades+'!$AF$15,"D-",IF(N640&lt;'PlayerGrades+'!$AF$14,"D",IF(N640&lt;'PlayerGrades+'!$AF$13,"D+",IF(N640&lt;'PlayerGrades+'!$AF$12,"C-",IF(N640&lt;'PlayerGrades+'!$AF$11,"C",IF(N640&lt;'PlayerGrades+'!$AF$10,"C+",IF(N640&lt;'PlayerGrades+'!$AF$9,"B-",IF(N640&lt;'PlayerGrades+'!$AF$8,"B",IF(N640&lt;'PlayerGrades+'!$AF$7,"B+",IF(N640&lt;'PlayerGrades+'!$AF$6,"A-",IF(N640&lt;'PlayerGrades+'!$AF$5,"A",IF(N640&lt;'PlayerGrades+'!$AF$4,"A+",IF(N640&lt;'PlayerGrades+'!$AF$3,"S-",IF(N640&lt;'PlayerGrades+'!$AF$2,"S","S+"))))))))))))))))))))</f>
        <v>E+</v>
      </c>
      <c r="P640" s="973">
        <f t="shared" si="7"/>
        <v>0</v>
      </c>
      <c r="Q640" s="973" t="str">
        <f>IF(P640&lt;'PlayerGrades+'!$AG$21,"F-",IF(P640&lt;'PlayerGrades+'!$AG$20,"F",IF(P640&lt;'PlayerGrades+'!$AG$19,"F+",IF(P640&lt;'PlayerGrades+'!$AG$18,"E-",IF(P640&lt;'PlayerGrades+'!$AG$17,"E",IF(P640&lt;'PlayerGrades+'!$AG$16,"E+",IF(P640&lt;'PlayerGrades+'!$AG$15,"D-",IF(P640&lt;'PlayerGrades+'!$AG$14,"D",IF(P640&lt;'PlayerGrades+'!$AG$13,"D+",IF(P640&lt;'PlayerGrades+'!$AG$12,"C-",IF(P640&lt;'PlayerGrades+'!$AG$11,"C",IF(P640&lt;'PlayerGrades+'!$AG$10,"C+",IF(P640&lt;'PlayerGrades+'!$AG$9,"B-",IF(P640&lt;'PlayerGrades+'!$AG$8,"B",IF(P640&lt;'PlayerGrades+'!$AG$7,"B+",IF(P640&lt;'PlayerGrades+'!$AG$6,"A-",IF(P640&lt;'PlayerGrades+'!$AG$5,"A",IF(P640&lt;'PlayerGrades+'!$AG$4,"A+",IF(P640&lt;'PlayerGrades+'!$AG$3,"S-",IF(P640&lt;'PlayerGrades+'!$AG$2,"S","S+"))))))))))))))))))))</f>
        <v>F</v>
      </c>
      <c r="R640" s="973">
        <f t="shared" si="8"/>
        <v>0.6263982103</v>
      </c>
      <c r="S640" s="973" t="str">
        <f>IF(R640&lt;'PlayerGrades+'!$AH$21,"F-",IF(R640&lt;'PlayerGrades+'!$AH$20,"F",IF(R640&lt;'PlayerGrades+'!$AH$19,"F+",IF(R640&lt;'PlayerGrades+'!$AH$18,"E-",IF(R640&lt;'PlayerGrades+'!$AH$17,"E",IF(R640&lt;'PlayerGrades+'!$AH$16,"E+",IF(R640&lt;'PlayerGrades+'!$AH$15,"D-",IF(R640&lt;'PlayerGrades+'!$AH$14,"D",IF(R640&lt;'PlayerGrades+'!$AH$13,"D+",IF(R640&lt;'PlayerGrades+'!$AH$12,"C-",IF(R640&lt;'PlayerGrades+'!$AH$11,"C",IF(R640&lt;'PlayerGrades+'!$AH$10,"C+",IF(R640&lt;'PlayerGrades+'!$AH$9,"B-",IF(R640&lt;'PlayerGrades+'!$AH$8,"B",IF(R640&lt;'PlayerGrades+'!$AH$7,"B+",IF(R640&lt;'PlayerGrades+'!$AH$6,"A-",IF(R640&lt;'PlayerGrades+'!$AH$5,"A",IF(R640&lt;'PlayerGrades+'!$AH$4,"A+",IF(R640&lt;'PlayerGrades+'!$AH$3,"S-",IF(R640&lt;'PlayerGrades+'!$AH$2,"S","S+"))))))))))))))))))))</f>
        <v>A</v>
      </c>
      <c r="T640" s="973">
        <f t="shared" si="9"/>
        <v>1.447427293</v>
      </c>
      <c r="U640" s="973" t="str">
        <f>IF(T640&lt;'PlayerGrades+'!$AI$21,"F-",IF(T640&lt;'PlayerGrades+'!$AI$20,"F",IF(T640&lt;'PlayerGrades+'!$AI$19,"F+",IF(T640&lt;'PlayerGrades+'!$AI$18,"E-",IF(T640&lt;'PlayerGrades+'!$AI$17,"E",IF(T640&lt;'PlayerGrades+'!$AI$16,"E+",IF(T640&lt;'PlayerGrades+'!$AI$15,"D-",IF(T640&lt;'PlayerGrades+'!$AI$14,"D",IF(T640&lt;'PlayerGrades+'!$AI$13,"D+",IF(T640&lt;'PlayerGrades+'!$AI$12,"C-",IF(T640&lt;'PlayerGrades+'!$AI$11,"C",IF(T640&lt;'PlayerGrades+'!$AI$10,"C+",IF(T640&lt;'PlayerGrades+'!$AI$9,"B-",IF(T640&lt;'PlayerGrades+'!$AI$8,"B",IF(T640&lt;'PlayerGrades+'!$AI$7,"B+",IF(T640&lt;'PlayerGrades+'!$AI$6,"A-",IF(T640&lt;'PlayerGrades+'!$AI$5,"A",IF(T640&lt;'PlayerGrades+'!$AI$4,"A+",IF(T640&lt;'PlayerGrades+'!$AI$3,"S-",IF(T640&lt;'PlayerGrades+'!$AI$2,"S","S+"))))))))))))))))))))</f>
        <v>B+</v>
      </c>
      <c r="V640" s="941">
        <v>1.0</v>
      </c>
      <c r="W640" s="941">
        <v>0.0</v>
      </c>
      <c r="X640" s="941">
        <v>1.0</v>
      </c>
      <c r="Y640" s="941">
        <v>0.0</v>
      </c>
      <c r="Z640" s="941">
        <v>1.0</v>
      </c>
      <c r="AA640" s="941">
        <v>59.0</v>
      </c>
      <c r="AB640" s="941">
        <v>69.0</v>
      </c>
      <c r="AC640" s="941">
        <v>-10.0</v>
      </c>
      <c r="AD640" s="941">
        <v>9.0</v>
      </c>
      <c r="AE640" s="941">
        <v>3.0</v>
      </c>
      <c r="AF640" s="941">
        <v>3.0</v>
      </c>
      <c r="AG640" s="941">
        <v>1066.0</v>
      </c>
      <c r="AH640" s="941">
        <v>1341.0</v>
      </c>
      <c r="AI640" s="941">
        <v>15.0</v>
      </c>
      <c r="AJ640" s="941">
        <v>14.0</v>
      </c>
      <c r="AK640" s="941">
        <v>0.0</v>
      </c>
      <c r="AL640" s="941">
        <v>0.0</v>
      </c>
      <c r="AM640" s="941">
        <v>0.0</v>
      </c>
      <c r="AN640" s="941">
        <v>0.0</v>
      </c>
      <c r="AO640" s="941">
        <v>0.0</v>
      </c>
      <c r="AP640" s="941">
        <v>0.0</v>
      </c>
      <c r="AQ640" s="941">
        <v>0.0</v>
      </c>
      <c r="AR640" s="941">
        <v>7.0</v>
      </c>
      <c r="AS640" s="941">
        <v>1.0</v>
      </c>
      <c r="AT640" s="941">
        <v>0.0</v>
      </c>
      <c r="AU640" s="941">
        <v>0.0</v>
      </c>
      <c r="AV640" s="941">
        <v>0.0</v>
      </c>
      <c r="AW640" s="941">
        <v>0.0</v>
      </c>
      <c r="AX640" s="941">
        <v>0.0</v>
      </c>
      <c r="AY640" s="941">
        <v>0.0</v>
      </c>
      <c r="AZ640" s="941">
        <v>0.0</v>
      </c>
      <c r="BA640" s="941">
        <v>0.0</v>
      </c>
      <c r="BB640" s="941">
        <v>3.0</v>
      </c>
      <c r="BC640" s="941">
        <v>0.0</v>
      </c>
      <c r="BD640" s="941">
        <v>5.0</v>
      </c>
      <c r="BE640" s="941">
        <v>10.0</v>
      </c>
      <c r="BF640" s="941">
        <v>1.0</v>
      </c>
      <c r="BG640" s="942">
        <v>0.0</v>
      </c>
    </row>
    <row r="641">
      <c r="A641" s="943" t="s">
        <v>136</v>
      </c>
      <c r="B641" s="421" t="str">
        <f>IF(C641&lt;'PlayerGrades+'!$Y$44,"F-",IF(C641&lt;'PlayerGrades+'!$Y$43,"F",IF(C641&lt;'PlayerGrades+'!$Y$42,"F+",IF(C641&lt;'PlayerGrades+'!$Y$41,"E-",IF(C641&lt;'PlayerGrades+'!$Y$40,"E",IF(C641&lt;'PlayerGrades+'!$Y$39,"E+",IF(C641&lt;'PlayerGrades+'!$Y$38,"D-",IF(C641&lt;'PlayerGrades+'!$Y$37,"D",IF(C641&lt;'PlayerGrades+'!$Y$36,"D+",IF(C641&lt;'PlayerGrades+'!$Y$35,"C-",IF(C641&lt;'PlayerGrades+'!$Y$34,"C",IF(C641&lt;'PlayerGrades+'!$Y$33,"C+",IF(C641&lt;'PlayerGrades+'!$Y$32,"B-",IF(C641&lt;'PlayerGrades+'!$Y$31,"B",IF(C641&lt;'PlayerGrades+'!$Y$30,"B+",IF(C641&lt;'PlayerGrades+'!$Y$29,"A-",IF(C641&lt;'PlayerGrades+'!$Y$28,"A",IF(C641&lt;'PlayerGrades+'!$Y$27,"A+",IF(C641&lt;'PlayerGrades+'!$Y$26,"S-",IF(C641&lt;'PlayerGrades+'!$Y$25,"S","S+"))))))))))))))))))))</f>
        <v>A-</v>
      </c>
      <c r="C641" s="972">
        <f>('PlayerGrades+'!$Y$47*(VLOOKUP(E641, 'PlayerGrades+'!$X$3:$Y$23, 2, FALSE)))+('PlayerGrades+'!$Y$48*(VLOOKUP(G641, 'PlayerGrades+'!$X$3:$Y$23, 2, FALSE)))+('PlayerGrades+'!$Y$49*(VLOOKUP(I641, 'PlayerGrades+'!$X$3:$Y$23, 2, FALSE)))+('PlayerGrades+'!$Y$50*(VLOOKUP(K641, 'PlayerGrades+'!$X$3:$Y$23, 2, FALSE)))+('PlayerGrades+'!$Y$51*(VLOOKUP(M641, 'PlayerGrades+'!$X$3:$Y$23, 2, FALSE)))+('PlayerGrades+'!$Y$52*(VLOOKUP(O641, 'PlayerGrades+'!$X$3:$Y$23, 2, FALSE)))+('PlayerGrades+'!$Y$53*(VLOOKUP(Q641, 'PlayerGrades+'!$X$3:$Y$23, 2, FALSE)))+('PlayerGrades+'!$Y$54*(VLOOKUP(S641, 'PlayerGrades+'!$X$3:$Y$23, 2, FALSE)))+('PlayerGrades+'!$Y$55*(VLOOKUP(U641, 'PlayerGrades+'!$X$3:$Y$23, 2, FALSE)))</f>
        <v>24.55</v>
      </c>
      <c r="D641" s="973">
        <f t="shared" si="1"/>
        <v>0</v>
      </c>
      <c r="E641" s="973" t="str">
        <f>IF(D641&lt;'PlayerGrades+'!$AA$21,"F-",IF(D641&lt;'PlayerGrades+'!$AA$20,"F",IF(D641&lt;'PlayerGrades+'!$AA$19,"F+",IF(D641&lt;'PlayerGrades+'!$AA$18,"E-",IF(D641&lt;'PlayerGrades+'!$AA$17,"E",IF(D641&lt;'PlayerGrades+'!$AA$16,"E+",IF(D641&lt;'PlayerGrades+'!$AA$15,"D-",IF(D641&lt;'PlayerGrades+'!$AA$14,"D",IF(D641&lt;'PlayerGrades+'!$AA$13,"D+",IF(D641&lt;'PlayerGrades+'!$AA$12,"C-",IF(D641&lt;'PlayerGrades+'!$AA$11,"C",IF(D641&lt;'PlayerGrades+'!$AA$10,"C+",IF(D641&lt;'PlayerGrades+'!$AA$9,"B-",IF(D641&lt;'PlayerGrades+'!$AA$8,"B",IF(D641&lt;'PlayerGrades+'!$AA$7,"B+",IF(D641&lt;'PlayerGrades+'!$AA$6,"A-",IF(D641&lt;'PlayerGrades+'!$AA$5,"A",IF(D641&lt;'PlayerGrades+'!$AA$4,"A+",IF(D641&lt;'PlayerGrades+'!$AA$3,"S-",IF(D641&lt;'PlayerGrades+'!$AA$2,"S","S+"))))))))))))))))))))</f>
        <v>F-</v>
      </c>
      <c r="F641" s="973">
        <f t="shared" si="2"/>
        <v>0.3579418345</v>
      </c>
      <c r="G641" s="973" t="str">
        <f>IF(F641&lt;'PlayerGrades+'!$AB$21,"F-",IF(F641&lt;'PlayerGrades+'!$AB$20,"F",IF(F641&lt;'PlayerGrades+'!$AB$19,"F+",IF(F641&lt;'PlayerGrades+'!$AB$18,"E-",IF(F641&lt;'PlayerGrades+'!$AB$17,"E",IF(F641&lt;'PlayerGrades+'!$AB$16,"E+",IF(F641&lt;'PlayerGrades+'!$AB$15,"D-",IF(F641&lt;'PlayerGrades+'!$AB$14,"D",IF(F641&lt;'PlayerGrades+'!$AB$13,"D+",IF(F641&lt;'PlayerGrades+'!$AB$12,"C-",IF(F641&lt;'PlayerGrades+'!$AB$11,"C",IF(F641&lt;'PlayerGrades+'!$AB$10,"C+",IF(F641&lt;'PlayerGrades+'!$AB$9,"B-",IF(F641&lt;'PlayerGrades+'!$AB$8,"B",IF(F641&lt;'PlayerGrades+'!$AB$7,"B+",IF(F641&lt;'PlayerGrades+'!$AB$6,"A-",IF(F641&lt;'PlayerGrades+'!$AB$5,"A",IF(F641&lt;'PlayerGrades+'!$AB$4,"A+",IF(F641&lt;'PlayerGrades+'!$AB$3,"S-",IF(F641&lt;'PlayerGrades+'!$AB$2,"S","S+"))))))))))))))))))))</f>
        <v>A-</v>
      </c>
      <c r="H641" s="973">
        <f t="shared" si="3"/>
        <v>0</v>
      </c>
      <c r="I641" s="973" t="str">
        <f>IF(H641&lt;'PlayerGrades+'!$AC$21,"F-",IF(H641&lt;'PlayerGrades+'!$AC$20,"F",IF(H641&lt;'PlayerGrades+'!$AC$19,"F+",IF(H641&lt;'PlayerGrades+'!$AC$18,"E-",IF(H641&lt;'PlayerGrades+'!$AC$17,"E",IF(H641&lt;'PlayerGrades+'!$AC$16,"E+",IF(H641&lt;'PlayerGrades+'!$AC$15,"D-",IF(H641&lt;'PlayerGrades+'!$AC$14,"D",IF(H641&lt;'PlayerGrades+'!$AC$13,"D+",IF(H641&lt;'PlayerGrades+'!$AC$12,"C-",IF(H641&lt;'PlayerGrades+'!$AC$11,"C",IF(H641&lt;'PlayerGrades+'!$AC$10,"C+",IF(H641&lt;'PlayerGrades+'!$AC$9,"B-",IF(H641&lt;'PlayerGrades+'!$AC$8,"B",IF(H641&lt;'PlayerGrades+'!$AC$7,"B+",IF(H641&lt;'PlayerGrades+'!$AC$6,"A-",IF(H641&lt;'PlayerGrades+'!$AC$5,"A",IF(H641&lt;'PlayerGrades+'!$AC$4,"A+",IF(H641&lt;'PlayerGrades+'!$AC$3,"S-",IF(H641&lt;'PlayerGrades+'!$AC$2,"S","S+"))))))))))))))))))))</f>
        <v>F-</v>
      </c>
      <c r="J641" s="973">
        <f t="shared" si="4"/>
        <v>0.08948545861</v>
      </c>
      <c r="K641" s="973" t="str">
        <f>IF(J641&lt;'PlayerGrades+'!$AD$21,"F-",IF(J641&lt;'PlayerGrades+'!$AD$20,"F",IF(J641&lt;'PlayerGrades+'!$AD$19,"F+",IF(J641&lt;'PlayerGrades+'!$AD$18,"E-",IF(J641&lt;'PlayerGrades+'!$AD$17,"E",IF(J641&lt;'PlayerGrades+'!$AD$16,"E+",IF(J641&lt;'PlayerGrades+'!$AD$15,"D-",IF(J641&lt;'PlayerGrades+'!$AD$14,"D",IF(J641&lt;'PlayerGrades+'!$AD$13,"D+",IF(J641&lt;'PlayerGrades+'!$AD$12,"C-",IF(J641&lt;'PlayerGrades+'!$AD$11,"C",IF(J641&lt;'PlayerGrades+'!$AD$10,"C+",IF(J641&lt;'PlayerGrades+'!$AD$9,"B-",IF(J641&lt;'PlayerGrades+'!$AD$8,"B",IF(J641&lt;'PlayerGrades+'!$AD$7,"B+",IF(J641&lt;'PlayerGrades+'!$AD$6,"A-",IF(J641&lt;'PlayerGrades+'!$AD$5,"A",IF(J641&lt;'PlayerGrades+'!$AD$4,"A+",IF(J641&lt;'PlayerGrades+'!$AD$3,"S-",IF(J641&lt;'PlayerGrades+'!$AD$2,"S","S+"))))))))))))))))))))</f>
        <v>S-</v>
      </c>
      <c r="L641" s="974">
        <f t="shared" si="5"/>
        <v>0.7606263982</v>
      </c>
      <c r="M641" s="975" t="str">
        <f>IF(L641&lt;'PlayerGrades+'!$AE$21,"F-",IF(L641&lt;'PlayerGrades+'!$AE$20,"F",IF(L641&lt;'PlayerGrades+'!$AE$19,"F+",IF(L641&lt;'PlayerGrades+'!$AE$18,"E-",IF(L641&lt;'PlayerGrades+'!$AE$17,"E",IF(L641&lt;'PlayerGrades+'!$AE$16,"E+",IF(L641&lt;'PlayerGrades+'!$AE$15,"D-",IF(L641&lt;'PlayerGrades+'!$AE$14,"D",IF(L641&lt;'PlayerGrades+'!$AE$13,"D+",IF(L641&lt;'PlayerGrades+'!$AE$12,"C-",IF(L641&lt;'PlayerGrades+'!$AE$11,"C",IF(L641&lt;'PlayerGrades+'!$AE$10,"C+",IF(L641&lt;'PlayerGrades+'!$AE$9,"B-",IF(L641&lt;'PlayerGrades+'!$AE$8,"B",IF(L641&lt;'PlayerGrades+'!$AE$7,"B+",IF(L641&lt;'PlayerGrades+'!$AE$6,"A-",IF(L641&lt;'PlayerGrades+'!$AE$5,"A",IF(L641&lt;'PlayerGrades+'!$AE$4,"A+",IF(L641&lt;'PlayerGrades+'!$AE$3,"S-",IF(L641&lt;'PlayerGrades+'!$AE$2,"S","S+"))))))))))))))))))))</f>
        <v>S+</v>
      </c>
      <c r="N641" s="973">
        <f t="shared" si="6"/>
        <v>0.2237136465</v>
      </c>
      <c r="O641" s="973" t="str">
        <f>IF(N641&lt;'PlayerGrades+'!$AF$21,"F-",IF(N641&lt;'PlayerGrades+'!$AF$20,"F",IF(N641&lt;'PlayerGrades+'!$AF$19,"F+",IF(N641&lt;'PlayerGrades+'!$AF$18,"E-",IF(N641&lt;'PlayerGrades+'!$AF$17,"E",IF(N641&lt;'PlayerGrades+'!$AF$16,"E+",IF(N641&lt;'PlayerGrades+'!$AF$15,"D-",IF(N641&lt;'PlayerGrades+'!$AF$14,"D",IF(N641&lt;'PlayerGrades+'!$AF$13,"D+",IF(N641&lt;'PlayerGrades+'!$AF$12,"C-",IF(N641&lt;'PlayerGrades+'!$AF$11,"C",IF(N641&lt;'PlayerGrades+'!$AF$10,"C+",IF(N641&lt;'PlayerGrades+'!$AF$9,"B-",IF(N641&lt;'PlayerGrades+'!$AF$8,"B",IF(N641&lt;'PlayerGrades+'!$AF$7,"B+",IF(N641&lt;'PlayerGrades+'!$AF$6,"A-",IF(N641&lt;'PlayerGrades+'!$AF$5,"A",IF(N641&lt;'PlayerGrades+'!$AF$4,"A+",IF(N641&lt;'PlayerGrades+'!$AF$3,"S-",IF(N641&lt;'PlayerGrades+'!$AF$2,"S","S+"))))))))))))))))))))</f>
        <v>S+</v>
      </c>
      <c r="P641" s="973">
        <f t="shared" si="7"/>
        <v>0.04474272931</v>
      </c>
      <c r="Q641" s="973" t="str">
        <f>IF(P641&lt;'PlayerGrades+'!$AG$21,"F-",IF(P641&lt;'PlayerGrades+'!$AG$20,"F",IF(P641&lt;'PlayerGrades+'!$AG$19,"F+",IF(P641&lt;'PlayerGrades+'!$AG$18,"E-",IF(P641&lt;'PlayerGrades+'!$AG$17,"E",IF(P641&lt;'PlayerGrades+'!$AG$16,"E+",IF(P641&lt;'PlayerGrades+'!$AG$15,"D-",IF(P641&lt;'PlayerGrades+'!$AG$14,"D",IF(P641&lt;'PlayerGrades+'!$AG$13,"D+",IF(P641&lt;'PlayerGrades+'!$AG$12,"C-",IF(P641&lt;'PlayerGrades+'!$AG$11,"C",IF(P641&lt;'PlayerGrades+'!$AG$10,"C+",IF(P641&lt;'PlayerGrades+'!$AG$9,"B-",IF(P641&lt;'PlayerGrades+'!$AG$8,"B",IF(P641&lt;'PlayerGrades+'!$AG$7,"B+",IF(P641&lt;'PlayerGrades+'!$AG$6,"A-",IF(P641&lt;'PlayerGrades+'!$AG$5,"A",IF(P641&lt;'PlayerGrades+'!$AG$4,"A+",IF(P641&lt;'PlayerGrades+'!$AG$3,"S-",IF(P641&lt;'PlayerGrades+'!$AG$2,"S","S+"))))))))))))))))))))</f>
        <v>A</v>
      </c>
      <c r="R641" s="973">
        <f t="shared" si="8"/>
        <v>0.6263982103</v>
      </c>
      <c r="S641" s="973" t="str">
        <f>IF(R641&lt;'PlayerGrades+'!$AH$21,"F-",IF(R641&lt;'PlayerGrades+'!$AH$20,"F",IF(R641&lt;'PlayerGrades+'!$AH$19,"F+",IF(R641&lt;'PlayerGrades+'!$AH$18,"E-",IF(R641&lt;'PlayerGrades+'!$AH$17,"E",IF(R641&lt;'PlayerGrades+'!$AH$16,"E+",IF(R641&lt;'PlayerGrades+'!$AH$15,"D-",IF(R641&lt;'PlayerGrades+'!$AH$14,"D",IF(R641&lt;'PlayerGrades+'!$AH$13,"D+",IF(R641&lt;'PlayerGrades+'!$AH$12,"C-",IF(R641&lt;'PlayerGrades+'!$AH$11,"C",IF(R641&lt;'PlayerGrades+'!$AH$10,"C+",IF(R641&lt;'PlayerGrades+'!$AH$9,"B-",IF(R641&lt;'PlayerGrades+'!$AH$8,"B",IF(R641&lt;'PlayerGrades+'!$AH$7,"B+",IF(R641&lt;'PlayerGrades+'!$AH$6,"A-",IF(R641&lt;'PlayerGrades+'!$AH$5,"A",IF(R641&lt;'PlayerGrades+'!$AH$4,"A+",IF(R641&lt;'PlayerGrades+'!$AH$3,"S-",IF(R641&lt;'PlayerGrades+'!$AH$2,"S","S+"))))))))))))))))))))</f>
        <v>A</v>
      </c>
      <c r="T641" s="973">
        <f t="shared" si="9"/>
        <v>0.581655481</v>
      </c>
      <c r="U641" s="973" t="str">
        <f>IF(T641&lt;'PlayerGrades+'!$AI$21,"F-",IF(T641&lt;'PlayerGrades+'!$AI$20,"F",IF(T641&lt;'PlayerGrades+'!$AI$19,"F+",IF(T641&lt;'PlayerGrades+'!$AI$18,"E-",IF(T641&lt;'PlayerGrades+'!$AI$17,"E",IF(T641&lt;'PlayerGrades+'!$AI$16,"E+",IF(T641&lt;'PlayerGrades+'!$AI$15,"D-",IF(T641&lt;'PlayerGrades+'!$AI$14,"D",IF(T641&lt;'PlayerGrades+'!$AI$13,"D+",IF(T641&lt;'PlayerGrades+'!$AI$12,"C-",IF(T641&lt;'PlayerGrades+'!$AI$11,"C",IF(T641&lt;'PlayerGrades+'!$AI$10,"C+",IF(T641&lt;'PlayerGrades+'!$AI$9,"B-",IF(T641&lt;'PlayerGrades+'!$AI$8,"B",IF(T641&lt;'PlayerGrades+'!$AI$7,"B+",IF(T641&lt;'PlayerGrades+'!$AI$6,"A-",IF(T641&lt;'PlayerGrades+'!$AI$5,"A",IF(T641&lt;'PlayerGrades+'!$AI$4,"A+",IF(T641&lt;'PlayerGrades+'!$AI$3,"S-",IF(T641&lt;'PlayerGrades+'!$AI$2,"S","S+"))))))))))))))))))))</f>
        <v>F-</v>
      </c>
      <c r="V641" s="944">
        <v>1.0</v>
      </c>
      <c r="W641" s="944">
        <v>0.0</v>
      </c>
      <c r="X641" s="944">
        <v>1.0</v>
      </c>
      <c r="Y641" s="944">
        <v>0.0</v>
      </c>
      <c r="Z641" s="944">
        <v>0.0</v>
      </c>
      <c r="AA641" s="944">
        <v>94.0</v>
      </c>
      <c r="AB641" s="944">
        <v>86.0</v>
      </c>
      <c r="AC641" s="944">
        <v>8.0</v>
      </c>
      <c r="AD641" s="944">
        <v>5.0</v>
      </c>
      <c r="AE641" s="944">
        <v>5.0</v>
      </c>
      <c r="AF641" s="944">
        <v>3.0</v>
      </c>
      <c r="AG641" s="944">
        <v>1017.0</v>
      </c>
      <c r="AH641" s="944">
        <v>1341.0</v>
      </c>
      <c r="AI641" s="944">
        <v>11.0</v>
      </c>
      <c r="AJ641" s="944">
        <v>31.0</v>
      </c>
      <c r="AK641" s="944">
        <v>0.0</v>
      </c>
      <c r="AL641" s="944">
        <v>2.0</v>
      </c>
      <c r="AM641" s="944">
        <v>0.0</v>
      </c>
      <c r="AN641" s="944">
        <v>0.0</v>
      </c>
      <c r="AO641" s="944">
        <v>0.0</v>
      </c>
      <c r="AP641" s="944">
        <v>1.0</v>
      </c>
      <c r="AQ641" s="944">
        <v>0.0</v>
      </c>
      <c r="AR641" s="944">
        <v>17.0</v>
      </c>
      <c r="AS641" s="944">
        <v>5.0</v>
      </c>
      <c r="AT641" s="944">
        <v>1.0</v>
      </c>
      <c r="AU641" s="944">
        <v>1.0</v>
      </c>
      <c r="AV641" s="944">
        <v>0.0</v>
      </c>
      <c r="AW641" s="944">
        <v>0.0</v>
      </c>
      <c r="AX641" s="944">
        <v>0.0</v>
      </c>
      <c r="AY641" s="944">
        <v>0.0</v>
      </c>
      <c r="AZ641" s="944">
        <v>0.0</v>
      </c>
      <c r="BA641" s="944">
        <v>0.0</v>
      </c>
      <c r="BB641" s="944">
        <v>0.0</v>
      </c>
      <c r="BC641" s="944">
        <v>0.0</v>
      </c>
      <c r="BD641" s="944">
        <v>9.0</v>
      </c>
      <c r="BE641" s="944">
        <v>13.0</v>
      </c>
      <c r="BF641" s="944">
        <v>0.0</v>
      </c>
      <c r="BG641" s="945">
        <v>0.0</v>
      </c>
    </row>
    <row r="642">
      <c r="A642" s="1" t="s">
        <v>149</v>
      </c>
      <c r="B642" s="421" t="str">
        <f>IF(C642&lt;'PlayerGrades+'!$Y$44,"F-",IF(C642&lt;'PlayerGrades+'!$Y$43,"F",IF(C642&lt;'PlayerGrades+'!$Y$42,"F+",IF(C642&lt;'PlayerGrades+'!$Y$41,"E-",IF(C642&lt;'PlayerGrades+'!$Y$40,"E",IF(C642&lt;'PlayerGrades+'!$Y$39,"E+",IF(C642&lt;'PlayerGrades+'!$Y$38,"D-",IF(C642&lt;'PlayerGrades+'!$Y$37,"D",IF(C642&lt;'PlayerGrades+'!$Y$36,"D+",IF(C642&lt;'PlayerGrades+'!$Y$35,"C-",IF(C642&lt;'PlayerGrades+'!$Y$34,"C",IF(C642&lt;'PlayerGrades+'!$Y$33,"C+",IF(C642&lt;'PlayerGrades+'!$Y$32,"B-",IF(C642&lt;'PlayerGrades+'!$Y$31,"B",IF(C642&lt;'PlayerGrades+'!$Y$30,"B+",IF(C642&lt;'PlayerGrades+'!$Y$29,"A-",IF(C642&lt;'PlayerGrades+'!$Y$28,"A",IF(C642&lt;'PlayerGrades+'!$Y$27,"A+",IF(C642&lt;'PlayerGrades+'!$Y$26,"S-",IF(C642&lt;'PlayerGrades+'!$Y$25,"S","S+"))))))))))))))))))))</f>
        <v>C+</v>
      </c>
      <c r="C642" s="972">
        <f>('PlayerGrades+'!$Y$47*(VLOOKUP(E642, 'PlayerGrades+'!$X$3:$Y$23, 2, FALSE)))+('PlayerGrades+'!$Y$48*(VLOOKUP(G642, 'PlayerGrades+'!$X$3:$Y$23, 2, FALSE)))+('PlayerGrades+'!$Y$49*(VLOOKUP(I642, 'PlayerGrades+'!$X$3:$Y$23, 2, FALSE)))+('PlayerGrades+'!$Y$50*(VLOOKUP(K642, 'PlayerGrades+'!$X$3:$Y$23, 2, FALSE)))+('PlayerGrades+'!$Y$51*(VLOOKUP(M642, 'PlayerGrades+'!$X$3:$Y$23, 2, FALSE)))+('PlayerGrades+'!$Y$52*(VLOOKUP(O642, 'PlayerGrades+'!$X$3:$Y$23, 2, FALSE)))+('PlayerGrades+'!$Y$53*(VLOOKUP(Q642, 'PlayerGrades+'!$X$3:$Y$23, 2, FALSE)))+('PlayerGrades+'!$Y$54*(VLOOKUP(S642, 'PlayerGrades+'!$X$3:$Y$23, 2, FALSE)))+('PlayerGrades+'!$Y$55*(VLOOKUP(U642, 'PlayerGrades+'!$X$3:$Y$23, 2, FALSE)))</f>
        <v>20.95</v>
      </c>
      <c r="D642" s="973">
        <f t="shared" si="1"/>
        <v>0.7873407951</v>
      </c>
      <c r="E642" s="973" t="str">
        <f>IF(D642&lt;'PlayerGrades+'!$AA$21,"F-",IF(D642&lt;'PlayerGrades+'!$AA$20,"F",IF(D642&lt;'PlayerGrades+'!$AA$19,"F+",IF(D642&lt;'PlayerGrades+'!$AA$18,"E-",IF(D642&lt;'PlayerGrades+'!$AA$17,"E",IF(D642&lt;'PlayerGrades+'!$AA$16,"E+",IF(D642&lt;'PlayerGrades+'!$AA$15,"D-",IF(D642&lt;'PlayerGrades+'!$AA$14,"D",IF(D642&lt;'PlayerGrades+'!$AA$13,"D+",IF(D642&lt;'PlayerGrades+'!$AA$12,"C-",IF(D642&lt;'PlayerGrades+'!$AA$11,"C",IF(D642&lt;'PlayerGrades+'!$AA$10,"C+",IF(D642&lt;'PlayerGrades+'!$AA$9,"B-",IF(D642&lt;'PlayerGrades+'!$AA$8,"B",IF(D642&lt;'PlayerGrades+'!$AA$7,"B+",IF(D642&lt;'PlayerGrades+'!$AA$6,"A-",IF(D642&lt;'PlayerGrades+'!$AA$5,"A",IF(D642&lt;'PlayerGrades+'!$AA$4,"A+",IF(D642&lt;'PlayerGrades+'!$AA$3,"S-",IF(D642&lt;'PlayerGrades+'!$AA$2,"S","S+"))))))))))))))))))))</f>
        <v>S</v>
      </c>
      <c r="F642" s="973">
        <f t="shared" si="2"/>
        <v>0.8104978773</v>
      </c>
      <c r="G642" s="973" t="str">
        <f>IF(F642&lt;'PlayerGrades+'!$AB$21,"F-",IF(F642&lt;'PlayerGrades+'!$AB$20,"F",IF(F642&lt;'PlayerGrades+'!$AB$19,"F+",IF(F642&lt;'PlayerGrades+'!$AB$18,"E-",IF(F642&lt;'PlayerGrades+'!$AB$17,"E",IF(F642&lt;'PlayerGrades+'!$AB$16,"E+",IF(F642&lt;'PlayerGrades+'!$AB$15,"D-",IF(F642&lt;'PlayerGrades+'!$AB$14,"D",IF(F642&lt;'PlayerGrades+'!$AB$13,"D+",IF(F642&lt;'PlayerGrades+'!$AB$12,"C-",IF(F642&lt;'PlayerGrades+'!$AB$11,"C",IF(F642&lt;'PlayerGrades+'!$AB$10,"C+",IF(F642&lt;'PlayerGrades+'!$AB$9,"B-",IF(F642&lt;'PlayerGrades+'!$AB$8,"B",IF(F642&lt;'PlayerGrades+'!$AB$7,"B+",IF(F642&lt;'PlayerGrades+'!$AB$6,"A-",IF(F642&lt;'PlayerGrades+'!$AB$5,"A",IF(F642&lt;'PlayerGrades+'!$AB$4,"A+",IF(F642&lt;'PlayerGrades+'!$AB$3,"S-",IF(F642&lt;'PlayerGrades+'!$AB$2,"S","S+"))))))))))))))))))))</f>
        <v>S</v>
      </c>
      <c r="H642" s="973">
        <f t="shared" si="3"/>
        <v>0.02315708221</v>
      </c>
      <c r="I642" s="973" t="str">
        <f>IF(H642&lt;'PlayerGrades+'!$AC$21,"F-",IF(H642&lt;'PlayerGrades+'!$AC$20,"F",IF(H642&lt;'PlayerGrades+'!$AC$19,"F+",IF(H642&lt;'PlayerGrades+'!$AC$18,"E-",IF(H642&lt;'PlayerGrades+'!$AC$17,"E",IF(H642&lt;'PlayerGrades+'!$AC$16,"E+",IF(H642&lt;'PlayerGrades+'!$AC$15,"D-",IF(H642&lt;'PlayerGrades+'!$AC$14,"D",IF(H642&lt;'PlayerGrades+'!$AC$13,"D+",IF(H642&lt;'PlayerGrades+'!$AC$12,"C-",IF(H642&lt;'PlayerGrades+'!$AC$11,"C",IF(H642&lt;'PlayerGrades+'!$AC$10,"C+",IF(H642&lt;'PlayerGrades+'!$AC$9,"B-",IF(H642&lt;'PlayerGrades+'!$AC$8,"B",IF(H642&lt;'PlayerGrades+'!$AC$7,"B+",IF(H642&lt;'PlayerGrades+'!$AC$6,"A-",IF(H642&lt;'PlayerGrades+'!$AC$5,"A",IF(H642&lt;'PlayerGrades+'!$AC$4,"A+",IF(H642&lt;'PlayerGrades+'!$AC$3,"S-",IF(H642&lt;'PlayerGrades+'!$AC$2,"S","S+"))))))))))))))))))))</f>
        <v>F-</v>
      </c>
      <c r="J642" s="973">
        <f t="shared" si="4"/>
        <v>0.09262832883</v>
      </c>
      <c r="K642" s="973" t="str">
        <f>IF(J642&lt;'PlayerGrades+'!$AD$21,"F-",IF(J642&lt;'PlayerGrades+'!$AD$20,"F",IF(J642&lt;'PlayerGrades+'!$AD$19,"F+",IF(J642&lt;'PlayerGrades+'!$AD$18,"E-",IF(J642&lt;'PlayerGrades+'!$AD$17,"E",IF(J642&lt;'PlayerGrades+'!$AD$16,"E+",IF(J642&lt;'PlayerGrades+'!$AD$15,"D-",IF(J642&lt;'PlayerGrades+'!$AD$14,"D",IF(J642&lt;'PlayerGrades+'!$AD$13,"D+",IF(J642&lt;'PlayerGrades+'!$AD$12,"C-",IF(J642&lt;'PlayerGrades+'!$AD$11,"C",IF(J642&lt;'PlayerGrades+'!$AD$10,"C+",IF(J642&lt;'PlayerGrades+'!$AD$9,"B-",IF(J642&lt;'PlayerGrades+'!$AD$8,"B",IF(J642&lt;'PlayerGrades+'!$AD$7,"B+",IF(J642&lt;'PlayerGrades+'!$AD$6,"A-",IF(J642&lt;'PlayerGrades+'!$AD$5,"A",IF(J642&lt;'PlayerGrades+'!$AD$4,"A+",IF(J642&lt;'PlayerGrades+'!$AD$3,"S-",IF(J642&lt;'PlayerGrades+'!$AD$2,"S","S+"))))))))))))))))))))</f>
        <v>S-</v>
      </c>
      <c r="L642" s="974">
        <f t="shared" si="5"/>
        <v>0.1852566577</v>
      </c>
      <c r="M642" s="975" t="str">
        <f>IF(L642&lt;'PlayerGrades+'!$AE$21,"F-",IF(L642&lt;'PlayerGrades+'!$AE$20,"F",IF(L642&lt;'PlayerGrades+'!$AE$19,"F+",IF(L642&lt;'PlayerGrades+'!$AE$18,"E-",IF(L642&lt;'PlayerGrades+'!$AE$17,"E",IF(L642&lt;'PlayerGrades+'!$AE$16,"E+",IF(L642&lt;'PlayerGrades+'!$AE$15,"D-",IF(L642&lt;'PlayerGrades+'!$AE$14,"D",IF(L642&lt;'PlayerGrades+'!$AE$13,"D+",IF(L642&lt;'PlayerGrades+'!$AE$12,"C-",IF(L642&lt;'PlayerGrades+'!$AE$11,"C",IF(L642&lt;'PlayerGrades+'!$AE$10,"C+",IF(L642&lt;'PlayerGrades+'!$AE$9,"B-",IF(L642&lt;'PlayerGrades+'!$AE$8,"B",IF(L642&lt;'PlayerGrades+'!$AE$7,"B+",IF(L642&lt;'PlayerGrades+'!$AE$6,"A-",IF(L642&lt;'PlayerGrades+'!$AE$5,"A",IF(L642&lt;'PlayerGrades+'!$AE$4,"A+",IF(L642&lt;'PlayerGrades+'!$AE$3,"S-",IF(L642&lt;'PlayerGrades+'!$AE$2,"S","S+"))))))))))))))))))))</f>
        <v>F-</v>
      </c>
      <c r="N642" s="973">
        <f t="shared" si="6"/>
        <v>0.04631416442</v>
      </c>
      <c r="O642" s="973" t="str">
        <f>IF(N642&lt;'PlayerGrades+'!$AF$21,"F-",IF(N642&lt;'PlayerGrades+'!$AF$20,"F",IF(N642&lt;'PlayerGrades+'!$AF$19,"F+",IF(N642&lt;'PlayerGrades+'!$AF$18,"E-",IF(N642&lt;'PlayerGrades+'!$AF$17,"E",IF(N642&lt;'PlayerGrades+'!$AF$16,"E+",IF(N642&lt;'PlayerGrades+'!$AF$15,"D-",IF(N642&lt;'PlayerGrades+'!$AF$14,"D",IF(N642&lt;'PlayerGrades+'!$AF$13,"D+",IF(N642&lt;'PlayerGrades+'!$AF$12,"C-",IF(N642&lt;'PlayerGrades+'!$AF$11,"C",IF(N642&lt;'PlayerGrades+'!$AF$10,"C+",IF(N642&lt;'PlayerGrades+'!$AF$9,"B-",IF(N642&lt;'PlayerGrades+'!$AF$8,"B",IF(N642&lt;'PlayerGrades+'!$AF$7,"B+",IF(N642&lt;'PlayerGrades+'!$AF$6,"A-",IF(N642&lt;'PlayerGrades+'!$AF$5,"A",IF(N642&lt;'PlayerGrades+'!$AF$4,"A+",IF(N642&lt;'PlayerGrades+'!$AF$3,"S-",IF(N642&lt;'PlayerGrades+'!$AF$2,"S","S+"))))))))))))))))))))</f>
        <v>E+</v>
      </c>
      <c r="P642" s="973">
        <f t="shared" si="7"/>
        <v>0.02315708221</v>
      </c>
      <c r="Q642" s="973" t="str">
        <f>IF(P642&lt;'PlayerGrades+'!$AG$21,"F-",IF(P642&lt;'PlayerGrades+'!$AG$20,"F",IF(P642&lt;'PlayerGrades+'!$AG$19,"F+",IF(P642&lt;'PlayerGrades+'!$AG$18,"E-",IF(P642&lt;'PlayerGrades+'!$AG$17,"E",IF(P642&lt;'PlayerGrades+'!$AG$16,"E+",IF(P642&lt;'PlayerGrades+'!$AG$15,"D-",IF(P642&lt;'PlayerGrades+'!$AG$14,"D",IF(P642&lt;'PlayerGrades+'!$AG$13,"D+",IF(P642&lt;'PlayerGrades+'!$AG$12,"C-",IF(P642&lt;'PlayerGrades+'!$AG$11,"C",IF(P642&lt;'PlayerGrades+'!$AG$10,"C+",IF(P642&lt;'PlayerGrades+'!$AG$9,"B-",IF(P642&lt;'PlayerGrades+'!$AG$8,"B",IF(P642&lt;'PlayerGrades+'!$AG$7,"B+",IF(P642&lt;'PlayerGrades+'!$AG$6,"A-",IF(P642&lt;'PlayerGrades+'!$AG$5,"A",IF(P642&lt;'PlayerGrades+'!$AG$4,"A+",IF(P642&lt;'PlayerGrades+'!$AG$3,"S-",IF(P642&lt;'PlayerGrades+'!$AG$2,"S","S+"))))))))))))))))))))</f>
        <v>B-</v>
      </c>
      <c r="R642" s="973">
        <f t="shared" si="8"/>
        <v>0.6947124662</v>
      </c>
      <c r="S642" s="973" t="str">
        <f>IF(R642&lt;'PlayerGrades+'!$AH$21,"F-",IF(R642&lt;'PlayerGrades+'!$AH$20,"F",IF(R642&lt;'PlayerGrades+'!$AH$19,"F+",IF(R642&lt;'PlayerGrades+'!$AH$18,"E-",IF(R642&lt;'PlayerGrades+'!$AH$17,"E",IF(R642&lt;'PlayerGrades+'!$AH$16,"E+",IF(R642&lt;'PlayerGrades+'!$AH$15,"D-",IF(R642&lt;'PlayerGrades+'!$AH$14,"D",IF(R642&lt;'PlayerGrades+'!$AH$13,"D+",IF(R642&lt;'PlayerGrades+'!$AH$12,"C-",IF(R642&lt;'PlayerGrades+'!$AH$11,"C",IF(R642&lt;'PlayerGrades+'!$AH$10,"C+",IF(R642&lt;'PlayerGrades+'!$AH$9,"B-",IF(R642&lt;'PlayerGrades+'!$AH$8,"B",IF(R642&lt;'PlayerGrades+'!$AH$7,"B+",IF(R642&lt;'PlayerGrades+'!$AH$6,"A-",IF(R642&lt;'PlayerGrades+'!$AH$5,"A",IF(R642&lt;'PlayerGrades+'!$AH$4,"A+",IF(R642&lt;'PlayerGrades+'!$AH$3,"S-",IF(R642&lt;'PlayerGrades+'!$AH$2,"S","S+"))))))))))))))))))))</f>
        <v>S-</v>
      </c>
      <c r="T642" s="973">
        <f t="shared" si="9"/>
        <v>0.2084137399</v>
      </c>
      <c r="U642" s="973" t="str">
        <f>IF(T642&lt;'PlayerGrades+'!$AI$21,"F-",IF(T642&lt;'PlayerGrades+'!$AI$20,"F",IF(T642&lt;'PlayerGrades+'!$AI$19,"F+",IF(T642&lt;'PlayerGrades+'!$AI$18,"E-",IF(T642&lt;'PlayerGrades+'!$AI$17,"E",IF(T642&lt;'PlayerGrades+'!$AI$16,"E+",IF(T642&lt;'PlayerGrades+'!$AI$15,"D-",IF(T642&lt;'PlayerGrades+'!$AI$14,"D",IF(T642&lt;'PlayerGrades+'!$AI$13,"D+",IF(T642&lt;'PlayerGrades+'!$AI$12,"C-",IF(T642&lt;'PlayerGrades+'!$AI$11,"C",IF(T642&lt;'PlayerGrades+'!$AI$10,"C+",IF(T642&lt;'PlayerGrades+'!$AI$9,"B-",IF(T642&lt;'PlayerGrades+'!$AI$8,"B",IF(T642&lt;'PlayerGrades+'!$AI$7,"B+",IF(T642&lt;'PlayerGrades+'!$AI$6,"A-",IF(T642&lt;'PlayerGrades+'!$AI$5,"A",IF(T642&lt;'PlayerGrades+'!$AI$4,"A+",IF(T642&lt;'PlayerGrades+'!$AI$3,"S-",IF(T642&lt;'PlayerGrades+'!$AI$2,"S","S+"))))))))))))))))))))</f>
        <v>F-</v>
      </c>
      <c r="V642" s="941">
        <v>1.0</v>
      </c>
      <c r="W642" s="941">
        <v>1.0</v>
      </c>
      <c r="X642" s="941">
        <v>0.0</v>
      </c>
      <c r="Y642" s="941">
        <v>5.0</v>
      </c>
      <c r="Z642" s="941">
        <v>29.0</v>
      </c>
      <c r="AA642" s="941">
        <v>87.0</v>
      </c>
      <c r="AB642" s="941">
        <v>52.0</v>
      </c>
      <c r="AC642" s="941">
        <v>35.0</v>
      </c>
      <c r="AD642" s="941">
        <v>2.0</v>
      </c>
      <c r="AE642" s="941">
        <v>7.0</v>
      </c>
      <c r="AF642" s="941">
        <v>1.0</v>
      </c>
      <c r="AG642" s="941">
        <v>2345.0</v>
      </c>
      <c r="AH642" s="941">
        <v>2591.0</v>
      </c>
      <c r="AI642" s="941">
        <v>45.0</v>
      </c>
      <c r="AJ642" s="941">
        <v>1710.0</v>
      </c>
      <c r="AK642" s="941">
        <v>0.0</v>
      </c>
      <c r="AL642" s="941">
        <v>4.0</v>
      </c>
      <c r="AM642" s="941">
        <v>0.0</v>
      </c>
      <c r="AN642" s="941">
        <v>0.0</v>
      </c>
      <c r="AO642" s="941">
        <v>0.0</v>
      </c>
      <c r="AP642" s="941">
        <v>1.0</v>
      </c>
      <c r="AQ642" s="941">
        <v>0.0</v>
      </c>
      <c r="AR642" s="941">
        <v>8.0</v>
      </c>
      <c r="AS642" s="941">
        <v>2.0</v>
      </c>
      <c r="AT642" s="941">
        <v>0.0</v>
      </c>
      <c r="AU642" s="941">
        <v>0.0</v>
      </c>
      <c r="AV642" s="941">
        <v>0.0</v>
      </c>
      <c r="AW642" s="941">
        <v>0.0</v>
      </c>
      <c r="AX642" s="941">
        <v>0.0</v>
      </c>
      <c r="AY642" s="941">
        <v>0.0</v>
      </c>
      <c r="AZ642" s="941">
        <v>0.0</v>
      </c>
      <c r="BA642" s="941">
        <v>0.0</v>
      </c>
      <c r="BB642" s="941">
        <v>1.0</v>
      </c>
      <c r="BC642" s="941">
        <v>0.0</v>
      </c>
      <c r="BD642" s="941">
        <v>28.0</v>
      </c>
      <c r="BE642" s="941">
        <v>9.0</v>
      </c>
      <c r="BF642" s="941">
        <v>0.0</v>
      </c>
      <c r="BG642" s="941">
        <v>1.0</v>
      </c>
    </row>
    <row r="643">
      <c r="A643" s="1" t="s">
        <v>138</v>
      </c>
      <c r="B643" s="421" t="str">
        <f>IF(C643&lt;'PlayerGrades+'!$Y$44,"F-",IF(C643&lt;'PlayerGrades+'!$Y$43,"F",IF(C643&lt;'PlayerGrades+'!$Y$42,"F+",IF(C643&lt;'PlayerGrades+'!$Y$41,"E-",IF(C643&lt;'PlayerGrades+'!$Y$40,"E",IF(C643&lt;'PlayerGrades+'!$Y$39,"E+",IF(C643&lt;'PlayerGrades+'!$Y$38,"D-",IF(C643&lt;'PlayerGrades+'!$Y$37,"D",IF(C643&lt;'PlayerGrades+'!$Y$36,"D+",IF(C643&lt;'PlayerGrades+'!$Y$35,"C-",IF(C643&lt;'PlayerGrades+'!$Y$34,"C",IF(C643&lt;'PlayerGrades+'!$Y$33,"C+",IF(C643&lt;'PlayerGrades+'!$Y$32,"B-",IF(C643&lt;'PlayerGrades+'!$Y$31,"B",IF(C643&lt;'PlayerGrades+'!$Y$30,"B+",IF(C643&lt;'PlayerGrades+'!$Y$29,"A-",IF(C643&lt;'PlayerGrades+'!$Y$28,"A",IF(C643&lt;'PlayerGrades+'!$Y$27,"A+",IF(C643&lt;'PlayerGrades+'!$Y$26,"S-",IF(C643&lt;'PlayerGrades+'!$Y$25,"S","S+"))))))))))))))))))))</f>
        <v>A+</v>
      </c>
      <c r="C643" s="972">
        <f>('PlayerGrades+'!$Y$47*(VLOOKUP(E643, 'PlayerGrades+'!$X$3:$Y$23, 2, FALSE)))+('PlayerGrades+'!$Y$48*(VLOOKUP(G643, 'PlayerGrades+'!$X$3:$Y$23, 2, FALSE)))+('PlayerGrades+'!$Y$49*(VLOOKUP(I643, 'PlayerGrades+'!$X$3:$Y$23, 2, FALSE)))+('PlayerGrades+'!$Y$50*(VLOOKUP(K643, 'PlayerGrades+'!$X$3:$Y$23, 2, FALSE)))+('PlayerGrades+'!$Y$51*(VLOOKUP(M643, 'PlayerGrades+'!$X$3:$Y$23, 2, FALSE)))+('PlayerGrades+'!$Y$52*(VLOOKUP(O643, 'PlayerGrades+'!$X$3:$Y$23, 2, FALSE)))+('PlayerGrades+'!$Y$53*(VLOOKUP(Q643, 'PlayerGrades+'!$X$3:$Y$23, 2, FALSE)))+('PlayerGrades+'!$Y$54*(VLOOKUP(S643, 'PlayerGrades+'!$X$3:$Y$23, 2, FALSE)))+('PlayerGrades+'!$Y$55*(VLOOKUP(U643, 'PlayerGrades+'!$X$3:$Y$23, 2, FALSE)))</f>
        <v>28.2</v>
      </c>
      <c r="D643" s="973">
        <f t="shared" si="1"/>
        <v>0</v>
      </c>
      <c r="E643" s="973" t="str">
        <f>IF(D643&lt;'PlayerGrades+'!$AA$21,"F-",IF(D643&lt;'PlayerGrades+'!$AA$20,"F",IF(D643&lt;'PlayerGrades+'!$AA$19,"F+",IF(D643&lt;'PlayerGrades+'!$AA$18,"E-",IF(D643&lt;'PlayerGrades+'!$AA$17,"E",IF(D643&lt;'PlayerGrades+'!$AA$16,"E+",IF(D643&lt;'PlayerGrades+'!$AA$15,"D-",IF(D643&lt;'PlayerGrades+'!$AA$14,"D",IF(D643&lt;'PlayerGrades+'!$AA$13,"D+",IF(D643&lt;'PlayerGrades+'!$AA$12,"C-",IF(D643&lt;'PlayerGrades+'!$AA$11,"C",IF(D643&lt;'PlayerGrades+'!$AA$10,"C+",IF(D643&lt;'PlayerGrades+'!$AA$9,"B-",IF(D643&lt;'PlayerGrades+'!$AA$8,"B",IF(D643&lt;'PlayerGrades+'!$AA$7,"B+",IF(D643&lt;'PlayerGrades+'!$AA$6,"A-",IF(D643&lt;'PlayerGrades+'!$AA$5,"A",IF(D643&lt;'PlayerGrades+'!$AA$4,"A+",IF(D643&lt;'PlayerGrades+'!$AA$3,"S-",IF(D643&lt;'PlayerGrades+'!$AA$2,"S","S+"))))))))))))))))))))</f>
        <v>F-</v>
      </c>
      <c r="F643" s="973">
        <f t="shared" si="2"/>
        <v>0.6020841374</v>
      </c>
      <c r="G643" s="973" t="str">
        <f>IF(F643&lt;'PlayerGrades+'!$AB$21,"F-",IF(F643&lt;'PlayerGrades+'!$AB$20,"F",IF(F643&lt;'PlayerGrades+'!$AB$19,"F+",IF(F643&lt;'PlayerGrades+'!$AB$18,"E-",IF(F643&lt;'PlayerGrades+'!$AB$17,"E",IF(F643&lt;'PlayerGrades+'!$AB$16,"E+",IF(F643&lt;'PlayerGrades+'!$AB$15,"D-",IF(F643&lt;'PlayerGrades+'!$AB$14,"D",IF(F643&lt;'PlayerGrades+'!$AB$13,"D+",IF(F643&lt;'PlayerGrades+'!$AB$12,"C-",IF(F643&lt;'PlayerGrades+'!$AB$11,"C",IF(F643&lt;'PlayerGrades+'!$AB$10,"C+",IF(F643&lt;'PlayerGrades+'!$AB$9,"B-",IF(F643&lt;'PlayerGrades+'!$AB$8,"B",IF(F643&lt;'PlayerGrades+'!$AB$7,"B+",IF(F643&lt;'PlayerGrades+'!$AB$6,"A-",IF(F643&lt;'PlayerGrades+'!$AB$5,"A",IF(F643&lt;'PlayerGrades+'!$AB$4,"A+",IF(F643&lt;'PlayerGrades+'!$AB$3,"S-",IF(F643&lt;'PlayerGrades+'!$AB$2,"S","S+"))))))))))))))))))))</f>
        <v>S-</v>
      </c>
      <c r="H643" s="973">
        <f t="shared" si="3"/>
        <v>0.02315708221</v>
      </c>
      <c r="I643" s="973" t="str">
        <f>IF(H643&lt;'PlayerGrades+'!$AC$21,"F-",IF(H643&lt;'PlayerGrades+'!$AC$20,"F",IF(H643&lt;'PlayerGrades+'!$AC$19,"F+",IF(H643&lt;'PlayerGrades+'!$AC$18,"E-",IF(H643&lt;'PlayerGrades+'!$AC$17,"E",IF(H643&lt;'PlayerGrades+'!$AC$16,"E+",IF(H643&lt;'PlayerGrades+'!$AC$15,"D-",IF(H643&lt;'PlayerGrades+'!$AC$14,"D",IF(H643&lt;'PlayerGrades+'!$AC$13,"D+",IF(H643&lt;'PlayerGrades+'!$AC$12,"C-",IF(H643&lt;'PlayerGrades+'!$AC$11,"C",IF(H643&lt;'PlayerGrades+'!$AC$10,"C+",IF(H643&lt;'PlayerGrades+'!$AC$9,"B-",IF(H643&lt;'PlayerGrades+'!$AC$8,"B",IF(H643&lt;'PlayerGrades+'!$AC$7,"B+",IF(H643&lt;'PlayerGrades+'!$AC$6,"A-",IF(H643&lt;'PlayerGrades+'!$AC$5,"A",IF(H643&lt;'PlayerGrades+'!$AC$4,"A+",IF(H643&lt;'PlayerGrades+'!$AC$3,"S-",IF(H643&lt;'PlayerGrades+'!$AC$2,"S","S+"))))))))))))))))))))</f>
        <v>F-</v>
      </c>
      <c r="J643" s="973">
        <f t="shared" si="4"/>
        <v>0.115785411</v>
      </c>
      <c r="K643" s="973" t="str">
        <f>IF(J643&lt;'PlayerGrades+'!$AD$21,"F-",IF(J643&lt;'PlayerGrades+'!$AD$20,"F",IF(J643&lt;'PlayerGrades+'!$AD$19,"F+",IF(J643&lt;'PlayerGrades+'!$AD$18,"E-",IF(J643&lt;'PlayerGrades+'!$AD$17,"E",IF(J643&lt;'PlayerGrades+'!$AD$16,"E+",IF(J643&lt;'PlayerGrades+'!$AD$15,"D-",IF(J643&lt;'PlayerGrades+'!$AD$14,"D",IF(J643&lt;'PlayerGrades+'!$AD$13,"D+",IF(J643&lt;'PlayerGrades+'!$AD$12,"C-",IF(J643&lt;'PlayerGrades+'!$AD$11,"C",IF(J643&lt;'PlayerGrades+'!$AD$10,"C+",IF(J643&lt;'PlayerGrades+'!$AD$9,"B-",IF(J643&lt;'PlayerGrades+'!$AD$8,"B",IF(J643&lt;'PlayerGrades+'!$AD$7,"B+",IF(J643&lt;'PlayerGrades+'!$AD$6,"A-",IF(J643&lt;'PlayerGrades+'!$AD$5,"A",IF(J643&lt;'PlayerGrades+'!$AD$4,"A+",IF(J643&lt;'PlayerGrades+'!$AD$3,"S-",IF(J643&lt;'PlayerGrades+'!$AD$2,"S","S+"))))))))))))))))))))</f>
        <v>S+</v>
      </c>
      <c r="L643" s="974">
        <f t="shared" si="5"/>
        <v>0.671555384</v>
      </c>
      <c r="M643" s="975" t="str">
        <f>IF(L643&lt;'PlayerGrades+'!$AE$21,"F-",IF(L643&lt;'PlayerGrades+'!$AE$20,"F",IF(L643&lt;'PlayerGrades+'!$AE$19,"F+",IF(L643&lt;'PlayerGrades+'!$AE$18,"E-",IF(L643&lt;'PlayerGrades+'!$AE$17,"E",IF(L643&lt;'PlayerGrades+'!$AE$16,"E+",IF(L643&lt;'PlayerGrades+'!$AE$15,"D-",IF(L643&lt;'PlayerGrades+'!$AE$14,"D",IF(L643&lt;'PlayerGrades+'!$AE$13,"D+",IF(L643&lt;'PlayerGrades+'!$AE$12,"C-",IF(L643&lt;'PlayerGrades+'!$AE$11,"C",IF(L643&lt;'PlayerGrades+'!$AE$10,"C+",IF(L643&lt;'PlayerGrades+'!$AE$9,"B-",IF(L643&lt;'PlayerGrades+'!$AE$8,"B",IF(L643&lt;'PlayerGrades+'!$AE$7,"B+",IF(L643&lt;'PlayerGrades+'!$AE$6,"A-",IF(L643&lt;'PlayerGrades+'!$AE$5,"A",IF(L643&lt;'PlayerGrades+'!$AE$4,"A+",IF(L643&lt;'PlayerGrades+'!$AE$3,"S-",IF(L643&lt;'PlayerGrades+'!$AE$2,"S","S+"))))))))))))))))))))</f>
        <v>S</v>
      </c>
      <c r="N643" s="973">
        <f t="shared" si="6"/>
        <v>0.2547279043</v>
      </c>
      <c r="O643" s="973" t="str">
        <f>IF(N643&lt;'PlayerGrades+'!$AF$21,"F-",IF(N643&lt;'PlayerGrades+'!$AF$20,"F",IF(N643&lt;'PlayerGrades+'!$AF$19,"F+",IF(N643&lt;'PlayerGrades+'!$AF$18,"E-",IF(N643&lt;'PlayerGrades+'!$AF$17,"E",IF(N643&lt;'PlayerGrades+'!$AF$16,"E+",IF(N643&lt;'PlayerGrades+'!$AF$15,"D-",IF(N643&lt;'PlayerGrades+'!$AF$14,"D",IF(N643&lt;'PlayerGrades+'!$AF$13,"D+",IF(N643&lt;'PlayerGrades+'!$AF$12,"C-",IF(N643&lt;'PlayerGrades+'!$AF$11,"C",IF(N643&lt;'PlayerGrades+'!$AF$10,"C+",IF(N643&lt;'PlayerGrades+'!$AF$9,"B-",IF(N643&lt;'PlayerGrades+'!$AF$8,"B",IF(N643&lt;'PlayerGrades+'!$AF$7,"B+",IF(N643&lt;'PlayerGrades+'!$AF$6,"A-",IF(N643&lt;'PlayerGrades+'!$AF$5,"A",IF(N643&lt;'PlayerGrades+'!$AF$4,"A+",IF(N643&lt;'PlayerGrades+'!$AF$3,"S-",IF(N643&lt;'PlayerGrades+'!$AF$2,"S","S+"))))))))))))))))))))</f>
        <v>S+</v>
      </c>
      <c r="P643" s="973">
        <f t="shared" si="7"/>
        <v>0.115785411</v>
      </c>
      <c r="Q643" s="973" t="str">
        <f>IF(P643&lt;'PlayerGrades+'!$AG$21,"F-",IF(P643&lt;'PlayerGrades+'!$AG$20,"F",IF(P643&lt;'PlayerGrades+'!$AG$19,"F+",IF(P643&lt;'PlayerGrades+'!$AG$18,"E-",IF(P643&lt;'PlayerGrades+'!$AG$17,"E",IF(P643&lt;'PlayerGrades+'!$AG$16,"E+",IF(P643&lt;'PlayerGrades+'!$AG$15,"D-",IF(P643&lt;'PlayerGrades+'!$AG$14,"D",IF(P643&lt;'PlayerGrades+'!$AG$13,"D+",IF(P643&lt;'PlayerGrades+'!$AG$12,"C-",IF(P643&lt;'PlayerGrades+'!$AG$11,"C",IF(P643&lt;'PlayerGrades+'!$AG$10,"C+",IF(P643&lt;'PlayerGrades+'!$AG$9,"B-",IF(P643&lt;'PlayerGrades+'!$AG$8,"B",IF(P643&lt;'PlayerGrades+'!$AG$7,"B+",IF(P643&lt;'PlayerGrades+'!$AG$6,"A-",IF(P643&lt;'PlayerGrades+'!$AG$5,"A",IF(P643&lt;'PlayerGrades+'!$AG$4,"A+",IF(P643&lt;'PlayerGrades+'!$AG$3,"S-",IF(P643&lt;'PlayerGrades+'!$AG$2,"S","S+"))))))))))))))))))))</f>
        <v>S+</v>
      </c>
      <c r="R643" s="973">
        <f t="shared" si="8"/>
        <v>0.8104978773</v>
      </c>
      <c r="S643" s="973" t="str">
        <f>IF(R643&lt;'PlayerGrades+'!$AH$21,"F-",IF(R643&lt;'PlayerGrades+'!$AH$20,"F",IF(R643&lt;'PlayerGrades+'!$AH$19,"F+",IF(R643&lt;'PlayerGrades+'!$AH$18,"E-",IF(R643&lt;'PlayerGrades+'!$AH$17,"E",IF(R643&lt;'PlayerGrades+'!$AH$16,"E+",IF(R643&lt;'PlayerGrades+'!$AH$15,"D-",IF(R643&lt;'PlayerGrades+'!$AH$14,"D",IF(R643&lt;'PlayerGrades+'!$AH$13,"D+",IF(R643&lt;'PlayerGrades+'!$AH$12,"C-",IF(R643&lt;'PlayerGrades+'!$AH$11,"C",IF(R643&lt;'PlayerGrades+'!$AH$10,"C+",IF(R643&lt;'PlayerGrades+'!$AH$9,"B-",IF(R643&lt;'PlayerGrades+'!$AH$8,"B",IF(R643&lt;'PlayerGrades+'!$AH$7,"B+",IF(R643&lt;'PlayerGrades+'!$AH$6,"A-",IF(R643&lt;'PlayerGrades+'!$AH$5,"A",IF(R643&lt;'PlayerGrades+'!$AH$4,"A+",IF(R643&lt;'PlayerGrades+'!$AH$3,"S-",IF(R643&lt;'PlayerGrades+'!$AH$2,"S","S+"))))))))))))))))))))</f>
        <v>S+</v>
      </c>
      <c r="T643" s="973">
        <f t="shared" si="9"/>
        <v>1.463141644</v>
      </c>
      <c r="U643" s="973" t="str">
        <f>IF(T643&lt;'PlayerGrades+'!$AI$21,"F-",IF(T643&lt;'PlayerGrades+'!$AI$20,"F",IF(T643&lt;'PlayerGrades+'!$AI$19,"F+",IF(T643&lt;'PlayerGrades+'!$AI$18,"E-",IF(T643&lt;'PlayerGrades+'!$AI$17,"E",IF(T643&lt;'PlayerGrades+'!$AI$16,"E+",IF(T643&lt;'PlayerGrades+'!$AI$15,"D-",IF(T643&lt;'PlayerGrades+'!$AI$14,"D",IF(T643&lt;'PlayerGrades+'!$AI$13,"D+",IF(T643&lt;'PlayerGrades+'!$AI$12,"C-",IF(T643&lt;'PlayerGrades+'!$AI$11,"C",IF(T643&lt;'PlayerGrades+'!$AI$10,"C+",IF(T643&lt;'PlayerGrades+'!$AI$9,"B-",IF(T643&lt;'PlayerGrades+'!$AI$8,"B",IF(T643&lt;'PlayerGrades+'!$AI$7,"B+",IF(T643&lt;'PlayerGrades+'!$AI$6,"A-",IF(T643&lt;'PlayerGrades+'!$AI$5,"A",IF(T643&lt;'PlayerGrades+'!$AI$4,"A+",IF(T643&lt;'PlayerGrades+'!$AI$3,"S-",IF(T643&lt;'PlayerGrades+'!$AI$2,"S","S+"))))))))))))))))))))</f>
        <v>A-</v>
      </c>
      <c r="V643" s="941">
        <v>1.0</v>
      </c>
      <c r="W643" s="941">
        <v>1.0</v>
      </c>
      <c r="X643" s="941">
        <v>0.0</v>
      </c>
      <c r="Y643" s="941">
        <v>0.0</v>
      </c>
      <c r="Z643" s="941">
        <v>0.0</v>
      </c>
      <c r="AA643" s="941">
        <v>189.0</v>
      </c>
      <c r="AB643" s="941">
        <v>163.0</v>
      </c>
      <c r="AC643" s="941">
        <v>26.0</v>
      </c>
      <c r="AD643" s="941">
        <v>9.0</v>
      </c>
      <c r="AE643" s="941">
        <v>5.0</v>
      </c>
      <c r="AF643" s="941">
        <v>1.0</v>
      </c>
      <c r="AG643" s="941">
        <v>2016.0</v>
      </c>
      <c r="AH643" s="941">
        <v>2591.0</v>
      </c>
      <c r="AI643" s="941">
        <v>12.0</v>
      </c>
      <c r="AJ643" s="941">
        <v>23.0</v>
      </c>
      <c r="AK643" s="941">
        <v>0.0</v>
      </c>
      <c r="AL643" s="941">
        <v>5.0</v>
      </c>
      <c r="AM643" s="941">
        <v>0.0</v>
      </c>
      <c r="AN643" s="941">
        <v>0.0</v>
      </c>
      <c r="AO643" s="941">
        <v>0.0</v>
      </c>
      <c r="AP643" s="941">
        <v>5.0</v>
      </c>
      <c r="AQ643" s="941">
        <v>0.0</v>
      </c>
      <c r="AR643" s="941">
        <v>29.0</v>
      </c>
      <c r="AS643" s="941">
        <v>11.0</v>
      </c>
      <c r="AT643" s="941">
        <v>1.0</v>
      </c>
      <c r="AU643" s="941">
        <v>1.0</v>
      </c>
      <c r="AV643" s="941">
        <v>0.0</v>
      </c>
      <c r="AW643" s="941">
        <v>0.0</v>
      </c>
      <c r="AX643" s="941">
        <v>0.0</v>
      </c>
      <c r="AY643" s="941">
        <v>0.0</v>
      </c>
      <c r="AZ643" s="941">
        <v>0.0</v>
      </c>
      <c r="BA643" s="941">
        <v>0.0</v>
      </c>
      <c r="BB643" s="941">
        <v>1.0</v>
      </c>
      <c r="BC643" s="941">
        <v>0.0</v>
      </c>
      <c r="BD643" s="941">
        <v>26.0</v>
      </c>
      <c r="BE643" s="941">
        <v>20.0</v>
      </c>
      <c r="BF643" s="941">
        <v>1.0</v>
      </c>
      <c r="BG643" s="941">
        <v>1.0</v>
      </c>
    </row>
    <row r="644">
      <c r="A644" s="1" t="s">
        <v>418</v>
      </c>
      <c r="B644" s="421" t="str">
        <f>IF(C644&lt;'PlayerGrades+'!$Y$44,"F-",IF(C644&lt;'PlayerGrades+'!$Y$43,"F",IF(C644&lt;'PlayerGrades+'!$Y$42,"F+",IF(C644&lt;'PlayerGrades+'!$Y$41,"E-",IF(C644&lt;'PlayerGrades+'!$Y$40,"E",IF(C644&lt;'PlayerGrades+'!$Y$39,"E+",IF(C644&lt;'PlayerGrades+'!$Y$38,"D-",IF(C644&lt;'PlayerGrades+'!$Y$37,"D",IF(C644&lt;'PlayerGrades+'!$Y$36,"D+",IF(C644&lt;'PlayerGrades+'!$Y$35,"C-",IF(C644&lt;'PlayerGrades+'!$Y$34,"C",IF(C644&lt;'PlayerGrades+'!$Y$33,"C+",IF(C644&lt;'PlayerGrades+'!$Y$32,"B-",IF(C644&lt;'PlayerGrades+'!$Y$31,"B",IF(C644&lt;'PlayerGrades+'!$Y$30,"B+",IF(C644&lt;'PlayerGrades+'!$Y$29,"A-",IF(C644&lt;'PlayerGrades+'!$Y$28,"A",IF(C644&lt;'PlayerGrades+'!$Y$27,"A+",IF(C644&lt;'PlayerGrades+'!$Y$26,"S-",IF(C644&lt;'PlayerGrades+'!$Y$25,"S","S+"))))))))))))))))))))</f>
        <v>A</v>
      </c>
      <c r="C644" s="972">
        <f>('PlayerGrades+'!$Y$47*(VLOOKUP(E644, 'PlayerGrades+'!$X$3:$Y$23, 2, FALSE)))+('PlayerGrades+'!$Y$48*(VLOOKUP(G644, 'PlayerGrades+'!$X$3:$Y$23, 2, FALSE)))+('PlayerGrades+'!$Y$49*(VLOOKUP(I644, 'PlayerGrades+'!$X$3:$Y$23, 2, FALSE)))+('PlayerGrades+'!$Y$50*(VLOOKUP(K644, 'PlayerGrades+'!$X$3:$Y$23, 2, FALSE)))+('PlayerGrades+'!$Y$51*(VLOOKUP(M644, 'PlayerGrades+'!$X$3:$Y$23, 2, FALSE)))+('PlayerGrades+'!$Y$52*(VLOOKUP(O644, 'PlayerGrades+'!$X$3:$Y$23, 2, FALSE)))+('PlayerGrades+'!$Y$53*(VLOOKUP(Q644, 'PlayerGrades+'!$X$3:$Y$23, 2, FALSE)))+('PlayerGrades+'!$Y$54*(VLOOKUP(S644, 'PlayerGrades+'!$X$3:$Y$23, 2, FALSE)))+('PlayerGrades+'!$Y$55*(VLOOKUP(U644, 'PlayerGrades+'!$X$3:$Y$23, 2, FALSE)))</f>
        <v>28.1</v>
      </c>
      <c r="D644" s="973">
        <f t="shared" si="1"/>
        <v>0</v>
      </c>
      <c r="E644" s="973" t="str">
        <f>IF(D644&lt;'PlayerGrades+'!$AA$21,"F-",IF(D644&lt;'PlayerGrades+'!$AA$20,"F",IF(D644&lt;'PlayerGrades+'!$AA$19,"F+",IF(D644&lt;'PlayerGrades+'!$AA$18,"E-",IF(D644&lt;'PlayerGrades+'!$AA$17,"E",IF(D644&lt;'PlayerGrades+'!$AA$16,"E+",IF(D644&lt;'PlayerGrades+'!$AA$15,"D-",IF(D644&lt;'PlayerGrades+'!$AA$14,"D",IF(D644&lt;'PlayerGrades+'!$AA$13,"D+",IF(D644&lt;'PlayerGrades+'!$AA$12,"C-",IF(D644&lt;'PlayerGrades+'!$AA$11,"C",IF(D644&lt;'PlayerGrades+'!$AA$10,"C+",IF(D644&lt;'PlayerGrades+'!$AA$9,"B-",IF(D644&lt;'PlayerGrades+'!$AA$8,"B",IF(D644&lt;'PlayerGrades+'!$AA$7,"B+",IF(D644&lt;'PlayerGrades+'!$AA$6,"A-",IF(D644&lt;'PlayerGrades+'!$AA$5,"A",IF(D644&lt;'PlayerGrades+'!$AA$4,"A+",IF(D644&lt;'PlayerGrades+'!$AA$3,"S-",IF(D644&lt;'PlayerGrades+'!$AA$2,"S","S+"))))))))))))))))))))</f>
        <v>F-</v>
      </c>
      <c r="F644" s="973">
        <f t="shared" si="2"/>
        <v>1.065225782</v>
      </c>
      <c r="G644" s="973" t="str">
        <f>IF(F644&lt;'PlayerGrades+'!$AB$21,"F-",IF(F644&lt;'PlayerGrades+'!$AB$20,"F",IF(F644&lt;'PlayerGrades+'!$AB$19,"F+",IF(F644&lt;'PlayerGrades+'!$AB$18,"E-",IF(F644&lt;'PlayerGrades+'!$AB$17,"E",IF(F644&lt;'PlayerGrades+'!$AB$16,"E+",IF(F644&lt;'PlayerGrades+'!$AB$15,"D-",IF(F644&lt;'PlayerGrades+'!$AB$14,"D",IF(F644&lt;'PlayerGrades+'!$AB$13,"D+",IF(F644&lt;'PlayerGrades+'!$AB$12,"C-",IF(F644&lt;'PlayerGrades+'!$AB$11,"C",IF(F644&lt;'PlayerGrades+'!$AB$10,"C+",IF(F644&lt;'PlayerGrades+'!$AB$9,"B-",IF(F644&lt;'PlayerGrades+'!$AB$8,"B",IF(F644&lt;'PlayerGrades+'!$AB$7,"B+",IF(F644&lt;'PlayerGrades+'!$AB$6,"A-",IF(F644&lt;'PlayerGrades+'!$AB$5,"A",IF(F644&lt;'PlayerGrades+'!$AB$4,"A+",IF(F644&lt;'PlayerGrades+'!$AB$3,"S-",IF(F644&lt;'PlayerGrades+'!$AB$2,"S","S+"))))))))))))))))))))</f>
        <v>S+</v>
      </c>
      <c r="H644" s="973">
        <f t="shared" si="3"/>
        <v>0.06947124662</v>
      </c>
      <c r="I644" s="973" t="str">
        <f>IF(H644&lt;'PlayerGrades+'!$AC$21,"F-",IF(H644&lt;'PlayerGrades+'!$AC$20,"F",IF(H644&lt;'PlayerGrades+'!$AC$19,"F+",IF(H644&lt;'PlayerGrades+'!$AC$18,"E-",IF(H644&lt;'PlayerGrades+'!$AC$17,"E",IF(H644&lt;'PlayerGrades+'!$AC$16,"E+",IF(H644&lt;'PlayerGrades+'!$AC$15,"D-",IF(H644&lt;'PlayerGrades+'!$AC$14,"D",IF(H644&lt;'PlayerGrades+'!$AC$13,"D+",IF(H644&lt;'PlayerGrades+'!$AC$12,"C-",IF(H644&lt;'PlayerGrades+'!$AC$11,"C",IF(H644&lt;'PlayerGrades+'!$AC$10,"C+",IF(H644&lt;'PlayerGrades+'!$AC$9,"B-",IF(H644&lt;'PlayerGrades+'!$AC$8,"B",IF(H644&lt;'PlayerGrades+'!$AC$7,"B+",IF(H644&lt;'PlayerGrades+'!$AC$6,"A-",IF(H644&lt;'PlayerGrades+'!$AC$5,"A",IF(H644&lt;'PlayerGrades+'!$AC$4,"A+",IF(H644&lt;'PlayerGrades+'!$AC$3,"S-",IF(H644&lt;'PlayerGrades+'!$AC$2,"S","S+"))))))))))))))))))))</f>
        <v>E</v>
      </c>
      <c r="J644" s="973">
        <f t="shared" si="4"/>
        <v>0.115785411</v>
      </c>
      <c r="K644" s="973" t="str">
        <f>IF(J644&lt;'PlayerGrades+'!$AD$21,"F-",IF(J644&lt;'PlayerGrades+'!$AD$20,"F",IF(J644&lt;'PlayerGrades+'!$AD$19,"F+",IF(J644&lt;'PlayerGrades+'!$AD$18,"E-",IF(J644&lt;'PlayerGrades+'!$AD$17,"E",IF(J644&lt;'PlayerGrades+'!$AD$16,"E+",IF(J644&lt;'PlayerGrades+'!$AD$15,"D-",IF(J644&lt;'PlayerGrades+'!$AD$14,"D",IF(J644&lt;'PlayerGrades+'!$AD$13,"D+",IF(J644&lt;'PlayerGrades+'!$AD$12,"C-",IF(J644&lt;'PlayerGrades+'!$AD$11,"C",IF(J644&lt;'PlayerGrades+'!$AD$10,"C+",IF(J644&lt;'PlayerGrades+'!$AD$9,"B-",IF(J644&lt;'PlayerGrades+'!$AD$8,"B",IF(J644&lt;'PlayerGrades+'!$AD$7,"B+",IF(J644&lt;'PlayerGrades+'!$AD$6,"A-",IF(J644&lt;'PlayerGrades+'!$AD$5,"A",IF(J644&lt;'PlayerGrades+'!$AD$4,"A+",IF(J644&lt;'PlayerGrades+'!$AD$3,"S-",IF(J644&lt;'PlayerGrades+'!$AD$2,"S","S+"))))))))))))))))))))</f>
        <v>S+</v>
      </c>
      <c r="L644" s="974">
        <f t="shared" si="5"/>
        <v>0.5789270552</v>
      </c>
      <c r="M644" s="975" t="str">
        <f>IF(L644&lt;'PlayerGrades+'!$AE$21,"F-",IF(L644&lt;'PlayerGrades+'!$AE$20,"F",IF(L644&lt;'PlayerGrades+'!$AE$19,"F+",IF(L644&lt;'PlayerGrades+'!$AE$18,"E-",IF(L644&lt;'PlayerGrades+'!$AE$17,"E",IF(L644&lt;'PlayerGrades+'!$AE$16,"E+",IF(L644&lt;'PlayerGrades+'!$AE$15,"D-",IF(L644&lt;'PlayerGrades+'!$AE$14,"D",IF(L644&lt;'PlayerGrades+'!$AE$13,"D+",IF(L644&lt;'PlayerGrades+'!$AE$12,"C-",IF(L644&lt;'PlayerGrades+'!$AE$11,"C",IF(L644&lt;'PlayerGrades+'!$AE$10,"C+",IF(L644&lt;'PlayerGrades+'!$AE$9,"B-",IF(L644&lt;'PlayerGrades+'!$AE$8,"B",IF(L644&lt;'PlayerGrades+'!$AE$7,"B+",IF(L644&lt;'PlayerGrades+'!$AE$6,"A-",IF(L644&lt;'PlayerGrades+'!$AE$5,"A",IF(L644&lt;'PlayerGrades+'!$AE$4,"A+",IF(L644&lt;'PlayerGrades+'!$AE$3,"S-",IF(L644&lt;'PlayerGrades+'!$AE$2,"S","S+"))))))))))))))))))))</f>
        <v>A</v>
      </c>
      <c r="N644" s="973">
        <f t="shared" si="6"/>
        <v>0.115785411</v>
      </c>
      <c r="O644" s="973" t="str">
        <f>IF(N644&lt;'PlayerGrades+'!$AF$21,"F-",IF(N644&lt;'PlayerGrades+'!$AF$20,"F",IF(N644&lt;'PlayerGrades+'!$AF$19,"F+",IF(N644&lt;'PlayerGrades+'!$AF$18,"E-",IF(N644&lt;'PlayerGrades+'!$AF$17,"E",IF(N644&lt;'PlayerGrades+'!$AF$16,"E+",IF(N644&lt;'PlayerGrades+'!$AF$15,"D-",IF(N644&lt;'PlayerGrades+'!$AF$14,"D",IF(N644&lt;'PlayerGrades+'!$AF$13,"D+",IF(N644&lt;'PlayerGrades+'!$AF$12,"C-",IF(N644&lt;'PlayerGrades+'!$AF$11,"C",IF(N644&lt;'PlayerGrades+'!$AF$10,"C+",IF(N644&lt;'PlayerGrades+'!$AF$9,"B-",IF(N644&lt;'PlayerGrades+'!$AF$8,"B",IF(N644&lt;'PlayerGrades+'!$AF$7,"B+",IF(N644&lt;'PlayerGrades+'!$AF$6,"A-",IF(N644&lt;'PlayerGrades+'!$AF$5,"A",IF(N644&lt;'PlayerGrades+'!$AF$4,"A+",IF(N644&lt;'PlayerGrades+'!$AF$3,"S-",IF(N644&lt;'PlayerGrades+'!$AF$2,"S","S+"))))))))))))))))))))</f>
        <v>S-</v>
      </c>
      <c r="P644" s="973">
        <f t="shared" si="7"/>
        <v>0.115785411</v>
      </c>
      <c r="Q644" s="973" t="str">
        <f>IF(P644&lt;'PlayerGrades+'!$AG$21,"F-",IF(P644&lt;'PlayerGrades+'!$AG$20,"F",IF(P644&lt;'PlayerGrades+'!$AG$19,"F+",IF(P644&lt;'PlayerGrades+'!$AG$18,"E-",IF(P644&lt;'PlayerGrades+'!$AG$17,"E",IF(P644&lt;'PlayerGrades+'!$AG$16,"E+",IF(P644&lt;'PlayerGrades+'!$AG$15,"D-",IF(P644&lt;'PlayerGrades+'!$AG$14,"D",IF(P644&lt;'PlayerGrades+'!$AG$13,"D+",IF(P644&lt;'PlayerGrades+'!$AG$12,"C-",IF(P644&lt;'PlayerGrades+'!$AG$11,"C",IF(P644&lt;'PlayerGrades+'!$AG$10,"C+",IF(P644&lt;'PlayerGrades+'!$AG$9,"B-",IF(P644&lt;'PlayerGrades+'!$AG$8,"B",IF(P644&lt;'PlayerGrades+'!$AG$7,"B+",IF(P644&lt;'PlayerGrades+'!$AG$6,"A-",IF(P644&lt;'PlayerGrades+'!$AG$5,"A",IF(P644&lt;'PlayerGrades+'!$AG$4,"A+",IF(P644&lt;'PlayerGrades+'!$AG$3,"S-",IF(P644&lt;'PlayerGrades+'!$AG$2,"S","S+"))))))))))))))))))))</f>
        <v>S+</v>
      </c>
      <c r="R644" s="973">
        <f t="shared" si="8"/>
        <v>0.8799691239</v>
      </c>
      <c r="S644" s="973" t="str">
        <f>IF(R644&lt;'PlayerGrades+'!$AH$21,"F-",IF(R644&lt;'PlayerGrades+'!$AH$20,"F",IF(R644&lt;'PlayerGrades+'!$AH$19,"F+",IF(R644&lt;'PlayerGrades+'!$AH$18,"E-",IF(R644&lt;'PlayerGrades+'!$AH$17,"E",IF(R644&lt;'PlayerGrades+'!$AH$16,"E+",IF(R644&lt;'PlayerGrades+'!$AH$15,"D-",IF(R644&lt;'PlayerGrades+'!$AH$14,"D",IF(R644&lt;'PlayerGrades+'!$AH$13,"D+",IF(R644&lt;'PlayerGrades+'!$AH$12,"C-",IF(R644&lt;'PlayerGrades+'!$AH$11,"C",IF(R644&lt;'PlayerGrades+'!$AH$10,"C+",IF(R644&lt;'PlayerGrades+'!$AH$9,"B-",IF(R644&lt;'PlayerGrades+'!$AH$8,"B",IF(R644&lt;'PlayerGrades+'!$AH$7,"B+",IF(R644&lt;'PlayerGrades+'!$AH$6,"A-",IF(R644&lt;'PlayerGrades+'!$AH$5,"A",IF(R644&lt;'PlayerGrades+'!$AH$4,"A+",IF(R644&lt;'PlayerGrades+'!$AH$3,"S-",IF(R644&lt;'PlayerGrades+'!$AH$2,"S","S+"))))))))))))))))))))</f>
        <v>S+</v>
      </c>
      <c r="T644" s="973">
        <f t="shared" si="9"/>
        <v>1.370513315</v>
      </c>
      <c r="U644" s="973" t="str">
        <f>IF(T644&lt;'PlayerGrades+'!$AI$21,"F-",IF(T644&lt;'PlayerGrades+'!$AI$20,"F",IF(T644&lt;'PlayerGrades+'!$AI$19,"F+",IF(T644&lt;'PlayerGrades+'!$AI$18,"E-",IF(T644&lt;'PlayerGrades+'!$AI$17,"E",IF(T644&lt;'PlayerGrades+'!$AI$16,"E+",IF(T644&lt;'PlayerGrades+'!$AI$15,"D-",IF(T644&lt;'PlayerGrades+'!$AI$14,"D",IF(T644&lt;'PlayerGrades+'!$AI$13,"D+",IF(T644&lt;'PlayerGrades+'!$AI$12,"C-",IF(T644&lt;'PlayerGrades+'!$AI$11,"C",IF(T644&lt;'PlayerGrades+'!$AI$10,"C+",IF(T644&lt;'PlayerGrades+'!$AI$9,"B-",IF(T644&lt;'PlayerGrades+'!$AI$8,"B",IF(T644&lt;'PlayerGrades+'!$AI$7,"B+",IF(T644&lt;'PlayerGrades+'!$AI$6,"A-",IF(T644&lt;'PlayerGrades+'!$AI$5,"A",IF(T644&lt;'PlayerGrades+'!$AI$4,"A+",IF(T644&lt;'PlayerGrades+'!$AI$3,"S-",IF(T644&lt;'PlayerGrades+'!$AI$2,"S","S+"))))))))))))))))))))</f>
        <v>B</v>
      </c>
      <c r="V644" s="941">
        <v>1.0</v>
      </c>
      <c r="W644" s="941">
        <v>1.0</v>
      </c>
      <c r="X644" s="941">
        <v>0.0</v>
      </c>
      <c r="Y644" s="941">
        <v>0.0</v>
      </c>
      <c r="Z644" s="941">
        <v>0.0</v>
      </c>
      <c r="AA644" s="941">
        <v>163.0</v>
      </c>
      <c r="AB644" s="941">
        <v>117.0</v>
      </c>
      <c r="AC644" s="941">
        <v>46.0</v>
      </c>
      <c r="AD644" s="941">
        <v>9.0</v>
      </c>
      <c r="AE644" s="941">
        <v>7.0</v>
      </c>
      <c r="AF644" s="941">
        <v>1.0</v>
      </c>
      <c r="AG644" s="941">
        <v>2151.0</v>
      </c>
      <c r="AH644" s="941">
        <v>2591.0</v>
      </c>
      <c r="AI644" s="941">
        <v>18.0</v>
      </c>
      <c r="AJ644" s="941">
        <v>30.0</v>
      </c>
      <c r="AK644" s="941">
        <v>0.0</v>
      </c>
      <c r="AL644" s="941">
        <v>5.0</v>
      </c>
      <c r="AM644" s="941">
        <v>0.0</v>
      </c>
      <c r="AN644" s="941">
        <v>0.0</v>
      </c>
      <c r="AO644" s="941">
        <v>0.0</v>
      </c>
      <c r="AP644" s="941">
        <v>5.0</v>
      </c>
      <c r="AQ644" s="941">
        <v>0.0</v>
      </c>
      <c r="AR644" s="941">
        <v>25.0</v>
      </c>
      <c r="AS644" s="941">
        <v>5.0</v>
      </c>
      <c r="AT644" s="941">
        <v>0.0</v>
      </c>
      <c r="AU644" s="941">
        <v>0.0</v>
      </c>
      <c r="AV644" s="941">
        <v>0.0</v>
      </c>
      <c r="AW644" s="941">
        <v>0.0</v>
      </c>
      <c r="AX644" s="941">
        <v>0.0</v>
      </c>
      <c r="AY644" s="941">
        <v>0.0</v>
      </c>
      <c r="AZ644" s="941">
        <v>0.0</v>
      </c>
      <c r="BA644" s="941">
        <v>0.0</v>
      </c>
      <c r="BB644" s="941">
        <v>3.0</v>
      </c>
      <c r="BC644" s="941">
        <v>0.0</v>
      </c>
      <c r="BD644" s="941">
        <v>29.0</v>
      </c>
      <c r="BE644" s="941">
        <v>16.0</v>
      </c>
      <c r="BF644" s="941">
        <v>1.0</v>
      </c>
      <c r="BG644" s="941">
        <v>1.0</v>
      </c>
    </row>
    <row r="645">
      <c r="A645" s="1" t="s">
        <v>392</v>
      </c>
      <c r="B645" s="421" t="str">
        <f>IF(C645&lt;'PlayerGrades+'!$Y$44,"F-",IF(C645&lt;'PlayerGrades+'!$Y$43,"F",IF(C645&lt;'PlayerGrades+'!$Y$42,"F+",IF(C645&lt;'PlayerGrades+'!$Y$41,"E-",IF(C645&lt;'PlayerGrades+'!$Y$40,"E",IF(C645&lt;'PlayerGrades+'!$Y$39,"E+",IF(C645&lt;'PlayerGrades+'!$Y$38,"D-",IF(C645&lt;'PlayerGrades+'!$Y$37,"D",IF(C645&lt;'PlayerGrades+'!$Y$36,"D+",IF(C645&lt;'PlayerGrades+'!$Y$35,"C-",IF(C645&lt;'PlayerGrades+'!$Y$34,"C",IF(C645&lt;'PlayerGrades+'!$Y$33,"C+",IF(C645&lt;'PlayerGrades+'!$Y$32,"B-",IF(C645&lt;'PlayerGrades+'!$Y$31,"B",IF(C645&lt;'PlayerGrades+'!$Y$30,"B+",IF(C645&lt;'PlayerGrades+'!$Y$29,"A-",IF(C645&lt;'PlayerGrades+'!$Y$28,"A",IF(C645&lt;'PlayerGrades+'!$Y$27,"A+",IF(C645&lt;'PlayerGrades+'!$Y$26,"S-",IF(C645&lt;'PlayerGrades+'!$Y$25,"S","S+"))))))))))))))))))))</f>
        <v>D</v>
      </c>
      <c r="C645" s="972">
        <f>('PlayerGrades+'!$Y$47*(VLOOKUP(E645, 'PlayerGrades+'!$X$3:$Y$23, 2, FALSE)))+('PlayerGrades+'!$Y$48*(VLOOKUP(G645, 'PlayerGrades+'!$X$3:$Y$23, 2, FALSE)))+('PlayerGrades+'!$Y$49*(VLOOKUP(I645, 'PlayerGrades+'!$X$3:$Y$23, 2, FALSE)))+('PlayerGrades+'!$Y$50*(VLOOKUP(K645, 'PlayerGrades+'!$X$3:$Y$23, 2, FALSE)))+('PlayerGrades+'!$Y$51*(VLOOKUP(M645, 'PlayerGrades+'!$X$3:$Y$23, 2, FALSE)))+('PlayerGrades+'!$Y$52*(VLOOKUP(O645, 'PlayerGrades+'!$X$3:$Y$23, 2, FALSE)))+('PlayerGrades+'!$Y$53*(VLOOKUP(Q645, 'PlayerGrades+'!$X$3:$Y$23, 2, FALSE)))+('PlayerGrades+'!$Y$54*(VLOOKUP(S645, 'PlayerGrades+'!$X$3:$Y$23, 2, FALSE)))+('PlayerGrades+'!$Y$55*(VLOOKUP(U645, 'PlayerGrades+'!$X$3:$Y$23, 2, FALSE)))</f>
        <v>17</v>
      </c>
      <c r="D645" s="973">
        <f t="shared" si="1"/>
        <v>0</v>
      </c>
      <c r="E645" s="973" t="str">
        <f>IF(D645&lt;'PlayerGrades+'!$AA$21,"F-",IF(D645&lt;'PlayerGrades+'!$AA$20,"F",IF(D645&lt;'PlayerGrades+'!$AA$19,"F+",IF(D645&lt;'PlayerGrades+'!$AA$18,"E-",IF(D645&lt;'PlayerGrades+'!$AA$17,"E",IF(D645&lt;'PlayerGrades+'!$AA$16,"E+",IF(D645&lt;'PlayerGrades+'!$AA$15,"D-",IF(D645&lt;'PlayerGrades+'!$AA$14,"D",IF(D645&lt;'PlayerGrades+'!$AA$13,"D+",IF(D645&lt;'PlayerGrades+'!$AA$12,"C-",IF(D645&lt;'PlayerGrades+'!$AA$11,"C",IF(D645&lt;'PlayerGrades+'!$AA$10,"C+",IF(D645&lt;'PlayerGrades+'!$AA$9,"B-",IF(D645&lt;'PlayerGrades+'!$AA$8,"B",IF(D645&lt;'PlayerGrades+'!$AA$7,"B+",IF(D645&lt;'PlayerGrades+'!$AA$6,"A-",IF(D645&lt;'PlayerGrades+'!$AA$5,"A",IF(D645&lt;'PlayerGrades+'!$AA$4,"A+",IF(D645&lt;'PlayerGrades+'!$AA$3,"S-",IF(D645&lt;'PlayerGrades+'!$AA$2,"S","S+"))))))))))))))))))))</f>
        <v>F-</v>
      </c>
      <c r="F645" s="973">
        <f t="shared" si="2"/>
        <v>-0.7641837129</v>
      </c>
      <c r="G645" s="973" t="str">
        <f>IF(F645&lt;'PlayerGrades+'!$AB$21,"F-",IF(F645&lt;'PlayerGrades+'!$AB$20,"F",IF(F645&lt;'PlayerGrades+'!$AB$19,"F+",IF(F645&lt;'PlayerGrades+'!$AB$18,"E-",IF(F645&lt;'PlayerGrades+'!$AB$17,"E",IF(F645&lt;'PlayerGrades+'!$AB$16,"E+",IF(F645&lt;'PlayerGrades+'!$AB$15,"D-",IF(F645&lt;'PlayerGrades+'!$AB$14,"D",IF(F645&lt;'PlayerGrades+'!$AB$13,"D+",IF(F645&lt;'PlayerGrades+'!$AB$12,"C-",IF(F645&lt;'PlayerGrades+'!$AB$11,"C",IF(F645&lt;'PlayerGrades+'!$AB$10,"C+",IF(F645&lt;'PlayerGrades+'!$AB$9,"B-",IF(F645&lt;'PlayerGrades+'!$AB$8,"B",IF(F645&lt;'PlayerGrades+'!$AB$7,"B+",IF(F645&lt;'PlayerGrades+'!$AB$6,"A-",IF(F645&lt;'PlayerGrades+'!$AB$5,"A",IF(F645&lt;'PlayerGrades+'!$AB$4,"A+",IF(F645&lt;'PlayerGrades+'!$AB$3,"S-",IF(F645&lt;'PlayerGrades+'!$AB$2,"S","S+"))))))))))))))))))))</f>
        <v>E+</v>
      </c>
      <c r="H645" s="973">
        <f t="shared" si="3"/>
        <v>0.09262832883</v>
      </c>
      <c r="I645" s="973" t="str">
        <f>IF(H645&lt;'PlayerGrades+'!$AC$21,"F-",IF(H645&lt;'PlayerGrades+'!$AC$20,"F",IF(H645&lt;'PlayerGrades+'!$AC$19,"F+",IF(H645&lt;'PlayerGrades+'!$AC$18,"E-",IF(H645&lt;'PlayerGrades+'!$AC$17,"E",IF(H645&lt;'PlayerGrades+'!$AC$16,"E+",IF(H645&lt;'PlayerGrades+'!$AC$15,"D-",IF(H645&lt;'PlayerGrades+'!$AC$14,"D",IF(H645&lt;'PlayerGrades+'!$AC$13,"D+",IF(H645&lt;'PlayerGrades+'!$AC$12,"C-",IF(H645&lt;'PlayerGrades+'!$AC$11,"C",IF(H645&lt;'PlayerGrades+'!$AC$10,"C+",IF(H645&lt;'PlayerGrades+'!$AC$9,"B-",IF(H645&lt;'PlayerGrades+'!$AC$8,"B",IF(H645&lt;'PlayerGrades+'!$AC$7,"B+",IF(H645&lt;'PlayerGrades+'!$AC$6,"A-",IF(H645&lt;'PlayerGrades+'!$AC$5,"A",IF(H645&lt;'PlayerGrades+'!$AC$4,"A+",IF(H645&lt;'PlayerGrades+'!$AC$3,"S-",IF(H645&lt;'PlayerGrades+'!$AC$2,"S","S+"))))))))))))))))))))</f>
        <v>D+</v>
      </c>
      <c r="J645" s="973">
        <f t="shared" si="4"/>
        <v>0.02315708221</v>
      </c>
      <c r="K645" s="973" t="str">
        <f>IF(J645&lt;'PlayerGrades+'!$AD$21,"F-",IF(J645&lt;'PlayerGrades+'!$AD$20,"F",IF(J645&lt;'PlayerGrades+'!$AD$19,"F+",IF(J645&lt;'PlayerGrades+'!$AD$18,"E-",IF(J645&lt;'PlayerGrades+'!$AD$17,"E",IF(J645&lt;'PlayerGrades+'!$AD$16,"E+",IF(J645&lt;'PlayerGrades+'!$AD$15,"D-",IF(J645&lt;'PlayerGrades+'!$AD$14,"D",IF(J645&lt;'PlayerGrades+'!$AD$13,"D+",IF(J645&lt;'PlayerGrades+'!$AD$12,"C-",IF(J645&lt;'PlayerGrades+'!$AD$11,"C",IF(J645&lt;'PlayerGrades+'!$AD$10,"C+",IF(J645&lt;'PlayerGrades+'!$AD$9,"B-",IF(J645&lt;'PlayerGrades+'!$AD$8,"B",IF(J645&lt;'PlayerGrades+'!$AD$7,"B+",IF(J645&lt;'PlayerGrades+'!$AD$6,"A-",IF(J645&lt;'PlayerGrades+'!$AD$5,"A",IF(J645&lt;'PlayerGrades+'!$AD$4,"A+",IF(J645&lt;'PlayerGrades+'!$AD$3,"S-",IF(J645&lt;'PlayerGrades+'!$AD$2,"S","S+"))))))))))))))))))))</f>
        <v>D-</v>
      </c>
      <c r="L645" s="974">
        <f t="shared" si="5"/>
        <v>0.3936703975</v>
      </c>
      <c r="M645" s="975" t="str">
        <f>IF(L645&lt;'PlayerGrades+'!$AE$21,"F-",IF(L645&lt;'PlayerGrades+'!$AE$20,"F",IF(L645&lt;'PlayerGrades+'!$AE$19,"F+",IF(L645&lt;'PlayerGrades+'!$AE$18,"E-",IF(L645&lt;'PlayerGrades+'!$AE$17,"E",IF(L645&lt;'PlayerGrades+'!$AE$16,"E+",IF(L645&lt;'PlayerGrades+'!$AE$15,"D-",IF(L645&lt;'PlayerGrades+'!$AE$14,"D",IF(L645&lt;'PlayerGrades+'!$AE$13,"D+",IF(L645&lt;'PlayerGrades+'!$AE$12,"C-",IF(L645&lt;'PlayerGrades+'!$AE$11,"C",IF(L645&lt;'PlayerGrades+'!$AE$10,"C+",IF(L645&lt;'PlayerGrades+'!$AE$9,"B-",IF(L645&lt;'PlayerGrades+'!$AE$8,"B",IF(L645&lt;'PlayerGrades+'!$AE$7,"B+",IF(L645&lt;'PlayerGrades+'!$AE$6,"A-",IF(L645&lt;'PlayerGrades+'!$AE$5,"A",IF(L645&lt;'PlayerGrades+'!$AE$4,"A+",IF(L645&lt;'PlayerGrades+'!$AE$3,"S-",IF(L645&lt;'PlayerGrades+'!$AE$2,"S","S+"))))))))))))))))))))</f>
        <v>C</v>
      </c>
      <c r="N645" s="973">
        <f t="shared" si="6"/>
        <v>0.06947124662</v>
      </c>
      <c r="O645" s="973" t="str">
        <f>IF(N645&lt;'PlayerGrades+'!$AF$21,"F-",IF(N645&lt;'PlayerGrades+'!$AF$20,"F",IF(N645&lt;'PlayerGrades+'!$AF$19,"F+",IF(N645&lt;'PlayerGrades+'!$AF$18,"E-",IF(N645&lt;'PlayerGrades+'!$AF$17,"E",IF(N645&lt;'PlayerGrades+'!$AF$16,"E+",IF(N645&lt;'PlayerGrades+'!$AF$15,"D-",IF(N645&lt;'PlayerGrades+'!$AF$14,"D",IF(N645&lt;'PlayerGrades+'!$AF$13,"D+",IF(N645&lt;'PlayerGrades+'!$AF$12,"C-",IF(N645&lt;'PlayerGrades+'!$AF$11,"C",IF(N645&lt;'PlayerGrades+'!$AF$10,"C+",IF(N645&lt;'PlayerGrades+'!$AF$9,"B-",IF(N645&lt;'PlayerGrades+'!$AF$8,"B",IF(N645&lt;'PlayerGrades+'!$AF$7,"B+",IF(N645&lt;'PlayerGrades+'!$AF$6,"A-",IF(N645&lt;'PlayerGrades+'!$AF$5,"A",IF(N645&lt;'PlayerGrades+'!$AF$4,"A+",IF(N645&lt;'PlayerGrades+'!$AF$3,"S-",IF(N645&lt;'PlayerGrades+'!$AF$2,"S","S+"))))))))))))))))))))</f>
        <v>C-</v>
      </c>
      <c r="P645" s="973">
        <f t="shared" si="7"/>
        <v>0.02315708221</v>
      </c>
      <c r="Q645" s="973" t="str">
        <f>IF(P645&lt;'PlayerGrades+'!$AG$21,"F-",IF(P645&lt;'PlayerGrades+'!$AG$20,"F",IF(P645&lt;'PlayerGrades+'!$AG$19,"F+",IF(P645&lt;'PlayerGrades+'!$AG$18,"E-",IF(P645&lt;'PlayerGrades+'!$AG$17,"E",IF(P645&lt;'PlayerGrades+'!$AG$16,"E+",IF(P645&lt;'PlayerGrades+'!$AG$15,"D-",IF(P645&lt;'PlayerGrades+'!$AG$14,"D",IF(P645&lt;'PlayerGrades+'!$AG$13,"D+",IF(P645&lt;'PlayerGrades+'!$AG$12,"C-",IF(P645&lt;'PlayerGrades+'!$AG$11,"C",IF(P645&lt;'PlayerGrades+'!$AG$10,"C+",IF(P645&lt;'PlayerGrades+'!$AG$9,"B-",IF(P645&lt;'PlayerGrades+'!$AG$8,"B",IF(P645&lt;'PlayerGrades+'!$AG$7,"B+",IF(P645&lt;'PlayerGrades+'!$AG$6,"A-",IF(P645&lt;'PlayerGrades+'!$AG$5,"A",IF(P645&lt;'PlayerGrades+'!$AG$4,"A+",IF(P645&lt;'PlayerGrades+'!$AG$3,"S-",IF(P645&lt;'PlayerGrades+'!$AG$2,"S","S+"))))))))))))))))))))</f>
        <v>B-</v>
      </c>
      <c r="R645" s="973">
        <f t="shared" si="8"/>
        <v>0.5326128908</v>
      </c>
      <c r="S645" s="973" t="str">
        <f>IF(R645&lt;'PlayerGrades+'!$AH$21,"F-",IF(R645&lt;'PlayerGrades+'!$AH$20,"F",IF(R645&lt;'PlayerGrades+'!$AH$19,"F+",IF(R645&lt;'PlayerGrades+'!$AH$18,"E-",IF(R645&lt;'PlayerGrades+'!$AH$17,"E",IF(R645&lt;'PlayerGrades+'!$AH$16,"E+",IF(R645&lt;'PlayerGrades+'!$AH$15,"D-",IF(R645&lt;'PlayerGrades+'!$AH$14,"D",IF(R645&lt;'PlayerGrades+'!$AH$13,"D+",IF(R645&lt;'PlayerGrades+'!$AH$12,"C-",IF(R645&lt;'PlayerGrades+'!$AH$11,"C",IF(R645&lt;'PlayerGrades+'!$AH$10,"C+",IF(R645&lt;'PlayerGrades+'!$AH$9,"B-",IF(R645&lt;'PlayerGrades+'!$AH$8,"B",IF(R645&lt;'PlayerGrades+'!$AH$7,"B+",IF(R645&lt;'PlayerGrades+'!$AH$6,"A-",IF(R645&lt;'PlayerGrades+'!$AH$5,"A",IF(R645&lt;'PlayerGrades+'!$AH$4,"A+",IF(R645&lt;'PlayerGrades+'!$AH$3,"S-",IF(R645&lt;'PlayerGrades+'!$AH$2,"S","S+"))))))))))))))))))))</f>
        <v>C+</v>
      </c>
      <c r="T645" s="973">
        <f t="shared" si="9"/>
        <v>1.463141644</v>
      </c>
      <c r="U645" s="973" t="str">
        <f>IF(T645&lt;'PlayerGrades+'!$AI$21,"F-",IF(T645&lt;'PlayerGrades+'!$AI$20,"F",IF(T645&lt;'PlayerGrades+'!$AI$19,"F+",IF(T645&lt;'PlayerGrades+'!$AI$18,"E-",IF(T645&lt;'PlayerGrades+'!$AI$17,"E",IF(T645&lt;'PlayerGrades+'!$AI$16,"E+",IF(T645&lt;'PlayerGrades+'!$AI$15,"D-",IF(T645&lt;'PlayerGrades+'!$AI$14,"D",IF(T645&lt;'PlayerGrades+'!$AI$13,"D+",IF(T645&lt;'PlayerGrades+'!$AI$12,"C-",IF(T645&lt;'PlayerGrades+'!$AI$11,"C",IF(T645&lt;'PlayerGrades+'!$AI$10,"C+",IF(T645&lt;'PlayerGrades+'!$AI$9,"B-",IF(T645&lt;'PlayerGrades+'!$AI$8,"B",IF(T645&lt;'PlayerGrades+'!$AI$7,"B+",IF(T645&lt;'PlayerGrades+'!$AI$6,"A-",IF(T645&lt;'PlayerGrades+'!$AI$5,"A",IF(T645&lt;'PlayerGrades+'!$AI$4,"A+",IF(T645&lt;'PlayerGrades+'!$AI$3,"S-",IF(T645&lt;'PlayerGrades+'!$AI$2,"S","S+"))))))))))))))))))))</f>
        <v>A-</v>
      </c>
      <c r="V645" s="941">
        <v>1.0</v>
      </c>
      <c r="W645" s="941">
        <v>1.0</v>
      </c>
      <c r="X645" s="941">
        <v>0.0</v>
      </c>
      <c r="Y645" s="941">
        <v>0.0</v>
      </c>
      <c r="Z645" s="941">
        <v>0.0</v>
      </c>
      <c r="AA645" s="941">
        <v>146.0</v>
      </c>
      <c r="AB645" s="941">
        <v>179.0</v>
      </c>
      <c r="AC645" s="941">
        <v>-33.0</v>
      </c>
      <c r="AD645" s="941">
        <v>12.0</v>
      </c>
      <c r="AE645" s="941">
        <v>6.0</v>
      </c>
      <c r="AF645" s="941">
        <v>1.0</v>
      </c>
      <c r="AG645" s="941">
        <v>1958.0</v>
      </c>
      <c r="AH645" s="941">
        <v>2591.0</v>
      </c>
      <c r="AI645" s="941">
        <v>10.0</v>
      </c>
      <c r="AJ645" s="941">
        <v>1.0</v>
      </c>
      <c r="AK645" s="941">
        <v>0.0</v>
      </c>
      <c r="AL645" s="941">
        <v>1.0</v>
      </c>
      <c r="AM645" s="941">
        <v>0.0</v>
      </c>
      <c r="AN645" s="941">
        <v>0.0</v>
      </c>
      <c r="AO645" s="941">
        <v>0.0</v>
      </c>
      <c r="AP645" s="941">
        <v>1.0</v>
      </c>
      <c r="AQ645" s="941">
        <v>0.0</v>
      </c>
      <c r="AR645" s="941">
        <v>17.0</v>
      </c>
      <c r="AS645" s="941">
        <v>3.0</v>
      </c>
      <c r="AT645" s="941">
        <v>0.0</v>
      </c>
      <c r="AU645" s="941">
        <v>0.0</v>
      </c>
      <c r="AV645" s="941">
        <v>0.0</v>
      </c>
      <c r="AW645" s="941">
        <v>0.0</v>
      </c>
      <c r="AX645" s="941">
        <v>0.0</v>
      </c>
      <c r="AY645" s="941">
        <v>0.0</v>
      </c>
      <c r="AZ645" s="941">
        <v>0.0</v>
      </c>
      <c r="BA645" s="941">
        <v>0.0</v>
      </c>
      <c r="BB645" s="941">
        <v>4.0</v>
      </c>
      <c r="BC645" s="941">
        <v>0.0</v>
      </c>
      <c r="BD645" s="941">
        <v>11.0</v>
      </c>
      <c r="BE645" s="941">
        <v>20.0</v>
      </c>
      <c r="BF645" s="941">
        <v>1.0</v>
      </c>
      <c r="BG645" s="941">
        <v>1.0</v>
      </c>
    </row>
    <row r="646">
      <c r="A646" s="1" t="s">
        <v>132</v>
      </c>
      <c r="B646" s="421" t="str">
        <f>IF(C646&lt;'PlayerGrades+'!$Y$44,"F-",IF(C646&lt;'PlayerGrades+'!$Y$43,"F",IF(C646&lt;'PlayerGrades+'!$Y$42,"F+",IF(C646&lt;'PlayerGrades+'!$Y$41,"E-",IF(C646&lt;'PlayerGrades+'!$Y$40,"E",IF(C646&lt;'PlayerGrades+'!$Y$39,"E+",IF(C646&lt;'PlayerGrades+'!$Y$38,"D-",IF(C646&lt;'PlayerGrades+'!$Y$37,"D",IF(C646&lt;'PlayerGrades+'!$Y$36,"D+",IF(C646&lt;'PlayerGrades+'!$Y$35,"C-",IF(C646&lt;'PlayerGrades+'!$Y$34,"C",IF(C646&lt;'PlayerGrades+'!$Y$33,"C+",IF(C646&lt;'PlayerGrades+'!$Y$32,"B-",IF(C646&lt;'PlayerGrades+'!$Y$31,"B",IF(C646&lt;'PlayerGrades+'!$Y$30,"B+",IF(C646&lt;'PlayerGrades+'!$Y$29,"A-",IF(C646&lt;'PlayerGrades+'!$Y$28,"A",IF(C646&lt;'PlayerGrades+'!$Y$27,"A+",IF(C646&lt;'PlayerGrades+'!$Y$26,"S-",IF(C646&lt;'PlayerGrades+'!$Y$25,"S","S+"))))))))))))))))))))</f>
        <v>D+</v>
      </c>
      <c r="C646" s="972">
        <f>('PlayerGrades+'!$Y$47*(VLOOKUP(E646, 'PlayerGrades+'!$X$3:$Y$23, 2, FALSE)))+('PlayerGrades+'!$Y$48*(VLOOKUP(G646, 'PlayerGrades+'!$X$3:$Y$23, 2, FALSE)))+('PlayerGrades+'!$Y$49*(VLOOKUP(I646, 'PlayerGrades+'!$X$3:$Y$23, 2, FALSE)))+('PlayerGrades+'!$Y$50*(VLOOKUP(K646, 'PlayerGrades+'!$X$3:$Y$23, 2, FALSE)))+('PlayerGrades+'!$Y$51*(VLOOKUP(M646, 'PlayerGrades+'!$X$3:$Y$23, 2, FALSE)))+('PlayerGrades+'!$Y$52*(VLOOKUP(O646, 'PlayerGrades+'!$X$3:$Y$23, 2, FALSE)))+('PlayerGrades+'!$Y$53*(VLOOKUP(Q646, 'PlayerGrades+'!$X$3:$Y$23, 2, FALSE)))+('PlayerGrades+'!$Y$54*(VLOOKUP(S646, 'PlayerGrades+'!$X$3:$Y$23, 2, FALSE)))+('PlayerGrades+'!$Y$55*(VLOOKUP(U646, 'PlayerGrades+'!$X$3:$Y$23, 2, FALSE)))</f>
        <v>17.2</v>
      </c>
      <c r="D646" s="973">
        <f t="shared" si="1"/>
        <v>0.3936703975</v>
      </c>
      <c r="E646" s="973" t="str">
        <f>IF(D646&lt;'PlayerGrades+'!$AA$21,"F-",IF(D646&lt;'PlayerGrades+'!$AA$20,"F",IF(D646&lt;'PlayerGrades+'!$AA$19,"F+",IF(D646&lt;'PlayerGrades+'!$AA$18,"E-",IF(D646&lt;'PlayerGrades+'!$AA$17,"E",IF(D646&lt;'PlayerGrades+'!$AA$16,"E+",IF(D646&lt;'PlayerGrades+'!$AA$15,"D-",IF(D646&lt;'PlayerGrades+'!$AA$14,"D",IF(D646&lt;'PlayerGrades+'!$AA$13,"D+",IF(D646&lt;'PlayerGrades+'!$AA$12,"C-",IF(D646&lt;'PlayerGrades+'!$AA$11,"C",IF(D646&lt;'PlayerGrades+'!$AA$10,"C+",IF(D646&lt;'PlayerGrades+'!$AA$9,"B-",IF(D646&lt;'PlayerGrades+'!$AA$8,"B",IF(D646&lt;'PlayerGrades+'!$AA$7,"B+",IF(D646&lt;'PlayerGrades+'!$AA$6,"A-",IF(D646&lt;'PlayerGrades+'!$AA$5,"A",IF(D646&lt;'PlayerGrades+'!$AA$4,"A+",IF(D646&lt;'PlayerGrades+'!$AA$3,"S-",IF(D646&lt;'PlayerGrades+'!$AA$2,"S","S+"))))))))))))))))))))</f>
        <v>A+</v>
      </c>
      <c r="F646" s="973">
        <f t="shared" si="2"/>
        <v>-0.02315708221</v>
      </c>
      <c r="G646" s="973" t="str">
        <f>IF(F646&lt;'PlayerGrades+'!$AB$21,"F-",IF(F646&lt;'PlayerGrades+'!$AB$20,"F",IF(F646&lt;'PlayerGrades+'!$AB$19,"F+",IF(F646&lt;'PlayerGrades+'!$AB$18,"E-",IF(F646&lt;'PlayerGrades+'!$AB$17,"E",IF(F646&lt;'PlayerGrades+'!$AB$16,"E+",IF(F646&lt;'PlayerGrades+'!$AB$15,"D-",IF(F646&lt;'PlayerGrades+'!$AB$14,"D",IF(F646&lt;'PlayerGrades+'!$AB$13,"D+",IF(F646&lt;'PlayerGrades+'!$AB$12,"C-",IF(F646&lt;'PlayerGrades+'!$AB$11,"C",IF(F646&lt;'PlayerGrades+'!$AB$10,"C+",IF(F646&lt;'PlayerGrades+'!$AB$9,"B-",IF(F646&lt;'PlayerGrades+'!$AB$8,"B",IF(F646&lt;'PlayerGrades+'!$AB$7,"B+",IF(F646&lt;'PlayerGrades+'!$AB$6,"A-",IF(F646&lt;'PlayerGrades+'!$AB$5,"A",IF(F646&lt;'PlayerGrades+'!$AB$4,"A+",IF(F646&lt;'PlayerGrades+'!$AB$3,"S-",IF(F646&lt;'PlayerGrades+'!$AB$2,"S","S+"))))))))))))))))))))</f>
        <v>B-</v>
      </c>
      <c r="H646" s="973">
        <f t="shared" si="3"/>
        <v>0.04631416442</v>
      </c>
      <c r="I646" s="973" t="str">
        <f>IF(H646&lt;'PlayerGrades+'!$AC$21,"F-",IF(H646&lt;'PlayerGrades+'!$AC$20,"F",IF(H646&lt;'PlayerGrades+'!$AC$19,"F+",IF(H646&lt;'PlayerGrades+'!$AC$18,"E-",IF(H646&lt;'PlayerGrades+'!$AC$17,"E",IF(H646&lt;'PlayerGrades+'!$AC$16,"E+",IF(H646&lt;'PlayerGrades+'!$AC$15,"D-",IF(H646&lt;'PlayerGrades+'!$AC$14,"D",IF(H646&lt;'PlayerGrades+'!$AC$13,"D+",IF(H646&lt;'PlayerGrades+'!$AC$12,"C-",IF(H646&lt;'PlayerGrades+'!$AC$11,"C",IF(H646&lt;'PlayerGrades+'!$AC$10,"C+",IF(H646&lt;'PlayerGrades+'!$AC$9,"B-",IF(H646&lt;'PlayerGrades+'!$AC$8,"B",IF(H646&lt;'PlayerGrades+'!$AC$7,"B+",IF(H646&lt;'PlayerGrades+'!$AC$6,"A-",IF(H646&lt;'PlayerGrades+'!$AC$5,"A",IF(H646&lt;'PlayerGrades+'!$AC$4,"A+",IF(H646&lt;'PlayerGrades+'!$AC$3,"S-",IF(H646&lt;'PlayerGrades+'!$AC$2,"S","S+"))))))))))))))))))))</f>
        <v>F</v>
      </c>
      <c r="J646" s="973">
        <f t="shared" si="4"/>
        <v>0.02315708221</v>
      </c>
      <c r="K646" s="973" t="str">
        <f>IF(J646&lt;'PlayerGrades+'!$AD$21,"F-",IF(J646&lt;'PlayerGrades+'!$AD$20,"F",IF(J646&lt;'PlayerGrades+'!$AD$19,"F+",IF(J646&lt;'PlayerGrades+'!$AD$18,"E-",IF(J646&lt;'PlayerGrades+'!$AD$17,"E",IF(J646&lt;'PlayerGrades+'!$AD$16,"E+",IF(J646&lt;'PlayerGrades+'!$AD$15,"D-",IF(J646&lt;'PlayerGrades+'!$AD$14,"D",IF(J646&lt;'PlayerGrades+'!$AD$13,"D+",IF(J646&lt;'PlayerGrades+'!$AD$12,"C-",IF(J646&lt;'PlayerGrades+'!$AD$11,"C",IF(J646&lt;'PlayerGrades+'!$AD$10,"C+",IF(J646&lt;'PlayerGrades+'!$AD$9,"B-",IF(J646&lt;'PlayerGrades+'!$AD$8,"B",IF(J646&lt;'PlayerGrades+'!$AD$7,"B+",IF(J646&lt;'PlayerGrades+'!$AD$6,"A-",IF(J646&lt;'PlayerGrades+'!$AD$5,"A",IF(J646&lt;'PlayerGrades+'!$AD$4,"A+",IF(J646&lt;'PlayerGrades+'!$AD$3,"S-",IF(J646&lt;'PlayerGrades+'!$AD$2,"S","S+"))))))))))))))))))))</f>
        <v>D-</v>
      </c>
      <c r="L646" s="974">
        <f t="shared" si="5"/>
        <v>0.2778849865</v>
      </c>
      <c r="M646" s="975" t="str">
        <f>IF(L646&lt;'PlayerGrades+'!$AE$21,"F-",IF(L646&lt;'PlayerGrades+'!$AE$20,"F",IF(L646&lt;'PlayerGrades+'!$AE$19,"F+",IF(L646&lt;'PlayerGrades+'!$AE$18,"E-",IF(L646&lt;'PlayerGrades+'!$AE$17,"E",IF(L646&lt;'PlayerGrades+'!$AE$16,"E+",IF(L646&lt;'PlayerGrades+'!$AE$15,"D-",IF(L646&lt;'PlayerGrades+'!$AE$14,"D",IF(L646&lt;'PlayerGrades+'!$AE$13,"D+",IF(L646&lt;'PlayerGrades+'!$AE$12,"C-",IF(L646&lt;'PlayerGrades+'!$AE$11,"C",IF(L646&lt;'PlayerGrades+'!$AE$10,"C+",IF(L646&lt;'PlayerGrades+'!$AE$9,"B-",IF(L646&lt;'PlayerGrades+'!$AE$8,"B",IF(L646&lt;'PlayerGrades+'!$AE$7,"B+",IF(L646&lt;'PlayerGrades+'!$AE$6,"A-",IF(L646&lt;'PlayerGrades+'!$AE$5,"A",IF(L646&lt;'PlayerGrades+'!$AE$4,"A+",IF(L646&lt;'PlayerGrades+'!$AE$3,"S-",IF(L646&lt;'PlayerGrades+'!$AE$2,"S","S+"))))))))))))))))))))</f>
        <v>F+</v>
      </c>
      <c r="N646" s="973">
        <f t="shared" si="6"/>
        <v>0.04631416442</v>
      </c>
      <c r="O646" s="973" t="str">
        <f>IF(N646&lt;'PlayerGrades+'!$AF$21,"F-",IF(N646&lt;'PlayerGrades+'!$AF$20,"F",IF(N646&lt;'PlayerGrades+'!$AF$19,"F+",IF(N646&lt;'PlayerGrades+'!$AF$18,"E-",IF(N646&lt;'PlayerGrades+'!$AF$17,"E",IF(N646&lt;'PlayerGrades+'!$AF$16,"E+",IF(N646&lt;'PlayerGrades+'!$AF$15,"D-",IF(N646&lt;'PlayerGrades+'!$AF$14,"D",IF(N646&lt;'PlayerGrades+'!$AF$13,"D+",IF(N646&lt;'PlayerGrades+'!$AF$12,"C-",IF(N646&lt;'PlayerGrades+'!$AF$11,"C",IF(N646&lt;'PlayerGrades+'!$AF$10,"C+",IF(N646&lt;'PlayerGrades+'!$AF$9,"B-",IF(N646&lt;'PlayerGrades+'!$AF$8,"B",IF(N646&lt;'PlayerGrades+'!$AF$7,"B+",IF(N646&lt;'PlayerGrades+'!$AF$6,"A-",IF(N646&lt;'PlayerGrades+'!$AF$5,"A",IF(N646&lt;'PlayerGrades+'!$AF$4,"A+",IF(N646&lt;'PlayerGrades+'!$AF$3,"S-",IF(N646&lt;'PlayerGrades+'!$AF$2,"S","S+"))))))))))))))))))))</f>
        <v>E+</v>
      </c>
      <c r="P646" s="973">
        <f t="shared" si="7"/>
        <v>0</v>
      </c>
      <c r="Q646" s="973" t="str">
        <f>IF(P646&lt;'PlayerGrades+'!$AG$21,"F-",IF(P646&lt;'PlayerGrades+'!$AG$20,"F",IF(P646&lt;'PlayerGrades+'!$AG$19,"F+",IF(P646&lt;'PlayerGrades+'!$AG$18,"E-",IF(P646&lt;'PlayerGrades+'!$AG$17,"E",IF(P646&lt;'PlayerGrades+'!$AG$16,"E+",IF(P646&lt;'PlayerGrades+'!$AG$15,"D-",IF(P646&lt;'PlayerGrades+'!$AG$14,"D",IF(P646&lt;'PlayerGrades+'!$AG$13,"D+",IF(P646&lt;'PlayerGrades+'!$AG$12,"C-",IF(P646&lt;'PlayerGrades+'!$AG$11,"C",IF(P646&lt;'PlayerGrades+'!$AG$10,"C+",IF(P646&lt;'PlayerGrades+'!$AG$9,"B-",IF(P646&lt;'PlayerGrades+'!$AG$8,"B",IF(P646&lt;'PlayerGrades+'!$AG$7,"B+",IF(P646&lt;'PlayerGrades+'!$AG$6,"A-",IF(P646&lt;'PlayerGrades+'!$AG$5,"A",IF(P646&lt;'PlayerGrades+'!$AG$4,"A+",IF(P646&lt;'PlayerGrades+'!$AG$3,"S-",IF(P646&lt;'PlayerGrades+'!$AG$2,"S","S+"))))))))))))))))))))</f>
        <v>F</v>
      </c>
      <c r="R646" s="973">
        <f t="shared" si="8"/>
        <v>0.555769973</v>
      </c>
      <c r="S646" s="973" t="str">
        <f>IF(R646&lt;'PlayerGrades+'!$AH$21,"F-",IF(R646&lt;'PlayerGrades+'!$AH$20,"F",IF(R646&lt;'PlayerGrades+'!$AH$19,"F+",IF(R646&lt;'PlayerGrades+'!$AH$18,"E-",IF(R646&lt;'PlayerGrades+'!$AH$17,"E",IF(R646&lt;'PlayerGrades+'!$AH$16,"E+",IF(R646&lt;'PlayerGrades+'!$AH$15,"D-",IF(R646&lt;'PlayerGrades+'!$AH$14,"D",IF(R646&lt;'PlayerGrades+'!$AH$13,"D+",IF(R646&lt;'PlayerGrades+'!$AH$12,"C-",IF(R646&lt;'PlayerGrades+'!$AH$11,"C",IF(R646&lt;'PlayerGrades+'!$AH$10,"C+",IF(R646&lt;'PlayerGrades+'!$AH$9,"B-",IF(R646&lt;'PlayerGrades+'!$AH$8,"B",IF(R646&lt;'PlayerGrades+'!$AH$7,"B+",IF(R646&lt;'PlayerGrades+'!$AH$6,"A-",IF(R646&lt;'PlayerGrades+'!$AH$5,"A",IF(R646&lt;'PlayerGrades+'!$AH$4,"A+",IF(R646&lt;'PlayerGrades+'!$AH$3,"S-",IF(R646&lt;'PlayerGrades+'!$AH$2,"S","S+"))))))))))))))))))))</f>
        <v>B-</v>
      </c>
      <c r="T646" s="973">
        <f t="shared" si="9"/>
        <v>1.509455809</v>
      </c>
      <c r="U646" s="973" t="str">
        <f>IF(T646&lt;'PlayerGrades+'!$AI$21,"F-",IF(T646&lt;'PlayerGrades+'!$AI$20,"F",IF(T646&lt;'PlayerGrades+'!$AI$19,"F+",IF(T646&lt;'PlayerGrades+'!$AI$18,"E-",IF(T646&lt;'PlayerGrades+'!$AI$17,"E",IF(T646&lt;'PlayerGrades+'!$AI$16,"E+",IF(T646&lt;'PlayerGrades+'!$AI$15,"D-",IF(T646&lt;'PlayerGrades+'!$AI$14,"D",IF(T646&lt;'PlayerGrades+'!$AI$13,"D+",IF(T646&lt;'PlayerGrades+'!$AI$12,"C-",IF(T646&lt;'PlayerGrades+'!$AI$11,"C",IF(T646&lt;'PlayerGrades+'!$AI$10,"C+",IF(T646&lt;'PlayerGrades+'!$AI$9,"B-",IF(T646&lt;'PlayerGrades+'!$AI$8,"B",IF(T646&lt;'PlayerGrades+'!$AI$7,"B+",IF(T646&lt;'PlayerGrades+'!$AI$6,"A-",IF(T646&lt;'PlayerGrades+'!$AI$5,"A",IF(T646&lt;'PlayerGrades+'!$AI$4,"A+",IF(T646&lt;'PlayerGrades+'!$AI$3,"S-",IF(T646&lt;'PlayerGrades+'!$AI$2,"S","S+"))))))))))))))))))))</f>
        <v>A</v>
      </c>
      <c r="V646" s="941">
        <v>1.0</v>
      </c>
      <c r="W646" s="941">
        <v>0.0</v>
      </c>
      <c r="X646" s="941">
        <v>1.0</v>
      </c>
      <c r="Y646" s="941">
        <v>2.0</v>
      </c>
      <c r="Z646" s="941">
        <v>15.0</v>
      </c>
      <c r="AA646" s="941">
        <v>122.0</v>
      </c>
      <c r="AB646" s="941">
        <v>123.0</v>
      </c>
      <c r="AC646" s="941">
        <v>-1.0</v>
      </c>
      <c r="AD646" s="941">
        <v>8.0</v>
      </c>
      <c r="AE646" s="941">
        <v>6.0</v>
      </c>
      <c r="AF646" s="941">
        <v>0.0</v>
      </c>
      <c r="AG646" s="941">
        <v>2132.0</v>
      </c>
      <c r="AH646" s="941">
        <v>2591.0</v>
      </c>
      <c r="AI646" s="941">
        <v>17.0</v>
      </c>
      <c r="AJ646" s="941">
        <v>518.0</v>
      </c>
      <c r="AK646" s="941">
        <v>0.0</v>
      </c>
      <c r="AL646" s="941">
        <v>1.0</v>
      </c>
      <c r="AM646" s="941">
        <v>0.0</v>
      </c>
      <c r="AN646" s="941">
        <v>0.0</v>
      </c>
      <c r="AO646" s="941">
        <v>0.0</v>
      </c>
      <c r="AP646" s="941">
        <v>0.0</v>
      </c>
      <c r="AQ646" s="941">
        <v>0.0</v>
      </c>
      <c r="AR646" s="941">
        <v>12.0</v>
      </c>
      <c r="AS646" s="941">
        <v>2.0</v>
      </c>
      <c r="AT646" s="941">
        <v>0.0</v>
      </c>
      <c r="AU646" s="941">
        <v>0.0</v>
      </c>
      <c r="AV646" s="941">
        <v>0.0</v>
      </c>
      <c r="AW646" s="941">
        <v>0.0</v>
      </c>
      <c r="AX646" s="941">
        <v>0.0</v>
      </c>
      <c r="AY646" s="941">
        <v>0.0</v>
      </c>
      <c r="AZ646" s="941">
        <v>0.0</v>
      </c>
      <c r="BA646" s="941">
        <v>0.0</v>
      </c>
      <c r="BB646" s="941">
        <v>2.0</v>
      </c>
      <c r="BC646" s="941">
        <v>0.0</v>
      </c>
      <c r="BD646" s="941">
        <v>16.0</v>
      </c>
      <c r="BE646" s="941">
        <v>22.0</v>
      </c>
      <c r="BF646" s="941">
        <v>1.0</v>
      </c>
      <c r="BG646" s="941">
        <v>0.0</v>
      </c>
    </row>
    <row r="647">
      <c r="A647" s="1" t="s">
        <v>114</v>
      </c>
      <c r="B647" s="421" t="str">
        <f>IF(C647&lt;'PlayerGrades+'!$Y$44,"F-",IF(C647&lt;'PlayerGrades+'!$Y$43,"F",IF(C647&lt;'PlayerGrades+'!$Y$42,"F+",IF(C647&lt;'PlayerGrades+'!$Y$41,"E-",IF(C647&lt;'PlayerGrades+'!$Y$40,"E",IF(C647&lt;'PlayerGrades+'!$Y$39,"E+",IF(C647&lt;'PlayerGrades+'!$Y$38,"D-",IF(C647&lt;'PlayerGrades+'!$Y$37,"D",IF(C647&lt;'PlayerGrades+'!$Y$36,"D+",IF(C647&lt;'PlayerGrades+'!$Y$35,"C-",IF(C647&lt;'PlayerGrades+'!$Y$34,"C",IF(C647&lt;'PlayerGrades+'!$Y$33,"C+",IF(C647&lt;'PlayerGrades+'!$Y$32,"B-",IF(C647&lt;'PlayerGrades+'!$Y$31,"B",IF(C647&lt;'PlayerGrades+'!$Y$30,"B+",IF(C647&lt;'PlayerGrades+'!$Y$29,"A-",IF(C647&lt;'PlayerGrades+'!$Y$28,"A",IF(C647&lt;'PlayerGrades+'!$Y$27,"A+",IF(C647&lt;'PlayerGrades+'!$Y$26,"S-",IF(C647&lt;'PlayerGrades+'!$Y$25,"S","S+"))))))))))))))))))))</f>
        <v>D</v>
      </c>
      <c r="C647" s="972">
        <f>('PlayerGrades+'!$Y$47*(VLOOKUP(E647, 'PlayerGrades+'!$X$3:$Y$23, 2, FALSE)))+('PlayerGrades+'!$Y$48*(VLOOKUP(G647, 'PlayerGrades+'!$X$3:$Y$23, 2, FALSE)))+('PlayerGrades+'!$Y$49*(VLOOKUP(I647, 'PlayerGrades+'!$X$3:$Y$23, 2, FALSE)))+('PlayerGrades+'!$Y$50*(VLOOKUP(K647, 'PlayerGrades+'!$X$3:$Y$23, 2, FALSE)))+('PlayerGrades+'!$Y$51*(VLOOKUP(M647, 'PlayerGrades+'!$X$3:$Y$23, 2, FALSE)))+('PlayerGrades+'!$Y$52*(VLOOKUP(O647, 'PlayerGrades+'!$X$3:$Y$23, 2, FALSE)))+('PlayerGrades+'!$Y$53*(VLOOKUP(Q647, 'PlayerGrades+'!$X$3:$Y$23, 2, FALSE)))+('PlayerGrades+'!$Y$54*(VLOOKUP(S647, 'PlayerGrades+'!$X$3:$Y$23, 2, FALSE)))+('PlayerGrades+'!$Y$55*(VLOOKUP(U647, 'PlayerGrades+'!$X$3:$Y$23, 2, FALSE)))</f>
        <v>16.4</v>
      </c>
      <c r="D647" s="973">
        <f t="shared" si="1"/>
        <v>0.04631416442</v>
      </c>
      <c r="E647" s="973" t="str">
        <f>IF(D647&lt;'PlayerGrades+'!$AA$21,"F-",IF(D647&lt;'PlayerGrades+'!$AA$20,"F",IF(D647&lt;'PlayerGrades+'!$AA$19,"F+",IF(D647&lt;'PlayerGrades+'!$AA$18,"E-",IF(D647&lt;'PlayerGrades+'!$AA$17,"E",IF(D647&lt;'PlayerGrades+'!$AA$16,"E+",IF(D647&lt;'PlayerGrades+'!$AA$15,"D-",IF(D647&lt;'PlayerGrades+'!$AA$14,"D",IF(D647&lt;'PlayerGrades+'!$AA$13,"D+",IF(D647&lt;'PlayerGrades+'!$AA$12,"C-",IF(D647&lt;'PlayerGrades+'!$AA$11,"C",IF(D647&lt;'PlayerGrades+'!$AA$10,"C+",IF(D647&lt;'PlayerGrades+'!$AA$9,"B-",IF(D647&lt;'PlayerGrades+'!$AA$8,"B",IF(D647&lt;'PlayerGrades+'!$AA$7,"B+",IF(D647&lt;'PlayerGrades+'!$AA$6,"A-",IF(D647&lt;'PlayerGrades+'!$AA$5,"A",IF(D647&lt;'PlayerGrades+'!$AA$4,"A+",IF(D647&lt;'PlayerGrades+'!$AA$3,"S-",IF(D647&lt;'PlayerGrades+'!$AA$2,"S","S+"))))))))))))))))))))</f>
        <v>C+</v>
      </c>
      <c r="F647" s="973">
        <f t="shared" si="2"/>
        <v>-0.4399845619</v>
      </c>
      <c r="G647" s="973" t="str">
        <f>IF(F647&lt;'PlayerGrades+'!$AB$21,"F-",IF(F647&lt;'PlayerGrades+'!$AB$20,"F",IF(F647&lt;'PlayerGrades+'!$AB$19,"F+",IF(F647&lt;'PlayerGrades+'!$AB$18,"E-",IF(F647&lt;'PlayerGrades+'!$AB$17,"E",IF(F647&lt;'PlayerGrades+'!$AB$16,"E+",IF(F647&lt;'PlayerGrades+'!$AB$15,"D-",IF(F647&lt;'PlayerGrades+'!$AB$14,"D",IF(F647&lt;'PlayerGrades+'!$AB$13,"D+",IF(F647&lt;'PlayerGrades+'!$AB$12,"C-",IF(F647&lt;'PlayerGrades+'!$AB$11,"C",IF(F647&lt;'PlayerGrades+'!$AB$10,"C+",IF(F647&lt;'PlayerGrades+'!$AB$9,"B-",IF(F647&lt;'PlayerGrades+'!$AB$8,"B",IF(F647&lt;'PlayerGrades+'!$AB$7,"B+",IF(F647&lt;'PlayerGrades+'!$AB$6,"A-",IF(F647&lt;'PlayerGrades+'!$AB$5,"A",IF(F647&lt;'PlayerGrades+'!$AB$4,"A+",IF(F647&lt;'PlayerGrades+'!$AB$3,"S-",IF(F647&lt;'PlayerGrades+'!$AB$2,"S","S+"))))))))))))))))))))</f>
        <v>D</v>
      </c>
      <c r="H647" s="973">
        <f t="shared" si="3"/>
        <v>0.04631416442</v>
      </c>
      <c r="I647" s="973" t="str">
        <f>IF(H647&lt;'PlayerGrades+'!$AC$21,"F-",IF(H647&lt;'PlayerGrades+'!$AC$20,"F",IF(H647&lt;'PlayerGrades+'!$AC$19,"F+",IF(H647&lt;'PlayerGrades+'!$AC$18,"E-",IF(H647&lt;'PlayerGrades+'!$AC$17,"E",IF(H647&lt;'PlayerGrades+'!$AC$16,"E+",IF(H647&lt;'PlayerGrades+'!$AC$15,"D-",IF(H647&lt;'PlayerGrades+'!$AC$14,"D",IF(H647&lt;'PlayerGrades+'!$AC$13,"D+",IF(H647&lt;'PlayerGrades+'!$AC$12,"C-",IF(H647&lt;'PlayerGrades+'!$AC$11,"C",IF(H647&lt;'PlayerGrades+'!$AC$10,"C+",IF(H647&lt;'PlayerGrades+'!$AC$9,"B-",IF(H647&lt;'PlayerGrades+'!$AC$8,"B",IF(H647&lt;'PlayerGrades+'!$AC$7,"B+",IF(H647&lt;'PlayerGrades+'!$AC$6,"A-",IF(H647&lt;'PlayerGrades+'!$AC$5,"A",IF(H647&lt;'PlayerGrades+'!$AC$4,"A+",IF(H647&lt;'PlayerGrades+'!$AC$3,"S-",IF(H647&lt;'PlayerGrades+'!$AC$2,"S","S+"))))))))))))))))))))</f>
        <v>F</v>
      </c>
      <c r="J647" s="973">
        <f t="shared" si="4"/>
        <v>0.02315708221</v>
      </c>
      <c r="K647" s="973" t="str">
        <f>IF(J647&lt;'PlayerGrades+'!$AD$21,"F-",IF(J647&lt;'PlayerGrades+'!$AD$20,"F",IF(J647&lt;'PlayerGrades+'!$AD$19,"F+",IF(J647&lt;'PlayerGrades+'!$AD$18,"E-",IF(J647&lt;'PlayerGrades+'!$AD$17,"E",IF(J647&lt;'PlayerGrades+'!$AD$16,"E+",IF(J647&lt;'PlayerGrades+'!$AD$15,"D-",IF(J647&lt;'PlayerGrades+'!$AD$14,"D",IF(J647&lt;'PlayerGrades+'!$AD$13,"D+",IF(J647&lt;'PlayerGrades+'!$AD$12,"C-",IF(J647&lt;'PlayerGrades+'!$AD$11,"C",IF(J647&lt;'PlayerGrades+'!$AD$10,"C+",IF(J647&lt;'PlayerGrades+'!$AD$9,"B-",IF(J647&lt;'PlayerGrades+'!$AD$8,"B",IF(J647&lt;'PlayerGrades+'!$AD$7,"B+",IF(J647&lt;'PlayerGrades+'!$AD$6,"A-",IF(J647&lt;'PlayerGrades+'!$AD$5,"A",IF(J647&lt;'PlayerGrades+'!$AD$4,"A+",IF(J647&lt;'PlayerGrades+'!$AD$3,"S-",IF(J647&lt;'PlayerGrades+'!$AD$2,"S","S+"))))))))))))))))))))</f>
        <v>D-</v>
      </c>
      <c r="L647" s="974">
        <f t="shared" si="5"/>
        <v>0.3010420687</v>
      </c>
      <c r="M647" s="975" t="str">
        <f>IF(L647&lt;'PlayerGrades+'!$AE$21,"F-",IF(L647&lt;'PlayerGrades+'!$AE$20,"F",IF(L647&lt;'PlayerGrades+'!$AE$19,"F+",IF(L647&lt;'PlayerGrades+'!$AE$18,"E-",IF(L647&lt;'PlayerGrades+'!$AE$17,"E",IF(L647&lt;'PlayerGrades+'!$AE$16,"E+",IF(L647&lt;'PlayerGrades+'!$AE$15,"D-",IF(L647&lt;'PlayerGrades+'!$AE$14,"D",IF(L647&lt;'PlayerGrades+'!$AE$13,"D+",IF(L647&lt;'PlayerGrades+'!$AE$12,"C-",IF(L647&lt;'PlayerGrades+'!$AE$11,"C",IF(L647&lt;'PlayerGrades+'!$AE$10,"C+",IF(L647&lt;'PlayerGrades+'!$AE$9,"B-",IF(L647&lt;'PlayerGrades+'!$AE$8,"B",IF(L647&lt;'PlayerGrades+'!$AE$7,"B+",IF(L647&lt;'PlayerGrades+'!$AE$6,"A-",IF(L647&lt;'PlayerGrades+'!$AE$5,"A",IF(L647&lt;'PlayerGrades+'!$AE$4,"A+",IF(L647&lt;'PlayerGrades+'!$AE$3,"S-",IF(L647&lt;'PlayerGrades+'!$AE$2,"S","S+"))))))))))))))))))))</f>
        <v>E-</v>
      </c>
      <c r="N647" s="973">
        <f t="shared" si="6"/>
        <v>0.06947124662</v>
      </c>
      <c r="O647" s="973" t="str">
        <f>IF(N647&lt;'PlayerGrades+'!$AF$21,"F-",IF(N647&lt;'PlayerGrades+'!$AF$20,"F",IF(N647&lt;'PlayerGrades+'!$AF$19,"F+",IF(N647&lt;'PlayerGrades+'!$AF$18,"E-",IF(N647&lt;'PlayerGrades+'!$AF$17,"E",IF(N647&lt;'PlayerGrades+'!$AF$16,"E+",IF(N647&lt;'PlayerGrades+'!$AF$15,"D-",IF(N647&lt;'PlayerGrades+'!$AF$14,"D",IF(N647&lt;'PlayerGrades+'!$AF$13,"D+",IF(N647&lt;'PlayerGrades+'!$AF$12,"C-",IF(N647&lt;'PlayerGrades+'!$AF$11,"C",IF(N647&lt;'PlayerGrades+'!$AF$10,"C+",IF(N647&lt;'PlayerGrades+'!$AF$9,"B-",IF(N647&lt;'PlayerGrades+'!$AF$8,"B",IF(N647&lt;'PlayerGrades+'!$AF$7,"B+",IF(N647&lt;'PlayerGrades+'!$AF$6,"A-",IF(N647&lt;'PlayerGrades+'!$AF$5,"A",IF(N647&lt;'PlayerGrades+'!$AF$4,"A+",IF(N647&lt;'PlayerGrades+'!$AF$3,"S-",IF(N647&lt;'PlayerGrades+'!$AF$2,"S","S+"))))))))))))))))))))</f>
        <v>C-</v>
      </c>
      <c r="P647" s="973">
        <f t="shared" si="7"/>
        <v>0.02315708221</v>
      </c>
      <c r="Q647" s="973" t="str">
        <f>IF(P647&lt;'PlayerGrades+'!$AG$21,"F-",IF(P647&lt;'PlayerGrades+'!$AG$20,"F",IF(P647&lt;'PlayerGrades+'!$AG$19,"F+",IF(P647&lt;'PlayerGrades+'!$AG$18,"E-",IF(P647&lt;'PlayerGrades+'!$AG$17,"E",IF(P647&lt;'PlayerGrades+'!$AG$16,"E+",IF(P647&lt;'PlayerGrades+'!$AG$15,"D-",IF(P647&lt;'PlayerGrades+'!$AG$14,"D",IF(P647&lt;'PlayerGrades+'!$AG$13,"D+",IF(P647&lt;'PlayerGrades+'!$AG$12,"C-",IF(P647&lt;'PlayerGrades+'!$AG$11,"C",IF(P647&lt;'PlayerGrades+'!$AG$10,"C+",IF(P647&lt;'PlayerGrades+'!$AG$9,"B-",IF(P647&lt;'PlayerGrades+'!$AG$8,"B",IF(P647&lt;'PlayerGrades+'!$AG$7,"B+",IF(P647&lt;'PlayerGrades+'!$AG$6,"A-",IF(P647&lt;'PlayerGrades+'!$AG$5,"A",IF(P647&lt;'PlayerGrades+'!$AG$4,"A+",IF(P647&lt;'PlayerGrades+'!$AG$3,"S-",IF(P647&lt;'PlayerGrades+'!$AG$2,"S","S+"))))))))))))))))))))</f>
        <v>B-</v>
      </c>
      <c r="R647" s="973">
        <f t="shared" si="8"/>
        <v>0.6020841374</v>
      </c>
      <c r="S647" s="973" t="str">
        <f>IF(R647&lt;'PlayerGrades+'!$AH$21,"F-",IF(R647&lt;'PlayerGrades+'!$AH$20,"F",IF(R647&lt;'PlayerGrades+'!$AH$19,"F+",IF(R647&lt;'PlayerGrades+'!$AH$18,"E-",IF(R647&lt;'PlayerGrades+'!$AH$17,"E",IF(R647&lt;'PlayerGrades+'!$AH$16,"E+",IF(R647&lt;'PlayerGrades+'!$AH$15,"D-",IF(R647&lt;'PlayerGrades+'!$AH$14,"D",IF(R647&lt;'PlayerGrades+'!$AH$13,"D+",IF(R647&lt;'PlayerGrades+'!$AH$12,"C-",IF(R647&lt;'PlayerGrades+'!$AH$11,"C",IF(R647&lt;'PlayerGrades+'!$AH$10,"C+",IF(R647&lt;'PlayerGrades+'!$AH$9,"B-",IF(R647&lt;'PlayerGrades+'!$AH$8,"B",IF(R647&lt;'PlayerGrades+'!$AH$7,"B+",IF(R647&lt;'PlayerGrades+'!$AH$6,"A-",IF(R647&lt;'PlayerGrades+'!$AH$5,"A",IF(R647&lt;'PlayerGrades+'!$AH$4,"A+",IF(R647&lt;'PlayerGrades+'!$AH$3,"S-",IF(R647&lt;'PlayerGrades+'!$AH$2,"S","S+"))))))))))))))))))))</f>
        <v>A-</v>
      </c>
      <c r="T647" s="973">
        <f t="shared" si="9"/>
        <v>0.6020841374</v>
      </c>
      <c r="U647" s="973" t="str">
        <f>IF(T647&lt;'PlayerGrades+'!$AI$21,"F-",IF(T647&lt;'PlayerGrades+'!$AI$20,"F",IF(T647&lt;'PlayerGrades+'!$AI$19,"F+",IF(T647&lt;'PlayerGrades+'!$AI$18,"E-",IF(T647&lt;'PlayerGrades+'!$AI$17,"E",IF(T647&lt;'PlayerGrades+'!$AI$16,"E+",IF(T647&lt;'PlayerGrades+'!$AI$15,"D-",IF(T647&lt;'PlayerGrades+'!$AI$14,"D",IF(T647&lt;'PlayerGrades+'!$AI$13,"D+",IF(T647&lt;'PlayerGrades+'!$AI$12,"C-",IF(T647&lt;'PlayerGrades+'!$AI$11,"C",IF(T647&lt;'PlayerGrades+'!$AI$10,"C+",IF(T647&lt;'PlayerGrades+'!$AI$9,"B-",IF(T647&lt;'PlayerGrades+'!$AI$8,"B",IF(T647&lt;'PlayerGrades+'!$AI$7,"B+",IF(T647&lt;'PlayerGrades+'!$AI$6,"A-",IF(T647&lt;'PlayerGrades+'!$AI$5,"A",IF(T647&lt;'PlayerGrades+'!$AI$4,"A+",IF(T647&lt;'PlayerGrades+'!$AI$3,"S-",IF(T647&lt;'PlayerGrades+'!$AI$2,"S","S+"))))))))))))))))))))</f>
        <v>F-</v>
      </c>
      <c r="V647" s="941">
        <v>1.0</v>
      </c>
      <c r="W647" s="941">
        <v>0.0</v>
      </c>
      <c r="X647" s="941">
        <v>1.0</v>
      </c>
      <c r="Y647" s="941">
        <v>0.0</v>
      </c>
      <c r="Z647" s="941">
        <v>2.0</v>
      </c>
      <c r="AA647" s="941">
        <v>130.0</v>
      </c>
      <c r="AB647" s="941">
        <v>149.0</v>
      </c>
      <c r="AC647" s="941">
        <v>-19.0</v>
      </c>
      <c r="AD647" s="941">
        <v>13.0</v>
      </c>
      <c r="AE647" s="941">
        <v>5.0</v>
      </c>
      <c r="AF647" s="941">
        <v>2.0</v>
      </c>
      <c r="AG647" s="941">
        <v>2053.0</v>
      </c>
      <c r="AH647" s="941">
        <v>2591.0</v>
      </c>
      <c r="AI647" s="941">
        <v>13.0</v>
      </c>
      <c r="AJ647" s="941">
        <v>40.0</v>
      </c>
      <c r="AK647" s="941">
        <v>0.0</v>
      </c>
      <c r="AL647" s="941">
        <v>1.0</v>
      </c>
      <c r="AM647" s="941">
        <v>0.0</v>
      </c>
      <c r="AN647" s="941">
        <v>0.0</v>
      </c>
      <c r="AO647" s="941">
        <v>0.0</v>
      </c>
      <c r="AP647" s="941">
        <v>1.0</v>
      </c>
      <c r="AQ647" s="941">
        <v>0.0</v>
      </c>
      <c r="AR647" s="941">
        <v>13.0</v>
      </c>
      <c r="AS647" s="941">
        <v>3.0</v>
      </c>
      <c r="AT647" s="941">
        <v>0.0</v>
      </c>
      <c r="AU647" s="941">
        <v>0.0</v>
      </c>
      <c r="AV647" s="941">
        <v>0.0</v>
      </c>
      <c r="AW647" s="941">
        <v>0.0</v>
      </c>
      <c r="AX647" s="941">
        <v>0.0</v>
      </c>
      <c r="AY647" s="941">
        <v>0.0</v>
      </c>
      <c r="AZ647" s="941">
        <v>0.0</v>
      </c>
      <c r="BA647" s="941">
        <v>0.0</v>
      </c>
      <c r="BB647" s="941">
        <v>2.0</v>
      </c>
      <c r="BC647" s="941">
        <v>0.0</v>
      </c>
      <c r="BD647" s="941">
        <v>13.0</v>
      </c>
      <c r="BE647" s="941">
        <v>26.0</v>
      </c>
      <c r="BF647" s="941">
        <v>0.0</v>
      </c>
      <c r="BG647" s="941">
        <v>0.0</v>
      </c>
    </row>
    <row r="648">
      <c r="A648" s="1" t="s">
        <v>147</v>
      </c>
      <c r="B648" s="421" t="str">
        <f>IF(C648&lt;'PlayerGrades+'!$Y$44,"F-",IF(C648&lt;'PlayerGrades+'!$Y$43,"F",IF(C648&lt;'PlayerGrades+'!$Y$42,"F+",IF(C648&lt;'PlayerGrades+'!$Y$41,"E-",IF(C648&lt;'PlayerGrades+'!$Y$40,"E",IF(C648&lt;'PlayerGrades+'!$Y$39,"E+",IF(C648&lt;'PlayerGrades+'!$Y$38,"D-",IF(C648&lt;'PlayerGrades+'!$Y$37,"D",IF(C648&lt;'PlayerGrades+'!$Y$36,"D+",IF(C648&lt;'PlayerGrades+'!$Y$35,"C-",IF(C648&lt;'PlayerGrades+'!$Y$34,"C",IF(C648&lt;'PlayerGrades+'!$Y$33,"C+",IF(C648&lt;'PlayerGrades+'!$Y$32,"B-",IF(C648&lt;'PlayerGrades+'!$Y$31,"B",IF(C648&lt;'PlayerGrades+'!$Y$30,"B+",IF(C648&lt;'PlayerGrades+'!$Y$29,"A-",IF(C648&lt;'PlayerGrades+'!$Y$28,"A",IF(C648&lt;'PlayerGrades+'!$Y$27,"A+",IF(C648&lt;'PlayerGrades+'!$Y$26,"S-",IF(C648&lt;'PlayerGrades+'!$Y$25,"S","S+"))))))))))))))))))))</f>
        <v>F-</v>
      </c>
      <c r="C648" s="972">
        <f>('PlayerGrades+'!$Y$47*(VLOOKUP(E648, 'PlayerGrades+'!$X$3:$Y$23, 2, FALSE)))+('PlayerGrades+'!$Y$48*(VLOOKUP(G648, 'PlayerGrades+'!$X$3:$Y$23, 2, FALSE)))+('PlayerGrades+'!$Y$49*(VLOOKUP(I648, 'PlayerGrades+'!$X$3:$Y$23, 2, FALSE)))+('PlayerGrades+'!$Y$50*(VLOOKUP(K648, 'PlayerGrades+'!$X$3:$Y$23, 2, FALSE)))+('PlayerGrades+'!$Y$51*(VLOOKUP(M648, 'PlayerGrades+'!$X$3:$Y$23, 2, FALSE)))+('PlayerGrades+'!$Y$52*(VLOOKUP(O648, 'PlayerGrades+'!$X$3:$Y$23, 2, FALSE)))+('PlayerGrades+'!$Y$53*(VLOOKUP(Q648, 'PlayerGrades+'!$X$3:$Y$23, 2, FALSE)))+('PlayerGrades+'!$Y$54*(VLOOKUP(S648, 'PlayerGrades+'!$X$3:$Y$23, 2, FALSE)))+('PlayerGrades+'!$Y$55*(VLOOKUP(U648, 'PlayerGrades+'!$X$3:$Y$23, 2, FALSE)))</f>
        <v>5.95</v>
      </c>
      <c r="D648" s="973">
        <f t="shared" si="1"/>
        <v>0</v>
      </c>
      <c r="E648" s="973" t="str">
        <f>IF(D648&lt;'PlayerGrades+'!$AA$21,"F-",IF(D648&lt;'PlayerGrades+'!$AA$20,"F",IF(D648&lt;'PlayerGrades+'!$AA$19,"F+",IF(D648&lt;'PlayerGrades+'!$AA$18,"E-",IF(D648&lt;'PlayerGrades+'!$AA$17,"E",IF(D648&lt;'PlayerGrades+'!$AA$16,"E+",IF(D648&lt;'PlayerGrades+'!$AA$15,"D-",IF(D648&lt;'PlayerGrades+'!$AA$14,"D",IF(D648&lt;'PlayerGrades+'!$AA$13,"D+",IF(D648&lt;'PlayerGrades+'!$AA$12,"C-",IF(D648&lt;'PlayerGrades+'!$AA$11,"C",IF(D648&lt;'PlayerGrades+'!$AA$10,"C+",IF(D648&lt;'PlayerGrades+'!$AA$9,"B-",IF(D648&lt;'PlayerGrades+'!$AA$8,"B",IF(D648&lt;'PlayerGrades+'!$AA$7,"B+",IF(D648&lt;'PlayerGrades+'!$AA$6,"A-",IF(D648&lt;'PlayerGrades+'!$AA$5,"A",IF(D648&lt;'PlayerGrades+'!$AA$4,"A+",IF(D648&lt;'PlayerGrades+'!$AA$3,"S-",IF(D648&lt;'PlayerGrades+'!$AA$2,"S","S+"))))))))))))))))))))</f>
        <v>F-</v>
      </c>
      <c r="F648" s="973">
        <f t="shared" si="2"/>
        <v>-1.273639521</v>
      </c>
      <c r="G648" s="973" t="str">
        <f>IF(F648&lt;'PlayerGrades+'!$AB$21,"F-",IF(F648&lt;'PlayerGrades+'!$AB$20,"F",IF(F648&lt;'PlayerGrades+'!$AB$19,"F+",IF(F648&lt;'PlayerGrades+'!$AB$18,"E-",IF(F648&lt;'PlayerGrades+'!$AB$17,"E",IF(F648&lt;'PlayerGrades+'!$AB$16,"E+",IF(F648&lt;'PlayerGrades+'!$AB$15,"D-",IF(F648&lt;'PlayerGrades+'!$AB$14,"D",IF(F648&lt;'PlayerGrades+'!$AB$13,"D+",IF(F648&lt;'PlayerGrades+'!$AB$12,"C-",IF(F648&lt;'PlayerGrades+'!$AB$11,"C",IF(F648&lt;'PlayerGrades+'!$AB$10,"C+",IF(F648&lt;'PlayerGrades+'!$AB$9,"B-",IF(F648&lt;'PlayerGrades+'!$AB$8,"B",IF(F648&lt;'PlayerGrades+'!$AB$7,"B+",IF(F648&lt;'PlayerGrades+'!$AB$6,"A-",IF(F648&lt;'PlayerGrades+'!$AB$5,"A",IF(F648&lt;'PlayerGrades+'!$AB$4,"A+",IF(F648&lt;'PlayerGrades+'!$AB$3,"S-",IF(F648&lt;'PlayerGrades+'!$AB$2,"S","S+"))))))))))))))))))))</f>
        <v>F-</v>
      </c>
      <c r="H648" s="973">
        <f t="shared" si="3"/>
        <v>0.02315708221</v>
      </c>
      <c r="I648" s="973" t="str">
        <f>IF(H648&lt;'PlayerGrades+'!$AC$21,"F-",IF(H648&lt;'PlayerGrades+'!$AC$20,"F",IF(H648&lt;'PlayerGrades+'!$AC$19,"F+",IF(H648&lt;'PlayerGrades+'!$AC$18,"E-",IF(H648&lt;'PlayerGrades+'!$AC$17,"E",IF(H648&lt;'PlayerGrades+'!$AC$16,"E+",IF(H648&lt;'PlayerGrades+'!$AC$15,"D-",IF(H648&lt;'PlayerGrades+'!$AC$14,"D",IF(H648&lt;'PlayerGrades+'!$AC$13,"D+",IF(H648&lt;'PlayerGrades+'!$AC$12,"C-",IF(H648&lt;'PlayerGrades+'!$AC$11,"C",IF(H648&lt;'PlayerGrades+'!$AC$10,"C+",IF(H648&lt;'PlayerGrades+'!$AC$9,"B-",IF(H648&lt;'PlayerGrades+'!$AC$8,"B",IF(H648&lt;'PlayerGrades+'!$AC$7,"B+",IF(H648&lt;'PlayerGrades+'!$AC$6,"A-",IF(H648&lt;'PlayerGrades+'!$AC$5,"A",IF(H648&lt;'PlayerGrades+'!$AC$4,"A+",IF(H648&lt;'PlayerGrades+'!$AC$3,"S-",IF(H648&lt;'PlayerGrades+'!$AC$2,"S","S+"))))))))))))))))))))</f>
        <v>F-</v>
      </c>
      <c r="J648" s="973">
        <f t="shared" si="4"/>
        <v>0</v>
      </c>
      <c r="K648" s="973" t="str">
        <f>IF(J648&lt;'PlayerGrades+'!$AD$21,"F-",IF(J648&lt;'PlayerGrades+'!$AD$20,"F",IF(J648&lt;'PlayerGrades+'!$AD$19,"F+",IF(J648&lt;'PlayerGrades+'!$AD$18,"E-",IF(J648&lt;'PlayerGrades+'!$AD$17,"E",IF(J648&lt;'PlayerGrades+'!$AD$16,"E+",IF(J648&lt;'PlayerGrades+'!$AD$15,"D-",IF(J648&lt;'PlayerGrades+'!$AD$14,"D",IF(J648&lt;'PlayerGrades+'!$AD$13,"D+",IF(J648&lt;'PlayerGrades+'!$AD$12,"C-",IF(J648&lt;'PlayerGrades+'!$AD$11,"C",IF(J648&lt;'PlayerGrades+'!$AD$10,"C+",IF(J648&lt;'PlayerGrades+'!$AD$9,"B-",IF(J648&lt;'PlayerGrades+'!$AD$8,"B",IF(J648&lt;'PlayerGrades+'!$AD$7,"B+",IF(J648&lt;'PlayerGrades+'!$AD$6,"A-",IF(J648&lt;'PlayerGrades+'!$AD$5,"A",IF(J648&lt;'PlayerGrades+'!$AD$4,"A+",IF(J648&lt;'PlayerGrades+'!$AD$3,"S-",IF(J648&lt;'PlayerGrades+'!$AD$2,"S","S+"))))))))))))))))))))</f>
        <v>F-</v>
      </c>
      <c r="L648" s="974">
        <f t="shared" si="5"/>
        <v>0.2547279043</v>
      </c>
      <c r="M648" s="975" t="str">
        <f>IF(L648&lt;'PlayerGrades+'!$AE$21,"F-",IF(L648&lt;'PlayerGrades+'!$AE$20,"F",IF(L648&lt;'PlayerGrades+'!$AE$19,"F+",IF(L648&lt;'PlayerGrades+'!$AE$18,"E-",IF(L648&lt;'PlayerGrades+'!$AE$17,"E",IF(L648&lt;'PlayerGrades+'!$AE$16,"E+",IF(L648&lt;'PlayerGrades+'!$AE$15,"D-",IF(L648&lt;'PlayerGrades+'!$AE$14,"D",IF(L648&lt;'PlayerGrades+'!$AE$13,"D+",IF(L648&lt;'PlayerGrades+'!$AE$12,"C-",IF(L648&lt;'PlayerGrades+'!$AE$11,"C",IF(L648&lt;'PlayerGrades+'!$AE$10,"C+",IF(L648&lt;'PlayerGrades+'!$AE$9,"B-",IF(L648&lt;'PlayerGrades+'!$AE$8,"B",IF(L648&lt;'PlayerGrades+'!$AE$7,"B+",IF(L648&lt;'PlayerGrades+'!$AE$6,"A-",IF(L648&lt;'PlayerGrades+'!$AE$5,"A",IF(L648&lt;'PlayerGrades+'!$AE$4,"A+",IF(L648&lt;'PlayerGrades+'!$AE$3,"S-",IF(L648&lt;'PlayerGrades+'!$AE$2,"S","S+"))))))))))))))))))))</f>
        <v>F</v>
      </c>
      <c r="N648" s="973">
        <f t="shared" si="6"/>
        <v>0</v>
      </c>
      <c r="O648" s="973" t="str">
        <f>IF(N648&lt;'PlayerGrades+'!$AF$21,"F-",IF(N648&lt;'PlayerGrades+'!$AF$20,"F",IF(N648&lt;'PlayerGrades+'!$AF$19,"F+",IF(N648&lt;'PlayerGrades+'!$AF$18,"E-",IF(N648&lt;'PlayerGrades+'!$AF$17,"E",IF(N648&lt;'PlayerGrades+'!$AF$16,"E+",IF(N648&lt;'PlayerGrades+'!$AF$15,"D-",IF(N648&lt;'PlayerGrades+'!$AF$14,"D",IF(N648&lt;'PlayerGrades+'!$AF$13,"D+",IF(N648&lt;'PlayerGrades+'!$AF$12,"C-",IF(N648&lt;'PlayerGrades+'!$AF$11,"C",IF(N648&lt;'PlayerGrades+'!$AF$10,"C+",IF(N648&lt;'PlayerGrades+'!$AF$9,"B-",IF(N648&lt;'PlayerGrades+'!$AF$8,"B",IF(N648&lt;'PlayerGrades+'!$AF$7,"B+",IF(N648&lt;'PlayerGrades+'!$AF$6,"A-",IF(N648&lt;'PlayerGrades+'!$AF$5,"A",IF(N648&lt;'PlayerGrades+'!$AF$4,"A+",IF(N648&lt;'PlayerGrades+'!$AF$3,"S-",IF(N648&lt;'PlayerGrades+'!$AF$2,"S","S+"))))))))))))))))))))</f>
        <v>F-</v>
      </c>
      <c r="P648" s="973">
        <f t="shared" si="7"/>
        <v>0</v>
      </c>
      <c r="Q648" s="973" t="str">
        <f>IF(P648&lt;'PlayerGrades+'!$AG$21,"F-",IF(P648&lt;'PlayerGrades+'!$AG$20,"F",IF(P648&lt;'PlayerGrades+'!$AG$19,"F+",IF(P648&lt;'PlayerGrades+'!$AG$18,"E-",IF(P648&lt;'PlayerGrades+'!$AG$17,"E",IF(P648&lt;'PlayerGrades+'!$AG$16,"E+",IF(P648&lt;'PlayerGrades+'!$AG$15,"D-",IF(P648&lt;'PlayerGrades+'!$AG$14,"D",IF(P648&lt;'PlayerGrades+'!$AG$13,"D+",IF(P648&lt;'PlayerGrades+'!$AG$12,"C-",IF(P648&lt;'PlayerGrades+'!$AG$11,"C",IF(P648&lt;'PlayerGrades+'!$AG$10,"C+",IF(P648&lt;'PlayerGrades+'!$AG$9,"B-",IF(P648&lt;'PlayerGrades+'!$AG$8,"B",IF(P648&lt;'PlayerGrades+'!$AG$7,"B+",IF(P648&lt;'PlayerGrades+'!$AG$6,"A-",IF(P648&lt;'PlayerGrades+'!$AG$5,"A",IF(P648&lt;'PlayerGrades+'!$AG$4,"A+",IF(P648&lt;'PlayerGrades+'!$AG$3,"S-",IF(P648&lt;'PlayerGrades+'!$AG$2,"S","S+"))))))))))))))))))))</f>
        <v>F</v>
      </c>
      <c r="R648" s="973">
        <f t="shared" si="8"/>
        <v>0.3705133153</v>
      </c>
      <c r="S648" s="973" t="str">
        <f>IF(R648&lt;'PlayerGrades+'!$AH$21,"F-",IF(R648&lt;'PlayerGrades+'!$AH$20,"F",IF(R648&lt;'PlayerGrades+'!$AH$19,"F+",IF(R648&lt;'PlayerGrades+'!$AH$18,"E-",IF(R648&lt;'PlayerGrades+'!$AH$17,"E",IF(R648&lt;'PlayerGrades+'!$AH$16,"E+",IF(R648&lt;'PlayerGrades+'!$AH$15,"D-",IF(R648&lt;'PlayerGrades+'!$AH$14,"D",IF(R648&lt;'PlayerGrades+'!$AH$13,"D+",IF(R648&lt;'PlayerGrades+'!$AH$12,"C-",IF(R648&lt;'PlayerGrades+'!$AH$11,"C",IF(R648&lt;'PlayerGrades+'!$AH$10,"C+",IF(R648&lt;'PlayerGrades+'!$AH$9,"B-",IF(R648&lt;'PlayerGrades+'!$AH$8,"B",IF(R648&lt;'PlayerGrades+'!$AH$7,"B+",IF(R648&lt;'PlayerGrades+'!$AH$6,"A-",IF(R648&lt;'PlayerGrades+'!$AH$5,"A",IF(R648&lt;'PlayerGrades+'!$AH$4,"A+",IF(R648&lt;'PlayerGrades+'!$AH$3,"S-",IF(R648&lt;'PlayerGrades+'!$AH$2,"S","S+"))))))))))))))))))))</f>
        <v>F</v>
      </c>
      <c r="T648" s="973">
        <f t="shared" si="9"/>
        <v>2.370513315</v>
      </c>
      <c r="U648" s="973" t="str">
        <f>IF(T648&lt;'PlayerGrades+'!$AI$21,"F-",IF(T648&lt;'PlayerGrades+'!$AI$20,"F",IF(T648&lt;'PlayerGrades+'!$AI$19,"F+",IF(T648&lt;'PlayerGrades+'!$AI$18,"E-",IF(T648&lt;'PlayerGrades+'!$AI$17,"E",IF(T648&lt;'PlayerGrades+'!$AI$16,"E+",IF(T648&lt;'PlayerGrades+'!$AI$15,"D-",IF(T648&lt;'PlayerGrades+'!$AI$14,"D",IF(T648&lt;'PlayerGrades+'!$AI$13,"D+",IF(T648&lt;'PlayerGrades+'!$AI$12,"C-",IF(T648&lt;'PlayerGrades+'!$AI$11,"C",IF(T648&lt;'PlayerGrades+'!$AI$10,"C+",IF(T648&lt;'PlayerGrades+'!$AI$9,"B-",IF(T648&lt;'PlayerGrades+'!$AI$8,"B",IF(T648&lt;'PlayerGrades+'!$AI$7,"B+",IF(T648&lt;'PlayerGrades+'!$AI$6,"A-",IF(T648&lt;'PlayerGrades+'!$AI$5,"A",IF(T648&lt;'PlayerGrades+'!$AI$4,"A+",IF(T648&lt;'PlayerGrades+'!$AI$3,"S-",IF(T648&lt;'PlayerGrades+'!$AI$2,"S","S+"))))))))))))))))))))</f>
        <v>S+</v>
      </c>
      <c r="V648" s="941">
        <v>1.0</v>
      </c>
      <c r="W648" s="941">
        <v>0.0</v>
      </c>
      <c r="X648" s="941">
        <v>1.0</v>
      </c>
      <c r="Y648" s="941">
        <v>0.0</v>
      </c>
      <c r="Z648" s="941">
        <v>0.0</v>
      </c>
      <c r="AA648" s="941">
        <v>96.0</v>
      </c>
      <c r="AB648" s="941">
        <v>151.0</v>
      </c>
      <c r="AC648" s="941">
        <v>-55.0</v>
      </c>
      <c r="AD648" s="941">
        <v>11.0</v>
      </c>
      <c r="AE648" s="941">
        <v>4.0</v>
      </c>
      <c r="AF648" s="941">
        <v>2.0</v>
      </c>
      <c r="AG648" s="941">
        <v>2043.0</v>
      </c>
      <c r="AH648" s="941">
        <v>2591.0</v>
      </c>
      <c r="AI648" s="941">
        <v>13.0</v>
      </c>
      <c r="AJ648" s="941">
        <v>13.0</v>
      </c>
      <c r="AK648" s="941">
        <v>0.0</v>
      </c>
      <c r="AL648" s="941">
        <v>0.0</v>
      </c>
      <c r="AM648" s="941">
        <v>0.0</v>
      </c>
      <c r="AN648" s="941">
        <v>0.0</v>
      </c>
      <c r="AO648" s="941">
        <v>0.0</v>
      </c>
      <c r="AP648" s="941">
        <v>0.0</v>
      </c>
      <c r="AQ648" s="941">
        <v>0.0</v>
      </c>
      <c r="AR648" s="941">
        <v>11.0</v>
      </c>
      <c r="AS648" s="941">
        <v>0.0</v>
      </c>
      <c r="AT648" s="941">
        <v>0.0</v>
      </c>
      <c r="AU648" s="941">
        <v>0.0</v>
      </c>
      <c r="AV648" s="941">
        <v>0.0</v>
      </c>
      <c r="AW648" s="941">
        <v>0.0</v>
      </c>
      <c r="AX648" s="941">
        <v>0.0</v>
      </c>
      <c r="AY648" s="941">
        <v>0.0</v>
      </c>
      <c r="AZ648" s="941">
        <v>0.0</v>
      </c>
      <c r="BA648" s="941">
        <v>0.0</v>
      </c>
      <c r="BB648" s="941">
        <v>1.0</v>
      </c>
      <c r="BC648" s="941">
        <v>0.0</v>
      </c>
      <c r="BD648" s="941">
        <v>5.0</v>
      </c>
      <c r="BE648" s="941">
        <v>16.0</v>
      </c>
      <c r="BF648" s="941">
        <v>2.0</v>
      </c>
      <c r="BG648" s="941">
        <v>0.0</v>
      </c>
    </row>
    <row r="649">
      <c r="A649" s="882" t="s">
        <v>136</v>
      </c>
      <c r="B649" s="421" t="str">
        <f>IF(C649&lt;'PlayerGrades+'!$Y$44,"F-",IF(C649&lt;'PlayerGrades+'!$Y$43,"F",IF(C649&lt;'PlayerGrades+'!$Y$42,"F+",IF(C649&lt;'PlayerGrades+'!$Y$41,"E-",IF(C649&lt;'PlayerGrades+'!$Y$40,"E",IF(C649&lt;'PlayerGrades+'!$Y$39,"E+",IF(C649&lt;'PlayerGrades+'!$Y$38,"D-",IF(C649&lt;'PlayerGrades+'!$Y$37,"D",IF(C649&lt;'PlayerGrades+'!$Y$36,"D+",IF(C649&lt;'PlayerGrades+'!$Y$35,"C-",IF(C649&lt;'PlayerGrades+'!$Y$34,"C",IF(C649&lt;'PlayerGrades+'!$Y$33,"C+",IF(C649&lt;'PlayerGrades+'!$Y$32,"B-",IF(C649&lt;'PlayerGrades+'!$Y$31,"B",IF(C649&lt;'PlayerGrades+'!$Y$30,"B+",IF(C649&lt;'PlayerGrades+'!$Y$29,"A-",IF(C649&lt;'PlayerGrades+'!$Y$28,"A",IF(C649&lt;'PlayerGrades+'!$Y$27,"A+",IF(C649&lt;'PlayerGrades+'!$Y$26,"S-",IF(C649&lt;'PlayerGrades+'!$Y$25,"S","S+"))))))))))))))))))))</f>
        <v>D+</v>
      </c>
      <c r="C649" s="972">
        <f>('PlayerGrades+'!$Y$47*(VLOOKUP(E649, 'PlayerGrades+'!$X$3:$Y$23, 2, FALSE)))+('PlayerGrades+'!$Y$48*(VLOOKUP(G649, 'PlayerGrades+'!$X$3:$Y$23, 2, FALSE)))+('PlayerGrades+'!$Y$49*(VLOOKUP(I649, 'PlayerGrades+'!$X$3:$Y$23, 2, FALSE)))+('PlayerGrades+'!$Y$50*(VLOOKUP(K649, 'PlayerGrades+'!$X$3:$Y$23, 2, FALSE)))+('PlayerGrades+'!$Y$51*(VLOOKUP(M649, 'PlayerGrades+'!$X$3:$Y$23, 2, FALSE)))+('PlayerGrades+'!$Y$52*(VLOOKUP(O649, 'PlayerGrades+'!$X$3:$Y$23, 2, FALSE)))+('PlayerGrades+'!$Y$53*(VLOOKUP(Q649, 'PlayerGrades+'!$X$3:$Y$23, 2, FALSE)))+('PlayerGrades+'!$Y$54*(VLOOKUP(S649, 'PlayerGrades+'!$X$3:$Y$23, 2, FALSE)))+('PlayerGrades+'!$Y$55*(VLOOKUP(U649, 'PlayerGrades+'!$X$3:$Y$23, 2, FALSE)))</f>
        <v>17.3</v>
      </c>
      <c r="D649" s="973">
        <f t="shared" si="1"/>
        <v>0</v>
      </c>
      <c r="E649" s="973" t="str">
        <f>IF(D649&lt;'PlayerGrades+'!$AA$21,"F-",IF(D649&lt;'PlayerGrades+'!$AA$20,"F",IF(D649&lt;'PlayerGrades+'!$AA$19,"F+",IF(D649&lt;'PlayerGrades+'!$AA$18,"E-",IF(D649&lt;'PlayerGrades+'!$AA$17,"E",IF(D649&lt;'PlayerGrades+'!$AA$16,"E+",IF(D649&lt;'PlayerGrades+'!$AA$15,"D-",IF(D649&lt;'PlayerGrades+'!$AA$14,"D",IF(D649&lt;'PlayerGrades+'!$AA$13,"D+",IF(D649&lt;'PlayerGrades+'!$AA$12,"C-",IF(D649&lt;'PlayerGrades+'!$AA$11,"C",IF(D649&lt;'PlayerGrades+'!$AA$10,"C+",IF(D649&lt;'PlayerGrades+'!$AA$9,"B-",IF(D649&lt;'PlayerGrades+'!$AA$8,"B",IF(D649&lt;'PlayerGrades+'!$AA$7,"B+",IF(D649&lt;'PlayerGrades+'!$AA$6,"A-",IF(D649&lt;'PlayerGrades+'!$AA$5,"A",IF(D649&lt;'PlayerGrades+'!$AA$4,"A+",IF(D649&lt;'PlayerGrades+'!$AA$3,"S-",IF(D649&lt;'PlayerGrades+'!$AA$2,"S","S+"))))))))))))))))))))</f>
        <v>F-</v>
      </c>
      <c r="F649" s="973">
        <f t="shared" si="2"/>
        <v>-0.555769973</v>
      </c>
      <c r="G649" s="973" t="str">
        <f>IF(F649&lt;'PlayerGrades+'!$AB$21,"F-",IF(F649&lt;'PlayerGrades+'!$AB$20,"F",IF(F649&lt;'PlayerGrades+'!$AB$19,"F+",IF(F649&lt;'PlayerGrades+'!$AB$18,"E-",IF(F649&lt;'PlayerGrades+'!$AB$17,"E",IF(F649&lt;'PlayerGrades+'!$AB$16,"E+",IF(F649&lt;'PlayerGrades+'!$AB$15,"D-",IF(F649&lt;'PlayerGrades+'!$AB$14,"D",IF(F649&lt;'PlayerGrades+'!$AB$13,"D+",IF(F649&lt;'PlayerGrades+'!$AB$12,"C-",IF(F649&lt;'PlayerGrades+'!$AB$11,"C",IF(F649&lt;'PlayerGrades+'!$AB$10,"C+",IF(F649&lt;'PlayerGrades+'!$AB$9,"B-",IF(F649&lt;'PlayerGrades+'!$AB$8,"B",IF(F649&lt;'PlayerGrades+'!$AB$7,"B+",IF(F649&lt;'PlayerGrades+'!$AB$6,"A-",IF(F649&lt;'PlayerGrades+'!$AB$5,"A",IF(F649&lt;'PlayerGrades+'!$AB$4,"A+",IF(F649&lt;'PlayerGrades+'!$AB$3,"S-",IF(F649&lt;'PlayerGrades+'!$AB$2,"S","S+"))))))))))))))))))))</f>
        <v>D</v>
      </c>
      <c r="H649" s="973">
        <f t="shared" si="3"/>
        <v>0.02315708221</v>
      </c>
      <c r="I649" s="973" t="str">
        <f>IF(H649&lt;'PlayerGrades+'!$AC$21,"F-",IF(H649&lt;'PlayerGrades+'!$AC$20,"F",IF(H649&lt;'PlayerGrades+'!$AC$19,"F+",IF(H649&lt;'PlayerGrades+'!$AC$18,"E-",IF(H649&lt;'PlayerGrades+'!$AC$17,"E",IF(H649&lt;'PlayerGrades+'!$AC$16,"E+",IF(H649&lt;'PlayerGrades+'!$AC$15,"D-",IF(H649&lt;'PlayerGrades+'!$AC$14,"D",IF(H649&lt;'PlayerGrades+'!$AC$13,"D+",IF(H649&lt;'PlayerGrades+'!$AC$12,"C-",IF(H649&lt;'PlayerGrades+'!$AC$11,"C",IF(H649&lt;'PlayerGrades+'!$AC$10,"C+",IF(H649&lt;'PlayerGrades+'!$AC$9,"B-",IF(H649&lt;'PlayerGrades+'!$AC$8,"B",IF(H649&lt;'PlayerGrades+'!$AC$7,"B+",IF(H649&lt;'PlayerGrades+'!$AC$6,"A-",IF(H649&lt;'PlayerGrades+'!$AC$5,"A",IF(H649&lt;'PlayerGrades+'!$AC$4,"A+",IF(H649&lt;'PlayerGrades+'!$AC$3,"S-",IF(H649&lt;'PlayerGrades+'!$AC$2,"S","S+"))))))))))))))))))))</f>
        <v>F-</v>
      </c>
      <c r="J649" s="973">
        <f t="shared" si="4"/>
        <v>0</v>
      </c>
      <c r="K649" s="973" t="str">
        <f>IF(J649&lt;'PlayerGrades+'!$AD$21,"F-",IF(J649&lt;'PlayerGrades+'!$AD$20,"F",IF(J649&lt;'PlayerGrades+'!$AD$19,"F+",IF(J649&lt;'PlayerGrades+'!$AD$18,"E-",IF(J649&lt;'PlayerGrades+'!$AD$17,"E",IF(J649&lt;'PlayerGrades+'!$AD$16,"E+",IF(J649&lt;'PlayerGrades+'!$AD$15,"D-",IF(J649&lt;'PlayerGrades+'!$AD$14,"D",IF(J649&lt;'PlayerGrades+'!$AD$13,"D+",IF(J649&lt;'PlayerGrades+'!$AD$12,"C-",IF(J649&lt;'PlayerGrades+'!$AD$11,"C",IF(J649&lt;'PlayerGrades+'!$AD$10,"C+",IF(J649&lt;'PlayerGrades+'!$AD$9,"B-",IF(J649&lt;'PlayerGrades+'!$AD$8,"B",IF(J649&lt;'PlayerGrades+'!$AD$7,"B+",IF(J649&lt;'PlayerGrades+'!$AD$6,"A-",IF(J649&lt;'PlayerGrades+'!$AD$5,"A",IF(J649&lt;'PlayerGrades+'!$AD$4,"A+",IF(J649&lt;'PlayerGrades+'!$AD$3,"S-",IF(J649&lt;'PlayerGrades+'!$AD$2,"S","S+"))))))))))))))))))))</f>
        <v>F-</v>
      </c>
      <c r="L649" s="974">
        <f t="shared" si="5"/>
        <v>0.4862987264</v>
      </c>
      <c r="M649" s="975" t="str">
        <f>IF(L649&lt;'PlayerGrades+'!$AE$21,"F-",IF(L649&lt;'PlayerGrades+'!$AE$20,"F",IF(L649&lt;'PlayerGrades+'!$AE$19,"F+",IF(L649&lt;'PlayerGrades+'!$AE$18,"E-",IF(L649&lt;'PlayerGrades+'!$AE$17,"E",IF(L649&lt;'PlayerGrades+'!$AE$16,"E+",IF(L649&lt;'PlayerGrades+'!$AE$15,"D-",IF(L649&lt;'PlayerGrades+'!$AE$14,"D",IF(L649&lt;'PlayerGrades+'!$AE$13,"D+",IF(L649&lt;'PlayerGrades+'!$AE$12,"C-",IF(L649&lt;'PlayerGrades+'!$AE$11,"C",IF(L649&lt;'PlayerGrades+'!$AE$10,"C+",IF(L649&lt;'PlayerGrades+'!$AE$9,"B-",IF(L649&lt;'PlayerGrades+'!$AE$8,"B",IF(L649&lt;'PlayerGrades+'!$AE$7,"B+",IF(L649&lt;'PlayerGrades+'!$AE$6,"A-",IF(L649&lt;'PlayerGrades+'!$AE$5,"A",IF(L649&lt;'PlayerGrades+'!$AE$4,"A+",IF(L649&lt;'PlayerGrades+'!$AE$3,"S-",IF(L649&lt;'PlayerGrades+'!$AE$2,"S","S+"))))))))))))))))))))</f>
        <v>B+</v>
      </c>
      <c r="N649" s="973">
        <f t="shared" si="6"/>
        <v>0.06947124662</v>
      </c>
      <c r="O649" s="973" t="str">
        <f>IF(N649&lt;'PlayerGrades+'!$AF$21,"F-",IF(N649&lt;'PlayerGrades+'!$AF$20,"F",IF(N649&lt;'PlayerGrades+'!$AF$19,"F+",IF(N649&lt;'PlayerGrades+'!$AF$18,"E-",IF(N649&lt;'PlayerGrades+'!$AF$17,"E",IF(N649&lt;'PlayerGrades+'!$AF$16,"E+",IF(N649&lt;'PlayerGrades+'!$AF$15,"D-",IF(N649&lt;'PlayerGrades+'!$AF$14,"D",IF(N649&lt;'PlayerGrades+'!$AF$13,"D+",IF(N649&lt;'PlayerGrades+'!$AF$12,"C-",IF(N649&lt;'PlayerGrades+'!$AF$11,"C",IF(N649&lt;'PlayerGrades+'!$AF$10,"C+",IF(N649&lt;'PlayerGrades+'!$AF$9,"B-",IF(N649&lt;'PlayerGrades+'!$AF$8,"B",IF(N649&lt;'PlayerGrades+'!$AF$7,"B+",IF(N649&lt;'PlayerGrades+'!$AF$6,"A-",IF(N649&lt;'PlayerGrades+'!$AF$5,"A",IF(N649&lt;'PlayerGrades+'!$AF$4,"A+",IF(N649&lt;'PlayerGrades+'!$AF$3,"S-",IF(N649&lt;'PlayerGrades+'!$AF$2,"S","S+"))))))))))))))))))))</f>
        <v>C-</v>
      </c>
      <c r="P649" s="973">
        <f t="shared" si="7"/>
        <v>0</v>
      </c>
      <c r="Q649" s="973" t="str">
        <f>IF(P649&lt;'PlayerGrades+'!$AG$21,"F-",IF(P649&lt;'PlayerGrades+'!$AG$20,"F",IF(P649&lt;'PlayerGrades+'!$AG$19,"F+",IF(P649&lt;'PlayerGrades+'!$AG$18,"E-",IF(P649&lt;'PlayerGrades+'!$AG$17,"E",IF(P649&lt;'PlayerGrades+'!$AG$16,"E+",IF(P649&lt;'PlayerGrades+'!$AG$15,"D-",IF(P649&lt;'PlayerGrades+'!$AG$14,"D",IF(P649&lt;'PlayerGrades+'!$AG$13,"D+",IF(P649&lt;'PlayerGrades+'!$AG$12,"C-",IF(P649&lt;'PlayerGrades+'!$AG$11,"C",IF(P649&lt;'PlayerGrades+'!$AG$10,"C+",IF(P649&lt;'PlayerGrades+'!$AG$9,"B-",IF(P649&lt;'PlayerGrades+'!$AG$8,"B",IF(P649&lt;'PlayerGrades+'!$AG$7,"B+",IF(P649&lt;'PlayerGrades+'!$AG$6,"A-",IF(P649&lt;'PlayerGrades+'!$AG$5,"A",IF(P649&lt;'PlayerGrades+'!$AG$4,"A+",IF(P649&lt;'PlayerGrades+'!$AG$3,"S-",IF(P649&lt;'PlayerGrades+'!$AG$2,"S","S+"))))))))))))))))))))</f>
        <v>F</v>
      </c>
      <c r="R649" s="973">
        <f t="shared" si="8"/>
        <v>0.7410266306</v>
      </c>
      <c r="S649" s="973" t="str">
        <f>IF(R649&lt;'PlayerGrades+'!$AH$21,"F-",IF(R649&lt;'PlayerGrades+'!$AH$20,"F",IF(R649&lt;'PlayerGrades+'!$AH$19,"F+",IF(R649&lt;'PlayerGrades+'!$AH$18,"E-",IF(R649&lt;'PlayerGrades+'!$AH$17,"E",IF(R649&lt;'PlayerGrades+'!$AH$16,"E+",IF(R649&lt;'PlayerGrades+'!$AH$15,"D-",IF(R649&lt;'PlayerGrades+'!$AH$14,"D",IF(R649&lt;'PlayerGrades+'!$AH$13,"D+",IF(R649&lt;'PlayerGrades+'!$AH$12,"C-",IF(R649&lt;'PlayerGrades+'!$AH$11,"C",IF(R649&lt;'PlayerGrades+'!$AH$10,"C+",IF(R649&lt;'PlayerGrades+'!$AH$9,"B-",IF(R649&lt;'PlayerGrades+'!$AH$8,"B",IF(R649&lt;'PlayerGrades+'!$AH$7,"B+",IF(R649&lt;'PlayerGrades+'!$AH$6,"A-",IF(R649&lt;'PlayerGrades+'!$AH$5,"A",IF(R649&lt;'PlayerGrades+'!$AH$4,"A+",IF(R649&lt;'PlayerGrades+'!$AH$3,"S-",IF(R649&lt;'PlayerGrades+'!$AH$2,"S","S+"))))))))))))))))))))</f>
        <v>S</v>
      </c>
      <c r="T649" s="973">
        <f t="shared" si="9"/>
        <v>1.602084137</v>
      </c>
      <c r="U649" s="973" t="str">
        <f>IF(T649&lt;'PlayerGrades+'!$AI$21,"F-",IF(T649&lt;'PlayerGrades+'!$AI$20,"F",IF(T649&lt;'PlayerGrades+'!$AI$19,"F+",IF(T649&lt;'PlayerGrades+'!$AI$18,"E-",IF(T649&lt;'PlayerGrades+'!$AI$17,"E",IF(T649&lt;'PlayerGrades+'!$AI$16,"E+",IF(T649&lt;'PlayerGrades+'!$AI$15,"D-",IF(T649&lt;'PlayerGrades+'!$AI$14,"D",IF(T649&lt;'PlayerGrades+'!$AI$13,"D+",IF(T649&lt;'PlayerGrades+'!$AI$12,"C-",IF(T649&lt;'PlayerGrades+'!$AI$11,"C",IF(T649&lt;'PlayerGrades+'!$AI$10,"C+",IF(T649&lt;'PlayerGrades+'!$AI$9,"B-",IF(T649&lt;'PlayerGrades+'!$AI$8,"B",IF(T649&lt;'PlayerGrades+'!$AI$7,"B+",IF(T649&lt;'PlayerGrades+'!$AI$6,"A-",IF(T649&lt;'PlayerGrades+'!$AI$5,"A",IF(T649&lt;'PlayerGrades+'!$AI$4,"A+",IF(T649&lt;'PlayerGrades+'!$AI$3,"S-",IF(T649&lt;'PlayerGrades+'!$AI$2,"S","S+"))))))))))))))))))))</f>
        <v>S-</v>
      </c>
      <c r="V649" s="944">
        <v>1.0</v>
      </c>
      <c r="W649" s="944">
        <v>0.0</v>
      </c>
      <c r="X649" s="944">
        <v>1.0</v>
      </c>
      <c r="Y649" s="944">
        <v>0.0</v>
      </c>
      <c r="Z649" s="944">
        <v>0.0</v>
      </c>
      <c r="AA649" s="944">
        <v>151.0</v>
      </c>
      <c r="AB649" s="944">
        <v>175.0</v>
      </c>
      <c r="AC649" s="944">
        <v>-24.0</v>
      </c>
      <c r="AD649" s="944">
        <v>7.0</v>
      </c>
      <c r="AE649" s="944">
        <v>4.0</v>
      </c>
      <c r="AF649" s="944">
        <v>2.0</v>
      </c>
      <c r="AG649" s="944">
        <v>1978.0</v>
      </c>
      <c r="AH649" s="944">
        <v>2591.0</v>
      </c>
      <c r="AI649" s="944">
        <v>11.0</v>
      </c>
      <c r="AJ649" s="944">
        <v>20.0</v>
      </c>
      <c r="AK649" s="944">
        <v>0.0</v>
      </c>
      <c r="AL649" s="944">
        <v>0.0</v>
      </c>
      <c r="AM649" s="944">
        <v>0.0</v>
      </c>
      <c r="AN649" s="944">
        <v>0.0</v>
      </c>
      <c r="AO649" s="944">
        <v>0.0</v>
      </c>
      <c r="AP649" s="944">
        <v>0.0</v>
      </c>
      <c r="AQ649" s="944">
        <v>0.0</v>
      </c>
      <c r="AR649" s="944">
        <v>21.0</v>
      </c>
      <c r="AS649" s="944">
        <v>3.0</v>
      </c>
      <c r="AT649" s="944">
        <v>0.0</v>
      </c>
      <c r="AU649" s="944">
        <v>0.0</v>
      </c>
      <c r="AV649" s="944">
        <v>0.0</v>
      </c>
      <c r="AW649" s="944">
        <v>0.0</v>
      </c>
      <c r="AX649" s="944">
        <v>0.0</v>
      </c>
      <c r="AY649" s="944">
        <v>0.0</v>
      </c>
      <c r="AZ649" s="944">
        <v>0.0</v>
      </c>
      <c r="BA649" s="944">
        <v>0.0</v>
      </c>
      <c r="BB649" s="944">
        <v>1.0</v>
      </c>
      <c r="BC649" s="944">
        <v>0.0</v>
      </c>
      <c r="BD649" s="944">
        <v>25.0</v>
      </c>
      <c r="BE649" s="944">
        <v>26.0</v>
      </c>
      <c r="BF649" s="944">
        <v>1.0</v>
      </c>
      <c r="BG649" s="944">
        <v>0.0</v>
      </c>
    </row>
    <row r="650">
      <c r="A650" s="1" t="s">
        <v>114</v>
      </c>
      <c r="B650" s="421" t="str">
        <f>IF(C650&lt;'PlayerGrades+'!$Y$44,"F-",IF(C650&lt;'PlayerGrades+'!$Y$43,"F",IF(C650&lt;'PlayerGrades+'!$Y$42,"F+",IF(C650&lt;'PlayerGrades+'!$Y$41,"E-",IF(C650&lt;'PlayerGrades+'!$Y$40,"E",IF(C650&lt;'PlayerGrades+'!$Y$39,"E+",IF(C650&lt;'PlayerGrades+'!$Y$38,"D-",IF(C650&lt;'PlayerGrades+'!$Y$37,"D",IF(C650&lt;'PlayerGrades+'!$Y$36,"D+",IF(C650&lt;'PlayerGrades+'!$Y$35,"C-",IF(C650&lt;'PlayerGrades+'!$Y$34,"C",IF(C650&lt;'PlayerGrades+'!$Y$33,"C+",IF(C650&lt;'PlayerGrades+'!$Y$32,"B-",IF(C650&lt;'PlayerGrades+'!$Y$31,"B",IF(C650&lt;'PlayerGrades+'!$Y$30,"B+",IF(C650&lt;'PlayerGrades+'!$Y$29,"A-",IF(C650&lt;'PlayerGrades+'!$Y$28,"A",IF(C650&lt;'PlayerGrades+'!$Y$27,"A+",IF(C650&lt;'PlayerGrades+'!$Y$26,"S-",IF(C650&lt;'PlayerGrades+'!$Y$25,"S","S+"))))))))))))))))))))</f>
        <v>D+</v>
      </c>
      <c r="C650" s="972">
        <f>('PlayerGrades+'!$Y$47*(VLOOKUP(E650, 'PlayerGrades+'!$X$3:$Y$23, 2, FALSE)))+('PlayerGrades+'!$Y$48*(VLOOKUP(G650, 'PlayerGrades+'!$X$3:$Y$23, 2, FALSE)))+('PlayerGrades+'!$Y$49*(VLOOKUP(I650, 'PlayerGrades+'!$X$3:$Y$23, 2, FALSE)))+('PlayerGrades+'!$Y$50*(VLOOKUP(K650, 'PlayerGrades+'!$X$3:$Y$23, 2, FALSE)))+('PlayerGrades+'!$Y$51*(VLOOKUP(M650, 'PlayerGrades+'!$X$3:$Y$23, 2, FALSE)))+('PlayerGrades+'!$Y$52*(VLOOKUP(O650, 'PlayerGrades+'!$X$3:$Y$23, 2, FALSE)))+('PlayerGrades+'!$Y$53*(VLOOKUP(Q650, 'PlayerGrades+'!$X$3:$Y$23, 2, FALSE)))+('PlayerGrades+'!$Y$54*(VLOOKUP(S650, 'PlayerGrades+'!$X$3:$Y$23, 2, FALSE)))+('PlayerGrades+'!$Y$55*(VLOOKUP(U650, 'PlayerGrades+'!$X$3:$Y$23, 2, FALSE)))</f>
        <v>17.85</v>
      </c>
      <c r="D650" s="973">
        <f t="shared" si="1"/>
        <v>0.5707890319</v>
      </c>
      <c r="E650" s="973" t="str">
        <f>IF(D650&lt;'PlayerGrades+'!$AA$21,"F-",IF(D650&lt;'PlayerGrades+'!$AA$20,"F",IF(D650&lt;'PlayerGrades+'!$AA$19,"F+",IF(D650&lt;'PlayerGrades+'!$AA$18,"E-",IF(D650&lt;'PlayerGrades+'!$AA$17,"E",IF(D650&lt;'PlayerGrades+'!$AA$16,"E+",IF(D650&lt;'PlayerGrades+'!$AA$15,"D-",IF(D650&lt;'PlayerGrades+'!$AA$14,"D",IF(D650&lt;'PlayerGrades+'!$AA$13,"D+",IF(D650&lt;'PlayerGrades+'!$AA$12,"C-",IF(D650&lt;'PlayerGrades+'!$AA$11,"C",IF(D650&lt;'PlayerGrades+'!$AA$10,"C+",IF(D650&lt;'PlayerGrades+'!$AA$9,"B-",IF(D650&lt;'PlayerGrades+'!$AA$8,"B",IF(D650&lt;'PlayerGrades+'!$AA$7,"B+",IF(D650&lt;'PlayerGrades+'!$AA$6,"A-",IF(D650&lt;'PlayerGrades+'!$AA$5,"A",IF(D650&lt;'PlayerGrades+'!$AA$4,"A+",IF(D650&lt;'PlayerGrades+'!$AA$3,"S-",IF(D650&lt;'PlayerGrades+'!$AA$2,"S","S+"))))))))))))))))))))</f>
        <v>S-</v>
      </c>
      <c r="F650" s="973">
        <f t="shared" si="2"/>
        <v>-0.3021824287</v>
      </c>
      <c r="G650" s="973" t="str">
        <f>IF(F650&lt;'PlayerGrades+'!$AB$21,"F-",IF(F650&lt;'PlayerGrades+'!$AB$20,"F",IF(F650&lt;'PlayerGrades+'!$AB$19,"F+",IF(F650&lt;'PlayerGrades+'!$AB$18,"E-",IF(F650&lt;'PlayerGrades+'!$AB$17,"E",IF(F650&lt;'PlayerGrades+'!$AB$16,"E+",IF(F650&lt;'PlayerGrades+'!$AB$15,"D-",IF(F650&lt;'PlayerGrades+'!$AB$14,"D",IF(F650&lt;'PlayerGrades+'!$AB$13,"D+",IF(F650&lt;'PlayerGrades+'!$AB$12,"C-",IF(F650&lt;'PlayerGrades+'!$AB$11,"C",IF(F650&lt;'PlayerGrades+'!$AB$10,"C+",IF(F650&lt;'PlayerGrades+'!$AB$9,"B-",IF(F650&lt;'PlayerGrades+'!$AB$8,"B",IF(F650&lt;'PlayerGrades+'!$AB$7,"B+",IF(F650&lt;'PlayerGrades+'!$AB$6,"A-",IF(F650&lt;'PlayerGrades+'!$AB$5,"A",IF(F650&lt;'PlayerGrades+'!$AB$4,"A+",IF(F650&lt;'PlayerGrades+'!$AB$3,"S-",IF(F650&lt;'PlayerGrades+'!$AB$2,"S","S+"))))))))))))))))))))</f>
        <v>C</v>
      </c>
      <c r="H650" s="973">
        <f t="shared" si="3"/>
        <v>0.03357582541</v>
      </c>
      <c r="I650" s="973" t="str">
        <f>IF(H650&lt;'PlayerGrades+'!$AC$21,"F-",IF(H650&lt;'PlayerGrades+'!$AC$20,"F",IF(H650&lt;'PlayerGrades+'!$AC$19,"F+",IF(H650&lt;'PlayerGrades+'!$AC$18,"E-",IF(H650&lt;'PlayerGrades+'!$AC$17,"E",IF(H650&lt;'PlayerGrades+'!$AC$16,"E+",IF(H650&lt;'PlayerGrades+'!$AC$15,"D-",IF(H650&lt;'PlayerGrades+'!$AC$14,"D",IF(H650&lt;'PlayerGrades+'!$AC$13,"D+",IF(H650&lt;'PlayerGrades+'!$AC$12,"C-",IF(H650&lt;'PlayerGrades+'!$AC$11,"C",IF(H650&lt;'PlayerGrades+'!$AC$10,"C+",IF(H650&lt;'PlayerGrades+'!$AC$9,"B-",IF(H650&lt;'PlayerGrades+'!$AC$8,"B",IF(H650&lt;'PlayerGrades+'!$AC$7,"B+",IF(H650&lt;'PlayerGrades+'!$AC$6,"A-",IF(H650&lt;'PlayerGrades+'!$AC$5,"A",IF(H650&lt;'PlayerGrades+'!$AC$4,"A+",IF(H650&lt;'PlayerGrades+'!$AC$3,"S-",IF(H650&lt;'PlayerGrades+'!$AC$2,"S","S+"))))))))))))))))))))</f>
        <v>F</v>
      </c>
      <c r="J650" s="973">
        <f t="shared" si="4"/>
        <v>0.03357582541</v>
      </c>
      <c r="K650" s="973" t="str">
        <f>IF(J650&lt;'PlayerGrades+'!$AD$21,"F-",IF(J650&lt;'PlayerGrades+'!$AD$20,"F",IF(J650&lt;'PlayerGrades+'!$AD$19,"F+",IF(J650&lt;'PlayerGrades+'!$AD$18,"E-",IF(J650&lt;'PlayerGrades+'!$AD$17,"E",IF(J650&lt;'PlayerGrades+'!$AD$16,"E+",IF(J650&lt;'PlayerGrades+'!$AD$15,"D-",IF(J650&lt;'PlayerGrades+'!$AD$14,"D",IF(J650&lt;'PlayerGrades+'!$AD$13,"D+",IF(J650&lt;'PlayerGrades+'!$AD$12,"C-",IF(J650&lt;'PlayerGrades+'!$AD$11,"C",IF(J650&lt;'PlayerGrades+'!$AD$10,"C+",IF(J650&lt;'PlayerGrades+'!$AD$9,"B-",IF(J650&lt;'PlayerGrades+'!$AD$8,"B",IF(J650&lt;'PlayerGrades+'!$AD$7,"B+",IF(J650&lt;'PlayerGrades+'!$AD$6,"A-",IF(J650&lt;'PlayerGrades+'!$AD$5,"A",IF(J650&lt;'PlayerGrades+'!$AD$4,"A+",IF(J650&lt;'PlayerGrades+'!$AD$3,"S-",IF(J650&lt;'PlayerGrades+'!$AD$2,"S","S+"))))))))))))))))))))</f>
        <v>C</v>
      </c>
      <c r="L650" s="974">
        <f t="shared" si="5"/>
        <v>0.3357582541</v>
      </c>
      <c r="M650" s="975" t="str">
        <f>IF(L650&lt;'PlayerGrades+'!$AE$21,"F-",IF(L650&lt;'PlayerGrades+'!$AE$20,"F",IF(L650&lt;'PlayerGrades+'!$AE$19,"F+",IF(L650&lt;'PlayerGrades+'!$AE$18,"E-",IF(L650&lt;'PlayerGrades+'!$AE$17,"E",IF(L650&lt;'PlayerGrades+'!$AE$16,"E+",IF(L650&lt;'PlayerGrades+'!$AE$15,"D-",IF(L650&lt;'PlayerGrades+'!$AE$14,"D",IF(L650&lt;'PlayerGrades+'!$AE$13,"D+",IF(L650&lt;'PlayerGrades+'!$AE$12,"C-",IF(L650&lt;'PlayerGrades+'!$AE$11,"C",IF(L650&lt;'PlayerGrades+'!$AE$10,"C+",IF(L650&lt;'PlayerGrades+'!$AE$9,"B-",IF(L650&lt;'PlayerGrades+'!$AE$8,"B",IF(L650&lt;'PlayerGrades+'!$AE$7,"B+",IF(L650&lt;'PlayerGrades+'!$AE$6,"A-",IF(L650&lt;'PlayerGrades+'!$AE$5,"A",IF(L650&lt;'PlayerGrades+'!$AE$4,"A+",IF(L650&lt;'PlayerGrades+'!$AE$3,"S-",IF(L650&lt;'PlayerGrades+'!$AE$2,"S","S+"))))))))))))))))))))</f>
        <v>D-</v>
      </c>
      <c r="N650" s="973">
        <f t="shared" si="6"/>
        <v>0.03357582541</v>
      </c>
      <c r="O650" s="973" t="str">
        <f>IF(N650&lt;'PlayerGrades+'!$AF$21,"F-",IF(N650&lt;'PlayerGrades+'!$AF$20,"F",IF(N650&lt;'PlayerGrades+'!$AF$19,"F+",IF(N650&lt;'PlayerGrades+'!$AF$18,"E-",IF(N650&lt;'PlayerGrades+'!$AF$17,"E",IF(N650&lt;'PlayerGrades+'!$AF$16,"E+",IF(N650&lt;'PlayerGrades+'!$AF$15,"D-",IF(N650&lt;'PlayerGrades+'!$AF$14,"D",IF(N650&lt;'PlayerGrades+'!$AF$13,"D+",IF(N650&lt;'PlayerGrades+'!$AF$12,"C-",IF(N650&lt;'PlayerGrades+'!$AF$11,"C",IF(N650&lt;'PlayerGrades+'!$AF$10,"C+",IF(N650&lt;'PlayerGrades+'!$AF$9,"B-",IF(N650&lt;'PlayerGrades+'!$AF$8,"B",IF(N650&lt;'PlayerGrades+'!$AF$7,"B+",IF(N650&lt;'PlayerGrades+'!$AF$6,"A-",IF(N650&lt;'PlayerGrades+'!$AF$5,"A",IF(N650&lt;'PlayerGrades+'!$AF$4,"A+",IF(N650&lt;'PlayerGrades+'!$AF$3,"S-",IF(N650&lt;'PlayerGrades+'!$AF$2,"S","S+"))))))))))))))))))))</f>
        <v>F+</v>
      </c>
      <c r="P650" s="973">
        <f t="shared" si="7"/>
        <v>0</v>
      </c>
      <c r="Q650" s="973" t="str">
        <f>IF(P650&lt;'PlayerGrades+'!$AG$21,"F-",IF(P650&lt;'PlayerGrades+'!$AG$20,"F",IF(P650&lt;'PlayerGrades+'!$AG$19,"F+",IF(P650&lt;'PlayerGrades+'!$AG$18,"E-",IF(P650&lt;'PlayerGrades+'!$AG$17,"E",IF(P650&lt;'PlayerGrades+'!$AG$16,"E+",IF(P650&lt;'PlayerGrades+'!$AG$15,"D-",IF(P650&lt;'PlayerGrades+'!$AG$14,"D",IF(P650&lt;'PlayerGrades+'!$AG$13,"D+",IF(P650&lt;'PlayerGrades+'!$AG$12,"C-",IF(P650&lt;'PlayerGrades+'!$AG$11,"C",IF(P650&lt;'PlayerGrades+'!$AG$10,"C+",IF(P650&lt;'PlayerGrades+'!$AG$9,"B-",IF(P650&lt;'PlayerGrades+'!$AG$8,"B",IF(P650&lt;'PlayerGrades+'!$AG$7,"B+",IF(P650&lt;'PlayerGrades+'!$AG$6,"A-",IF(P650&lt;'PlayerGrades+'!$AG$5,"A",IF(P650&lt;'PlayerGrades+'!$AG$4,"A+",IF(P650&lt;'PlayerGrades+'!$AG$3,"S-",IF(P650&lt;'PlayerGrades+'!$AG$2,"S","S+"))))))))))))))))))))</f>
        <v>F</v>
      </c>
      <c r="R650" s="973">
        <f t="shared" si="8"/>
        <v>0.5707890319</v>
      </c>
      <c r="S650" s="973" t="str">
        <f>IF(R650&lt;'PlayerGrades+'!$AH$21,"F-",IF(R650&lt;'PlayerGrades+'!$AH$20,"F",IF(R650&lt;'PlayerGrades+'!$AH$19,"F+",IF(R650&lt;'PlayerGrades+'!$AH$18,"E-",IF(R650&lt;'PlayerGrades+'!$AH$17,"E",IF(R650&lt;'PlayerGrades+'!$AH$16,"E+",IF(R650&lt;'PlayerGrades+'!$AH$15,"D-",IF(R650&lt;'PlayerGrades+'!$AH$14,"D",IF(R650&lt;'PlayerGrades+'!$AH$13,"D+",IF(R650&lt;'PlayerGrades+'!$AH$12,"C-",IF(R650&lt;'PlayerGrades+'!$AH$11,"C",IF(R650&lt;'PlayerGrades+'!$AH$10,"C+",IF(R650&lt;'PlayerGrades+'!$AH$9,"B-",IF(R650&lt;'PlayerGrades+'!$AH$8,"B",IF(R650&lt;'PlayerGrades+'!$AH$7,"B+",IF(R650&lt;'PlayerGrades+'!$AH$6,"A-",IF(R650&lt;'PlayerGrades+'!$AH$5,"A",IF(R650&lt;'PlayerGrades+'!$AH$4,"A+",IF(R650&lt;'PlayerGrades+'!$AH$3,"S-",IF(R650&lt;'PlayerGrades+'!$AH$2,"S","S+"))))))))))))))))))))</f>
        <v>B</v>
      </c>
      <c r="T650" s="973">
        <f t="shared" si="9"/>
        <v>2.470061556</v>
      </c>
      <c r="U650" s="973" t="str">
        <f>IF(T650&lt;'PlayerGrades+'!$AI$21,"F-",IF(T650&lt;'PlayerGrades+'!$AI$20,"F",IF(T650&lt;'PlayerGrades+'!$AI$19,"F+",IF(T650&lt;'PlayerGrades+'!$AI$18,"E-",IF(T650&lt;'PlayerGrades+'!$AI$17,"E",IF(T650&lt;'PlayerGrades+'!$AI$16,"E+",IF(T650&lt;'PlayerGrades+'!$AI$15,"D-",IF(T650&lt;'PlayerGrades+'!$AI$14,"D",IF(T650&lt;'PlayerGrades+'!$AI$13,"D+",IF(T650&lt;'PlayerGrades+'!$AI$12,"C-",IF(T650&lt;'PlayerGrades+'!$AI$11,"C",IF(T650&lt;'PlayerGrades+'!$AI$10,"C+",IF(T650&lt;'PlayerGrades+'!$AI$9,"B-",IF(T650&lt;'PlayerGrades+'!$AI$8,"B",IF(T650&lt;'PlayerGrades+'!$AI$7,"B+",IF(T650&lt;'PlayerGrades+'!$AI$6,"A-",IF(T650&lt;'PlayerGrades+'!$AI$5,"A",IF(T650&lt;'PlayerGrades+'!$AI$4,"A+",IF(T650&lt;'PlayerGrades+'!$AI$3,"S-",IF(T650&lt;'PlayerGrades+'!$AI$2,"S","S+"))))))))))))))))))))</f>
        <v>S+</v>
      </c>
      <c r="V650" s="941">
        <v>1.0</v>
      </c>
      <c r="W650" s="941">
        <v>1.0</v>
      </c>
      <c r="X650" s="941">
        <v>0.0</v>
      </c>
      <c r="Y650" s="941">
        <v>4.0</v>
      </c>
      <c r="Z650" s="941">
        <v>13.0</v>
      </c>
      <c r="AA650" s="941">
        <v>63.0</v>
      </c>
      <c r="AB650" s="941">
        <v>72.0</v>
      </c>
      <c r="AC650" s="941">
        <v>-9.0</v>
      </c>
      <c r="AD650" s="941">
        <v>4.0</v>
      </c>
      <c r="AE650" s="941">
        <v>5.0</v>
      </c>
      <c r="AF650" s="941">
        <v>0.0</v>
      </c>
      <c r="AG650" s="941">
        <v>1462.0</v>
      </c>
      <c r="AH650" s="941">
        <v>1787.0</v>
      </c>
      <c r="AI650" s="941">
        <v>20.0</v>
      </c>
      <c r="AJ650" s="941">
        <v>325.0</v>
      </c>
      <c r="AK650" s="941">
        <v>0.0</v>
      </c>
      <c r="AL650" s="941">
        <v>1.0</v>
      </c>
      <c r="AM650" s="941">
        <v>0.0</v>
      </c>
      <c r="AN650" s="941">
        <v>0.0</v>
      </c>
      <c r="AO650" s="941">
        <v>0.0</v>
      </c>
      <c r="AP650" s="941">
        <v>0.0</v>
      </c>
      <c r="AQ650" s="941">
        <v>0.0</v>
      </c>
      <c r="AR650" s="941">
        <v>10.0</v>
      </c>
      <c r="AS650" s="941">
        <v>1.0</v>
      </c>
      <c r="AT650" s="941">
        <v>0.0</v>
      </c>
      <c r="AU650" s="941">
        <v>0.0</v>
      </c>
      <c r="AV650" s="941">
        <v>0.0</v>
      </c>
      <c r="AW650" s="941">
        <v>0.0</v>
      </c>
      <c r="AX650" s="941">
        <v>0.0</v>
      </c>
      <c r="AY650" s="941">
        <v>0.0</v>
      </c>
      <c r="AZ650" s="941">
        <v>0.0</v>
      </c>
      <c r="BA650" s="941">
        <v>0.0</v>
      </c>
      <c r="BB650" s="941">
        <v>1.0</v>
      </c>
      <c r="BC650" s="941">
        <v>0.0</v>
      </c>
      <c r="BD650" s="941">
        <v>13.0</v>
      </c>
      <c r="BE650" s="941">
        <v>14.0</v>
      </c>
      <c r="BF650" s="941">
        <v>2.0</v>
      </c>
      <c r="BG650" s="941">
        <v>0.0</v>
      </c>
    </row>
    <row r="651">
      <c r="A651" s="1" t="s">
        <v>132</v>
      </c>
      <c r="B651" s="421" t="str">
        <f>IF(C651&lt;'PlayerGrades+'!$Y$44,"F-",IF(C651&lt;'PlayerGrades+'!$Y$43,"F",IF(C651&lt;'PlayerGrades+'!$Y$42,"F+",IF(C651&lt;'PlayerGrades+'!$Y$41,"E-",IF(C651&lt;'PlayerGrades+'!$Y$40,"E",IF(C651&lt;'PlayerGrades+'!$Y$39,"E+",IF(C651&lt;'PlayerGrades+'!$Y$38,"D-",IF(C651&lt;'PlayerGrades+'!$Y$37,"D",IF(C651&lt;'PlayerGrades+'!$Y$36,"D+",IF(C651&lt;'PlayerGrades+'!$Y$35,"C-",IF(C651&lt;'PlayerGrades+'!$Y$34,"C",IF(C651&lt;'PlayerGrades+'!$Y$33,"C+",IF(C651&lt;'PlayerGrades+'!$Y$32,"B-",IF(C651&lt;'PlayerGrades+'!$Y$31,"B",IF(C651&lt;'PlayerGrades+'!$Y$30,"B+",IF(C651&lt;'PlayerGrades+'!$Y$29,"A-",IF(C651&lt;'PlayerGrades+'!$Y$28,"A",IF(C651&lt;'PlayerGrades+'!$Y$27,"A+",IF(C651&lt;'PlayerGrades+'!$Y$26,"S-",IF(C651&lt;'PlayerGrades+'!$Y$25,"S","S+"))))))))))))))))))))</f>
        <v>B</v>
      </c>
      <c r="C651" s="972">
        <f>('PlayerGrades+'!$Y$47*(VLOOKUP(E651, 'PlayerGrades+'!$X$3:$Y$23, 2, FALSE)))+('PlayerGrades+'!$Y$48*(VLOOKUP(G651, 'PlayerGrades+'!$X$3:$Y$23, 2, FALSE)))+('PlayerGrades+'!$Y$49*(VLOOKUP(I651, 'PlayerGrades+'!$X$3:$Y$23, 2, FALSE)))+('PlayerGrades+'!$Y$50*(VLOOKUP(K651, 'PlayerGrades+'!$X$3:$Y$23, 2, FALSE)))+('PlayerGrades+'!$Y$51*(VLOOKUP(M651, 'PlayerGrades+'!$X$3:$Y$23, 2, FALSE)))+('PlayerGrades+'!$Y$52*(VLOOKUP(O651, 'PlayerGrades+'!$X$3:$Y$23, 2, FALSE)))+('PlayerGrades+'!$Y$53*(VLOOKUP(Q651, 'PlayerGrades+'!$X$3:$Y$23, 2, FALSE)))+('PlayerGrades+'!$Y$54*(VLOOKUP(S651, 'PlayerGrades+'!$X$3:$Y$23, 2, FALSE)))+('PlayerGrades+'!$Y$55*(VLOOKUP(U651, 'PlayerGrades+'!$X$3:$Y$23, 2, FALSE)))</f>
        <v>23.35</v>
      </c>
      <c r="D651" s="973">
        <f t="shared" si="1"/>
        <v>0.06715165081</v>
      </c>
      <c r="E651" s="973" t="str">
        <f>IF(D651&lt;'PlayerGrades+'!$AA$21,"F-",IF(D651&lt;'PlayerGrades+'!$AA$20,"F",IF(D651&lt;'PlayerGrades+'!$AA$19,"F+",IF(D651&lt;'PlayerGrades+'!$AA$18,"E-",IF(D651&lt;'PlayerGrades+'!$AA$17,"E",IF(D651&lt;'PlayerGrades+'!$AA$16,"E+",IF(D651&lt;'PlayerGrades+'!$AA$15,"D-",IF(D651&lt;'PlayerGrades+'!$AA$14,"D",IF(D651&lt;'PlayerGrades+'!$AA$13,"D+",IF(D651&lt;'PlayerGrades+'!$AA$12,"C-",IF(D651&lt;'PlayerGrades+'!$AA$11,"C",IF(D651&lt;'PlayerGrades+'!$AA$10,"C+",IF(D651&lt;'PlayerGrades+'!$AA$9,"B-",IF(D651&lt;'PlayerGrades+'!$AA$8,"B",IF(D651&lt;'PlayerGrades+'!$AA$7,"B+",IF(D651&lt;'PlayerGrades+'!$AA$6,"A-",IF(D651&lt;'PlayerGrades+'!$AA$5,"A",IF(D651&lt;'PlayerGrades+'!$AA$4,"A+",IF(D651&lt;'PlayerGrades+'!$AA$3,"S-",IF(D651&lt;'PlayerGrades+'!$AA$2,"S","S+"))))))))))))))))))))</f>
        <v>B</v>
      </c>
      <c r="F651" s="973">
        <f t="shared" si="2"/>
        <v>-0.03357582541</v>
      </c>
      <c r="G651" s="973" t="str">
        <f>IF(F651&lt;'PlayerGrades+'!$AB$21,"F-",IF(F651&lt;'PlayerGrades+'!$AB$20,"F",IF(F651&lt;'PlayerGrades+'!$AB$19,"F+",IF(F651&lt;'PlayerGrades+'!$AB$18,"E-",IF(F651&lt;'PlayerGrades+'!$AB$17,"E",IF(F651&lt;'PlayerGrades+'!$AB$16,"E+",IF(F651&lt;'PlayerGrades+'!$AB$15,"D-",IF(F651&lt;'PlayerGrades+'!$AB$14,"D",IF(F651&lt;'PlayerGrades+'!$AB$13,"D+",IF(F651&lt;'PlayerGrades+'!$AB$12,"C-",IF(F651&lt;'PlayerGrades+'!$AB$11,"C",IF(F651&lt;'PlayerGrades+'!$AB$10,"C+",IF(F651&lt;'PlayerGrades+'!$AB$9,"B-",IF(F651&lt;'PlayerGrades+'!$AB$8,"B",IF(F651&lt;'PlayerGrades+'!$AB$7,"B+",IF(F651&lt;'PlayerGrades+'!$AB$6,"A-",IF(F651&lt;'PlayerGrades+'!$AB$5,"A",IF(F651&lt;'PlayerGrades+'!$AB$4,"A+",IF(F651&lt;'PlayerGrades+'!$AB$3,"S-",IF(F651&lt;'PlayerGrades+'!$AB$2,"S","S+"))))))))))))))))))))</f>
        <v>B-</v>
      </c>
      <c r="H651" s="973">
        <f t="shared" si="3"/>
        <v>0</v>
      </c>
      <c r="I651" s="973" t="str">
        <f>IF(H651&lt;'PlayerGrades+'!$AC$21,"F-",IF(H651&lt;'PlayerGrades+'!$AC$20,"F",IF(H651&lt;'PlayerGrades+'!$AC$19,"F+",IF(H651&lt;'PlayerGrades+'!$AC$18,"E-",IF(H651&lt;'PlayerGrades+'!$AC$17,"E",IF(H651&lt;'PlayerGrades+'!$AC$16,"E+",IF(H651&lt;'PlayerGrades+'!$AC$15,"D-",IF(H651&lt;'PlayerGrades+'!$AC$14,"D",IF(H651&lt;'PlayerGrades+'!$AC$13,"D+",IF(H651&lt;'PlayerGrades+'!$AC$12,"C-",IF(H651&lt;'PlayerGrades+'!$AC$11,"C",IF(H651&lt;'PlayerGrades+'!$AC$10,"C+",IF(H651&lt;'PlayerGrades+'!$AC$9,"B-",IF(H651&lt;'PlayerGrades+'!$AC$8,"B",IF(H651&lt;'PlayerGrades+'!$AC$7,"B+",IF(H651&lt;'PlayerGrades+'!$AC$6,"A-",IF(H651&lt;'PlayerGrades+'!$AC$5,"A",IF(H651&lt;'PlayerGrades+'!$AC$4,"A+",IF(H651&lt;'PlayerGrades+'!$AC$3,"S-",IF(H651&lt;'PlayerGrades+'!$AC$2,"S","S+"))))))))))))))))))))</f>
        <v>F-</v>
      </c>
      <c r="J651" s="973">
        <f t="shared" si="4"/>
        <v>0.06715165081</v>
      </c>
      <c r="K651" s="973" t="str">
        <f>IF(J651&lt;'PlayerGrades+'!$AD$21,"F-",IF(J651&lt;'PlayerGrades+'!$AD$20,"F",IF(J651&lt;'PlayerGrades+'!$AD$19,"F+",IF(J651&lt;'PlayerGrades+'!$AD$18,"E-",IF(J651&lt;'PlayerGrades+'!$AD$17,"E",IF(J651&lt;'PlayerGrades+'!$AD$16,"E+",IF(J651&lt;'PlayerGrades+'!$AD$15,"D-",IF(J651&lt;'PlayerGrades+'!$AD$14,"D",IF(J651&lt;'PlayerGrades+'!$AD$13,"D+",IF(J651&lt;'PlayerGrades+'!$AD$12,"C-",IF(J651&lt;'PlayerGrades+'!$AD$11,"C",IF(J651&lt;'PlayerGrades+'!$AD$10,"C+",IF(J651&lt;'PlayerGrades+'!$AD$9,"B-",IF(J651&lt;'PlayerGrades+'!$AD$8,"B",IF(J651&lt;'PlayerGrades+'!$AD$7,"B+",IF(J651&lt;'PlayerGrades+'!$AD$6,"A-",IF(J651&lt;'PlayerGrades+'!$AD$5,"A",IF(J651&lt;'PlayerGrades+'!$AD$4,"A+",IF(J651&lt;'PlayerGrades+'!$AD$3,"S-",IF(J651&lt;'PlayerGrades+'!$AD$2,"S","S+"))))))))))))))))))))</f>
        <v>A-</v>
      </c>
      <c r="L651" s="974">
        <f t="shared" si="5"/>
        <v>0.3021824287</v>
      </c>
      <c r="M651" s="975" t="str">
        <f>IF(L651&lt;'PlayerGrades+'!$AE$21,"F-",IF(L651&lt;'PlayerGrades+'!$AE$20,"F",IF(L651&lt;'PlayerGrades+'!$AE$19,"F+",IF(L651&lt;'PlayerGrades+'!$AE$18,"E-",IF(L651&lt;'PlayerGrades+'!$AE$17,"E",IF(L651&lt;'PlayerGrades+'!$AE$16,"E+",IF(L651&lt;'PlayerGrades+'!$AE$15,"D-",IF(L651&lt;'PlayerGrades+'!$AE$14,"D",IF(L651&lt;'PlayerGrades+'!$AE$13,"D+",IF(L651&lt;'PlayerGrades+'!$AE$12,"C-",IF(L651&lt;'PlayerGrades+'!$AE$11,"C",IF(L651&lt;'PlayerGrades+'!$AE$10,"C+",IF(L651&lt;'PlayerGrades+'!$AE$9,"B-",IF(L651&lt;'PlayerGrades+'!$AE$8,"B",IF(L651&lt;'PlayerGrades+'!$AE$7,"B+",IF(L651&lt;'PlayerGrades+'!$AE$6,"A-",IF(L651&lt;'PlayerGrades+'!$AE$5,"A",IF(L651&lt;'PlayerGrades+'!$AE$4,"A+",IF(L651&lt;'PlayerGrades+'!$AE$3,"S-",IF(L651&lt;'PlayerGrades+'!$AE$2,"S","S+"))))))))))))))))))))</f>
        <v>E-</v>
      </c>
      <c r="N651" s="973">
        <f t="shared" si="6"/>
        <v>0.1343033016</v>
      </c>
      <c r="O651" s="973" t="str">
        <f>IF(N651&lt;'PlayerGrades+'!$AF$21,"F-",IF(N651&lt;'PlayerGrades+'!$AF$20,"F",IF(N651&lt;'PlayerGrades+'!$AF$19,"F+",IF(N651&lt;'PlayerGrades+'!$AF$18,"E-",IF(N651&lt;'PlayerGrades+'!$AF$17,"E",IF(N651&lt;'PlayerGrades+'!$AF$16,"E+",IF(N651&lt;'PlayerGrades+'!$AF$15,"D-",IF(N651&lt;'PlayerGrades+'!$AF$14,"D",IF(N651&lt;'PlayerGrades+'!$AF$13,"D+",IF(N651&lt;'PlayerGrades+'!$AF$12,"C-",IF(N651&lt;'PlayerGrades+'!$AF$11,"C",IF(N651&lt;'PlayerGrades+'!$AF$10,"C+",IF(N651&lt;'PlayerGrades+'!$AF$9,"B-",IF(N651&lt;'PlayerGrades+'!$AF$8,"B",IF(N651&lt;'PlayerGrades+'!$AF$7,"B+",IF(N651&lt;'PlayerGrades+'!$AF$6,"A-",IF(N651&lt;'PlayerGrades+'!$AF$5,"A",IF(N651&lt;'PlayerGrades+'!$AF$4,"A+",IF(N651&lt;'PlayerGrades+'!$AF$3,"S-",IF(N651&lt;'PlayerGrades+'!$AF$2,"S","S+"))))))))))))))))))))</f>
        <v>S</v>
      </c>
      <c r="P651" s="973">
        <f t="shared" si="7"/>
        <v>0.06715165081</v>
      </c>
      <c r="Q651" s="973" t="str">
        <f>IF(P651&lt;'PlayerGrades+'!$AG$21,"F-",IF(P651&lt;'PlayerGrades+'!$AG$20,"F",IF(P651&lt;'PlayerGrades+'!$AG$19,"F+",IF(P651&lt;'PlayerGrades+'!$AG$18,"E-",IF(P651&lt;'PlayerGrades+'!$AG$17,"E",IF(P651&lt;'PlayerGrades+'!$AG$16,"E+",IF(P651&lt;'PlayerGrades+'!$AG$15,"D-",IF(P651&lt;'PlayerGrades+'!$AG$14,"D",IF(P651&lt;'PlayerGrades+'!$AG$13,"D+",IF(P651&lt;'PlayerGrades+'!$AG$12,"C-",IF(P651&lt;'PlayerGrades+'!$AG$11,"C",IF(P651&lt;'PlayerGrades+'!$AG$10,"C+",IF(P651&lt;'PlayerGrades+'!$AG$9,"B-",IF(P651&lt;'PlayerGrades+'!$AG$8,"B",IF(P651&lt;'PlayerGrades+'!$AG$7,"B+",IF(P651&lt;'PlayerGrades+'!$AG$6,"A-",IF(P651&lt;'PlayerGrades+'!$AG$5,"A",IF(P651&lt;'PlayerGrades+'!$AG$4,"A+",IF(P651&lt;'PlayerGrades+'!$AG$3,"S-",IF(P651&lt;'PlayerGrades+'!$AG$2,"S","S+"))))))))))))))))))))</f>
        <v>S-</v>
      </c>
      <c r="R651" s="973">
        <f t="shared" si="8"/>
        <v>0.5372132065</v>
      </c>
      <c r="S651" s="973" t="str">
        <f>IF(R651&lt;'PlayerGrades+'!$AH$21,"F-",IF(R651&lt;'PlayerGrades+'!$AH$20,"F",IF(R651&lt;'PlayerGrades+'!$AH$19,"F+",IF(R651&lt;'PlayerGrades+'!$AH$18,"E-",IF(R651&lt;'PlayerGrades+'!$AH$17,"E",IF(R651&lt;'PlayerGrades+'!$AH$16,"E+",IF(R651&lt;'PlayerGrades+'!$AH$15,"D-",IF(R651&lt;'PlayerGrades+'!$AH$14,"D",IF(R651&lt;'PlayerGrades+'!$AH$13,"D+",IF(R651&lt;'PlayerGrades+'!$AH$12,"C-",IF(R651&lt;'PlayerGrades+'!$AH$11,"C",IF(R651&lt;'PlayerGrades+'!$AH$10,"C+",IF(R651&lt;'PlayerGrades+'!$AH$9,"B-",IF(R651&lt;'PlayerGrades+'!$AH$8,"B",IF(R651&lt;'PlayerGrades+'!$AH$7,"B+",IF(R651&lt;'PlayerGrades+'!$AH$6,"A-",IF(R651&lt;'PlayerGrades+'!$AH$5,"A",IF(R651&lt;'PlayerGrades+'!$AH$4,"A+",IF(R651&lt;'PlayerGrades+'!$AH$3,"S-",IF(R651&lt;'PlayerGrades+'!$AH$2,"S","S+"))))))))))))))))))))</f>
        <v>C+</v>
      </c>
      <c r="T651" s="973">
        <f t="shared" si="9"/>
        <v>2.470061556</v>
      </c>
      <c r="U651" s="973" t="str">
        <f>IF(T651&lt;'PlayerGrades+'!$AI$21,"F-",IF(T651&lt;'PlayerGrades+'!$AI$20,"F",IF(T651&lt;'PlayerGrades+'!$AI$19,"F+",IF(T651&lt;'PlayerGrades+'!$AI$18,"E-",IF(T651&lt;'PlayerGrades+'!$AI$17,"E",IF(T651&lt;'PlayerGrades+'!$AI$16,"E+",IF(T651&lt;'PlayerGrades+'!$AI$15,"D-",IF(T651&lt;'PlayerGrades+'!$AI$14,"D",IF(T651&lt;'PlayerGrades+'!$AI$13,"D+",IF(T651&lt;'PlayerGrades+'!$AI$12,"C-",IF(T651&lt;'PlayerGrades+'!$AI$11,"C",IF(T651&lt;'PlayerGrades+'!$AI$10,"C+",IF(T651&lt;'PlayerGrades+'!$AI$9,"B-",IF(T651&lt;'PlayerGrades+'!$AI$8,"B",IF(T651&lt;'PlayerGrades+'!$AI$7,"B+",IF(T651&lt;'PlayerGrades+'!$AI$6,"A-",IF(T651&lt;'PlayerGrades+'!$AI$5,"A",IF(T651&lt;'PlayerGrades+'!$AI$4,"A+",IF(T651&lt;'PlayerGrades+'!$AI$3,"S-",IF(T651&lt;'PlayerGrades+'!$AI$2,"S","S+"))))))))))))))))))))</f>
        <v>S+</v>
      </c>
      <c r="V651" s="941">
        <v>1.0</v>
      </c>
      <c r="W651" s="941">
        <v>1.0</v>
      </c>
      <c r="X651" s="941">
        <v>0.0</v>
      </c>
      <c r="Y651" s="941">
        <v>1.0</v>
      </c>
      <c r="Z651" s="941">
        <v>1.0</v>
      </c>
      <c r="AA651" s="941">
        <v>91.0</v>
      </c>
      <c r="AB651" s="941">
        <v>92.0</v>
      </c>
      <c r="AC651" s="941">
        <v>-1.0</v>
      </c>
      <c r="AD651" s="941">
        <v>6.0</v>
      </c>
      <c r="AE651" s="941">
        <v>7.0</v>
      </c>
      <c r="AF651" s="941">
        <v>3.0</v>
      </c>
      <c r="AG651" s="941">
        <v>1411.0</v>
      </c>
      <c r="AH651" s="941">
        <v>1787.0</v>
      </c>
      <c r="AI651" s="941">
        <v>15.0</v>
      </c>
      <c r="AJ651" s="941">
        <v>25.0</v>
      </c>
      <c r="AK651" s="941">
        <v>0.0</v>
      </c>
      <c r="AL651" s="941">
        <v>2.0</v>
      </c>
      <c r="AM651" s="941">
        <v>0.0</v>
      </c>
      <c r="AN651" s="941">
        <v>0.0</v>
      </c>
      <c r="AO651" s="941">
        <v>0.0</v>
      </c>
      <c r="AP651" s="941">
        <v>2.0</v>
      </c>
      <c r="AQ651" s="941">
        <v>0.0</v>
      </c>
      <c r="AR651" s="941">
        <v>9.0</v>
      </c>
      <c r="AS651" s="941">
        <v>4.0</v>
      </c>
      <c r="AT651" s="941">
        <v>0.0</v>
      </c>
      <c r="AU651" s="941">
        <v>0.0</v>
      </c>
      <c r="AV651" s="941">
        <v>0.0</v>
      </c>
      <c r="AW651" s="941">
        <v>0.0</v>
      </c>
      <c r="AX651" s="941">
        <v>0.0</v>
      </c>
      <c r="AY651" s="941">
        <v>0.0</v>
      </c>
      <c r="AZ651" s="941">
        <v>0.0</v>
      </c>
      <c r="BA651" s="941">
        <v>0.0</v>
      </c>
      <c r="BB651" s="941">
        <v>0.0</v>
      </c>
      <c r="BC651" s="941">
        <v>0.0</v>
      </c>
      <c r="BD651" s="941">
        <v>10.0</v>
      </c>
      <c r="BE651" s="941">
        <v>14.0</v>
      </c>
      <c r="BF651" s="941">
        <v>2.0</v>
      </c>
      <c r="BG651" s="941">
        <v>0.0</v>
      </c>
    </row>
    <row r="652">
      <c r="A652" s="1" t="s">
        <v>136</v>
      </c>
      <c r="B652" s="421" t="str">
        <f>IF(C652&lt;'PlayerGrades+'!$Y$44,"F-",IF(C652&lt;'PlayerGrades+'!$Y$43,"F",IF(C652&lt;'PlayerGrades+'!$Y$42,"F+",IF(C652&lt;'PlayerGrades+'!$Y$41,"E-",IF(C652&lt;'PlayerGrades+'!$Y$40,"E",IF(C652&lt;'PlayerGrades+'!$Y$39,"E+",IF(C652&lt;'PlayerGrades+'!$Y$38,"D-",IF(C652&lt;'PlayerGrades+'!$Y$37,"D",IF(C652&lt;'PlayerGrades+'!$Y$36,"D+",IF(C652&lt;'PlayerGrades+'!$Y$35,"C-",IF(C652&lt;'PlayerGrades+'!$Y$34,"C",IF(C652&lt;'PlayerGrades+'!$Y$33,"C+",IF(C652&lt;'PlayerGrades+'!$Y$32,"B-",IF(C652&lt;'PlayerGrades+'!$Y$31,"B",IF(C652&lt;'PlayerGrades+'!$Y$30,"B+",IF(C652&lt;'PlayerGrades+'!$Y$29,"A-",IF(C652&lt;'PlayerGrades+'!$Y$28,"A",IF(C652&lt;'PlayerGrades+'!$Y$27,"A+",IF(C652&lt;'PlayerGrades+'!$Y$26,"S-",IF(C652&lt;'PlayerGrades+'!$Y$25,"S","S+"))))))))))))))))))))</f>
        <v>D-</v>
      </c>
      <c r="C652" s="972">
        <f>('PlayerGrades+'!$Y$47*(VLOOKUP(E652, 'PlayerGrades+'!$X$3:$Y$23, 2, FALSE)))+('PlayerGrades+'!$Y$48*(VLOOKUP(G652, 'PlayerGrades+'!$X$3:$Y$23, 2, FALSE)))+('PlayerGrades+'!$Y$49*(VLOOKUP(I652, 'PlayerGrades+'!$X$3:$Y$23, 2, FALSE)))+('PlayerGrades+'!$Y$50*(VLOOKUP(K652, 'PlayerGrades+'!$X$3:$Y$23, 2, FALSE)))+('PlayerGrades+'!$Y$51*(VLOOKUP(M652, 'PlayerGrades+'!$X$3:$Y$23, 2, FALSE)))+('PlayerGrades+'!$Y$52*(VLOOKUP(O652, 'PlayerGrades+'!$X$3:$Y$23, 2, FALSE)))+('PlayerGrades+'!$Y$53*(VLOOKUP(Q652, 'PlayerGrades+'!$X$3:$Y$23, 2, FALSE)))+('PlayerGrades+'!$Y$54*(VLOOKUP(S652, 'PlayerGrades+'!$X$3:$Y$23, 2, FALSE)))+('PlayerGrades+'!$Y$55*(VLOOKUP(U652, 'PlayerGrades+'!$X$3:$Y$23, 2, FALSE)))</f>
        <v>13.9</v>
      </c>
      <c r="D652" s="973">
        <f t="shared" si="1"/>
        <v>0</v>
      </c>
      <c r="E652" s="973" t="str">
        <f>IF(D652&lt;'PlayerGrades+'!$AA$21,"F-",IF(D652&lt;'PlayerGrades+'!$AA$20,"F",IF(D652&lt;'PlayerGrades+'!$AA$19,"F+",IF(D652&lt;'PlayerGrades+'!$AA$18,"E-",IF(D652&lt;'PlayerGrades+'!$AA$17,"E",IF(D652&lt;'PlayerGrades+'!$AA$16,"E+",IF(D652&lt;'PlayerGrades+'!$AA$15,"D-",IF(D652&lt;'PlayerGrades+'!$AA$14,"D",IF(D652&lt;'PlayerGrades+'!$AA$13,"D+",IF(D652&lt;'PlayerGrades+'!$AA$12,"C-",IF(D652&lt;'PlayerGrades+'!$AA$11,"C",IF(D652&lt;'PlayerGrades+'!$AA$10,"C+",IF(D652&lt;'PlayerGrades+'!$AA$9,"B-",IF(D652&lt;'PlayerGrades+'!$AA$8,"B",IF(D652&lt;'PlayerGrades+'!$AA$7,"B+",IF(D652&lt;'PlayerGrades+'!$AA$6,"A-",IF(D652&lt;'PlayerGrades+'!$AA$5,"A",IF(D652&lt;'PlayerGrades+'!$AA$4,"A+",IF(D652&lt;'PlayerGrades+'!$AA$3,"S-",IF(D652&lt;'PlayerGrades+'!$AA$2,"S","S+"))))))))))))))))))))</f>
        <v>F-</v>
      </c>
      <c r="F652" s="973">
        <f t="shared" si="2"/>
        <v>-0.9401231114</v>
      </c>
      <c r="G652" s="973" t="str">
        <f>IF(F652&lt;'PlayerGrades+'!$AB$21,"F-",IF(F652&lt;'PlayerGrades+'!$AB$20,"F",IF(F652&lt;'PlayerGrades+'!$AB$19,"F+",IF(F652&lt;'PlayerGrades+'!$AB$18,"E-",IF(F652&lt;'PlayerGrades+'!$AB$17,"E",IF(F652&lt;'PlayerGrades+'!$AB$16,"E+",IF(F652&lt;'PlayerGrades+'!$AB$15,"D-",IF(F652&lt;'PlayerGrades+'!$AB$14,"D",IF(F652&lt;'PlayerGrades+'!$AB$13,"D+",IF(F652&lt;'PlayerGrades+'!$AB$12,"C-",IF(F652&lt;'PlayerGrades+'!$AB$11,"C",IF(F652&lt;'PlayerGrades+'!$AB$10,"C+",IF(F652&lt;'PlayerGrades+'!$AB$9,"B-",IF(F652&lt;'PlayerGrades+'!$AB$8,"B",IF(F652&lt;'PlayerGrades+'!$AB$7,"B+",IF(F652&lt;'PlayerGrades+'!$AB$6,"A-",IF(F652&lt;'PlayerGrades+'!$AB$5,"A",IF(F652&lt;'PlayerGrades+'!$AB$4,"A+",IF(F652&lt;'PlayerGrades+'!$AB$3,"S-",IF(F652&lt;'PlayerGrades+'!$AB$2,"S","S+"))))))))))))))))))))</f>
        <v>F+</v>
      </c>
      <c r="H652" s="973">
        <f t="shared" si="3"/>
        <v>0.03357582541</v>
      </c>
      <c r="I652" s="973" t="str">
        <f>IF(H652&lt;'PlayerGrades+'!$AC$21,"F-",IF(H652&lt;'PlayerGrades+'!$AC$20,"F",IF(H652&lt;'PlayerGrades+'!$AC$19,"F+",IF(H652&lt;'PlayerGrades+'!$AC$18,"E-",IF(H652&lt;'PlayerGrades+'!$AC$17,"E",IF(H652&lt;'PlayerGrades+'!$AC$16,"E+",IF(H652&lt;'PlayerGrades+'!$AC$15,"D-",IF(H652&lt;'PlayerGrades+'!$AC$14,"D",IF(H652&lt;'PlayerGrades+'!$AC$13,"D+",IF(H652&lt;'PlayerGrades+'!$AC$12,"C-",IF(H652&lt;'PlayerGrades+'!$AC$11,"C",IF(H652&lt;'PlayerGrades+'!$AC$10,"C+",IF(H652&lt;'PlayerGrades+'!$AC$9,"B-",IF(H652&lt;'PlayerGrades+'!$AC$8,"B",IF(H652&lt;'PlayerGrades+'!$AC$7,"B+",IF(H652&lt;'PlayerGrades+'!$AC$6,"A-",IF(H652&lt;'PlayerGrades+'!$AC$5,"A",IF(H652&lt;'PlayerGrades+'!$AC$4,"A+",IF(H652&lt;'PlayerGrades+'!$AC$3,"S-",IF(H652&lt;'PlayerGrades+'!$AC$2,"S","S+"))))))))))))))))))))</f>
        <v>F</v>
      </c>
      <c r="J652" s="973">
        <f t="shared" si="4"/>
        <v>0</v>
      </c>
      <c r="K652" s="973" t="str">
        <f>IF(J652&lt;'PlayerGrades+'!$AD$21,"F-",IF(J652&lt;'PlayerGrades+'!$AD$20,"F",IF(J652&lt;'PlayerGrades+'!$AD$19,"F+",IF(J652&lt;'PlayerGrades+'!$AD$18,"E-",IF(J652&lt;'PlayerGrades+'!$AD$17,"E",IF(J652&lt;'PlayerGrades+'!$AD$16,"E+",IF(J652&lt;'PlayerGrades+'!$AD$15,"D-",IF(J652&lt;'PlayerGrades+'!$AD$14,"D",IF(J652&lt;'PlayerGrades+'!$AD$13,"D+",IF(J652&lt;'PlayerGrades+'!$AD$12,"C-",IF(J652&lt;'PlayerGrades+'!$AD$11,"C",IF(J652&lt;'PlayerGrades+'!$AD$10,"C+",IF(J652&lt;'PlayerGrades+'!$AD$9,"B-",IF(J652&lt;'PlayerGrades+'!$AD$8,"B",IF(J652&lt;'PlayerGrades+'!$AD$7,"B+",IF(J652&lt;'PlayerGrades+'!$AD$6,"A-",IF(J652&lt;'PlayerGrades+'!$AD$5,"A",IF(J652&lt;'PlayerGrades+'!$AD$4,"A+",IF(J652&lt;'PlayerGrades+'!$AD$3,"S-",IF(J652&lt;'PlayerGrades+'!$AD$2,"S","S+"))))))))))))))))))))</f>
        <v>F-</v>
      </c>
      <c r="L652" s="974">
        <f t="shared" si="5"/>
        <v>0.5036373811</v>
      </c>
      <c r="M652" s="975" t="str">
        <f>IF(L652&lt;'PlayerGrades+'!$AE$21,"F-",IF(L652&lt;'PlayerGrades+'!$AE$20,"F",IF(L652&lt;'PlayerGrades+'!$AE$19,"F+",IF(L652&lt;'PlayerGrades+'!$AE$18,"E-",IF(L652&lt;'PlayerGrades+'!$AE$17,"E",IF(L652&lt;'PlayerGrades+'!$AE$16,"E+",IF(L652&lt;'PlayerGrades+'!$AE$15,"D-",IF(L652&lt;'PlayerGrades+'!$AE$14,"D",IF(L652&lt;'PlayerGrades+'!$AE$13,"D+",IF(L652&lt;'PlayerGrades+'!$AE$12,"C-",IF(L652&lt;'PlayerGrades+'!$AE$11,"C",IF(L652&lt;'PlayerGrades+'!$AE$10,"C+",IF(L652&lt;'PlayerGrades+'!$AE$9,"B-",IF(L652&lt;'PlayerGrades+'!$AE$8,"B",IF(L652&lt;'PlayerGrades+'!$AE$7,"B+",IF(L652&lt;'PlayerGrades+'!$AE$6,"A-",IF(L652&lt;'PlayerGrades+'!$AE$5,"A",IF(L652&lt;'PlayerGrades+'!$AE$4,"A+",IF(L652&lt;'PlayerGrades+'!$AE$3,"S-",IF(L652&lt;'PlayerGrades+'!$AE$2,"S","S+"))))))))))))))))))))</f>
        <v>A-</v>
      </c>
      <c r="N652" s="973">
        <f t="shared" si="6"/>
        <v>0.06715165081</v>
      </c>
      <c r="O652" s="973" t="str">
        <f>IF(N652&lt;'PlayerGrades+'!$AF$21,"F-",IF(N652&lt;'PlayerGrades+'!$AF$20,"F",IF(N652&lt;'PlayerGrades+'!$AF$19,"F+",IF(N652&lt;'PlayerGrades+'!$AF$18,"E-",IF(N652&lt;'PlayerGrades+'!$AF$17,"E",IF(N652&lt;'PlayerGrades+'!$AF$16,"E+",IF(N652&lt;'PlayerGrades+'!$AF$15,"D-",IF(N652&lt;'PlayerGrades+'!$AF$14,"D",IF(N652&lt;'PlayerGrades+'!$AF$13,"D+",IF(N652&lt;'PlayerGrades+'!$AF$12,"C-",IF(N652&lt;'PlayerGrades+'!$AF$11,"C",IF(N652&lt;'PlayerGrades+'!$AF$10,"C+",IF(N652&lt;'PlayerGrades+'!$AF$9,"B-",IF(N652&lt;'PlayerGrades+'!$AF$8,"B",IF(N652&lt;'PlayerGrades+'!$AF$7,"B+",IF(N652&lt;'PlayerGrades+'!$AF$6,"A-",IF(N652&lt;'PlayerGrades+'!$AF$5,"A",IF(N652&lt;'PlayerGrades+'!$AF$4,"A+",IF(N652&lt;'PlayerGrades+'!$AF$3,"S-",IF(N652&lt;'PlayerGrades+'!$AF$2,"S","S+"))))))))))))))))))))</f>
        <v>C-</v>
      </c>
      <c r="P652" s="973">
        <f t="shared" si="7"/>
        <v>0</v>
      </c>
      <c r="Q652" s="973" t="str">
        <f>IF(P652&lt;'PlayerGrades+'!$AG$21,"F-",IF(P652&lt;'PlayerGrades+'!$AG$20,"F",IF(P652&lt;'PlayerGrades+'!$AG$19,"F+",IF(P652&lt;'PlayerGrades+'!$AG$18,"E-",IF(P652&lt;'PlayerGrades+'!$AG$17,"E",IF(P652&lt;'PlayerGrades+'!$AG$16,"E+",IF(P652&lt;'PlayerGrades+'!$AG$15,"D-",IF(P652&lt;'PlayerGrades+'!$AG$14,"D",IF(P652&lt;'PlayerGrades+'!$AG$13,"D+",IF(P652&lt;'PlayerGrades+'!$AG$12,"C-",IF(P652&lt;'PlayerGrades+'!$AG$11,"C",IF(P652&lt;'PlayerGrades+'!$AG$10,"C+",IF(P652&lt;'PlayerGrades+'!$AG$9,"B-",IF(P652&lt;'PlayerGrades+'!$AG$8,"B",IF(P652&lt;'PlayerGrades+'!$AG$7,"B+",IF(P652&lt;'PlayerGrades+'!$AG$6,"A-",IF(P652&lt;'PlayerGrades+'!$AG$5,"A",IF(P652&lt;'PlayerGrades+'!$AG$4,"A+",IF(P652&lt;'PlayerGrades+'!$AG$3,"S-",IF(P652&lt;'PlayerGrades+'!$AG$2,"S","S+"))))))))))))))))))))</f>
        <v>F</v>
      </c>
      <c r="R652" s="973">
        <f t="shared" si="8"/>
        <v>0.6379406827</v>
      </c>
      <c r="S652" s="973" t="str">
        <f>IF(R652&lt;'PlayerGrades+'!$AH$21,"F-",IF(R652&lt;'PlayerGrades+'!$AH$20,"F",IF(R652&lt;'PlayerGrades+'!$AH$19,"F+",IF(R652&lt;'PlayerGrades+'!$AH$18,"E-",IF(R652&lt;'PlayerGrades+'!$AH$17,"E",IF(R652&lt;'PlayerGrades+'!$AH$16,"E+",IF(R652&lt;'PlayerGrades+'!$AH$15,"D-",IF(R652&lt;'PlayerGrades+'!$AH$14,"D",IF(R652&lt;'PlayerGrades+'!$AH$13,"D+",IF(R652&lt;'PlayerGrades+'!$AH$12,"C-",IF(R652&lt;'PlayerGrades+'!$AH$11,"C",IF(R652&lt;'PlayerGrades+'!$AH$10,"C+",IF(R652&lt;'PlayerGrades+'!$AH$9,"B-",IF(R652&lt;'PlayerGrades+'!$AH$8,"B",IF(R652&lt;'PlayerGrades+'!$AH$7,"B+",IF(R652&lt;'PlayerGrades+'!$AH$6,"A-",IF(R652&lt;'PlayerGrades+'!$AH$5,"A",IF(R652&lt;'PlayerGrades+'!$AH$4,"A+",IF(R652&lt;'PlayerGrades+'!$AH$3,"S-",IF(R652&lt;'PlayerGrades+'!$AH$2,"S","S+"))))))))))))))))))))</f>
        <v>A</v>
      </c>
      <c r="T652" s="973">
        <f t="shared" si="9"/>
        <v>0.5036373811</v>
      </c>
      <c r="U652" s="973" t="str">
        <f>IF(T652&lt;'PlayerGrades+'!$AI$21,"F-",IF(T652&lt;'PlayerGrades+'!$AI$20,"F",IF(T652&lt;'PlayerGrades+'!$AI$19,"F+",IF(T652&lt;'PlayerGrades+'!$AI$18,"E-",IF(T652&lt;'PlayerGrades+'!$AI$17,"E",IF(T652&lt;'PlayerGrades+'!$AI$16,"E+",IF(T652&lt;'PlayerGrades+'!$AI$15,"D-",IF(T652&lt;'PlayerGrades+'!$AI$14,"D",IF(T652&lt;'PlayerGrades+'!$AI$13,"D+",IF(T652&lt;'PlayerGrades+'!$AI$12,"C-",IF(T652&lt;'PlayerGrades+'!$AI$11,"C",IF(T652&lt;'PlayerGrades+'!$AI$10,"C+",IF(T652&lt;'PlayerGrades+'!$AI$9,"B-",IF(T652&lt;'PlayerGrades+'!$AI$8,"B",IF(T652&lt;'PlayerGrades+'!$AI$7,"B+",IF(T652&lt;'PlayerGrades+'!$AI$6,"A-",IF(T652&lt;'PlayerGrades+'!$AI$5,"A",IF(T652&lt;'PlayerGrades+'!$AI$4,"A+",IF(T652&lt;'PlayerGrades+'!$AI$3,"S-",IF(T652&lt;'PlayerGrades+'!$AI$2,"S","S+"))))))))))))))))))))</f>
        <v>F-</v>
      </c>
      <c r="V652" s="941">
        <v>1.0</v>
      </c>
      <c r="W652" s="941">
        <v>1.0</v>
      </c>
      <c r="X652" s="941">
        <v>0.0</v>
      </c>
      <c r="Y652" s="941">
        <v>0.0</v>
      </c>
      <c r="Z652" s="941">
        <v>0.0</v>
      </c>
      <c r="AA652" s="941">
        <v>92.0</v>
      </c>
      <c r="AB652" s="941">
        <v>120.0</v>
      </c>
      <c r="AC652" s="941">
        <v>-28.0</v>
      </c>
      <c r="AD652" s="941">
        <v>7.0</v>
      </c>
      <c r="AE652" s="941">
        <v>3.0</v>
      </c>
      <c r="AF652" s="941">
        <v>2.0</v>
      </c>
      <c r="AG652" s="941">
        <v>1325.0</v>
      </c>
      <c r="AH652" s="941">
        <v>1787.0</v>
      </c>
      <c r="AI652" s="941">
        <v>11.0</v>
      </c>
      <c r="AJ652" s="941">
        <v>5.0</v>
      </c>
      <c r="AK652" s="941">
        <v>0.0</v>
      </c>
      <c r="AL652" s="941">
        <v>0.0</v>
      </c>
      <c r="AM652" s="941">
        <v>0.0</v>
      </c>
      <c r="AN652" s="941">
        <v>0.0</v>
      </c>
      <c r="AO652" s="941">
        <v>0.0</v>
      </c>
      <c r="AP652" s="941">
        <v>0.0</v>
      </c>
      <c r="AQ652" s="941">
        <v>0.0</v>
      </c>
      <c r="AR652" s="941">
        <v>15.0</v>
      </c>
      <c r="AS652" s="941">
        <v>2.0</v>
      </c>
      <c r="AT652" s="941">
        <v>0.0</v>
      </c>
      <c r="AU652" s="941">
        <v>0.0</v>
      </c>
      <c r="AV652" s="941">
        <v>0.0</v>
      </c>
      <c r="AW652" s="941">
        <v>0.0</v>
      </c>
      <c r="AX652" s="941">
        <v>0.0</v>
      </c>
      <c r="AY652" s="941">
        <v>0.0</v>
      </c>
      <c r="AZ652" s="941">
        <v>0.0</v>
      </c>
      <c r="BA652" s="941">
        <v>0.0</v>
      </c>
      <c r="BB652" s="941">
        <v>1.0</v>
      </c>
      <c r="BC652" s="941">
        <v>0.0</v>
      </c>
      <c r="BD652" s="941">
        <v>12.0</v>
      </c>
      <c r="BE652" s="941">
        <v>15.0</v>
      </c>
      <c r="BF652" s="941">
        <v>0.0</v>
      </c>
      <c r="BG652" s="941">
        <v>0.0</v>
      </c>
    </row>
    <row r="653">
      <c r="A653" s="1" t="s">
        <v>147</v>
      </c>
      <c r="B653" s="421" t="str">
        <f>IF(C653&lt;'PlayerGrades+'!$Y$44,"F-",IF(C653&lt;'PlayerGrades+'!$Y$43,"F",IF(C653&lt;'PlayerGrades+'!$Y$42,"F+",IF(C653&lt;'PlayerGrades+'!$Y$41,"E-",IF(C653&lt;'PlayerGrades+'!$Y$40,"E",IF(C653&lt;'PlayerGrades+'!$Y$39,"E+",IF(C653&lt;'PlayerGrades+'!$Y$38,"D-",IF(C653&lt;'PlayerGrades+'!$Y$37,"D",IF(C653&lt;'PlayerGrades+'!$Y$36,"D+",IF(C653&lt;'PlayerGrades+'!$Y$35,"C-",IF(C653&lt;'PlayerGrades+'!$Y$34,"C",IF(C653&lt;'PlayerGrades+'!$Y$33,"C+",IF(C653&lt;'PlayerGrades+'!$Y$32,"B-",IF(C653&lt;'PlayerGrades+'!$Y$31,"B",IF(C653&lt;'PlayerGrades+'!$Y$30,"B+",IF(C653&lt;'PlayerGrades+'!$Y$29,"A-",IF(C653&lt;'PlayerGrades+'!$Y$28,"A",IF(C653&lt;'PlayerGrades+'!$Y$27,"A+",IF(C653&lt;'PlayerGrades+'!$Y$26,"S-",IF(C653&lt;'PlayerGrades+'!$Y$25,"S","S+"))))))))))))))))))))</f>
        <v>F-</v>
      </c>
      <c r="C653" s="972">
        <f>('PlayerGrades+'!$Y$47*(VLOOKUP(E653, 'PlayerGrades+'!$X$3:$Y$23, 2, FALSE)))+('PlayerGrades+'!$Y$48*(VLOOKUP(G653, 'PlayerGrades+'!$X$3:$Y$23, 2, FALSE)))+('PlayerGrades+'!$Y$49*(VLOOKUP(I653, 'PlayerGrades+'!$X$3:$Y$23, 2, FALSE)))+('PlayerGrades+'!$Y$50*(VLOOKUP(K653, 'PlayerGrades+'!$X$3:$Y$23, 2, FALSE)))+('PlayerGrades+'!$Y$51*(VLOOKUP(M653, 'PlayerGrades+'!$X$3:$Y$23, 2, FALSE)))+('PlayerGrades+'!$Y$52*(VLOOKUP(O653, 'PlayerGrades+'!$X$3:$Y$23, 2, FALSE)))+('PlayerGrades+'!$Y$53*(VLOOKUP(Q653, 'PlayerGrades+'!$X$3:$Y$23, 2, FALSE)))+('PlayerGrades+'!$Y$54*(VLOOKUP(S653, 'PlayerGrades+'!$X$3:$Y$23, 2, FALSE)))+('PlayerGrades+'!$Y$55*(VLOOKUP(U653, 'PlayerGrades+'!$X$3:$Y$23, 2, FALSE)))</f>
        <v>4.2</v>
      </c>
      <c r="D653" s="973">
        <f t="shared" si="1"/>
        <v>0</v>
      </c>
      <c r="E653" s="973" t="str">
        <f>IF(D653&lt;'PlayerGrades+'!$AA$21,"F-",IF(D653&lt;'PlayerGrades+'!$AA$20,"F",IF(D653&lt;'PlayerGrades+'!$AA$19,"F+",IF(D653&lt;'PlayerGrades+'!$AA$18,"E-",IF(D653&lt;'PlayerGrades+'!$AA$17,"E",IF(D653&lt;'PlayerGrades+'!$AA$16,"E+",IF(D653&lt;'PlayerGrades+'!$AA$15,"D-",IF(D653&lt;'PlayerGrades+'!$AA$14,"D",IF(D653&lt;'PlayerGrades+'!$AA$13,"D+",IF(D653&lt;'PlayerGrades+'!$AA$12,"C-",IF(D653&lt;'PlayerGrades+'!$AA$11,"C",IF(D653&lt;'PlayerGrades+'!$AA$10,"C+",IF(D653&lt;'PlayerGrades+'!$AA$9,"B-",IF(D653&lt;'PlayerGrades+'!$AA$8,"B",IF(D653&lt;'PlayerGrades+'!$AA$7,"B+",IF(D653&lt;'PlayerGrades+'!$AA$6,"A-",IF(D653&lt;'PlayerGrades+'!$AA$5,"A",IF(D653&lt;'PlayerGrades+'!$AA$4,"A+",IF(D653&lt;'PlayerGrades+'!$AA$3,"S-",IF(D653&lt;'PlayerGrades+'!$AA$2,"S","S+"))))))))))))))))))))</f>
        <v>F-</v>
      </c>
      <c r="F653" s="973">
        <f t="shared" si="2"/>
        <v>-0.9401231114</v>
      </c>
      <c r="G653" s="973" t="str">
        <f>IF(F653&lt;'PlayerGrades+'!$AB$21,"F-",IF(F653&lt;'PlayerGrades+'!$AB$20,"F",IF(F653&lt;'PlayerGrades+'!$AB$19,"F+",IF(F653&lt;'PlayerGrades+'!$AB$18,"E-",IF(F653&lt;'PlayerGrades+'!$AB$17,"E",IF(F653&lt;'PlayerGrades+'!$AB$16,"E+",IF(F653&lt;'PlayerGrades+'!$AB$15,"D-",IF(F653&lt;'PlayerGrades+'!$AB$14,"D",IF(F653&lt;'PlayerGrades+'!$AB$13,"D+",IF(F653&lt;'PlayerGrades+'!$AB$12,"C-",IF(F653&lt;'PlayerGrades+'!$AB$11,"C",IF(F653&lt;'PlayerGrades+'!$AB$10,"C+",IF(F653&lt;'PlayerGrades+'!$AB$9,"B-",IF(F653&lt;'PlayerGrades+'!$AB$8,"B",IF(F653&lt;'PlayerGrades+'!$AB$7,"B+",IF(F653&lt;'PlayerGrades+'!$AB$6,"A-",IF(F653&lt;'PlayerGrades+'!$AB$5,"A",IF(F653&lt;'PlayerGrades+'!$AB$4,"A+",IF(F653&lt;'PlayerGrades+'!$AB$3,"S-",IF(F653&lt;'PlayerGrades+'!$AB$2,"S","S+"))))))))))))))))))))</f>
        <v>F+</v>
      </c>
      <c r="H653" s="973">
        <f t="shared" si="3"/>
        <v>0</v>
      </c>
      <c r="I653" s="973" t="str">
        <f>IF(H653&lt;'PlayerGrades+'!$AC$21,"F-",IF(H653&lt;'PlayerGrades+'!$AC$20,"F",IF(H653&lt;'PlayerGrades+'!$AC$19,"F+",IF(H653&lt;'PlayerGrades+'!$AC$18,"E-",IF(H653&lt;'PlayerGrades+'!$AC$17,"E",IF(H653&lt;'PlayerGrades+'!$AC$16,"E+",IF(H653&lt;'PlayerGrades+'!$AC$15,"D-",IF(H653&lt;'PlayerGrades+'!$AC$14,"D",IF(H653&lt;'PlayerGrades+'!$AC$13,"D+",IF(H653&lt;'PlayerGrades+'!$AC$12,"C-",IF(H653&lt;'PlayerGrades+'!$AC$11,"C",IF(H653&lt;'PlayerGrades+'!$AC$10,"C+",IF(H653&lt;'PlayerGrades+'!$AC$9,"B-",IF(H653&lt;'PlayerGrades+'!$AC$8,"B",IF(H653&lt;'PlayerGrades+'!$AC$7,"B+",IF(H653&lt;'PlayerGrades+'!$AC$6,"A-",IF(H653&lt;'PlayerGrades+'!$AC$5,"A",IF(H653&lt;'PlayerGrades+'!$AC$4,"A+",IF(H653&lt;'PlayerGrades+'!$AC$3,"S-",IF(H653&lt;'PlayerGrades+'!$AC$2,"S","S+"))))))))))))))))))))</f>
        <v>F-</v>
      </c>
      <c r="J653" s="973">
        <f t="shared" si="4"/>
        <v>0</v>
      </c>
      <c r="K653" s="973" t="str">
        <f>IF(J653&lt;'PlayerGrades+'!$AD$21,"F-",IF(J653&lt;'PlayerGrades+'!$AD$20,"F",IF(J653&lt;'PlayerGrades+'!$AD$19,"F+",IF(J653&lt;'PlayerGrades+'!$AD$18,"E-",IF(J653&lt;'PlayerGrades+'!$AD$17,"E",IF(J653&lt;'PlayerGrades+'!$AD$16,"E+",IF(J653&lt;'PlayerGrades+'!$AD$15,"D-",IF(J653&lt;'PlayerGrades+'!$AD$14,"D",IF(J653&lt;'PlayerGrades+'!$AD$13,"D+",IF(J653&lt;'PlayerGrades+'!$AD$12,"C-",IF(J653&lt;'PlayerGrades+'!$AD$11,"C",IF(J653&lt;'PlayerGrades+'!$AD$10,"C+",IF(J653&lt;'PlayerGrades+'!$AD$9,"B-",IF(J653&lt;'PlayerGrades+'!$AD$8,"B",IF(J653&lt;'PlayerGrades+'!$AD$7,"B+",IF(J653&lt;'PlayerGrades+'!$AD$6,"A-",IF(J653&lt;'PlayerGrades+'!$AD$5,"A",IF(J653&lt;'PlayerGrades+'!$AD$4,"A+",IF(J653&lt;'PlayerGrades+'!$AD$3,"S-",IF(J653&lt;'PlayerGrades+'!$AD$2,"S","S+"))))))))))))))))))))</f>
        <v>F-</v>
      </c>
      <c r="L653" s="974">
        <f t="shared" si="5"/>
        <v>0.2014549524</v>
      </c>
      <c r="M653" s="975" t="str">
        <f>IF(L653&lt;'PlayerGrades+'!$AE$21,"F-",IF(L653&lt;'PlayerGrades+'!$AE$20,"F",IF(L653&lt;'PlayerGrades+'!$AE$19,"F+",IF(L653&lt;'PlayerGrades+'!$AE$18,"E-",IF(L653&lt;'PlayerGrades+'!$AE$17,"E",IF(L653&lt;'PlayerGrades+'!$AE$16,"E+",IF(L653&lt;'PlayerGrades+'!$AE$15,"D-",IF(L653&lt;'PlayerGrades+'!$AE$14,"D",IF(L653&lt;'PlayerGrades+'!$AE$13,"D+",IF(L653&lt;'PlayerGrades+'!$AE$12,"C-",IF(L653&lt;'PlayerGrades+'!$AE$11,"C",IF(L653&lt;'PlayerGrades+'!$AE$10,"C+",IF(L653&lt;'PlayerGrades+'!$AE$9,"B-",IF(L653&lt;'PlayerGrades+'!$AE$8,"B",IF(L653&lt;'PlayerGrades+'!$AE$7,"B+",IF(L653&lt;'PlayerGrades+'!$AE$6,"A-",IF(L653&lt;'PlayerGrades+'!$AE$5,"A",IF(L653&lt;'PlayerGrades+'!$AE$4,"A+",IF(L653&lt;'PlayerGrades+'!$AE$3,"S-",IF(L653&lt;'PlayerGrades+'!$AE$2,"S","S+"))))))))))))))))))))</f>
        <v>F</v>
      </c>
      <c r="N653" s="973">
        <f t="shared" si="6"/>
        <v>0</v>
      </c>
      <c r="O653" s="973" t="str">
        <f>IF(N653&lt;'PlayerGrades+'!$AF$21,"F-",IF(N653&lt;'PlayerGrades+'!$AF$20,"F",IF(N653&lt;'PlayerGrades+'!$AF$19,"F+",IF(N653&lt;'PlayerGrades+'!$AF$18,"E-",IF(N653&lt;'PlayerGrades+'!$AF$17,"E",IF(N653&lt;'PlayerGrades+'!$AF$16,"E+",IF(N653&lt;'PlayerGrades+'!$AF$15,"D-",IF(N653&lt;'PlayerGrades+'!$AF$14,"D",IF(N653&lt;'PlayerGrades+'!$AF$13,"D+",IF(N653&lt;'PlayerGrades+'!$AF$12,"C-",IF(N653&lt;'PlayerGrades+'!$AF$11,"C",IF(N653&lt;'PlayerGrades+'!$AF$10,"C+",IF(N653&lt;'PlayerGrades+'!$AF$9,"B-",IF(N653&lt;'PlayerGrades+'!$AF$8,"B",IF(N653&lt;'PlayerGrades+'!$AF$7,"B+",IF(N653&lt;'PlayerGrades+'!$AF$6,"A-",IF(N653&lt;'PlayerGrades+'!$AF$5,"A",IF(N653&lt;'PlayerGrades+'!$AF$4,"A+",IF(N653&lt;'PlayerGrades+'!$AF$3,"S-",IF(N653&lt;'PlayerGrades+'!$AF$2,"S","S+"))))))))))))))))))))</f>
        <v>F-</v>
      </c>
      <c r="P653" s="973">
        <f t="shared" si="7"/>
        <v>0</v>
      </c>
      <c r="Q653" s="973" t="str">
        <f>IF(P653&lt;'PlayerGrades+'!$AG$21,"F-",IF(P653&lt;'PlayerGrades+'!$AG$20,"F",IF(P653&lt;'PlayerGrades+'!$AG$19,"F+",IF(P653&lt;'PlayerGrades+'!$AG$18,"E-",IF(P653&lt;'PlayerGrades+'!$AG$17,"E",IF(P653&lt;'PlayerGrades+'!$AG$16,"E+",IF(P653&lt;'PlayerGrades+'!$AG$15,"D-",IF(P653&lt;'PlayerGrades+'!$AG$14,"D",IF(P653&lt;'PlayerGrades+'!$AG$13,"D+",IF(P653&lt;'PlayerGrades+'!$AG$12,"C-",IF(P653&lt;'PlayerGrades+'!$AG$11,"C",IF(P653&lt;'PlayerGrades+'!$AG$10,"C+",IF(P653&lt;'PlayerGrades+'!$AG$9,"B-",IF(P653&lt;'PlayerGrades+'!$AG$8,"B",IF(P653&lt;'PlayerGrades+'!$AG$7,"B+",IF(P653&lt;'PlayerGrades+'!$AG$6,"A-",IF(P653&lt;'PlayerGrades+'!$AG$5,"A",IF(P653&lt;'PlayerGrades+'!$AG$4,"A+",IF(P653&lt;'PlayerGrades+'!$AG$3,"S-",IF(P653&lt;'PlayerGrades+'!$AG$2,"S","S+"))))))))))))))))))))</f>
        <v>F</v>
      </c>
      <c r="R653" s="973">
        <f t="shared" si="8"/>
        <v>0.2686066032</v>
      </c>
      <c r="S653" s="973" t="str">
        <f>IF(R653&lt;'PlayerGrades+'!$AH$21,"F-",IF(R653&lt;'PlayerGrades+'!$AH$20,"F",IF(R653&lt;'PlayerGrades+'!$AH$19,"F+",IF(R653&lt;'PlayerGrades+'!$AH$18,"E-",IF(R653&lt;'PlayerGrades+'!$AH$17,"E",IF(R653&lt;'PlayerGrades+'!$AH$16,"E+",IF(R653&lt;'PlayerGrades+'!$AH$15,"D-",IF(R653&lt;'PlayerGrades+'!$AH$14,"D",IF(R653&lt;'PlayerGrades+'!$AH$13,"D+",IF(R653&lt;'PlayerGrades+'!$AH$12,"C-",IF(R653&lt;'PlayerGrades+'!$AH$11,"C",IF(R653&lt;'PlayerGrades+'!$AH$10,"C+",IF(R653&lt;'PlayerGrades+'!$AH$9,"B-",IF(R653&lt;'PlayerGrades+'!$AH$8,"B",IF(R653&lt;'PlayerGrades+'!$AH$7,"B+",IF(R653&lt;'PlayerGrades+'!$AH$6,"A-",IF(R653&lt;'PlayerGrades+'!$AH$5,"A",IF(R653&lt;'PlayerGrades+'!$AH$4,"A+",IF(R653&lt;'PlayerGrades+'!$AH$3,"S-",IF(R653&lt;'PlayerGrades+'!$AH$2,"S","S+"))))))))))))))))))))</f>
        <v>F-</v>
      </c>
      <c r="T653" s="973">
        <f t="shared" si="9"/>
        <v>0.2350307778</v>
      </c>
      <c r="U653" s="973" t="str">
        <f>IF(T653&lt;'PlayerGrades+'!$AI$21,"F-",IF(T653&lt;'PlayerGrades+'!$AI$20,"F",IF(T653&lt;'PlayerGrades+'!$AI$19,"F+",IF(T653&lt;'PlayerGrades+'!$AI$18,"E-",IF(T653&lt;'PlayerGrades+'!$AI$17,"E",IF(T653&lt;'PlayerGrades+'!$AI$16,"E+",IF(T653&lt;'PlayerGrades+'!$AI$15,"D-",IF(T653&lt;'PlayerGrades+'!$AI$14,"D",IF(T653&lt;'PlayerGrades+'!$AI$13,"D+",IF(T653&lt;'PlayerGrades+'!$AI$12,"C-",IF(T653&lt;'PlayerGrades+'!$AI$11,"C",IF(T653&lt;'PlayerGrades+'!$AI$10,"C+",IF(T653&lt;'PlayerGrades+'!$AI$9,"B-",IF(T653&lt;'PlayerGrades+'!$AI$8,"B",IF(T653&lt;'PlayerGrades+'!$AI$7,"B+",IF(T653&lt;'PlayerGrades+'!$AI$6,"A-",IF(T653&lt;'PlayerGrades+'!$AI$5,"A",IF(T653&lt;'PlayerGrades+'!$AI$4,"A+",IF(T653&lt;'PlayerGrades+'!$AI$3,"S-",IF(T653&lt;'PlayerGrades+'!$AI$2,"S","S+"))))))))))))))))))))</f>
        <v>F-</v>
      </c>
      <c r="V653" s="941">
        <v>1.0</v>
      </c>
      <c r="W653" s="941">
        <v>1.0</v>
      </c>
      <c r="X653" s="941">
        <v>0.0</v>
      </c>
      <c r="Y653" s="941">
        <v>0.0</v>
      </c>
      <c r="Z653" s="941">
        <v>0.0</v>
      </c>
      <c r="AA653" s="941">
        <v>66.0</v>
      </c>
      <c r="AB653" s="941">
        <v>94.0</v>
      </c>
      <c r="AC653" s="941">
        <v>-28.0</v>
      </c>
      <c r="AD653" s="941">
        <v>2.0</v>
      </c>
      <c r="AE653" s="941">
        <v>4.0</v>
      </c>
      <c r="AF653" s="941">
        <v>1.0</v>
      </c>
      <c r="AG653" s="941">
        <v>1396.0</v>
      </c>
      <c r="AH653" s="941">
        <v>1787.0</v>
      </c>
      <c r="AI653" s="941">
        <v>14.0</v>
      </c>
      <c r="AJ653" s="941">
        <v>16.0</v>
      </c>
      <c r="AK653" s="941">
        <v>0.0</v>
      </c>
      <c r="AL653" s="941">
        <v>0.0</v>
      </c>
      <c r="AM653" s="941">
        <v>0.0</v>
      </c>
      <c r="AN653" s="941">
        <v>0.0</v>
      </c>
      <c r="AO653" s="941">
        <v>0.0</v>
      </c>
      <c r="AP653" s="941">
        <v>0.0</v>
      </c>
      <c r="AQ653" s="941">
        <v>0.0</v>
      </c>
      <c r="AR653" s="941">
        <v>6.0</v>
      </c>
      <c r="AS653" s="941">
        <v>0.0</v>
      </c>
      <c r="AT653" s="941">
        <v>0.0</v>
      </c>
      <c r="AU653" s="941">
        <v>0.0</v>
      </c>
      <c r="AV653" s="941">
        <v>0.0</v>
      </c>
      <c r="AW653" s="941">
        <v>0.0</v>
      </c>
      <c r="AX653" s="941">
        <v>0.0</v>
      </c>
      <c r="AY653" s="941">
        <v>0.0</v>
      </c>
      <c r="AZ653" s="941">
        <v>0.0</v>
      </c>
      <c r="BA653" s="941">
        <v>0.0</v>
      </c>
      <c r="BB653" s="941">
        <v>0.0</v>
      </c>
      <c r="BC653" s="941">
        <v>0.0</v>
      </c>
      <c r="BD653" s="941">
        <v>6.0</v>
      </c>
      <c r="BE653" s="941">
        <v>7.0</v>
      </c>
      <c r="BF653" s="941">
        <v>0.0</v>
      </c>
      <c r="BG653" s="941">
        <v>0.0</v>
      </c>
    </row>
    <row r="654">
      <c r="A654" s="1" t="s">
        <v>149</v>
      </c>
      <c r="B654" s="421" t="str">
        <f>IF(C654&lt;'PlayerGrades+'!$Y$44,"F-",IF(C654&lt;'PlayerGrades+'!$Y$43,"F",IF(C654&lt;'PlayerGrades+'!$Y$42,"F+",IF(C654&lt;'PlayerGrades+'!$Y$41,"E-",IF(C654&lt;'PlayerGrades+'!$Y$40,"E",IF(C654&lt;'PlayerGrades+'!$Y$39,"E+",IF(C654&lt;'PlayerGrades+'!$Y$38,"D-",IF(C654&lt;'PlayerGrades+'!$Y$37,"D",IF(C654&lt;'PlayerGrades+'!$Y$36,"D+",IF(C654&lt;'PlayerGrades+'!$Y$35,"C-",IF(C654&lt;'PlayerGrades+'!$Y$34,"C",IF(C654&lt;'PlayerGrades+'!$Y$33,"C+",IF(C654&lt;'PlayerGrades+'!$Y$32,"B-",IF(C654&lt;'PlayerGrades+'!$Y$31,"B",IF(C654&lt;'PlayerGrades+'!$Y$30,"B+",IF(C654&lt;'PlayerGrades+'!$Y$29,"A-",IF(C654&lt;'PlayerGrades+'!$Y$28,"A",IF(C654&lt;'PlayerGrades+'!$Y$27,"A+",IF(C654&lt;'PlayerGrades+'!$Y$26,"S-",IF(C654&lt;'PlayerGrades+'!$Y$25,"S","S+"))))))))))))))))))))</f>
        <v>E-</v>
      </c>
      <c r="C654" s="972">
        <f>('PlayerGrades+'!$Y$47*(VLOOKUP(E654, 'PlayerGrades+'!$X$3:$Y$23, 2, FALSE)))+('PlayerGrades+'!$Y$48*(VLOOKUP(G654, 'PlayerGrades+'!$X$3:$Y$23, 2, FALSE)))+('PlayerGrades+'!$Y$49*(VLOOKUP(I654, 'PlayerGrades+'!$X$3:$Y$23, 2, FALSE)))+('PlayerGrades+'!$Y$50*(VLOOKUP(K654, 'PlayerGrades+'!$X$3:$Y$23, 2, FALSE)))+('PlayerGrades+'!$Y$51*(VLOOKUP(M654, 'PlayerGrades+'!$X$3:$Y$23, 2, FALSE)))+('PlayerGrades+'!$Y$52*(VLOOKUP(O654, 'PlayerGrades+'!$X$3:$Y$23, 2, FALSE)))+('PlayerGrades+'!$Y$53*(VLOOKUP(Q654, 'PlayerGrades+'!$X$3:$Y$23, 2, FALSE)))+('PlayerGrades+'!$Y$54*(VLOOKUP(S654, 'PlayerGrades+'!$X$3:$Y$23, 2, FALSE)))+('PlayerGrades+'!$Y$55*(VLOOKUP(U654, 'PlayerGrades+'!$X$3:$Y$23, 2, FALSE)))</f>
        <v>12.55</v>
      </c>
      <c r="D654" s="973">
        <f t="shared" si="1"/>
        <v>0.4364857303</v>
      </c>
      <c r="E654" s="973" t="str">
        <f>IF(D654&lt;'PlayerGrades+'!$AA$21,"F-",IF(D654&lt;'PlayerGrades+'!$AA$20,"F",IF(D654&lt;'PlayerGrades+'!$AA$19,"F+",IF(D654&lt;'PlayerGrades+'!$AA$18,"E-",IF(D654&lt;'PlayerGrades+'!$AA$17,"E",IF(D654&lt;'PlayerGrades+'!$AA$16,"E+",IF(D654&lt;'PlayerGrades+'!$AA$15,"D-",IF(D654&lt;'PlayerGrades+'!$AA$14,"D",IF(D654&lt;'PlayerGrades+'!$AA$13,"D+",IF(D654&lt;'PlayerGrades+'!$AA$12,"C-",IF(D654&lt;'PlayerGrades+'!$AA$11,"C",IF(D654&lt;'PlayerGrades+'!$AA$10,"C+",IF(D654&lt;'PlayerGrades+'!$AA$9,"B-",IF(D654&lt;'PlayerGrades+'!$AA$8,"B",IF(D654&lt;'PlayerGrades+'!$AA$7,"B+",IF(D654&lt;'PlayerGrades+'!$AA$6,"A-",IF(D654&lt;'PlayerGrades+'!$AA$5,"A",IF(D654&lt;'PlayerGrades+'!$AA$4,"A+",IF(D654&lt;'PlayerGrades+'!$AA$3,"S-",IF(D654&lt;'PlayerGrades+'!$AA$2,"S","S+"))))))))))))))))))))</f>
        <v>A+</v>
      </c>
      <c r="F654" s="973">
        <f t="shared" si="2"/>
        <v>0.167879127</v>
      </c>
      <c r="G654" s="973" t="str">
        <f>IF(F654&lt;'PlayerGrades+'!$AB$21,"F-",IF(F654&lt;'PlayerGrades+'!$AB$20,"F",IF(F654&lt;'PlayerGrades+'!$AB$19,"F+",IF(F654&lt;'PlayerGrades+'!$AB$18,"E-",IF(F654&lt;'PlayerGrades+'!$AB$17,"E",IF(F654&lt;'PlayerGrades+'!$AB$16,"E+",IF(F654&lt;'PlayerGrades+'!$AB$15,"D-",IF(F654&lt;'PlayerGrades+'!$AB$14,"D",IF(F654&lt;'PlayerGrades+'!$AB$13,"D+",IF(F654&lt;'PlayerGrades+'!$AB$12,"C-",IF(F654&lt;'PlayerGrades+'!$AB$11,"C",IF(F654&lt;'PlayerGrades+'!$AB$10,"C+",IF(F654&lt;'PlayerGrades+'!$AB$9,"B-",IF(F654&lt;'PlayerGrades+'!$AB$8,"B",IF(F654&lt;'PlayerGrades+'!$AB$7,"B+",IF(F654&lt;'PlayerGrades+'!$AB$6,"A-",IF(F654&lt;'PlayerGrades+'!$AB$5,"A",IF(F654&lt;'PlayerGrades+'!$AB$4,"A+",IF(F654&lt;'PlayerGrades+'!$AB$3,"S-",IF(F654&lt;'PlayerGrades+'!$AB$2,"S","S+"))))))))))))))))))))</f>
        <v>B+</v>
      </c>
      <c r="H654" s="973">
        <f t="shared" si="3"/>
        <v>0</v>
      </c>
      <c r="I654" s="973" t="str">
        <f>IF(H654&lt;'PlayerGrades+'!$AC$21,"F-",IF(H654&lt;'PlayerGrades+'!$AC$20,"F",IF(H654&lt;'PlayerGrades+'!$AC$19,"F+",IF(H654&lt;'PlayerGrades+'!$AC$18,"E-",IF(H654&lt;'PlayerGrades+'!$AC$17,"E",IF(H654&lt;'PlayerGrades+'!$AC$16,"E+",IF(H654&lt;'PlayerGrades+'!$AC$15,"D-",IF(H654&lt;'PlayerGrades+'!$AC$14,"D",IF(H654&lt;'PlayerGrades+'!$AC$13,"D+",IF(H654&lt;'PlayerGrades+'!$AC$12,"C-",IF(H654&lt;'PlayerGrades+'!$AC$11,"C",IF(H654&lt;'PlayerGrades+'!$AC$10,"C+",IF(H654&lt;'PlayerGrades+'!$AC$9,"B-",IF(H654&lt;'PlayerGrades+'!$AC$8,"B",IF(H654&lt;'PlayerGrades+'!$AC$7,"B+",IF(H654&lt;'PlayerGrades+'!$AC$6,"A-",IF(H654&lt;'PlayerGrades+'!$AC$5,"A",IF(H654&lt;'PlayerGrades+'!$AC$4,"A+",IF(H654&lt;'PlayerGrades+'!$AC$3,"S-",IF(H654&lt;'PlayerGrades+'!$AC$2,"S","S+"))))))))))))))))))))</f>
        <v>F-</v>
      </c>
      <c r="J654" s="973">
        <f t="shared" si="4"/>
        <v>0.03357582541</v>
      </c>
      <c r="K654" s="973" t="str">
        <f>IF(J654&lt;'PlayerGrades+'!$AD$21,"F-",IF(J654&lt;'PlayerGrades+'!$AD$20,"F",IF(J654&lt;'PlayerGrades+'!$AD$19,"F+",IF(J654&lt;'PlayerGrades+'!$AD$18,"E-",IF(J654&lt;'PlayerGrades+'!$AD$17,"E",IF(J654&lt;'PlayerGrades+'!$AD$16,"E+",IF(J654&lt;'PlayerGrades+'!$AD$15,"D-",IF(J654&lt;'PlayerGrades+'!$AD$14,"D",IF(J654&lt;'PlayerGrades+'!$AD$13,"D+",IF(J654&lt;'PlayerGrades+'!$AD$12,"C-",IF(J654&lt;'PlayerGrades+'!$AD$11,"C",IF(J654&lt;'PlayerGrades+'!$AD$10,"C+",IF(J654&lt;'PlayerGrades+'!$AD$9,"B-",IF(J654&lt;'PlayerGrades+'!$AD$8,"B",IF(J654&lt;'PlayerGrades+'!$AD$7,"B+",IF(J654&lt;'PlayerGrades+'!$AD$6,"A-",IF(J654&lt;'PlayerGrades+'!$AD$5,"A",IF(J654&lt;'PlayerGrades+'!$AD$4,"A+",IF(J654&lt;'PlayerGrades+'!$AD$3,"S-",IF(J654&lt;'PlayerGrades+'!$AD$2,"S","S+"))))))))))))))))))))</f>
        <v>C</v>
      </c>
      <c r="L654" s="974">
        <f t="shared" si="5"/>
        <v>0.2014549524</v>
      </c>
      <c r="M654" s="975" t="str">
        <f>IF(L654&lt;'PlayerGrades+'!$AE$21,"F-",IF(L654&lt;'PlayerGrades+'!$AE$20,"F",IF(L654&lt;'PlayerGrades+'!$AE$19,"F+",IF(L654&lt;'PlayerGrades+'!$AE$18,"E-",IF(L654&lt;'PlayerGrades+'!$AE$17,"E",IF(L654&lt;'PlayerGrades+'!$AE$16,"E+",IF(L654&lt;'PlayerGrades+'!$AE$15,"D-",IF(L654&lt;'PlayerGrades+'!$AE$14,"D",IF(L654&lt;'PlayerGrades+'!$AE$13,"D+",IF(L654&lt;'PlayerGrades+'!$AE$12,"C-",IF(L654&lt;'PlayerGrades+'!$AE$11,"C",IF(L654&lt;'PlayerGrades+'!$AE$10,"C+",IF(L654&lt;'PlayerGrades+'!$AE$9,"B-",IF(L654&lt;'PlayerGrades+'!$AE$8,"B",IF(L654&lt;'PlayerGrades+'!$AE$7,"B+",IF(L654&lt;'PlayerGrades+'!$AE$6,"A-",IF(L654&lt;'PlayerGrades+'!$AE$5,"A",IF(L654&lt;'PlayerGrades+'!$AE$4,"A+",IF(L654&lt;'PlayerGrades+'!$AE$3,"S-",IF(L654&lt;'PlayerGrades+'!$AE$2,"S","S+"))))))))))))))))))))</f>
        <v>F</v>
      </c>
      <c r="N654" s="973">
        <f t="shared" si="6"/>
        <v>0</v>
      </c>
      <c r="O654" s="973" t="str">
        <f>IF(N654&lt;'PlayerGrades+'!$AF$21,"F-",IF(N654&lt;'PlayerGrades+'!$AF$20,"F",IF(N654&lt;'PlayerGrades+'!$AF$19,"F+",IF(N654&lt;'PlayerGrades+'!$AF$18,"E-",IF(N654&lt;'PlayerGrades+'!$AF$17,"E",IF(N654&lt;'PlayerGrades+'!$AF$16,"E+",IF(N654&lt;'PlayerGrades+'!$AF$15,"D-",IF(N654&lt;'PlayerGrades+'!$AF$14,"D",IF(N654&lt;'PlayerGrades+'!$AF$13,"D+",IF(N654&lt;'PlayerGrades+'!$AF$12,"C-",IF(N654&lt;'PlayerGrades+'!$AF$11,"C",IF(N654&lt;'PlayerGrades+'!$AF$10,"C+",IF(N654&lt;'PlayerGrades+'!$AF$9,"B-",IF(N654&lt;'PlayerGrades+'!$AF$8,"B",IF(N654&lt;'PlayerGrades+'!$AF$7,"B+",IF(N654&lt;'PlayerGrades+'!$AF$6,"A-",IF(N654&lt;'PlayerGrades+'!$AF$5,"A",IF(N654&lt;'PlayerGrades+'!$AF$4,"A+",IF(N654&lt;'PlayerGrades+'!$AF$3,"S-",IF(N654&lt;'PlayerGrades+'!$AF$2,"S","S+"))))))))))))))))))))</f>
        <v>F-</v>
      </c>
      <c r="P654" s="973">
        <f t="shared" si="7"/>
        <v>0</v>
      </c>
      <c r="Q654" s="973" t="str">
        <f>IF(P654&lt;'PlayerGrades+'!$AG$21,"F-",IF(P654&lt;'PlayerGrades+'!$AG$20,"F",IF(P654&lt;'PlayerGrades+'!$AG$19,"F+",IF(P654&lt;'PlayerGrades+'!$AG$18,"E-",IF(P654&lt;'PlayerGrades+'!$AG$17,"E",IF(P654&lt;'PlayerGrades+'!$AG$16,"E+",IF(P654&lt;'PlayerGrades+'!$AG$15,"D-",IF(P654&lt;'PlayerGrades+'!$AG$14,"D",IF(P654&lt;'PlayerGrades+'!$AG$13,"D+",IF(P654&lt;'PlayerGrades+'!$AG$12,"C-",IF(P654&lt;'PlayerGrades+'!$AG$11,"C",IF(P654&lt;'PlayerGrades+'!$AG$10,"C+",IF(P654&lt;'PlayerGrades+'!$AG$9,"B-",IF(P654&lt;'PlayerGrades+'!$AG$8,"B",IF(P654&lt;'PlayerGrades+'!$AG$7,"B+",IF(P654&lt;'PlayerGrades+'!$AG$6,"A-",IF(P654&lt;'PlayerGrades+'!$AG$5,"A",IF(P654&lt;'PlayerGrades+'!$AG$4,"A+",IF(P654&lt;'PlayerGrades+'!$AG$3,"S-",IF(P654&lt;'PlayerGrades+'!$AG$2,"S","S+"))))))))))))))))))))</f>
        <v>F</v>
      </c>
      <c r="R654" s="973">
        <f t="shared" si="8"/>
        <v>0.3357582541</v>
      </c>
      <c r="S654" s="973" t="str">
        <f>IF(R654&lt;'PlayerGrades+'!$AH$21,"F-",IF(R654&lt;'PlayerGrades+'!$AH$20,"F",IF(R654&lt;'PlayerGrades+'!$AH$19,"F+",IF(R654&lt;'PlayerGrades+'!$AH$18,"E-",IF(R654&lt;'PlayerGrades+'!$AH$17,"E",IF(R654&lt;'PlayerGrades+'!$AH$16,"E+",IF(R654&lt;'PlayerGrades+'!$AH$15,"D-",IF(R654&lt;'PlayerGrades+'!$AH$14,"D",IF(R654&lt;'PlayerGrades+'!$AH$13,"D+",IF(R654&lt;'PlayerGrades+'!$AH$12,"C-",IF(R654&lt;'PlayerGrades+'!$AH$11,"C",IF(R654&lt;'PlayerGrades+'!$AH$10,"C+",IF(R654&lt;'PlayerGrades+'!$AH$9,"B-",IF(R654&lt;'PlayerGrades+'!$AH$8,"B",IF(R654&lt;'PlayerGrades+'!$AH$7,"B+",IF(R654&lt;'PlayerGrades+'!$AH$6,"A-",IF(R654&lt;'PlayerGrades+'!$AH$5,"A",IF(R654&lt;'PlayerGrades+'!$AH$4,"A+",IF(R654&lt;'PlayerGrades+'!$AH$3,"S-",IF(R654&lt;'PlayerGrades+'!$AH$2,"S","S+"))))))))))))))))))))</f>
        <v>F</v>
      </c>
      <c r="T654" s="973">
        <f t="shared" si="9"/>
        <v>1.100727476</v>
      </c>
      <c r="U654" s="973" t="str">
        <f>IF(T654&lt;'PlayerGrades+'!$AI$21,"F-",IF(T654&lt;'PlayerGrades+'!$AI$20,"F",IF(T654&lt;'PlayerGrades+'!$AI$19,"F+",IF(T654&lt;'PlayerGrades+'!$AI$18,"E-",IF(T654&lt;'PlayerGrades+'!$AI$17,"E",IF(T654&lt;'PlayerGrades+'!$AI$16,"E+",IF(T654&lt;'PlayerGrades+'!$AI$15,"D-",IF(T654&lt;'PlayerGrades+'!$AI$14,"D",IF(T654&lt;'PlayerGrades+'!$AI$13,"D+",IF(T654&lt;'PlayerGrades+'!$AI$12,"C-",IF(T654&lt;'PlayerGrades+'!$AI$11,"C",IF(T654&lt;'PlayerGrades+'!$AI$10,"C+",IF(T654&lt;'PlayerGrades+'!$AI$9,"B-",IF(T654&lt;'PlayerGrades+'!$AI$8,"B",IF(T654&lt;'PlayerGrades+'!$AI$7,"B+",IF(T654&lt;'PlayerGrades+'!$AI$6,"A-",IF(T654&lt;'PlayerGrades+'!$AI$5,"A",IF(T654&lt;'PlayerGrades+'!$AI$4,"A+",IF(T654&lt;'PlayerGrades+'!$AI$3,"S-",IF(T654&lt;'PlayerGrades+'!$AI$2,"S","S+"))))))))))))))))))))</f>
        <v>D</v>
      </c>
      <c r="V654" s="941">
        <v>1.0</v>
      </c>
      <c r="W654" s="941">
        <v>0.0</v>
      </c>
      <c r="X654" s="941">
        <v>1.0</v>
      </c>
      <c r="Y654" s="941">
        <v>2.0</v>
      </c>
      <c r="Z654" s="941">
        <v>11.0</v>
      </c>
      <c r="AA654" s="941">
        <v>39.0</v>
      </c>
      <c r="AB654" s="941">
        <v>34.0</v>
      </c>
      <c r="AC654" s="941">
        <v>5.0</v>
      </c>
      <c r="AD654" s="941">
        <v>3.0</v>
      </c>
      <c r="AE654" s="941">
        <v>5.0</v>
      </c>
      <c r="AF654" s="941">
        <v>0.0</v>
      </c>
      <c r="AG654" s="941">
        <v>1576.0</v>
      </c>
      <c r="AH654" s="941">
        <v>1787.0</v>
      </c>
      <c r="AI654" s="941">
        <v>46.0</v>
      </c>
      <c r="AJ654" s="941">
        <v>1084.0</v>
      </c>
      <c r="AK654" s="941">
        <v>0.0</v>
      </c>
      <c r="AL654" s="941">
        <v>1.0</v>
      </c>
      <c r="AM654" s="941">
        <v>0.0</v>
      </c>
      <c r="AN654" s="941">
        <v>0.0</v>
      </c>
      <c r="AO654" s="941">
        <v>0.0</v>
      </c>
      <c r="AP654" s="941">
        <v>0.0</v>
      </c>
      <c r="AQ654" s="941">
        <v>0.0</v>
      </c>
      <c r="AR654" s="941">
        <v>6.0</v>
      </c>
      <c r="AS654" s="941">
        <v>0.0</v>
      </c>
      <c r="AT654" s="941">
        <v>0.0</v>
      </c>
      <c r="AU654" s="941">
        <v>0.0</v>
      </c>
      <c r="AV654" s="941">
        <v>0.0</v>
      </c>
      <c r="AW654" s="941">
        <v>0.0</v>
      </c>
      <c r="AX654" s="941">
        <v>0.0</v>
      </c>
      <c r="AY654" s="941">
        <v>0.0</v>
      </c>
      <c r="AZ654" s="941">
        <v>0.0</v>
      </c>
      <c r="BA654" s="941">
        <v>0.0</v>
      </c>
      <c r="BB654" s="941">
        <v>0.0</v>
      </c>
      <c r="BC654" s="941">
        <v>0.0</v>
      </c>
      <c r="BD654" s="941">
        <v>7.0</v>
      </c>
      <c r="BE654" s="941">
        <v>3.0</v>
      </c>
      <c r="BF654" s="941">
        <v>1.0</v>
      </c>
      <c r="BG654" s="941">
        <v>1.0</v>
      </c>
    </row>
    <row r="655">
      <c r="A655" s="1" t="s">
        <v>418</v>
      </c>
      <c r="B655" s="421" t="str">
        <f>IF(C655&lt;'PlayerGrades+'!$Y$44,"F-",IF(C655&lt;'PlayerGrades+'!$Y$43,"F",IF(C655&lt;'PlayerGrades+'!$Y$42,"F+",IF(C655&lt;'PlayerGrades+'!$Y$41,"E-",IF(C655&lt;'PlayerGrades+'!$Y$40,"E",IF(C655&lt;'PlayerGrades+'!$Y$39,"E+",IF(C655&lt;'PlayerGrades+'!$Y$38,"D-",IF(C655&lt;'PlayerGrades+'!$Y$37,"D",IF(C655&lt;'PlayerGrades+'!$Y$36,"D+",IF(C655&lt;'PlayerGrades+'!$Y$35,"C-",IF(C655&lt;'PlayerGrades+'!$Y$34,"C",IF(C655&lt;'PlayerGrades+'!$Y$33,"C+",IF(C655&lt;'PlayerGrades+'!$Y$32,"B-",IF(C655&lt;'PlayerGrades+'!$Y$31,"B",IF(C655&lt;'PlayerGrades+'!$Y$30,"B+",IF(C655&lt;'PlayerGrades+'!$Y$29,"A-",IF(C655&lt;'PlayerGrades+'!$Y$28,"A",IF(C655&lt;'PlayerGrades+'!$Y$27,"A+",IF(C655&lt;'PlayerGrades+'!$Y$26,"S-",IF(C655&lt;'PlayerGrades+'!$Y$25,"S","S+"))))))))))))))))))))</f>
        <v>A</v>
      </c>
      <c r="C655" s="972">
        <f>('PlayerGrades+'!$Y$47*(VLOOKUP(E655, 'PlayerGrades+'!$X$3:$Y$23, 2, FALSE)))+('PlayerGrades+'!$Y$48*(VLOOKUP(G655, 'PlayerGrades+'!$X$3:$Y$23, 2, FALSE)))+('PlayerGrades+'!$Y$49*(VLOOKUP(I655, 'PlayerGrades+'!$X$3:$Y$23, 2, FALSE)))+('PlayerGrades+'!$Y$50*(VLOOKUP(K655, 'PlayerGrades+'!$X$3:$Y$23, 2, FALSE)))+('PlayerGrades+'!$Y$51*(VLOOKUP(M655, 'PlayerGrades+'!$X$3:$Y$23, 2, FALSE)))+('PlayerGrades+'!$Y$52*(VLOOKUP(O655, 'PlayerGrades+'!$X$3:$Y$23, 2, FALSE)))+('PlayerGrades+'!$Y$53*(VLOOKUP(Q655, 'PlayerGrades+'!$X$3:$Y$23, 2, FALSE)))+('PlayerGrades+'!$Y$54*(VLOOKUP(S655, 'PlayerGrades+'!$X$3:$Y$23, 2, FALSE)))+('PlayerGrades+'!$Y$55*(VLOOKUP(U655, 'PlayerGrades+'!$X$3:$Y$23, 2, FALSE)))</f>
        <v>26.4</v>
      </c>
      <c r="D655" s="973">
        <f t="shared" si="1"/>
        <v>0.03357582541</v>
      </c>
      <c r="E655" s="973" t="str">
        <f>IF(D655&lt;'PlayerGrades+'!$AA$21,"F-",IF(D655&lt;'PlayerGrades+'!$AA$20,"F",IF(D655&lt;'PlayerGrades+'!$AA$19,"F+",IF(D655&lt;'PlayerGrades+'!$AA$18,"E-",IF(D655&lt;'PlayerGrades+'!$AA$17,"E",IF(D655&lt;'PlayerGrades+'!$AA$16,"E+",IF(D655&lt;'PlayerGrades+'!$AA$15,"D-",IF(D655&lt;'PlayerGrades+'!$AA$14,"D",IF(D655&lt;'PlayerGrades+'!$AA$13,"D+",IF(D655&lt;'PlayerGrades+'!$AA$12,"C-",IF(D655&lt;'PlayerGrades+'!$AA$11,"C",IF(D655&lt;'PlayerGrades+'!$AA$10,"C+",IF(D655&lt;'PlayerGrades+'!$AA$9,"B-",IF(D655&lt;'PlayerGrades+'!$AA$8,"B",IF(D655&lt;'PlayerGrades+'!$AA$7,"B+",IF(D655&lt;'PlayerGrades+'!$AA$6,"A-",IF(D655&lt;'PlayerGrades+'!$AA$5,"A",IF(D655&lt;'PlayerGrades+'!$AA$4,"A+",IF(D655&lt;'PlayerGrades+'!$AA$3,"S-",IF(D655&lt;'PlayerGrades+'!$AA$2,"S","S+"))))))))))))))))))))</f>
        <v>C-</v>
      </c>
      <c r="F655" s="973">
        <f t="shared" si="2"/>
        <v>1.074426413</v>
      </c>
      <c r="G655" s="973" t="str">
        <f>IF(F655&lt;'PlayerGrades+'!$AB$21,"F-",IF(F655&lt;'PlayerGrades+'!$AB$20,"F",IF(F655&lt;'PlayerGrades+'!$AB$19,"F+",IF(F655&lt;'PlayerGrades+'!$AB$18,"E-",IF(F655&lt;'PlayerGrades+'!$AB$17,"E",IF(F655&lt;'PlayerGrades+'!$AB$16,"E+",IF(F655&lt;'PlayerGrades+'!$AB$15,"D-",IF(F655&lt;'PlayerGrades+'!$AB$14,"D",IF(F655&lt;'PlayerGrades+'!$AB$13,"D+",IF(F655&lt;'PlayerGrades+'!$AB$12,"C-",IF(F655&lt;'PlayerGrades+'!$AB$11,"C",IF(F655&lt;'PlayerGrades+'!$AB$10,"C+",IF(F655&lt;'PlayerGrades+'!$AB$9,"B-",IF(F655&lt;'PlayerGrades+'!$AB$8,"B",IF(F655&lt;'PlayerGrades+'!$AB$7,"B+",IF(F655&lt;'PlayerGrades+'!$AB$6,"A-",IF(F655&lt;'PlayerGrades+'!$AB$5,"A",IF(F655&lt;'PlayerGrades+'!$AB$4,"A+",IF(F655&lt;'PlayerGrades+'!$AB$3,"S-",IF(F655&lt;'PlayerGrades+'!$AB$2,"S","S+"))))))))))))))))))))</f>
        <v>S+</v>
      </c>
      <c r="H655" s="973">
        <f t="shared" si="3"/>
        <v>0.06715165081</v>
      </c>
      <c r="I655" s="973" t="str">
        <f>IF(H655&lt;'PlayerGrades+'!$AC$21,"F-",IF(H655&lt;'PlayerGrades+'!$AC$20,"F",IF(H655&lt;'PlayerGrades+'!$AC$19,"F+",IF(H655&lt;'PlayerGrades+'!$AC$18,"E-",IF(H655&lt;'PlayerGrades+'!$AC$17,"E",IF(H655&lt;'PlayerGrades+'!$AC$16,"E+",IF(H655&lt;'PlayerGrades+'!$AC$15,"D-",IF(H655&lt;'PlayerGrades+'!$AC$14,"D",IF(H655&lt;'PlayerGrades+'!$AC$13,"D+",IF(H655&lt;'PlayerGrades+'!$AC$12,"C-",IF(H655&lt;'PlayerGrades+'!$AC$11,"C",IF(H655&lt;'PlayerGrades+'!$AC$10,"C+",IF(H655&lt;'PlayerGrades+'!$AC$9,"B-",IF(H655&lt;'PlayerGrades+'!$AC$8,"B",IF(H655&lt;'PlayerGrades+'!$AC$7,"B+",IF(H655&lt;'PlayerGrades+'!$AC$6,"A-",IF(H655&lt;'PlayerGrades+'!$AC$5,"A",IF(H655&lt;'PlayerGrades+'!$AC$4,"A+",IF(H655&lt;'PlayerGrades+'!$AC$3,"S-",IF(H655&lt;'PlayerGrades+'!$AC$2,"S","S+"))))))))))))))))))))</f>
        <v>E</v>
      </c>
      <c r="J655" s="973">
        <f t="shared" si="4"/>
        <v>0.1343033016</v>
      </c>
      <c r="K655" s="973" t="str">
        <f>IF(J655&lt;'PlayerGrades+'!$AD$21,"F-",IF(J655&lt;'PlayerGrades+'!$AD$20,"F",IF(J655&lt;'PlayerGrades+'!$AD$19,"F+",IF(J655&lt;'PlayerGrades+'!$AD$18,"E-",IF(J655&lt;'PlayerGrades+'!$AD$17,"E",IF(J655&lt;'PlayerGrades+'!$AD$16,"E+",IF(J655&lt;'PlayerGrades+'!$AD$15,"D-",IF(J655&lt;'PlayerGrades+'!$AD$14,"D",IF(J655&lt;'PlayerGrades+'!$AD$13,"D+",IF(J655&lt;'PlayerGrades+'!$AD$12,"C-",IF(J655&lt;'PlayerGrades+'!$AD$11,"C",IF(J655&lt;'PlayerGrades+'!$AD$10,"C+",IF(J655&lt;'PlayerGrades+'!$AD$9,"B-",IF(J655&lt;'PlayerGrades+'!$AD$8,"B",IF(J655&lt;'PlayerGrades+'!$AD$7,"B+",IF(J655&lt;'PlayerGrades+'!$AD$6,"A-",IF(J655&lt;'PlayerGrades+'!$AD$5,"A",IF(J655&lt;'PlayerGrades+'!$AD$4,"A+",IF(J655&lt;'PlayerGrades+'!$AD$3,"S-",IF(J655&lt;'PlayerGrades+'!$AD$2,"S","S+"))))))))))))))))))))</f>
        <v>S+</v>
      </c>
      <c r="L655" s="974">
        <f t="shared" si="5"/>
        <v>0.7050923335</v>
      </c>
      <c r="M655" s="975" t="str">
        <f>IF(L655&lt;'PlayerGrades+'!$AE$21,"F-",IF(L655&lt;'PlayerGrades+'!$AE$20,"F",IF(L655&lt;'PlayerGrades+'!$AE$19,"F+",IF(L655&lt;'PlayerGrades+'!$AE$18,"E-",IF(L655&lt;'PlayerGrades+'!$AE$17,"E",IF(L655&lt;'PlayerGrades+'!$AE$16,"E+",IF(L655&lt;'PlayerGrades+'!$AE$15,"D-",IF(L655&lt;'PlayerGrades+'!$AE$14,"D",IF(L655&lt;'PlayerGrades+'!$AE$13,"D+",IF(L655&lt;'PlayerGrades+'!$AE$12,"C-",IF(L655&lt;'PlayerGrades+'!$AE$11,"C",IF(L655&lt;'PlayerGrades+'!$AE$10,"C+",IF(L655&lt;'PlayerGrades+'!$AE$9,"B-",IF(L655&lt;'PlayerGrades+'!$AE$8,"B",IF(L655&lt;'PlayerGrades+'!$AE$7,"B+",IF(L655&lt;'PlayerGrades+'!$AE$6,"A-",IF(L655&lt;'PlayerGrades+'!$AE$5,"A",IF(L655&lt;'PlayerGrades+'!$AE$4,"A+",IF(L655&lt;'PlayerGrades+'!$AE$3,"S-",IF(L655&lt;'PlayerGrades+'!$AE$2,"S","S+"))))))))))))))))))))</f>
        <v>S</v>
      </c>
      <c r="N655" s="973">
        <f t="shared" si="6"/>
        <v>0.03357582541</v>
      </c>
      <c r="O655" s="973" t="str">
        <f>IF(N655&lt;'PlayerGrades+'!$AF$21,"F-",IF(N655&lt;'PlayerGrades+'!$AF$20,"F",IF(N655&lt;'PlayerGrades+'!$AF$19,"F+",IF(N655&lt;'PlayerGrades+'!$AF$18,"E-",IF(N655&lt;'PlayerGrades+'!$AF$17,"E",IF(N655&lt;'PlayerGrades+'!$AF$16,"E+",IF(N655&lt;'PlayerGrades+'!$AF$15,"D-",IF(N655&lt;'PlayerGrades+'!$AF$14,"D",IF(N655&lt;'PlayerGrades+'!$AF$13,"D+",IF(N655&lt;'PlayerGrades+'!$AF$12,"C-",IF(N655&lt;'PlayerGrades+'!$AF$11,"C",IF(N655&lt;'PlayerGrades+'!$AF$10,"C+",IF(N655&lt;'PlayerGrades+'!$AF$9,"B-",IF(N655&lt;'PlayerGrades+'!$AF$8,"B",IF(N655&lt;'PlayerGrades+'!$AF$7,"B+",IF(N655&lt;'PlayerGrades+'!$AF$6,"A-",IF(N655&lt;'PlayerGrades+'!$AF$5,"A",IF(N655&lt;'PlayerGrades+'!$AF$4,"A+",IF(N655&lt;'PlayerGrades+'!$AF$3,"S-",IF(N655&lt;'PlayerGrades+'!$AF$2,"S","S+"))))))))))))))))))))</f>
        <v>F+</v>
      </c>
      <c r="P655" s="973">
        <f t="shared" si="7"/>
        <v>0.1343033016</v>
      </c>
      <c r="Q655" s="973" t="str">
        <f>IF(P655&lt;'PlayerGrades+'!$AG$21,"F-",IF(P655&lt;'PlayerGrades+'!$AG$20,"F",IF(P655&lt;'PlayerGrades+'!$AG$19,"F+",IF(P655&lt;'PlayerGrades+'!$AG$18,"E-",IF(P655&lt;'PlayerGrades+'!$AG$17,"E",IF(P655&lt;'PlayerGrades+'!$AG$16,"E+",IF(P655&lt;'PlayerGrades+'!$AG$15,"D-",IF(P655&lt;'PlayerGrades+'!$AG$14,"D",IF(P655&lt;'PlayerGrades+'!$AG$13,"D+",IF(P655&lt;'PlayerGrades+'!$AG$12,"C-",IF(P655&lt;'PlayerGrades+'!$AG$11,"C",IF(P655&lt;'PlayerGrades+'!$AG$10,"C+",IF(P655&lt;'PlayerGrades+'!$AG$9,"B-",IF(P655&lt;'PlayerGrades+'!$AG$8,"B",IF(P655&lt;'PlayerGrades+'!$AG$7,"B+",IF(P655&lt;'PlayerGrades+'!$AG$6,"A-",IF(P655&lt;'PlayerGrades+'!$AG$5,"A",IF(P655&lt;'PlayerGrades+'!$AG$4,"A+",IF(P655&lt;'PlayerGrades+'!$AG$3,"S-",IF(P655&lt;'PlayerGrades+'!$AG$2,"S","S+"))))))))))))))))))))</f>
        <v>S+</v>
      </c>
      <c r="R655" s="973">
        <f t="shared" si="8"/>
        <v>1.343033016</v>
      </c>
      <c r="S655" s="973" t="str">
        <f>IF(R655&lt;'PlayerGrades+'!$AH$21,"F-",IF(R655&lt;'PlayerGrades+'!$AH$20,"F",IF(R655&lt;'PlayerGrades+'!$AH$19,"F+",IF(R655&lt;'PlayerGrades+'!$AH$18,"E-",IF(R655&lt;'PlayerGrades+'!$AH$17,"E",IF(R655&lt;'PlayerGrades+'!$AH$16,"E+",IF(R655&lt;'PlayerGrades+'!$AH$15,"D-",IF(R655&lt;'PlayerGrades+'!$AH$14,"D",IF(R655&lt;'PlayerGrades+'!$AH$13,"D+",IF(R655&lt;'PlayerGrades+'!$AH$12,"C-",IF(R655&lt;'PlayerGrades+'!$AH$11,"C",IF(R655&lt;'PlayerGrades+'!$AH$10,"C+",IF(R655&lt;'PlayerGrades+'!$AH$9,"B-",IF(R655&lt;'PlayerGrades+'!$AH$8,"B",IF(R655&lt;'PlayerGrades+'!$AH$7,"B+",IF(R655&lt;'PlayerGrades+'!$AH$6,"A-",IF(R655&lt;'PlayerGrades+'!$AH$5,"A",IF(R655&lt;'PlayerGrades+'!$AH$4,"A+",IF(R655&lt;'PlayerGrades+'!$AH$3,"S-",IF(R655&lt;'PlayerGrades+'!$AH$2,"S","S+"))))))))))))))))))))</f>
        <v>S+</v>
      </c>
      <c r="T655" s="973">
        <f t="shared" si="9"/>
        <v>2.369334079</v>
      </c>
      <c r="U655" s="973" t="str">
        <f>IF(T655&lt;'PlayerGrades+'!$AI$21,"F-",IF(T655&lt;'PlayerGrades+'!$AI$20,"F",IF(T655&lt;'PlayerGrades+'!$AI$19,"F+",IF(T655&lt;'PlayerGrades+'!$AI$18,"E-",IF(T655&lt;'PlayerGrades+'!$AI$17,"E",IF(T655&lt;'PlayerGrades+'!$AI$16,"E+",IF(T655&lt;'PlayerGrades+'!$AI$15,"D-",IF(T655&lt;'PlayerGrades+'!$AI$14,"D",IF(T655&lt;'PlayerGrades+'!$AI$13,"D+",IF(T655&lt;'PlayerGrades+'!$AI$12,"C-",IF(T655&lt;'PlayerGrades+'!$AI$11,"C",IF(T655&lt;'PlayerGrades+'!$AI$10,"C+",IF(T655&lt;'PlayerGrades+'!$AI$9,"B-",IF(T655&lt;'PlayerGrades+'!$AI$8,"B",IF(T655&lt;'PlayerGrades+'!$AI$7,"B+",IF(T655&lt;'PlayerGrades+'!$AI$6,"A-",IF(T655&lt;'PlayerGrades+'!$AI$5,"A",IF(T655&lt;'PlayerGrades+'!$AI$4,"A+",IF(T655&lt;'PlayerGrades+'!$AI$3,"S-",IF(T655&lt;'PlayerGrades+'!$AI$2,"S","S+"))))))))))))))))))))</f>
        <v>S+</v>
      </c>
      <c r="V655" s="941">
        <v>1.0</v>
      </c>
      <c r="W655" s="941">
        <v>0.0</v>
      </c>
      <c r="X655" s="941">
        <v>1.0</v>
      </c>
      <c r="Y655" s="941">
        <v>1.0</v>
      </c>
      <c r="Z655" s="941">
        <v>0.0</v>
      </c>
      <c r="AA655" s="941">
        <v>114.0</v>
      </c>
      <c r="AB655" s="941">
        <v>82.0</v>
      </c>
      <c r="AC655" s="941">
        <v>32.0</v>
      </c>
      <c r="AD655" s="941">
        <v>14.0</v>
      </c>
      <c r="AE655" s="941">
        <v>7.0</v>
      </c>
      <c r="AF655" s="941">
        <v>1.0</v>
      </c>
      <c r="AG655" s="941">
        <v>1427.0</v>
      </c>
      <c r="AH655" s="941">
        <v>1787.0</v>
      </c>
      <c r="AI655" s="941">
        <v>17.0</v>
      </c>
      <c r="AJ655" s="941">
        <v>6.0</v>
      </c>
      <c r="AK655" s="941">
        <v>0.0</v>
      </c>
      <c r="AL655" s="941">
        <v>4.0</v>
      </c>
      <c r="AM655" s="941">
        <v>0.0</v>
      </c>
      <c r="AN655" s="941">
        <v>0.0</v>
      </c>
      <c r="AO655" s="941">
        <v>0.0</v>
      </c>
      <c r="AP655" s="941">
        <v>4.0</v>
      </c>
      <c r="AQ655" s="941">
        <v>0.0</v>
      </c>
      <c r="AR655" s="941">
        <v>21.0</v>
      </c>
      <c r="AS655" s="941">
        <v>1.0</v>
      </c>
      <c r="AT655" s="941">
        <v>0.0</v>
      </c>
      <c r="AU655" s="941">
        <v>0.0</v>
      </c>
      <c r="AV655" s="941">
        <v>0.0</v>
      </c>
      <c r="AW655" s="941">
        <v>0.0</v>
      </c>
      <c r="AX655" s="941">
        <v>0.0</v>
      </c>
      <c r="AY655" s="941">
        <v>0.0</v>
      </c>
      <c r="AZ655" s="941">
        <v>0.0</v>
      </c>
      <c r="BA655" s="941">
        <v>0.0</v>
      </c>
      <c r="BB655" s="941">
        <v>2.0</v>
      </c>
      <c r="BC655" s="941">
        <v>0.0</v>
      </c>
      <c r="BD655" s="941">
        <v>26.0</v>
      </c>
      <c r="BE655" s="941">
        <v>11.0</v>
      </c>
      <c r="BF655" s="941">
        <v>2.0</v>
      </c>
      <c r="BG655" s="941">
        <v>1.0</v>
      </c>
    </row>
    <row r="656">
      <c r="A656" s="1" t="s">
        <v>392</v>
      </c>
      <c r="B656" s="421" t="str">
        <f>IF(C656&lt;'PlayerGrades+'!$Y$44,"F-",IF(C656&lt;'PlayerGrades+'!$Y$43,"F",IF(C656&lt;'PlayerGrades+'!$Y$42,"F+",IF(C656&lt;'PlayerGrades+'!$Y$41,"E-",IF(C656&lt;'PlayerGrades+'!$Y$40,"E",IF(C656&lt;'PlayerGrades+'!$Y$39,"E+",IF(C656&lt;'PlayerGrades+'!$Y$38,"D-",IF(C656&lt;'PlayerGrades+'!$Y$37,"D",IF(C656&lt;'PlayerGrades+'!$Y$36,"D+",IF(C656&lt;'PlayerGrades+'!$Y$35,"C-",IF(C656&lt;'PlayerGrades+'!$Y$34,"C",IF(C656&lt;'PlayerGrades+'!$Y$33,"C+",IF(C656&lt;'PlayerGrades+'!$Y$32,"B-",IF(C656&lt;'PlayerGrades+'!$Y$31,"B",IF(C656&lt;'PlayerGrades+'!$Y$30,"B+",IF(C656&lt;'PlayerGrades+'!$Y$29,"A-",IF(C656&lt;'PlayerGrades+'!$Y$28,"A",IF(C656&lt;'PlayerGrades+'!$Y$27,"A+",IF(C656&lt;'PlayerGrades+'!$Y$26,"S-",IF(C656&lt;'PlayerGrades+'!$Y$25,"S","S+"))))))))))))))))))))</f>
        <v>C-</v>
      </c>
      <c r="C656" s="972">
        <f>('PlayerGrades+'!$Y$47*(VLOOKUP(E656, 'PlayerGrades+'!$X$3:$Y$23, 2, FALSE)))+('PlayerGrades+'!$Y$48*(VLOOKUP(G656, 'PlayerGrades+'!$X$3:$Y$23, 2, FALSE)))+('PlayerGrades+'!$Y$49*(VLOOKUP(I656, 'PlayerGrades+'!$X$3:$Y$23, 2, FALSE)))+('PlayerGrades+'!$Y$50*(VLOOKUP(K656, 'PlayerGrades+'!$X$3:$Y$23, 2, FALSE)))+('PlayerGrades+'!$Y$51*(VLOOKUP(M656, 'PlayerGrades+'!$X$3:$Y$23, 2, FALSE)))+('PlayerGrades+'!$Y$52*(VLOOKUP(O656, 'PlayerGrades+'!$X$3:$Y$23, 2, FALSE)))+('PlayerGrades+'!$Y$53*(VLOOKUP(Q656, 'PlayerGrades+'!$X$3:$Y$23, 2, FALSE)))+('PlayerGrades+'!$Y$54*(VLOOKUP(S656, 'PlayerGrades+'!$X$3:$Y$23, 2, FALSE)))+('PlayerGrades+'!$Y$55*(VLOOKUP(U656, 'PlayerGrades+'!$X$3:$Y$23, 2, FALSE)))</f>
        <v>18.2</v>
      </c>
      <c r="D656" s="973">
        <f t="shared" si="1"/>
        <v>0.03357582541</v>
      </c>
      <c r="E656" s="973" t="str">
        <f>IF(D656&lt;'PlayerGrades+'!$AA$21,"F-",IF(D656&lt;'PlayerGrades+'!$AA$20,"F",IF(D656&lt;'PlayerGrades+'!$AA$19,"F+",IF(D656&lt;'PlayerGrades+'!$AA$18,"E-",IF(D656&lt;'PlayerGrades+'!$AA$17,"E",IF(D656&lt;'PlayerGrades+'!$AA$16,"E+",IF(D656&lt;'PlayerGrades+'!$AA$15,"D-",IF(D656&lt;'PlayerGrades+'!$AA$14,"D",IF(D656&lt;'PlayerGrades+'!$AA$13,"D+",IF(D656&lt;'PlayerGrades+'!$AA$12,"C-",IF(D656&lt;'PlayerGrades+'!$AA$11,"C",IF(D656&lt;'PlayerGrades+'!$AA$10,"C+",IF(D656&lt;'PlayerGrades+'!$AA$9,"B-",IF(D656&lt;'PlayerGrades+'!$AA$8,"B",IF(D656&lt;'PlayerGrades+'!$AA$7,"B+",IF(D656&lt;'PlayerGrades+'!$AA$6,"A-",IF(D656&lt;'PlayerGrades+'!$AA$5,"A",IF(D656&lt;'PlayerGrades+'!$AA$4,"A+",IF(D656&lt;'PlayerGrades+'!$AA$3,"S-",IF(D656&lt;'PlayerGrades+'!$AA$2,"S","S+"))))))))))))))))))))</f>
        <v>C-</v>
      </c>
      <c r="F656" s="973">
        <f t="shared" si="2"/>
        <v>-0.3021824287</v>
      </c>
      <c r="G656" s="973" t="str">
        <f>IF(F656&lt;'PlayerGrades+'!$AB$21,"F-",IF(F656&lt;'PlayerGrades+'!$AB$20,"F",IF(F656&lt;'PlayerGrades+'!$AB$19,"F+",IF(F656&lt;'PlayerGrades+'!$AB$18,"E-",IF(F656&lt;'PlayerGrades+'!$AB$17,"E",IF(F656&lt;'PlayerGrades+'!$AB$16,"E+",IF(F656&lt;'PlayerGrades+'!$AB$15,"D-",IF(F656&lt;'PlayerGrades+'!$AB$14,"D",IF(F656&lt;'PlayerGrades+'!$AB$13,"D+",IF(F656&lt;'PlayerGrades+'!$AB$12,"C-",IF(F656&lt;'PlayerGrades+'!$AB$11,"C",IF(F656&lt;'PlayerGrades+'!$AB$10,"C+",IF(F656&lt;'PlayerGrades+'!$AB$9,"B-",IF(F656&lt;'PlayerGrades+'!$AB$8,"B",IF(F656&lt;'PlayerGrades+'!$AB$7,"B+",IF(F656&lt;'PlayerGrades+'!$AB$6,"A-",IF(F656&lt;'PlayerGrades+'!$AB$5,"A",IF(F656&lt;'PlayerGrades+'!$AB$4,"A+",IF(F656&lt;'PlayerGrades+'!$AB$3,"S-",IF(F656&lt;'PlayerGrades+'!$AB$2,"S","S+"))))))))))))))))))))</f>
        <v>C</v>
      </c>
      <c r="H656" s="973">
        <f t="shared" si="3"/>
        <v>0</v>
      </c>
      <c r="I656" s="973" t="str">
        <f>IF(H656&lt;'PlayerGrades+'!$AC$21,"F-",IF(H656&lt;'PlayerGrades+'!$AC$20,"F",IF(H656&lt;'PlayerGrades+'!$AC$19,"F+",IF(H656&lt;'PlayerGrades+'!$AC$18,"E-",IF(H656&lt;'PlayerGrades+'!$AC$17,"E",IF(H656&lt;'PlayerGrades+'!$AC$16,"E+",IF(H656&lt;'PlayerGrades+'!$AC$15,"D-",IF(H656&lt;'PlayerGrades+'!$AC$14,"D",IF(H656&lt;'PlayerGrades+'!$AC$13,"D+",IF(H656&lt;'PlayerGrades+'!$AC$12,"C-",IF(H656&lt;'PlayerGrades+'!$AC$11,"C",IF(H656&lt;'PlayerGrades+'!$AC$10,"C+",IF(H656&lt;'PlayerGrades+'!$AC$9,"B-",IF(H656&lt;'PlayerGrades+'!$AC$8,"B",IF(H656&lt;'PlayerGrades+'!$AC$7,"B+",IF(H656&lt;'PlayerGrades+'!$AC$6,"A-",IF(H656&lt;'PlayerGrades+'!$AC$5,"A",IF(H656&lt;'PlayerGrades+'!$AC$4,"A+",IF(H656&lt;'PlayerGrades+'!$AC$3,"S-",IF(H656&lt;'PlayerGrades+'!$AC$2,"S","S+"))))))))))))))))))))</f>
        <v>F-</v>
      </c>
      <c r="J656" s="973">
        <f t="shared" si="4"/>
        <v>0.03357582541</v>
      </c>
      <c r="K656" s="973" t="str">
        <f>IF(J656&lt;'PlayerGrades+'!$AD$21,"F-",IF(J656&lt;'PlayerGrades+'!$AD$20,"F",IF(J656&lt;'PlayerGrades+'!$AD$19,"F+",IF(J656&lt;'PlayerGrades+'!$AD$18,"E-",IF(J656&lt;'PlayerGrades+'!$AD$17,"E",IF(J656&lt;'PlayerGrades+'!$AD$16,"E+",IF(J656&lt;'PlayerGrades+'!$AD$15,"D-",IF(J656&lt;'PlayerGrades+'!$AD$14,"D",IF(J656&lt;'PlayerGrades+'!$AD$13,"D+",IF(J656&lt;'PlayerGrades+'!$AD$12,"C-",IF(J656&lt;'PlayerGrades+'!$AD$11,"C",IF(J656&lt;'PlayerGrades+'!$AD$10,"C+",IF(J656&lt;'PlayerGrades+'!$AD$9,"B-",IF(J656&lt;'PlayerGrades+'!$AD$8,"B",IF(J656&lt;'PlayerGrades+'!$AD$7,"B+",IF(J656&lt;'PlayerGrades+'!$AD$6,"A-",IF(J656&lt;'PlayerGrades+'!$AD$5,"A",IF(J656&lt;'PlayerGrades+'!$AD$4,"A+",IF(J656&lt;'PlayerGrades+'!$AD$3,"S-",IF(J656&lt;'PlayerGrades+'!$AD$2,"S","S+"))))))))))))))))))))</f>
        <v>C</v>
      </c>
      <c r="L656" s="974">
        <f t="shared" si="5"/>
        <v>0.4700615557</v>
      </c>
      <c r="M656" s="975" t="str">
        <f>IF(L656&lt;'PlayerGrades+'!$AE$21,"F-",IF(L656&lt;'PlayerGrades+'!$AE$20,"F",IF(L656&lt;'PlayerGrades+'!$AE$19,"F+",IF(L656&lt;'PlayerGrades+'!$AE$18,"E-",IF(L656&lt;'PlayerGrades+'!$AE$17,"E",IF(L656&lt;'PlayerGrades+'!$AE$16,"E+",IF(L656&lt;'PlayerGrades+'!$AE$15,"D-",IF(L656&lt;'PlayerGrades+'!$AE$14,"D",IF(L656&lt;'PlayerGrades+'!$AE$13,"D+",IF(L656&lt;'PlayerGrades+'!$AE$12,"C-",IF(L656&lt;'PlayerGrades+'!$AE$11,"C",IF(L656&lt;'PlayerGrades+'!$AE$10,"C+",IF(L656&lt;'PlayerGrades+'!$AE$9,"B-",IF(L656&lt;'PlayerGrades+'!$AE$8,"B",IF(L656&lt;'PlayerGrades+'!$AE$7,"B+",IF(L656&lt;'PlayerGrades+'!$AE$6,"A-",IF(L656&lt;'PlayerGrades+'!$AE$5,"A",IF(L656&lt;'PlayerGrades+'!$AE$4,"A+",IF(L656&lt;'PlayerGrades+'!$AE$3,"S-",IF(L656&lt;'PlayerGrades+'!$AE$2,"S","S+"))))))))))))))))))))</f>
        <v>B+</v>
      </c>
      <c r="N656" s="973">
        <f t="shared" si="6"/>
        <v>0.1007274762</v>
      </c>
      <c r="O656" s="973" t="str">
        <f>IF(N656&lt;'PlayerGrades+'!$AF$21,"F-",IF(N656&lt;'PlayerGrades+'!$AF$20,"F",IF(N656&lt;'PlayerGrades+'!$AF$19,"F+",IF(N656&lt;'PlayerGrades+'!$AF$18,"E-",IF(N656&lt;'PlayerGrades+'!$AF$17,"E",IF(N656&lt;'PlayerGrades+'!$AF$16,"E+",IF(N656&lt;'PlayerGrades+'!$AF$15,"D-",IF(N656&lt;'PlayerGrades+'!$AF$14,"D",IF(N656&lt;'PlayerGrades+'!$AF$13,"D+",IF(N656&lt;'PlayerGrades+'!$AF$12,"C-",IF(N656&lt;'PlayerGrades+'!$AF$11,"C",IF(N656&lt;'PlayerGrades+'!$AF$10,"C+",IF(N656&lt;'PlayerGrades+'!$AF$9,"B-",IF(N656&lt;'PlayerGrades+'!$AF$8,"B",IF(N656&lt;'PlayerGrades+'!$AF$7,"B+",IF(N656&lt;'PlayerGrades+'!$AF$6,"A-",IF(N656&lt;'PlayerGrades+'!$AF$5,"A",IF(N656&lt;'PlayerGrades+'!$AF$4,"A+",IF(N656&lt;'PlayerGrades+'!$AF$3,"S-",IF(N656&lt;'PlayerGrades+'!$AF$2,"S","S+"))))))))))))))))))))</f>
        <v>A</v>
      </c>
      <c r="P656" s="973">
        <f t="shared" si="7"/>
        <v>0.03357582541</v>
      </c>
      <c r="Q656" s="973" t="str">
        <f>IF(P656&lt;'PlayerGrades+'!$AG$21,"F-",IF(P656&lt;'PlayerGrades+'!$AG$20,"F",IF(P656&lt;'PlayerGrades+'!$AG$19,"F+",IF(P656&lt;'PlayerGrades+'!$AG$18,"E-",IF(P656&lt;'PlayerGrades+'!$AG$17,"E",IF(P656&lt;'PlayerGrades+'!$AG$16,"E+",IF(P656&lt;'PlayerGrades+'!$AG$15,"D-",IF(P656&lt;'PlayerGrades+'!$AG$14,"D",IF(P656&lt;'PlayerGrades+'!$AG$13,"D+",IF(P656&lt;'PlayerGrades+'!$AG$12,"C-",IF(P656&lt;'PlayerGrades+'!$AG$11,"C",IF(P656&lt;'PlayerGrades+'!$AG$10,"C+",IF(P656&lt;'PlayerGrades+'!$AG$9,"B-",IF(P656&lt;'PlayerGrades+'!$AG$8,"B",IF(P656&lt;'PlayerGrades+'!$AG$7,"B+",IF(P656&lt;'PlayerGrades+'!$AG$6,"A-",IF(P656&lt;'PlayerGrades+'!$AG$5,"A",IF(P656&lt;'PlayerGrades+'!$AG$4,"A+",IF(P656&lt;'PlayerGrades+'!$AG$3,"S-",IF(P656&lt;'PlayerGrades+'!$AG$2,"S","S+"))))))))))))))))))))</f>
        <v>B+</v>
      </c>
      <c r="R656" s="973">
        <f t="shared" si="8"/>
        <v>0.4029099049</v>
      </c>
      <c r="S656" s="973" t="str">
        <f>IF(R656&lt;'PlayerGrades+'!$AH$21,"F-",IF(R656&lt;'PlayerGrades+'!$AH$20,"F",IF(R656&lt;'PlayerGrades+'!$AH$19,"F+",IF(R656&lt;'PlayerGrades+'!$AH$18,"E-",IF(R656&lt;'PlayerGrades+'!$AH$17,"E",IF(R656&lt;'PlayerGrades+'!$AH$16,"E+",IF(R656&lt;'PlayerGrades+'!$AH$15,"D-",IF(R656&lt;'PlayerGrades+'!$AH$14,"D",IF(R656&lt;'PlayerGrades+'!$AH$13,"D+",IF(R656&lt;'PlayerGrades+'!$AH$12,"C-",IF(R656&lt;'PlayerGrades+'!$AH$11,"C",IF(R656&lt;'PlayerGrades+'!$AH$10,"C+",IF(R656&lt;'PlayerGrades+'!$AH$9,"B-",IF(R656&lt;'PlayerGrades+'!$AH$8,"B",IF(R656&lt;'PlayerGrades+'!$AH$7,"B+",IF(R656&lt;'PlayerGrades+'!$AH$6,"A-",IF(R656&lt;'PlayerGrades+'!$AH$5,"A",IF(R656&lt;'PlayerGrades+'!$AH$4,"A+",IF(R656&lt;'PlayerGrades+'!$AH$3,"S-",IF(R656&lt;'PlayerGrades+'!$AH$2,"S","S+"))))))))))))))))))))</f>
        <v>F+</v>
      </c>
      <c r="T656" s="973">
        <f t="shared" si="9"/>
        <v>0.4029099049</v>
      </c>
      <c r="U656" s="973" t="str">
        <f>IF(T656&lt;'PlayerGrades+'!$AI$21,"F-",IF(T656&lt;'PlayerGrades+'!$AI$20,"F",IF(T656&lt;'PlayerGrades+'!$AI$19,"F+",IF(T656&lt;'PlayerGrades+'!$AI$18,"E-",IF(T656&lt;'PlayerGrades+'!$AI$17,"E",IF(T656&lt;'PlayerGrades+'!$AI$16,"E+",IF(T656&lt;'PlayerGrades+'!$AI$15,"D-",IF(T656&lt;'PlayerGrades+'!$AI$14,"D",IF(T656&lt;'PlayerGrades+'!$AI$13,"D+",IF(T656&lt;'PlayerGrades+'!$AI$12,"C-",IF(T656&lt;'PlayerGrades+'!$AI$11,"C",IF(T656&lt;'PlayerGrades+'!$AI$10,"C+",IF(T656&lt;'PlayerGrades+'!$AI$9,"B-",IF(T656&lt;'PlayerGrades+'!$AI$8,"B",IF(T656&lt;'PlayerGrades+'!$AI$7,"B+",IF(T656&lt;'PlayerGrades+'!$AI$6,"A-",IF(T656&lt;'PlayerGrades+'!$AI$5,"A",IF(T656&lt;'PlayerGrades+'!$AI$4,"A+",IF(T656&lt;'PlayerGrades+'!$AI$3,"S-",IF(T656&lt;'PlayerGrades+'!$AI$2,"S","S+"))))))))))))))))))))</f>
        <v>F-</v>
      </c>
      <c r="V656" s="941">
        <v>1.0</v>
      </c>
      <c r="W656" s="941">
        <v>0.0</v>
      </c>
      <c r="X656" s="941">
        <v>1.0</v>
      </c>
      <c r="Y656" s="941">
        <v>0.0</v>
      </c>
      <c r="Z656" s="941">
        <v>1.0</v>
      </c>
      <c r="AA656" s="941">
        <v>100.0</v>
      </c>
      <c r="AB656" s="941">
        <v>109.0</v>
      </c>
      <c r="AC656" s="941">
        <v>-9.0</v>
      </c>
      <c r="AD656" s="941">
        <v>4.0</v>
      </c>
      <c r="AE656" s="941">
        <v>5.0</v>
      </c>
      <c r="AF656" s="941">
        <v>2.0</v>
      </c>
      <c r="AG656" s="941">
        <v>1352.0</v>
      </c>
      <c r="AH656" s="941">
        <v>1787.0</v>
      </c>
      <c r="AI656" s="941">
        <v>12.0</v>
      </c>
      <c r="AJ656" s="941">
        <v>5.0</v>
      </c>
      <c r="AK656" s="941">
        <v>0.0</v>
      </c>
      <c r="AL656" s="941">
        <v>1.0</v>
      </c>
      <c r="AM656" s="941">
        <v>0.0</v>
      </c>
      <c r="AN656" s="941">
        <v>0.0</v>
      </c>
      <c r="AO656" s="941">
        <v>0.0</v>
      </c>
      <c r="AP656" s="941">
        <v>1.0</v>
      </c>
      <c r="AQ656" s="941">
        <v>0.0</v>
      </c>
      <c r="AR656" s="941">
        <v>14.0</v>
      </c>
      <c r="AS656" s="941">
        <v>3.0</v>
      </c>
      <c r="AT656" s="941">
        <v>1.0</v>
      </c>
      <c r="AU656" s="941">
        <v>0.0</v>
      </c>
      <c r="AV656" s="941">
        <v>0.0</v>
      </c>
      <c r="AW656" s="941">
        <v>0.0</v>
      </c>
      <c r="AX656" s="941">
        <v>0.0</v>
      </c>
      <c r="AY656" s="941">
        <v>0.0</v>
      </c>
      <c r="AZ656" s="941">
        <v>0.0</v>
      </c>
      <c r="BA656" s="941">
        <v>0.0</v>
      </c>
      <c r="BB656" s="941">
        <v>0.0</v>
      </c>
      <c r="BC656" s="941">
        <v>0.0</v>
      </c>
      <c r="BD656" s="941">
        <v>8.0</v>
      </c>
      <c r="BE656" s="941">
        <v>12.0</v>
      </c>
      <c r="BF656" s="941">
        <v>0.0</v>
      </c>
      <c r="BG656" s="941">
        <v>1.0</v>
      </c>
    </row>
    <row r="657">
      <c r="A657" s="882" t="s">
        <v>138</v>
      </c>
      <c r="B657" s="421" t="str">
        <f>IF(C657&lt;'PlayerGrades+'!$Y$44,"F-",IF(C657&lt;'PlayerGrades+'!$Y$43,"F",IF(C657&lt;'PlayerGrades+'!$Y$42,"F+",IF(C657&lt;'PlayerGrades+'!$Y$41,"E-",IF(C657&lt;'PlayerGrades+'!$Y$40,"E",IF(C657&lt;'PlayerGrades+'!$Y$39,"E+",IF(C657&lt;'PlayerGrades+'!$Y$38,"D-",IF(C657&lt;'PlayerGrades+'!$Y$37,"D",IF(C657&lt;'PlayerGrades+'!$Y$36,"D+",IF(C657&lt;'PlayerGrades+'!$Y$35,"C-",IF(C657&lt;'PlayerGrades+'!$Y$34,"C",IF(C657&lt;'PlayerGrades+'!$Y$33,"C+",IF(C657&lt;'PlayerGrades+'!$Y$32,"B-",IF(C657&lt;'PlayerGrades+'!$Y$31,"B",IF(C657&lt;'PlayerGrades+'!$Y$30,"B+",IF(C657&lt;'PlayerGrades+'!$Y$29,"A-",IF(C657&lt;'PlayerGrades+'!$Y$28,"A",IF(C657&lt;'PlayerGrades+'!$Y$27,"A+",IF(C657&lt;'PlayerGrades+'!$Y$26,"S-",IF(C657&lt;'PlayerGrades+'!$Y$25,"S","S+"))))))))))))))))))))</f>
        <v>A-</v>
      </c>
      <c r="C657" s="972">
        <f>('PlayerGrades+'!$Y$47*(VLOOKUP(E657, 'PlayerGrades+'!$X$3:$Y$23, 2, FALSE)))+('PlayerGrades+'!$Y$48*(VLOOKUP(G657, 'PlayerGrades+'!$X$3:$Y$23, 2, FALSE)))+('PlayerGrades+'!$Y$49*(VLOOKUP(I657, 'PlayerGrades+'!$X$3:$Y$23, 2, FALSE)))+('PlayerGrades+'!$Y$50*(VLOOKUP(K657, 'PlayerGrades+'!$X$3:$Y$23, 2, FALSE)))+('PlayerGrades+'!$Y$51*(VLOOKUP(M657, 'PlayerGrades+'!$X$3:$Y$23, 2, FALSE)))+('PlayerGrades+'!$Y$52*(VLOOKUP(O657, 'PlayerGrades+'!$X$3:$Y$23, 2, FALSE)))+('PlayerGrades+'!$Y$53*(VLOOKUP(Q657, 'PlayerGrades+'!$X$3:$Y$23, 2, FALSE)))+('PlayerGrades+'!$Y$54*(VLOOKUP(S657, 'PlayerGrades+'!$X$3:$Y$23, 2, FALSE)))+('PlayerGrades+'!$Y$55*(VLOOKUP(U657, 'PlayerGrades+'!$X$3:$Y$23, 2, FALSE)))</f>
        <v>25</v>
      </c>
      <c r="D657" s="973">
        <f t="shared" si="1"/>
        <v>0</v>
      </c>
      <c r="E657" s="973" t="str">
        <f>IF(D657&lt;'PlayerGrades+'!$AA$21,"F-",IF(D657&lt;'PlayerGrades+'!$AA$20,"F",IF(D657&lt;'PlayerGrades+'!$AA$19,"F+",IF(D657&lt;'PlayerGrades+'!$AA$18,"E-",IF(D657&lt;'PlayerGrades+'!$AA$17,"E",IF(D657&lt;'PlayerGrades+'!$AA$16,"E+",IF(D657&lt;'PlayerGrades+'!$AA$15,"D-",IF(D657&lt;'PlayerGrades+'!$AA$14,"D",IF(D657&lt;'PlayerGrades+'!$AA$13,"D+",IF(D657&lt;'PlayerGrades+'!$AA$12,"C-",IF(D657&lt;'PlayerGrades+'!$AA$11,"C",IF(D657&lt;'PlayerGrades+'!$AA$10,"C+",IF(D657&lt;'PlayerGrades+'!$AA$9,"B-",IF(D657&lt;'PlayerGrades+'!$AA$8,"B",IF(D657&lt;'PlayerGrades+'!$AA$7,"B+",IF(D657&lt;'PlayerGrades+'!$AA$6,"A-",IF(D657&lt;'PlayerGrades+'!$AA$5,"A",IF(D657&lt;'PlayerGrades+'!$AA$4,"A+",IF(D657&lt;'PlayerGrades+'!$AA$3,"S-",IF(D657&lt;'PlayerGrades+'!$AA$2,"S","S+"))))))))))))))))))))</f>
        <v>F-</v>
      </c>
      <c r="F657" s="973">
        <f t="shared" si="2"/>
        <v>0.2350307778</v>
      </c>
      <c r="G657" s="973" t="str">
        <f>IF(F657&lt;'PlayerGrades+'!$AB$21,"F-",IF(F657&lt;'PlayerGrades+'!$AB$20,"F",IF(F657&lt;'PlayerGrades+'!$AB$19,"F+",IF(F657&lt;'PlayerGrades+'!$AB$18,"E-",IF(F657&lt;'PlayerGrades+'!$AB$17,"E",IF(F657&lt;'PlayerGrades+'!$AB$16,"E+",IF(F657&lt;'PlayerGrades+'!$AB$15,"D-",IF(F657&lt;'PlayerGrades+'!$AB$14,"D",IF(F657&lt;'PlayerGrades+'!$AB$13,"D+",IF(F657&lt;'PlayerGrades+'!$AB$12,"C-",IF(F657&lt;'PlayerGrades+'!$AB$11,"C",IF(F657&lt;'PlayerGrades+'!$AB$10,"C+",IF(F657&lt;'PlayerGrades+'!$AB$9,"B-",IF(F657&lt;'PlayerGrades+'!$AB$8,"B",IF(F657&lt;'PlayerGrades+'!$AB$7,"B+",IF(F657&lt;'PlayerGrades+'!$AB$6,"A-",IF(F657&lt;'PlayerGrades+'!$AB$5,"A",IF(F657&lt;'PlayerGrades+'!$AB$4,"A+",IF(F657&lt;'PlayerGrades+'!$AB$3,"S-",IF(F657&lt;'PlayerGrades+'!$AB$2,"S","S+"))))))))))))))))))))</f>
        <v>B+</v>
      </c>
      <c r="H657" s="973">
        <f t="shared" si="3"/>
        <v>0</v>
      </c>
      <c r="I657" s="973" t="str">
        <f>IF(H657&lt;'PlayerGrades+'!$AC$21,"F-",IF(H657&lt;'PlayerGrades+'!$AC$20,"F",IF(H657&lt;'PlayerGrades+'!$AC$19,"F+",IF(H657&lt;'PlayerGrades+'!$AC$18,"E-",IF(H657&lt;'PlayerGrades+'!$AC$17,"E",IF(H657&lt;'PlayerGrades+'!$AC$16,"E+",IF(H657&lt;'PlayerGrades+'!$AC$15,"D-",IF(H657&lt;'PlayerGrades+'!$AC$14,"D",IF(H657&lt;'PlayerGrades+'!$AC$13,"D+",IF(H657&lt;'PlayerGrades+'!$AC$12,"C-",IF(H657&lt;'PlayerGrades+'!$AC$11,"C",IF(H657&lt;'PlayerGrades+'!$AC$10,"C+",IF(H657&lt;'PlayerGrades+'!$AC$9,"B-",IF(H657&lt;'PlayerGrades+'!$AC$8,"B",IF(H657&lt;'PlayerGrades+'!$AC$7,"B+",IF(H657&lt;'PlayerGrades+'!$AC$6,"A-",IF(H657&lt;'PlayerGrades+'!$AC$5,"A",IF(H657&lt;'PlayerGrades+'!$AC$4,"A+",IF(H657&lt;'PlayerGrades+'!$AC$3,"S-",IF(H657&lt;'PlayerGrades+'!$AC$2,"S","S+"))))))))))))))))))))</f>
        <v>F-</v>
      </c>
      <c r="J657" s="973">
        <f t="shared" si="4"/>
        <v>0.1343033016</v>
      </c>
      <c r="K657" s="973" t="str">
        <f>IF(J657&lt;'PlayerGrades+'!$AD$21,"F-",IF(J657&lt;'PlayerGrades+'!$AD$20,"F",IF(J657&lt;'PlayerGrades+'!$AD$19,"F+",IF(J657&lt;'PlayerGrades+'!$AD$18,"E-",IF(J657&lt;'PlayerGrades+'!$AD$17,"E",IF(J657&lt;'PlayerGrades+'!$AD$16,"E+",IF(J657&lt;'PlayerGrades+'!$AD$15,"D-",IF(J657&lt;'PlayerGrades+'!$AD$14,"D",IF(J657&lt;'PlayerGrades+'!$AD$13,"D+",IF(J657&lt;'PlayerGrades+'!$AD$12,"C-",IF(J657&lt;'PlayerGrades+'!$AD$11,"C",IF(J657&lt;'PlayerGrades+'!$AD$10,"C+",IF(J657&lt;'PlayerGrades+'!$AD$9,"B-",IF(J657&lt;'PlayerGrades+'!$AD$8,"B",IF(J657&lt;'PlayerGrades+'!$AD$7,"B+",IF(J657&lt;'PlayerGrades+'!$AD$6,"A-",IF(J657&lt;'PlayerGrades+'!$AD$5,"A",IF(J657&lt;'PlayerGrades+'!$AD$4,"A+",IF(J657&lt;'PlayerGrades+'!$AD$3,"S-",IF(J657&lt;'PlayerGrades+'!$AD$2,"S","S+"))))))))))))))))))))</f>
        <v>S+</v>
      </c>
      <c r="L657" s="974">
        <f t="shared" si="5"/>
        <v>0.5707890319</v>
      </c>
      <c r="M657" s="975" t="str">
        <f>IF(L657&lt;'PlayerGrades+'!$AE$21,"F-",IF(L657&lt;'PlayerGrades+'!$AE$20,"F",IF(L657&lt;'PlayerGrades+'!$AE$19,"F+",IF(L657&lt;'PlayerGrades+'!$AE$18,"E-",IF(L657&lt;'PlayerGrades+'!$AE$17,"E",IF(L657&lt;'PlayerGrades+'!$AE$16,"E+",IF(L657&lt;'PlayerGrades+'!$AE$15,"D-",IF(L657&lt;'PlayerGrades+'!$AE$14,"D",IF(L657&lt;'PlayerGrades+'!$AE$13,"D+",IF(L657&lt;'PlayerGrades+'!$AE$12,"C-",IF(L657&lt;'PlayerGrades+'!$AE$11,"C",IF(L657&lt;'PlayerGrades+'!$AE$10,"C+",IF(L657&lt;'PlayerGrades+'!$AE$9,"B-",IF(L657&lt;'PlayerGrades+'!$AE$8,"B",IF(L657&lt;'PlayerGrades+'!$AE$7,"B+",IF(L657&lt;'PlayerGrades+'!$AE$6,"A-",IF(L657&lt;'PlayerGrades+'!$AE$5,"A",IF(L657&lt;'PlayerGrades+'!$AE$4,"A+",IF(L657&lt;'PlayerGrades+'!$AE$3,"S-",IF(L657&lt;'PlayerGrades+'!$AE$2,"S","S+"))))))))))))))))))))</f>
        <v>A</v>
      </c>
      <c r="N657" s="973">
        <f t="shared" si="6"/>
        <v>0.1007274762</v>
      </c>
      <c r="O657" s="973" t="str">
        <f>IF(N657&lt;'PlayerGrades+'!$AF$21,"F-",IF(N657&lt;'PlayerGrades+'!$AF$20,"F",IF(N657&lt;'PlayerGrades+'!$AF$19,"F+",IF(N657&lt;'PlayerGrades+'!$AF$18,"E-",IF(N657&lt;'PlayerGrades+'!$AF$17,"E",IF(N657&lt;'PlayerGrades+'!$AF$16,"E+",IF(N657&lt;'PlayerGrades+'!$AF$15,"D-",IF(N657&lt;'PlayerGrades+'!$AF$14,"D",IF(N657&lt;'PlayerGrades+'!$AF$13,"D+",IF(N657&lt;'PlayerGrades+'!$AF$12,"C-",IF(N657&lt;'PlayerGrades+'!$AF$11,"C",IF(N657&lt;'PlayerGrades+'!$AF$10,"C+",IF(N657&lt;'PlayerGrades+'!$AF$9,"B-",IF(N657&lt;'PlayerGrades+'!$AF$8,"B",IF(N657&lt;'PlayerGrades+'!$AF$7,"B+",IF(N657&lt;'PlayerGrades+'!$AF$6,"A-",IF(N657&lt;'PlayerGrades+'!$AF$5,"A",IF(N657&lt;'PlayerGrades+'!$AF$4,"A+",IF(N657&lt;'PlayerGrades+'!$AF$3,"S-",IF(N657&lt;'PlayerGrades+'!$AF$2,"S","S+"))))))))))))))))))))</f>
        <v>A</v>
      </c>
      <c r="P657" s="973">
        <f t="shared" si="7"/>
        <v>0.1343033016</v>
      </c>
      <c r="Q657" s="973" t="str">
        <f>IF(P657&lt;'PlayerGrades+'!$AG$21,"F-",IF(P657&lt;'PlayerGrades+'!$AG$20,"F",IF(P657&lt;'PlayerGrades+'!$AG$19,"F+",IF(P657&lt;'PlayerGrades+'!$AG$18,"E-",IF(P657&lt;'PlayerGrades+'!$AG$17,"E",IF(P657&lt;'PlayerGrades+'!$AG$16,"E+",IF(P657&lt;'PlayerGrades+'!$AG$15,"D-",IF(P657&lt;'PlayerGrades+'!$AG$14,"D",IF(P657&lt;'PlayerGrades+'!$AG$13,"D+",IF(P657&lt;'PlayerGrades+'!$AG$12,"C-",IF(P657&lt;'PlayerGrades+'!$AG$11,"C",IF(P657&lt;'PlayerGrades+'!$AG$10,"C+",IF(P657&lt;'PlayerGrades+'!$AG$9,"B-",IF(P657&lt;'PlayerGrades+'!$AG$8,"B",IF(P657&lt;'PlayerGrades+'!$AG$7,"B+",IF(P657&lt;'PlayerGrades+'!$AG$6,"A-",IF(P657&lt;'PlayerGrades+'!$AG$5,"A",IF(P657&lt;'PlayerGrades+'!$AG$4,"A+",IF(P657&lt;'PlayerGrades+'!$AG$3,"S-",IF(P657&lt;'PlayerGrades+'!$AG$2,"S","S+"))))))))))))))))))))</f>
        <v>S+</v>
      </c>
      <c r="R657" s="973">
        <f t="shared" si="8"/>
        <v>0.8393956351</v>
      </c>
      <c r="S657" s="973" t="str">
        <f>IF(R657&lt;'PlayerGrades+'!$AH$21,"F-",IF(R657&lt;'PlayerGrades+'!$AH$20,"F",IF(R657&lt;'PlayerGrades+'!$AH$19,"F+",IF(R657&lt;'PlayerGrades+'!$AH$18,"E-",IF(R657&lt;'PlayerGrades+'!$AH$17,"E",IF(R657&lt;'PlayerGrades+'!$AH$16,"E+",IF(R657&lt;'PlayerGrades+'!$AH$15,"D-",IF(R657&lt;'PlayerGrades+'!$AH$14,"D",IF(R657&lt;'PlayerGrades+'!$AH$13,"D+",IF(R657&lt;'PlayerGrades+'!$AH$12,"C-",IF(R657&lt;'PlayerGrades+'!$AH$11,"C",IF(R657&lt;'PlayerGrades+'!$AH$10,"C+",IF(R657&lt;'PlayerGrades+'!$AH$9,"B-",IF(R657&lt;'PlayerGrades+'!$AH$8,"B",IF(R657&lt;'PlayerGrades+'!$AH$7,"B+",IF(R657&lt;'PlayerGrades+'!$AH$6,"A-",IF(R657&lt;'PlayerGrades+'!$AH$5,"A",IF(R657&lt;'PlayerGrades+'!$AH$4,"A+",IF(R657&lt;'PlayerGrades+'!$AH$3,"S-",IF(R657&lt;'PlayerGrades+'!$AH$2,"S","S+"))))))))))))))))))))</f>
        <v>S+</v>
      </c>
      <c r="T657" s="973">
        <f t="shared" si="9"/>
        <v>1.302182429</v>
      </c>
      <c r="U657" s="973" t="str">
        <f>IF(T657&lt;'PlayerGrades+'!$AI$21,"F-",IF(T657&lt;'PlayerGrades+'!$AI$20,"F",IF(T657&lt;'PlayerGrades+'!$AI$19,"F+",IF(T657&lt;'PlayerGrades+'!$AI$18,"E-",IF(T657&lt;'PlayerGrades+'!$AI$17,"E",IF(T657&lt;'PlayerGrades+'!$AI$16,"E+",IF(T657&lt;'PlayerGrades+'!$AI$15,"D-",IF(T657&lt;'PlayerGrades+'!$AI$14,"D",IF(T657&lt;'PlayerGrades+'!$AI$13,"D+",IF(T657&lt;'PlayerGrades+'!$AI$12,"C-",IF(T657&lt;'PlayerGrades+'!$AI$11,"C",IF(T657&lt;'PlayerGrades+'!$AI$10,"C+",IF(T657&lt;'PlayerGrades+'!$AI$9,"B-",IF(T657&lt;'PlayerGrades+'!$AI$8,"B",IF(T657&lt;'PlayerGrades+'!$AI$7,"B+",IF(T657&lt;'PlayerGrades+'!$AI$6,"A-",IF(T657&lt;'PlayerGrades+'!$AI$5,"A",IF(T657&lt;'PlayerGrades+'!$AI$4,"A+",IF(T657&lt;'PlayerGrades+'!$AI$3,"S-",IF(T657&lt;'PlayerGrades+'!$AI$2,"S","S+"))))))))))))))))))))</f>
        <v>C+</v>
      </c>
      <c r="V657" s="944">
        <v>1.0</v>
      </c>
      <c r="W657" s="944">
        <v>0.0</v>
      </c>
      <c r="X657" s="944">
        <v>1.0</v>
      </c>
      <c r="Y657" s="944">
        <v>0.0</v>
      </c>
      <c r="Z657" s="944">
        <v>0.0</v>
      </c>
      <c r="AA657" s="944">
        <v>107.0</v>
      </c>
      <c r="AB657" s="944">
        <v>100.0</v>
      </c>
      <c r="AC657" s="944">
        <v>7.0</v>
      </c>
      <c r="AD657" s="944">
        <v>12.0</v>
      </c>
      <c r="AE657" s="944">
        <v>6.0</v>
      </c>
      <c r="AF657" s="944">
        <v>2.0</v>
      </c>
      <c r="AG657" s="944">
        <v>1385.0</v>
      </c>
      <c r="AH657" s="944">
        <v>1787.0</v>
      </c>
      <c r="AI657" s="944">
        <v>13.0</v>
      </c>
      <c r="AJ657" s="944">
        <v>61.0</v>
      </c>
      <c r="AK657" s="944">
        <v>0.0</v>
      </c>
      <c r="AL657" s="944">
        <v>4.0</v>
      </c>
      <c r="AM657" s="944">
        <v>0.0</v>
      </c>
      <c r="AN657" s="944">
        <v>0.0</v>
      </c>
      <c r="AO657" s="944">
        <v>0.0</v>
      </c>
      <c r="AP657" s="944">
        <v>4.0</v>
      </c>
      <c r="AQ657" s="944">
        <v>0.0</v>
      </c>
      <c r="AR657" s="944">
        <v>17.0</v>
      </c>
      <c r="AS657" s="944">
        <v>3.0</v>
      </c>
      <c r="AT657" s="944">
        <v>1.0</v>
      </c>
      <c r="AU657" s="944">
        <v>1.0</v>
      </c>
      <c r="AV657" s="944">
        <v>0.0</v>
      </c>
      <c r="AW657" s="944">
        <v>0.0</v>
      </c>
      <c r="AX657" s="944">
        <v>0.0</v>
      </c>
      <c r="AY657" s="944">
        <v>0.0</v>
      </c>
      <c r="AZ657" s="944">
        <v>0.0</v>
      </c>
      <c r="BA657" s="944">
        <v>0.0</v>
      </c>
      <c r="BB657" s="944">
        <v>0.0</v>
      </c>
      <c r="BC657" s="944">
        <v>0.0</v>
      </c>
      <c r="BD657" s="944">
        <v>13.0</v>
      </c>
      <c r="BE657" s="944">
        <v>9.0</v>
      </c>
      <c r="BF657" s="944">
        <v>1.0</v>
      </c>
      <c r="BG657" s="944">
        <v>1.0</v>
      </c>
    </row>
    <row r="658">
      <c r="A658" s="1" t="s">
        <v>132</v>
      </c>
      <c r="B658" s="421" t="str">
        <f>IF(C658&lt;'PlayerGrades+'!$Y$44,"F-",IF(C658&lt;'PlayerGrades+'!$Y$43,"F",IF(C658&lt;'PlayerGrades+'!$Y$42,"F+",IF(C658&lt;'PlayerGrades+'!$Y$41,"E-",IF(C658&lt;'PlayerGrades+'!$Y$40,"E",IF(C658&lt;'PlayerGrades+'!$Y$39,"E+",IF(C658&lt;'PlayerGrades+'!$Y$38,"D-",IF(C658&lt;'PlayerGrades+'!$Y$37,"D",IF(C658&lt;'PlayerGrades+'!$Y$36,"D+",IF(C658&lt;'PlayerGrades+'!$Y$35,"C-",IF(C658&lt;'PlayerGrades+'!$Y$34,"C",IF(C658&lt;'PlayerGrades+'!$Y$33,"C+",IF(C658&lt;'PlayerGrades+'!$Y$32,"B-",IF(C658&lt;'PlayerGrades+'!$Y$31,"B",IF(C658&lt;'PlayerGrades+'!$Y$30,"B+",IF(C658&lt;'PlayerGrades+'!$Y$29,"A-",IF(C658&lt;'PlayerGrades+'!$Y$28,"A",IF(C658&lt;'PlayerGrades+'!$Y$27,"A+",IF(C658&lt;'PlayerGrades+'!$Y$26,"S-",IF(C658&lt;'PlayerGrades+'!$Y$25,"S","S+"))))))))))))))))))))</f>
        <v>C</v>
      </c>
      <c r="C658" s="972">
        <f>('PlayerGrades+'!$Y$47*(VLOOKUP(E658, 'PlayerGrades+'!$X$3:$Y$23, 2, FALSE)))+('PlayerGrades+'!$Y$48*(VLOOKUP(G658, 'PlayerGrades+'!$X$3:$Y$23, 2, FALSE)))+('PlayerGrades+'!$Y$49*(VLOOKUP(I658, 'PlayerGrades+'!$X$3:$Y$23, 2, FALSE)))+('PlayerGrades+'!$Y$50*(VLOOKUP(K658, 'PlayerGrades+'!$X$3:$Y$23, 2, FALSE)))+('PlayerGrades+'!$Y$51*(VLOOKUP(M658, 'PlayerGrades+'!$X$3:$Y$23, 2, FALSE)))+('PlayerGrades+'!$Y$52*(VLOOKUP(O658, 'PlayerGrades+'!$X$3:$Y$23, 2, FALSE)))+('PlayerGrades+'!$Y$53*(VLOOKUP(Q658, 'PlayerGrades+'!$X$3:$Y$23, 2, FALSE)))+('PlayerGrades+'!$Y$54*(VLOOKUP(S658, 'PlayerGrades+'!$X$3:$Y$23, 2, FALSE)))+('PlayerGrades+'!$Y$55*(VLOOKUP(U658, 'PlayerGrades+'!$X$3:$Y$23, 2, FALSE)))</f>
        <v>20.25</v>
      </c>
      <c r="D658" s="973">
        <f t="shared" si="1"/>
        <v>0.357267951</v>
      </c>
      <c r="E658" s="973" t="str">
        <f>IF(D658&lt;'PlayerGrades+'!$AA$21,"F-",IF(D658&lt;'PlayerGrades+'!$AA$20,"F",IF(D658&lt;'PlayerGrades+'!$AA$19,"F+",IF(D658&lt;'PlayerGrades+'!$AA$18,"E-",IF(D658&lt;'PlayerGrades+'!$AA$17,"E",IF(D658&lt;'PlayerGrades+'!$AA$16,"E+",IF(D658&lt;'PlayerGrades+'!$AA$15,"D-",IF(D658&lt;'PlayerGrades+'!$AA$14,"D",IF(D658&lt;'PlayerGrades+'!$AA$13,"D+",IF(D658&lt;'PlayerGrades+'!$AA$12,"C-",IF(D658&lt;'PlayerGrades+'!$AA$11,"C",IF(D658&lt;'PlayerGrades+'!$AA$10,"C+",IF(D658&lt;'PlayerGrades+'!$AA$9,"B-",IF(D658&lt;'PlayerGrades+'!$AA$8,"B",IF(D658&lt;'PlayerGrades+'!$AA$7,"B+",IF(D658&lt;'PlayerGrades+'!$AA$6,"A-",IF(D658&lt;'PlayerGrades+'!$AA$5,"A",IF(D658&lt;'PlayerGrades+'!$AA$4,"A+",IF(D658&lt;'PlayerGrades+'!$AA$3,"S-",IF(D658&lt;'PlayerGrades+'!$AA$2,"S","S+"))))))))))))))))))))</f>
        <v>A</v>
      </c>
      <c r="F658" s="973">
        <f t="shared" si="2"/>
        <v>0.06304728546</v>
      </c>
      <c r="G658" s="973" t="str">
        <f>IF(F658&lt;'PlayerGrades+'!$AB$21,"F-",IF(F658&lt;'PlayerGrades+'!$AB$20,"F",IF(F658&lt;'PlayerGrades+'!$AB$19,"F+",IF(F658&lt;'PlayerGrades+'!$AB$18,"E-",IF(F658&lt;'PlayerGrades+'!$AB$17,"E",IF(F658&lt;'PlayerGrades+'!$AB$16,"E+",IF(F658&lt;'PlayerGrades+'!$AB$15,"D-",IF(F658&lt;'PlayerGrades+'!$AB$14,"D",IF(F658&lt;'PlayerGrades+'!$AB$13,"D+",IF(F658&lt;'PlayerGrades+'!$AB$12,"C-",IF(F658&lt;'PlayerGrades+'!$AB$11,"C",IF(F658&lt;'PlayerGrades+'!$AB$10,"C+",IF(F658&lt;'PlayerGrades+'!$AB$9,"B-",IF(F658&lt;'PlayerGrades+'!$AB$8,"B",IF(F658&lt;'PlayerGrades+'!$AB$7,"B+",IF(F658&lt;'PlayerGrades+'!$AB$6,"A-",IF(F658&lt;'PlayerGrades+'!$AB$5,"A",IF(F658&lt;'PlayerGrades+'!$AB$4,"A+",IF(F658&lt;'PlayerGrades+'!$AB$3,"S-",IF(F658&lt;'PlayerGrades+'!$AB$2,"S","S+"))))))))))))))))))))</f>
        <v>B</v>
      </c>
      <c r="H658" s="973">
        <f t="shared" si="3"/>
        <v>0.02101576182</v>
      </c>
      <c r="I658" s="973" t="str">
        <f>IF(H658&lt;'PlayerGrades+'!$AC$21,"F-",IF(H658&lt;'PlayerGrades+'!$AC$20,"F",IF(H658&lt;'PlayerGrades+'!$AC$19,"F+",IF(H658&lt;'PlayerGrades+'!$AC$18,"E-",IF(H658&lt;'PlayerGrades+'!$AC$17,"E",IF(H658&lt;'PlayerGrades+'!$AC$16,"E+",IF(H658&lt;'PlayerGrades+'!$AC$15,"D-",IF(H658&lt;'PlayerGrades+'!$AC$14,"D",IF(H658&lt;'PlayerGrades+'!$AC$13,"D+",IF(H658&lt;'PlayerGrades+'!$AC$12,"C-",IF(H658&lt;'PlayerGrades+'!$AC$11,"C",IF(H658&lt;'PlayerGrades+'!$AC$10,"C+",IF(H658&lt;'PlayerGrades+'!$AC$9,"B-",IF(H658&lt;'PlayerGrades+'!$AC$8,"B",IF(H658&lt;'PlayerGrades+'!$AC$7,"B+",IF(H658&lt;'PlayerGrades+'!$AC$6,"A-",IF(H658&lt;'PlayerGrades+'!$AC$5,"A",IF(H658&lt;'PlayerGrades+'!$AC$4,"A+",IF(H658&lt;'PlayerGrades+'!$AC$3,"S-",IF(H658&lt;'PlayerGrades+'!$AC$2,"S","S+"))))))))))))))))))))</f>
        <v>F-</v>
      </c>
      <c r="J658" s="973">
        <f t="shared" si="4"/>
        <v>0.04203152364</v>
      </c>
      <c r="K658" s="973" t="str">
        <f>IF(J658&lt;'PlayerGrades+'!$AD$21,"F-",IF(J658&lt;'PlayerGrades+'!$AD$20,"F",IF(J658&lt;'PlayerGrades+'!$AD$19,"F+",IF(J658&lt;'PlayerGrades+'!$AD$18,"E-",IF(J658&lt;'PlayerGrades+'!$AD$17,"E",IF(J658&lt;'PlayerGrades+'!$AD$16,"E+",IF(J658&lt;'PlayerGrades+'!$AD$15,"D-",IF(J658&lt;'PlayerGrades+'!$AD$14,"D",IF(J658&lt;'PlayerGrades+'!$AD$13,"D+",IF(J658&lt;'PlayerGrades+'!$AD$12,"C-",IF(J658&lt;'PlayerGrades+'!$AD$11,"C",IF(J658&lt;'PlayerGrades+'!$AD$10,"C+",IF(J658&lt;'PlayerGrades+'!$AD$9,"B-",IF(J658&lt;'PlayerGrades+'!$AD$8,"B",IF(J658&lt;'PlayerGrades+'!$AD$7,"B+",IF(J658&lt;'PlayerGrades+'!$AD$6,"A-",IF(J658&lt;'PlayerGrades+'!$AD$5,"A",IF(J658&lt;'PlayerGrades+'!$AD$4,"A+",IF(J658&lt;'PlayerGrades+'!$AD$3,"S-",IF(J658&lt;'PlayerGrades+'!$AD$2,"S","S+"))))))))))))))))))))</f>
        <v>C+</v>
      </c>
      <c r="L658" s="974">
        <f t="shared" si="5"/>
        <v>0.3992994746</v>
      </c>
      <c r="M658" s="975" t="str">
        <f>IF(L658&lt;'PlayerGrades+'!$AE$21,"F-",IF(L658&lt;'PlayerGrades+'!$AE$20,"F",IF(L658&lt;'PlayerGrades+'!$AE$19,"F+",IF(L658&lt;'PlayerGrades+'!$AE$18,"E-",IF(L658&lt;'PlayerGrades+'!$AE$17,"E",IF(L658&lt;'PlayerGrades+'!$AE$16,"E+",IF(L658&lt;'PlayerGrades+'!$AE$15,"D-",IF(L658&lt;'PlayerGrades+'!$AE$14,"D",IF(L658&lt;'PlayerGrades+'!$AE$13,"D+",IF(L658&lt;'PlayerGrades+'!$AE$12,"C-",IF(L658&lt;'PlayerGrades+'!$AE$11,"C",IF(L658&lt;'PlayerGrades+'!$AE$10,"C+",IF(L658&lt;'PlayerGrades+'!$AE$9,"B-",IF(L658&lt;'PlayerGrades+'!$AE$8,"B",IF(L658&lt;'PlayerGrades+'!$AE$7,"B+",IF(L658&lt;'PlayerGrades+'!$AE$6,"A-",IF(L658&lt;'PlayerGrades+'!$AE$5,"A",IF(L658&lt;'PlayerGrades+'!$AE$4,"A+",IF(L658&lt;'PlayerGrades+'!$AE$3,"S-",IF(L658&lt;'PlayerGrades+'!$AE$2,"S","S+"))))))))))))))))))))</f>
        <v>C</v>
      </c>
      <c r="N658" s="973">
        <f t="shared" si="6"/>
        <v>0.04203152364</v>
      </c>
      <c r="O658" s="973" t="str">
        <f>IF(N658&lt;'PlayerGrades+'!$AF$21,"F-",IF(N658&lt;'PlayerGrades+'!$AF$20,"F",IF(N658&lt;'PlayerGrades+'!$AF$19,"F+",IF(N658&lt;'PlayerGrades+'!$AF$18,"E-",IF(N658&lt;'PlayerGrades+'!$AF$17,"E",IF(N658&lt;'PlayerGrades+'!$AF$16,"E+",IF(N658&lt;'PlayerGrades+'!$AF$15,"D-",IF(N658&lt;'PlayerGrades+'!$AF$14,"D",IF(N658&lt;'PlayerGrades+'!$AF$13,"D+",IF(N658&lt;'PlayerGrades+'!$AF$12,"C-",IF(N658&lt;'PlayerGrades+'!$AF$11,"C",IF(N658&lt;'PlayerGrades+'!$AF$10,"C+",IF(N658&lt;'PlayerGrades+'!$AF$9,"B-",IF(N658&lt;'PlayerGrades+'!$AF$8,"B",IF(N658&lt;'PlayerGrades+'!$AF$7,"B+",IF(N658&lt;'PlayerGrades+'!$AF$6,"A-",IF(N658&lt;'PlayerGrades+'!$AF$5,"A",IF(N658&lt;'PlayerGrades+'!$AF$4,"A+",IF(N658&lt;'PlayerGrades+'!$AF$3,"S-",IF(N658&lt;'PlayerGrades+'!$AF$2,"S","S+"))))))))))))))))))))</f>
        <v>E</v>
      </c>
      <c r="P658" s="973">
        <f t="shared" si="7"/>
        <v>0.02101576182</v>
      </c>
      <c r="Q658" s="973" t="str">
        <f>IF(P658&lt;'PlayerGrades+'!$AG$21,"F-",IF(P658&lt;'PlayerGrades+'!$AG$20,"F",IF(P658&lt;'PlayerGrades+'!$AG$19,"F+",IF(P658&lt;'PlayerGrades+'!$AG$18,"E-",IF(P658&lt;'PlayerGrades+'!$AG$17,"E",IF(P658&lt;'PlayerGrades+'!$AG$16,"E+",IF(P658&lt;'PlayerGrades+'!$AG$15,"D-",IF(P658&lt;'PlayerGrades+'!$AG$14,"D",IF(P658&lt;'PlayerGrades+'!$AG$13,"D+",IF(P658&lt;'PlayerGrades+'!$AG$12,"C-",IF(P658&lt;'PlayerGrades+'!$AG$11,"C",IF(P658&lt;'PlayerGrades+'!$AG$10,"C+",IF(P658&lt;'PlayerGrades+'!$AG$9,"B-",IF(P658&lt;'PlayerGrades+'!$AG$8,"B",IF(P658&lt;'PlayerGrades+'!$AG$7,"B+",IF(P658&lt;'PlayerGrades+'!$AG$6,"A-",IF(P658&lt;'PlayerGrades+'!$AG$5,"A",IF(P658&lt;'PlayerGrades+'!$AG$4,"A+",IF(P658&lt;'PlayerGrades+'!$AG$3,"S-",IF(P658&lt;'PlayerGrades+'!$AG$2,"S","S+"))))))))))))))))))))</f>
        <v>C+</v>
      </c>
      <c r="R658" s="973">
        <f t="shared" si="8"/>
        <v>0.9667250438</v>
      </c>
      <c r="S658" s="973" t="str">
        <f>IF(R658&lt;'PlayerGrades+'!$AH$21,"F-",IF(R658&lt;'PlayerGrades+'!$AH$20,"F",IF(R658&lt;'PlayerGrades+'!$AH$19,"F+",IF(R658&lt;'PlayerGrades+'!$AH$18,"E-",IF(R658&lt;'PlayerGrades+'!$AH$17,"E",IF(R658&lt;'PlayerGrades+'!$AH$16,"E+",IF(R658&lt;'PlayerGrades+'!$AH$15,"D-",IF(R658&lt;'PlayerGrades+'!$AH$14,"D",IF(R658&lt;'PlayerGrades+'!$AH$13,"D+",IF(R658&lt;'PlayerGrades+'!$AH$12,"C-",IF(R658&lt;'PlayerGrades+'!$AH$11,"C",IF(R658&lt;'PlayerGrades+'!$AH$10,"C+",IF(R658&lt;'PlayerGrades+'!$AH$9,"B-",IF(R658&lt;'PlayerGrades+'!$AH$8,"B",IF(R658&lt;'PlayerGrades+'!$AH$7,"B+",IF(R658&lt;'PlayerGrades+'!$AH$6,"A-",IF(R658&lt;'PlayerGrades+'!$AH$5,"A",IF(R658&lt;'PlayerGrades+'!$AH$4,"A+",IF(R658&lt;'PlayerGrades+'!$AH$3,"S-",IF(R658&lt;'PlayerGrades+'!$AH$2,"S","S+"))))))))))))))))))))</f>
        <v>S+</v>
      </c>
      <c r="T658" s="973">
        <f t="shared" si="9"/>
        <v>0.357267951</v>
      </c>
      <c r="U658" s="973" t="str">
        <f>IF(T658&lt;'PlayerGrades+'!$AI$21,"F-",IF(T658&lt;'PlayerGrades+'!$AI$20,"F",IF(T658&lt;'PlayerGrades+'!$AI$19,"F+",IF(T658&lt;'PlayerGrades+'!$AI$18,"E-",IF(T658&lt;'PlayerGrades+'!$AI$17,"E",IF(T658&lt;'PlayerGrades+'!$AI$16,"E+",IF(T658&lt;'PlayerGrades+'!$AI$15,"D-",IF(T658&lt;'PlayerGrades+'!$AI$14,"D",IF(T658&lt;'PlayerGrades+'!$AI$13,"D+",IF(T658&lt;'PlayerGrades+'!$AI$12,"C-",IF(T658&lt;'PlayerGrades+'!$AI$11,"C",IF(T658&lt;'PlayerGrades+'!$AI$10,"C+",IF(T658&lt;'PlayerGrades+'!$AI$9,"B-",IF(T658&lt;'PlayerGrades+'!$AI$8,"B",IF(T658&lt;'PlayerGrades+'!$AI$7,"B+",IF(T658&lt;'PlayerGrades+'!$AI$6,"A-",IF(T658&lt;'PlayerGrades+'!$AI$5,"A",IF(T658&lt;'PlayerGrades+'!$AI$4,"A+",IF(T658&lt;'PlayerGrades+'!$AI$3,"S-",IF(T658&lt;'PlayerGrades+'!$AI$2,"S","S+"))))))))))))))))))))</f>
        <v>F-</v>
      </c>
      <c r="V658" s="941">
        <v>1.0</v>
      </c>
      <c r="W658" s="941">
        <v>1.0</v>
      </c>
      <c r="X658" s="941">
        <v>0.0</v>
      </c>
      <c r="Y658" s="941">
        <v>3.0</v>
      </c>
      <c r="Z658" s="941">
        <v>14.0</v>
      </c>
      <c r="AA658" s="941">
        <v>140.0</v>
      </c>
      <c r="AB658" s="941">
        <v>137.0</v>
      </c>
      <c r="AC658" s="941">
        <v>3.0</v>
      </c>
      <c r="AD658" s="941">
        <v>17.0</v>
      </c>
      <c r="AE658" s="941">
        <v>13.0</v>
      </c>
      <c r="AF658" s="941">
        <v>4.0</v>
      </c>
      <c r="AG658" s="941">
        <v>2353.0</v>
      </c>
      <c r="AH658" s="941">
        <v>2855.0</v>
      </c>
      <c r="AI658" s="941">
        <v>17.0</v>
      </c>
      <c r="AJ658" s="941">
        <v>535.0</v>
      </c>
      <c r="AK658" s="941">
        <v>0.0</v>
      </c>
      <c r="AL658" s="941">
        <v>2.0</v>
      </c>
      <c r="AM658" s="941">
        <v>1.0</v>
      </c>
      <c r="AN658" s="941">
        <v>0.0</v>
      </c>
      <c r="AO658" s="941">
        <v>0.0</v>
      </c>
      <c r="AP658" s="941">
        <v>1.0</v>
      </c>
      <c r="AQ658" s="941">
        <v>0.0</v>
      </c>
      <c r="AR658" s="941">
        <v>19.0</v>
      </c>
      <c r="AS658" s="941">
        <v>2.0</v>
      </c>
      <c r="AT658" s="941">
        <v>0.0</v>
      </c>
      <c r="AU658" s="941">
        <v>0.0</v>
      </c>
      <c r="AV658" s="941">
        <v>0.0</v>
      </c>
      <c r="AW658" s="941">
        <v>0.0</v>
      </c>
      <c r="AX658" s="941">
        <v>0.0</v>
      </c>
      <c r="AY658" s="941">
        <v>0.0</v>
      </c>
      <c r="AZ658" s="941">
        <v>0.0</v>
      </c>
      <c r="BA658" s="941">
        <v>0.0</v>
      </c>
      <c r="BB658" s="941">
        <v>1.0</v>
      </c>
      <c r="BC658" s="941">
        <v>0.0</v>
      </c>
      <c r="BD658" s="941">
        <v>29.0</v>
      </c>
      <c r="BE658" s="941">
        <v>17.0</v>
      </c>
      <c r="BF658" s="941">
        <v>0.0</v>
      </c>
      <c r="BG658" s="941">
        <v>0.0</v>
      </c>
    </row>
    <row r="659">
      <c r="A659" s="1" t="s">
        <v>114</v>
      </c>
      <c r="B659" s="421" t="str">
        <f>IF(C659&lt;'PlayerGrades+'!$Y$44,"F-",IF(C659&lt;'PlayerGrades+'!$Y$43,"F",IF(C659&lt;'PlayerGrades+'!$Y$42,"F+",IF(C659&lt;'PlayerGrades+'!$Y$41,"E-",IF(C659&lt;'PlayerGrades+'!$Y$40,"E",IF(C659&lt;'PlayerGrades+'!$Y$39,"E+",IF(C659&lt;'PlayerGrades+'!$Y$38,"D-",IF(C659&lt;'PlayerGrades+'!$Y$37,"D",IF(C659&lt;'PlayerGrades+'!$Y$36,"D+",IF(C659&lt;'PlayerGrades+'!$Y$35,"C-",IF(C659&lt;'PlayerGrades+'!$Y$34,"C",IF(C659&lt;'PlayerGrades+'!$Y$33,"C+",IF(C659&lt;'PlayerGrades+'!$Y$32,"B-",IF(C659&lt;'PlayerGrades+'!$Y$31,"B",IF(C659&lt;'PlayerGrades+'!$Y$30,"B+",IF(C659&lt;'PlayerGrades+'!$Y$29,"A-",IF(C659&lt;'PlayerGrades+'!$Y$28,"A",IF(C659&lt;'PlayerGrades+'!$Y$27,"A+",IF(C659&lt;'PlayerGrades+'!$Y$26,"S-",IF(C659&lt;'PlayerGrades+'!$Y$25,"S","S+"))))))))))))))))))))</f>
        <v>A+</v>
      </c>
      <c r="C659" s="972">
        <f>('PlayerGrades+'!$Y$47*(VLOOKUP(E659, 'PlayerGrades+'!$X$3:$Y$23, 2, FALSE)))+('PlayerGrades+'!$Y$48*(VLOOKUP(G659, 'PlayerGrades+'!$X$3:$Y$23, 2, FALSE)))+('PlayerGrades+'!$Y$49*(VLOOKUP(I659, 'PlayerGrades+'!$X$3:$Y$23, 2, FALSE)))+('PlayerGrades+'!$Y$50*(VLOOKUP(K659, 'PlayerGrades+'!$X$3:$Y$23, 2, FALSE)))+('PlayerGrades+'!$Y$51*(VLOOKUP(M659, 'PlayerGrades+'!$X$3:$Y$23, 2, FALSE)))+('PlayerGrades+'!$Y$52*(VLOOKUP(O659, 'PlayerGrades+'!$X$3:$Y$23, 2, FALSE)))+('PlayerGrades+'!$Y$53*(VLOOKUP(Q659, 'PlayerGrades+'!$X$3:$Y$23, 2, FALSE)))+('PlayerGrades+'!$Y$54*(VLOOKUP(S659, 'PlayerGrades+'!$X$3:$Y$23, 2, FALSE)))+('PlayerGrades+'!$Y$55*(VLOOKUP(U659, 'PlayerGrades+'!$X$3:$Y$23, 2, FALSE)))</f>
        <v>29</v>
      </c>
      <c r="D659" s="973">
        <f t="shared" si="1"/>
        <v>0.4833625219</v>
      </c>
      <c r="E659" s="973" t="str">
        <f>IF(D659&lt;'PlayerGrades+'!$AA$21,"F-",IF(D659&lt;'PlayerGrades+'!$AA$20,"F",IF(D659&lt;'PlayerGrades+'!$AA$19,"F+",IF(D659&lt;'PlayerGrades+'!$AA$18,"E-",IF(D659&lt;'PlayerGrades+'!$AA$17,"E",IF(D659&lt;'PlayerGrades+'!$AA$16,"E+",IF(D659&lt;'PlayerGrades+'!$AA$15,"D-",IF(D659&lt;'PlayerGrades+'!$AA$14,"D",IF(D659&lt;'PlayerGrades+'!$AA$13,"D+",IF(D659&lt;'PlayerGrades+'!$AA$12,"C-",IF(D659&lt;'PlayerGrades+'!$AA$11,"C",IF(D659&lt;'PlayerGrades+'!$AA$10,"C+",IF(D659&lt;'PlayerGrades+'!$AA$9,"B-",IF(D659&lt;'PlayerGrades+'!$AA$8,"B",IF(D659&lt;'PlayerGrades+'!$AA$7,"B+",IF(D659&lt;'PlayerGrades+'!$AA$6,"A-",IF(D659&lt;'PlayerGrades+'!$AA$5,"A",IF(D659&lt;'PlayerGrades+'!$AA$4,"A+",IF(D659&lt;'PlayerGrades+'!$AA$3,"S-",IF(D659&lt;'PlayerGrades+'!$AA$2,"S","S+"))))))))))))))))))))</f>
        <v>A+</v>
      </c>
      <c r="F659" s="973">
        <f t="shared" si="2"/>
        <v>0.6094570928</v>
      </c>
      <c r="G659" s="973" t="str">
        <f>IF(F659&lt;'PlayerGrades+'!$AB$21,"F-",IF(F659&lt;'PlayerGrades+'!$AB$20,"F",IF(F659&lt;'PlayerGrades+'!$AB$19,"F+",IF(F659&lt;'PlayerGrades+'!$AB$18,"E-",IF(F659&lt;'PlayerGrades+'!$AB$17,"E",IF(F659&lt;'PlayerGrades+'!$AB$16,"E+",IF(F659&lt;'PlayerGrades+'!$AB$15,"D-",IF(F659&lt;'PlayerGrades+'!$AB$14,"D",IF(F659&lt;'PlayerGrades+'!$AB$13,"D+",IF(F659&lt;'PlayerGrades+'!$AB$12,"C-",IF(F659&lt;'PlayerGrades+'!$AB$11,"C",IF(F659&lt;'PlayerGrades+'!$AB$10,"C+",IF(F659&lt;'PlayerGrades+'!$AB$9,"B-",IF(F659&lt;'PlayerGrades+'!$AB$8,"B",IF(F659&lt;'PlayerGrades+'!$AB$7,"B+",IF(F659&lt;'PlayerGrades+'!$AB$6,"A-",IF(F659&lt;'PlayerGrades+'!$AB$5,"A",IF(F659&lt;'PlayerGrades+'!$AB$4,"A+",IF(F659&lt;'PlayerGrades+'!$AB$3,"S-",IF(F659&lt;'PlayerGrades+'!$AB$2,"S","S+"))))))))))))))))))))</f>
        <v>S-</v>
      </c>
      <c r="H659" s="973">
        <f t="shared" si="3"/>
        <v>0.06304728546</v>
      </c>
      <c r="I659" s="973" t="str">
        <f>IF(H659&lt;'PlayerGrades+'!$AC$21,"F-",IF(H659&lt;'PlayerGrades+'!$AC$20,"F",IF(H659&lt;'PlayerGrades+'!$AC$19,"F+",IF(H659&lt;'PlayerGrades+'!$AC$18,"E-",IF(H659&lt;'PlayerGrades+'!$AC$17,"E",IF(H659&lt;'PlayerGrades+'!$AC$16,"E+",IF(H659&lt;'PlayerGrades+'!$AC$15,"D-",IF(H659&lt;'PlayerGrades+'!$AC$14,"D",IF(H659&lt;'PlayerGrades+'!$AC$13,"D+",IF(H659&lt;'PlayerGrades+'!$AC$12,"C-",IF(H659&lt;'PlayerGrades+'!$AC$11,"C",IF(H659&lt;'PlayerGrades+'!$AC$10,"C+",IF(H659&lt;'PlayerGrades+'!$AC$9,"B-",IF(H659&lt;'PlayerGrades+'!$AC$8,"B",IF(H659&lt;'PlayerGrades+'!$AC$7,"B+",IF(H659&lt;'PlayerGrades+'!$AC$6,"A-",IF(H659&lt;'PlayerGrades+'!$AC$5,"A",IF(H659&lt;'PlayerGrades+'!$AC$4,"A+",IF(H659&lt;'PlayerGrades+'!$AC$3,"S-",IF(H659&lt;'PlayerGrades+'!$AC$2,"S","S+"))))))))))))))))))))</f>
        <v>E-</v>
      </c>
      <c r="J659" s="973">
        <f t="shared" si="4"/>
        <v>0.1260945709</v>
      </c>
      <c r="K659" s="973" t="str">
        <f>IF(J659&lt;'PlayerGrades+'!$AD$21,"F-",IF(J659&lt;'PlayerGrades+'!$AD$20,"F",IF(J659&lt;'PlayerGrades+'!$AD$19,"F+",IF(J659&lt;'PlayerGrades+'!$AD$18,"E-",IF(J659&lt;'PlayerGrades+'!$AD$17,"E",IF(J659&lt;'PlayerGrades+'!$AD$16,"E+",IF(J659&lt;'PlayerGrades+'!$AD$15,"D-",IF(J659&lt;'PlayerGrades+'!$AD$14,"D",IF(J659&lt;'PlayerGrades+'!$AD$13,"D+",IF(J659&lt;'PlayerGrades+'!$AD$12,"C-",IF(J659&lt;'PlayerGrades+'!$AD$11,"C",IF(J659&lt;'PlayerGrades+'!$AD$10,"C+",IF(J659&lt;'PlayerGrades+'!$AD$9,"B-",IF(J659&lt;'PlayerGrades+'!$AD$8,"B",IF(J659&lt;'PlayerGrades+'!$AD$7,"B+",IF(J659&lt;'PlayerGrades+'!$AD$6,"A-",IF(J659&lt;'PlayerGrades+'!$AD$5,"A",IF(J659&lt;'PlayerGrades+'!$AD$4,"A+",IF(J659&lt;'PlayerGrades+'!$AD$3,"S-",IF(J659&lt;'PlayerGrades+'!$AD$2,"S","S+"))))))))))))))))))))</f>
        <v>S+</v>
      </c>
      <c r="L659" s="974">
        <f t="shared" si="5"/>
        <v>0.5253940455</v>
      </c>
      <c r="M659" s="975" t="str">
        <f>IF(L659&lt;'PlayerGrades+'!$AE$21,"F-",IF(L659&lt;'PlayerGrades+'!$AE$20,"F",IF(L659&lt;'PlayerGrades+'!$AE$19,"F+",IF(L659&lt;'PlayerGrades+'!$AE$18,"E-",IF(L659&lt;'PlayerGrades+'!$AE$17,"E",IF(L659&lt;'PlayerGrades+'!$AE$16,"E+",IF(L659&lt;'PlayerGrades+'!$AE$15,"D-",IF(L659&lt;'PlayerGrades+'!$AE$14,"D",IF(L659&lt;'PlayerGrades+'!$AE$13,"D+",IF(L659&lt;'PlayerGrades+'!$AE$12,"C-",IF(L659&lt;'PlayerGrades+'!$AE$11,"C",IF(L659&lt;'PlayerGrades+'!$AE$10,"C+",IF(L659&lt;'PlayerGrades+'!$AE$9,"B-",IF(L659&lt;'PlayerGrades+'!$AE$8,"B",IF(L659&lt;'PlayerGrades+'!$AE$7,"B+",IF(L659&lt;'PlayerGrades+'!$AE$6,"A-",IF(L659&lt;'PlayerGrades+'!$AE$5,"A",IF(L659&lt;'PlayerGrades+'!$AE$4,"A+",IF(L659&lt;'PlayerGrades+'!$AE$3,"S-",IF(L659&lt;'PlayerGrades+'!$AE$2,"S","S+"))))))))))))))))))))</f>
        <v>A-</v>
      </c>
      <c r="N659" s="973">
        <f t="shared" si="6"/>
        <v>0.1050788091</v>
      </c>
      <c r="O659" s="973" t="str">
        <f>IF(N659&lt;'PlayerGrades+'!$AF$21,"F-",IF(N659&lt;'PlayerGrades+'!$AF$20,"F",IF(N659&lt;'PlayerGrades+'!$AF$19,"F+",IF(N659&lt;'PlayerGrades+'!$AF$18,"E-",IF(N659&lt;'PlayerGrades+'!$AF$17,"E",IF(N659&lt;'PlayerGrades+'!$AF$16,"E+",IF(N659&lt;'PlayerGrades+'!$AF$15,"D-",IF(N659&lt;'PlayerGrades+'!$AF$14,"D",IF(N659&lt;'PlayerGrades+'!$AF$13,"D+",IF(N659&lt;'PlayerGrades+'!$AF$12,"C-",IF(N659&lt;'PlayerGrades+'!$AF$11,"C",IF(N659&lt;'PlayerGrades+'!$AF$10,"C+",IF(N659&lt;'PlayerGrades+'!$AF$9,"B-",IF(N659&lt;'PlayerGrades+'!$AF$8,"B",IF(N659&lt;'PlayerGrades+'!$AF$7,"B+",IF(N659&lt;'PlayerGrades+'!$AF$6,"A-",IF(N659&lt;'PlayerGrades+'!$AF$5,"A",IF(N659&lt;'PlayerGrades+'!$AF$4,"A+",IF(N659&lt;'PlayerGrades+'!$AF$3,"S-",IF(N659&lt;'PlayerGrades+'!$AF$2,"S","S+"))))))))))))))))))))</f>
        <v>A+</v>
      </c>
      <c r="P659" s="973">
        <f t="shared" si="7"/>
        <v>0.1050788091</v>
      </c>
      <c r="Q659" s="973" t="str">
        <f>IF(P659&lt;'PlayerGrades+'!$AG$21,"F-",IF(P659&lt;'PlayerGrades+'!$AG$20,"F",IF(P659&lt;'PlayerGrades+'!$AG$19,"F+",IF(P659&lt;'PlayerGrades+'!$AG$18,"E-",IF(P659&lt;'PlayerGrades+'!$AG$17,"E",IF(P659&lt;'PlayerGrades+'!$AG$16,"E+",IF(P659&lt;'PlayerGrades+'!$AG$15,"D-",IF(P659&lt;'PlayerGrades+'!$AG$14,"D",IF(P659&lt;'PlayerGrades+'!$AG$13,"D+",IF(P659&lt;'PlayerGrades+'!$AG$12,"C-",IF(P659&lt;'PlayerGrades+'!$AG$11,"C",IF(P659&lt;'PlayerGrades+'!$AG$10,"C+",IF(P659&lt;'PlayerGrades+'!$AG$9,"B-",IF(P659&lt;'PlayerGrades+'!$AG$8,"B",IF(P659&lt;'PlayerGrades+'!$AG$7,"B+",IF(P659&lt;'PlayerGrades+'!$AG$6,"A-",IF(P659&lt;'PlayerGrades+'!$AG$5,"A",IF(P659&lt;'PlayerGrades+'!$AG$4,"A+",IF(P659&lt;'PlayerGrades+'!$AG$3,"S-",IF(P659&lt;'PlayerGrades+'!$AG$2,"S","S+"))))))))))))))))))))</f>
        <v>S+</v>
      </c>
      <c r="R659" s="973">
        <f t="shared" si="8"/>
        <v>0.819614711</v>
      </c>
      <c r="S659" s="973" t="str">
        <f>IF(R659&lt;'PlayerGrades+'!$AH$21,"F-",IF(R659&lt;'PlayerGrades+'!$AH$20,"F",IF(R659&lt;'PlayerGrades+'!$AH$19,"F+",IF(R659&lt;'PlayerGrades+'!$AH$18,"E-",IF(R659&lt;'PlayerGrades+'!$AH$17,"E",IF(R659&lt;'PlayerGrades+'!$AH$16,"E+",IF(R659&lt;'PlayerGrades+'!$AH$15,"D-",IF(R659&lt;'PlayerGrades+'!$AH$14,"D",IF(R659&lt;'PlayerGrades+'!$AH$13,"D+",IF(R659&lt;'PlayerGrades+'!$AH$12,"C-",IF(R659&lt;'PlayerGrades+'!$AH$11,"C",IF(R659&lt;'PlayerGrades+'!$AH$10,"C+",IF(R659&lt;'PlayerGrades+'!$AH$9,"B-",IF(R659&lt;'PlayerGrades+'!$AH$8,"B",IF(R659&lt;'PlayerGrades+'!$AH$7,"B+",IF(R659&lt;'PlayerGrades+'!$AH$6,"A-",IF(R659&lt;'PlayerGrades+'!$AH$5,"A",IF(R659&lt;'PlayerGrades+'!$AH$4,"A+",IF(R659&lt;'PlayerGrades+'!$AH$3,"S-",IF(R659&lt;'PlayerGrades+'!$AH$2,"S","S+"))))))))))))))))))))</f>
        <v>S+</v>
      </c>
      <c r="T659" s="973">
        <f t="shared" si="9"/>
        <v>0.3782837128</v>
      </c>
      <c r="U659" s="973" t="str">
        <f>IF(T659&lt;'PlayerGrades+'!$AI$21,"F-",IF(T659&lt;'PlayerGrades+'!$AI$20,"F",IF(T659&lt;'PlayerGrades+'!$AI$19,"F+",IF(T659&lt;'PlayerGrades+'!$AI$18,"E-",IF(T659&lt;'PlayerGrades+'!$AI$17,"E",IF(T659&lt;'PlayerGrades+'!$AI$16,"E+",IF(T659&lt;'PlayerGrades+'!$AI$15,"D-",IF(T659&lt;'PlayerGrades+'!$AI$14,"D",IF(T659&lt;'PlayerGrades+'!$AI$13,"D+",IF(T659&lt;'PlayerGrades+'!$AI$12,"C-",IF(T659&lt;'PlayerGrades+'!$AI$11,"C",IF(T659&lt;'PlayerGrades+'!$AI$10,"C+",IF(T659&lt;'PlayerGrades+'!$AI$9,"B-",IF(T659&lt;'PlayerGrades+'!$AI$8,"B",IF(T659&lt;'PlayerGrades+'!$AI$7,"B+",IF(T659&lt;'PlayerGrades+'!$AI$6,"A-",IF(T659&lt;'PlayerGrades+'!$AI$5,"A",IF(T659&lt;'PlayerGrades+'!$AI$4,"A+",IF(T659&lt;'PlayerGrades+'!$AI$3,"S-",IF(T659&lt;'PlayerGrades+'!$AI$2,"S","S+"))))))))))))))))))))</f>
        <v>F-</v>
      </c>
      <c r="V659" s="941">
        <v>1.0</v>
      </c>
      <c r="W659" s="941">
        <v>1.0</v>
      </c>
      <c r="X659" s="941">
        <v>0.0</v>
      </c>
      <c r="Y659" s="941">
        <v>2.0</v>
      </c>
      <c r="Z659" s="941">
        <v>21.0</v>
      </c>
      <c r="AA659" s="941">
        <v>159.0</v>
      </c>
      <c r="AB659" s="941">
        <v>130.0</v>
      </c>
      <c r="AC659" s="941">
        <v>29.0</v>
      </c>
      <c r="AD659" s="941">
        <v>14.0</v>
      </c>
      <c r="AE659" s="941">
        <v>9.0</v>
      </c>
      <c r="AF659" s="941">
        <v>1.0</v>
      </c>
      <c r="AG659" s="941">
        <v>2376.0</v>
      </c>
      <c r="AH659" s="941">
        <v>2855.0</v>
      </c>
      <c r="AI659" s="941">
        <v>18.0</v>
      </c>
      <c r="AJ659" s="941">
        <v>426.0</v>
      </c>
      <c r="AK659" s="941">
        <v>0.0</v>
      </c>
      <c r="AL659" s="941">
        <v>6.0</v>
      </c>
      <c r="AM659" s="941">
        <v>0.0</v>
      </c>
      <c r="AN659" s="941">
        <v>0.0</v>
      </c>
      <c r="AO659" s="941">
        <v>0.0</v>
      </c>
      <c r="AP659" s="941">
        <v>5.0</v>
      </c>
      <c r="AQ659" s="941">
        <v>0.0</v>
      </c>
      <c r="AR659" s="941">
        <v>25.0</v>
      </c>
      <c r="AS659" s="941">
        <v>5.0</v>
      </c>
      <c r="AT659" s="941">
        <v>0.0</v>
      </c>
      <c r="AU659" s="941">
        <v>0.0</v>
      </c>
      <c r="AV659" s="941">
        <v>0.0</v>
      </c>
      <c r="AW659" s="941">
        <v>0.0</v>
      </c>
      <c r="AX659" s="941">
        <v>0.0</v>
      </c>
      <c r="AY659" s="941">
        <v>0.0</v>
      </c>
      <c r="AZ659" s="941">
        <v>0.0</v>
      </c>
      <c r="BA659" s="941">
        <v>0.0</v>
      </c>
      <c r="BB659" s="941">
        <v>3.0</v>
      </c>
      <c r="BC659" s="941">
        <v>0.0</v>
      </c>
      <c r="BD659" s="941">
        <v>25.0</v>
      </c>
      <c r="BE659" s="941">
        <v>18.0</v>
      </c>
      <c r="BF659" s="941">
        <v>0.0</v>
      </c>
      <c r="BG659" s="941">
        <v>0.0</v>
      </c>
    </row>
    <row r="660">
      <c r="A660" s="1" t="s">
        <v>147</v>
      </c>
      <c r="B660" s="421" t="str">
        <f>IF(C660&lt;'PlayerGrades+'!$Y$44,"F-",IF(C660&lt;'PlayerGrades+'!$Y$43,"F",IF(C660&lt;'PlayerGrades+'!$Y$42,"F+",IF(C660&lt;'PlayerGrades+'!$Y$41,"E-",IF(C660&lt;'PlayerGrades+'!$Y$40,"E",IF(C660&lt;'PlayerGrades+'!$Y$39,"E+",IF(C660&lt;'PlayerGrades+'!$Y$38,"D-",IF(C660&lt;'PlayerGrades+'!$Y$37,"D",IF(C660&lt;'PlayerGrades+'!$Y$36,"D+",IF(C660&lt;'PlayerGrades+'!$Y$35,"C-",IF(C660&lt;'PlayerGrades+'!$Y$34,"C",IF(C660&lt;'PlayerGrades+'!$Y$33,"C+",IF(C660&lt;'PlayerGrades+'!$Y$32,"B-",IF(C660&lt;'PlayerGrades+'!$Y$31,"B",IF(C660&lt;'PlayerGrades+'!$Y$30,"B+",IF(C660&lt;'PlayerGrades+'!$Y$29,"A-",IF(C660&lt;'PlayerGrades+'!$Y$28,"A",IF(C660&lt;'PlayerGrades+'!$Y$27,"A+",IF(C660&lt;'PlayerGrades+'!$Y$26,"S-",IF(C660&lt;'PlayerGrades+'!$Y$25,"S","S+"))))))))))))))))))))</f>
        <v>F+</v>
      </c>
      <c r="C660" s="972">
        <f>('PlayerGrades+'!$Y$47*(VLOOKUP(E660, 'PlayerGrades+'!$X$3:$Y$23, 2, FALSE)))+('PlayerGrades+'!$Y$48*(VLOOKUP(G660, 'PlayerGrades+'!$X$3:$Y$23, 2, FALSE)))+('PlayerGrades+'!$Y$49*(VLOOKUP(I660, 'PlayerGrades+'!$X$3:$Y$23, 2, FALSE)))+('PlayerGrades+'!$Y$50*(VLOOKUP(K660, 'PlayerGrades+'!$X$3:$Y$23, 2, FALSE)))+('PlayerGrades+'!$Y$51*(VLOOKUP(M660, 'PlayerGrades+'!$X$3:$Y$23, 2, FALSE)))+('PlayerGrades+'!$Y$52*(VLOOKUP(O660, 'PlayerGrades+'!$X$3:$Y$23, 2, FALSE)))+('PlayerGrades+'!$Y$53*(VLOOKUP(Q660, 'PlayerGrades+'!$X$3:$Y$23, 2, FALSE)))+('PlayerGrades+'!$Y$54*(VLOOKUP(S660, 'PlayerGrades+'!$X$3:$Y$23, 2, FALSE)))+('PlayerGrades+'!$Y$55*(VLOOKUP(U660, 'PlayerGrades+'!$X$3:$Y$23, 2, FALSE)))</f>
        <v>10.35</v>
      </c>
      <c r="D660" s="973">
        <f t="shared" si="1"/>
        <v>0</v>
      </c>
      <c r="E660" s="973" t="str">
        <f>IF(D660&lt;'PlayerGrades+'!$AA$21,"F-",IF(D660&lt;'PlayerGrades+'!$AA$20,"F",IF(D660&lt;'PlayerGrades+'!$AA$19,"F+",IF(D660&lt;'PlayerGrades+'!$AA$18,"E-",IF(D660&lt;'PlayerGrades+'!$AA$17,"E",IF(D660&lt;'PlayerGrades+'!$AA$16,"E+",IF(D660&lt;'PlayerGrades+'!$AA$15,"D-",IF(D660&lt;'PlayerGrades+'!$AA$14,"D",IF(D660&lt;'PlayerGrades+'!$AA$13,"D+",IF(D660&lt;'PlayerGrades+'!$AA$12,"C-",IF(D660&lt;'PlayerGrades+'!$AA$11,"C",IF(D660&lt;'PlayerGrades+'!$AA$10,"C+",IF(D660&lt;'PlayerGrades+'!$AA$9,"B-",IF(D660&lt;'PlayerGrades+'!$AA$8,"B",IF(D660&lt;'PlayerGrades+'!$AA$7,"B+",IF(D660&lt;'PlayerGrades+'!$AA$6,"A-",IF(D660&lt;'PlayerGrades+'!$AA$5,"A",IF(D660&lt;'PlayerGrades+'!$AA$4,"A+",IF(D660&lt;'PlayerGrades+'!$AA$3,"S-",IF(D660&lt;'PlayerGrades+'!$AA$2,"S","S+"))))))))))))))))))))</f>
        <v>F-</v>
      </c>
      <c r="F660" s="973">
        <f t="shared" si="2"/>
        <v>-1.408056042</v>
      </c>
      <c r="G660" s="973" t="str">
        <f>IF(F660&lt;'PlayerGrades+'!$AB$21,"F-",IF(F660&lt;'PlayerGrades+'!$AB$20,"F",IF(F660&lt;'PlayerGrades+'!$AB$19,"F+",IF(F660&lt;'PlayerGrades+'!$AB$18,"E-",IF(F660&lt;'PlayerGrades+'!$AB$17,"E",IF(F660&lt;'PlayerGrades+'!$AB$16,"E+",IF(F660&lt;'PlayerGrades+'!$AB$15,"D-",IF(F660&lt;'PlayerGrades+'!$AB$14,"D",IF(F660&lt;'PlayerGrades+'!$AB$13,"D+",IF(F660&lt;'PlayerGrades+'!$AB$12,"C-",IF(F660&lt;'PlayerGrades+'!$AB$11,"C",IF(F660&lt;'PlayerGrades+'!$AB$10,"C+",IF(F660&lt;'PlayerGrades+'!$AB$9,"B-",IF(F660&lt;'PlayerGrades+'!$AB$8,"B",IF(F660&lt;'PlayerGrades+'!$AB$7,"B+",IF(F660&lt;'PlayerGrades+'!$AB$6,"A-",IF(F660&lt;'PlayerGrades+'!$AB$5,"A",IF(F660&lt;'PlayerGrades+'!$AB$4,"A+",IF(F660&lt;'PlayerGrades+'!$AB$3,"S-",IF(F660&lt;'PlayerGrades+'!$AB$2,"S","S+"))))))))))))))))))))</f>
        <v>F-</v>
      </c>
      <c r="H660" s="973">
        <f t="shared" si="3"/>
        <v>0</v>
      </c>
      <c r="I660" s="973" t="str">
        <f>IF(H660&lt;'PlayerGrades+'!$AC$21,"F-",IF(H660&lt;'PlayerGrades+'!$AC$20,"F",IF(H660&lt;'PlayerGrades+'!$AC$19,"F+",IF(H660&lt;'PlayerGrades+'!$AC$18,"E-",IF(H660&lt;'PlayerGrades+'!$AC$17,"E",IF(H660&lt;'PlayerGrades+'!$AC$16,"E+",IF(H660&lt;'PlayerGrades+'!$AC$15,"D-",IF(H660&lt;'PlayerGrades+'!$AC$14,"D",IF(H660&lt;'PlayerGrades+'!$AC$13,"D+",IF(H660&lt;'PlayerGrades+'!$AC$12,"C-",IF(H660&lt;'PlayerGrades+'!$AC$11,"C",IF(H660&lt;'PlayerGrades+'!$AC$10,"C+",IF(H660&lt;'PlayerGrades+'!$AC$9,"B-",IF(H660&lt;'PlayerGrades+'!$AC$8,"B",IF(H660&lt;'PlayerGrades+'!$AC$7,"B+",IF(H660&lt;'PlayerGrades+'!$AC$6,"A-",IF(H660&lt;'PlayerGrades+'!$AC$5,"A",IF(H660&lt;'PlayerGrades+'!$AC$4,"A+",IF(H660&lt;'PlayerGrades+'!$AC$3,"S-",IF(H660&lt;'PlayerGrades+'!$AC$2,"S","S+"))))))))))))))))))))</f>
        <v>F-</v>
      </c>
      <c r="J660" s="973">
        <f t="shared" si="4"/>
        <v>0</v>
      </c>
      <c r="K660" s="973" t="str">
        <f>IF(J660&lt;'PlayerGrades+'!$AD$21,"F-",IF(J660&lt;'PlayerGrades+'!$AD$20,"F",IF(J660&lt;'PlayerGrades+'!$AD$19,"F+",IF(J660&lt;'PlayerGrades+'!$AD$18,"E-",IF(J660&lt;'PlayerGrades+'!$AD$17,"E",IF(J660&lt;'PlayerGrades+'!$AD$16,"E+",IF(J660&lt;'PlayerGrades+'!$AD$15,"D-",IF(J660&lt;'PlayerGrades+'!$AD$14,"D",IF(J660&lt;'PlayerGrades+'!$AD$13,"D+",IF(J660&lt;'PlayerGrades+'!$AD$12,"C-",IF(J660&lt;'PlayerGrades+'!$AD$11,"C",IF(J660&lt;'PlayerGrades+'!$AD$10,"C+",IF(J660&lt;'PlayerGrades+'!$AD$9,"B-",IF(J660&lt;'PlayerGrades+'!$AD$8,"B",IF(J660&lt;'PlayerGrades+'!$AD$7,"B+",IF(J660&lt;'PlayerGrades+'!$AD$6,"A-",IF(J660&lt;'PlayerGrades+'!$AD$5,"A",IF(J660&lt;'PlayerGrades+'!$AD$4,"A+",IF(J660&lt;'PlayerGrades+'!$AD$3,"S-",IF(J660&lt;'PlayerGrades+'!$AD$2,"S","S+"))))))))))))))))))))</f>
        <v>F-</v>
      </c>
      <c r="L660" s="974">
        <f t="shared" si="5"/>
        <v>0.2521891419</v>
      </c>
      <c r="M660" s="975" t="str">
        <f>IF(L660&lt;'PlayerGrades+'!$AE$21,"F-",IF(L660&lt;'PlayerGrades+'!$AE$20,"F",IF(L660&lt;'PlayerGrades+'!$AE$19,"F+",IF(L660&lt;'PlayerGrades+'!$AE$18,"E-",IF(L660&lt;'PlayerGrades+'!$AE$17,"E",IF(L660&lt;'PlayerGrades+'!$AE$16,"E+",IF(L660&lt;'PlayerGrades+'!$AE$15,"D-",IF(L660&lt;'PlayerGrades+'!$AE$14,"D",IF(L660&lt;'PlayerGrades+'!$AE$13,"D+",IF(L660&lt;'PlayerGrades+'!$AE$12,"C-",IF(L660&lt;'PlayerGrades+'!$AE$11,"C",IF(L660&lt;'PlayerGrades+'!$AE$10,"C+",IF(L660&lt;'PlayerGrades+'!$AE$9,"B-",IF(L660&lt;'PlayerGrades+'!$AE$8,"B",IF(L660&lt;'PlayerGrades+'!$AE$7,"B+",IF(L660&lt;'PlayerGrades+'!$AE$6,"A-",IF(L660&lt;'PlayerGrades+'!$AE$5,"A",IF(L660&lt;'PlayerGrades+'!$AE$4,"A+",IF(L660&lt;'PlayerGrades+'!$AE$3,"S-",IF(L660&lt;'PlayerGrades+'!$AE$2,"S","S+"))))))))))))))))))))</f>
        <v>F</v>
      </c>
      <c r="N660" s="973">
        <f t="shared" si="6"/>
        <v>0.04203152364</v>
      </c>
      <c r="O660" s="973" t="str">
        <f>IF(N660&lt;'PlayerGrades+'!$AF$21,"F-",IF(N660&lt;'PlayerGrades+'!$AF$20,"F",IF(N660&lt;'PlayerGrades+'!$AF$19,"F+",IF(N660&lt;'PlayerGrades+'!$AF$18,"E-",IF(N660&lt;'PlayerGrades+'!$AF$17,"E",IF(N660&lt;'PlayerGrades+'!$AF$16,"E+",IF(N660&lt;'PlayerGrades+'!$AF$15,"D-",IF(N660&lt;'PlayerGrades+'!$AF$14,"D",IF(N660&lt;'PlayerGrades+'!$AF$13,"D+",IF(N660&lt;'PlayerGrades+'!$AF$12,"C-",IF(N660&lt;'PlayerGrades+'!$AF$11,"C",IF(N660&lt;'PlayerGrades+'!$AF$10,"C+",IF(N660&lt;'PlayerGrades+'!$AF$9,"B-",IF(N660&lt;'PlayerGrades+'!$AF$8,"B",IF(N660&lt;'PlayerGrades+'!$AF$7,"B+",IF(N660&lt;'PlayerGrades+'!$AF$6,"A-",IF(N660&lt;'PlayerGrades+'!$AF$5,"A",IF(N660&lt;'PlayerGrades+'!$AF$4,"A+",IF(N660&lt;'PlayerGrades+'!$AF$3,"S-",IF(N660&lt;'PlayerGrades+'!$AF$2,"S","S+"))))))))))))))))))))</f>
        <v>E</v>
      </c>
      <c r="P660" s="973">
        <f t="shared" si="7"/>
        <v>0</v>
      </c>
      <c r="Q660" s="973" t="str">
        <f>IF(P660&lt;'PlayerGrades+'!$AG$21,"F-",IF(P660&lt;'PlayerGrades+'!$AG$20,"F",IF(P660&lt;'PlayerGrades+'!$AG$19,"F+",IF(P660&lt;'PlayerGrades+'!$AG$18,"E-",IF(P660&lt;'PlayerGrades+'!$AG$17,"E",IF(P660&lt;'PlayerGrades+'!$AG$16,"E+",IF(P660&lt;'PlayerGrades+'!$AG$15,"D-",IF(P660&lt;'PlayerGrades+'!$AG$14,"D",IF(P660&lt;'PlayerGrades+'!$AG$13,"D+",IF(P660&lt;'PlayerGrades+'!$AG$12,"C-",IF(P660&lt;'PlayerGrades+'!$AG$11,"C",IF(P660&lt;'PlayerGrades+'!$AG$10,"C+",IF(P660&lt;'PlayerGrades+'!$AG$9,"B-",IF(P660&lt;'PlayerGrades+'!$AG$8,"B",IF(P660&lt;'PlayerGrades+'!$AG$7,"B+",IF(P660&lt;'PlayerGrades+'!$AG$6,"A-",IF(P660&lt;'PlayerGrades+'!$AG$5,"A",IF(P660&lt;'PlayerGrades+'!$AG$4,"A+",IF(P660&lt;'PlayerGrades+'!$AG$3,"S-",IF(P660&lt;'PlayerGrades+'!$AG$2,"S","S+"))))))))))))))))))))</f>
        <v>F</v>
      </c>
      <c r="R660" s="973">
        <f t="shared" si="8"/>
        <v>0.6514886165</v>
      </c>
      <c r="S660" s="973" t="str">
        <f>IF(R660&lt;'PlayerGrades+'!$AH$21,"F-",IF(R660&lt;'PlayerGrades+'!$AH$20,"F",IF(R660&lt;'PlayerGrades+'!$AH$19,"F+",IF(R660&lt;'PlayerGrades+'!$AH$18,"E-",IF(R660&lt;'PlayerGrades+'!$AH$17,"E",IF(R660&lt;'PlayerGrades+'!$AH$16,"E+",IF(R660&lt;'PlayerGrades+'!$AH$15,"D-",IF(R660&lt;'PlayerGrades+'!$AH$14,"D",IF(R660&lt;'PlayerGrades+'!$AH$13,"D+",IF(R660&lt;'PlayerGrades+'!$AH$12,"C-",IF(R660&lt;'PlayerGrades+'!$AH$11,"C",IF(R660&lt;'PlayerGrades+'!$AH$10,"C+",IF(R660&lt;'PlayerGrades+'!$AH$9,"B-",IF(R660&lt;'PlayerGrades+'!$AH$8,"B",IF(R660&lt;'PlayerGrades+'!$AH$7,"B+",IF(R660&lt;'PlayerGrades+'!$AH$6,"A-",IF(R660&lt;'PlayerGrades+'!$AH$5,"A",IF(R660&lt;'PlayerGrades+'!$AH$4,"A+",IF(R660&lt;'PlayerGrades+'!$AH$3,"S-",IF(R660&lt;'PlayerGrades+'!$AH$2,"S","S+"))))))))))))))))))))</f>
        <v>A+</v>
      </c>
      <c r="T660" s="973">
        <f t="shared" si="9"/>
        <v>1.336252189</v>
      </c>
      <c r="U660" s="973" t="str">
        <f>IF(T660&lt;'PlayerGrades+'!$AI$21,"F-",IF(T660&lt;'PlayerGrades+'!$AI$20,"F",IF(T660&lt;'PlayerGrades+'!$AI$19,"F+",IF(T660&lt;'PlayerGrades+'!$AI$18,"E-",IF(T660&lt;'PlayerGrades+'!$AI$17,"E",IF(T660&lt;'PlayerGrades+'!$AI$16,"E+",IF(T660&lt;'PlayerGrades+'!$AI$15,"D-",IF(T660&lt;'PlayerGrades+'!$AI$14,"D",IF(T660&lt;'PlayerGrades+'!$AI$13,"D+",IF(T660&lt;'PlayerGrades+'!$AI$12,"C-",IF(T660&lt;'PlayerGrades+'!$AI$11,"C",IF(T660&lt;'PlayerGrades+'!$AI$10,"C+",IF(T660&lt;'PlayerGrades+'!$AI$9,"B-",IF(T660&lt;'PlayerGrades+'!$AI$8,"B",IF(T660&lt;'PlayerGrades+'!$AI$7,"B+",IF(T660&lt;'PlayerGrades+'!$AI$6,"A-",IF(T660&lt;'PlayerGrades+'!$AI$5,"A",IF(T660&lt;'PlayerGrades+'!$AI$4,"A+",IF(T660&lt;'PlayerGrades+'!$AI$3,"S-",IF(T660&lt;'PlayerGrades+'!$AI$2,"S","S+"))))))))))))))))))))</f>
        <v>B-</v>
      </c>
      <c r="V660" s="941">
        <v>1.0</v>
      </c>
      <c r="W660" s="941">
        <v>1.0</v>
      </c>
      <c r="X660" s="941">
        <v>0.0</v>
      </c>
      <c r="Y660" s="941">
        <v>0.0</v>
      </c>
      <c r="Z660" s="941">
        <v>0.0</v>
      </c>
      <c r="AA660" s="941">
        <v>100.0</v>
      </c>
      <c r="AB660" s="941">
        <v>167.0</v>
      </c>
      <c r="AC660" s="941">
        <v>-67.0</v>
      </c>
      <c r="AD660" s="941">
        <v>19.0</v>
      </c>
      <c r="AE660" s="941">
        <v>4.0</v>
      </c>
      <c r="AF660" s="941">
        <v>6.0</v>
      </c>
      <c r="AG660" s="941">
        <v>2257.0</v>
      </c>
      <c r="AH660" s="941">
        <v>2855.0</v>
      </c>
      <c r="AI660" s="941">
        <v>13.0</v>
      </c>
      <c r="AJ660" s="941">
        <v>5.0</v>
      </c>
      <c r="AK660" s="941">
        <v>0.0</v>
      </c>
      <c r="AL660" s="941">
        <v>0.0</v>
      </c>
      <c r="AM660" s="941">
        <v>0.0</v>
      </c>
      <c r="AN660" s="941">
        <v>0.0</v>
      </c>
      <c r="AO660" s="941">
        <v>0.0</v>
      </c>
      <c r="AP660" s="941">
        <v>0.0</v>
      </c>
      <c r="AQ660" s="941">
        <v>0.0</v>
      </c>
      <c r="AR660" s="941">
        <v>12.0</v>
      </c>
      <c r="AS660" s="941">
        <v>2.0</v>
      </c>
      <c r="AT660" s="941">
        <v>0.0</v>
      </c>
      <c r="AU660" s="941">
        <v>0.0</v>
      </c>
      <c r="AV660" s="941">
        <v>0.0</v>
      </c>
      <c r="AW660" s="941">
        <v>0.0</v>
      </c>
      <c r="AX660" s="941">
        <v>0.0</v>
      </c>
      <c r="AY660" s="941">
        <v>0.0</v>
      </c>
      <c r="AZ660" s="941">
        <v>0.0</v>
      </c>
      <c r="BA660" s="941">
        <v>0.0</v>
      </c>
      <c r="BB660" s="941">
        <v>0.0</v>
      </c>
      <c r="BC660" s="941">
        <v>0.0</v>
      </c>
      <c r="BD660" s="941">
        <v>12.0</v>
      </c>
      <c r="BE660" s="941">
        <v>16.0</v>
      </c>
      <c r="BF660" s="941">
        <v>1.0</v>
      </c>
      <c r="BG660" s="941">
        <v>0.0</v>
      </c>
    </row>
    <row r="661">
      <c r="A661" s="1" t="s">
        <v>136</v>
      </c>
      <c r="B661" s="421" t="str">
        <f>IF(C661&lt;'PlayerGrades+'!$Y$44,"F-",IF(C661&lt;'PlayerGrades+'!$Y$43,"F",IF(C661&lt;'PlayerGrades+'!$Y$42,"F+",IF(C661&lt;'PlayerGrades+'!$Y$41,"E-",IF(C661&lt;'PlayerGrades+'!$Y$40,"E",IF(C661&lt;'PlayerGrades+'!$Y$39,"E+",IF(C661&lt;'PlayerGrades+'!$Y$38,"D-",IF(C661&lt;'PlayerGrades+'!$Y$37,"D",IF(C661&lt;'PlayerGrades+'!$Y$36,"D+",IF(C661&lt;'PlayerGrades+'!$Y$35,"C-",IF(C661&lt;'PlayerGrades+'!$Y$34,"C",IF(C661&lt;'PlayerGrades+'!$Y$33,"C+",IF(C661&lt;'PlayerGrades+'!$Y$32,"B-",IF(C661&lt;'PlayerGrades+'!$Y$31,"B",IF(C661&lt;'PlayerGrades+'!$Y$30,"B+",IF(C661&lt;'PlayerGrades+'!$Y$29,"A-",IF(C661&lt;'PlayerGrades+'!$Y$28,"A",IF(C661&lt;'PlayerGrades+'!$Y$27,"A+",IF(C661&lt;'PlayerGrades+'!$Y$26,"S-",IF(C661&lt;'PlayerGrades+'!$Y$25,"S","S+"))))))))))))))))))))</f>
        <v>C+</v>
      </c>
      <c r="C661" s="972">
        <f>('PlayerGrades+'!$Y$47*(VLOOKUP(E661, 'PlayerGrades+'!$X$3:$Y$23, 2, FALSE)))+('PlayerGrades+'!$Y$48*(VLOOKUP(G661, 'PlayerGrades+'!$X$3:$Y$23, 2, FALSE)))+('PlayerGrades+'!$Y$49*(VLOOKUP(I661, 'PlayerGrades+'!$X$3:$Y$23, 2, FALSE)))+('PlayerGrades+'!$Y$50*(VLOOKUP(K661, 'PlayerGrades+'!$X$3:$Y$23, 2, FALSE)))+('PlayerGrades+'!$Y$51*(VLOOKUP(M661, 'PlayerGrades+'!$X$3:$Y$23, 2, FALSE)))+('PlayerGrades+'!$Y$52*(VLOOKUP(O661, 'PlayerGrades+'!$X$3:$Y$23, 2, FALSE)))+('PlayerGrades+'!$Y$53*(VLOOKUP(Q661, 'PlayerGrades+'!$X$3:$Y$23, 2, FALSE)))+('PlayerGrades+'!$Y$54*(VLOOKUP(S661, 'PlayerGrades+'!$X$3:$Y$23, 2, FALSE)))+('PlayerGrades+'!$Y$55*(VLOOKUP(U661, 'PlayerGrades+'!$X$3:$Y$23, 2, FALSE)))</f>
        <v>21.45</v>
      </c>
      <c r="D661" s="973">
        <f t="shared" si="1"/>
        <v>0</v>
      </c>
      <c r="E661" s="973" t="str">
        <f>IF(D661&lt;'PlayerGrades+'!$AA$21,"F-",IF(D661&lt;'PlayerGrades+'!$AA$20,"F",IF(D661&lt;'PlayerGrades+'!$AA$19,"F+",IF(D661&lt;'PlayerGrades+'!$AA$18,"E-",IF(D661&lt;'PlayerGrades+'!$AA$17,"E",IF(D661&lt;'PlayerGrades+'!$AA$16,"E+",IF(D661&lt;'PlayerGrades+'!$AA$15,"D-",IF(D661&lt;'PlayerGrades+'!$AA$14,"D",IF(D661&lt;'PlayerGrades+'!$AA$13,"D+",IF(D661&lt;'PlayerGrades+'!$AA$12,"C-",IF(D661&lt;'PlayerGrades+'!$AA$11,"C",IF(D661&lt;'PlayerGrades+'!$AA$10,"C+",IF(D661&lt;'PlayerGrades+'!$AA$9,"B-",IF(D661&lt;'PlayerGrades+'!$AA$8,"B",IF(D661&lt;'PlayerGrades+'!$AA$7,"B+",IF(D661&lt;'PlayerGrades+'!$AA$6,"A-",IF(D661&lt;'PlayerGrades+'!$AA$5,"A",IF(D661&lt;'PlayerGrades+'!$AA$4,"A+",IF(D661&lt;'PlayerGrades+'!$AA$3,"S-",IF(D661&lt;'PlayerGrades+'!$AA$2,"S","S+"))))))))))))))))))))</f>
        <v>F-</v>
      </c>
      <c r="F661" s="973">
        <f t="shared" si="2"/>
        <v>0.1891418564</v>
      </c>
      <c r="G661" s="973" t="str">
        <f>IF(F661&lt;'PlayerGrades+'!$AB$21,"F-",IF(F661&lt;'PlayerGrades+'!$AB$20,"F",IF(F661&lt;'PlayerGrades+'!$AB$19,"F+",IF(F661&lt;'PlayerGrades+'!$AB$18,"E-",IF(F661&lt;'PlayerGrades+'!$AB$17,"E",IF(F661&lt;'PlayerGrades+'!$AB$16,"E+",IF(F661&lt;'PlayerGrades+'!$AB$15,"D-",IF(F661&lt;'PlayerGrades+'!$AB$14,"D",IF(F661&lt;'PlayerGrades+'!$AB$13,"D+",IF(F661&lt;'PlayerGrades+'!$AB$12,"C-",IF(F661&lt;'PlayerGrades+'!$AB$11,"C",IF(F661&lt;'PlayerGrades+'!$AB$10,"C+",IF(F661&lt;'PlayerGrades+'!$AB$9,"B-",IF(F661&lt;'PlayerGrades+'!$AB$8,"B",IF(F661&lt;'PlayerGrades+'!$AB$7,"B+",IF(F661&lt;'PlayerGrades+'!$AB$6,"A-",IF(F661&lt;'PlayerGrades+'!$AB$5,"A",IF(F661&lt;'PlayerGrades+'!$AB$4,"A+",IF(F661&lt;'PlayerGrades+'!$AB$3,"S-",IF(F661&lt;'PlayerGrades+'!$AB$2,"S","S+"))))))))))))))))))))</f>
        <v>B+</v>
      </c>
      <c r="H661" s="973">
        <f t="shared" si="3"/>
        <v>0.04203152364</v>
      </c>
      <c r="I661" s="973" t="str">
        <f>IF(H661&lt;'PlayerGrades+'!$AC$21,"F-",IF(H661&lt;'PlayerGrades+'!$AC$20,"F",IF(H661&lt;'PlayerGrades+'!$AC$19,"F+",IF(H661&lt;'PlayerGrades+'!$AC$18,"E-",IF(H661&lt;'PlayerGrades+'!$AC$17,"E",IF(H661&lt;'PlayerGrades+'!$AC$16,"E+",IF(H661&lt;'PlayerGrades+'!$AC$15,"D-",IF(H661&lt;'PlayerGrades+'!$AC$14,"D",IF(H661&lt;'PlayerGrades+'!$AC$13,"D+",IF(H661&lt;'PlayerGrades+'!$AC$12,"C-",IF(H661&lt;'PlayerGrades+'!$AC$11,"C",IF(H661&lt;'PlayerGrades+'!$AC$10,"C+",IF(H661&lt;'PlayerGrades+'!$AC$9,"B-",IF(H661&lt;'PlayerGrades+'!$AC$8,"B",IF(H661&lt;'PlayerGrades+'!$AC$7,"B+",IF(H661&lt;'PlayerGrades+'!$AC$6,"A-",IF(H661&lt;'PlayerGrades+'!$AC$5,"A",IF(H661&lt;'PlayerGrades+'!$AC$4,"A+",IF(H661&lt;'PlayerGrades+'!$AC$3,"S-",IF(H661&lt;'PlayerGrades+'!$AC$2,"S","S+"))))))))))))))))))))</f>
        <v>F</v>
      </c>
      <c r="J661" s="973">
        <f t="shared" si="4"/>
        <v>0</v>
      </c>
      <c r="K661" s="973" t="str">
        <f>IF(J661&lt;'PlayerGrades+'!$AD$21,"F-",IF(J661&lt;'PlayerGrades+'!$AD$20,"F",IF(J661&lt;'PlayerGrades+'!$AD$19,"F+",IF(J661&lt;'PlayerGrades+'!$AD$18,"E-",IF(J661&lt;'PlayerGrades+'!$AD$17,"E",IF(J661&lt;'PlayerGrades+'!$AD$16,"E+",IF(J661&lt;'PlayerGrades+'!$AD$15,"D-",IF(J661&lt;'PlayerGrades+'!$AD$14,"D",IF(J661&lt;'PlayerGrades+'!$AD$13,"D+",IF(J661&lt;'PlayerGrades+'!$AD$12,"C-",IF(J661&lt;'PlayerGrades+'!$AD$11,"C",IF(J661&lt;'PlayerGrades+'!$AD$10,"C+",IF(J661&lt;'PlayerGrades+'!$AD$9,"B-",IF(J661&lt;'PlayerGrades+'!$AD$8,"B",IF(J661&lt;'PlayerGrades+'!$AD$7,"B+",IF(J661&lt;'PlayerGrades+'!$AD$6,"A-",IF(J661&lt;'PlayerGrades+'!$AD$5,"A",IF(J661&lt;'PlayerGrades+'!$AD$4,"A+",IF(J661&lt;'PlayerGrades+'!$AD$3,"S-",IF(J661&lt;'PlayerGrades+'!$AD$2,"S","S+"))))))))))))))))))))</f>
        <v>F-</v>
      </c>
      <c r="L661" s="974">
        <f t="shared" si="5"/>
        <v>0.7145359019</v>
      </c>
      <c r="M661" s="975" t="str">
        <f>IF(L661&lt;'PlayerGrades+'!$AE$21,"F-",IF(L661&lt;'PlayerGrades+'!$AE$20,"F",IF(L661&lt;'PlayerGrades+'!$AE$19,"F+",IF(L661&lt;'PlayerGrades+'!$AE$18,"E-",IF(L661&lt;'PlayerGrades+'!$AE$17,"E",IF(L661&lt;'PlayerGrades+'!$AE$16,"E+",IF(L661&lt;'PlayerGrades+'!$AE$15,"D-",IF(L661&lt;'PlayerGrades+'!$AE$14,"D",IF(L661&lt;'PlayerGrades+'!$AE$13,"D+",IF(L661&lt;'PlayerGrades+'!$AE$12,"C-",IF(L661&lt;'PlayerGrades+'!$AE$11,"C",IF(L661&lt;'PlayerGrades+'!$AE$10,"C+",IF(L661&lt;'PlayerGrades+'!$AE$9,"B-",IF(L661&lt;'PlayerGrades+'!$AE$8,"B",IF(L661&lt;'PlayerGrades+'!$AE$7,"B+",IF(L661&lt;'PlayerGrades+'!$AE$6,"A-",IF(L661&lt;'PlayerGrades+'!$AE$5,"A",IF(L661&lt;'PlayerGrades+'!$AE$4,"A+",IF(L661&lt;'PlayerGrades+'!$AE$3,"S-",IF(L661&lt;'PlayerGrades+'!$AE$2,"S","S+"))))))))))))))))))))</f>
        <v>S+</v>
      </c>
      <c r="N661" s="973">
        <f t="shared" si="6"/>
        <v>0.1681260946</v>
      </c>
      <c r="O661" s="973" t="str">
        <f>IF(N661&lt;'PlayerGrades+'!$AF$21,"F-",IF(N661&lt;'PlayerGrades+'!$AF$20,"F",IF(N661&lt;'PlayerGrades+'!$AF$19,"F+",IF(N661&lt;'PlayerGrades+'!$AF$18,"E-",IF(N661&lt;'PlayerGrades+'!$AF$17,"E",IF(N661&lt;'PlayerGrades+'!$AF$16,"E+",IF(N661&lt;'PlayerGrades+'!$AF$15,"D-",IF(N661&lt;'PlayerGrades+'!$AF$14,"D",IF(N661&lt;'PlayerGrades+'!$AF$13,"D+",IF(N661&lt;'PlayerGrades+'!$AF$12,"C-",IF(N661&lt;'PlayerGrades+'!$AF$11,"C",IF(N661&lt;'PlayerGrades+'!$AF$10,"C+",IF(N661&lt;'PlayerGrades+'!$AF$9,"B-",IF(N661&lt;'PlayerGrades+'!$AF$8,"B",IF(N661&lt;'PlayerGrades+'!$AF$7,"B+",IF(N661&lt;'PlayerGrades+'!$AF$6,"A-",IF(N661&lt;'PlayerGrades+'!$AF$5,"A",IF(N661&lt;'PlayerGrades+'!$AF$4,"A+",IF(N661&lt;'PlayerGrades+'!$AF$3,"S-",IF(N661&lt;'PlayerGrades+'!$AF$2,"S","S+"))))))))))))))))))))</f>
        <v>S+</v>
      </c>
      <c r="P661" s="973">
        <f t="shared" si="7"/>
        <v>0</v>
      </c>
      <c r="Q661" s="973" t="str">
        <f>IF(P661&lt;'PlayerGrades+'!$AG$21,"F-",IF(P661&lt;'PlayerGrades+'!$AG$20,"F",IF(P661&lt;'PlayerGrades+'!$AG$19,"F+",IF(P661&lt;'PlayerGrades+'!$AG$18,"E-",IF(P661&lt;'PlayerGrades+'!$AG$17,"E",IF(P661&lt;'PlayerGrades+'!$AG$16,"E+",IF(P661&lt;'PlayerGrades+'!$AG$15,"D-",IF(P661&lt;'PlayerGrades+'!$AG$14,"D",IF(P661&lt;'PlayerGrades+'!$AG$13,"D+",IF(P661&lt;'PlayerGrades+'!$AG$12,"C-",IF(P661&lt;'PlayerGrades+'!$AG$11,"C",IF(P661&lt;'PlayerGrades+'!$AG$10,"C+",IF(P661&lt;'PlayerGrades+'!$AG$9,"B-",IF(P661&lt;'PlayerGrades+'!$AG$8,"B",IF(P661&lt;'PlayerGrades+'!$AG$7,"B+",IF(P661&lt;'PlayerGrades+'!$AG$6,"A-",IF(P661&lt;'PlayerGrades+'!$AG$5,"A",IF(P661&lt;'PlayerGrades+'!$AG$4,"A+",IF(P661&lt;'PlayerGrades+'!$AG$3,"S-",IF(P661&lt;'PlayerGrades+'!$AG$2,"S","S+"))))))))))))))))))))</f>
        <v>F</v>
      </c>
      <c r="R661" s="973">
        <f t="shared" si="8"/>
        <v>0.6514886165</v>
      </c>
      <c r="S661" s="973" t="str">
        <f>IF(R661&lt;'PlayerGrades+'!$AH$21,"F-",IF(R661&lt;'PlayerGrades+'!$AH$20,"F",IF(R661&lt;'PlayerGrades+'!$AH$19,"F+",IF(R661&lt;'PlayerGrades+'!$AH$18,"E-",IF(R661&lt;'PlayerGrades+'!$AH$17,"E",IF(R661&lt;'PlayerGrades+'!$AH$16,"E+",IF(R661&lt;'PlayerGrades+'!$AH$15,"D-",IF(R661&lt;'PlayerGrades+'!$AH$14,"D",IF(R661&lt;'PlayerGrades+'!$AH$13,"D+",IF(R661&lt;'PlayerGrades+'!$AH$12,"C-",IF(R661&lt;'PlayerGrades+'!$AH$11,"C",IF(R661&lt;'PlayerGrades+'!$AH$10,"C+",IF(R661&lt;'PlayerGrades+'!$AH$9,"B-",IF(R661&lt;'PlayerGrades+'!$AH$8,"B",IF(R661&lt;'PlayerGrades+'!$AH$7,"B+",IF(R661&lt;'PlayerGrades+'!$AH$6,"A-",IF(R661&lt;'PlayerGrades+'!$AH$5,"A",IF(R661&lt;'PlayerGrades+'!$AH$4,"A+",IF(R661&lt;'PlayerGrades+'!$AH$3,"S-",IF(R661&lt;'PlayerGrades+'!$AH$2,"S","S+"))))))))))))))))))))</f>
        <v>A+</v>
      </c>
      <c r="T661" s="973">
        <f t="shared" si="9"/>
        <v>0.6725043783</v>
      </c>
      <c r="U661" s="973" t="str">
        <f>IF(T661&lt;'PlayerGrades+'!$AI$21,"F-",IF(T661&lt;'PlayerGrades+'!$AI$20,"F",IF(T661&lt;'PlayerGrades+'!$AI$19,"F+",IF(T661&lt;'PlayerGrades+'!$AI$18,"E-",IF(T661&lt;'PlayerGrades+'!$AI$17,"E",IF(T661&lt;'PlayerGrades+'!$AI$16,"E+",IF(T661&lt;'PlayerGrades+'!$AI$15,"D-",IF(T661&lt;'PlayerGrades+'!$AI$14,"D",IF(T661&lt;'PlayerGrades+'!$AI$13,"D+",IF(T661&lt;'PlayerGrades+'!$AI$12,"C-",IF(T661&lt;'PlayerGrades+'!$AI$11,"C",IF(T661&lt;'PlayerGrades+'!$AI$10,"C+",IF(T661&lt;'PlayerGrades+'!$AI$9,"B-",IF(T661&lt;'PlayerGrades+'!$AI$8,"B",IF(T661&lt;'PlayerGrades+'!$AI$7,"B+",IF(T661&lt;'PlayerGrades+'!$AI$6,"A-",IF(T661&lt;'PlayerGrades+'!$AI$5,"A",IF(T661&lt;'PlayerGrades+'!$AI$4,"A+",IF(T661&lt;'PlayerGrades+'!$AI$3,"S-",IF(T661&lt;'PlayerGrades+'!$AI$2,"S","S+"))))))))))))))))))))</f>
        <v>F-</v>
      </c>
      <c r="V661" s="941">
        <v>1.0</v>
      </c>
      <c r="W661" s="941">
        <v>1.0</v>
      </c>
      <c r="X661" s="941">
        <v>0.0</v>
      </c>
      <c r="Y661" s="941">
        <v>0.0</v>
      </c>
      <c r="Z661" s="941">
        <v>0.0</v>
      </c>
      <c r="AA661" s="941">
        <v>210.0</v>
      </c>
      <c r="AB661" s="941">
        <v>201.0</v>
      </c>
      <c r="AC661" s="941">
        <v>9.0</v>
      </c>
      <c r="AD661" s="941">
        <v>8.0</v>
      </c>
      <c r="AE661" s="941">
        <v>4.0</v>
      </c>
      <c r="AF661" s="941">
        <v>2.0</v>
      </c>
      <c r="AG661" s="941">
        <v>2158.0</v>
      </c>
      <c r="AH661" s="941">
        <v>2855.0</v>
      </c>
      <c r="AI661" s="941">
        <v>10.0</v>
      </c>
      <c r="AJ661" s="941">
        <v>20.0</v>
      </c>
      <c r="AK661" s="941">
        <v>0.0</v>
      </c>
      <c r="AL661" s="941">
        <v>0.0</v>
      </c>
      <c r="AM661" s="941">
        <v>0.0</v>
      </c>
      <c r="AN661" s="941">
        <v>0.0</v>
      </c>
      <c r="AO661" s="941">
        <v>0.0</v>
      </c>
      <c r="AP661" s="941">
        <v>0.0</v>
      </c>
      <c r="AQ661" s="941">
        <v>0.0</v>
      </c>
      <c r="AR661" s="941">
        <v>34.0</v>
      </c>
      <c r="AS661" s="941">
        <v>8.0</v>
      </c>
      <c r="AT661" s="941">
        <v>2.0</v>
      </c>
      <c r="AU661" s="941">
        <v>0.0</v>
      </c>
      <c r="AV661" s="941">
        <v>0.0</v>
      </c>
      <c r="AW661" s="941">
        <v>0.0</v>
      </c>
      <c r="AX661" s="941">
        <v>0.0</v>
      </c>
      <c r="AY661" s="941">
        <v>0.0</v>
      </c>
      <c r="AZ661" s="941">
        <v>0.0</v>
      </c>
      <c r="BA661" s="941">
        <v>0.0</v>
      </c>
      <c r="BB661" s="941">
        <v>2.0</v>
      </c>
      <c r="BC661" s="941">
        <v>0.0</v>
      </c>
      <c r="BD661" s="941">
        <v>23.0</v>
      </c>
      <c r="BE661" s="941">
        <v>32.0</v>
      </c>
      <c r="BF661" s="941">
        <v>0.0</v>
      </c>
      <c r="BG661" s="941">
        <v>0.0</v>
      </c>
    </row>
    <row r="662">
      <c r="A662" s="1" t="s">
        <v>149</v>
      </c>
      <c r="B662" s="421" t="str">
        <f>IF(C662&lt;'PlayerGrades+'!$Y$44,"F-",IF(C662&lt;'PlayerGrades+'!$Y$43,"F",IF(C662&lt;'PlayerGrades+'!$Y$42,"F+",IF(C662&lt;'PlayerGrades+'!$Y$41,"E-",IF(C662&lt;'PlayerGrades+'!$Y$40,"E",IF(C662&lt;'PlayerGrades+'!$Y$39,"E+",IF(C662&lt;'PlayerGrades+'!$Y$38,"D-",IF(C662&lt;'PlayerGrades+'!$Y$37,"D",IF(C662&lt;'PlayerGrades+'!$Y$36,"D+",IF(C662&lt;'PlayerGrades+'!$Y$35,"C-",IF(C662&lt;'PlayerGrades+'!$Y$34,"C",IF(C662&lt;'PlayerGrades+'!$Y$33,"C+",IF(C662&lt;'PlayerGrades+'!$Y$32,"B-",IF(C662&lt;'PlayerGrades+'!$Y$31,"B",IF(C662&lt;'PlayerGrades+'!$Y$30,"B+",IF(C662&lt;'PlayerGrades+'!$Y$29,"A-",IF(C662&lt;'PlayerGrades+'!$Y$28,"A",IF(C662&lt;'PlayerGrades+'!$Y$27,"A+",IF(C662&lt;'PlayerGrades+'!$Y$26,"S-",IF(C662&lt;'PlayerGrades+'!$Y$25,"S","S+"))))))))))))))))))))</f>
        <v>D+</v>
      </c>
      <c r="C662" s="972">
        <f>('PlayerGrades+'!$Y$47*(VLOOKUP(E662, 'PlayerGrades+'!$X$3:$Y$23, 2, FALSE)))+('PlayerGrades+'!$Y$48*(VLOOKUP(G662, 'PlayerGrades+'!$X$3:$Y$23, 2, FALSE)))+('PlayerGrades+'!$Y$49*(VLOOKUP(I662, 'PlayerGrades+'!$X$3:$Y$23, 2, FALSE)))+('PlayerGrades+'!$Y$50*(VLOOKUP(K662, 'PlayerGrades+'!$X$3:$Y$23, 2, FALSE)))+('PlayerGrades+'!$Y$51*(VLOOKUP(M662, 'PlayerGrades+'!$X$3:$Y$23, 2, FALSE)))+('PlayerGrades+'!$Y$52*(VLOOKUP(O662, 'PlayerGrades+'!$X$3:$Y$23, 2, FALSE)))+('PlayerGrades+'!$Y$53*(VLOOKUP(Q662, 'PlayerGrades+'!$X$3:$Y$23, 2, FALSE)))+('PlayerGrades+'!$Y$54*(VLOOKUP(S662, 'PlayerGrades+'!$X$3:$Y$23, 2, FALSE)))+('PlayerGrades+'!$Y$55*(VLOOKUP(U662, 'PlayerGrades+'!$X$3:$Y$23, 2, FALSE)))</f>
        <v>17.45</v>
      </c>
      <c r="D662" s="973">
        <f t="shared" si="1"/>
        <v>0.7565674256</v>
      </c>
      <c r="E662" s="973" t="str">
        <f>IF(D662&lt;'PlayerGrades+'!$AA$21,"F-",IF(D662&lt;'PlayerGrades+'!$AA$20,"F",IF(D662&lt;'PlayerGrades+'!$AA$19,"F+",IF(D662&lt;'PlayerGrades+'!$AA$18,"E-",IF(D662&lt;'PlayerGrades+'!$AA$17,"E",IF(D662&lt;'PlayerGrades+'!$AA$16,"E+",IF(D662&lt;'PlayerGrades+'!$AA$15,"D-",IF(D662&lt;'PlayerGrades+'!$AA$14,"D",IF(D662&lt;'PlayerGrades+'!$AA$13,"D+",IF(D662&lt;'PlayerGrades+'!$AA$12,"C-",IF(D662&lt;'PlayerGrades+'!$AA$11,"C",IF(D662&lt;'PlayerGrades+'!$AA$10,"C+",IF(D662&lt;'PlayerGrades+'!$AA$9,"B-",IF(D662&lt;'PlayerGrades+'!$AA$8,"B",IF(D662&lt;'PlayerGrades+'!$AA$7,"B+",IF(D662&lt;'PlayerGrades+'!$AA$6,"A-",IF(D662&lt;'PlayerGrades+'!$AA$5,"A",IF(D662&lt;'PlayerGrades+'!$AA$4,"A+",IF(D662&lt;'PlayerGrades+'!$AA$3,"S-",IF(D662&lt;'PlayerGrades+'!$AA$2,"S","S+"))))))))))))))))))))</f>
        <v>S</v>
      </c>
      <c r="F662" s="973">
        <f t="shared" si="2"/>
        <v>0.3992994746</v>
      </c>
      <c r="G662" s="973" t="str">
        <f>IF(F662&lt;'PlayerGrades+'!$AB$21,"F-",IF(F662&lt;'PlayerGrades+'!$AB$20,"F",IF(F662&lt;'PlayerGrades+'!$AB$19,"F+",IF(F662&lt;'PlayerGrades+'!$AB$18,"E-",IF(F662&lt;'PlayerGrades+'!$AB$17,"E",IF(F662&lt;'PlayerGrades+'!$AB$16,"E+",IF(F662&lt;'PlayerGrades+'!$AB$15,"D-",IF(F662&lt;'PlayerGrades+'!$AB$14,"D",IF(F662&lt;'PlayerGrades+'!$AB$13,"D+",IF(F662&lt;'PlayerGrades+'!$AB$12,"C-",IF(F662&lt;'PlayerGrades+'!$AB$11,"C",IF(F662&lt;'PlayerGrades+'!$AB$10,"C+",IF(F662&lt;'PlayerGrades+'!$AB$9,"B-",IF(F662&lt;'PlayerGrades+'!$AB$8,"B",IF(F662&lt;'PlayerGrades+'!$AB$7,"B+",IF(F662&lt;'PlayerGrades+'!$AB$6,"A-",IF(F662&lt;'PlayerGrades+'!$AB$5,"A",IF(F662&lt;'PlayerGrades+'!$AB$4,"A+",IF(F662&lt;'PlayerGrades+'!$AB$3,"S-",IF(F662&lt;'PlayerGrades+'!$AB$2,"S","S+"))))))))))))))))))))</f>
        <v>A</v>
      </c>
      <c r="H662" s="973">
        <f t="shared" si="3"/>
        <v>0.02101576182</v>
      </c>
      <c r="I662" s="973" t="str">
        <f>IF(H662&lt;'PlayerGrades+'!$AC$21,"F-",IF(H662&lt;'PlayerGrades+'!$AC$20,"F",IF(H662&lt;'PlayerGrades+'!$AC$19,"F+",IF(H662&lt;'PlayerGrades+'!$AC$18,"E-",IF(H662&lt;'PlayerGrades+'!$AC$17,"E",IF(H662&lt;'PlayerGrades+'!$AC$16,"E+",IF(H662&lt;'PlayerGrades+'!$AC$15,"D-",IF(H662&lt;'PlayerGrades+'!$AC$14,"D",IF(H662&lt;'PlayerGrades+'!$AC$13,"D+",IF(H662&lt;'PlayerGrades+'!$AC$12,"C-",IF(H662&lt;'PlayerGrades+'!$AC$11,"C",IF(H662&lt;'PlayerGrades+'!$AC$10,"C+",IF(H662&lt;'PlayerGrades+'!$AC$9,"B-",IF(H662&lt;'PlayerGrades+'!$AC$8,"B",IF(H662&lt;'PlayerGrades+'!$AC$7,"B+",IF(H662&lt;'PlayerGrades+'!$AC$6,"A-",IF(H662&lt;'PlayerGrades+'!$AC$5,"A",IF(H662&lt;'PlayerGrades+'!$AC$4,"A+",IF(H662&lt;'PlayerGrades+'!$AC$3,"S-",IF(H662&lt;'PlayerGrades+'!$AC$2,"S","S+"))))))))))))))))))))</f>
        <v>F-</v>
      </c>
      <c r="J662" s="973">
        <f t="shared" si="4"/>
        <v>0.06304728546</v>
      </c>
      <c r="K662" s="973" t="str">
        <f>IF(J662&lt;'PlayerGrades+'!$AD$21,"F-",IF(J662&lt;'PlayerGrades+'!$AD$20,"F",IF(J662&lt;'PlayerGrades+'!$AD$19,"F+",IF(J662&lt;'PlayerGrades+'!$AD$18,"E-",IF(J662&lt;'PlayerGrades+'!$AD$17,"E",IF(J662&lt;'PlayerGrades+'!$AD$16,"E+",IF(J662&lt;'PlayerGrades+'!$AD$15,"D-",IF(J662&lt;'PlayerGrades+'!$AD$14,"D",IF(J662&lt;'PlayerGrades+'!$AD$13,"D+",IF(J662&lt;'PlayerGrades+'!$AD$12,"C-",IF(J662&lt;'PlayerGrades+'!$AD$11,"C",IF(J662&lt;'PlayerGrades+'!$AD$10,"C+",IF(J662&lt;'PlayerGrades+'!$AD$9,"B-",IF(J662&lt;'PlayerGrades+'!$AD$8,"B",IF(J662&lt;'PlayerGrades+'!$AD$7,"B+",IF(J662&lt;'PlayerGrades+'!$AD$6,"A-",IF(J662&lt;'PlayerGrades+'!$AD$5,"A",IF(J662&lt;'PlayerGrades+'!$AD$4,"A+",IF(J662&lt;'PlayerGrades+'!$AD$3,"S-",IF(J662&lt;'PlayerGrades+'!$AD$2,"S","S+"))))))))))))))))))))</f>
        <v>A-</v>
      </c>
      <c r="L662" s="974">
        <f t="shared" si="5"/>
        <v>0.23117338</v>
      </c>
      <c r="M662" s="975" t="str">
        <f>IF(L662&lt;'PlayerGrades+'!$AE$21,"F-",IF(L662&lt;'PlayerGrades+'!$AE$20,"F",IF(L662&lt;'PlayerGrades+'!$AE$19,"F+",IF(L662&lt;'PlayerGrades+'!$AE$18,"E-",IF(L662&lt;'PlayerGrades+'!$AE$17,"E",IF(L662&lt;'PlayerGrades+'!$AE$16,"E+",IF(L662&lt;'PlayerGrades+'!$AE$15,"D-",IF(L662&lt;'PlayerGrades+'!$AE$14,"D",IF(L662&lt;'PlayerGrades+'!$AE$13,"D+",IF(L662&lt;'PlayerGrades+'!$AE$12,"C-",IF(L662&lt;'PlayerGrades+'!$AE$11,"C",IF(L662&lt;'PlayerGrades+'!$AE$10,"C+",IF(L662&lt;'PlayerGrades+'!$AE$9,"B-",IF(L662&lt;'PlayerGrades+'!$AE$8,"B",IF(L662&lt;'PlayerGrades+'!$AE$7,"B+",IF(L662&lt;'PlayerGrades+'!$AE$6,"A-",IF(L662&lt;'PlayerGrades+'!$AE$5,"A",IF(L662&lt;'PlayerGrades+'!$AE$4,"A+",IF(L662&lt;'PlayerGrades+'!$AE$3,"S-",IF(L662&lt;'PlayerGrades+'!$AE$2,"S","S+"))))))))))))))))))))</f>
        <v>F</v>
      </c>
      <c r="N662" s="973">
        <f t="shared" si="6"/>
        <v>0.04203152364</v>
      </c>
      <c r="O662" s="973" t="str">
        <f>IF(N662&lt;'PlayerGrades+'!$AF$21,"F-",IF(N662&lt;'PlayerGrades+'!$AF$20,"F",IF(N662&lt;'PlayerGrades+'!$AF$19,"F+",IF(N662&lt;'PlayerGrades+'!$AF$18,"E-",IF(N662&lt;'PlayerGrades+'!$AF$17,"E",IF(N662&lt;'PlayerGrades+'!$AF$16,"E+",IF(N662&lt;'PlayerGrades+'!$AF$15,"D-",IF(N662&lt;'PlayerGrades+'!$AF$14,"D",IF(N662&lt;'PlayerGrades+'!$AF$13,"D+",IF(N662&lt;'PlayerGrades+'!$AF$12,"C-",IF(N662&lt;'PlayerGrades+'!$AF$11,"C",IF(N662&lt;'PlayerGrades+'!$AF$10,"C+",IF(N662&lt;'PlayerGrades+'!$AF$9,"B-",IF(N662&lt;'PlayerGrades+'!$AF$8,"B",IF(N662&lt;'PlayerGrades+'!$AF$7,"B+",IF(N662&lt;'PlayerGrades+'!$AF$6,"A-",IF(N662&lt;'PlayerGrades+'!$AF$5,"A",IF(N662&lt;'PlayerGrades+'!$AF$4,"A+",IF(N662&lt;'PlayerGrades+'!$AF$3,"S-",IF(N662&lt;'PlayerGrades+'!$AF$2,"S","S+"))))))))))))))))))))</f>
        <v>E</v>
      </c>
      <c r="P662" s="973">
        <f t="shared" si="7"/>
        <v>0</v>
      </c>
      <c r="Q662" s="973" t="str">
        <f>IF(P662&lt;'PlayerGrades+'!$AG$21,"F-",IF(P662&lt;'PlayerGrades+'!$AG$20,"F",IF(P662&lt;'PlayerGrades+'!$AG$19,"F+",IF(P662&lt;'PlayerGrades+'!$AG$18,"E-",IF(P662&lt;'PlayerGrades+'!$AG$17,"E",IF(P662&lt;'PlayerGrades+'!$AG$16,"E+",IF(P662&lt;'PlayerGrades+'!$AG$15,"D-",IF(P662&lt;'PlayerGrades+'!$AG$14,"D",IF(P662&lt;'PlayerGrades+'!$AG$13,"D+",IF(P662&lt;'PlayerGrades+'!$AG$12,"C-",IF(P662&lt;'PlayerGrades+'!$AG$11,"C",IF(P662&lt;'PlayerGrades+'!$AG$10,"C+",IF(P662&lt;'PlayerGrades+'!$AG$9,"B-",IF(P662&lt;'PlayerGrades+'!$AG$8,"B",IF(P662&lt;'PlayerGrades+'!$AG$7,"B+",IF(P662&lt;'PlayerGrades+'!$AG$6,"A-",IF(P662&lt;'PlayerGrades+'!$AG$5,"A",IF(P662&lt;'PlayerGrades+'!$AG$4,"A+",IF(P662&lt;'PlayerGrades+'!$AG$3,"S-",IF(P662&lt;'PlayerGrades+'!$AG$2,"S","S+"))))))))))))))))))))</f>
        <v>F</v>
      </c>
      <c r="R662" s="973">
        <f t="shared" si="8"/>
        <v>0.4833625219</v>
      </c>
      <c r="S662" s="973" t="str">
        <f>IF(R662&lt;'PlayerGrades+'!$AH$21,"F-",IF(R662&lt;'PlayerGrades+'!$AH$20,"F",IF(R662&lt;'PlayerGrades+'!$AH$19,"F+",IF(R662&lt;'PlayerGrades+'!$AH$18,"E-",IF(R662&lt;'PlayerGrades+'!$AH$17,"E",IF(R662&lt;'PlayerGrades+'!$AH$16,"E+",IF(R662&lt;'PlayerGrades+'!$AH$15,"D-",IF(R662&lt;'PlayerGrades+'!$AH$14,"D",IF(R662&lt;'PlayerGrades+'!$AH$13,"D+",IF(R662&lt;'PlayerGrades+'!$AH$12,"C-",IF(R662&lt;'PlayerGrades+'!$AH$11,"C",IF(R662&lt;'PlayerGrades+'!$AH$10,"C+",IF(R662&lt;'PlayerGrades+'!$AH$9,"B-",IF(R662&lt;'PlayerGrades+'!$AH$8,"B",IF(R662&lt;'PlayerGrades+'!$AH$7,"B+",IF(R662&lt;'PlayerGrades+'!$AH$6,"A-",IF(R662&lt;'PlayerGrades+'!$AH$5,"A",IF(R662&lt;'PlayerGrades+'!$AH$4,"A+",IF(R662&lt;'PlayerGrades+'!$AH$3,"S-",IF(R662&lt;'PlayerGrades+'!$AH$2,"S","S+"))))))))))))))))))))</f>
        <v>E+</v>
      </c>
      <c r="T662" s="973">
        <f t="shared" si="9"/>
        <v>4.273204904</v>
      </c>
      <c r="U662" s="973" t="str">
        <f>IF(T662&lt;'PlayerGrades+'!$AI$21,"F-",IF(T662&lt;'PlayerGrades+'!$AI$20,"F",IF(T662&lt;'PlayerGrades+'!$AI$19,"F+",IF(T662&lt;'PlayerGrades+'!$AI$18,"E-",IF(T662&lt;'PlayerGrades+'!$AI$17,"E",IF(T662&lt;'PlayerGrades+'!$AI$16,"E+",IF(T662&lt;'PlayerGrades+'!$AI$15,"D-",IF(T662&lt;'PlayerGrades+'!$AI$14,"D",IF(T662&lt;'PlayerGrades+'!$AI$13,"D+",IF(T662&lt;'PlayerGrades+'!$AI$12,"C-",IF(T662&lt;'PlayerGrades+'!$AI$11,"C",IF(T662&lt;'PlayerGrades+'!$AI$10,"C+",IF(T662&lt;'PlayerGrades+'!$AI$9,"B-",IF(T662&lt;'PlayerGrades+'!$AI$8,"B",IF(T662&lt;'PlayerGrades+'!$AI$7,"B+",IF(T662&lt;'PlayerGrades+'!$AI$6,"A-",IF(T662&lt;'PlayerGrades+'!$AI$5,"A",IF(T662&lt;'PlayerGrades+'!$AI$4,"A+",IF(T662&lt;'PlayerGrades+'!$AI$3,"S-",IF(T662&lt;'PlayerGrades+'!$AI$2,"S","S+"))))))))))))))))))))</f>
        <v>S+</v>
      </c>
      <c r="V662" s="941">
        <v>1.0</v>
      </c>
      <c r="W662" s="941">
        <v>0.0</v>
      </c>
      <c r="X662" s="941">
        <v>1.0</v>
      </c>
      <c r="Y662" s="941">
        <v>1.0</v>
      </c>
      <c r="Z662" s="941">
        <v>35.0</v>
      </c>
      <c r="AA662" s="941">
        <v>90.0</v>
      </c>
      <c r="AB662" s="941">
        <v>71.0</v>
      </c>
      <c r="AC662" s="941">
        <v>19.0</v>
      </c>
      <c r="AD662" s="941">
        <v>3.0</v>
      </c>
      <c r="AE662" s="941">
        <v>6.0</v>
      </c>
      <c r="AF662" s="941">
        <v>0.0</v>
      </c>
      <c r="AG662" s="941">
        <v>2547.0</v>
      </c>
      <c r="AH662" s="941">
        <v>2855.0</v>
      </c>
      <c r="AI662" s="941">
        <v>35.0</v>
      </c>
      <c r="AJ662" s="941">
        <v>1573.0</v>
      </c>
      <c r="AK662" s="941">
        <v>0.0</v>
      </c>
      <c r="AL662" s="941">
        <v>3.0</v>
      </c>
      <c r="AM662" s="941">
        <v>0.0</v>
      </c>
      <c r="AN662" s="941">
        <v>0.0</v>
      </c>
      <c r="AO662" s="941">
        <v>0.0</v>
      </c>
      <c r="AP662" s="941">
        <v>0.0</v>
      </c>
      <c r="AQ662" s="941">
        <v>0.0</v>
      </c>
      <c r="AR662" s="941">
        <v>11.0</v>
      </c>
      <c r="AS662" s="941">
        <v>2.0</v>
      </c>
      <c r="AT662" s="941">
        <v>0.0</v>
      </c>
      <c r="AU662" s="941">
        <v>0.0</v>
      </c>
      <c r="AV662" s="941">
        <v>0.0</v>
      </c>
      <c r="AW662" s="941">
        <v>0.0</v>
      </c>
      <c r="AX662" s="941">
        <v>0.0</v>
      </c>
      <c r="AY662" s="941">
        <v>0.0</v>
      </c>
      <c r="AZ662" s="941">
        <v>0.0</v>
      </c>
      <c r="BA662" s="941">
        <v>0.0</v>
      </c>
      <c r="BB662" s="941">
        <v>1.0</v>
      </c>
      <c r="BC662" s="941">
        <v>0.0</v>
      </c>
      <c r="BD662" s="941">
        <v>20.0</v>
      </c>
      <c r="BE662" s="941">
        <v>13.0</v>
      </c>
      <c r="BF662" s="941">
        <v>4.0</v>
      </c>
      <c r="BG662" s="941">
        <v>1.0</v>
      </c>
    </row>
    <row r="663">
      <c r="A663" s="1" t="s">
        <v>138</v>
      </c>
      <c r="B663" s="421" t="str">
        <f>IF(C663&lt;'PlayerGrades+'!$Y$44,"F-",IF(C663&lt;'PlayerGrades+'!$Y$43,"F",IF(C663&lt;'PlayerGrades+'!$Y$42,"F+",IF(C663&lt;'PlayerGrades+'!$Y$41,"E-",IF(C663&lt;'PlayerGrades+'!$Y$40,"E",IF(C663&lt;'PlayerGrades+'!$Y$39,"E+",IF(C663&lt;'PlayerGrades+'!$Y$38,"D-",IF(C663&lt;'PlayerGrades+'!$Y$37,"D",IF(C663&lt;'PlayerGrades+'!$Y$36,"D+",IF(C663&lt;'PlayerGrades+'!$Y$35,"C-",IF(C663&lt;'PlayerGrades+'!$Y$34,"C",IF(C663&lt;'PlayerGrades+'!$Y$33,"C+",IF(C663&lt;'PlayerGrades+'!$Y$32,"B-",IF(C663&lt;'PlayerGrades+'!$Y$31,"B",IF(C663&lt;'PlayerGrades+'!$Y$30,"B+",IF(C663&lt;'PlayerGrades+'!$Y$29,"A-",IF(C663&lt;'PlayerGrades+'!$Y$28,"A",IF(C663&lt;'PlayerGrades+'!$Y$27,"A+",IF(C663&lt;'PlayerGrades+'!$Y$26,"S-",IF(C663&lt;'PlayerGrades+'!$Y$25,"S","S+"))))))))))))))))))))</f>
        <v>B</v>
      </c>
      <c r="C663" s="972">
        <f>('PlayerGrades+'!$Y$47*(VLOOKUP(E663, 'PlayerGrades+'!$X$3:$Y$23, 2, FALSE)))+('PlayerGrades+'!$Y$48*(VLOOKUP(G663, 'PlayerGrades+'!$X$3:$Y$23, 2, FALSE)))+('PlayerGrades+'!$Y$49*(VLOOKUP(I663, 'PlayerGrades+'!$X$3:$Y$23, 2, FALSE)))+('PlayerGrades+'!$Y$50*(VLOOKUP(K663, 'PlayerGrades+'!$X$3:$Y$23, 2, FALSE)))+('PlayerGrades+'!$Y$51*(VLOOKUP(M663, 'PlayerGrades+'!$X$3:$Y$23, 2, FALSE)))+('PlayerGrades+'!$Y$52*(VLOOKUP(O663, 'PlayerGrades+'!$X$3:$Y$23, 2, FALSE)))+('PlayerGrades+'!$Y$53*(VLOOKUP(Q663, 'PlayerGrades+'!$X$3:$Y$23, 2, FALSE)))+('PlayerGrades+'!$Y$54*(VLOOKUP(S663, 'PlayerGrades+'!$X$3:$Y$23, 2, FALSE)))+('PlayerGrades+'!$Y$55*(VLOOKUP(U663, 'PlayerGrades+'!$X$3:$Y$23, 2, FALSE)))</f>
        <v>22.9</v>
      </c>
      <c r="D663" s="973">
        <f t="shared" si="1"/>
        <v>0.02101576182</v>
      </c>
      <c r="E663" s="973" t="str">
        <f>IF(D663&lt;'PlayerGrades+'!$AA$21,"F-",IF(D663&lt;'PlayerGrades+'!$AA$20,"F",IF(D663&lt;'PlayerGrades+'!$AA$19,"F+",IF(D663&lt;'PlayerGrades+'!$AA$18,"E-",IF(D663&lt;'PlayerGrades+'!$AA$17,"E",IF(D663&lt;'PlayerGrades+'!$AA$16,"E+",IF(D663&lt;'PlayerGrades+'!$AA$15,"D-",IF(D663&lt;'PlayerGrades+'!$AA$14,"D",IF(D663&lt;'PlayerGrades+'!$AA$13,"D+",IF(D663&lt;'PlayerGrades+'!$AA$12,"C-",IF(D663&lt;'PlayerGrades+'!$AA$11,"C",IF(D663&lt;'PlayerGrades+'!$AA$10,"C+",IF(D663&lt;'PlayerGrades+'!$AA$9,"B-",IF(D663&lt;'PlayerGrades+'!$AA$8,"B",IF(D663&lt;'PlayerGrades+'!$AA$7,"B+",IF(D663&lt;'PlayerGrades+'!$AA$6,"A-",IF(D663&lt;'PlayerGrades+'!$AA$5,"A",IF(D663&lt;'PlayerGrades+'!$AA$4,"A+",IF(D663&lt;'PlayerGrades+'!$AA$3,"S-",IF(D663&lt;'PlayerGrades+'!$AA$2,"S","S+"))))))))))))))))))))</f>
        <v>E</v>
      </c>
      <c r="F663" s="973">
        <f t="shared" si="2"/>
        <v>-0.02101576182</v>
      </c>
      <c r="G663" s="973" t="str">
        <f>IF(F663&lt;'PlayerGrades+'!$AB$21,"F-",IF(F663&lt;'PlayerGrades+'!$AB$20,"F",IF(F663&lt;'PlayerGrades+'!$AB$19,"F+",IF(F663&lt;'PlayerGrades+'!$AB$18,"E-",IF(F663&lt;'PlayerGrades+'!$AB$17,"E",IF(F663&lt;'PlayerGrades+'!$AB$16,"E+",IF(F663&lt;'PlayerGrades+'!$AB$15,"D-",IF(F663&lt;'PlayerGrades+'!$AB$14,"D",IF(F663&lt;'PlayerGrades+'!$AB$13,"D+",IF(F663&lt;'PlayerGrades+'!$AB$12,"C-",IF(F663&lt;'PlayerGrades+'!$AB$11,"C",IF(F663&lt;'PlayerGrades+'!$AB$10,"C+",IF(F663&lt;'PlayerGrades+'!$AB$9,"B-",IF(F663&lt;'PlayerGrades+'!$AB$8,"B",IF(F663&lt;'PlayerGrades+'!$AB$7,"B+",IF(F663&lt;'PlayerGrades+'!$AB$6,"A-",IF(F663&lt;'PlayerGrades+'!$AB$5,"A",IF(F663&lt;'PlayerGrades+'!$AB$4,"A+",IF(F663&lt;'PlayerGrades+'!$AB$3,"S-",IF(F663&lt;'PlayerGrades+'!$AB$2,"S","S+"))))))))))))))))))))</f>
        <v>B-</v>
      </c>
      <c r="H663" s="973">
        <f t="shared" si="3"/>
        <v>0.02101576182</v>
      </c>
      <c r="I663" s="973" t="str">
        <f>IF(H663&lt;'PlayerGrades+'!$AC$21,"F-",IF(H663&lt;'PlayerGrades+'!$AC$20,"F",IF(H663&lt;'PlayerGrades+'!$AC$19,"F+",IF(H663&lt;'PlayerGrades+'!$AC$18,"E-",IF(H663&lt;'PlayerGrades+'!$AC$17,"E",IF(H663&lt;'PlayerGrades+'!$AC$16,"E+",IF(H663&lt;'PlayerGrades+'!$AC$15,"D-",IF(H663&lt;'PlayerGrades+'!$AC$14,"D",IF(H663&lt;'PlayerGrades+'!$AC$13,"D+",IF(H663&lt;'PlayerGrades+'!$AC$12,"C-",IF(H663&lt;'PlayerGrades+'!$AC$11,"C",IF(H663&lt;'PlayerGrades+'!$AC$10,"C+",IF(H663&lt;'PlayerGrades+'!$AC$9,"B-",IF(H663&lt;'PlayerGrades+'!$AC$8,"B",IF(H663&lt;'PlayerGrades+'!$AC$7,"B+",IF(H663&lt;'PlayerGrades+'!$AC$6,"A-",IF(H663&lt;'PlayerGrades+'!$AC$5,"A",IF(H663&lt;'PlayerGrades+'!$AC$4,"A+",IF(H663&lt;'PlayerGrades+'!$AC$3,"S-",IF(H663&lt;'PlayerGrades+'!$AC$2,"S","S+"))))))))))))))))))))</f>
        <v>F-</v>
      </c>
      <c r="J663" s="973">
        <f t="shared" si="4"/>
        <v>0.06304728546</v>
      </c>
      <c r="K663" s="973" t="str">
        <f>IF(J663&lt;'PlayerGrades+'!$AD$21,"F-",IF(J663&lt;'PlayerGrades+'!$AD$20,"F",IF(J663&lt;'PlayerGrades+'!$AD$19,"F+",IF(J663&lt;'PlayerGrades+'!$AD$18,"E-",IF(J663&lt;'PlayerGrades+'!$AD$17,"E",IF(J663&lt;'PlayerGrades+'!$AD$16,"E+",IF(J663&lt;'PlayerGrades+'!$AD$15,"D-",IF(J663&lt;'PlayerGrades+'!$AD$14,"D",IF(J663&lt;'PlayerGrades+'!$AD$13,"D+",IF(J663&lt;'PlayerGrades+'!$AD$12,"C-",IF(J663&lt;'PlayerGrades+'!$AD$11,"C",IF(J663&lt;'PlayerGrades+'!$AD$10,"C+",IF(J663&lt;'PlayerGrades+'!$AD$9,"B-",IF(J663&lt;'PlayerGrades+'!$AD$8,"B",IF(J663&lt;'PlayerGrades+'!$AD$7,"B+",IF(J663&lt;'PlayerGrades+'!$AD$6,"A-",IF(J663&lt;'PlayerGrades+'!$AD$5,"A",IF(J663&lt;'PlayerGrades+'!$AD$4,"A+",IF(J663&lt;'PlayerGrades+'!$AD$3,"S-",IF(J663&lt;'PlayerGrades+'!$AD$2,"S","S+"))))))))))))))))))))</f>
        <v>A-</v>
      </c>
      <c r="L663" s="974">
        <f t="shared" si="5"/>
        <v>0.6514886165</v>
      </c>
      <c r="M663" s="975" t="str">
        <f>IF(L663&lt;'PlayerGrades+'!$AE$21,"F-",IF(L663&lt;'PlayerGrades+'!$AE$20,"F",IF(L663&lt;'PlayerGrades+'!$AE$19,"F+",IF(L663&lt;'PlayerGrades+'!$AE$18,"E-",IF(L663&lt;'PlayerGrades+'!$AE$17,"E",IF(L663&lt;'PlayerGrades+'!$AE$16,"E+",IF(L663&lt;'PlayerGrades+'!$AE$15,"D-",IF(L663&lt;'PlayerGrades+'!$AE$14,"D",IF(L663&lt;'PlayerGrades+'!$AE$13,"D+",IF(L663&lt;'PlayerGrades+'!$AE$12,"C-",IF(L663&lt;'PlayerGrades+'!$AE$11,"C",IF(L663&lt;'PlayerGrades+'!$AE$10,"C+",IF(L663&lt;'PlayerGrades+'!$AE$9,"B-",IF(L663&lt;'PlayerGrades+'!$AE$8,"B",IF(L663&lt;'PlayerGrades+'!$AE$7,"B+",IF(L663&lt;'PlayerGrades+'!$AE$6,"A-",IF(L663&lt;'PlayerGrades+'!$AE$5,"A",IF(L663&lt;'PlayerGrades+'!$AE$4,"A+",IF(L663&lt;'PlayerGrades+'!$AE$3,"S-",IF(L663&lt;'PlayerGrades+'!$AE$2,"S","S+"))))))))))))))))))))</f>
        <v>S</v>
      </c>
      <c r="N663" s="973">
        <f t="shared" si="6"/>
        <v>0.06304728546</v>
      </c>
      <c r="O663" s="973" t="str">
        <f>IF(N663&lt;'PlayerGrades+'!$AF$21,"F-",IF(N663&lt;'PlayerGrades+'!$AF$20,"F",IF(N663&lt;'PlayerGrades+'!$AF$19,"F+",IF(N663&lt;'PlayerGrades+'!$AF$18,"E-",IF(N663&lt;'PlayerGrades+'!$AF$17,"E",IF(N663&lt;'PlayerGrades+'!$AF$16,"E+",IF(N663&lt;'PlayerGrades+'!$AF$15,"D-",IF(N663&lt;'PlayerGrades+'!$AF$14,"D",IF(N663&lt;'PlayerGrades+'!$AF$13,"D+",IF(N663&lt;'PlayerGrades+'!$AF$12,"C-",IF(N663&lt;'PlayerGrades+'!$AF$11,"C",IF(N663&lt;'PlayerGrades+'!$AF$10,"C+",IF(N663&lt;'PlayerGrades+'!$AF$9,"B-",IF(N663&lt;'PlayerGrades+'!$AF$8,"B",IF(N663&lt;'PlayerGrades+'!$AF$7,"B+",IF(N663&lt;'PlayerGrades+'!$AF$6,"A-",IF(N663&lt;'PlayerGrades+'!$AF$5,"A",IF(N663&lt;'PlayerGrades+'!$AF$4,"A+",IF(N663&lt;'PlayerGrades+'!$AF$3,"S-",IF(N663&lt;'PlayerGrades+'!$AF$2,"S","S+"))))))))))))))))))))</f>
        <v>C-</v>
      </c>
      <c r="P663" s="973">
        <f t="shared" si="7"/>
        <v>0.06304728546</v>
      </c>
      <c r="Q663" s="973" t="str">
        <f>IF(P663&lt;'PlayerGrades+'!$AG$21,"F-",IF(P663&lt;'PlayerGrades+'!$AG$20,"F",IF(P663&lt;'PlayerGrades+'!$AG$19,"F+",IF(P663&lt;'PlayerGrades+'!$AG$18,"E-",IF(P663&lt;'PlayerGrades+'!$AG$17,"E",IF(P663&lt;'PlayerGrades+'!$AG$16,"E+",IF(P663&lt;'PlayerGrades+'!$AG$15,"D-",IF(P663&lt;'PlayerGrades+'!$AG$14,"D",IF(P663&lt;'PlayerGrades+'!$AG$13,"D+",IF(P663&lt;'PlayerGrades+'!$AG$12,"C-",IF(P663&lt;'PlayerGrades+'!$AG$11,"C",IF(P663&lt;'PlayerGrades+'!$AG$10,"C+",IF(P663&lt;'PlayerGrades+'!$AG$9,"B-",IF(P663&lt;'PlayerGrades+'!$AG$8,"B",IF(P663&lt;'PlayerGrades+'!$AG$7,"B+",IF(P663&lt;'PlayerGrades+'!$AG$6,"A-",IF(P663&lt;'PlayerGrades+'!$AG$5,"A",IF(P663&lt;'PlayerGrades+'!$AG$4,"A+",IF(P663&lt;'PlayerGrades+'!$AG$3,"S-",IF(P663&lt;'PlayerGrades+'!$AG$2,"S","S+"))))))))))))))))))))</f>
        <v>A+</v>
      </c>
      <c r="R663" s="973">
        <f t="shared" si="8"/>
        <v>0.6725043783</v>
      </c>
      <c r="S663" s="973" t="str">
        <f>IF(R663&lt;'PlayerGrades+'!$AH$21,"F-",IF(R663&lt;'PlayerGrades+'!$AH$20,"F",IF(R663&lt;'PlayerGrades+'!$AH$19,"F+",IF(R663&lt;'PlayerGrades+'!$AH$18,"E-",IF(R663&lt;'PlayerGrades+'!$AH$17,"E",IF(R663&lt;'PlayerGrades+'!$AH$16,"E+",IF(R663&lt;'PlayerGrades+'!$AH$15,"D-",IF(R663&lt;'PlayerGrades+'!$AH$14,"D",IF(R663&lt;'PlayerGrades+'!$AH$13,"D+",IF(R663&lt;'PlayerGrades+'!$AH$12,"C-",IF(R663&lt;'PlayerGrades+'!$AH$11,"C",IF(R663&lt;'PlayerGrades+'!$AH$10,"C+",IF(R663&lt;'PlayerGrades+'!$AH$9,"B-",IF(R663&lt;'PlayerGrades+'!$AH$8,"B",IF(R663&lt;'PlayerGrades+'!$AH$7,"B+",IF(R663&lt;'PlayerGrades+'!$AH$6,"A-",IF(R663&lt;'PlayerGrades+'!$AH$5,"A",IF(R663&lt;'PlayerGrades+'!$AH$4,"A+",IF(R663&lt;'PlayerGrades+'!$AH$3,"S-",IF(R663&lt;'PlayerGrades+'!$AH$2,"S","S+"))))))))))))))))))))</f>
        <v>S-</v>
      </c>
      <c r="T663" s="973">
        <f t="shared" si="9"/>
        <v>1.46234676</v>
      </c>
      <c r="U663" s="973" t="str">
        <f>IF(T663&lt;'PlayerGrades+'!$AI$21,"F-",IF(T663&lt;'PlayerGrades+'!$AI$20,"F",IF(T663&lt;'PlayerGrades+'!$AI$19,"F+",IF(T663&lt;'PlayerGrades+'!$AI$18,"E-",IF(T663&lt;'PlayerGrades+'!$AI$17,"E",IF(T663&lt;'PlayerGrades+'!$AI$16,"E+",IF(T663&lt;'PlayerGrades+'!$AI$15,"D-",IF(T663&lt;'PlayerGrades+'!$AI$14,"D",IF(T663&lt;'PlayerGrades+'!$AI$13,"D+",IF(T663&lt;'PlayerGrades+'!$AI$12,"C-",IF(T663&lt;'PlayerGrades+'!$AI$11,"C",IF(T663&lt;'PlayerGrades+'!$AI$10,"C+",IF(T663&lt;'PlayerGrades+'!$AI$9,"B-",IF(T663&lt;'PlayerGrades+'!$AI$8,"B",IF(T663&lt;'PlayerGrades+'!$AI$7,"B+",IF(T663&lt;'PlayerGrades+'!$AI$6,"A-",IF(T663&lt;'PlayerGrades+'!$AI$5,"A",IF(T663&lt;'PlayerGrades+'!$AI$4,"A+",IF(T663&lt;'PlayerGrades+'!$AI$3,"S-",IF(T663&lt;'PlayerGrades+'!$AI$2,"S","S+"))))))))))))))))))))</f>
        <v>A-</v>
      </c>
      <c r="V663" s="941">
        <v>1.0</v>
      </c>
      <c r="W663" s="941">
        <v>0.0</v>
      </c>
      <c r="X663" s="941">
        <v>1.0</v>
      </c>
      <c r="Y663" s="941">
        <v>1.0</v>
      </c>
      <c r="Z663" s="941">
        <v>0.0</v>
      </c>
      <c r="AA663" s="941">
        <v>174.0</v>
      </c>
      <c r="AB663" s="941">
        <v>175.0</v>
      </c>
      <c r="AC663" s="941">
        <v>-1.0</v>
      </c>
      <c r="AD663" s="941">
        <v>10.0</v>
      </c>
      <c r="AE663" s="941">
        <v>5.0</v>
      </c>
      <c r="AF663" s="941">
        <v>1.0</v>
      </c>
      <c r="AG663" s="941">
        <v>2250.0</v>
      </c>
      <c r="AH663" s="941">
        <v>2855.0</v>
      </c>
      <c r="AI663" s="941">
        <v>12.0</v>
      </c>
      <c r="AJ663" s="941">
        <v>28.0</v>
      </c>
      <c r="AK663" s="941">
        <v>0.0</v>
      </c>
      <c r="AL663" s="941">
        <v>3.0</v>
      </c>
      <c r="AM663" s="941">
        <v>0.0</v>
      </c>
      <c r="AN663" s="941">
        <v>0.0</v>
      </c>
      <c r="AO663" s="941">
        <v>0.0</v>
      </c>
      <c r="AP663" s="941">
        <v>3.0</v>
      </c>
      <c r="AQ663" s="941">
        <v>0.0</v>
      </c>
      <c r="AR663" s="941">
        <v>31.0</v>
      </c>
      <c r="AS663" s="941">
        <v>3.0</v>
      </c>
      <c r="AT663" s="941">
        <v>1.0</v>
      </c>
      <c r="AU663" s="941">
        <v>1.0</v>
      </c>
      <c r="AV663" s="941">
        <v>0.0</v>
      </c>
      <c r="AW663" s="941">
        <v>0.0</v>
      </c>
      <c r="AX663" s="941">
        <v>0.0</v>
      </c>
      <c r="AY663" s="941">
        <v>0.0</v>
      </c>
      <c r="AZ663" s="941">
        <v>0.0</v>
      </c>
      <c r="BA663" s="941">
        <v>0.0</v>
      </c>
      <c r="BB663" s="941">
        <v>1.0</v>
      </c>
      <c r="BC663" s="941">
        <v>0.0</v>
      </c>
      <c r="BD663" s="941">
        <v>22.0</v>
      </c>
      <c r="BE663" s="941">
        <v>22.0</v>
      </c>
      <c r="BF663" s="941">
        <v>1.0</v>
      </c>
      <c r="BG663" s="941">
        <v>1.0</v>
      </c>
    </row>
    <row r="664">
      <c r="A664" s="1" t="s">
        <v>418</v>
      </c>
      <c r="B664" s="421" t="str">
        <f>IF(C664&lt;'PlayerGrades+'!$Y$44,"F-",IF(C664&lt;'PlayerGrades+'!$Y$43,"F",IF(C664&lt;'PlayerGrades+'!$Y$42,"F+",IF(C664&lt;'PlayerGrades+'!$Y$41,"E-",IF(C664&lt;'PlayerGrades+'!$Y$40,"E",IF(C664&lt;'PlayerGrades+'!$Y$39,"E+",IF(C664&lt;'PlayerGrades+'!$Y$38,"D-",IF(C664&lt;'PlayerGrades+'!$Y$37,"D",IF(C664&lt;'PlayerGrades+'!$Y$36,"D+",IF(C664&lt;'PlayerGrades+'!$Y$35,"C-",IF(C664&lt;'PlayerGrades+'!$Y$34,"C",IF(C664&lt;'PlayerGrades+'!$Y$33,"C+",IF(C664&lt;'PlayerGrades+'!$Y$32,"B-",IF(C664&lt;'PlayerGrades+'!$Y$31,"B",IF(C664&lt;'PlayerGrades+'!$Y$30,"B+",IF(C664&lt;'PlayerGrades+'!$Y$29,"A-",IF(C664&lt;'PlayerGrades+'!$Y$28,"A",IF(C664&lt;'PlayerGrades+'!$Y$27,"A+",IF(C664&lt;'PlayerGrades+'!$Y$26,"S-",IF(C664&lt;'PlayerGrades+'!$Y$25,"S","S+"))))))))))))))))))))</f>
        <v>S</v>
      </c>
      <c r="C664" s="972">
        <f>('PlayerGrades+'!$Y$47*(VLOOKUP(E664, 'PlayerGrades+'!$X$3:$Y$23, 2, FALSE)))+('PlayerGrades+'!$Y$48*(VLOOKUP(G664, 'PlayerGrades+'!$X$3:$Y$23, 2, FALSE)))+('PlayerGrades+'!$Y$49*(VLOOKUP(I664, 'PlayerGrades+'!$X$3:$Y$23, 2, FALSE)))+('PlayerGrades+'!$Y$50*(VLOOKUP(K664, 'PlayerGrades+'!$X$3:$Y$23, 2, FALSE)))+('PlayerGrades+'!$Y$51*(VLOOKUP(M664, 'PlayerGrades+'!$X$3:$Y$23, 2, FALSE)))+('PlayerGrades+'!$Y$52*(VLOOKUP(O664, 'PlayerGrades+'!$X$3:$Y$23, 2, FALSE)))+('PlayerGrades+'!$Y$53*(VLOOKUP(Q664, 'PlayerGrades+'!$X$3:$Y$23, 2, FALSE)))+('PlayerGrades+'!$Y$54*(VLOOKUP(S664, 'PlayerGrades+'!$X$3:$Y$23, 2, FALSE)))+('PlayerGrades+'!$Y$55*(VLOOKUP(U664, 'PlayerGrades+'!$X$3:$Y$23, 2, FALSE)))</f>
        <v>32.25</v>
      </c>
      <c r="D664" s="973">
        <f t="shared" si="1"/>
        <v>0.02101576182</v>
      </c>
      <c r="E664" s="973" t="str">
        <f>IF(D664&lt;'PlayerGrades+'!$AA$21,"F-",IF(D664&lt;'PlayerGrades+'!$AA$20,"F",IF(D664&lt;'PlayerGrades+'!$AA$19,"F+",IF(D664&lt;'PlayerGrades+'!$AA$18,"E-",IF(D664&lt;'PlayerGrades+'!$AA$17,"E",IF(D664&lt;'PlayerGrades+'!$AA$16,"E+",IF(D664&lt;'PlayerGrades+'!$AA$15,"D-",IF(D664&lt;'PlayerGrades+'!$AA$14,"D",IF(D664&lt;'PlayerGrades+'!$AA$13,"D+",IF(D664&lt;'PlayerGrades+'!$AA$12,"C-",IF(D664&lt;'PlayerGrades+'!$AA$11,"C",IF(D664&lt;'PlayerGrades+'!$AA$10,"C+",IF(D664&lt;'PlayerGrades+'!$AA$9,"B-",IF(D664&lt;'PlayerGrades+'!$AA$8,"B",IF(D664&lt;'PlayerGrades+'!$AA$7,"B+",IF(D664&lt;'PlayerGrades+'!$AA$6,"A-",IF(D664&lt;'PlayerGrades+'!$AA$5,"A",IF(D664&lt;'PlayerGrades+'!$AA$4,"A+",IF(D664&lt;'PlayerGrades+'!$AA$3,"S-",IF(D664&lt;'PlayerGrades+'!$AA$2,"S","S+"))))))))))))))))))))</f>
        <v>E</v>
      </c>
      <c r="F664" s="973">
        <f t="shared" si="2"/>
        <v>0.9246935201</v>
      </c>
      <c r="G664" s="973" t="str">
        <f>IF(F664&lt;'PlayerGrades+'!$AB$21,"F-",IF(F664&lt;'PlayerGrades+'!$AB$20,"F",IF(F664&lt;'PlayerGrades+'!$AB$19,"F+",IF(F664&lt;'PlayerGrades+'!$AB$18,"E-",IF(F664&lt;'PlayerGrades+'!$AB$17,"E",IF(F664&lt;'PlayerGrades+'!$AB$16,"E+",IF(F664&lt;'PlayerGrades+'!$AB$15,"D-",IF(F664&lt;'PlayerGrades+'!$AB$14,"D",IF(F664&lt;'PlayerGrades+'!$AB$13,"D+",IF(F664&lt;'PlayerGrades+'!$AB$12,"C-",IF(F664&lt;'PlayerGrades+'!$AB$11,"C",IF(F664&lt;'PlayerGrades+'!$AB$10,"C+",IF(F664&lt;'PlayerGrades+'!$AB$9,"B-",IF(F664&lt;'PlayerGrades+'!$AB$8,"B",IF(F664&lt;'PlayerGrades+'!$AB$7,"B+",IF(F664&lt;'PlayerGrades+'!$AB$6,"A-",IF(F664&lt;'PlayerGrades+'!$AB$5,"A",IF(F664&lt;'PlayerGrades+'!$AB$4,"A+",IF(F664&lt;'PlayerGrades+'!$AB$3,"S-",IF(F664&lt;'PlayerGrades+'!$AB$2,"S","S+"))))))))))))))))))))</f>
        <v>S</v>
      </c>
      <c r="H664" s="973">
        <f t="shared" si="3"/>
        <v>0.1471103327</v>
      </c>
      <c r="I664" s="973" t="str">
        <f>IF(H664&lt;'PlayerGrades+'!$AC$21,"F-",IF(H664&lt;'PlayerGrades+'!$AC$20,"F",IF(H664&lt;'PlayerGrades+'!$AC$19,"F+",IF(H664&lt;'PlayerGrades+'!$AC$18,"E-",IF(H664&lt;'PlayerGrades+'!$AC$17,"E",IF(H664&lt;'PlayerGrades+'!$AC$16,"E+",IF(H664&lt;'PlayerGrades+'!$AC$15,"D-",IF(H664&lt;'PlayerGrades+'!$AC$14,"D",IF(H664&lt;'PlayerGrades+'!$AC$13,"D+",IF(H664&lt;'PlayerGrades+'!$AC$12,"C-",IF(H664&lt;'PlayerGrades+'!$AC$11,"C",IF(H664&lt;'PlayerGrades+'!$AC$10,"C+",IF(H664&lt;'PlayerGrades+'!$AC$9,"B-",IF(H664&lt;'PlayerGrades+'!$AC$8,"B",IF(H664&lt;'PlayerGrades+'!$AC$7,"B+",IF(H664&lt;'PlayerGrades+'!$AC$6,"A-",IF(H664&lt;'PlayerGrades+'!$AC$5,"A",IF(H664&lt;'PlayerGrades+'!$AC$4,"A+",IF(H664&lt;'PlayerGrades+'!$AC$3,"S-",IF(H664&lt;'PlayerGrades+'!$AC$2,"S","S+"))))))))))))))))))))</f>
        <v>A</v>
      </c>
      <c r="J664" s="973">
        <f t="shared" si="4"/>
        <v>0.08406304729</v>
      </c>
      <c r="K664" s="973" t="str">
        <f>IF(J664&lt;'PlayerGrades+'!$AD$21,"F-",IF(J664&lt;'PlayerGrades+'!$AD$20,"F",IF(J664&lt;'PlayerGrades+'!$AD$19,"F+",IF(J664&lt;'PlayerGrades+'!$AD$18,"E-",IF(J664&lt;'PlayerGrades+'!$AD$17,"E",IF(J664&lt;'PlayerGrades+'!$AD$16,"E+",IF(J664&lt;'PlayerGrades+'!$AD$15,"D-",IF(J664&lt;'PlayerGrades+'!$AD$14,"D",IF(J664&lt;'PlayerGrades+'!$AD$13,"D+",IF(J664&lt;'PlayerGrades+'!$AD$12,"C-",IF(J664&lt;'PlayerGrades+'!$AD$11,"C",IF(J664&lt;'PlayerGrades+'!$AD$10,"C+",IF(J664&lt;'PlayerGrades+'!$AD$9,"B-",IF(J664&lt;'PlayerGrades+'!$AD$8,"B",IF(J664&lt;'PlayerGrades+'!$AD$7,"B+",IF(J664&lt;'PlayerGrades+'!$AD$6,"A-",IF(J664&lt;'PlayerGrades+'!$AD$5,"A",IF(J664&lt;'PlayerGrades+'!$AD$4,"A+",IF(J664&lt;'PlayerGrades+'!$AD$3,"S-",IF(J664&lt;'PlayerGrades+'!$AD$2,"S","S+"))))))))))))))))))))</f>
        <v>A+</v>
      </c>
      <c r="L664" s="974">
        <f t="shared" si="5"/>
        <v>0.7775831874</v>
      </c>
      <c r="M664" s="975" t="str">
        <f>IF(L664&lt;'PlayerGrades+'!$AE$21,"F-",IF(L664&lt;'PlayerGrades+'!$AE$20,"F",IF(L664&lt;'PlayerGrades+'!$AE$19,"F+",IF(L664&lt;'PlayerGrades+'!$AE$18,"E-",IF(L664&lt;'PlayerGrades+'!$AE$17,"E",IF(L664&lt;'PlayerGrades+'!$AE$16,"E+",IF(L664&lt;'PlayerGrades+'!$AE$15,"D-",IF(L664&lt;'PlayerGrades+'!$AE$14,"D",IF(L664&lt;'PlayerGrades+'!$AE$13,"D+",IF(L664&lt;'PlayerGrades+'!$AE$12,"C-",IF(L664&lt;'PlayerGrades+'!$AE$11,"C",IF(L664&lt;'PlayerGrades+'!$AE$10,"C+",IF(L664&lt;'PlayerGrades+'!$AE$9,"B-",IF(L664&lt;'PlayerGrades+'!$AE$8,"B",IF(L664&lt;'PlayerGrades+'!$AE$7,"B+",IF(L664&lt;'PlayerGrades+'!$AE$6,"A-",IF(L664&lt;'PlayerGrades+'!$AE$5,"A",IF(L664&lt;'PlayerGrades+'!$AE$4,"A+",IF(L664&lt;'PlayerGrades+'!$AE$3,"S-",IF(L664&lt;'PlayerGrades+'!$AE$2,"S","S+"))))))))))))))))))))</f>
        <v>S+</v>
      </c>
      <c r="N664" s="973">
        <f t="shared" si="6"/>
        <v>0.1891418564</v>
      </c>
      <c r="O664" s="973" t="str">
        <f>IF(N664&lt;'PlayerGrades+'!$AF$21,"F-",IF(N664&lt;'PlayerGrades+'!$AF$20,"F",IF(N664&lt;'PlayerGrades+'!$AF$19,"F+",IF(N664&lt;'PlayerGrades+'!$AF$18,"E-",IF(N664&lt;'PlayerGrades+'!$AF$17,"E",IF(N664&lt;'PlayerGrades+'!$AF$16,"E+",IF(N664&lt;'PlayerGrades+'!$AF$15,"D-",IF(N664&lt;'PlayerGrades+'!$AF$14,"D",IF(N664&lt;'PlayerGrades+'!$AF$13,"D+",IF(N664&lt;'PlayerGrades+'!$AF$12,"C-",IF(N664&lt;'PlayerGrades+'!$AF$11,"C",IF(N664&lt;'PlayerGrades+'!$AF$10,"C+",IF(N664&lt;'PlayerGrades+'!$AF$9,"B-",IF(N664&lt;'PlayerGrades+'!$AF$8,"B",IF(N664&lt;'PlayerGrades+'!$AF$7,"B+",IF(N664&lt;'PlayerGrades+'!$AF$6,"A-",IF(N664&lt;'PlayerGrades+'!$AF$5,"A",IF(N664&lt;'PlayerGrades+'!$AF$4,"A+",IF(N664&lt;'PlayerGrades+'!$AF$3,"S-",IF(N664&lt;'PlayerGrades+'!$AF$2,"S","S+"))))))))))))))))))))</f>
        <v>S+</v>
      </c>
      <c r="P664" s="973">
        <f t="shared" si="7"/>
        <v>0.06304728546</v>
      </c>
      <c r="Q664" s="973" t="str">
        <f>IF(P664&lt;'PlayerGrades+'!$AG$21,"F-",IF(P664&lt;'PlayerGrades+'!$AG$20,"F",IF(P664&lt;'PlayerGrades+'!$AG$19,"F+",IF(P664&lt;'PlayerGrades+'!$AG$18,"E-",IF(P664&lt;'PlayerGrades+'!$AG$17,"E",IF(P664&lt;'PlayerGrades+'!$AG$16,"E+",IF(P664&lt;'PlayerGrades+'!$AG$15,"D-",IF(P664&lt;'PlayerGrades+'!$AG$14,"D",IF(P664&lt;'PlayerGrades+'!$AG$13,"D+",IF(P664&lt;'PlayerGrades+'!$AG$12,"C-",IF(P664&lt;'PlayerGrades+'!$AG$11,"C",IF(P664&lt;'PlayerGrades+'!$AG$10,"C+",IF(P664&lt;'PlayerGrades+'!$AG$9,"B-",IF(P664&lt;'PlayerGrades+'!$AG$8,"B",IF(P664&lt;'PlayerGrades+'!$AG$7,"B+",IF(P664&lt;'PlayerGrades+'!$AG$6,"A-",IF(P664&lt;'PlayerGrades+'!$AG$5,"A",IF(P664&lt;'PlayerGrades+'!$AG$4,"A+",IF(P664&lt;'PlayerGrades+'!$AG$3,"S-",IF(P664&lt;'PlayerGrades+'!$AG$2,"S","S+"))))))))))))))))))))</f>
        <v>A+</v>
      </c>
      <c r="R664" s="973">
        <f t="shared" si="8"/>
        <v>0.819614711</v>
      </c>
      <c r="S664" s="973" t="str">
        <f>IF(R664&lt;'PlayerGrades+'!$AH$21,"F-",IF(R664&lt;'PlayerGrades+'!$AH$20,"F",IF(R664&lt;'PlayerGrades+'!$AH$19,"F+",IF(R664&lt;'PlayerGrades+'!$AH$18,"E-",IF(R664&lt;'PlayerGrades+'!$AH$17,"E",IF(R664&lt;'PlayerGrades+'!$AH$16,"E+",IF(R664&lt;'PlayerGrades+'!$AH$15,"D-",IF(R664&lt;'PlayerGrades+'!$AH$14,"D",IF(R664&lt;'PlayerGrades+'!$AH$13,"D+",IF(R664&lt;'PlayerGrades+'!$AH$12,"C-",IF(R664&lt;'PlayerGrades+'!$AH$11,"C",IF(R664&lt;'PlayerGrades+'!$AH$10,"C+",IF(R664&lt;'PlayerGrades+'!$AH$9,"B-",IF(R664&lt;'PlayerGrades+'!$AH$8,"B",IF(R664&lt;'PlayerGrades+'!$AH$7,"B+",IF(R664&lt;'PlayerGrades+'!$AH$6,"A-",IF(R664&lt;'PlayerGrades+'!$AH$5,"A",IF(R664&lt;'PlayerGrades+'!$AH$4,"A+",IF(R664&lt;'PlayerGrades+'!$AH$3,"S-",IF(R664&lt;'PlayerGrades+'!$AH$2,"S","S+"))))))))))))))))))))</f>
        <v>S+</v>
      </c>
      <c r="T664" s="973">
        <f t="shared" si="9"/>
        <v>1.546409807</v>
      </c>
      <c r="U664" s="973" t="str">
        <f>IF(T664&lt;'PlayerGrades+'!$AI$21,"F-",IF(T664&lt;'PlayerGrades+'!$AI$20,"F",IF(T664&lt;'PlayerGrades+'!$AI$19,"F+",IF(T664&lt;'PlayerGrades+'!$AI$18,"E-",IF(T664&lt;'PlayerGrades+'!$AI$17,"E",IF(T664&lt;'PlayerGrades+'!$AI$16,"E+",IF(T664&lt;'PlayerGrades+'!$AI$15,"D-",IF(T664&lt;'PlayerGrades+'!$AI$14,"D",IF(T664&lt;'PlayerGrades+'!$AI$13,"D+",IF(T664&lt;'PlayerGrades+'!$AI$12,"C-",IF(T664&lt;'PlayerGrades+'!$AI$11,"C",IF(T664&lt;'PlayerGrades+'!$AI$10,"C+",IF(T664&lt;'PlayerGrades+'!$AI$9,"B-",IF(T664&lt;'PlayerGrades+'!$AI$8,"B",IF(T664&lt;'PlayerGrades+'!$AI$7,"B+",IF(T664&lt;'PlayerGrades+'!$AI$6,"A-",IF(T664&lt;'PlayerGrades+'!$AI$5,"A",IF(T664&lt;'PlayerGrades+'!$AI$4,"A+",IF(T664&lt;'PlayerGrades+'!$AI$3,"S-",IF(T664&lt;'PlayerGrades+'!$AI$2,"S","S+"))))))))))))))))))))</f>
        <v>A+</v>
      </c>
      <c r="V664" s="941">
        <v>1.0</v>
      </c>
      <c r="W664" s="941">
        <v>0.0</v>
      </c>
      <c r="X664" s="941">
        <v>1.0</v>
      </c>
      <c r="Y664" s="941">
        <v>0.0</v>
      </c>
      <c r="Z664" s="941">
        <v>1.0</v>
      </c>
      <c r="AA664" s="941">
        <v>219.0</v>
      </c>
      <c r="AB664" s="941">
        <v>175.0</v>
      </c>
      <c r="AC664" s="941">
        <v>44.0</v>
      </c>
      <c r="AD664" s="941">
        <v>14.0</v>
      </c>
      <c r="AE664" s="941">
        <v>6.0</v>
      </c>
      <c r="AF664" s="941">
        <v>1.0</v>
      </c>
      <c r="AG664" s="941">
        <v>2234.0</v>
      </c>
      <c r="AH664" s="941">
        <v>2855.0</v>
      </c>
      <c r="AI664" s="941">
        <v>12.0</v>
      </c>
      <c r="AJ664" s="941">
        <v>10.0</v>
      </c>
      <c r="AK664" s="941">
        <v>0.0</v>
      </c>
      <c r="AL664" s="941">
        <v>4.0</v>
      </c>
      <c r="AM664" s="941">
        <v>0.0</v>
      </c>
      <c r="AN664" s="941">
        <v>0.0</v>
      </c>
      <c r="AO664" s="941">
        <v>0.0</v>
      </c>
      <c r="AP664" s="941">
        <v>3.0</v>
      </c>
      <c r="AQ664" s="941">
        <v>0.0</v>
      </c>
      <c r="AR664" s="941">
        <v>37.0</v>
      </c>
      <c r="AS664" s="941">
        <v>9.0</v>
      </c>
      <c r="AT664" s="941">
        <v>0.0</v>
      </c>
      <c r="AU664" s="941">
        <v>0.0</v>
      </c>
      <c r="AV664" s="941">
        <v>0.0</v>
      </c>
      <c r="AW664" s="941">
        <v>0.0</v>
      </c>
      <c r="AX664" s="941">
        <v>0.0</v>
      </c>
      <c r="AY664" s="941">
        <v>0.0</v>
      </c>
      <c r="AZ664" s="941">
        <v>0.0</v>
      </c>
      <c r="BA664" s="941">
        <v>0.0</v>
      </c>
      <c r="BB664" s="941">
        <v>7.0</v>
      </c>
      <c r="BC664" s="941">
        <v>0.0</v>
      </c>
      <c r="BD664" s="941">
        <v>25.0</v>
      </c>
      <c r="BE664" s="941">
        <v>26.0</v>
      </c>
      <c r="BF664" s="941">
        <v>1.0</v>
      </c>
      <c r="BG664" s="941">
        <v>1.0</v>
      </c>
    </row>
    <row r="665">
      <c r="A665" s="882" t="s">
        <v>392</v>
      </c>
      <c r="B665" s="421" t="str">
        <f>IF(C665&lt;'PlayerGrades+'!$Y$44,"F-",IF(C665&lt;'PlayerGrades+'!$Y$43,"F",IF(C665&lt;'PlayerGrades+'!$Y$42,"F+",IF(C665&lt;'PlayerGrades+'!$Y$41,"E-",IF(C665&lt;'PlayerGrades+'!$Y$40,"E",IF(C665&lt;'PlayerGrades+'!$Y$39,"E+",IF(C665&lt;'PlayerGrades+'!$Y$38,"D-",IF(C665&lt;'PlayerGrades+'!$Y$37,"D",IF(C665&lt;'PlayerGrades+'!$Y$36,"D+",IF(C665&lt;'PlayerGrades+'!$Y$35,"C-",IF(C665&lt;'PlayerGrades+'!$Y$34,"C",IF(C665&lt;'PlayerGrades+'!$Y$33,"C+",IF(C665&lt;'PlayerGrades+'!$Y$32,"B-",IF(C665&lt;'PlayerGrades+'!$Y$31,"B",IF(C665&lt;'PlayerGrades+'!$Y$30,"B+",IF(C665&lt;'PlayerGrades+'!$Y$29,"A-",IF(C665&lt;'PlayerGrades+'!$Y$28,"A",IF(C665&lt;'PlayerGrades+'!$Y$27,"A+",IF(C665&lt;'PlayerGrades+'!$Y$26,"S-",IF(C665&lt;'PlayerGrades+'!$Y$25,"S","S+"))))))))))))))))))))</f>
        <v>F-</v>
      </c>
      <c r="C665" s="972">
        <f>('PlayerGrades+'!$Y$47*(VLOOKUP(E665, 'PlayerGrades+'!$X$3:$Y$23, 2, FALSE)))+('PlayerGrades+'!$Y$48*(VLOOKUP(G665, 'PlayerGrades+'!$X$3:$Y$23, 2, FALSE)))+('PlayerGrades+'!$Y$49*(VLOOKUP(I665, 'PlayerGrades+'!$X$3:$Y$23, 2, FALSE)))+('PlayerGrades+'!$Y$50*(VLOOKUP(K665, 'PlayerGrades+'!$X$3:$Y$23, 2, FALSE)))+('PlayerGrades+'!$Y$51*(VLOOKUP(M665, 'PlayerGrades+'!$X$3:$Y$23, 2, FALSE)))+('PlayerGrades+'!$Y$52*(VLOOKUP(O665, 'PlayerGrades+'!$X$3:$Y$23, 2, FALSE)))+('PlayerGrades+'!$Y$53*(VLOOKUP(Q665, 'PlayerGrades+'!$X$3:$Y$23, 2, FALSE)))+('PlayerGrades+'!$Y$54*(VLOOKUP(S665, 'PlayerGrades+'!$X$3:$Y$23, 2, FALSE)))+('PlayerGrades+'!$Y$55*(VLOOKUP(U665, 'PlayerGrades+'!$X$3:$Y$23, 2, FALSE)))</f>
        <v>7.75</v>
      </c>
      <c r="D665" s="973">
        <f t="shared" si="1"/>
        <v>0</v>
      </c>
      <c r="E665" s="973" t="str">
        <f>IF(D665&lt;'PlayerGrades+'!$AA$21,"F-",IF(D665&lt;'PlayerGrades+'!$AA$20,"F",IF(D665&lt;'PlayerGrades+'!$AA$19,"F+",IF(D665&lt;'PlayerGrades+'!$AA$18,"E-",IF(D665&lt;'PlayerGrades+'!$AA$17,"E",IF(D665&lt;'PlayerGrades+'!$AA$16,"E+",IF(D665&lt;'PlayerGrades+'!$AA$15,"D-",IF(D665&lt;'PlayerGrades+'!$AA$14,"D",IF(D665&lt;'PlayerGrades+'!$AA$13,"D+",IF(D665&lt;'PlayerGrades+'!$AA$12,"C-",IF(D665&lt;'PlayerGrades+'!$AA$11,"C",IF(D665&lt;'PlayerGrades+'!$AA$10,"C+",IF(D665&lt;'PlayerGrades+'!$AA$9,"B-",IF(D665&lt;'PlayerGrades+'!$AA$8,"B",IF(D665&lt;'PlayerGrades+'!$AA$7,"B+",IF(D665&lt;'PlayerGrades+'!$AA$6,"A-",IF(D665&lt;'PlayerGrades+'!$AA$5,"A",IF(D665&lt;'PlayerGrades+'!$AA$4,"A+",IF(D665&lt;'PlayerGrades+'!$AA$3,"S-",IF(D665&lt;'PlayerGrades+'!$AA$2,"S","S+"))))))))))))))))))))</f>
        <v>F-</v>
      </c>
      <c r="F665" s="973">
        <f t="shared" si="2"/>
        <v>-1.38704028</v>
      </c>
      <c r="G665" s="973" t="str">
        <f>IF(F665&lt;'PlayerGrades+'!$AB$21,"F-",IF(F665&lt;'PlayerGrades+'!$AB$20,"F",IF(F665&lt;'PlayerGrades+'!$AB$19,"F+",IF(F665&lt;'PlayerGrades+'!$AB$18,"E-",IF(F665&lt;'PlayerGrades+'!$AB$17,"E",IF(F665&lt;'PlayerGrades+'!$AB$16,"E+",IF(F665&lt;'PlayerGrades+'!$AB$15,"D-",IF(F665&lt;'PlayerGrades+'!$AB$14,"D",IF(F665&lt;'PlayerGrades+'!$AB$13,"D+",IF(F665&lt;'PlayerGrades+'!$AB$12,"C-",IF(F665&lt;'PlayerGrades+'!$AB$11,"C",IF(F665&lt;'PlayerGrades+'!$AB$10,"C+",IF(F665&lt;'PlayerGrades+'!$AB$9,"B-",IF(F665&lt;'PlayerGrades+'!$AB$8,"B",IF(F665&lt;'PlayerGrades+'!$AB$7,"B+",IF(F665&lt;'PlayerGrades+'!$AB$6,"A-",IF(F665&lt;'PlayerGrades+'!$AB$5,"A",IF(F665&lt;'PlayerGrades+'!$AB$4,"A+",IF(F665&lt;'PlayerGrades+'!$AB$3,"S-",IF(F665&lt;'PlayerGrades+'!$AB$2,"S","S+"))))))))))))))))))))</f>
        <v>F-</v>
      </c>
      <c r="H665" s="973">
        <f t="shared" si="3"/>
        <v>0.02101576182</v>
      </c>
      <c r="I665" s="973" t="str">
        <f>IF(H665&lt;'PlayerGrades+'!$AC$21,"F-",IF(H665&lt;'PlayerGrades+'!$AC$20,"F",IF(H665&lt;'PlayerGrades+'!$AC$19,"F+",IF(H665&lt;'PlayerGrades+'!$AC$18,"E-",IF(H665&lt;'PlayerGrades+'!$AC$17,"E",IF(H665&lt;'PlayerGrades+'!$AC$16,"E+",IF(H665&lt;'PlayerGrades+'!$AC$15,"D-",IF(H665&lt;'PlayerGrades+'!$AC$14,"D",IF(H665&lt;'PlayerGrades+'!$AC$13,"D+",IF(H665&lt;'PlayerGrades+'!$AC$12,"C-",IF(H665&lt;'PlayerGrades+'!$AC$11,"C",IF(H665&lt;'PlayerGrades+'!$AC$10,"C+",IF(H665&lt;'PlayerGrades+'!$AC$9,"B-",IF(H665&lt;'PlayerGrades+'!$AC$8,"B",IF(H665&lt;'PlayerGrades+'!$AC$7,"B+",IF(H665&lt;'PlayerGrades+'!$AC$6,"A-",IF(H665&lt;'PlayerGrades+'!$AC$5,"A",IF(H665&lt;'PlayerGrades+'!$AC$4,"A+",IF(H665&lt;'PlayerGrades+'!$AC$3,"S-",IF(H665&lt;'PlayerGrades+'!$AC$2,"S","S+"))))))))))))))))))))</f>
        <v>F-</v>
      </c>
      <c r="J665" s="973">
        <f t="shared" si="4"/>
        <v>0.04203152364</v>
      </c>
      <c r="K665" s="973" t="str">
        <f>IF(J665&lt;'PlayerGrades+'!$AD$21,"F-",IF(J665&lt;'PlayerGrades+'!$AD$20,"F",IF(J665&lt;'PlayerGrades+'!$AD$19,"F+",IF(J665&lt;'PlayerGrades+'!$AD$18,"E-",IF(J665&lt;'PlayerGrades+'!$AD$17,"E",IF(J665&lt;'PlayerGrades+'!$AD$16,"E+",IF(J665&lt;'PlayerGrades+'!$AD$15,"D-",IF(J665&lt;'PlayerGrades+'!$AD$14,"D",IF(J665&lt;'PlayerGrades+'!$AD$13,"D+",IF(J665&lt;'PlayerGrades+'!$AD$12,"C-",IF(J665&lt;'PlayerGrades+'!$AD$11,"C",IF(J665&lt;'PlayerGrades+'!$AD$10,"C+",IF(J665&lt;'PlayerGrades+'!$AD$9,"B-",IF(J665&lt;'PlayerGrades+'!$AD$8,"B",IF(J665&lt;'PlayerGrades+'!$AD$7,"B+",IF(J665&lt;'PlayerGrades+'!$AD$6,"A-",IF(J665&lt;'PlayerGrades+'!$AD$5,"A",IF(J665&lt;'PlayerGrades+'!$AD$4,"A+",IF(J665&lt;'PlayerGrades+'!$AD$3,"S-",IF(J665&lt;'PlayerGrades+'!$AD$2,"S","S+"))))))))))))))))))))</f>
        <v>C+</v>
      </c>
      <c r="L665" s="974">
        <f t="shared" si="5"/>
        <v>0.2521891419</v>
      </c>
      <c r="M665" s="975" t="str">
        <f>IF(L665&lt;'PlayerGrades+'!$AE$21,"F-",IF(L665&lt;'PlayerGrades+'!$AE$20,"F",IF(L665&lt;'PlayerGrades+'!$AE$19,"F+",IF(L665&lt;'PlayerGrades+'!$AE$18,"E-",IF(L665&lt;'PlayerGrades+'!$AE$17,"E",IF(L665&lt;'PlayerGrades+'!$AE$16,"E+",IF(L665&lt;'PlayerGrades+'!$AE$15,"D-",IF(L665&lt;'PlayerGrades+'!$AE$14,"D",IF(L665&lt;'PlayerGrades+'!$AE$13,"D+",IF(L665&lt;'PlayerGrades+'!$AE$12,"C-",IF(L665&lt;'PlayerGrades+'!$AE$11,"C",IF(L665&lt;'PlayerGrades+'!$AE$10,"C+",IF(L665&lt;'PlayerGrades+'!$AE$9,"B-",IF(L665&lt;'PlayerGrades+'!$AE$8,"B",IF(L665&lt;'PlayerGrades+'!$AE$7,"B+",IF(L665&lt;'PlayerGrades+'!$AE$6,"A-",IF(L665&lt;'PlayerGrades+'!$AE$5,"A",IF(L665&lt;'PlayerGrades+'!$AE$4,"A+",IF(L665&lt;'PlayerGrades+'!$AE$3,"S-",IF(L665&lt;'PlayerGrades+'!$AE$2,"S","S+"))))))))))))))))))))</f>
        <v>F</v>
      </c>
      <c r="N665" s="973">
        <f t="shared" si="6"/>
        <v>0.04203152364</v>
      </c>
      <c r="O665" s="973" t="str">
        <f>IF(N665&lt;'PlayerGrades+'!$AF$21,"F-",IF(N665&lt;'PlayerGrades+'!$AF$20,"F",IF(N665&lt;'PlayerGrades+'!$AF$19,"F+",IF(N665&lt;'PlayerGrades+'!$AF$18,"E-",IF(N665&lt;'PlayerGrades+'!$AF$17,"E",IF(N665&lt;'PlayerGrades+'!$AF$16,"E+",IF(N665&lt;'PlayerGrades+'!$AF$15,"D-",IF(N665&lt;'PlayerGrades+'!$AF$14,"D",IF(N665&lt;'PlayerGrades+'!$AF$13,"D+",IF(N665&lt;'PlayerGrades+'!$AF$12,"C-",IF(N665&lt;'PlayerGrades+'!$AF$11,"C",IF(N665&lt;'PlayerGrades+'!$AF$10,"C+",IF(N665&lt;'PlayerGrades+'!$AF$9,"B-",IF(N665&lt;'PlayerGrades+'!$AF$8,"B",IF(N665&lt;'PlayerGrades+'!$AF$7,"B+",IF(N665&lt;'PlayerGrades+'!$AF$6,"A-",IF(N665&lt;'PlayerGrades+'!$AF$5,"A",IF(N665&lt;'PlayerGrades+'!$AF$4,"A+",IF(N665&lt;'PlayerGrades+'!$AF$3,"S-",IF(N665&lt;'PlayerGrades+'!$AF$2,"S","S+"))))))))))))))))))))</f>
        <v>E</v>
      </c>
      <c r="P665" s="973">
        <f t="shared" si="7"/>
        <v>0.04203152364</v>
      </c>
      <c r="Q665" s="973" t="str">
        <f>IF(P665&lt;'PlayerGrades+'!$AG$21,"F-",IF(P665&lt;'PlayerGrades+'!$AG$20,"F",IF(P665&lt;'PlayerGrades+'!$AG$19,"F+",IF(P665&lt;'PlayerGrades+'!$AG$18,"E-",IF(P665&lt;'PlayerGrades+'!$AG$17,"E",IF(P665&lt;'PlayerGrades+'!$AG$16,"E+",IF(P665&lt;'PlayerGrades+'!$AG$15,"D-",IF(P665&lt;'PlayerGrades+'!$AG$14,"D",IF(P665&lt;'PlayerGrades+'!$AG$13,"D+",IF(P665&lt;'PlayerGrades+'!$AG$12,"C-",IF(P665&lt;'PlayerGrades+'!$AG$11,"C",IF(P665&lt;'PlayerGrades+'!$AG$10,"C+",IF(P665&lt;'PlayerGrades+'!$AG$9,"B-",IF(P665&lt;'PlayerGrades+'!$AG$8,"B",IF(P665&lt;'PlayerGrades+'!$AG$7,"B+",IF(P665&lt;'PlayerGrades+'!$AG$6,"A-",IF(P665&lt;'PlayerGrades+'!$AG$5,"A",IF(P665&lt;'PlayerGrades+'!$AG$4,"A+",IF(P665&lt;'PlayerGrades+'!$AG$3,"S-",IF(P665&lt;'PlayerGrades+'!$AG$2,"S","S+"))))))))))))))))))))</f>
        <v>A</v>
      </c>
      <c r="R665" s="973">
        <f t="shared" si="8"/>
        <v>0.357267951</v>
      </c>
      <c r="S665" s="973" t="str">
        <f>IF(R665&lt;'PlayerGrades+'!$AH$21,"F-",IF(R665&lt;'PlayerGrades+'!$AH$20,"F",IF(R665&lt;'PlayerGrades+'!$AH$19,"F+",IF(R665&lt;'PlayerGrades+'!$AH$18,"E-",IF(R665&lt;'PlayerGrades+'!$AH$17,"E",IF(R665&lt;'PlayerGrades+'!$AH$16,"E+",IF(R665&lt;'PlayerGrades+'!$AH$15,"D-",IF(R665&lt;'PlayerGrades+'!$AH$14,"D",IF(R665&lt;'PlayerGrades+'!$AH$13,"D+",IF(R665&lt;'PlayerGrades+'!$AH$12,"C-",IF(R665&lt;'PlayerGrades+'!$AH$11,"C",IF(R665&lt;'PlayerGrades+'!$AH$10,"C+",IF(R665&lt;'PlayerGrades+'!$AH$9,"B-",IF(R665&lt;'PlayerGrades+'!$AH$8,"B",IF(R665&lt;'PlayerGrades+'!$AH$7,"B+",IF(R665&lt;'PlayerGrades+'!$AH$6,"A-",IF(R665&lt;'PlayerGrades+'!$AH$5,"A",IF(R665&lt;'PlayerGrades+'!$AH$4,"A+",IF(R665&lt;'PlayerGrades+'!$AH$3,"S-",IF(R665&lt;'PlayerGrades+'!$AH$2,"S","S+"))))))))))))))))))))</f>
        <v>F</v>
      </c>
      <c r="T665" s="973">
        <f t="shared" si="9"/>
        <v>0.3782837128</v>
      </c>
      <c r="U665" s="973" t="str">
        <f>IF(T665&lt;'PlayerGrades+'!$AI$21,"F-",IF(T665&lt;'PlayerGrades+'!$AI$20,"F",IF(T665&lt;'PlayerGrades+'!$AI$19,"F+",IF(T665&lt;'PlayerGrades+'!$AI$18,"E-",IF(T665&lt;'PlayerGrades+'!$AI$17,"E",IF(T665&lt;'PlayerGrades+'!$AI$16,"E+",IF(T665&lt;'PlayerGrades+'!$AI$15,"D-",IF(T665&lt;'PlayerGrades+'!$AI$14,"D",IF(T665&lt;'PlayerGrades+'!$AI$13,"D+",IF(T665&lt;'PlayerGrades+'!$AI$12,"C-",IF(T665&lt;'PlayerGrades+'!$AI$11,"C",IF(T665&lt;'PlayerGrades+'!$AI$10,"C+",IF(T665&lt;'PlayerGrades+'!$AI$9,"B-",IF(T665&lt;'PlayerGrades+'!$AI$8,"B",IF(T665&lt;'PlayerGrades+'!$AI$7,"B+",IF(T665&lt;'PlayerGrades+'!$AI$6,"A-",IF(T665&lt;'PlayerGrades+'!$AI$5,"A",IF(T665&lt;'PlayerGrades+'!$AI$4,"A+",IF(T665&lt;'PlayerGrades+'!$AI$3,"S-",IF(T665&lt;'PlayerGrades+'!$AI$2,"S","S+"))))))))))))))))))))</f>
        <v>F-</v>
      </c>
      <c r="V665" s="944">
        <v>1.0</v>
      </c>
      <c r="W665" s="944">
        <v>0.0</v>
      </c>
      <c r="X665" s="944">
        <v>1.0</v>
      </c>
      <c r="Y665" s="944">
        <v>0.0</v>
      </c>
      <c r="Z665" s="944">
        <v>0.0</v>
      </c>
      <c r="AA665" s="944">
        <v>132.0</v>
      </c>
      <c r="AB665" s="944">
        <v>198.0</v>
      </c>
      <c r="AC665" s="944">
        <v>-66.0</v>
      </c>
      <c r="AD665" s="944">
        <v>8.0</v>
      </c>
      <c r="AE665" s="944">
        <v>6.0</v>
      </c>
      <c r="AF665" s="944">
        <v>0.0</v>
      </c>
      <c r="AG665" s="944">
        <v>2172.0</v>
      </c>
      <c r="AH665" s="944">
        <v>2855.0</v>
      </c>
      <c r="AI665" s="944">
        <v>10.0</v>
      </c>
      <c r="AJ665" s="944">
        <v>10.0</v>
      </c>
      <c r="AK665" s="944">
        <v>0.0</v>
      </c>
      <c r="AL665" s="944">
        <v>2.0</v>
      </c>
      <c r="AM665" s="944">
        <v>0.0</v>
      </c>
      <c r="AN665" s="944">
        <v>0.0</v>
      </c>
      <c r="AO665" s="944">
        <v>0.0</v>
      </c>
      <c r="AP665" s="944">
        <v>2.0</v>
      </c>
      <c r="AQ665" s="944">
        <v>0.0</v>
      </c>
      <c r="AR665" s="944">
        <v>12.0</v>
      </c>
      <c r="AS665" s="944">
        <v>2.0</v>
      </c>
      <c r="AT665" s="944">
        <v>0.0</v>
      </c>
      <c r="AU665" s="944">
        <v>0.0</v>
      </c>
      <c r="AV665" s="944">
        <v>0.0</v>
      </c>
      <c r="AW665" s="944">
        <v>0.0</v>
      </c>
      <c r="AX665" s="944">
        <v>0.0</v>
      </c>
      <c r="AY665" s="944">
        <v>0.0</v>
      </c>
      <c r="AZ665" s="944">
        <v>0.0</v>
      </c>
      <c r="BA665" s="944">
        <v>0.0</v>
      </c>
      <c r="BB665" s="944">
        <v>1.0</v>
      </c>
      <c r="BC665" s="944">
        <v>0.0</v>
      </c>
      <c r="BD665" s="944">
        <v>9.0</v>
      </c>
      <c r="BE665" s="944">
        <v>18.0</v>
      </c>
      <c r="BF665" s="944">
        <v>0.0</v>
      </c>
      <c r="BG665" s="944">
        <v>1.0</v>
      </c>
    </row>
    <row r="666">
      <c r="A666" s="1" t="s">
        <v>123</v>
      </c>
      <c r="B666" s="421" t="str">
        <f>IF(C666&lt;'PlayerGrades+'!$Y$44,"F-",IF(C666&lt;'PlayerGrades+'!$Y$43,"F",IF(C666&lt;'PlayerGrades+'!$Y$42,"F+",IF(C666&lt;'PlayerGrades+'!$Y$41,"E-",IF(C666&lt;'PlayerGrades+'!$Y$40,"E",IF(C666&lt;'PlayerGrades+'!$Y$39,"E+",IF(C666&lt;'PlayerGrades+'!$Y$38,"D-",IF(C666&lt;'PlayerGrades+'!$Y$37,"D",IF(C666&lt;'PlayerGrades+'!$Y$36,"D+",IF(C666&lt;'PlayerGrades+'!$Y$35,"C-",IF(C666&lt;'PlayerGrades+'!$Y$34,"C",IF(C666&lt;'PlayerGrades+'!$Y$33,"C+",IF(C666&lt;'PlayerGrades+'!$Y$32,"B-",IF(C666&lt;'PlayerGrades+'!$Y$31,"B",IF(C666&lt;'PlayerGrades+'!$Y$30,"B+",IF(C666&lt;'PlayerGrades+'!$Y$29,"A-",IF(C666&lt;'PlayerGrades+'!$Y$28,"A",IF(C666&lt;'PlayerGrades+'!$Y$27,"A+",IF(C666&lt;'PlayerGrades+'!$Y$26,"S-",IF(C666&lt;'PlayerGrades+'!$Y$25,"S","S+"))))))))))))))))))))</f>
        <v>A+</v>
      </c>
      <c r="C666" s="972">
        <f>('PlayerGrades+'!$Y$47*(VLOOKUP(E666, 'PlayerGrades+'!$X$3:$Y$23, 2, FALSE)))+('PlayerGrades+'!$Y$48*(VLOOKUP(G666, 'PlayerGrades+'!$X$3:$Y$23, 2, FALSE)))+('PlayerGrades+'!$Y$49*(VLOOKUP(I666, 'PlayerGrades+'!$X$3:$Y$23, 2, FALSE)))+('PlayerGrades+'!$Y$50*(VLOOKUP(K666, 'PlayerGrades+'!$X$3:$Y$23, 2, FALSE)))+('PlayerGrades+'!$Y$51*(VLOOKUP(M666, 'PlayerGrades+'!$X$3:$Y$23, 2, FALSE)))+('PlayerGrades+'!$Y$52*(VLOOKUP(O666, 'PlayerGrades+'!$X$3:$Y$23, 2, FALSE)))+('PlayerGrades+'!$Y$53*(VLOOKUP(Q666, 'PlayerGrades+'!$X$3:$Y$23, 2, FALSE)))+('PlayerGrades+'!$Y$54*(VLOOKUP(S666, 'PlayerGrades+'!$X$3:$Y$23, 2, FALSE)))+('PlayerGrades+'!$Y$55*(VLOOKUP(U666, 'PlayerGrades+'!$X$3:$Y$23, 2, FALSE)))</f>
        <v>29.6</v>
      </c>
      <c r="D666" s="973">
        <f t="shared" si="1"/>
        <v>0.572519084</v>
      </c>
      <c r="E666" s="973" t="str">
        <f>IF(D666&lt;'PlayerGrades+'!$AA$21,"F-",IF(D666&lt;'PlayerGrades+'!$AA$20,"F",IF(D666&lt;'PlayerGrades+'!$AA$19,"F+",IF(D666&lt;'PlayerGrades+'!$AA$18,"E-",IF(D666&lt;'PlayerGrades+'!$AA$17,"E",IF(D666&lt;'PlayerGrades+'!$AA$16,"E+",IF(D666&lt;'PlayerGrades+'!$AA$15,"D-",IF(D666&lt;'PlayerGrades+'!$AA$14,"D",IF(D666&lt;'PlayerGrades+'!$AA$13,"D+",IF(D666&lt;'PlayerGrades+'!$AA$12,"C-",IF(D666&lt;'PlayerGrades+'!$AA$11,"C",IF(D666&lt;'PlayerGrades+'!$AA$10,"C+",IF(D666&lt;'PlayerGrades+'!$AA$9,"B-",IF(D666&lt;'PlayerGrades+'!$AA$8,"B",IF(D666&lt;'PlayerGrades+'!$AA$7,"B+",IF(D666&lt;'PlayerGrades+'!$AA$6,"A-",IF(D666&lt;'PlayerGrades+'!$AA$5,"A",IF(D666&lt;'PlayerGrades+'!$AA$4,"A+",IF(D666&lt;'PlayerGrades+'!$AA$3,"S-",IF(D666&lt;'PlayerGrades+'!$AA$2,"S","S+"))))))))))))))))))))</f>
        <v>S-</v>
      </c>
      <c r="F666" s="973">
        <f t="shared" si="2"/>
        <v>0.8244274809</v>
      </c>
      <c r="G666" s="973" t="str">
        <f>IF(F666&lt;'PlayerGrades+'!$AB$21,"F-",IF(F666&lt;'PlayerGrades+'!$AB$20,"F",IF(F666&lt;'PlayerGrades+'!$AB$19,"F+",IF(F666&lt;'PlayerGrades+'!$AB$18,"E-",IF(F666&lt;'PlayerGrades+'!$AB$17,"E",IF(F666&lt;'PlayerGrades+'!$AB$16,"E+",IF(F666&lt;'PlayerGrades+'!$AB$15,"D-",IF(F666&lt;'PlayerGrades+'!$AB$14,"D",IF(F666&lt;'PlayerGrades+'!$AB$13,"D+",IF(F666&lt;'PlayerGrades+'!$AB$12,"C-",IF(F666&lt;'PlayerGrades+'!$AB$11,"C",IF(F666&lt;'PlayerGrades+'!$AB$10,"C+",IF(F666&lt;'PlayerGrades+'!$AB$9,"B-",IF(F666&lt;'PlayerGrades+'!$AB$8,"B",IF(F666&lt;'PlayerGrades+'!$AB$7,"B+",IF(F666&lt;'PlayerGrades+'!$AB$6,"A-",IF(F666&lt;'PlayerGrades+'!$AB$5,"A",IF(F666&lt;'PlayerGrades+'!$AB$4,"A+",IF(F666&lt;'PlayerGrades+'!$AB$3,"S-",IF(F666&lt;'PlayerGrades+'!$AB$2,"S","S+"))))))))))))))))))))</f>
        <v>S</v>
      </c>
      <c r="H666" s="973">
        <f t="shared" si="3"/>
        <v>0.06870229008</v>
      </c>
      <c r="I666" s="973" t="str">
        <f>IF(H666&lt;'PlayerGrades+'!$AC$21,"F-",IF(H666&lt;'PlayerGrades+'!$AC$20,"F",IF(H666&lt;'PlayerGrades+'!$AC$19,"F+",IF(H666&lt;'PlayerGrades+'!$AC$18,"E-",IF(H666&lt;'PlayerGrades+'!$AC$17,"E",IF(H666&lt;'PlayerGrades+'!$AC$16,"E+",IF(H666&lt;'PlayerGrades+'!$AC$15,"D-",IF(H666&lt;'PlayerGrades+'!$AC$14,"D",IF(H666&lt;'PlayerGrades+'!$AC$13,"D+",IF(H666&lt;'PlayerGrades+'!$AC$12,"C-",IF(H666&lt;'PlayerGrades+'!$AC$11,"C",IF(H666&lt;'PlayerGrades+'!$AC$10,"C+",IF(H666&lt;'PlayerGrades+'!$AC$9,"B-",IF(H666&lt;'PlayerGrades+'!$AC$8,"B",IF(H666&lt;'PlayerGrades+'!$AC$7,"B+",IF(H666&lt;'PlayerGrades+'!$AC$6,"A-",IF(H666&lt;'PlayerGrades+'!$AC$5,"A",IF(H666&lt;'PlayerGrades+'!$AC$4,"A+",IF(H666&lt;'PlayerGrades+'!$AC$3,"S-",IF(H666&lt;'PlayerGrades+'!$AC$2,"S","S+"))))))))))))))))))))</f>
        <v>E</v>
      </c>
      <c r="J666" s="973">
        <f t="shared" si="4"/>
        <v>0.1603053435</v>
      </c>
      <c r="K666" s="973" t="str">
        <f>IF(J666&lt;'PlayerGrades+'!$AD$21,"F-",IF(J666&lt;'PlayerGrades+'!$AD$20,"F",IF(J666&lt;'PlayerGrades+'!$AD$19,"F+",IF(J666&lt;'PlayerGrades+'!$AD$18,"E-",IF(J666&lt;'PlayerGrades+'!$AD$17,"E",IF(J666&lt;'PlayerGrades+'!$AD$16,"E+",IF(J666&lt;'PlayerGrades+'!$AD$15,"D-",IF(J666&lt;'PlayerGrades+'!$AD$14,"D",IF(J666&lt;'PlayerGrades+'!$AD$13,"D+",IF(J666&lt;'PlayerGrades+'!$AD$12,"C-",IF(J666&lt;'PlayerGrades+'!$AD$11,"C",IF(J666&lt;'PlayerGrades+'!$AD$10,"C+",IF(J666&lt;'PlayerGrades+'!$AD$9,"B-",IF(J666&lt;'PlayerGrades+'!$AD$8,"B",IF(J666&lt;'PlayerGrades+'!$AD$7,"B+",IF(J666&lt;'PlayerGrades+'!$AD$6,"A-",IF(J666&lt;'PlayerGrades+'!$AD$5,"A",IF(J666&lt;'PlayerGrades+'!$AD$4,"A+",IF(J666&lt;'PlayerGrades+'!$AD$3,"S-",IF(J666&lt;'PlayerGrades+'!$AD$2,"S","S+"))))))))))))))))))))</f>
        <v>S+</v>
      </c>
      <c r="L666" s="974">
        <f t="shared" si="5"/>
        <v>0.4122137405</v>
      </c>
      <c r="M666" s="975" t="str">
        <f>IF(L666&lt;'PlayerGrades+'!$AE$21,"F-",IF(L666&lt;'PlayerGrades+'!$AE$20,"F",IF(L666&lt;'PlayerGrades+'!$AE$19,"F+",IF(L666&lt;'PlayerGrades+'!$AE$18,"E-",IF(L666&lt;'PlayerGrades+'!$AE$17,"E",IF(L666&lt;'PlayerGrades+'!$AE$16,"E+",IF(L666&lt;'PlayerGrades+'!$AE$15,"D-",IF(L666&lt;'PlayerGrades+'!$AE$14,"D",IF(L666&lt;'PlayerGrades+'!$AE$13,"D+",IF(L666&lt;'PlayerGrades+'!$AE$12,"C-",IF(L666&lt;'PlayerGrades+'!$AE$11,"C",IF(L666&lt;'PlayerGrades+'!$AE$10,"C+",IF(L666&lt;'PlayerGrades+'!$AE$9,"B-",IF(L666&lt;'PlayerGrades+'!$AE$8,"B",IF(L666&lt;'PlayerGrades+'!$AE$7,"B+",IF(L666&lt;'PlayerGrades+'!$AE$6,"A-",IF(L666&lt;'PlayerGrades+'!$AE$5,"A",IF(L666&lt;'PlayerGrades+'!$AE$4,"A+",IF(L666&lt;'PlayerGrades+'!$AE$3,"S-",IF(L666&lt;'PlayerGrades+'!$AE$2,"S","S+"))))))))))))))))))))</f>
        <v>C+</v>
      </c>
      <c r="N666" s="973">
        <f t="shared" si="6"/>
        <v>0.1603053435</v>
      </c>
      <c r="O666" s="973" t="str">
        <f>IF(N666&lt;'PlayerGrades+'!$AF$21,"F-",IF(N666&lt;'PlayerGrades+'!$AF$20,"F",IF(N666&lt;'PlayerGrades+'!$AF$19,"F+",IF(N666&lt;'PlayerGrades+'!$AF$18,"E-",IF(N666&lt;'PlayerGrades+'!$AF$17,"E",IF(N666&lt;'PlayerGrades+'!$AF$16,"E+",IF(N666&lt;'PlayerGrades+'!$AF$15,"D-",IF(N666&lt;'PlayerGrades+'!$AF$14,"D",IF(N666&lt;'PlayerGrades+'!$AF$13,"D+",IF(N666&lt;'PlayerGrades+'!$AF$12,"C-",IF(N666&lt;'PlayerGrades+'!$AF$11,"C",IF(N666&lt;'PlayerGrades+'!$AF$10,"C+",IF(N666&lt;'PlayerGrades+'!$AF$9,"B-",IF(N666&lt;'PlayerGrades+'!$AF$8,"B",IF(N666&lt;'PlayerGrades+'!$AF$7,"B+",IF(N666&lt;'PlayerGrades+'!$AF$6,"A-",IF(N666&lt;'PlayerGrades+'!$AF$5,"A",IF(N666&lt;'PlayerGrades+'!$AF$4,"A+",IF(N666&lt;'PlayerGrades+'!$AF$3,"S-",IF(N666&lt;'PlayerGrades+'!$AF$2,"S","S+"))))))))))))))))))))</f>
        <v>S+</v>
      </c>
      <c r="P666" s="973">
        <f t="shared" si="7"/>
        <v>0.04580152672</v>
      </c>
      <c r="Q666" s="973" t="str">
        <f>IF(P666&lt;'PlayerGrades+'!$AG$21,"F-",IF(P666&lt;'PlayerGrades+'!$AG$20,"F",IF(P666&lt;'PlayerGrades+'!$AG$19,"F+",IF(P666&lt;'PlayerGrades+'!$AG$18,"E-",IF(P666&lt;'PlayerGrades+'!$AG$17,"E",IF(P666&lt;'PlayerGrades+'!$AG$16,"E+",IF(P666&lt;'PlayerGrades+'!$AG$15,"D-",IF(P666&lt;'PlayerGrades+'!$AG$14,"D",IF(P666&lt;'PlayerGrades+'!$AG$13,"D+",IF(P666&lt;'PlayerGrades+'!$AG$12,"C-",IF(P666&lt;'PlayerGrades+'!$AG$11,"C",IF(P666&lt;'PlayerGrades+'!$AG$10,"C+",IF(P666&lt;'PlayerGrades+'!$AG$9,"B-",IF(P666&lt;'PlayerGrades+'!$AG$8,"B",IF(P666&lt;'PlayerGrades+'!$AG$7,"B+",IF(P666&lt;'PlayerGrades+'!$AG$6,"A-",IF(P666&lt;'PlayerGrades+'!$AG$5,"A",IF(P666&lt;'PlayerGrades+'!$AG$4,"A+",IF(P666&lt;'PlayerGrades+'!$AG$3,"S-",IF(P666&lt;'PlayerGrades+'!$AG$2,"S","S+"))))))))))))))))))))</f>
        <v>A</v>
      </c>
      <c r="R666" s="973">
        <f t="shared" si="8"/>
        <v>0.6641221374</v>
      </c>
      <c r="S666" s="973" t="str">
        <f>IF(R666&lt;'PlayerGrades+'!$AH$21,"F-",IF(R666&lt;'PlayerGrades+'!$AH$20,"F",IF(R666&lt;'PlayerGrades+'!$AH$19,"F+",IF(R666&lt;'PlayerGrades+'!$AH$18,"E-",IF(R666&lt;'PlayerGrades+'!$AH$17,"E",IF(R666&lt;'PlayerGrades+'!$AH$16,"E+",IF(R666&lt;'PlayerGrades+'!$AH$15,"D-",IF(R666&lt;'PlayerGrades+'!$AH$14,"D",IF(R666&lt;'PlayerGrades+'!$AH$13,"D+",IF(R666&lt;'PlayerGrades+'!$AH$12,"C-",IF(R666&lt;'PlayerGrades+'!$AH$11,"C",IF(R666&lt;'PlayerGrades+'!$AH$10,"C+",IF(R666&lt;'PlayerGrades+'!$AH$9,"B-",IF(R666&lt;'PlayerGrades+'!$AH$8,"B",IF(R666&lt;'PlayerGrades+'!$AH$7,"B+",IF(R666&lt;'PlayerGrades+'!$AH$6,"A-",IF(R666&lt;'PlayerGrades+'!$AH$5,"A",IF(R666&lt;'PlayerGrades+'!$AH$4,"A+",IF(R666&lt;'PlayerGrades+'!$AH$3,"S-",IF(R666&lt;'PlayerGrades+'!$AH$2,"S","S+"))))))))))))))))))))</f>
        <v>A+</v>
      </c>
      <c r="T666" s="973">
        <f t="shared" si="9"/>
        <v>1.251908397</v>
      </c>
      <c r="U666" s="973" t="str">
        <f>IF(T666&lt;'PlayerGrades+'!$AI$21,"F-",IF(T666&lt;'PlayerGrades+'!$AI$20,"F",IF(T666&lt;'PlayerGrades+'!$AI$19,"F+",IF(T666&lt;'PlayerGrades+'!$AI$18,"E-",IF(T666&lt;'PlayerGrades+'!$AI$17,"E",IF(T666&lt;'PlayerGrades+'!$AI$16,"E+",IF(T666&lt;'PlayerGrades+'!$AI$15,"D-",IF(T666&lt;'PlayerGrades+'!$AI$14,"D",IF(T666&lt;'PlayerGrades+'!$AI$13,"D+",IF(T666&lt;'PlayerGrades+'!$AI$12,"C-",IF(T666&lt;'PlayerGrades+'!$AI$11,"C",IF(T666&lt;'PlayerGrades+'!$AI$10,"C+",IF(T666&lt;'PlayerGrades+'!$AI$9,"B-",IF(T666&lt;'PlayerGrades+'!$AI$8,"B",IF(T666&lt;'PlayerGrades+'!$AI$7,"B+",IF(T666&lt;'PlayerGrades+'!$AI$6,"A-",IF(T666&lt;'PlayerGrades+'!$AI$5,"A",IF(T666&lt;'PlayerGrades+'!$AI$4,"A+",IF(T666&lt;'PlayerGrades+'!$AI$3,"S-",IF(T666&lt;'PlayerGrades+'!$AI$2,"S","S+"))))))))))))))))))))</f>
        <v>C</v>
      </c>
      <c r="V666" s="941">
        <v>1.0</v>
      </c>
      <c r="W666" s="941">
        <v>1.0</v>
      </c>
      <c r="X666" s="941">
        <v>0.0</v>
      </c>
      <c r="Y666" s="941">
        <v>5.0</v>
      </c>
      <c r="Z666" s="941">
        <v>20.0</v>
      </c>
      <c r="AA666" s="941">
        <v>155.0</v>
      </c>
      <c r="AB666" s="941">
        <v>119.0</v>
      </c>
      <c r="AC666" s="941">
        <v>36.0</v>
      </c>
      <c r="AD666" s="941">
        <v>2.0</v>
      </c>
      <c r="AE666" s="941">
        <v>12.0</v>
      </c>
      <c r="AF666" s="941">
        <v>1.0</v>
      </c>
      <c r="AG666" s="941">
        <v>2147.0</v>
      </c>
      <c r="AH666" s="941">
        <v>2620.0</v>
      </c>
      <c r="AI666" s="941">
        <v>18.0</v>
      </c>
      <c r="AJ666" s="941">
        <v>680.0</v>
      </c>
      <c r="AK666" s="941">
        <v>0.0</v>
      </c>
      <c r="AL666" s="941">
        <v>7.0</v>
      </c>
      <c r="AM666" s="941">
        <v>1.0</v>
      </c>
      <c r="AN666" s="941">
        <v>0.0</v>
      </c>
      <c r="AO666" s="941">
        <v>0.0</v>
      </c>
      <c r="AP666" s="941">
        <v>2.0</v>
      </c>
      <c r="AQ666" s="941">
        <v>0.0</v>
      </c>
      <c r="AR666" s="941">
        <v>18.0</v>
      </c>
      <c r="AS666" s="941">
        <v>7.0</v>
      </c>
      <c r="AT666" s="941">
        <v>1.0</v>
      </c>
      <c r="AU666" s="941">
        <v>1.0</v>
      </c>
      <c r="AV666" s="941">
        <v>1.0</v>
      </c>
      <c r="AW666" s="941">
        <v>1.0</v>
      </c>
      <c r="AX666" s="941">
        <v>1.0</v>
      </c>
      <c r="AY666" s="941">
        <v>1.0</v>
      </c>
      <c r="AZ666" s="941">
        <v>0.0</v>
      </c>
      <c r="BA666" s="941">
        <v>0.0</v>
      </c>
      <c r="BB666" s="941">
        <v>3.0</v>
      </c>
      <c r="BC666" s="941">
        <v>1.0</v>
      </c>
      <c r="BD666" s="941">
        <v>27.0</v>
      </c>
      <c r="BE666" s="941">
        <v>11.0</v>
      </c>
      <c r="BF666" s="941">
        <v>1.0</v>
      </c>
      <c r="BG666" s="941">
        <v>1.0</v>
      </c>
    </row>
    <row r="667">
      <c r="A667" s="1" t="s">
        <v>145</v>
      </c>
      <c r="B667" s="421" t="str">
        <f>IF(C667&lt;'PlayerGrades+'!$Y$44,"F-",IF(C667&lt;'PlayerGrades+'!$Y$43,"F",IF(C667&lt;'PlayerGrades+'!$Y$42,"F+",IF(C667&lt;'PlayerGrades+'!$Y$41,"E-",IF(C667&lt;'PlayerGrades+'!$Y$40,"E",IF(C667&lt;'PlayerGrades+'!$Y$39,"E+",IF(C667&lt;'PlayerGrades+'!$Y$38,"D-",IF(C667&lt;'PlayerGrades+'!$Y$37,"D",IF(C667&lt;'PlayerGrades+'!$Y$36,"D+",IF(C667&lt;'PlayerGrades+'!$Y$35,"C-",IF(C667&lt;'PlayerGrades+'!$Y$34,"C",IF(C667&lt;'PlayerGrades+'!$Y$33,"C+",IF(C667&lt;'PlayerGrades+'!$Y$32,"B-",IF(C667&lt;'PlayerGrades+'!$Y$31,"B",IF(C667&lt;'PlayerGrades+'!$Y$30,"B+",IF(C667&lt;'PlayerGrades+'!$Y$29,"A-",IF(C667&lt;'PlayerGrades+'!$Y$28,"A",IF(C667&lt;'PlayerGrades+'!$Y$27,"A+",IF(C667&lt;'PlayerGrades+'!$Y$26,"S-",IF(C667&lt;'PlayerGrades+'!$Y$25,"S","S+"))))))))))))))))))))</f>
        <v>A-</v>
      </c>
      <c r="C667" s="972">
        <f>('PlayerGrades+'!$Y$47*(VLOOKUP(E667, 'PlayerGrades+'!$X$3:$Y$23, 2, FALSE)))+('PlayerGrades+'!$Y$48*(VLOOKUP(G667, 'PlayerGrades+'!$X$3:$Y$23, 2, FALSE)))+('PlayerGrades+'!$Y$49*(VLOOKUP(I667, 'PlayerGrades+'!$X$3:$Y$23, 2, FALSE)))+('PlayerGrades+'!$Y$50*(VLOOKUP(K667, 'PlayerGrades+'!$X$3:$Y$23, 2, FALSE)))+('PlayerGrades+'!$Y$51*(VLOOKUP(M667, 'PlayerGrades+'!$X$3:$Y$23, 2, FALSE)))+('PlayerGrades+'!$Y$52*(VLOOKUP(O667, 'PlayerGrades+'!$X$3:$Y$23, 2, FALSE)))+('PlayerGrades+'!$Y$53*(VLOOKUP(Q667, 'PlayerGrades+'!$X$3:$Y$23, 2, FALSE)))+('PlayerGrades+'!$Y$54*(VLOOKUP(S667, 'PlayerGrades+'!$X$3:$Y$23, 2, FALSE)))+('PlayerGrades+'!$Y$55*(VLOOKUP(U667, 'PlayerGrades+'!$X$3:$Y$23, 2, FALSE)))</f>
        <v>24.4</v>
      </c>
      <c r="D667" s="973">
        <f t="shared" si="1"/>
        <v>0</v>
      </c>
      <c r="E667" s="973" t="str">
        <f>IF(D667&lt;'PlayerGrades+'!$AA$21,"F-",IF(D667&lt;'PlayerGrades+'!$AA$20,"F",IF(D667&lt;'PlayerGrades+'!$AA$19,"F+",IF(D667&lt;'PlayerGrades+'!$AA$18,"E-",IF(D667&lt;'PlayerGrades+'!$AA$17,"E",IF(D667&lt;'PlayerGrades+'!$AA$16,"E+",IF(D667&lt;'PlayerGrades+'!$AA$15,"D-",IF(D667&lt;'PlayerGrades+'!$AA$14,"D",IF(D667&lt;'PlayerGrades+'!$AA$13,"D+",IF(D667&lt;'PlayerGrades+'!$AA$12,"C-",IF(D667&lt;'PlayerGrades+'!$AA$11,"C",IF(D667&lt;'PlayerGrades+'!$AA$10,"C+",IF(D667&lt;'PlayerGrades+'!$AA$9,"B-",IF(D667&lt;'PlayerGrades+'!$AA$8,"B",IF(D667&lt;'PlayerGrades+'!$AA$7,"B+",IF(D667&lt;'PlayerGrades+'!$AA$6,"A-",IF(D667&lt;'PlayerGrades+'!$AA$5,"A",IF(D667&lt;'PlayerGrades+'!$AA$4,"A+",IF(D667&lt;'PlayerGrades+'!$AA$3,"S-",IF(D667&lt;'PlayerGrades+'!$AA$2,"S","S+"))))))))))))))))))))</f>
        <v>F-</v>
      </c>
      <c r="F667" s="973">
        <f t="shared" si="2"/>
        <v>0.1145038168</v>
      </c>
      <c r="G667" s="973" t="str">
        <f>IF(F667&lt;'PlayerGrades+'!$AB$21,"F-",IF(F667&lt;'PlayerGrades+'!$AB$20,"F",IF(F667&lt;'PlayerGrades+'!$AB$19,"F+",IF(F667&lt;'PlayerGrades+'!$AB$18,"E-",IF(F667&lt;'PlayerGrades+'!$AB$17,"E",IF(F667&lt;'PlayerGrades+'!$AB$16,"E+",IF(F667&lt;'PlayerGrades+'!$AB$15,"D-",IF(F667&lt;'PlayerGrades+'!$AB$14,"D",IF(F667&lt;'PlayerGrades+'!$AB$13,"D+",IF(F667&lt;'PlayerGrades+'!$AB$12,"C-",IF(F667&lt;'PlayerGrades+'!$AB$11,"C",IF(F667&lt;'PlayerGrades+'!$AB$10,"C+",IF(F667&lt;'PlayerGrades+'!$AB$9,"B-",IF(F667&lt;'PlayerGrades+'!$AB$8,"B",IF(F667&lt;'PlayerGrades+'!$AB$7,"B+",IF(F667&lt;'PlayerGrades+'!$AB$6,"A-",IF(F667&lt;'PlayerGrades+'!$AB$5,"A",IF(F667&lt;'PlayerGrades+'!$AB$4,"A+",IF(F667&lt;'PlayerGrades+'!$AB$3,"S-",IF(F667&lt;'PlayerGrades+'!$AB$2,"S","S+"))))))))))))))))))))</f>
        <v>B+</v>
      </c>
      <c r="H667" s="973">
        <f t="shared" si="3"/>
        <v>0.1603053435</v>
      </c>
      <c r="I667" s="973" t="str">
        <f>IF(H667&lt;'PlayerGrades+'!$AC$21,"F-",IF(H667&lt;'PlayerGrades+'!$AC$20,"F",IF(H667&lt;'PlayerGrades+'!$AC$19,"F+",IF(H667&lt;'PlayerGrades+'!$AC$18,"E-",IF(H667&lt;'PlayerGrades+'!$AC$17,"E",IF(H667&lt;'PlayerGrades+'!$AC$16,"E+",IF(H667&lt;'PlayerGrades+'!$AC$15,"D-",IF(H667&lt;'PlayerGrades+'!$AC$14,"D",IF(H667&lt;'PlayerGrades+'!$AC$13,"D+",IF(H667&lt;'PlayerGrades+'!$AC$12,"C-",IF(H667&lt;'PlayerGrades+'!$AC$11,"C",IF(H667&lt;'PlayerGrades+'!$AC$10,"C+",IF(H667&lt;'PlayerGrades+'!$AC$9,"B-",IF(H667&lt;'PlayerGrades+'!$AC$8,"B",IF(H667&lt;'PlayerGrades+'!$AC$7,"B+",IF(H667&lt;'PlayerGrades+'!$AC$6,"A-",IF(H667&lt;'PlayerGrades+'!$AC$5,"A",IF(H667&lt;'PlayerGrades+'!$AC$4,"A+",IF(H667&lt;'PlayerGrades+'!$AC$3,"S-",IF(H667&lt;'PlayerGrades+'!$AC$2,"S","S+"))))))))))))))))))))</f>
        <v>A</v>
      </c>
      <c r="J667" s="973">
        <f t="shared" si="4"/>
        <v>0.06870229008</v>
      </c>
      <c r="K667" s="973" t="str">
        <f>IF(J667&lt;'PlayerGrades+'!$AD$21,"F-",IF(J667&lt;'PlayerGrades+'!$AD$20,"F",IF(J667&lt;'PlayerGrades+'!$AD$19,"F+",IF(J667&lt;'PlayerGrades+'!$AD$18,"E-",IF(J667&lt;'PlayerGrades+'!$AD$17,"E",IF(J667&lt;'PlayerGrades+'!$AD$16,"E+",IF(J667&lt;'PlayerGrades+'!$AD$15,"D-",IF(J667&lt;'PlayerGrades+'!$AD$14,"D",IF(J667&lt;'PlayerGrades+'!$AD$13,"D+",IF(J667&lt;'PlayerGrades+'!$AD$12,"C-",IF(J667&lt;'PlayerGrades+'!$AD$11,"C",IF(J667&lt;'PlayerGrades+'!$AD$10,"C+",IF(J667&lt;'PlayerGrades+'!$AD$9,"B-",IF(J667&lt;'PlayerGrades+'!$AD$8,"B",IF(J667&lt;'PlayerGrades+'!$AD$7,"B+",IF(J667&lt;'PlayerGrades+'!$AD$6,"A-",IF(J667&lt;'PlayerGrades+'!$AD$5,"A",IF(J667&lt;'PlayerGrades+'!$AD$4,"A+",IF(J667&lt;'PlayerGrades+'!$AD$3,"S-",IF(J667&lt;'PlayerGrades+'!$AD$2,"S","S+"))))))))))))))))))))</f>
        <v>A-</v>
      </c>
      <c r="L667" s="974">
        <f t="shared" si="5"/>
        <v>0.572519084</v>
      </c>
      <c r="M667" s="975" t="str">
        <f>IF(L667&lt;'PlayerGrades+'!$AE$21,"F-",IF(L667&lt;'PlayerGrades+'!$AE$20,"F",IF(L667&lt;'PlayerGrades+'!$AE$19,"F+",IF(L667&lt;'PlayerGrades+'!$AE$18,"E-",IF(L667&lt;'PlayerGrades+'!$AE$17,"E",IF(L667&lt;'PlayerGrades+'!$AE$16,"E+",IF(L667&lt;'PlayerGrades+'!$AE$15,"D-",IF(L667&lt;'PlayerGrades+'!$AE$14,"D",IF(L667&lt;'PlayerGrades+'!$AE$13,"D+",IF(L667&lt;'PlayerGrades+'!$AE$12,"C-",IF(L667&lt;'PlayerGrades+'!$AE$11,"C",IF(L667&lt;'PlayerGrades+'!$AE$10,"C+",IF(L667&lt;'PlayerGrades+'!$AE$9,"B-",IF(L667&lt;'PlayerGrades+'!$AE$8,"B",IF(L667&lt;'PlayerGrades+'!$AE$7,"B+",IF(L667&lt;'PlayerGrades+'!$AE$6,"A-",IF(L667&lt;'PlayerGrades+'!$AE$5,"A",IF(L667&lt;'PlayerGrades+'!$AE$4,"A+",IF(L667&lt;'PlayerGrades+'!$AE$3,"S-",IF(L667&lt;'PlayerGrades+'!$AE$2,"S","S+"))))))))))))))))))))</f>
        <v>A</v>
      </c>
      <c r="N667" s="973">
        <f t="shared" si="6"/>
        <v>0.04580152672</v>
      </c>
      <c r="O667" s="973" t="str">
        <f>IF(N667&lt;'PlayerGrades+'!$AF$21,"F-",IF(N667&lt;'PlayerGrades+'!$AF$20,"F",IF(N667&lt;'PlayerGrades+'!$AF$19,"F+",IF(N667&lt;'PlayerGrades+'!$AF$18,"E-",IF(N667&lt;'PlayerGrades+'!$AF$17,"E",IF(N667&lt;'PlayerGrades+'!$AF$16,"E+",IF(N667&lt;'PlayerGrades+'!$AF$15,"D-",IF(N667&lt;'PlayerGrades+'!$AF$14,"D",IF(N667&lt;'PlayerGrades+'!$AF$13,"D+",IF(N667&lt;'PlayerGrades+'!$AF$12,"C-",IF(N667&lt;'PlayerGrades+'!$AF$11,"C",IF(N667&lt;'PlayerGrades+'!$AF$10,"C+",IF(N667&lt;'PlayerGrades+'!$AF$9,"B-",IF(N667&lt;'PlayerGrades+'!$AF$8,"B",IF(N667&lt;'PlayerGrades+'!$AF$7,"B+",IF(N667&lt;'PlayerGrades+'!$AF$6,"A-",IF(N667&lt;'PlayerGrades+'!$AF$5,"A",IF(N667&lt;'PlayerGrades+'!$AF$4,"A+",IF(N667&lt;'PlayerGrades+'!$AF$3,"S-",IF(N667&lt;'PlayerGrades+'!$AF$2,"S","S+"))))))))))))))))))))</f>
        <v>E+</v>
      </c>
      <c r="P667" s="973">
        <f t="shared" si="7"/>
        <v>0.06870229008</v>
      </c>
      <c r="Q667" s="973" t="str">
        <f>IF(P667&lt;'PlayerGrades+'!$AG$21,"F-",IF(P667&lt;'PlayerGrades+'!$AG$20,"F",IF(P667&lt;'PlayerGrades+'!$AG$19,"F+",IF(P667&lt;'PlayerGrades+'!$AG$18,"E-",IF(P667&lt;'PlayerGrades+'!$AG$17,"E",IF(P667&lt;'PlayerGrades+'!$AG$16,"E+",IF(P667&lt;'PlayerGrades+'!$AG$15,"D-",IF(P667&lt;'PlayerGrades+'!$AG$14,"D",IF(P667&lt;'PlayerGrades+'!$AG$13,"D+",IF(P667&lt;'PlayerGrades+'!$AG$12,"C-",IF(P667&lt;'PlayerGrades+'!$AG$11,"C",IF(P667&lt;'PlayerGrades+'!$AG$10,"C+",IF(P667&lt;'PlayerGrades+'!$AG$9,"B-",IF(P667&lt;'PlayerGrades+'!$AG$8,"B",IF(P667&lt;'PlayerGrades+'!$AG$7,"B+",IF(P667&lt;'PlayerGrades+'!$AG$6,"A-",IF(P667&lt;'PlayerGrades+'!$AG$5,"A",IF(P667&lt;'PlayerGrades+'!$AG$4,"A+",IF(P667&lt;'PlayerGrades+'!$AG$3,"S-",IF(P667&lt;'PlayerGrades+'!$AG$2,"S","S+"))))))))))))))))))))</f>
        <v>S-</v>
      </c>
      <c r="R667" s="973">
        <f t="shared" si="8"/>
        <v>1.076335878</v>
      </c>
      <c r="S667" s="973" t="str">
        <f>IF(R667&lt;'PlayerGrades+'!$AH$21,"F-",IF(R667&lt;'PlayerGrades+'!$AH$20,"F",IF(R667&lt;'PlayerGrades+'!$AH$19,"F+",IF(R667&lt;'PlayerGrades+'!$AH$18,"E-",IF(R667&lt;'PlayerGrades+'!$AH$17,"E",IF(R667&lt;'PlayerGrades+'!$AH$16,"E+",IF(R667&lt;'PlayerGrades+'!$AH$15,"D-",IF(R667&lt;'PlayerGrades+'!$AH$14,"D",IF(R667&lt;'PlayerGrades+'!$AH$13,"D+",IF(R667&lt;'PlayerGrades+'!$AH$12,"C-",IF(R667&lt;'PlayerGrades+'!$AH$11,"C",IF(R667&lt;'PlayerGrades+'!$AH$10,"C+",IF(R667&lt;'PlayerGrades+'!$AH$9,"B-",IF(R667&lt;'PlayerGrades+'!$AH$8,"B",IF(R667&lt;'PlayerGrades+'!$AH$7,"B+",IF(R667&lt;'PlayerGrades+'!$AH$6,"A-",IF(R667&lt;'PlayerGrades+'!$AH$5,"A",IF(R667&lt;'PlayerGrades+'!$AH$4,"A+",IF(R667&lt;'PlayerGrades+'!$AH$3,"S-",IF(R667&lt;'PlayerGrades+'!$AH$2,"S","S+"))))))))))))))))))))</f>
        <v>S+</v>
      </c>
      <c r="T667" s="973">
        <f t="shared" si="9"/>
        <v>1.41221374</v>
      </c>
      <c r="U667" s="973" t="str">
        <f>IF(T667&lt;'PlayerGrades+'!$AI$21,"F-",IF(T667&lt;'PlayerGrades+'!$AI$20,"F",IF(T667&lt;'PlayerGrades+'!$AI$19,"F+",IF(T667&lt;'PlayerGrades+'!$AI$18,"E-",IF(T667&lt;'PlayerGrades+'!$AI$17,"E",IF(T667&lt;'PlayerGrades+'!$AI$16,"E+",IF(T667&lt;'PlayerGrades+'!$AI$15,"D-",IF(T667&lt;'PlayerGrades+'!$AI$14,"D",IF(T667&lt;'PlayerGrades+'!$AI$13,"D+",IF(T667&lt;'PlayerGrades+'!$AI$12,"C-",IF(T667&lt;'PlayerGrades+'!$AI$11,"C",IF(T667&lt;'PlayerGrades+'!$AI$10,"C+",IF(T667&lt;'PlayerGrades+'!$AI$9,"B-",IF(T667&lt;'PlayerGrades+'!$AI$8,"B",IF(T667&lt;'PlayerGrades+'!$AI$7,"B+",IF(T667&lt;'PlayerGrades+'!$AI$6,"A-",IF(T667&lt;'PlayerGrades+'!$AI$5,"A",IF(T667&lt;'PlayerGrades+'!$AI$4,"A+",IF(T667&lt;'PlayerGrades+'!$AI$3,"S-",IF(T667&lt;'PlayerGrades+'!$AI$2,"S","S+"))))))))))))))))))))</f>
        <v>B</v>
      </c>
      <c r="V667" s="941">
        <v>1.0</v>
      </c>
      <c r="W667" s="941">
        <v>1.0</v>
      </c>
      <c r="X667" s="941">
        <v>0.0</v>
      </c>
      <c r="Y667" s="941">
        <v>0.0</v>
      </c>
      <c r="Z667" s="941">
        <v>0.0</v>
      </c>
      <c r="AA667" s="941">
        <v>165.0</v>
      </c>
      <c r="AB667" s="941">
        <v>160.0</v>
      </c>
      <c r="AC667" s="941">
        <v>5.0</v>
      </c>
      <c r="AD667" s="941">
        <v>17.0</v>
      </c>
      <c r="AE667" s="941">
        <v>5.0</v>
      </c>
      <c r="AF667" s="941">
        <v>2.0</v>
      </c>
      <c r="AG667" s="941">
        <v>2014.0</v>
      </c>
      <c r="AH667" s="941">
        <v>2620.0</v>
      </c>
      <c r="AI667" s="941">
        <v>12.0</v>
      </c>
      <c r="AJ667" s="941">
        <v>7.0</v>
      </c>
      <c r="AK667" s="941">
        <v>0.0</v>
      </c>
      <c r="AL667" s="941">
        <v>3.0</v>
      </c>
      <c r="AM667" s="941">
        <v>0.0</v>
      </c>
      <c r="AN667" s="941">
        <v>0.0</v>
      </c>
      <c r="AO667" s="941">
        <v>0.0</v>
      </c>
      <c r="AP667" s="941">
        <v>3.0</v>
      </c>
      <c r="AQ667" s="941">
        <v>0.0</v>
      </c>
      <c r="AR667" s="941">
        <v>25.0</v>
      </c>
      <c r="AS667" s="941">
        <v>2.0</v>
      </c>
      <c r="AT667" s="941">
        <v>0.0</v>
      </c>
      <c r="AU667" s="941">
        <v>0.0</v>
      </c>
      <c r="AV667" s="941">
        <v>0.0</v>
      </c>
      <c r="AW667" s="941">
        <v>0.0</v>
      </c>
      <c r="AX667" s="941">
        <v>0.0</v>
      </c>
      <c r="AY667" s="941">
        <v>0.0</v>
      </c>
      <c r="AZ667" s="941">
        <v>0.0</v>
      </c>
      <c r="BA667" s="941">
        <v>0.0</v>
      </c>
      <c r="BB667" s="941">
        <v>7.0</v>
      </c>
      <c r="BC667" s="941">
        <v>0.0</v>
      </c>
      <c r="BD667" s="941">
        <v>30.0</v>
      </c>
      <c r="BE667" s="941">
        <v>18.0</v>
      </c>
      <c r="BF667" s="941">
        <v>1.0</v>
      </c>
      <c r="BG667" s="941">
        <v>1.0</v>
      </c>
    </row>
    <row r="668">
      <c r="A668" s="1" t="s">
        <v>419</v>
      </c>
      <c r="B668" s="421" t="str">
        <f>IF(C668&lt;'PlayerGrades+'!$Y$44,"F-",IF(C668&lt;'PlayerGrades+'!$Y$43,"F",IF(C668&lt;'PlayerGrades+'!$Y$42,"F+",IF(C668&lt;'PlayerGrades+'!$Y$41,"E-",IF(C668&lt;'PlayerGrades+'!$Y$40,"E",IF(C668&lt;'PlayerGrades+'!$Y$39,"E+",IF(C668&lt;'PlayerGrades+'!$Y$38,"D-",IF(C668&lt;'PlayerGrades+'!$Y$37,"D",IF(C668&lt;'PlayerGrades+'!$Y$36,"D+",IF(C668&lt;'PlayerGrades+'!$Y$35,"C-",IF(C668&lt;'PlayerGrades+'!$Y$34,"C",IF(C668&lt;'PlayerGrades+'!$Y$33,"C+",IF(C668&lt;'PlayerGrades+'!$Y$32,"B-",IF(C668&lt;'PlayerGrades+'!$Y$31,"B",IF(C668&lt;'PlayerGrades+'!$Y$30,"B+",IF(C668&lt;'PlayerGrades+'!$Y$29,"A-",IF(C668&lt;'PlayerGrades+'!$Y$28,"A",IF(C668&lt;'PlayerGrades+'!$Y$27,"A+",IF(C668&lt;'PlayerGrades+'!$Y$26,"S-",IF(C668&lt;'PlayerGrades+'!$Y$25,"S","S+"))))))))))))))))))))</f>
        <v>F+</v>
      </c>
      <c r="C668" s="972">
        <f>('PlayerGrades+'!$Y$47*(VLOOKUP(E668, 'PlayerGrades+'!$X$3:$Y$23, 2, FALSE)))+('PlayerGrades+'!$Y$48*(VLOOKUP(G668, 'PlayerGrades+'!$X$3:$Y$23, 2, FALSE)))+('PlayerGrades+'!$Y$49*(VLOOKUP(I668, 'PlayerGrades+'!$X$3:$Y$23, 2, FALSE)))+('PlayerGrades+'!$Y$50*(VLOOKUP(K668, 'PlayerGrades+'!$X$3:$Y$23, 2, FALSE)))+('PlayerGrades+'!$Y$51*(VLOOKUP(M668, 'PlayerGrades+'!$X$3:$Y$23, 2, FALSE)))+('PlayerGrades+'!$Y$52*(VLOOKUP(O668, 'PlayerGrades+'!$X$3:$Y$23, 2, FALSE)))+('PlayerGrades+'!$Y$53*(VLOOKUP(Q668, 'PlayerGrades+'!$X$3:$Y$23, 2, FALSE)))+('PlayerGrades+'!$Y$54*(VLOOKUP(S668, 'PlayerGrades+'!$X$3:$Y$23, 2, FALSE)))+('PlayerGrades+'!$Y$55*(VLOOKUP(U668, 'PlayerGrades+'!$X$3:$Y$23, 2, FALSE)))</f>
        <v>10.6</v>
      </c>
      <c r="D668" s="973">
        <f t="shared" si="1"/>
        <v>0</v>
      </c>
      <c r="E668" s="973" t="str">
        <f>IF(D668&lt;'PlayerGrades+'!$AA$21,"F-",IF(D668&lt;'PlayerGrades+'!$AA$20,"F",IF(D668&lt;'PlayerGrades+'!$AA$19,"F+",IF(D668&lt;'PlayerGrades+'!$AA$18,"E-",IF(D668&lt;'PlayerGrades+'!$AA$17,"E",IF(D668&lt;'PlayerGrades+'!$AA$16,"E+",IF(D668&lt;'PlayerGrades+'!$AA$15,"D-",IF(D668&lt;'PlayerGrades+'!$AA$14,"D",IF(D668&lt;'PlayerGrades+'!$AA$13,"D+",IF(D668&lt;'PlayerGrades+'!$AA$12,"C-",IF(D668&lt;'PlayerGrades+'!$AA$11,"C",IF(D668&lt;'PlayerGrades+'!$AA$10,"C+",IF(D668&lt;'PlayerGrades+'!$AA$9,"B-",IF(D668&lt;'PlayerGrades+'!$AA$8,"B",IF(D668&lt;'PlayerGrades+'!$AA$7,"B+",IF(D668&lt;'PlayerGrades+'!$AA$6,"A-",IF(D668&lt;'PlayerGrades+'!$AA$5,"A",IF(D668&lt;'PlayerGrades+'!$AA$4,"A+",IF(D668&lt;'PlayerGrades+'!$AA$3,"S-",IF(D668&lt;'PlayerGrades+'!$AA$2,"S","S+"))))))))))))))))))))</f>
        <v>F-</v>
      </c>
      <c r="F668" s="973">
        <f t="shared" si="2"/>
        <v>-0.641221374</v>
      </c>
      <c r="G668" s="973" t="str">
        <f>IF(F668&lt;'PlayerGrades+'!$AB$21,"F-",IF(F668&lt;'PlayerGrades+'!$AB$20,"F",IF(F668&lt;'PlayerGrades+'!$AB$19,"F+",IF(F668&lt;'PlayerGrades+'!$AB$18,"E-",IF(F668&lt;'PlayerGrades+'!$AB$17,"E",IF(F668&lt;'PlayerGrades+'!$AB$16,"E+",IF(F668&lt;'PlayerGrades+'!$AB$15,"D-",IF(F668&lt;'PlayerGrades+'!$AB$14,"D",IF(F668&lt;'PlayerGrades+'!$AB$13,"D+",IF(F668&lt;'PlayerGrades+'!$AB$12,"C-",IF(F668&lt;'PlayerGrades+'!$AB$11,"C",IF(F668&lt;'PlayerGrades+'!$AB$10,"C+",IF(F668&lt;'PlayerGrades+'!$AB$9,"B-",IF(F668&lt;'PlayerGrades+'!$AB$8,"B",IF(F668&lt;'PlayerGrades+'!$AB$7,"B+",IF(F668&lt;'PlayerGrades+'!$AB$6,"A-",IF(F668&lt;'PlayerGrades+'!$AB$5,"A",IF(F668&lt;'PlayerGrades+'!$AB$4,"A+",IF(F668&lt;'PlayerGrades+'!$AB$3,"S-",IF(F668&lt;'PlayerGrades+'!$AB$2,"S","S+"))))))))))))))))))))</f>
        <v>E+</v>
      </c>
      <c r="H668" s="973">
        <f t="shared" si="3"/>
        <v>0.09160305344</v>
      </c>
      <c r="I668" s="973" t="str">
        <f>IF(H668&lt;'PlayerGrades+'!$AC$21,"F-",IF(H668&lt;'PlayerGrades+'!$AC$20,"F",IF(H668&lt;'PlayerGrades+'!$AC$19,"F+",IF(H668&lt;'PlayerGrades+'!$AC$18,"E-",IF(H668&lt;'PlayerGrades+'!$AC$17,"E",IF(H668&lt;'PlayerGrades+'!$AC$16,"E+",IF(H668&lt;'PlayerGrades+'!$AC$15,"D-",IF(H668&lt;'PlayerGrades+'!$AC$14,"D",IF(H668&lt;'PlayerGrades+'!$AC$13,"D+",IF(H668&lt;'PlayerGrades+'!$AC$12,"C-",IF(H668&lt;'PlayerGrades+'!$AC$11,"C",IF(H668&lt;'PlayerGrades+'!$AC$10,"C+",IF(H668&lt;'PlayerGrades+'!$AC$9,"B-",IF(H668&lt;'PlayerGrades+'!$AC$8,"B",IF(H668&lt;'PlayerGrades+'!$AC$7,"B+",IF(H668&lt;'PlayerGrades+'!$AC$6,"A-",IF(H668&lt;'PlayerGrades+'!$AC$5,"A",IF(H668&lt;'PlayerGrades+'!$AC$4,"A+",IF(H668&lt;'PlayerGrades+'!$AC$3,"S-",IF(H668&lt;'PlayerGrades+'!$AC$2,"S","S+"))))))))))))))))))))</f>
        <v>D</v>
      </c>
      <c r="J668" s="973">
        <f t="shared" si="4"/>
        <v>0.02290076336</v>
      </c>
      <c r="K668" s="973" t="str">
        <f>IF(J668&lt;'PlayerGrades+'!$AD$21,"F-",IF(J668&lt;'PlayerGrades+'!$AD$20,"F",IF(J668&lt;'PlayerGrades+'!$AD$19,"F+",IF(J668&lt;'PlayerGrades+'!$AD$18,"E-",IF(J668&lt;'PlayerGrades+'!$AD$17,"E",IF(J668&lt;'PlayerGrades+'!$AD$16,"E+",IF(J668&lt;'PlayerGrades+'!$AD$15,"D-",IF(J668&lt;'PlayerGrades+'!$AD$14,"D",IF(J668&lt;'PlayerGrades+'!$AD$13,"D+",IF(J668&lt;'PlayerGrades+'!$AD$12,"C-",IF(J668&lt;'PlayerGrades+'!$AD$11,"C",IF(J668&lt;'PlayerGrades+'!$AD$10,"C+",IF(J668&lt;'PlayerGrades+'!$AD$9,"B-",IF(J668&lt;'PlayerGrades+'!$AD$8,"B",IF(J668&lt;'PlayerGrades+'!$AD$7,"B+",IF(J668&lt;'PlayerGrades+'!$AD$6,"A-",IF(J668&lt;'PlayerGrades+'!$AD$5,"A",IF(J668&lt;'PlayerGrades+'!$AD$4,"A+",IF(J668&lt;'PlayerGrades+'!$AD$3,"S-",IF(J668&lt;'PlayerGrades+'!$AD$2,"S","S+"))))))))))))))))))))</f>
        <v>D-</v>
      </c>
      <c r="L668" s="974">
        <f t="shared" si="5"/>
        <v>0.2748091603</v>
      </c>
      <c r="M668" s="975" t="str">
        <f>IF(L668&lt;'PlayerGrades+'!$AE$21,"F-",IF(L668&lt;'PlayerGrades+'!$AE$20,"F",IF(L668&lt;'PlayerGrades+'!$AE$19,"F+",IF(L668&lt;'PlayerGrades+'!$AE$18,"E-",IF(L668&lt;'PlayerGrades+'!$AE$17,"E",IF(L668&lt;'PlayerGrades+'!$AE$16,"E+",IF(L668&lt;'PlayerGrades+'!$AE$15,"D-",IF(L668&lt;'PlayerGrades+'!$AE$14,"D",IF(L668&lt;'PlayerGrades+'!$AE$13,"D+",IF(L668&lt;'PlayerGrades+'!$AE$12,"C-",IF(L668&lt;'PlayerGrades+'!$AE$11,"C",IF(L668&lt;'PlayerGrades+'!$AE$10,"C+",IF(L668&lt;'PlayerGrades+'!$AE$9,"B-",IF(L668&lt;'PlayerGrades+'!$AE$8,"B",IF(L668&lt;'PlayerGrades+'!$AE$7,"B+",IF(L668&lt;'PlayerGrades+'!$AE$6,"A-",IF(L668&lt;'PlayerGrades+'!$AE$5,"A",IF(L668&lt;'PlayerGrades+'!$AE$4,"A+",IF(L668&lt;'PlayerGrades+'!$AE$3,"S-",IF(L668&lt;'PlayerGrades+'!$AE$2,"S","S+"))))))))))))))))))))</f>
        <v>F+</v>
      </c>
      <c r="N668" s="973">
        <f t="shared" si="6"/>
        <v>0.02290076336</v>
      </c>
      <c r="O668" s="973" t="str">
        <f>IF(N668&lt;'PlayerGrades+'!$AF$21,"F-",IF(N668&lt;'PlayerGrades+'!$AF$20,"F",IF(N668&lt;'PlayerGrades+'!$AF$19,"F+",IF(N668&lt;'PlayerGrades+'!$AF$18,"E-",IF(N668&lt;'PlayerGrades+'!$AF$17,"E",IF(N668&lt;'PlayerGrades+'!$AF$16,"E+",IF(N668&lt;'PlayerGrades+'!$AF$15,"D-",IF(N668&lt;'PlayerGrades+'!$AF$14,"D",IF(N668&lt;'PlayerGrades+'!$AF$13,"D+",IF(N668&lt;'PlayerGrades+'!$AF$12,"C-",IF(N668&lt;'PlayerGrades+'!$AF$11,"C",IF(N668&lt;'PlayerGrades+'!$AF$10,"C+",IF(N668&lt;'PlayerGrades+'!$AF$9,"B-",IF(N668&lt;'PlayerGrades+'!$AF$8,"B",IF(N668&lt;'PlayerGrades+'!$AF$7,"B+",IF(N668&lt;'PlayerGrades+'!$AF$6,"A-",IF(N668&lt;'PlayerGrades+'!$AF$5,"A",IF(N668&lt;'PlayerGrades+'!$AF$4,"A+",IF(N668&lt;'PlayerGrades+'!$AF$3,"S-",IF(N668&lt;'PlayerGrades+'!$AF$2,"S","S+"))))))))))))))))))))</f>
        <v>F</v>
      </c>
      <c r="P668" s="973">
        <f t="shared" si="7"/>
        <v>0.02290076336</v>
      </c>
      <c r="Q668" s="973" t="str">
        <f>IF(P668&lt;'PlayerGrades+'!$AG$21,"F-",IF(P668&lt;'PlayerGrades+'!$AG$20,"F",IF(P668&lt;'PlayerGrades+'!$AG$19,"F+",IF(P668&lt;'PlayerGrades+'!$AG$18,"E-",IF(P668&lt;'PlayerGrades+'!$AG$17,"E",IF(P668&lt;'PlayerGrades+'!$AG$16,"E+",IF(P668&lt;'PlayerGrades+'!$AG$15,"D-",IF(P668&lt;'PlayerGrades+'!$AG$14,"D",IF(P668&lt;'PlayerGrades+'!$AG$13,"D+",IF(P668&lt;'PlayerGrades+'!$AG$12,"C-",IF(P668&lt;'PlayerGrades+'!$AG$11,"C",IF(P668&lt;'PlayerGrades+'!$AG$10,"C+",IF(P668&lt;'PlayerGrades+'!$AG$9,"B-",IF(P668&lt;'PlayerGrades+'!$AG$8,"B",IF(P668&lt;'PlayerGrades+'!$AG$7,"B+",IF(P668&lt;'PlayerGrades+'!$AG$6,"A-",IF(P668&lt;'PlayerGrades+'!$AG$5,"A",IF(P668&lt;'PlayerGrades+'!$AG$4,"A+",IF(P668&lt;'PlayerGrades+'!$AG$3,"S-",IF(P668&lt;'PlayerGrades+'!$AG$2,"S","S+"))))))))))))))))))))</f>
        <v>B-</v>
      </c>
      <c r="R668" s="973">
        <f t="shared" si="8"/>
        <v>0.4580152672</v>
      </c>
      <c r="S668" s="973" t="str">
        <f>IF(R668&lt;'PlayerGrades+'!$AH$21,"F-",IF(R668&lt;'PlayerGrades+'!$AH$20,"F",IF(R668&lt;'PlayerGrades+'!$AH$19,"F+",IF(R668&lt;'PlayerGrades+'!$AH$18,"E-",IF(R668&lt;'PlayerGrades+'!$AH$17,"E",IF(R668&lt;'PlayerGrades+'!$AH$16,"E+",IF(R668&lt;'PlayerGrades+'!$AH$15,"D-",IF(R668&lt;'PlayerGrades+'!$AH$14,"D",IF(R668&lt;'PlayerGrades+'!$AH$13,"D+",IF(R668&lt;'PlayerGrades+'!$AH$12,"C-",IF(R668&lt;'PlayerGrades+'!$AH$11,"C",IF(R668&lt;'PlayerGrades+'!$AH$10,"C+",IF(R668&lt;'PlayerGrades+'!$AH$9,"B-",IF(R668&lt;'PlayerGrades+'!$AH$8,"B",IF(R668&lt;'PlayerGrades+'!$AH$7,"B+",IF(R668&lt;'PlayerGrades+'!$AH$6,"A-",IF(R668&lt;'PlayerGrades+'!$AH$5,"A",IF(R668&lt;'PlayerGrades+'!$AH$4,"A+",IF(R668&lt;'PlayerGrades+'!$AH$3,"S-",IF(R668&lt;'PlayerGrades+'!$AH$2,"S","S+"))))))))))))))))))))</f>
        <v>E-</v>
      </c>
      <c r="T668" s="973">
        <f t="shared" si="9"/>
        <v>1.389312977</v>
      </c>
      <c r="U668" s="973" t="str">
        <f>IF(T668&lt;'PlayerGrades+'!$AI$21,"F-",IF(T668&lt;'PlayerGrades+'!$AI$20,"F",IF(T668&lt;'PlayerGrades+'!$AI$19,"F+",IF(T668&lt;'PlayerGrades+'!$AI$18,"E-",IF(T668&lt;'PlayerGrades+'!$AI$17,"E",IF(T668&lt;'PlayerGrades+'!$AI$16,"E+",IF(T668&lt;'PlayerGrades+'!$AI$15,"D-",IF(T668&lt;'PlayerGrades+'!$AI$14,"D",IF(T668&lt;'PlayerGrades+'!$AI$13,"D+",IF(T668&lt;'PlayerGrades+'!$AI$12,"C-",IF(T668&lt;'PlayerGrades+'!$AI$11,"C",IF(T668&lt;'PlayerGrades+'!$AI$10,"C+",IF(T668&lt;'PlayerGrades+'!$AI$9,"B-",IF(T668&lt;'PlayerGrades+'!$AI$8,"B",IF(T668&lt;'PlayerGrades+'!$AI$7,"B+",IF(T668&lt;'PlayerGrades+'!$AI$6,"A-",IF(T668&lt;'PlayerGrades+'!$AI$5,"A",IF(T668&lt;'PlayerGrades+'!$AI$4,"A+",IF(T668&lt;'PlayerGrades+'!$AI$3,"S-",IF(T668&lt;'PlayerGrades+'!$AI$2,"S","S+"))))))))))))))))))))</f>
        <v>B</v>
      </c>
      <c r="V668" s="941">
        <v>1.0</v>
      </c>
      <c r="W668" s="941">
        <v>1.0</v>
      </c>
      <c r="X668" s="941">
        <v>0.0</v>
      </c>
      <c r="Y668" s="941">
        <v>0.0</v>
      </c>
      <c r="Z668" s="941">
        <v>0.0</v>
      </c>
      <c r="AA668" s="941">
        <v>143.0</v>
      </c>
      <c r="AB668" s="941">
        <v>171.0</v>
      </c>
      <c r="AC668" s="941">
        <v>-28.0</v>
      </c>
      <c r="AD668" s="941">
        <v>10.0</v>
      </c>
      <c r="AE668" s="941">
        <v>5.0</v>
      </c>
      <c r="AF668" s="941">
        <v>4.0</v>
      </c>
      <c r="AG668" s="941">
        <v>1986.0</v>
      </c>
      <c r="AH668" s="941">
        <v>2620.0</v>
      </c>
      <c r="AI668" s="941">
        <v>11.0</v>
      </c>
      <c r="AJ668" s="941">
        <v>10.0</v>
      </c>
      <c r="AK668" s="941">
        <v>0.0</v>
      </c>
      <c r="AL668" s="941">
        <v>1.0</v>
      </c>
      <c r="AM668" s="941">
        <v>0.0</v>
      </c>
      <c r="AN668" s="941">
        <v>0.0</v>
      </c>
      <c r="AO668" s="941">
        <v>0.0</v>
      </c>
      <c r="AP668" s="941">
        <v>1.0</v>
      </c>
      <c r="AQ668" s="941">
        <v>0.0</v>
      </c>
      <c r="AR668" s="941">
        <v>12.0</v>
      </c>
      <c r="AS668" s="941">
        <v>1.0</v>
      </c>
      <c r="AT668" s="941">
        <v>0.0</v>
      </c>
      <c r="AU668" s="941">
        <v>0.0</v>
      </c>
      <c r="AV668" s="941">
        <v>0.0</v>
      </c>
      <c r="AW668" s="941">
        <v>0.0</v>
      </c>
      <c r="AX668" s="941">
        <v>0.0</v>
      </c>
      <c r="AY668" s="941">
        <v>0.0</v>
      </c>
      <c r="AZ668" s="941">
        <v>0.0</v>
      </c>
      <c r="BA668" s="941">
        <v>0.0</v>
      </c>
      <c r="BB668" s="941">
        <v>4.0</v>
      </c>
      <c r="BC668" s="941">
        <v>0.0</v>
      </c>
      <c r="BD668" s="941">
        <v>10.0</v>
      </c>
      <c r="BE668" s="941">
        <v>17.0</v>
      </c>
      <c r="BF668" s="941">
        <v>1.0</v>
      </c>
      <c r="BG668" s="941">
        <v>1.0</v>
      </c>
    </row>
    <row r="669">
      <c r="A669" s="1" t="s">
        <v>156</v>
      </c>
      <c r="B669" s="421" t="str">
        <f>IF(C669&lt;'PlayerGrades+'!$Y$44,"F-",IF(C669&lt;'PlayerGrades+'!$Y$43,"F",IF(C669&lt;'PlayerGrades+'!$Y$42,"F+",IF(C669&lt;'PlayerGrades+'!$Y$41,"E-",IF(C669&lt;'PlayerGrades+'!$Y$40,"E",IF(C669&lt;'PlayerGrades+'!$Y$39,"E+",IF(C669&lt;'PlayerGrades+'!$Y$38,"D-",IF(C669&lt;'PlayerGrades+'!$Y$37,"D",IF(C669&lt;'PlayerGrades+'!$Y$36,"D+",IF(C669&lt;'PlayerGrades+'!$Y$35,"C-",IF(C669&lt;'PlayerGrades+'!$Y$34,"C",IF(C669&lt;'PlayerGrades+'!$Y$33,"C+",IF(C669&lt;'PlayerGrades+'!$Y$32,"B-",IF(C669&lt;'PlayerGrades+'!$Y$31,"B",IF(C669&lt;'PlayerGrades+'!$Y$30,"B+",IF(C669&lt;'PlayerGrades+'!$Y$29,"A-",IF(C669&lt;'PlayerGrades+'!$Y$28,"A",IF(C669&lt;'PlayerGrades+'!$Y$27,"A+",IF(C669&lt;'PlayerGrades+'!$Y$26,"S-",IF(C669&lt;'PlayerGrades+'!$Y$25,"S","S+"))))))))))))))))))))</f>
        <v>F-</v>
      </c>
      <c r="C669" s="972">
        <f>('PlayerGrades+'!$Y$47*(VLOOKUP(E669, 'PlayerGrades+'!$X$3:$Y$23, 2, FALSE)))+('PlayerGrades+'!$Y$48*(VLOOKUP(G669, 'PlayerGrades+'!$X$3:$Y$23, 2, FALSE)))+('PlayerGrades+'!$Y$49*(VLOOKUP(I669, 'PlayerGrades+'!$X$3:$Y$23, 2, FALSE)))+('PlayerGrades+'!$Y$50*(VLOOKUP(K669, 'PlayerGrades+'!$X$3:$Y$23, 2, FALSE)))+('PlayerGrades+'!$Y$51*(VLOOKUP(M669, 'PlayerGrades+'!$X$3:$Y$23, 2, FALSE)))+('PlayerGrades+'!$Y$52*(VLOOKUP(O669, 'PlayerGrades+'!$X$3:$Y$23, 2, FALSE)))+('PlayerGrades+'!$Y$53*(VLOOKUP(Q669, 'PlayerGrades+'!$X$3:$Y$23, 2, FALSE)))+('PlayerGrades+'!$Y$54*(VLOOKUP(S669, 'PlayerGrades+'!$X$3:$Y$23, 2, FALSE)))+('PlayerGrades+'!$Y$55*(VLOOKUP(U669, 'PlayerGrades+'!$X$3:$Y$23, 2, FALSE)))</f>
        <v>5.9</v>
      </c>
      <c r="D669" s="973">
        <f t="shared" si="1"/>
        <v>0</v>
      </c>
      <c r="E669" s="973" t="str">
        <f>IF(D669&lt;'PlayerGrades+'!$AA$21,"F-",IF(D669&lt;'PlayerGrades+'!$AA$20,"F",IF(D669&lt;'PlayerGrades+'!$AA$19,"F+",IF(D669&lt;'PlayerGrades+'!$AA$18,"E-",IF(D669&lt;'PlayerGrades+'!$AA$17,"E",IF(D669&lt;'PlayerGrades+'!$AA$16,"E+",IF(D669&lt;'PlayerGrades+'!$AA$15,"D-",IF(D669&lt;'PlayerGrades+'!$AA$14,"D",IF(D669&lt;'PlayerGrades+'!$AA$13,"D+",IF(D669&lt;'PlayerGrades+'!$AA$12,"C-",IF(D669&lt;'PlayerGrades+'!$AA$11,"C",IF(D669&lt;'PlayerGrades+'!$AA$10,"C+",IF(D669&lt;'PlayerGrades+'!$AA$9,"B-",IF(D669&lt;'PlayerGrades+'!$AA$8,"B",IF(D669&lt;'PlayerGrades+'!$AA$7,"B+",IF(D669&lt;'PlayerGrades+'!$AA$6,"A-",IF(D669&lt;'PlayerGrades+'!$AA$5,"A",IF(D669&lt;'PlayerGrades+'!$AA$4,"A+",IF(D669&lt;'PlayerGrades+'!$AA$3,"S-",IF(D669&lt;'PlayerGrades+'!$AA$2,"S","S+"))))))))))))))))))))</f>
        <v>F-</v>
      </c>
      <c r="F669" s="973">
        <f t="shared" si="2"/>
        <v>-1.259541985</v>
      </c>
      <c r="G669" s="973" t="str">
        <f>IF(F669&lt;'PlayerGrades+'!$AB$21,"F-",IF(F669&lt;'PlayerGrades+'!$AB$20,"F",IF(F669&lt;'PlayerGrades+'!$AB$19,"F+",IF(F669&lt;'PlayerGrades+'!$AB$18,"E-",IF(F669&lt;'PlayerGrades+'!$AB$17,"E",IF(F669&lt;'PlayerGrades+'!$AB$16,"E+",IF(F669&lt;'PlayerGrades+'!$AB$15,"D-",IF(F669&lt;'PlayerGrades+'!$AB$14,"D",IF(F669&lt;'PlayerGrades+'!$AB$13,"D+",IF(F669&lt;'PlayerGrades+'!$AB$12,"C-",IF(F669&lt;'PlayerGrades+'!$AB$11,"C",IF(F669&lt;'PlayerGrades+'!$AB$10,"C+",IF(F669&lt;'PlayerGrades+'!$AB$9,"B-",IF(F669&lt;'PlayerGrades+'!$AB$8,"B",IF(F669&lt;'PlayerGrades+'!$AB$7,"B+",IF(F669&lt;'PlayerGrades+'!$AB$6,"A-",IF(F669&lt;'PlayerGrades+'!$AB$5,"A",IF(F669&lt;'PlayerGrades+'!$AB$4,"A+",IF(F669&lt;'PlayerGrades+'!$AB$3,"S-",IF(F669&lt;'PlayerGrades+'!$AB$2,"S","S+"))))))))))))))))))))</f>
        <v>F-</v>
      </c>
      <c r="H669" s="973">
        <f t="shared" si="3"/>
        <v>0.04580152672</v>
      </c>
      <c r="I669" s="973" t="str">
        <f>IF(H669&lt;'PlayerGrades+'!$AC$21,"F-",IF(H669&lt;'PlayerGrades+'!$AC$20,"F",IF(H669&lt;'PlayerGrades+'!$AC$19,"F+",IF(H669&lt;'PlayerGrades+'!$AC$18,"E-",IF(H669&lt;'PlayerGrades+'!$AC$17,"E",IF(H669&lt;'PlayerGrades+'!$AC$16,"E+",IF(H669&lt;'PlayerGrades+'!$AC$15,"D-",IF(H669&lt;'PlayerGrades+'!$AC$14,"D",IF(H669&lt;'PlayerGrades+'!$AC$13,"D+",IF(H669&lt;'PlayerGrades+'!$AC$12,"C-",IF(H669&lt;'PlayerGrades+'!$AC$11,"C",IF(H669&lt;'PlayerGrades+'!$AC$10,"C+",IF(H669&lt;'PlayerGrades+'!$AC$9,"B-",IF(H669&lt;'PlayerGrades+'!$AC$8,"B",IF(H669&lt;'PlayerGrades+'!$AC$7,"B+",IF(H669&lt;'PlayerGrades+'!$AC$6,"A-",IF(H669&lt;'PlayerGrades+'!$AC$5,"A",IF(H669&lt;'PlayerGrades+'!$AC$4,"A+",IF(H669&lt;'PlayerGrades+'!$AC$3,"S-",IF(H669&lt;'PlayerGrades+'!$AC$2,"S","S+"))))))))))))))))))))</f>
        <v>F</v>
      </c>
      <c r="J669" s="973">
        <f t="shared" si="4"/>
        <v>0</v>
      </c>
      <c r="K669" s="973" t="str">
        <f>IF(J669&lt;'PlayerGrades+'!$AD$21,"F-",IF(J669&lt;'PlayerGrades+'!$AD$20,"F",IF(J669&lt;'PlayerGrades+'!$AD$19,"F+",IF(J669&lt;'PlayerGrades+'!$AD$18,"E-",IF(J669&lt;'PlayerGrades+'!$AD$17,"E",IF(J669&lt;'PlayerGrades+'!$AD$16,"E+",IF(J669&lt;'PlayerGrades+'!$AD$15,"D-",IF(J669&lt;'PlayerGrades+'!$AD$14,"D",IF(J669&lt;'PlayerGrades+'!$AD$13,"D+",IF(J669&lt;'PlayerGrades+'!$AD$12,"C-",IF(J669&lt;'PlayerGrades+'!$AD$11,"C",IF(J669&lt;'PlayerGrades+'!$AD$10,"C+",IF(J669&lt;'PlayerGrades+'!$AD$9,"B-",IF(J669&lt;'PlayerGrades+'!$AD$8,"B",IF(J669&lt;'PlayerGrades+'!$AD$7,"B+",IF(J669&lt;'PlayerGrades+'!$AD$6,"A-",IF(J669&lt;'PlayerGrades+'!$AD$5,"A",IF(J669&lt;'PlayerGrades+'!$AD$4,"A+",IF(J669&lt;'PlayerGrades+'!$AD$3,"S-",IF(J669&lt;'PlayerGrades+'!$AD$2,"S","S+"))))))))))))))))))))</f>
        <v>F-</v>
      </c>
      <c r="L669" s="974">
        <f t="shared" si="5"/>
        <v>0.2748091603</v>
      </c>
      <c r="M669" s="975" t="str">
        <f>IF(L669&lt;'PlayerGrades+'!$AE$21,"F-",IF(L669&lt;'PlayerGrades+'!$AE$20,"F",IF(L669&lt;'PlayerGrades+'!$AE$19,"F+",IF(L669&lt;'PlayerGrades+'!$AE$18,"E-",IF(L669&lt;'PlayerGrades+'!$AE$17,"E",IF(L669&lt;'PlayerGrades+'!$AE$16,"E+",IF(L669&lt;'PlayerGrades+'!$AE$15,"D-",IF(L669&lt;'PlayerGrades+'!$AE$14,"D",IF(L669&lt;'PlayerGrades+'!$AE$13,"D+",IF(L669&lt;'PlayerGrades+'!$AE$12,"C-",IF(L669&lt;'PlayerGrades+'!$AE$11,"C",IF(L669&lt;'PlayerGrades+'!$AE$10,"C+",IF(L669&lt;'PlayerGrades+'!$AE$9,"B-",IF(L669&lt;'PlayerGrades+'!$AE$8,"B",IF(L669&lt;'PlayerGrades+'!$AE$7,"B+",IF(L669&lt;'PlayerGrades+'!$AE$6,"A-",IF(L669&lt;'PlayerGrades+'!$AE$5,"A",IF(L669&lt;'PlayerGrades+'!$AE$4,"A+",IF(L669&lt;'PlayerGrades+'!$AE$3,"S-",IF(L669&lt;'PlayerGrades+'!$AE$2,"S","S+"))))))))))))))))))))</f>
        <v>F+</v>
      </c>
      <c r="N669" s="973">
        <f t="shared" si="6"/>
        <v>0.02290076336</v>
      </c>
      <c r="O669" s="973" t="str">
        <f>IF(N669&lt;'PlayerGrades+'!$AF$21,"F-",IF(N669&lt;'PlayerGrades+'!$AF$20,"F",IF(N669&lt;'PlayerGrades+'!$AF$19,"F+",IF(N669&lt;'PlayerGrades+'!$AF$18,"E-",IF(N669&lt;'PlayerGrades+'!$AF$17,"E",IF(N669&lt;'PlayerGrades+'!$AF$16,"E+",IF(N669&lt;'PlayerGrades+'!$AF$15,"D-",IF(N669&lt;'PlayerGrades+'!$AF$14,"D",IF(N669&lt;'PlayerGrades+'!$AF$13,"D+",IF(N669&lt;'PlayerGrades+'!$AF$12,"C-",IF(N669&lt;'PlayerGrades+'!$AF$11,"C",IF(N669&lt;'PlayerGrades+'!$AF$10,"C+",IF(N669&lt;'PlayerGrades+'!$AF$9,"B-",IF(N669&lt;'PlayerGrades+'!$AF$8,"B",IF(N669&lt;'PlayerGrades+'!$AF$7,"B+",IF(N669&lt;'PlayerGrades+'!$AF$6,"A-",IF(N669&lt;'PlayerGrades+'!$AF$5,"A",IF(N669&lt;'PlayerGrades+'!$AF$4,"A+",IF(N669&lt;'PlayerGrades+'!$AF$3,"S-",IF(N669&lt;'PlayerGrades+'!$AF$2,"S","S+"))))))))))))))))))))</f>
        <v>F</v>
      </c>
      <c r="P669" s="973">
        <f t="shared" si="7"/>
        <v>0</v>
      </c>
      <c r="Q669" s="973" t="str">
        <f>IF(P669&lt;'PlayerGrades+'!$AG$21,"F-",IF(P669&lt;'PlayerGrades+'!$AG$20,"F",IF(P669&lt;'PlayerGrades+'!$AG$19,"F+",IF(P669&lt;'PlayerGrades+'!$AG$18,"E-",IF(P669&lt;'PlayerGrades+'!$AG$17,"E",IF(P669&lt;'PlayerGrades+'!$AG$16,"E+",IF(P669&lt;'PlayerGrades+'!$AG$15,"D-",IF(P669&lt;'PlayerGrades+'!$AG$14,"D",IF(P669&lt;'PlayerGrades+'!$AG$13,"D+",IF(P669&lt;'PlayerGrades+'!$AG$12,"C-",IF(P669&lt;'PlayerGrades+'!$AG$11,"C",IF(P669&lt;'PlayerGrades+'!$AG$10,"C+",IF(P669&lt;'PlayerGrades+'!$AG$9,"B-",IF(P669&lt;'PlayerGrades+'!$AG$8,"B",IF(P669&lt;'PlayerGrades+'!$AG$7,"B+",IF(P669&lt;'PlayerGrades+'!$AG$6,"A-",IF(P669&lt;'PlayerGrades+'!$AG$5,"A",IF(P669&lt;'PlayerGrades+'!$AG$4,"A+",IF(P669&lt;'PlayerGrades+'!$AG$3,"S-",IF(P669&lt;'PlayerGrades+'!$AG$2,"S","S+"))))))))))))))))))))</f>
        <v>F</v>
      </c>
      <c r="R669" s="973">
        <f t="shared" si="8"/>
        <v>0.5038167939</v>
      </c>
      <c r="S669" s="973" t="str">
        <f>IF(R669&lt;'PlayerGrades+'!$AH$21,"F-",IF(R669&lt;'PlayerGrades+'!$AH$20,"F",IF(R669&lt;'PlayerGrades+'!$AH$19,"F+",IF(R669&lt;'PlayerGrades+'!$AH$18,"E-",IF(R669&lt;'PlayerGrades+'!$AH$17,"E",IF(R669&lt;'PlayerGrades+'!$AH$16,"E+",IF(R669&lt;'PlayerGrades+'!$AH$15,"D-",IF(R669&lt;'PlayerGrades+'!$AH$14,"D",IF(R669&lt;'PlayerGrades+'!$AH$13,"D+",IF(R669&lt;'PlayerGrades+'!$AH$12,"C-",IF(R669&lt;'PlayerGrades+'!$AH$11,"C",IF(R669&lt;'PlayerGrades+'!$AH$10,"C+",IF(R669&lt;'PlayerGrades+'!$AH$9,"B-",IF(R669&lt;'PlayerGrades+'!$AH$8,"B",IF(R669&lt;'PlayerGrades+'!$AH$7,"B+",IF(R669&lt;'PlayerGrades+'!$AH$6,"A-",IF(R669&lt;'PlayerGrades+'!$AH$5,"A",IF(R669&lt;'PlayerGrades+'!$AH$4,"A+",IF(R669&lt;'PlayerGrades+'!$AH$3,"S-",IF(R669&lt;'PlayerGrades+'!$AH$2,"S","S+"))))))))))))))))))))</f>
        <v>D-</v>
      </c>
      <c r="T669" s="973">
        <f t="shared" si="9"/>
        <v>0.3893129771</v>
      </c>
      <c r="U669" s="973" t="str">
        <f>IF(T669&lt;'PlayerGrades+'!$AI$21,"F-",IF(T669&lt;'PlayerGrades+'!$AI$20,"F",IF(T669&lt;'PlayerGrades+'!$AI$19,"F+",IF(T669&lt;'PlayerGrades+'!$AI$18,"E-",IF(T669&lt;'PlayerGrades+'!$AI$17,"E",IF(T669&lt;'PlayerGrades+'!$AI$16,"E+",IF(T669&lt;'PlayerGrades+'!$AI$15,"D-",IF(T669&lt;'PlayerGrades+'!$AI$14,"D",IF(T669&lt;'PlayerGrades+'!$AI$13,"D+",IF(T669&lt;'PlayerGrades+'!$AI$12,"C-",IF(T669&lt;'PlayerGrades+'!$AI$11,"C",IF(T669&lt;'PlayerGrades+'!$AI$10,"C+",IF(T669&lt;'PlayerGrades+'!$AI$9,"B-",IF(T669&lt;'PlayerGrades+'!$AI$8,"B",IF(T669&lt;'PlayerGrades+'!$AI$7,"B+",IF(T669&lt;'PlayerGrades+'!$AI$6,"A-",IF(T669&lt;'PlayerGrades+'!$AI$5,"A",IF(T669&lt;'PlayerGrades+'!$AI$4,"A+",IF(T669&lt;'PlayerGrades+'!$AI$3,"S-",IF(T669&lt;'PlayerGrades+'!$AI$2,"S","S+"))))))))))))))))))))</f>
        <v>F-</v>
      </c>
      <c r="V669" s="941">
        <v>1.0</v>
      </c>
      <c r="W669" s="941">
        <v>1.0</v>
      </c>
      <c r="X669" s="941">
        <v>0.0</v>
      </c>
      <c r="Y669" s="941">
        <v>0.0</v>
      </c>
      <c r="Z669" s="941">
        <v>0.0</v>
      </c>
      <c r="AA669" s="941">
        <v>124.0</v>
      </c>
      <c r="AB669" s="941">
        <v>179.0</v>
      </c>
      <c r="AC669" s="941">
        <v>-55.0</v>
      </c>
      <c r="AD669" s="941">
        <v>6.0</v>
      </c>
      <c r="AE669" s="941">
        <v>4.0</v>
      </c>
      <c r="AF669" s="941">
        <v>4.0</v>
      </c>
      <c r="AG669" s="941">
        <v>1965.0</v>
      </c>
      <c r="AH669" s="941">
        <v>2620.0</v>
      </c>
      <c r="AI669" s="941">
        <v>10.0</v>
      </c>
      <c r="AJ669" s="941">
        <v>28.0</v>
      </c>
      <c r="AK669" s="941">
        <v>0.0</v>
      </c>
      <c r="AL669" s="941">
        <v>0.0</v>
      </c>
      <c r="AM669" s="941">
        <v>0.0</v>
      </c>
      <c r="AN669" s="941">
        <v>0.0</v>
      </c>
      <c r="AO669" s="941">
        <v>0.0</v>
      </c>
      <c r="AP669" s="941">
        <v>0.0</v>
      </c>
      <c r="AQ669" s="941">
        <v>0.0</v>
      </c>
      <c r="AR669" s="941">
        <v>12.0</v>
      </c>
      <c r="AS669" s="941">
        <v>1.0</v>
      </c>
      <c r="AT669" s="941">
        <v>0.0</v>
      </c>
      <c r="AU669" s="941">
        <v>0.0</v>
      </c>
      <c r="AV669" s="941">
        <v>0.0</v>
      </c>
      <c r="AW669" s="941">
        <v>0.0</v>
      </c>
      <c r="AX669" s="941">
        <v>0.0</v>
      </c>
      <c r="AY669" s="941">
        <v>0.0</v>
      </c>
      <c r="AZ669" s="941">
        <v>0.0</v>
      </c>
      <c r="BA669" s="941">
        <v>0.0</v>
      </c>
      <c r="BB669" s="941">
        <v>2.0</v>
      </c>
      <c r="BC669" s="941">
        <v>0.0</v>
      </c>
      <c r="BD669" s="941">
        <v>16.0</v>
      </c>
      <c r="BE669" s="941">
        <v>17.0</v>
      </c>
      <c r="BF669" s="941">
        <v>0.0</v>
      </c>
      <c r="BG669" s="941">
        <v>1.0</v>
      </c>
    </row>
    <row r="670">
      <c r="A670" s="1" t="s">
        <v>132</v>
      </c>
      <c r="B670" s="421" t="str">
        <f>IF(C670&lt;'PlayerGrades+'!$Y$44,"F-",IF(C670&lt;'PlayerGrades+'!$Y$43,"F",IF(C670&lt;'PlayerGrades+'!$Y$42,"F+",IF(C670&lt;'PlayerGrades+'!$Y$41,"E-",IF(C670&lt;'PlayerGrades+'!$Y$40,"E",IF(C670&lt;'PlayerGrades+'!$Y$39,"E+",IF(C670&lt;'PlayerGrades+'!$Y$38,"D-",IF(C670&lt;'PlayerGrades+'!$Y$37,"D",IF(C670&lt;'PlayerGrades+'!$Y$36,"D+",IF(C670&lt;'PlayerGrades+'!$Y$35,"C-",IF(C670&lt;'PlayerGrades+'!$Y$34,"C",IF(C670&lt;'PlayerGrades+'!$Y$33,"C+",IF(C670&lt;'PlayerGrades+'!$Y$32,"B-",IF(C670&lt;'PlayerGrades+'!$Y$31,"B",IF(C670&lt;'PlayerGrades+'!$Y$30,"B+",IF(C670&lt;'PlayerGrades+'!$Y$29,"A-",IF(C670&lt;'PlayerGrades+'!$Y$28,"A",IF(C670&lt;'PlayerGrades+'!$Y$27,"A+",IF(C670&lt;'PlayerGrades+'!$Y$26,"S-",IF(C670&lt;'PlayerGrades+'!$Y$25,"S","S+"))))))))))))))))))))</f>
        <v>A-</v>
      </c>
      <c r="C670" s="972">
        <f>('PlayerGrades+'!$Y$47*(VLOOKUP(E670, 'PlayerGrades+'!$X$3:$Y$23, 2, FALSE)))+('PlayerGrades+'!$Y$48*(VLOOKUP(G670, 'PlayerGrades+'!$X$3:$Y$23, 2, FALSE)))+('PlayerGrades+'!$Y$49*(VLOOKUP(I670, 'PlayerGrades+'!$X$3:$Y$23, 2, FALSE)))+('PlayerGrades+'!$Y$50*(VLOOKUP(K670, 'PlayerGrades+'!$X$3:$Y$23, 2, FALSE)))+('PlayerGrades+'!$Y$51*(VLOOKUP(M670, 'PlayerGrades+'!$X$3:$Y$23, 2, FALSE)))+('PlayerGrades+'!$Y$52*(VLOOKUP(O670, 'PlayerGrades+'!$X$3:$Y$23, 2, FALSE)))+('PlayerGrades+'!$Y$53*(VLOOKUP(Q670, 'PlayerGrades+'!$X$3:$Y$23, 2, FALSE)))+('PlayerGrades+'!$Y$54*(VLOOKUP(S670, 'PlayerGrades+'!$X$3:$Y$23, 2, FALSE)))+('PlayerGrades+'!$Y$55*(VLOOKUP(U670, 'PlayerGrades+'!$X$3:$Y$23, 2, FALSE)))</f>
        <v>24.8</v>
      </c>
      <c r="D670" s="973">
        <f t="shared" si="1"/>
        <v>0.2061068702</v>
      </c>
      <c r="E670" s="973" t="str">
        <f>IF(D670&lt;'PlayerGrades+'!$AA$21,"F-",IF(D670&lt;'PlayerGrades+'!$AA$20,"F",IF(D670&lt;'PlayerGrades+'!$AA$19,"F+",IF(D670&lt;'PlayerGrades+'!$AA$18,"E-",IF(D670&lt;'PlayerGrades+'!$AA$17,"E",IF(D670&lt;'PlayerGrades+'!$AA$16,"E+",IF(D670&lt;'PlayerGrades+'!$AA$15,"D-",IF(D670&lt;'PlayerGrades+'!$AA$14,"D",IF(D670&lt;'PlayerGrades+'!$AA$13,"D+",IF(D670&lt;'PlayerGrades+'!$AA$12,"C-",IF(D670&lt;'PlayerGrades+'!$AA$11,"C",IF(D670&lt;'PlayerGrades+'!$AA$10,"C+",IF(D670&lt;'PlayerGrades+'!$AA$9,"B-",IF(D670&lt;'PlayerGrades+'!$AA$8,"B",IF(D670&lt;'PlayerGrades+'!$AA$7,"B+",IF(D670&lt;'PlayerGrades+'!$AA$6,"A-",IF(D670&lt;'PlayerGrades+'!$AA$5,"A",IF(D670&lt;'PlayerGrades+'!$AA$4,"A+",IF(D670&lt;'PlayerGrades+'!$AA$3,"S-",IF(D670&lt;'PlayerGrades+'!$AA$2,"S","S+"))))))))))))))))))))</f>
        <v>A-</v>
      </c>
      <c r="F670" s="973">
        <f t="shared" si="2"/>
        <v>-0.1603053435</v>
      </c>
      <c r="G670" s="973" t="str">
        <f>IF(F670&lt;'PlayerGrades+'!$AB$21,"F-",IF(F670&lt;'PlayerGrades+'!$AB$20,"F",IF(F670&lt;'PlayerGrades+'!$AB$19,"F+",IF(F670&lt;'PlayerGrades+'!$AB$18,"E-",IF(F670&lt;'PlayerGrades+'!$AB$17,"E",IF(F670&lt;'PlayerGrades+'!$AB$16,"E+",IF(F670&lt;'PlayerGrades+'!$AB$15,"D-",IF(F670&lt;'PlayerGrades+'!$AB$14,"D",IF(F670&lt;'PlayerGrades+'!$AB$13,"D+",IF(F670&lt;'PlayerGrades+'!$AB$12,"C-",IF(F670&lt;'PlayerGrades+'!$AB$11,"C",IF(F670&lt;'PlayerGrades+'!$AB$10,"C+",IF(F670&lt;'PlayerGrades+'!$AB$9,"B-",IF(F670&lt;'PlayerGrades+'!$AB$8,"B",IF(F670&lt;'PlayerGrades+'!$AB$7,"B+",IF(F670&lt;'PlayerGrades+'!$AB$6,"A-",IF(F670&lt;'PlayerGrades+'!$AB$5,"A",IF(F670&lt;'PlayerGrades+'!$AB$4,"A+",IF(F670&lt;'PlayerGrades+'!$AB$3,"S-",IF(F670&lt;'PlayerGrades+'!$AB$2,"S","S+"))))))))))))))))))))</f>
        <v>C+</v>
      </c>
      <c r="H670" s="973">
        <f t="shared" si="3"/>
        <v>0.4809160305</v>
      </c>
      <c r="I670" s="973" t="str">
        <f>IF(H670&lt;'PlayerGrades+'!$AC$21,"F-",IF(H670&lt;'PlayerGrades+'!$AC$20,"F",IF(H670&lt;'PlayerGrades+'!$AC$19,"F+",IF(H670&lt;'PlayerGrades+'!$AC$18,"E-",IF(H670&lt;'PlayerGrades+'!$AC$17,"E",IF(H670&lt;'PlayerGrades+'!$AC$16,"E+",IF(H670&lt;'PlayerGrades+'!$AC$15,"D-",IF(H670&lt;'PlayerGrades+'!$AC$14,"D",IF(H670&lt;'PlayerGrades+'!$AC$13,"D+",IF(H670&lt;'PlayerGrades+'!$AC$12,"C-",IF(H670&lt;'PlayerGrades+'!$AC$11,"C",IF(H670&lt;'PlayerGrades+'!$AC$10,"C+",IF(H670&lt;'PlayerGrades+'!$AC$9,"B-",IF(H670&lt;'PlayerGrades+'!$AC$8,"B",IF(H670&lt;'PlayerGrades+'!$AC$7,"B+",IF(H670&lt;'PlayerGrades+'!$AC$6,"A-",IF(H670&lt;'PlayerGrades+'!$AC$5,"A",IF(H670&lt;'PlayerGrades+'!$AC$4,"A+",IF(H670&lt;'PlayerGrades+'!$AC$3,"S-",IF(H670&lt;'PlayerGrades+'!$AC$2,"S","S+"))))))))))))))))))))</f>
        <v>S+</v>
      </c>
      <c r="J670" s="973">
        <f t="shared" si="4"/>
        <v>0.04580152672</v>
      </c>
      <c r="K670" s="973" t="str">
        <f>IF(J670&lt;'PlayerGrades+'!$AD$21,"F-",IF(J670&lt;'PlayerGrades+'!$AD$20,"F",IF(J670&lt;'PlayerGrades+'!$AD$19,"F+",IF(J670&lt;'PlayerGrades+'!$AD$18,"E-",IF(J670&lt;'PlayerGrades+'!$AD$17,"E",IF(J670&lt;'PlayerGrades+'!$AD$16,"E+",IF(J670&lt;'PlayerGrades+'!$AD$15,"D-",IF(J670&lt;'PlayerGrades+'!$AD$14,"D",IF(J670&lt;'PlayerGrades+'!$AD$13,"D+",IF(J670&lt;'PlayerGrades+'!$AD$12,"C-",IF(J670&lt;'PlayerGrades+'!$AD$11,"C",IF(J670&lt;'PlayerGrades+'!$AD$10,"C+",IF(J670&lt;'PlayerGrades+'!$AD$9,"B-",IF(J670&lt;'PlayerGrades+'!$AD$8,"B",IF(J670&lt;'PlayerGrades+'!$AD$7,"B+",IF(J670&lt;'PlayerGrades+'!$AD$6,"A-",IF(J670&lt;'PlayerGrades+'!$AD$5,"A",IF(J670&lt;'PlayerGrades+'!$AD$4,"A+",IF(J670&lt;'PlayerGrades+'!$AD$3,"S-",IF(J670&lt;'PlayerGrades+'!$AD$2,"S","S+"))))))))))))))))))))</f>
        <v>B-</v>
      </c>
      <c r="L670" s="974">
        <f t="shared" si="5"/>
        <v>0.7786259542</v>
      </c>
      <c r="M670" s="975" t="str">
        <f>IF(L670&lt;'PlayerGrades+'!$AE$21,"F-",IF(L670&lt;'PlayerGrades+'!$AE$20,"F",IF(L670&lt;'PlayerGrades+'!$AE$19,"F+",IF(L670&lt;'PlayerGrades+'!$AE$18,"E-",IF(L670&lt;'PlayerGrades+'!$AE$17,"E",IF(L670&lt;'PlayerGrades+'!$AE$16,"E+",IF(L670&lt;'PlayerGrades+'!$AE$15,"D-",IF(L670&lt;'PlayerGrades+'!$AE$14,"D",IF(L670&lt;'PlayerGrades+'!$AE$13,"D+",IF(L670&lt;'PlayerGrades+'!$AE$12,"C-",IF(L670&lt;'PlayerGrades+'!$AE$11,"C",IF(L670&lt;'PlayerGrades+'!$AE$10,"C+",IF(L670&lt;'PlayerGrades+'!$AE$9,"B-",IF(L670&lt;'PlayerGrades+'!$AE$8,"B",IF(L670&lt;'PlayerGrades+'!$AE$7,"B+",IF(L670&lt;'PlayerGrades+'!$AE$6,"A-",IF(L670&lt;'PlayerGrades+'!$AE$5,"A",IF(L670&lt;'PlayerGrades+'!$AE$4,"A+",IF(L670&lt;'PlayerGrades+'!$AE$3,"S-",IF(L670&lt;'PlayerGrades+'!$AE$2,"S","S+"))))))))))))))))))))</f>
        <v>S+</v>
      </c>
      <c r="N670" s="973">
        <f t="shared" si="6"/>
        <v>0.04580152672</v>
      </c>
      <c r="O670" s="973" t="str">
        <f>IF(N670&lt;'PlayerGrades+'!$AF$21,"F-",IF(N670&lt;'PlayerGrades+'!$AF$20,"F",IF(N670&lt;'PlayerGrades+'!$AF$19,"F+",IF(N670&lt;'PlayerGrades+'!$AF$18,"E-",IF(N670&lt;'PlayerGrades+'!$AF$17,"E",IF(N670&lt;'PlayerGrades+'!$AF$16,"E+",IF(N670&lt;'PlayerGrades+'!$AF$15,"D-",IF(N670&lt;'PlayerGrades+'!$AF$14,"D",IF(N670&lt;'PlayerGrades+'!$AF$13,"D+",IF(N670&lt;'PlayerGrades+'!$AF$12,"C-",IF(N670&lt;'PlayerGrades+'!$AF$11,"C",IF(N670&lt;'PlayerGrades+'!$AF$10,"C+",IF(N670&lt;'PlayerGrades+'!$AF$9,"B-",IF(N670&lt;'PlayerGrades+'!$AF$8,"B",IF(N670&lt;'PlayerGrades+'!$AF$7,"B+",IF(N670&lt;'PlayerGrades+'!$AF$6,"A-",IF(N670&lt;'PlayerGrades+'!$AF$5,"A",IF(N670&lt;'PlayerGrades+'!$AF$4,"A+",IF(N670&lt;'PlayerGrades+'!$AF$3,"S-",IF(N670&lt;'PlayerGrades+'!$AF$2,"S","S+"))))))))))))))))))))</f>
        <v>E+</v>
      </c>
      <c r="P670" s="973">
        <f t="shared" si="7"/>
        <v>0.02290076336</v>
      </c>
      <c r="Q670" s="973" t="str">
        <f>IF(P670&lt;'PlayerGrades+'!$AG$21,"F-",IF(P670&lt;'PlayerGrades+'!$AG$20,"F",IF(P670&lt;'PlayerGrades+'!$AG$19,"F+",IF(P670&lt;'PlayerGrades+'!$AG$18,"E-",IF(P670&lt;'PlayerGrades+'!$AG$17,"E",IF(P670&lt;'PlayerGrades+'!$AG$16,"E+",IF(P670&lt;'PlayerGrades+'!$AG$15,"D-",IF(P670&lt;'PlayerGrades+'!$AG$14,"D",IF(P670&lt;'PlayerGrades+'!$AG$13,"D+",IF(P670&lt;'PlayerGrades+'!$AG$12,"C-",IF(P670&lt;'PlayerGrades+'!$AG$11,"C",IF(P670&lt;'PlayerGrades+'!$AG$10,"C+",IF(P670&lt;'PlayerGrades+'!$AG$9,"B-",IF(P670&lt;'PlayerGrades+'!$AG$8,"B",IF(P670&lt;'PlayerGrades+'!$AG$7,"B+",IF(P670&lt;'PlayerGrades+'!$AG$6,"A-",IF(P670&lt;'PlayerGrades+'!$AG$5,"A",IF(P670&lt;'PlayerGrades+'!$AG$4,"A+",IF(P670&lt;'PlayerGrades+'!$AG$3,"S-",IF(P670&lt;'PlayerGrades+'!$AG$2,"S","S+"))))))))))))))))))))</f>
        <v>B-</v>
      </c>
      <c r="R670" s="973">
        <f t="shared" si="8"/>
        <v>0.5954198473</v>
      </c>
      <c r="S670" s="973" t="str">
        <f>IF(R670&lt;'PlayerGrades+'!$AH$21,"F-",IF(R670&lt;'PlayerGrades+'!$AH$20,"F",IF(R670&lt;'PlayerGrades+'!$AH$19,"F+",IF(R670&lt;'PlayerGrades+'!$AH$18,"E-",IF(R670&lt;'PlayerGrades+'!$AH$17,"E",IF(R670&lt;'PlayerGrades+'!$AH$16,"E+",IF(R670&lt;'PlayerGrades+'!$AH$15,"D-",IF(R670&lt;'PlayerGrades+'!$AH$14,"D",IF(R670&lt;'PlayerGrades+'!$AH$13,"D+",IF(R670&lt;'PlayerGrades+'!$AH$12,"C-",IF(R670&lt;'PlayerGrades+'!$AH$11,"C",IF(R670&lt;'PlayerGrades+'!$AH$10,"C+",IF(R670&lt;'PlayerGrades+'!$AH$9,"B-",IF(R670&lt;'PlayerGrades+'!$AH$8,"B",IF(R670&lt;'PlayerGrades+'!$AH$7,"B+",IF(R670&lt;'PlayerGrades+'!$AH$6,"A-",IF(R670&lt;'PlayerGrades+'!$AH$5,"A",IF(R670&lt;'PlayerGrades+'!$AH$4,"A+",IF(R670&lt;'PlayerGrades+'!$AH$3,"S-",IF(R670&lt;'PlayerGrades+'!$AH$2,"S","S+"))))))))))))))))))))</f>
        <v>A-</v>
      </c>
      <c r="T670" s="973">
        <f t="shared" si="9"/>
        <v>0.572519084</v>
      </c>
      <c r="U670" s="973" t="str">
        <f>IF(T670&lt;'PlayerGrades+'!$AI$21,"F-",IF(T670&lt;'PlayerGrades+'!$AI$20,"F",IF(T670&lt;'PlayerGrades+'!$AI$19,"F+",IF(T670&lt;'PlayerGrades+'!$AI$18,"E-",IF(T670&lt;'PlayerGrades+'!$AI$17,"E",IF(T670&lt;'PlayerGrades+'!$AI$16,"E+",IF(T670&lt;'PlayerGrades+'!$AI$15,"D-",IF(T670&lt;'PlayerGrades+'!$AI$14,"D",IF(T670&lt;'PlayerGrades+'!$AI$13,"D+",IF(T670&lt;'PlayerGrades+'!$AI$12,"C-",IF(T670&lt;'PlayerGrades+'!$AI$11,"C",IF(T670&lt;'PlayerGrades+'!$AI$10,"C+",IF(T670&lt;'PlayerGrades+'!$AI$9,"B-",IF(T670&lt;'PlayerGrades+'!$AI$8,"B",IF(T670&lt;'PlayerGrades+'!$AI$7,"B+",IF(T670&lt;'PlayerGrades+'!$AI$6,"A-",IF(T670&lt;'PlayerGrades+'!$AI$5,"A",IF(T670&lt;'PlayerGrades+'!$AI$4,"A+",IF(T670&lt;'PlayerGrades+'!$AI$3,"S-",IF(T670&lt;'PlayerGrades+'!$AI$2,"S","S+"))))))))))))))))))))</f>
        <v>F-</v>
      </c>
      <c r="V670" s="941">
        <v>1.0</v>
      </c>
      <c r="W670" s="941">
        <v>0.0</v>
      </c>
      <c r="X670" s="941">
        <v>1.0</v>
      </c>
      <c r="Y670" s="941">
        <v>2.0</v>
      </c>
      <c r="Z670" s="941">
        <v>7.0</v>
      </c>
      <c r="AA670" s="941">
        <v>161.0</v>
      </c>
      <c r="AB670" s="941">
        <v>168.0</v>
      </c>
      <c r="AC670" s="941">
        <v>-7.0</v>
      </c>
      <c r="AD670" s="941">
        <v>11.0</v>
      </c>
      <c r="AE670" s="941">
        <v>5.0</v>
      </c>
      <c r="AF670" s="941">
        <v>1.0</v>
      </c>
      <c r="AG670" s="941">
        <v>1994.0</v>
      </c>
      <c r="AH670" s="941">
        <v>2620.0</v>
      </c>
      <c r="AI670" s="941">
        <v>11.0</v>
      </c>
      <c r="AJ670" s="941">
        <v>200.0</v>
      </c>
      <c r="AK670" s="941">
        <v>0.0</v>
      </c>
      <c r="AL670" s="941">
        <v>2.0</v>
      </c>
      <c r="AM670" s="941">
        <v>0.0</v>
      </c>
      <c r="AN670" s="941">
        <v>0.0</v>
      </c>
      <c r="AO670" s="941">
        <v>0.0</v>
      </c>
      <c r="AP670" s="941">
        <v>1.0</v>
      </c>
      <c r="AQ670" s="941">
        <v>0.0</v>
      </c>
      <c r="AR670" s="941">
        <v>34.0</v>
      </c>
      <c r="AS670" s="941">
        <v>2.0</v>
      </c>
      <c r="AT670" s="941">
        <v>0.0</v>
      </c>
      <c r="AU670" s="941">
        <v>0.0</v>
      </c>
      <c r="AV670" s="941">
        <v>0.0</v>
      </c>
      <c r="AW670" s="941">
        <v>0.0</v>
      </c>
      <c r="AX670" s="941">
        <v>0.0</v>
      </c>
      <c r="AY670" s="941">
        <v>0.0</v>
      </c>
      <c r="AZ670" s="941">
        <v>0.0</v>
      </c>
      <c r="BA670" s="941">
        <v>0.0</v>
      </c>
      <c r="BB670" s="941">
        <v>21.0</v>
      </c>
      <c r="BC670" s="941">
        <v>0.0</v>
      </c>
      <c r="BD670" s="941">
        <v>15.0</v>
      </c>
      <c r="BE670" s="941">
        <v>25.0</v>
      </c>
      <c r="BF670" s="941">
        <v>0.0</v>
      </c>
      <c r="BG670" s="941">
        <v>0.0</v>
      </c>
    </row>
    <row r="671">
      <c r="A671" s="1" t="s">
        <v>514</v>
      </c>
      <c r="B671" s="421" t="str">
        <f>IF(C671&lt;'PlayerGrades+'!$Y$44,"F-",IF(C671&lt;'PlayerGrades+'!$Y$43,"F",IF(C671&lt;'PlayerGrades+'!$Y$42,"F+",IF(C671&lt;'PlayerGrades+'!$Y$41,"E-",IF(C671&lt;'PlayerGrades+'!$Y$40,"E",IF(C671&lt;'PlayerGrades+'!$Y$39,"E+",IF(C671&lt;'PlayerGrades+'!$Y$38,"D-",IF(C671&lt;'PlayerGrades+'!$Y$37,"D",IF(C671&lt;'PlayerGrades+'!$Y$36,"D+",IF(C671&lt;'PlayerGrades+'!$Y$35,"C-",IF(C671&lt;'PlayerGrades+'!$Y$34,"C",IF(C671&lt;'PlayerGrades+'!$Y$33,"C+",IF(C671&lt;'PlayerGrades+'!$Y$32,"B-",IF(C671&lt;'PlayerGrades+'!$Y$31,"B",IF(C671&lt;'PlayerGrades+'!$Y$30,"B+",IF(C671&lt;'PlayerGrades+'!$Y$29,"A-",IF(C671&lt;'PlayerGrades+'!$Y$28,"A",IF(C671&lt;'PlayerGrades+'!$Y$27,"A+",IF(C671&lt;'PlayerGrades+'!$Y$26,"S-",IF(C671&lt;'PlayerGrades+'!$Y$25,"S","S+"))))))))))))))))))))</f>
        <v>D+</v>
      </c>
      <c r="C671" s="972">
        <f>('PlayerGrades+'!$Y$47*(VLOOKUP(E671, 'PlayerGrades+'!$X$3:$Y$23, 2, FALSE)))+('PlayerGrades+'!$Y$48*(VLOOKUP(G671, 'PlayerGrades+'!$X$3:$Y$23, 2, FALSE)))+('PlayerGrades+'!$Y$49*(VLOOKUP(I671, 'PlayerGrades+'!$X$3:$Y$23, 2, FALSE)))+('PlayerGrades+'!$Y$50*(VLOOKUP(K671, 'PlayerGrades+'!$X$3:$Y$23, 2, FALSE)))+('PlayerGrades+'!$Y$51*(VLOOKUP(M671, 'PlayerGrades+'!$X$3:$Y$23, 2, FALSE)))+('PlayerGrades+'!$Y$52*(VLOOKUP(O671, 'PlayerGrades+'!$X$3:$Y$23, 2, FALSE)))+('PlayerGrades+'!$Y$53*(VLOOKUP(Q671, 'PlayerGrades+'!$X$3:$Y$23, 2, FALSE)))+('PlayerGrades+'!$Y$54*(VLOOKUP(S671, 'PlayerGrades+'!$X$3:$Y$23, 2, FALSE)))+('PlayerGrades+'!$Y$55*(VLOOKUP(U671, 'PlayerGrades+'!$X$3:$Y$23, 2, FALSE)))</f>
        <v>17.4</v>
      </c>
      <c r="D671" s="973">
        <f t="shared" si="1"/>
        <v>0.1374045802</v>
      </c>
      <c r="E671" s="973" t="str">
        <f>IF(D671&lt;'PlayerGrades+'!$AA$21,"F-",IF(D671&lt;'PlayerGrades+'!$AA$20,"F",IF(D671&lt;'PlayerGrades+'!$AA$19,"F+",IF(D671&lt;'PlayerGrades+'!$AA$18,"E-",IF(D671&lt;'PlayerGrades+'!$AA$17,"E",IF(D671&lt;'PlayerGrades+'!$AA$16,"E+",IF(D671&lt;'PlayerGrades+'!$AA$15,"D-",IF(D671&lt;'PlayerGrades+'!$AA$14,"D",IF(D671&lt;'PlayerGrades+'!$AA$13,"D+",IF(D671&lt;'PlayerGrades+'!$AA$12,"C-",IF(D671&lt;'PlayerGrades+'!$AA$11,"C",IF(D671&lt;'PlayerGrades+'!$AA$10,"C+",IF(D671&lt;'PlayerGrades+'!$AA$9,"B-",IF(D671&lt;'PlayerGrades+'!$AA$8,"B",IF(D671&lt;'PlayerGrades+'!$AA$7,"B+",IF(D671&lt;'PlayerGrades+'!$AA$6,"A-",IF(D671&lt;'PlayerGrades+'!$AA$5,"A",IF(D671&lt;'PlayerGrades+'!$AA$4,"A+",IF(D671&lt;'PlayerGrades+'!$AA$3,"S-",IF(D671&lt;'PlayerGrades+'!$AA$2,"S","S+"))))))))))))))))))))</f>
        <v>B+</v>
      </c>
      <c r="F671" s="973">
        <f t="shared" si="2"/>
        <v>-0.5496183206</v>
      </c>
      <c r="G671" s="973" t="str">
        <f>IF(F671&lt;'PlayerGrades+'!$AB$21,"F-",IF(F671&lt;'PlayerGrades+'!$AB$20,"F",IF(F671&lt;'PlayerGrades+'!$AB$19,"F+",IF(F671&lt;'PlayerGrades+'!$AB$18,"E-",IF(F671&lt;'PlayerGrades+'!$AB$17,"E",IF(F671&lt;'PlayerGrades+'!$AB$16,"E+",IF(F671&lt;'PlayerGrades+'!$AB$15,"D-",IF(F671&lt;'PlayerGrades+'!$AB$14,"D",IF(F671&lt;'PlayerGrades+'!$AB$13,"D+",IF(F671&lt;'PlayerGrades+'!$AB$12,"C-",IF(F671&lt;'PlayerGrades+'!$AB$11,"C",IF(F671&lt;'PlayerGrades+'!$AB$10,"C+",IF(F671&lt;'PlayerGrades+'!$AB$9,"B-",IF(F671&lt;'PlayerGrades+'!$AB$8,"B",IF(F671&lt;'PlayerGrades+'!$AB$7,"B+",IF(F671&lt;'PlayerGrades+'!$AB$6,"A-",IF(F671&lt;'PlayerGrades+'!$AB$5,"A",IF(F671&lt;'PlayerGrades+'!$AB$4,"A+",IF(F671&lt;'PlayerGrades+'!$AB$3,"S-",IF(F671&lt;'PlayerGrades+'!$AB$2,"S","S+"))))))))))))))))))))</f>
        <v>D</v>
      </c>
      <c r="H671" s="973">
        <f t="shared" si="3"/>
        <v>0.1374045802</v>
      </c>
      <c r="I671" s="973" t="str">
        <f>IF(H671&lt;'PlayerGrades+'!$AC$21,"F-",IF(H671&lt;'PlayerGrades+'!$AC$20,"F",IF(H671&lt;'PlayerGrades+'!$AC$19,"F+",IF(H671&lt;'PlayerGrades+'!$AC$18,"E-",IF(H671&lt;'PlayerGrades+'!$AC$17,"E",IF(H671&lt;'PlayerGrades+'!$AC$16,"E+",IF(H671&lt;'PlayerGrades+'!$AC$15,"D-",IF(H671&lt;'PlayerGrades+'!$AC$14,"D",IF(H671&lt;'PlayerGrades+'!$AC$13,"D+",IF(H671&lt;'PlayerGrades+'!$AC$12,"C-",IF(H671&lt;'PlayerGrades+'!$AC$11,"C",IF(H671&lt;'PlayerGrades+'!$AC$10,"C+",IF(H671&lt;'PlayerGrades+'!$AC$9,"B-",IF(H671&lt;'PlayerGrades+'!$AC$8,"B",IF(H671&lt;'PlayerGrades+'!$AC$7,"B+",IF(H671&lt;'PlayerGrades+'!$AC$6,"A-",IF(H671&lt;'PlayerGrades+'!$AC$5,"A",IF(H671&lt;'PlayerGrades+'!$AC$4,"A+",IF(H671&lt;'PlayerGrades+'!$AC$3,"S-",IF(H671&lt;'PlayerGrades+'!$AC$2,"S","S+"))))))))))))))))))))</f>
        <v>B+</v>
      </c>
      <c r="J671" s="973">
        <f t="shared" si="4"/>
        <v>0.02290076336</v>
      </c>
      <c r="K671" s="973" t="str">
        <f>IF(J671&lt;'PlayerGrades+'!$AD$21,"F-",IF(J671&lt;'PlayerGrades+'!$AD$20,"F",IF(J671&lt;'PlayerGrades+'!$AD$19,"F+",IF(J671&lt;'PlayerGrades+'!$AD$18,"E-",IF(J671&lt;'PlayerGrades+'!$AD$17,"E",IF(J671&lt;'PlayerGrades+'!$AD$16,"E+",IF(J671&lt;'PlayerGrades+'!$AD$15,"D-",IF(J671&lt;'PlayerGrades+'!$AD$14,"D",IF(J671&lt;'PlayerGrades+'!$AD$13,"D+",IF(J671&lt;'PlayerGrades+'!$AD$12,"C-",IF(J671&lt;'PlayerGrades+'!$AD$11,"C",IF(J671&lt;'PlayerGrades+'!$AD$10,"C+",IF(J671&lt;'PlayerGrades+'!$AD$9,"B-",IF(J671&lt;'PlayerGrades+'!$AD$8,"B",IF(J671&lt;'PlayerGrades+'!$AD$7,"B+",IF(J671&lt;'PlayerGrades+'!$AD$6,"A-",IF(J671&lt;'PlayerGrades+'!$AD$5,"A",IF(J671&lt;'PlayerGrades+'!$AD$4,"A+",IF(J671&lt;'PlayerGrades+'!$AD$3,"S-",IF(J671&lt;'PlayerGrades+'!$AD$2,"S","S+"))))))))))))))))))))</f>
        <v>D-</v>
      </c>
      <c r="L671" s="974">
        <f t="shared" si="5"/>
        <v>0.4122137405</v>
      </c>
      <c r="M671" s="975" t="str">
        <f>IF(L671&lt;'PlayerGrades+'!$AE$21,"F-",IF(L671&lt;'PlayerGrades+'!$AE$20,"F",IF(L671&lt;'PlayerGrades+'!$AE$19,"F+",IF(L671&lt;'PlayerGrades+'!$AE$18,"E-",IF(L671&lt;'PlayerGrades+'!$AE$17,"E",IF(L671&lt;'PlayerGrades+'!$AE$16,"E+",IF(L671&lt;'PlayerGrades+'!$AE$15,"D-",IF(L671&lt;'PlayerGrades+'!$AE$14,"D",IF(L671&lt;'PlayerGrades+'!$AE$13,"D+",IF(L671&lt;'PlayerGrades+'!$AE$12,"C-",IF(L671&lt;'PlayerGrades+'!$AE$11,"C",IF(L671&lt;'PlayerGrades+'!$AE$10,"C+",IF(L671&lt;'PlayerGrades+'!$AE$9,"B-",IF(L671&lt;'PlayerGrades+'!$AE$8,"B",IF(L671&lt;'PlayerGrades+'!$AE$7,"B+",IF(L671&lt;'PlayerGrades+'!$AE$6,"A-",IF(L671&lt;'PlayerGrades+'!$AE$5,"A",IF(L671&lt;'PlayerGrades+'!$AE$4,"A+",IF(L671&lt;'PlayerGrades+'!$AE$3,"S-",IF(L671&lt;'PlayerGrades+'!$AE$2,"S","S+"))))))))))))))))))))</f>
        <v>C+</v>
      </c>
      <c r="N671" s="973">
        <f t="shared" si="6"/>
        <v>0.04580152672</v>
      </c>
      <c r="O671" s="973" t="str">
        <f>IF(N671&lt;'PlayerGrades+'!$AF$21,"F-",IF(N671&lt;'PlayerGrades+'!$AF$20,"F",IF(N671&lt;'PlayerGrades+'!$AF$19,"F+",IF(N671&lt;'PlayerGrades+'!$AF$18,"E-",IF(N671&lt;'PlayerGrades+'!$AF$17,"E",IF(N671&lt;'PlayerGrades+'!$AF$16,"E+",IF(N671&lt;'PlayerGrades+'!$AF$15,"D-",IF(N671&lt;'PlayerGrades+'!$AF$14,"D",IF(N671&lt;'PlayerGrades+'!$AF$13,"D+",IF(N671&lt;'PlayerGrades+'!$AF$12,"C-",IF(N671&lt;'PlayerGrades+'!$AF$11,"C",IF(N671&lt;'PlayerGrades+'!$AF$10,"C+",IF(N671&lt;'PlayerGrades+'!$AF$9,"B-",IF(N671&lt;'PlayerGrades+'!$AF$8,"B",IF(N671&lt;'PlayerGrades+'!$AF$7,"B+",IF(N671&lt;'PlayerGrades+'!$AF$6,"A-",IF(N671&lt;'PlayerGrades+'!$AF$5,"A",IF(N671&lt;'PlayerGrades+'!$AF$4,"A+",IF(N671&lt;'PlayerGrades+'!$AF$3,"S-",IF(N671&lt;'PlayerGrades+'!$AF$2,"S","S+"))))))))))))))))))))</f>
        <v>E+</v>
      </c>
      <c r="P671" s="973">
        <f t="shared" si="7"/>
        <v>0</v>
      </c>
      <c r="Q671" s="973" t="str">
        <f>IF(P671&lt;'PlayerGrades+'!$AG$21,"F-",IF(P671&lt;'PlayerGrades+'!$AG$20,"F",IF(P671&lt;'PlayerGrades+'!$AG$19,"F+",IF(P671&lt;'PlayerGrades+'!$AG$18,"E-",IF(P671&lt;'PlayerGrades+'!$AG$17,"E",IF(P671&lt;'PlayerGrades+'!$AG$16,"E+",IF(P671&lt;'PlayerGrades+'!$AG$15,"D-",IF(P671&lt;'PlayerGrades+'!$AG$14,"D",IF(P671&lt;'PlayerGrades+'!$AG$13,"D+",IF(P671&lt;'PlayerGrades+'!$AG$12,"C-",IF(P671&lt;'PlayerGrades+'!$AG$11,"C",IF(P671&lt;'PlayerGrades+'!$AG$10,"C+",IF(P671&lt;'PlayerGrades+'!$AG$9,"B-",IF(P671&lt;'PlayerGrades+'!$AG$8,"B",IF(P671&lt;'PlayerGrades+'!$AG$7,"B+",IF(P671&lt;'PlayerGrades+'!$AG$6,"A-",IF(P671&lt;'PlayerGrades+'!$AG$5,"A",IF(P671&lt;'PlayerGrades+'!$AG$4,"A+",IF(P671&lt;'PlayerGrades+'!$AG$3,"S-",IF(P671&lt;'PlayerGrades+'!$AG$2,"S","S+"))))))))))))))))))))</f>
        <v>F</v>
      </c>
      <c r="R671" s="973">
        <f t="shared" si="8"/>
        <v>0.3435114504</v>
      </c>
      <c r="S671" s="973" t="str">
        <f>IF(R671&lt;'PlayerGrades+'!$AH$21,"F-",IF(R671&lt;'PlayerGrades+'!$AH$20,"F",IF(R671&lt;'PlayerGrades+'!$AH$19,"F+",IF(R671&lt;'PlayerGrades+'!$AH$18,"E-",IF(R671&lt;'PlayerGrades+'!$AH$17,"E",IF(R671&lt;'PlayerGrades+'!$AH$16,"E+",IF(R671&lt;'PlayerGrades+'!$AH$15,"D-",IF(R671&lt;'PlayerGrades+'!$AH$14,"D",IF(R671&lt;'PlayerGrades+'!$AH$13,"D+",IF(R671&lt;'PlayerGrades+'!$AH$12,"C-",IF(R671&lt;'PlayerGrades+'!$AH$11,"C",IF(R671&lt;'PlayerGrades+'!$AH$10,"C+",IF(R671&lt;'PlayerGrades+'!$AH$9,"B-",IF(R671&lt;'PlayerGrades+'!$AH$8,"B",IF(R671&lt;'PlayerGrades+'!$AH$7,"B+",IF(R671&lt;'PlayerGrades+'!$AH$6,"A-",IF(R671&lt;'PlayerGrades+'!$AH$5,"A",IF(R671&lt;'PlayerGrades+'!$AH$4,"A+",IF(R671&lt;'PlayerGrades+'!$AH$3,"S-",IF(R671&lt;'PlayerGrades+'!$AH$2,"S","S+"))))))))))))))))))))</f>
        <v>F</v>
      </c>
      <c r="T671" s="973">
        <f t="shared" si="9"/>
        <v>4.435114504</v>
      </c>
      <c r="U671" s="973" t="str">
        <f>IF(T671&lt;'PlayerGrades+'!$AI$21,"F-",IF(T671&lt;'PlayerGrades+'!$AI$20,"F",IF(T671&lt;'PlayerGrades+'!$AI$19,"F+",IF(T671&lt;'PlayerGrades+'!$AI$18,"E-",IF(T671&lt;'PlayerGrades+'!$AI$17,"E",IF(T671&lt;'PlayerGrades+'!$AI$16,"E+",IF(T671&lt;'PlayerGrades+'!$AI$15,"D-",IF(T671&lt;'PlayerGrades+'!$AI$14,"D",IF(T671&lt;'PlayerGrades+'!$AI$13,"D+",IF(T671&lt;'PlayerGrades+'!$AI$12,"C-",IF(T671&lt;'PlayerGrades+'!$AI$11,"C",IF(T671&lt;'PlayerGrades+'!$AI$10,"C+",IF(T671&lt;'PlayerGrades+'!$AI$9,"B-",IF(T671&lt;'PlayerGrades+'!$AI$8,"B",IF(T671&lt;'PlayerGrades+'!$AI$7,"B+",IF(T671&lt;'PlayerGrades+'!$AI$6,"A-",IF(T671&lt;'PlayerGrades+'!$AI$5,"A",IF(T671&lt;'PlayerGrades+'!$AI$4,"A+",IF(T671&lt;'PlayerGrades+'!$AI$3,"S-",IF(T671&lt;'PlayerGrades+'!$AI$2,"S","S+"))))))))))))))))))))</f>
        <v>S+</v>
      </c>
      <c r="V671" s="941">
        <v>1.0</v>
      </c>
      <c r="W671" s="941">
        <v>0.0</v>
      </c>
      <c r="X671" s="941">
        <v>1.0</v>
      </c>
      <c r="Y671" s="941">
        <v>1.0</v>
      </c>
      <c r="Z671" s="941">
        <v>5.0</v>
      </c>
      <c r="AA671" s="941">
        <v>127.0</v>
      </c>
      <c r="AB671" s="941">
        <v>151.0</v>
      </c>
      <c r="AC671" s="941">
        <v>-24.0</v>
      </c>
      <c r="AD671" s="941">
        <v>6.0</v>
      </c>
      <c r="AE671" s="941">
        <v>8.0</v>
      </c>
      <c r="AF671" s="941">
        <v>3.0</v>
      </c>
      <c r="AG671" s="941">
        <v>2046.0</v>
      </c>
      <c r="AH671" s="941">
        <v>2620.0</v>
      </c>
      <c r="AI671" s="941">
        <v>13.0</v>
      </c>
      <c r="AJ671" s="941">
        <v>622.0</v>
      </c>
      <c r="AK671" s="941">
        <v>0.0</v>
      </c>
      <c r="AL671" s="941">
        <v>1.0</v>
      </c>
      <c r="AM671" s="941">
        <v>0.0</v>
      </c>
      <c r="AN671" s="941">
        <v>0.0</v>
      </c>
      <c r="AO671" s="941">
        <v>0.0</v>
      </c>
      <c r="AP671" s="941">
        <v>0.0</v>
      </c>
      <c r="AQ671" s="941">
        <v>0.0</v>
      </c>
      <c r="AR671" s="941">
        <v>18.0</v>
      </c>
      <c r="AS671" s="941">
        <v>2.0</v>
      </c>
      <c r="AT671" s="941">
        <v>0.0</v>
      </c>
      <c r="AU671" s="941">
        <v>0.0</v>
      </c>
      <c r="AV671" s="941">
        <v>0.0</v>
      </c>
      <c r="AW671" s="941">
        <v>0.0</v>
      </c>
      <c r="AX671" s="941">
        <v>0.0</v>
      </c>
      <c r="AY671" s="941">
        <v>0.0</v>
      </c>
      <c r="AZ671" s="941">
        <v>0.0</v>
      </c>
      <c r="BA671" s="941">
        <v>0.0</v>
      </c>
      <c r="BB671" s="941">
        <v>6.0</v>
      </c>
      <c r="BC671" s="941">
        <v>0.0</v>
      </c>
      <c r="BD671" s="941">
        <v>9.0</v>
      </c>
      <c r="BE671" s="941">
        <v>19.0</v>
      </c>
      <c r="BF671" s="941">
        <v>4.0</v>
      </c>
      <c r="BG671" s="941">
        <v>0.0</v>
      </c>
    </row>
    <row r="672">
      <c r="A672" s="1" t="s">
        <v>154</v>
      </c>
      <c r="B672" s="421" t="str">
        <f>IF(C672&lt;'PlayerGrades+'!$Y$44,"F-",IF(C672&lt;'PlayerGrades+'!$Y$43,"F",IF(C672&lt;'PlayerGrades+'!$Y$42,"F+",IF(C672&lt;'PlayerGrades+'!$Y$41,"E-",IF(C672&lt;'PlayerGrades+'!$Y$40,"E",IF(C672&lt;'PlayerGrades+'!$Y$39,"E+",IF(C672&lt;'PlayerGrades+'!$Y$38,"D-",IF(C672&lt;'PlayerGrades+'!$Y$37,"D",IF(C672&lt;'PlayerGrades+'!$Y$36,"D+",IF(C672&lt;'PlayerGrades+'!$Y$35,"C-",IF(C672&lt;'PlayerGrades+'!$Y$34,"C",IF(C672&lt;'PlayerGrades+'!$Y$33,"C+",IF(C672&lt;'PlayerGrades+'!$Y$32,"B-",IF(C672&lt;'PlayerGrades+'!$Y$31,"B",IF(C672&lt;'PlayerGrades+'!$Y$30,"B+",IF(C672&lt;'PlayerGrades+'!$Y$29,"A-",IF(C672&lt;'PlayerGrades+'!$Y$28,"A",IF(C672&lt;'PlayerGrades+'!$Y$27,"A+",IF(C672&lt;'PlayerGrades+'!$Y$26,"S-",IF(C672&lt;'PlayerGrades+'!$Y$25,"S","S+"))))))))))))))))))))</f>
        <v>D-</v>
      </c>
      <c r="C672" s="972">
        <f>('PlayerGrades+'!$Y$47*(VLOOKUP(E672, 'PlayerGrades+'!$X$3:$Y$23, 2, FALSE)))+('PlayerGrades+'!$Y$48*(VLOOKUP(G672, 'PlayerGrades+'!$X$3:$Y$23, 2, FALSE)))+('PlayerGrades+'!$Y$49*(VLOOKUP(I672, 'PlayerGrades+'!$X$3:$Y$23, 2, FALSE)))+('PlayerGrades+'!$Y$50*(VLOOKUP(K672, 'PlayerGrades+'!$X$3:$Y$23, 2, FALSE)))+('PlayerGrades+'!$Y$51*(VLOOKUP(M672, 'PlayerGrades+'!$X$3:$Y$23, 2, FALSE)))+('PlayerGrades+'!$Y$52*(VLOOKUP(O672, 'PlayerGrades+'!$X$3:$Y$23, 2, FALSE)))+('PlayerGrades+'!$Y$53*(VLOOKUP(Q672, 'PlayerGrades+'!$X$3:$Y$23, 2, FALSE)))+('PlayerGrades+'!$Y$54*(VLOOKUP(S672, 'PlayerGrades+'!$X$3:$Y$23, 2, FALSE)))+('PlayerGrades+'!$Y$55*(VLOOKUP(U672, 'PlayerGrades+'!$X$3:$Y$23, 2, FALSE)))</f>
        <v>13.95</v>
      </c>
      <c r="D672" s="973">
        <f t="shared" si="1"/>
        <v>0.2290076336</v>
      </c>
      <c r="E672" s="973" t="str">
        <f>IF(D672&lt;'PlayerGrades+'!$AA$21,"F-",IF(D672&lt;'PlayerGrades+'!$AA$20,"F",IF(D672&lt;'PlayerGrades+'!$AA$19,"F+",IF(D672&lt;'PlayerGrades+'!$AA$18,"E-",IF(D672&lt;'PlayerGrades+'!$AA$17,"E",IF(D672&lt;'PlayerGrades+'!$AA$16,"E+",IF(D672&lt;'PlayerGrades+'!$AA$15,"D-",IF(D672&lt;'PlayerGrades+'!$AA$14,"D",IF(D672&lt;'PlayerGrades+'!$AA$13,"D+",IF(D672&lt;'PlayerGrades+'!$AA$12,"C-",IF(D672&lt;'PlayerGrades+'!$AA$11,"C",IF(D672&lt;'PlayerGrades+'!$AA$10,"C+",IF(D672&lt;'PlayerGrades+'!$AA$9,"B-",IF(D672&lt;'PlayerGrades+'!$AA$8,"B",IF(D672&lt;'PlayerGrades+'!$AA$7,"B+",IF(D672&lt;'PlayerGrades+'!$AA$6,"A-",IF(D672&lt;'PlayerGrades+'!$AA$5,"A",IF(D672&lt;'PlayerGrades+'!$AA$4,"A+",IF(D672&lt;'PlayerGrades+'!$AA$3,"S-",IF(D672&lt;'PlayerGrades+'!$AA$2,"S","S+"))))))))))))))))))))</f>
        <v>A-</v>
      </c>
      <c r="F672" s="973">
        <f t="shared" si="2"/>
        <v>-0.5954198473</v>
      </c>
      <c r="G672" s="973" t="str">
        <f>IF(F672&lt;'PlayerGrades+'!$AB$21,"F-",IF(F672&lt;'PlayerGrades+'!$AB$20,"F",IF(F672&lt;'PlayerGrades+'!$AB$19,"F+",IF(F672&lt;'PlayerGrades+'!$AB$18,"E-",IF(F672&lt;'PlayerGrades+'!$AB$17,"E",IF(F672&lt;'PlayerGrades+'!$AB$16,"E+",IF(F672&lt;'PlayerGrades+'!$AB$15,"D-",IF(F672&lt;'PlayerGrades+'!$AB$14,"D",IF(F672&lt;'PlayerGrades+'!$AB$13,"D+",IF(F672&lt;'PlayerGrades+'!$AB$12,"C-",IF(F672&lt;'PlayerGrades+'!$AB$11,"C",IF(F672&lt;'PlayerGrades+'!$AB$10,"C+",IF(F672&lt;'PlayerGrades+'!$AB$9,"B-",IF(F672&lt;'PlayerGrades+'!$AB$8,"B",IF(F672&lt;'PlayerGrades+'!$AB$7,"B+",IF(F672&lt;'PlayerGrades+'!$AB$6,"A-",IF(F672&lt;'PlayerGrades+'!$AB$5,"A",IF(F672&lt;'PlayerGrades+'!$AB$4,"A+",IF(F672&lt;'PlayerGrades+'!$AB$3,"S-",IF(F672&lt;'PlayerGrades+'!$AB$2,"S","S+"))))))))))))))))))))</f>
        <v>D</v>
      </c>
      <c r="H672" s="973">
        <f t="shared" si="3"/>
        <v>0.09160305344</v>
      </c>
      <c r="I672" s="973" t="str">
        <f>IF(H672&lt;'PlayerGrades+'!$AC$21,"F-",IF(H672&lt;'PlayerGrades+'!$AC$20,"F",IF(H672&lt;'PlayerGrades+'!$AC$19,"F+",IF(H672&lt;'PlayerGrades+'!$AC$18,"E-",IF(H672&lt;'PlayerGrades+'!$AC$17,"E",IF(H672&lt;'PlayerGrades+'!$AC$16,"E+",IF(H672&lt;'PlayerGrades+'!$AC$15,"D-",IF(H672&lt;'PlayerGrades+'!$AC$14,"D",IF(H672&lt;'PlayerGrades+'!$AC$13,"D+",IF(H672&lt;'PlayerGrades+'!$AC$12,"C-",IF(H672&lt;'PlayerGrades+'!$AC$11,"C",IF(H672&lt;'PlayerGrades+'!$AC$10,"C+",IF(H672&lt;'PlayerGrades+'!$AC$9,"B-",IF(H672&lt;'PlayerGrades+'!$AC$8,"B",IF(H672&lt;'PlayerGrades+'!$AC$7,"B+",IF(H672&lt;'PlayerGrades+'!$AC$6,"A-",IF(H672&lt;'PlayerGrades+'!$AC$5,"A",IF(H672&lt;'PlayerGrades+'!$AC$4,"A+",IF(H672&lt;'PlayerGrades+'!$AC$3,"S-",IF(H672&lt;'PlayerGrades+'!$AC$2,"S","S+"))))))))))))))))))))</f>
        <v>D</v>
      </c>
      <c r="J672" s="973">
        <f t="shared" si="4"/>
        <v>0.02290076336</v>
      </c>
      <c r="K672" s="973" t="str">
        <f>IF(J672&lt;'PlayerGrades+'!$AD$21,"F-",IF(J672&lt;'PlayerGrades+'!$AD$20,"F",IF(J672&lt;'PlayerGrades+'!$AD$19,"F+",IF(J672&lt;'PlayerGrades+'!$AD$18,"E-",IF(J672&lt;'PlayerGrades+'!$AD$17,"E",IF(J672&lt;'PlayerGrades+'!$AD$16,"E+",IF(J672&lt;'PlayerGrades+'!$AD$15,"D-",IF(J672&lt;'PlayerGrades+'!$AD$14,"D",IF(J672&lt;'PlayerGrades+'!$AD$13,"D+",IF(J672&lt;'PlayerGrades+'!$AD$12,"C-",IF(J672&lt;'PlayerGrades+'!$AD$11,"C",IF(J672&lt;'PlayerGrades+'!$AD$10,"C+",IF(J672&lt;'PlayerGrades+'!$AD$9,"B-",IF(J672&lt;'PlayerGrades+'!$AD$8,"B",IF(J672&lt;'PlayerGrades+'!$AD$7,"B+",IF(J672&lt;'PlayerGrades+'!$AD$6,"A-",IF(J672&lt;'PlayerGrades+'!$AD$5,"A",IF(J672&lt;'PlayerGrades+'!$AD$4,"A+",IF(J672&lt;'PlayerGrades+'!$AD$3,"S-",IF(J672&lt;'PlayerGrades+'!$AD$2,"S","S+"))))))))))))))))))))</f>
        <v>D-</v>
      </c>
      <c r="L672" s="974">
        <f t="shared" si="5"/>
        <v>0.2977099237</v>
      </c>
      <c r="M672" s="975" t="str">
        <f>IF(L672&lt;'PlayerGrades+'!$AE$21,"F-",IF(L672&lt;'PlayerGrades+'!$AE$20,"F",IF(L672&lt;'PlayerGrades+'!$AE$19,"F+",IF(L672&lt;'PlayerGrades+'!$AE$18,"E-",IF(L672&lt;'PlayerGrades+'!$AE$17,"E",IF(L672&lt;'PlayerGrades+'!$AE$16,"E+",IF(L672&lt;'PlayerGrades+'!$AE$15,"D-",IF(L672&lt;'PlayerGrades+'!$AE$14,"D",IF(L672&lt;'PlayerGrades+'!$AE$13,"D+",IF(L672&lt;'PlayerGrades+'!$AE$12,"C-",IF(L672&lt;'PlayerGrades+'!$AE$11,"C",IF(L672&lt;'PlayerGrades+'!$AE$10,"C+",IF(L672&lt;'PlayerGrades+'!$AE$9,"B-",IF(L672&lt;'PlayerGrades+'!$AE$8,"B",IF(L672&lt;'PlayerGrades+'!$AE$7,"B+",IF(L672&lt;'PlayerGrades+'!$AE$6,"A-",IF(L672&lt;'PlayerGrades+'!$AE$5,"A",IF(L672&lt;'PlayerGrades+'!$AE$4,"A+",IF(L672&lt;'PlayerGrades+'!$AE$3,"S-",IF(L672&lt;'PlayerGrades+'!$AE$2,"S","S+"))))))))))))))))))))</f>
        <v>E-</v>
      </c>
      <c r="N672" s="973">
        <f t="shared" si="6"/>
        <v>0.02290076336</v>
      </c>
      <c r="O672" s="973" t="str">
        <f>IF(N672&lt;'PlayerGrades+'!$AF$21,"F-",IF(N672&lt;'PlayerGrades+'!$AF$20,"F",IF(N672&lt;'PlayerGrades+'!$AF$19,"F+",IF(N672&lt;'PlayerGrades+'!$AF$18,"E-",IF(N672&lt;'PlayerGrades+'!$AF$17,"E",IF(N672&lt;'PlayerGrades+'!$AF$16,"E+",IF(N672&lt;'PlayerGrades+'!$AF$15,"D-",IF(N672&lt;'PlayerGrades+'!$AF$14,"D",IF(N672&lt;'PlayerGrades+'!$AF$13,"D+",IF(N672&lt;'PlayerGrades+'!$AF$12,"C-",IF(N672&lt;'PlayerGrades+'!$AF$11,"C",IF(N672&lt;'PlayerGrades+'!$AF$10,"C+",IF(N672&lt;'PlayerGrades+'!$AF$9,"B-",IF(N672&lt;'PlayerGrades+'!$AF$8,"B",IF(N672&lt;'PlayerGrades+'!$AF$7,"B+",IF(N672&lt;'PlayerGrades+'!$AF$6,"A-",IF(N672&lt;'PlayerGrades+'!$AF$5,"A",IF(N672&lt;'PlayerGrades+'!$AF$4,"A+",IF(N672&lt;'PlayerGrades+'!$AF$3,"S-",IF(N672&lt;'PlayerGrades+'!$AF$2,"S","S+"))))))))))))))))))))</f>
        <v>F</v>
      </c>
      <c r="P672" s="973">
        <f t="shared" si="7"/>
        <v>0</v>
      </c>
      <c r="Q672" s="973" t="str">
        <f>IF(P672&lt;'PlayerGrades+'!$AG$21,"F-",IF(P672&lt;'PlayerGrades+'!$AG$20,"F",IF(P672&lt;'PlayerGrades+'!$AG$19,"F+",IF(P672&lt;'PlayerGrades+'!$AG$18,"E-",IF(P672&lt;'PlayerGrades+'!$AG$17,"E",IF(P672&lt;'PlayerGrades+'!$AG$16,"E+",IF(P672&lt;'PlayerGrades+'!$AG$15,"D-",IF(P672&lt;'PlayerGrades+'!$AG$14,"D",IF(P672&lt;'PlayerGrades+'!$AG$13,"D+",IF(P672&lt;'PlayerGrades+'!$AG$12,"C-",IF(P672&lt;'PlayerGrades+'!$AG$11,"C",IF(P672&lt;'PlayerGrades+'!$AG$10,"C+",IF(P672&lt;'PlayerGrades+'!$AG$9,"B-",IF(P672&lt;'PlayerGrades+'!$AG$8,"B",IF(P672&lt;'PlayerGrades+'!$AG$7,"B+",IF(P672&lt;'PlayerGrades+'!$AG$6,"A-",IF(P672&lt;'PlayerGrades+'!$AG$5,"A",IF(P672&lt;'PlayerGrades+'!$AG$4,"A+",IF(P672&lt;'PlayerGrades+'!$AG$3,"S-",IF(P672&lt;'PlayerGrades+'!$AG$2,"S","S+"))))))))))))))))))))</f>
        <v>F</v>
      </c>
      <c r="R672" s="973">
        <f t="shared" si="8"/>
        <v>0.5038167939</v>
      </c>
      <c r="S672" s="973" t="str">
        <f>IF(R672&lt;'PlayerGrades+'!$AH$21,"F-",IF(R672&lt;'PlayerGrades+'!$AH$20,"F",IF(R672&lt;'PlayerGrades+'!$AH$19,"F+",IF(R672&lt;'PlayerGrades+'!$AH$18,"E-",IF(R672&lt;'PlayerGrades+'!$AH$17,"E",IF(R672&lt;'PlayerGrades+'!$AH$16,"E+",IF(R672&lt;'PlayerGrades+'!$AH$15,"D-",IF(R672&lt;'PlayerGrades+'!$AH$14,"D",IF(R672&lt;'PlayerGrades+'!$AH$13,"D+",IF(R672&lt;'PlayerGrades+'!$AH$12,"C-",IF(R672&lt;'PlayerGrades+'!$AH$11,"C",IF(R672&lt;'PlayerGrades+'!$AH$10,"C+",IF(R672&lt;'PlayerGrades+'!$AH$9,"B-",IF(R672&lt;'PlayerGrades+'!$AH$8,"B",IF(R672&lt;'PlayerGrades+'!$AH$7,"B+",IF(R672&lt;'PlayerGrades+'!$AH$6,"A-",IF(R672&lt;'PlayerGrades+'!$AH$5,"A",IF(R672&lt;'PlayerGrades+'!$AH$4,"A+",IF(R672&lt;'PlayerGrades+'!$AH$3,"S-",IF(R672&lt;'PlayerGrades+'!$AH$2,"S","S+"))))))))))))))))))))</f>
        <v>D-</v>
      </c>
      <c r="T672" s="973">
        <f t="shared" si="9"/>
        <v>1.389312977</v>
      </c>
      <c r="U672" s="973" t="str">
        <f>IF(T672&lt;'PlayerGrades+'!$AI$21,"F-",IF(T672&lt;'PlayerGrades+'!$AI$20,"F",IF(T672&lt;'PlayerGrades+'!$AI$19,"F+",IF(T672&lt;'PlayerGrades+'!$AI$18,"E-",IF(T672&lt;'PlayerGrades+'!$AI$17,"E",IF(T672&lt;'PlayerGrades+'!$AI$16,"E+",IF(T672&lt;'PlayerGrades+'!$AI$15,"D-",IF(T672&lt;'PlayerGrades+'!$AI$14,"D",IF(T672&lt;'PlayerGrades+'!$AI$13,"D+",IF(T672&lt;'PlayerGrades+'!$AI$12,"C-",IF(T672&lt;'PlayerGrades+'!$AI$11,"C",IF(T672&lt;'PlayerGrades+'!$AI$10,"C+",IF(T672&lt;'PlayerGrades+'!$AI$9,"B-",IF(T672&lt;'PlayerGrades+'!$AI$8,"B",IF(T672&lt;'PlayerGrades+'!$AI$7,"B+",IF(T672&lt;'PlayerGrades+'!$AI$6,"A-",IF(T672&lt;'PlayerGrades+'!$AI$5,"A",IF(T672&lt;'PlayerGrades+'!$AI$4,"A+",IF(T672&lt;'PlayerGrades+'!$AI$3,"S-",IF(T672&lt;'PlayerGrades+'!$AI$2,"S","S+"))))))))))))))))))))</f>
        <v>B</v>
      </c>
      <c r="V672" s="941">
        <v>1.0</v>
      </c>
      <c r="W672" s="941">
        <v>0.0</v>
      </c>
      <c r="X672" s="941">
        <v>1.0</v>
      </c>
      <c r="Y672" s="941">
        <v>1.0</v>
      </c>
      <c r="Z672" s="941">
        <v>9.0</v>
      </c>
      <c r="AA672" s="941">
        <v>115.0</v>
      </c>
      <c r="AB672" s="941">
        <v>141.0</v>
      </c>
      <c r="AC672" s="941">
        <v>-26.0</v>
      </c>
      <c r="AD672" s="941">
        <v>8.0</v>
      </c>
      <c r="AE672" s="941">
        <v>5.0</v>
      </c>
      <c r="AF672" s="941">
        <v>0.0</v>
      </c>
      <c r="AG672" s="941">
        <v>2075.0</v>
      </c>
      <c r="AH672" s="941">
        <v>2620.0</v>
      </c>
      <c r="AI672" s="941">
        <v>14.0</v>
      </c>
      <c r="AJ672" s="941">
        <v>759.0</v>
      </c>
      <c r="AK672" s="941">
        <v>0.0</v>
      </c>
      <c r="AL672" s="941">
        <v>1.0</v>
      </c>
      <c r="AM672" s="941">
        <v>0.0</v>
      </c>
      <c r="AN672" s="941">
        <v>0.0</v>
      </c>
      <c r="AO672" s="941">
        <v>0.0</v>
      </c>
      <c r="AP672" s="941">
        <v>0.0</v>
      </c>
      <c r="AQ672" s="941">
        <v>0.0</v>
      </c>
      <c r="AR672" s="941">
        <v>13.0</v>
      </c>
      <c r="AS672" s="941">
        <v>1.0</v>
      </c>
      <c r="AT672" s="941">
        <v>0.0</v>
      </c>
      <c r="AU672" s="941">
        <v>0.0</v>
      </c>
      <c r="AV672" s="941">
        <v>0.0</v>
      </c>
      <c r="AW672" s="941">
        <v>0.0</v>
      </c>
      <c r="AX672" s="941">
        <v>0.0</v>
      </c>
      <c r="AY672" s="941">
        <v>0.0</v>
      </c>
      <c r="AZ672" s="941">
        <v>0.0</v>
      </c>
      <c r="BA672" s="941">
        <v>0.0</v>
      </c>
      <c r="BB672" s="941">
        <v>4.0</v>
      </c>
      <c r="BC672" s="941">
        <v>0.0</v>
      </c>
      <c r="BD672" s="941">
        <v>14.0</v>
      </c>
      <c r="BE672" s="941">
        <v>17.0</v>
      </c>
      <c r="BF672" s="941">
        <v>1.0</v>
      </c>
      <c r="BG672" s="941">
        <v>0.0</v>
      </c>
    </row>
    <row r="673">
      <c r="A673" s="882" t="s">
        <v>121</v>
      </c>
      <c r="B673" s="421" t="str">
        <f>IF(C673&lt;'PlayerGrades+'!$Y$44,"F-",IF(C673&lt;'PlayerGrades+'!$Y$43,"F",IF(C673&lt;'PlayerGrades+'!$Y$42,"F+",IF(C673&lt;'PlayerGrades+'!$Y$41,"E-",IF(C673&lt;'PlayerGrades+'!$Y$40,"E",IF(C673&lt;'PlayerGrades+'!$Y$39,"E+",IF(C673&lt;'PlayerGrades+'!$Y$38,"D-",IF(C673&lt;'PlayerGrades+'!$Y$37,"D",IF(C673&lt;'PlayerGrades+'!$Y$36,"D+",IF(C673&lt;'PlayerGrades+'!$Y$35,"C-",IF(C673&lt;'PlayerGrades+'!$Y$34,"C",IF(C673&lt;'PlayerGrades+'!$Y$33,"C+",IF(C673&lt;'PlayerGrades+'!$Y$32,"B-",IF(C673&lt;'PlayerGrades+'!$Y$31,"B",IF(C673&lt;'PlayerGrades+'!$Y$30,"B+",IF(C673&lt;'PlayerGrades+'!$Y$29,"A-",IF(C673&lt;'PlayerGrades+'!$Y$28,"A",IF(C673&lt;'PlayerGrades+'!$Y$27,"A+",IF(C673&lt;'PlayerGrades+'!$Y$26,"S-",IF(C673&lt;'PlayerGrades+'!$Y$25,"S","S+"))))))))))))))))))))</f>
        <v>A+</v>
      </c>
      <c r="C673" s="972">
        <f>('PlayerGrades+'!$Y$47*(VLOOKUP(E673, 'PlayerGrades+'!$X$3:$Y$23, 2, FALSE)))+('PlayerGrades+'!$Y$48*(VLOOKUP(G673, 'PlayerGrades+'!$X$3:$Y$23, 2, FALSE)))+('PlayerGrades+'!$Y$49*(VLOOKUP(I673, 'PlayerGrades+'!$X$3:$Y$23, 2, FALSE)))+('PlayerGrades+'!$Y$50*(VLOOKUP(K673, 'PlayerGrades+'!$X$3:$Y$23, 2, FALSE)))+('PlayerGrades+'!$Y$51*(VLOOKUP(M673, 'PlayerGrades+'!$X$3:$Y$23, 2, FALSE)))+('PlayerGrades+'!$Y$52*(VLOOKUP(O673, 'PlayerGrades+'!$X$3:$Y$23, 2, FALSE)))+('PlayerGrades+'!$Y$53*(VLOOKUP(Q673, 'PlayerGrades+'!$X$3:$Y$23, 2, FALSE)))+('PlayerGrades+'!$Y$54*(VLOOKUP(S673, 'PlayerGrades+'!$X$3:$Y$23, 2, FALSE)))+('PlayerGrades+'!$Y$55*(VLOOKUP(U673, 'PlayerGrades+'!$X$3:$Y$23, 2, FALSE)))</f>
        <v>29.65</v>
      </c>
      <c r="D673" s="973">
        <f t="shared" si="1"/>
        <v>0</v>
      </c>
      <c r="E673" s="973" t="str">
        <f>IF(D673&lt;'PlayerGrades+'!$AA$21,"F-",IF(D673&lt;'PlayerGrades+'!$AA$20,"F",IF(D673&lt;'PlayerGrades+'!$AA$19,"F+",IF(D673&lt;'PlayerGrades+'!$AA$18,"E-",IF(D673&lt;'PlayerGrades+'!$AA$17,"E",IF(D673&lt;'PlayerGrades+'!$AA$16,"E+",IF(D673&lt;'PlayerGrades+'!$AA$15,"D-",IF(D673&lt;'PlayerGrades+'!$AA$14,"D",IF(D673&lt;'PlayerGrades+'!$AA$13,"D+",IF(D673&lt;'PlayerGrades+'!$AA$12,"C-",IF(D673&lt;'PlayerGrades+'!$AA$11,"C",IF(D673&lt;'PlayerGrades+'!$AA$10,"C+",IF(D673&lt;'PlayerGrades+'!$AA$9,"B-",IF(D673&lt;'PlayerGrades+'!$AA$8,"B",IF(D673&lt;'PlayerGrades+'!$AA$7,"B+",IF(D673&lt;'PlayerGrades+'!$AA$6,"A-",IF(D673&lt;'PlayerGrades+'!$AA$5,"A",IF(D673&lt;'PlayerGrades+'!$AA$4,"A+",IF(D673&lt;'PlayerGrades+'!$AA$3,"S-",IF(D673&lt;'PlayerGrades+'!$AA$2,"S","S+"))))))))))))))))))))</f>
        <v>F-</v>
      </c>
      <c r="F673" s="973">
        <f t="shared" si="2"/>
        <v>1.396946565</v>
      </c>
      <c r="G673" s="973" t="str">
        <f>IF(F673&lt;'PlayerGrades+'!$AB$21,"F-",IF(F673&lt;'PlayerGrades+'!$AB$20,"F",IF(F673&lt;'PlayerGrades+'!$AB$19,"F+",IF(F673&lt;'PlayerGrades+'!$AB$18,"E-",IF(F673&lt;'PlayerGrades+'!$AB$17,"E",IF(F673&lt;'PlayerGrades+'!$AB$16,"E+",IF(F673&lt;'PlayerGrades+'!$AB$15,"D-",IF(F673&lt;'PlayerGrades+'!$AB$14,"D",IF(F673&lt;'PlayerGrades+'!$AB$13,"D+",IF(F673&lt;'PlayerGrades+'!$AB$12,"C-",IF(F673&lt;'PlayerGrades+'!$AB$11,"C",IF(F673&lt;'PlayerGrades+'!$AB$10,"C+",IF(F673&lt;'PlayerGrades+'!$AB$9,"B-",IF(F673&lt;'PlayerGrades+'!$AB$8,"B",IF(F673&lt;'PlayerGrades+'!$AB$7,"B+",IF(F673&lt;'PlayerGrades+'!$AB$6,"A-",IF(F673&lt;'PlayerGrades+'!$AB$5,"A",IF(F673&lt;'PlayerGrades+'!$AB$4,"A+",IF(F673&lt;'PlayerGrades+'!$AB$3,"S-",IF(F673&lt;'PlayerGrades+'!$AB$2,"S","S+"))))))))))))))))))))</f>
        <v>S+</v>
      </c>
      <c r="H673" s="973">
        <f t="shared" si="3"/>
        <v>0.3893129771</v>
      </c>
      <c r="I673" s="973" t="str">
        <f>IF(H673&lt;'PlayerGrades+'!$AC$21,"F-",IF(H673&lt;'PlayerGrades+'!$AC$20,"F",IF(H673&lt;'PlayerGrades+'!$AC$19,"F+",IF(H673&lt;'PlayerGrades+'!$AC$18,"E-",IF(H673&lt;'PlayerGrades+'!$AC$17,"E",IF(H673&lt;'PlayerGrades+'!$AC$16,"E+",IF(H673&lt;'PlayerGrades+'!$AC$15,"D-",IF(H673&lt;'PlayerGrades+'!$AC$14,"D",IF(H673&lt;'PlayerGrades+'!$AC$13,"D+",IF(H673&lt;'PlayerGrades+'!$AC$12,"C-",IF(H673&lt;'PlayerGrades+'!$AC$11,"C",IF(H673&lt;'PlayerGrades+'!$AC$10,"C+",IF(H673&lt;'PlayerGrades+'!$AC$9,"B-",IF(H673&lt;'PlayerGrades+'!$AC$8,"B",IF(H673&lt;'PlayerGrades+'!$AC$7,"B+",IF(H673&lt;'PlayerGrades+'!$AC$6,"A-",IF(H673&lt;'PlayerGrades+'!$AC$5,"A",IF(H673&lt;'PlayerGrades+'!$AC$4,"A+",IF(H673&lt;'PlayerGrades+'!$AC$3,"S-",IF(H673&lt;'PlayerGrades+'!$AC$2,"S","S+"))))))))))))))))))))</f>
        <v>S+</v>
      </c>
      <c r="J673" s="973">
        <f t="shared" si="4"/>
        <v>0.1145038168</v>
      </c>
      <c r="K673" s="973" t="str">
        <f>IF(J673&lt;'PlayerGrades+'!$AD$21,"F-",IF(J673&lt;'PlayerGrades+'!$AD$20,"F",IF(J673&lt;'PlayerGrades+'!$AD$19,"F+",IF(J673&lt;'PlayerGrades+'!$AD$18,"E-",IF(J673&lt;'PlayerGrades+'!$AD$17,"E",IF(J673&lt;'PlayerGrades+'!$AD$16,"E+",IF(J673&lt;'PlayerGrades+'!$AD$15,"D-",IF(J673&lt;'PlayerGrades+'!$AD$14,"D",IF(J673&lt;'PlayerGrades+'!$AD$13,"D+",IF(J673&lt;'PlayerGrades+'!$AD$12,"C-",IF(J673&lt;'PlayerGrades+'!$AD$11,"C",IF(J673&lt;'PlayerGrades+'!$AD$10,"C+",IF(J673&lt;'PlayerGrades+'!$AD$9,"B-",IF(J673&lt;'PlayerGrades+'!$AD$8,"B",IF(J673&lt;'PlayerGrades+'!$AD$7,"B+",IF(J673&lt;'PlayerGrades+'!$AD$6,"A-",IF(J673&lt;'PlayerGrades+'!$AD$5,"A",IF(J673&lt;'PlayerGrades+'!$AD$4,"A+",IF(J673&lt;'PlayerGrades+'!$AD$3,"S-",IF(J673&lt;'PlayerGrades+'!$AD$2,"S","S+"))))))))))))))))))))</f>
        <v>S+</v>
      </c>
      <c r="L673" s="974">
        <f t="shared" si="5"/>
        <v>0.8473282443</v>
      </c>
      <c r="M673" s="975" t="str">
        <f>IF(L673&lt;'PlayerGrades+'!$AE$21,"F-",IF(L673&lt;'PlayerGrades+'!$AE$20,"F",IF(L673&lt;'PlayerGrades+'!$AE$19,"F+",IF(L673&lt;'PlayerGrades+'!$AE$18,"E-",IF(L673&lt;'PlayerGrades+'!$AE$17,"E",IF(L673&lt;'PlayerGrades+'!$AE$16,"E+",IF(L673&lt;'PlayerGrades+'!$AE$15,"D-",IF(L673&lt;'PlayerGrades+'!$AE$14,"D",IF(L673&lt;'PlayerGrades+'!$AE$13,"D+",IF(L673&lt;'PlayerGrades+'!$AE$12,"C-",IF(L673&lt;'PlayerGrades+'!$AE$11,"C",IF(L673&lt;'PlayerGrades+'!$AE$10,"C+",IF(L673&lt;'PlayerGrades+'!$AE$9,"B-",IF(L673&lt;'PlayerGrades+'!$AE$8,"B",IF(L673&lt;'PlayerGrades+'!$AE$7,"B+",IF(L673&lt;'PlayerGrades+'!$AE$6,"A-",IF(L673&lt;'PlayerGrades+'!$AE$5,"A",IF(L673&lt;'PlayerGrades+'!$AE$4,"A+",IF(L673&lt;'PlayerGrades+'!$AE$3,"S-",IF(L673&lt;'PlayerGrades+'!$AE$2,"S","S+"))))))))))))))))))))</f>
        <v>S+</v>
      </c>
      <c r="N673" s="973">
        <f t="shared" si="6"/>
        <v>0.06870229008</v>
      </c>
      <c r="O673" s="973" t="str">
        <f>IF(N673&lt;'PlayerGrades+'!$AF$21,"F-",IF(N673&lt;'PlayerGrades+'!$AF$20,"F",IF(N673&lt;'PlayerGrades+'!$AF$19,"F+",IF(N673&lt;'PlayerGrades+'!$AF$18,"E-",IF(N673&lt;'PlayerGrades+'!$AF$17,"E",IF(N673&lt;'PlayerGrades+'!$AF$16,"E+",IF(N673&lt;'PlayerGrades+'!$AF$15,"D-",IF(N673&lt;'PlayerGrades+'!$AF$14,"D",IF(N673&lt;'PlayerGrades+'!$AF$13,"D+",IF(N673&lt;'PlayerGrades+'!$AF$12,"C-",IF(N673&lt;'PlayerGrades+'!$AF$11,"C",IF(N673&lt;'PlayerGrades+'!$AF$10,"C+",IF(N673&lt;'PlayerGrades+'!$AF$9,"B-",IF(N673&lt;'PlayerGrades+'!$AF$8,"B",IF(N673&lt;'PlayerGrades+'!$AF$7,"B+",IF(N673&lt;'PlayerGrades+'!$AF$6,"A-",IF(N673&lt;'PlayerGrades+'!$AF$5,"A",IF(N673&lt;'PlayerGrades+'!$AF$4,"A+",IF(N673&lt;'PlayerGrades+'!$AF$3,"S-",IF(N673&lt;'PlayerGrades+'!$AF$2,"S","S+"))))))))))))))))))))</f>
        <v>C-</v>
      </c>
      <c r="P673" s="973">
        <f t="shared" si="7"/>
        <v>0.1145038168</v>
      </c>
      <c r="Q673" s="973" t="str">
        <f>IF(P673&lt;'PlayerGrades+'!$AG$21,"F-",IF(P673&lt;'PlayerGrades+'!$AG$20,"F",IF(P673&lt;'PlayerGrades+'!$AG$19,"F+",IF(P673&lt;'PlayerGrades+'!$AG$18,"E-",IF(P673&lt;'PlayerGrades+'!$AG$17,"E",IF(P673&lt;'PlayerGrades+'!$AG$16,"E+",IF(P673&lt;'PlayerGrades+'!$AG$15,"D-",IF(P673&lt;'PlayerGrades+'!$AG$14,"D",IF(P673&lt;'PlayerGrades+'!$AG$13,"D+",IF(P673&lt;'PlayerGrades+'!$AG$12,"C-",IF(P673&lt;'PlayerGrades+'!$AG$11,"C",IF(P673&lt;'PlayerGrades+'!$AG$10,"C+",IF(P673&lt;'PlayerGrades+'!$AG$9,"B-",IF(P673&lt;'PlayerGrades+'!$AG$8,"B",IF(P673&lt;'PlayerGrades+'!$AG$7,"B+",IF(P673&lt;'PlayerGrades+'!$AG$6,"A-",IF(P673&lt;'PlayerGrades+'!$AG$5,"A",IF(P673&lt;'PlayerGrades+'!$AG$4,"A+",IF(P673&lt;'PlayerGrades+'!$AG$3,"S-",IF(P673&lt;'PlayerGrades+'!$AG$2,"S","S+"))))))))))))))))))))</f>
        <v>S+</v>
      </c>
      <c r="R673" s="973">
        <f t="shared" si="8"/>
        <v>0.7557251908</v>
      </c>
      <c r="S673" s="973" t="str">
        <f>IF(R673&lt;'PlayerGrades+'!$AH$21,"F-",IF(R673&lt;'PlayerGrades+'!$AH$20,"F",IF(R673&lt;'PlayerGrades+'!$AH$19,"F+",IF(R673&lt;'PlayerGrades+'!$AH$18,"E-",IF(R673&lt;'PlayerGrades+'!$AH$17,"E",IF(R673&lt;'PlayerGrades+'!$AH$16,"E+",IF(R673&lt;'PlayerGrades+'!$AH$15,"D-",IF(R673&lt;'PlayerGrades+'!$AH$14,"D",IF(R673&lt;'PlayerGrades+'!$AH$13,"D+",IF(R673&lt;'PlayerGrades+'!$AH$12,"C-",IF(R673&lt;'PlayerGrades+'!$AH$11,"C",IF(R673&lt;'PlayerGrades+'!$AH$10,"C+",IF(R673&lt;'PlayerGrades+'!$AH$9,"B-",IF(R673&lt;'PlayerGrades+'!$AH$8,"B",IF(R673&lt;'PlayerGrades+'!$AH$7,"B+",IF(R673&lt;'PlayerGrades+'!$AH$6,"A-",IF(R673&lt;'PlayerGrades+'!$AH$5,"A",IF(R673&lt;'PlayerGrades+'!$AH$4,"A+",IF(R673&lt;'PlayerGrades+'!$AH$3,"S-",IF(R673&lt;'PlayerGrades+'!$AH$2,"S","S+"))))))))))))))))))))</f>
        <v>S</v>
      </c>
      <c r="T673" s="973">
        <f t="shared" si="9"/>
        <v>1.641221374</v>
      </c>
      <c r="U673" s="973" t="str">
        <f>IF(T673&lt;'PlayerGrades+'!$AI$21,"F-",IF(T673&lt;'PlayerGrades+'!$AI$20,"F",IF(T673&lt;'PlayerGrades+'!$AI$19,"F+",IF(T673&lt;'PlayerGrades+'!$AI$18,"E-",IF(T673&lt;'PlayerGrades+'!$AI$17,"E",IF(T673&lt;'PlayerGrades+'!$AI$16,"E+",IF(T673&lt;'PlayerGrades+'!$AI$15,"D-",IF(T673&lt;'PlayerGrades+'!$AI$14,"D",IF(T673&lt;'PlayerGrades+'!$AI$13,"D+",IF(T673&lt;'PlayerGrades+'!$AI$12,"C-",IF(T673&lt;'PlayerGrades+'!$AI$11,"C",IF(T673&lt;'PlayerGrades+'!$AI$10,"C+",IF(T673&lt;'PlayerGrades+'!$AI$9,"B-",IF(T673&lt;'PlayerGrades+'!$AI$8,"B",IF(T673&lt;'PlayerGrades+'!$AI$7,"B+",IF(T673&lt;'PlayerGrades+'!$AI$6,"A-",IF(T673&lt;'PlayerGrades+'!$AI$5,"A",IF(T673&lt;'PlayerGrades+'!$AI$4,"A+",IF(T673&lt;'PlayerGrades+'!$AI$3,"S-",IF(T673&lt;'PlayerGrades+'!$AI$2,"S","S+"))))))))))))))))))))</f>
        <v>S-</v>
      </c>
      <c r="V673" s="944">
        <v>1.0</v>
      </c>
      <c r="W673" s="944">
        <v>0.0</v>
      </c>
      <c r="X673" s="944">
        <v>1.0</v>
      </c>
      <c r="Y673" s="944">
        <v>0.0</v>
      </c>
      <c r="Z673" s="944">
        <v>0.0</v>
      </c>
      <c r="AA673" s="944">
        <v>204.0</v>
      </c>
      <c r="AB673" s="944">
        <v>143.0</v>
      </c>
      <c r="AC673" s="944">
        <v>61.0</v>
      </c>
      <c r="AD673" s="944">
        <v>12.0</v>
      </c>
      <c r="AE673" s="944">
        <v>9.0</v>
      </c>
      <c r="AF673" s="944">
        <v>2.0</v>
      </c>
      <c r="AG673" s="944">
        <v>2068.0</v>
      </c>
      <c r="AH673" s="944">
        <v>2620.0</v>
      </c>
      <c r="AI673" s="944">
        <v>14.0</v>
      </c>
      <c r="AJ673" s="944">
        <v>31.0</v>
      </c>
      <c r="AK673" s="944">
        <v>0.0</v>
      </c>
      <c r="AL673" s="944">
        <v>5.0</v>
      </c>
      <c r="AM673" s="944">
        <v>0.0</v>
      </c>
      <c r="AN673" s="944">
        <v>0.0</v>
      </c>
      <c r="AO673" s="944">
        <v>0.0</v>
      </c>
      <c r="AP673" s="944">
        <v>5.0</v>
      </c>
      <c r="AQ673" s="944">
        <v>0.0</v>
      </c>
      <c r="AR673" s="944">
        <v>37.0</v>
      </c>
      <c r="AS673" s="944">
        <v>3.0</v>
      </c>
      <c r="AT673" s="944">
        <v>0.0</v>
      </c>
      <c r="AU673" s="944">
        <v>0.0</v>
      </c>
      <c r="AV673" s="944">
        <v>0.0</v>
      </c>
      <c r="AW673" s="944">
        <v>0.0</v>
      </c>
      <c r="AX673" s="944">
        <v>0.0</v>
      </c>
      <c r="AY673" s="944">
        <v>0.0</v>
      </c>
      <c r="AZ673" s="944">
        <v>0.0</v>
      </c>
      <c r="BA673" s="944">
        <v>0.0</v>
      </c>
      <c r="BB673" s="944">
        <v>17.0</v>
      </c>
      <c r="BC673" s="944">
        <v>0.0</v>
      </c>
      <c r="BD673" s="944">
        <v>21.0</v>
      </c>
      <c r="BE673" s="944">
        <v>28.0</v>
      </c>
      <c r="BF673" s="944">
        <v>1.0</v>
      </c>
      <c r="BG673" s="944">
        <v>0.0</v>
      </c>
    </row>
    <row r="674">
      <c r="A674" s="946" t="s">
        <v>123</v>
      </c>
      <c r="B674" s="421" t="str">
        <f>IF(C674&lt;'PlayerGrades+'!$Y$44,"F-",IF(C674&lt;'PlayerGrades+'!$Y$43,"F",IF(C674&lt;'PlayerGrades+'!$Y$42,"F+",IF(C674&lt;'PlayerGrades+'!$Y$41,"E-",IF(C674&lt;'PlayerGrades+'!$Y$40,"E",IF(C674&lt;'PlayerGrades+'!$Y$39,"E+",IF(C674&lt;'PlayerGrades+'!$Y$38,"D-",IF(C674&lt;'PlayerGrades+'!$Y$37,"D",IF(C674&lt;'PlayerGrades+'!$Y$36,"D+",IF(C674&lt;'PlayerGrades+'!$Y$35,"C-",IF(C674&lt;'PlayerGrades+'!$Y$34,"C",IF(C674&lt;'PlayerGrades+'!$Y$33,"C+",IF(C674&lt;'PlayerGrades+'!$Y$32,"B-",IF(C674&lt;'PlayerGrades+'!$Y$31,"B",IF(C674&lt;'PlayerGrades+'!$Y$30,"B+",IF(C674&lt;'PlayerGrades+'!$Y$29,"A-",IF(C674&lt;'PlayerGrades+'!$Y$28,"A",IF(C674&lt;'PlayerGrades+'!$Y$27,"A+",IF(C674&lt;'PlayerGrades+'!$Y$26,"S-",IF(C674&lt;'PlayerGrades+'!$Y$25,"S","S+"))))))))))))))))))))</f>
        <v>A-</v>
      </c>
      <c r="C674" s="972">
        <f>('PlayerGrades+'!$Y$47*(VLOOKUP(E674, 'PlayerGrades+'!$X$3:$Y$23, 2, FALSE)))+('PlayerGrades+'!$Y$48*(VLOOKUP(G674, 'PlayerGrades+'!$X$3:$Y$23, 2, FALSE)))+('PlayerGrades+'!$Y$49*(VLOOKUP(I674, 'PlayerGrades+'!$X$3:$Y$23, 2, FALSE)))+('PlayerGrades+'!$Y$50*(VLOOKUP(K674, 'PlayerGrades+'!$X$3:$Y$23, 2, FALSE)))+('PlayerGrades+'!$Y$51*(VLOOKUP(M674, 'PlayerGrades+'!$X$3:$Y$23, 2, FALSE)))+('PlayerGrades+'!$Y$52*(VLOOKUP(O674, 'PlayerGrades+'!$X$3:$Y$23, 2, FALSE)))+('PlayerGrades+'!$Y$53*(VLOOKUP(Q674, 'PlayerGrades+'!$X$3:$Y$23, 2, FALSE)))+('PlayerGrades+'!$Y$54*(VLOOKUP(S674, 'PlayerGrades+'!$X$3:$Y$23, 2, FALSE)))+('PlayerGrades+'!$Y$55*(VLOOKUP(U674, 'PlayerGrades+'!$X$3:$Y$23, 2, FALSE)))</f>
        <v>24.5</v>
      </c>
      <c r="D674" s="973">
        <f t="shared" si="1"/>
        <v>0.9510086455</v>
      </c>
      <c r="E674" s="973" t="str">
        <f>IF(D674&lt;'PlayerGrades+'!$AA$21,"F-",IF(D674&lt;'PlayerGrades+'!$AA$20,"F",IF(D674&lt;'PlayerGrades+'!$AA$19,"F+",IF(D674&lt;'PlayerGrades+'!$AA$18,"E-",IF(D674&lt;'PlayerGrades+'!$AA$17,"E",IF(D674&lt;'PlayerGrades+'!$AA$16,"E+",IF(D674&lt;'PlayerGrades+'!$AA$15,"D-",IF(D674&lt;'PlayerGrades+'!$AA$14,"D",IF(D674&lt;'PlayerGrades+'!$AA$13,"D+",IF(D674&lt;'PlayerGrades+'!$AA$12,"C-",IF(D674&lt;'PlayerGrades+'!$AA$11,"C",IF(D674&lt;'PlayerGrades+'!$AA$10,"C+",IF(D674&lt;'PlayerGrades+'!$AA$9,"B-",IF(D674&lt;'PlayerGrades+'!$AA$8,"B",IF(D674&lt;'PlayerGrades+'!$AA$7,"B+",IF(D674&lt;'PlayerGrades+'!$AA$6,"A-",IF(D674&lt;'PlayerGrades+'!$AA$5,"A",IF(D674&lt;'PlayerGrades+'!$AA$4,"A+",IF(D674&lt;'PlayerGrades+'!$AA$3,"S-",IF(D674&lt;'PlayerGrades+'!$AA$2,"S","S+"))))))))))))))))))))</f>
        <v>S+</v>
      </c>
      <c r="F674" s="973">
        <f t="shared" si="2"/>
        <v>0.8645533141</v>
      </c>
      <c r="G674" s="973" t="str">
        <f>IF(F674&lt;'PlayerGrades+'!$AB$21,"F-",IF(F674&lt;'PlayerGrades+'!$AB$20,"F",IF(F674&lt;'PlayerGrades+'!$AB$19,"F+",IF(F674&lt;'PlayerGrades+'!$AB$18,"E-",IF(F674&lt;'PlayerGrades+'!$AB$17,"E",IF(F674&lt;'PlayerGrades+'!$AB$16,"E+",IF(F674&lt;'PlayerGrades+'!$AB$15,"D-",IF(F674&lt;'PlayerGrades+'!$AB$14,"D",IF(F674&lt;'PlayerGrades+'!$AB$13,"D+",IF(F674&lt;'PlayerGrades+'!$AB$12,"C-",IF(F674&lt;'PlayerGrades+'!$AB$11,"C",IF(F674&lt;'PlayerGrades+'!$AB$10,"C+",IF(F674&lt;'PlayerGrades+'!$AB$9,"B-",IF(F674&lt;'PlayerGrades+'!$AB$8,"B",IF(F674&lt;'PlayerGrades+'!$AB$7,"B+",IF(F674&lt;'PlayerGrades+'!$AB$6,"A-",IF(F674&lt;'PlayerGrades+'!$AB$5,"A",IF(F674&lt;'PlayerGrades+'!$AB$4,"A+",IF(F674&lt;'PlayerGrades+'!$AB$3,"S-",IF(F674&lt;'PlayerGrades+'!$AB$2,"S","S+"))))))))))))))))))))</f>
        <v>S</v>
      </c>
      <c r="H674" s="973">
        <f t="shared" si="3"/>
        <v>0</v>
      </c>
      <c r="I674" s="973" t="str">
        <f>IF(H674&lt;'PlayerGrades+'!$AC$21,"F-",IF(H674&lt;'PlayerGrades+'!$AC$20,"F",IF(H674&lt;'PlayerGrades+'!$AC$19,"F+",IF(H674&lt;'PlayerGrades+'!$AC$18,"E-",IF(H674&lt;'PlayerGrades+'!$AC$17,"E",IF(H674&lt;'PlayerGrades+'!$AC$16,"E+",IF(H674&lt;'PlayerGrades+'!$AC$15,"D-",IF(H674&lt;'PlayerGrades+'!$AC$14,"D",IF(H674&lt;'PlayerGrades+'!$AC$13,"D+",IF(H674&lt;'PlayerGrades+'!$AC$12,"C-",IF(H674&lt;'PlayerGrades+'!$AC$11,"C",IF(H674&lt;'PlayerGrades+'!$AC$10,"C+",IF(H674&lt;'PlayerGrades+'!$AC$9,"B-",IF(H674&lt;'PlayerGrades+'!$AC$8,"B",IF(H674&lt;'PlayerGrades+'!$AC$7,"B+",IF(H674&lt;'PlayerGrades+'!$AC$6,"A-",IF(H674&lt;'PlayerGrades+'!$AC$5,"A",IF(H674&lt;'PlayerGrades+'!$AC$4,"A+",IF(H674&lt;'PlayerGrades+'!$AC$3,"S-",IF(H674&lt;'PlayerGrades+'!$AC$2,"S","S+"))))))))))))))))))))</f>
        <v>F-</v>
      </c>
      <c r="J674" s="973">
        <f t="shared" si="4"/>
        <v>0.1296829971</v>
      </c>
      <c r="K674" s="973" t="str">
        <f>IF(J674&lt;'PlayerGrades+'!$AD$21,"F-",IF(J674&lt;'PlayerGrades+'!$AD$20,"F",IF(J674&lt;'PlayerGrades+'!$AD$19,"F+",IF(J674&lt;'PlayerGrades+'!$AD$18,"E-",IF(J674&lt;'PlayerGrades+'!$AD$17,"E",IF(J674&lt;'PlayerGrades+'!$AD$16,"E+",IF(J674&lt;'PlayerGrades+'!$AD$15,"D-",IF(J674&lt;'PlayerGrades+'!$AD$14,"D",IF(J674&lt;'PlayerGrades+'!$AD$13,"D+",IF(J674&lt;'PlayerGrades+'!$AD$12,"C-",IF(J674&lt;'PlayerGrades+'!$AD$11,"C",IF(J674&lt;'PlayerGrades+'!$AD$10,"C+",IF(J674&lt;'PlayerGrades+'!$AD$9,"B-",IF(J674&lt;'PlayerGrades+'!$AD$8,"B",IF(J674&lt;'PlayerGrades+'!$AD$7,"B+",IF(J674&lt;'PlayerGrades+'!$AD$6,"A-",IF(J674&lt;'PlayerGrades+'!$AD$5,"A",IF(J674&lt;'PlayerGrades+'!$AD$4,"A+",IF(J674&lt;'PlayerGrades+'!$AD$3,"S-",IF(J674&lt;'PlayerGrades+'!$AD$2,"S","S+"))))))))))))))))))))</f>
        <v>S+</v>
      </c>
      <c r="L674" s="974">
        <f t="shared" si="5"/>
        <v>0.3025936599</v>
      </c>
      <c r="M674" s="975" t="str">
        <f>IF(L674&lt;'PlayerGrades+'!$AE$21,"F-",IF(L674&lt;'PlayerGrades+'!$AE$20,"F",IF(L674&lt;'PlayerGrades+'!$AE$19,"F+",IF(L674&lt;'PlayerGrades+'!$AE$18,"E-",IF(L674&lt;'PlayerGrades+'!$AE$17,"E",IF(L674&lt;'PlayerGrades+'!$AE$16,"E+",IF(L674&lt;'PlayerGrades+'!$AE$15,"D-",IF(L674&lt;'PlayerGrades+'!$AE$14,"D",IF(L674&lt;'PlayerGrades+'!$AE$13,"D+",IF(L674&lt;'PlayerGrades+'!$AE$12,"C-",IF(L674&lt;'PlayerGrades+'!$AE$11,"C",IF(L674&lt;'PlayerGrades+'!$AE$10,"C+",IF(L674&lt;'PlayerGrades+'!$AE$9,"B-",IF(L674&lt;'PlayerGrades+'!$AE$8,"B",IF(L674&lt;'PlayerGrades+'!$AE$7,"B+",IF(L674&lt;'PlayerGrades+'!$AE$6,"A-",IF(L674&lt;'PlayerGrades+'!$AE$5,"A",IF(L674&lt;'PlayerGrades+'!$AE$4,"A+",IF(L674&lt;'PlayerGrades+'!$AE$3,"S-",IF(L674&lt;'PlayerGrades+'!$AE$2,"S","S+"))))))))))))))))))))</f>
        <v>E-</v>
      </c>
      <c r="N674" s="973">
        <f t="shared" si="6"/>
        <v>0.08645533141</v>
      </c>
      <c r="O674" s="973" t="str">
        <f>IF(N674&lt;'PlayerGrades+'!$AF$21,"F-",IF(N674&lt;'PlayerGrades+'!$AF$20,"F",IF(N674&lt;'PlayerGrades+'!$AF$19,"F+",IF(N674&lt;'PlayerGrades+'!$AF$18,"E-",IF(N674&lt;'PlayerGrades+'!$AF$17,"E",IF(N674&lt;'PlayerGrades+'!$AF$16,"E+",IF(N674&lt;'PlayerGrades+'!$AF$15,"D-",IF(N674&lt;'PlayerGrades+'!$AF$14,"D",IF(N674&lt;'PlayerGrades+'!$AF$13,"D+",IF(N674&lt;'PlayerGrades+'!$AF$12,"C-",IF(N674&lt;'PlayerGrades+'!$AF$11,"C",IF(N674&lt;'PlayerGrades+'!$AF$10,"C+",IF(N674&lt;'PlayerGrades+'!$AF$9,"B-",IF(N674&lt;'PlayerGrades+'!$AF$8,"B",IF(N674&lt;'PlayerGrades+'!$AF$7,"B+",IF(N674&lt;'PlayerGrades+'!$AF$6,"A-",IF(N674&lt;'PlayerGrades+'!$AF$5,"A",IF(N674&lt;'PlayerGrades+'!$AF$4,"A+",IF(N674&lt;'PlayerGrades+'!$AF$3,"S-",IF(N674&lt;'PlayerGrades+'!$AF$2,"S","S+"))))))))))))))))))))</f>
        <v>B</v>
      </c>
      <c r="P674" s="973">
        <f t="shared" si="7"/>
        <v>0</v>
      </c>
      <c r="Q674" s="973" t="str">
        <f>IF(P674&lt;'PlayerGrades+'!$AG$21,"F-",IF(P674&lt;'PlayerGrades+'!$AG$20,"F",IF(P674&lt;'PlayerGrades+'!$AG$19,"F+",IF(P674&lt;'PlayerGrades+'!$AG$18,"E-",IF(P674&lt;'PlayerGrades+'!$AG$17,"E",IF(P674&lt;'PlayerGrades+'!$AG$16,"E+",IF(P674&lt;'PlayerGrades+'!$AG$15,"D-",IF(P674&lt;'PlayerGrades+'!$AG$14,"D",IF(P674&lt;'PlayerGrades+'!$AG$13,"D+",IF(P674&lt;'PlayerGrades+'!$AG$12,"C-",IF(P674&lt;'PlayerGrades+'!$AG$11,"C",IF(P674&lt;'PlayerGrades+'!$AG$10,"C+",IF(P674&lt;'PlayerGrades+'!$AG$9,"B-",IF(P674&lt;'PlayerGrades+'!$AG$8,"B",IF(P674&lt;'PlayerGrades+'!$AG$7,"B+",IF(P674&lt;'PlayerGrades+'!$AG$6,"A-",IF(P674&lt;'PlayerGrades+'!$AG$5,"A",IF(P674&lt;'PlayerGrades+'!$AG$4,"A+",IF(P674&lt;'PlayerGrades+'!$AG$3,"S-",IF(P674&lt;'PlayerGrades+'!$AG$2,"S","S+"))))))))))))))))))))</f>
        <v>F</v>
      </c>
      <c r="R674" s="973">
        <f t="shared" si="8"/>
        <v>0.6051873199</v>
      </c>
      <c r="S674" s="973" t="str">
        <f>IF(R674&lt;'PlayerGrades+'!$AH$21,"F-",IF(R674&lt;'PlayerGrades+'!$AH$20,"F",IF(R674&lt;'PlayerGrades+'!$AH$19,"F+",IF(R674&lt;'PlayerGrades+'!$AH$18,"E-",IF(R674&lt;'PlayerGrades+'!$AH$17,"E",IF(R674&lt;'PlayerGrades+'!$AH$16,"E+",IF(R674&lt;'PlayerGrades+'!$AH$15,"D-",IF(R674&lt;'PlayerGrades+'!$AH$14,"D",IF(R674&lt;'PlayerGrades+'!$AH$13,"D+",IF(R674&lt;'PlayerGrades+'!$AH$12,"C-",IF(R674&lt;'PlayerGrades+'!$AH$11,"C",IF(R674&lt;'PlayerGrades+'!$AH$10,"C+",IF(R674&lt;'PlayerGrades+'!$AH$9,"B-",IF(R674&lt;'PlayerGrades+'!$AH$8,"B",IF(R674&lt;'PlayerGrades+'!$AH$7,"B+",IF(R674&lt;'PlayerGrades+'!$AH$6,"A-",IF(R674&lt;'PlayerGrades+'!$AH$5,"A",IF(R674&lt;'PlayerGrades+'!$AH$4,"A+",IF(R674&lt;'PlayerGrades+'!$AH$3,"S-",IF(R674&lt;'PlayerGrades+'!$AH$2,"S","S+"))))))))))))))))))))</f>
        <v>A-</v>
      </c>
      <c r="T674" s="973">
        <f t="shared" si="9"/>
        <v>2.389048991</v>
      </c>
      <c r="U674" s="973" t="str">
        <f>IF(T674&lt;'PlayerGrades+'!$AI$21,"F-",IF(T674&lt;'PlayerGrades+'!$AI$20,"F",IF(T674&lt;'PlayerGrades+'!$AI$19,"F+",IF(T674&lt;'PlayerGrades+'!$AI$18,"E-",IF(T674&lt;'PlayerGrades+'!$AI$17,"E",IF(T674&lt;'PlayerGrades+'!$AI$16,"E+",IF(T674&lt;'PlayerGrades+'!$AI$15,"D-",IF(T674&lt;'PlayerGrades+'!$AI$14,"D",IF(T674&lt;'PlayerGrades+'!$AI$13,"D+",IF(T674&lt;'PlayerGrades+'!$AI$12,"C-",IF(T674&lt;'PlayerGrades+'!$AI$11,"C",IF(T674&lt;'PlayerGrades+'!$AI$10,"C+",IF(T674&lt;'PlayerGrades+'!$AI$9,"B-",IF(T674&lt;'PlayerGrades+'!$AI$8,"B",IF(T674&lt;'PlayerGrades+'!$AI$7,"B+",IF(T674&lt;'PlayerGrades+'!$AI$6,"A-",IF(T674&lt;'PlayerGrades+'!$AI$5,"A",IF(T674&lt;'PlayerGrades+'!$AI$4,"A+",IF(T674&lt;'PlayerGrades+'!$AI$3,"S-",IF(T674&lt;'PlayerGrades+'!$AI$2,"S","S+"))))))))))))))))))))</f>
        <v>S+</v>
      </c>
      <c r="V674" s="939">
        <v>1.0</v>
      </c>
      <c r="W674" s="939">
        <v>1.0</v>
      </c>
      <c r="X674" s="939">
        <v>0.0</v>
      </c>
      <c r="Y674" s="939">
        <v>4.0</v>
      </c>
      <c r="Z674" s="939">
        <v>18.0</v>
      </c>
      <c r="AA674" s="939">
        <v>65.0</v>
      </c>
      <c r="AB674" s="939">
        <v>45.0</v>
      </c>
      <c r="AC674" s="939">
        <v>20.0</v>
      </c>
      <c r="AD674" s="939">
        <v>2.0</v>
      </c>
      <c r="AE674" s="939">
        <v>8.0</v>
      </c>
      <c r="AF674" s="939">
        <v>1.0</v>
      </c>
      <c r="AG674" s="939">
        <v>1186.0</v>
      </c>
      <c r="AH674" s="939">
        <v>1388.0</v>
      </c>
      <c r="AI674" s="939">
        <v>26.0</v>
      </c>
      <c r="AJ674" s="939">
        <v>532.0</v>
      </c>
      <c r="AK674" s="939">
        <v>0.0</v>
      </c>
      <c r="AL674" s="939">
        <v>3.0</v>
      </c>
      <c r="AM674" s="939">
        <v>0.0</v>
      </c>
      <c r="AN674" s="939">
        <v>0.0</v>
      </c>
      <c r="AO674" s="939">
        <v>0.0</v>
      </c>
      <c r="AP674" s="939">
        <v>0.0</v>
      </c>
      <c r="AQ674" s="939">
        <v>0.0</v>
      </c>
      <c r="AR674" s="939">
        <v>7.0</v>
      </c>
      <c r="AS674" s="939">
        <v>2.0</v>
      </c>
      <c r="AT674" s="939">
        <v>0.0</v>
      </c>
      <c r="AU674" s="939">
        <v>0.0</v>
      </c>
      <c r="AV674" s="939">
        <v>0.0</v>
      </c>
      <c r="AW674" s="939">
        <v>0.0</v>
      </c>
      <c r="AX674" s="939">
        <v>0.0</v>
      </c>
      <c r="AY674" s="939">
        <v>0.0</v>
      </c>
      <c r="AZ674" s="939">
        <v>0.0</v>
      </c>
      <c r="BA674" s="939">
        <v>0.0</v>
      </c>
      <c r="BB674" s="939">
        <v>0.0</v>
      </c>
      <c r="BC674" s="939">
        <v>0.0</v>
      </c>
      <c r="BD674" s="939">
        <v>12.0</v>
      </c>
      <c r="BE674" s="939">
        <v>9.0</v>
      </c>
      <c r="BF674" s="939">
        <v>2.0</v>
      </c>
      <c r="BG674" s="940">
        <v>1.0</v>
      </c>
    </row>
    <row r="675">
      <c r="A675" s="935" t="s">
        <v>145</v>
      </c>
      <c r="B675" s="421" t="str">
        <f>IF(C675&lt;'PlayerGrades+'!$Y$44,"F-",IF(C675&lt;'PlayerGrades+'!$Y$43,"F",IF(C675&lt;'PlayerGrades+'!$Y$42,"F+",IF(C675&lt;'PlayerGrades+'!$Y$41,"E-",IF(C675&lt;'PlayerGrades+'!$Y$40,"E",IF(C675&lt;'PlayerGrades+'!$Y$39,"E+",IF(C675&lt;'PlayerGrades+'!$Y$38,"D-",IF(C675&lt;'PlayerGrades+'!$Y$37,"D",IF(C675&lt;'PlayerGrades+'!$Y$36,"D+",IF(C675&lt;'PlayerGrades+'!$Y$35,"C-",IF(C675&lt;'PlayerGrades+'!$Y$34,"C",IF(C675&lt;'PlayerGrades+'!$Y$33,"C+",IF(C675&lt;'PlayerGrades+'!$Y$32,"B-",IF(C675&lt;'PlayerGrades+'!$Y$31,"B",IF(C675&lt;'PlayerGrades+'!$Y$30,"B+",IF(C675&lt;'PlayerGrades+'!$Y$29,"A-",IF(C675&lt;'PlayerGrades+'!$Y$28,"A",IF(C675&lt;'PlayerGrades+'!$Y$27,"A+",IF(C675&lt;'PlayerGrades+'!$Y$26,"S-",IF(C675&lt;'PlayerGrades+'!$Y$25,"S","S+"))))))))))))))))))))</f>
        <v>S</v>
      </c>
      <c r="C675" s="972">
        <f>('PlayerGrades+'!$Y$47*(VLOOKUP(E675, 'PlayerGrades+'!$X$3:$Y$23, 2, FALSE)))+('PlayerGrades+'!$Y$48*(VLOOKUP(G675, 'PlayerGrades+'!$X$3:$Y$23, 2, FALSE)))+('PlayerGrades+'!$Y$49*(VLOOKUP(I675, 'PlayerGrades+'!$X$3:$Y$23, 2, FALSE)))+('PlayerGrades+'!$Y$50*(VLOOKUP(K675, 'PlayerGrades+'!$X$3:$Y$23, 2, FALSE)))+('PlayerGrades+'!$Y$51*(VLOOKUP(M675, 'PlayerGrades+'!$X$3:$Y$23, 2, FALSE)))+('PlayerGrades+'!$Y$52*(VLOOKUP(O675, 'PlayerGrades+'!$X$3:$Y$23, 2, FALSE)))+('PlayerGrades+'!$Y$53*(VLOOKUP(Q675, 'PlayerGrades+'!$X$3:$Y$23, 2, FALSE)))+('PlayerGrades+'!$Y$54*(VLOOKUP(S675, 'PlayerGrades+'!$X$3:$Y$23, 2, FALSE)))+('PlayerGrades+'!$Y$55*(VLOOKUP(U675, 'PlayerGrades+'!$X$3:$Y$23, 2, FALSE)))</f>
        <v>31.55</v>
      </c>
      <c r="D675" s="973">
        <f t="shared" si="1"/>
        <v>0.04322766571</v>
      </c>
      <c r="E675" s="973" t="str">
        <f>IF(D675&lt;'PlayerGrades+'!$AA$21,"F-",IF(D675&lt;'PlayerGrades+'!$AA$20,"F",IF(D675&lt;'PlayerGrades+'!$AA$19,"F+",IF(D675&lt;'PlayerGrades+'!$AA$18,"E-",IF(D675&lt;'PlayerGrades+'!$AA$17,"E",IF(D675&lt;'PlayerGrades+'!$AA$16,"E+",IF(D675&lt;'PlayerGrades+'!$AA$15,"D-",IF(D675&lt;'PlayerGrades+'!$AA$14,"D",IF(D675&lt;'PlayerGrades+'!$AA$13,"D+",IF(D675&lt;'PlayerGrades+'!$AA$12,"C-",IF(D675&lt;'PlayerGrades+'!$AA$11,"C",IF(D675&lt;'PlayerGrades+'!$AA$10,"C+",IF(D675&lt;'PlayerGrades+'!$AA$9,"B-",IF(D675&lt;'PlayerGrades+'!$AA$8,"B",IF(D675&lt;'PlayerGrades+'!$AA$7,"B+",IF(D675&lt;'PlayerGrades+'!$AA$6,"A-",IF(D675&lt;'PlayerGrades+'!$AA$5,"A",IF(D675&lt;'PlayerGrades+'!$AA$4,"A+",IF(D675&lt;'PlayerGrades+'!$AA$3,"S-",IF(D675&lt;'PlayerGrades+'!$AA$2,"S","S+"))))))))))))))))))))</f>
        <v>C</v>
      </c>
      <c r="F675" s="973">
        <f t="shared" si="2"/>
        <v>0.734870317</v>
      </c>
      <c r="G675" s="973" t="str">
        <f>IF(F675&lt;'PlayerGrades+'!$AB$21,"F-",IF(F675&lt;'PlayerGrades+'!$AB$20,"F",IF(F675&lt;'PlayerGrades+'!$AB$19,"F+",IF(F675&lt;'PlayerGrades+'!$AB$18,"E-",IF(F675&lt;'PlayerGrades+'!$AB$17,"E",IF(F675&lt;'PlayerGrades+'!$AB$16,"E+",IF(F675&lt;'PlayerGrades+'!$AB$15,"D-",IF(F675&lt;'PlayerGrades+'!$AB$14,"D",IF(F675&lt;'PlayerGrades+'!$AB$13,"D+",IF(F675&lt;'PlayerGrades+'!$AB$12,"C-",IF(F675&lt;'PlayerGrades+'!$AB$11,"C",IF(F675&lt;'PlayerGrades+'!$AB$10,"C+",IF(F675&lt;'PlayerGrades+'!$AB$9,"B-",IF(F675&lt;'PlayerGrades+'!$AB$8,"B",IF(F675&lt;'PlayerGrades+'!$AB$7,"B+",IF(F675&lt;'PlayerGrades+'!$AB$6,"A-",IF(F675&lt;'PlayerGrades+'!$AB$5,"A",IF(F675&lt;'PlayerGrades+'!$AB$4,"A+",IF(F675&lt;'PlayerGrades+'!$AB$3,"S-",IF(F675&lt;'PlayerGrades+'!$AB$2,"S","S+"))))))))))))))))))))</f>
        <v>S</v>
      </c>
      <c r="H675" s="973">
        <f t="shared" si="3"/>
        <v>0.08645533141</v>
      </c>
      <c r="I675" s="973" t="str">
        <f>IF(H675&lt;'PlayerGrades+'!$AC$21,"F-",IF(H675&lt;'PlayerGrades+'!$AC$20,"F",IF(H675&lt;'PlayerGrades+'!$AC$19,"F+",IF(H675&lt;'PlayerGrades+'!$AC$18,"E-",IF(H675&lt;'PlayerGrades+'!$AC$17,"E",IF(H675&lt;'PlayerGrades+'!$AC$16,"E+",IF(H675&lt;'PlayerGrades+'!$AC$15,"D-",IF(H675&lt;'PlayerGrades+'!$AC$14,"D",IF(H675&lt;'PlayerGrades+'!$AC$13,"D+",IF(H675&lt;'PlayerGrades+'!$AC$12,"C-",IF(H675&lt;'PlayerGrades+'!$AC$11,"C",IF(H675&lt;'PlayerGrades+'!$AC$10,"C+",IF(H675&lt;'PlayerGrades+'!$AC$9,"B-",IF(H675&lt;'PlayerGrades+'!$AC$8,"B",IF(H675&lt;'PlayerGrades+'!$AC$7,"B+",IF(H675&lt;'PlayerGrades+'!$AC$6,"A-",IF(H675&lt;'PlayerGrades+'!$AC$5,"A",IF(H675&lt;'PlayerGrades+'!$AC$4,"A+",IF(H675&lt;'PlayerGrades+'!$AC$3,"S-",IF(H675&lt;'PlayerGrades+'!$AC$2,"S","S+"))))))))))))))))))))</f>
        <v>D-</v>
      </c>
      <c r="J675" s="973">
        <f t="shared" si="4"/>
        <v>0.1296829971</v>
      </c>
      <c r="K675" s="973" t="str">
        <f>IF(J675&lt;'PlayerGrades+'!$AD$21,"F-",IF(J675&lt;'PlayerGrades+'!$AD$20,"F",IF(J675&lt;'PlayerGrades+'!$AD$19,"F+",IF(J675&lt;'PlayerGrades+'!$AD$18,"E-",IF(J675&lt;'PlayerGrades+'!$AD$17,"E",IF(J675&lt;'PlayerGrades+'!$AD$16,"E+",IF(J675&lt;'PlayerGrades+'!$AD$15,"D-",IF(J675&lt;'PlayerGrades+'!$AD$14,"D",IF(J675&lt;'PlayerGrades+'!$AD$13,"D+",IF(J675&lt;'PlayerGrades+'!$AD$12,"C-",IF(J675&lt;'PlayerGrades+'!$AD$11,"C",IF(J675&lt;'PlayerGrades+'!$AD$10,"C+",IF(J675&lt;'PlayerGrades+'!$AD$9,"B-",IF(J675&lt;'PlayerGrades+'!$AD$8,"B",IF(J675&lt;'PlayerGrades+'!$AD$7,"B+",IF(J675&lt;'PlayerGrades+'!$AD$6,"A-",IF(J675&lt;'PlayerGrades+'!$AD$5,"A",IF(J675&lt;'PlayerGrades+'!$AD$4,"A+",IF(J675&lt;'PlayerGrades+'!$AD$3,"S-",IF(J675&lt;'PlayerGrades+'!$AD$2,"S","S+"))))))))))))))))))))</f>
        <v>S+</v>
      </c>
      <c r="L675" s="974">
        <f t="shared" si="5"/>
        <v>0.7780979827</v>
      </c>
      <c r="M675" s="975" t="str">
        <f>IF(L675&lt;'PlayerGrades+'!$AE$21,"F-",IF(L675&lt;'PlayerGrades+'!$AE$20,"F",IF(L675&lt;'PlayerGrades+'!$AE$19,"F+",IF(L675&lt;'PlayerGrades+'!$AE$18,"E-",IF(L675&lt;'PlayerGrades+'!$AE$17,"E",IF(L675&lt;'PlayerGrades+'!$AE$16,"E+",IF(L675&lt;'PlayerGrades+'!$AE$15,"D-",IF(L675&lt;'PlayerGrades+'!$AE$14,"D",IF(L675&lt;'PlayerGrades+'!$AE$13,"D+",IF(L675&lt;'PlayerGrades+'!$AE$12,"C-",IF(L675&lt;'PlayerGrades+'!$AE$11,"C",IF(L675&lt;'PlayerGrades+'!$AE$10,"C+",IF(L675&lt;'PlayerGrades+'!$AE$9,"B-",IF(L675&lt;'PlayerGrades+'!$AE$8,"B",IF(L675&lt;'PlayerGrades+'!$AE$7,"B+",IF(L675&lt;'PlayerGrades+'!$AE$6,"A-",IF(L675&lt;'PlayerGrades+'!$AE$5,"A",IF(L675&lt;'PlayerGrades+'!$AE$4,"A+",IF(L675&lt;'PlayerGrades+'!$AE$3,"S-",IF(L675&lt;'PlayerGrades+'!$AE$2,"S","S+"))))))))))))))))))))</f>
        <v>S+</v>
      </c>
      <c r="N675" s="973">
        <f t="shared" si="6"/>
        <v>0.1729106628</v>
      </c>
      <c r="O675" s="973" t="str">
        <f>IF(N675&lt;'PlayerGrades+'!$AF$21,"F-",IF(N675&lt;'PlayerGrades+'!$AF$20,"F",IF(N675&lt;'PlayerGrades+'!$AF$19,"F+",IF(N675&lt;'PlayerGrades+'!$AF$18,"E-",IF(N675&lt;'PlayerGrades+'!$AF$17,"E",IF(N675&lt;'PlayerGrades+'!$AF$16,"E+",IF(N675&lt;'PlayerGrades+'!$AF$15,"D-",IF(N675&lt;'PlayerGrades+'!$AF$14,"D",IF(N675&lt;'PlayerGrades+'!$AF$13,"D+",IF(N675&lt;'PlayerGrades+'!$AF$12,"C-",IF(N675&lt;'PlayerGrades+'!$AF$11,"C",IF(N675&lt;'PlayerGrades+'!$AF$10,"C+",IF(N675&lt;'PlayerGrades+'!$AF$9,"B-",IF(N675&lt;'PlayerGrades+'!$AF$8,"B",IF(N675&lt;'PlayerGrades+'!$AF$7,"B+",IF(N675&lt;'PlayerGrades+'!$AF$6,"A-",IF(N675&lt;'PlayerGrades+'!$AF$5,"A",IF(N675&lt;'PlayerGrades+'!$AF$4,"A+",IF(N675&lt;'PlayerGrades+'!$AF$3,"S-",IF(N675&lt;'PlayerGrades+'!$AF$2,"S","S+"))))))))))))))))))))</f>
        <v>S+</v>
      </c>
      <c r="P675" s="973">
        <f t="shared" si="7"/>
        <v>0.1296829971</v>
      </c>
      <c r="Q675" s="973" t="str">
        <f>IF(P675&lt;'PlayerGrades+'!$AG$21,"F-",IF(P675&lt;'PlayerGrades+'!$AG$20,"F",IF(P675&lt;'PlayerGrades+'!$AG$19,"F+",IF(P675&lt;'PlayerGrades+'!$AG$18,"E-",IF(P675&lt;'PlayerGrades+'!$AG$17,"E",IF(P675&lt;'PlayerGrades+'!$AG$16,"E+",IF(P675&lt;'PlayerGrades+'!$AG$15,"D-",IF(P675&lt;'PlayerGrades+'!$AG$14,"D",IF(P675&lt;'PlayerGrades+'!$AG$13,"D+",IF(P675&lt;'PlayerGrades+'!$AG$12,"C-",IF(P675&lt;'PlayerGrades+'!$AG$11,"C",IF(P675&lt;'PlayerGrades+'!$AG$10,"C+",IF(P675&lt;'PlayerGrades+'!$AG$9,"B-",IF(P675&lt;'PlayerGrades+'!$AG$8,"B",IF(P675&lt;'PlayerGrades+'!$AG$7,"B+",IF(P675&lt;'PlayerGrades+'!$AG$6,"A-",IF(P675&lt;'PlayerGrades+'!$AG$5,"A",IF(P675&lt;'PlayerGrades+'!$AG$4,"A+",IF(P675&lt;'PlayerGrades+'!$AG$3,"S-",IF(P675&lt;'PlayerGrades+'!$AG$2,"S","S+"))))))))))))))))))))</f>
        <v>S+</v>
      </c>
      <c r="R675" s="973">
        <f t="shared" si="8"/>
        <v>0.9510086455</v>
      </c>
      <c r="S675" s="973" t="str">
        <f>IF(R675&lt;'PlayerGrades+'!$AH$21,"F-",IF(R675&lt;'PlayerGrades+'!$AH$20,"F",IF(R675&lt;'PlayerGrades+'!$AH$19,"F+",IF(R675&lt;'PlayerGrades+'!$AH$18,"E-",IF(R675&lt;'PlayerGrades+'!$AH$17,"E",IF(R675&lt;'PlayerGrades+'!$AH$16,"E+",IF(R675&lt;'PlayerGrades+'!$AH$15,"D-",IF(R675&lt;'PlayerGrades+'!$AH$14,"D",IF(R675&lt;'PlayerGrades+'!$AH$13,"D+",IF(R675&lt;'PlayerGrades+'!$AH$12,"C-",IF(R675&lt;'PlayerGrades+'!$AH$11,"C",IF(R675&lt;'PlayerGrades+'!$AH$10,"C+",IF(R675&lt;'PlayerGrades+'!$AH$9,"B-",IF(R675&lt;'PlayerGrades+'!$AH$8,"B",IF(R675&lt;'PlayerGrades+'!$AH$7,"B+",IF(R675&lt;'PlayerGrades+'!$AH$6,"A-",IF(R675&lt;'PlayerGrades+'!$AH$5,"A",IF(R675&lt;'PlayerGrades+'!$AH$4,"A+",IF(R675&lt;'PlayerGrades+'!$AH$3,"S-",IF(R675&lt;'PlayerGrades+'!$AH$2,"S","S+"))))))))))))))))))))</f>
        <v>S+</v>
      </c>
      <c r="T675" s="973">
        <f t="shared" si="9"/>
        <v>1.345821326</v>
      </c>
      <c r="U675" s="973" t="str">
        <f>IF(T675&lt;'PlayerGrades+'!$AI$21,"F-",IF(T675&lt;'PlayerGrades+'!$AI$20,"F",IF(T675&lt;'PlayerGrades+'!$AI$19,"F+",IF(T675&lt;'PlayerGrades+'!$AI$18,"E-",IF(T675&lt;'PlayerGrades+'!$AI$17,"E",IF(T675&lt;'PlayerGrades+'!$AI$16,"E+",IF(T675&lt;'PlayerGrades+'!$AI$15,"D-",IF(T675&lt;'PlayerGrades+'!$AI$14,"D",IF(T675&lt;'PlayerGrades+'!$AI$13,"D+",IF(T675&lt;'PlayerGrades+'!$AI$12,"C-",IF(T675&lt;'PlayerGrades+'!$AI$11,"C",IF(T675&lt;'PlayerGrades+'!$AI$10,"C+",IF(T675&lt;'PlayerGrades+'!$AI$9,"B-",IF(T675&lt;'PlayerGrades+'!$AI$8,"B",IF(T675&lt;'PlayerGrades+'!$AI$7,"B+",IF(T675&lt;'PlayerGrades+'!$AI$6,"A-",IF(T675&lt;'PlayerGrades+'!$AI$5,"A",IF(T675&lt;'PlayerGrades+'!$AI$4,"A+",IF(T675&lt;'PlayerGrades+'!$AI$3,"S-",IF(T675&lt;'PlayerGrades+'!$AI$2,"S","S+"))))))))))))))))))))</f>
        <v>B-</v>
      </c>
      <c r="V675" s="941">
        <v>1.0</v>
      </c>
      <c r="W675" s="941">
        <v>1.0</v>
      </c>
      <c r="X675" s="941">
        <v>0.0</v>
      </c>
      <c r="Y675" s="941">
        <v>1.0</v>
      </c>
      <c r="Z675" s="941">
        <v>0.0</v>
      </c>
      <c r="AA675" s="941">
        <v>94.0</v>
      </c>
      <c r="AB675" s="941">
        <v>77.0</v>
      </c>
      <c r="AC675" s="941">
        <v>17.0</v>
      </c>
      <c r="AD675" s="941">
        <v>8.0</v>
      </c>
      <c r="AE675" s="941">
        <v>6.0</v>
      </c>
      <c r="AF675" s="941">
        <v>0.0</v>
      </c>
      <c r="AG675" s="941">
        <v>1089.0</v>
      </c>
      <c r="AH675" s="941">
        <v>1388.0</v>
      </c>
      <c r="AI675" s="941">
        <v>14.0</v>
      </c>
      <c r="AJ675" s="941">
        <v>7.0</v>
      </c>
      <c r="AK675" s="941">
        <v>0.0</v>
      </c>
      <c r="AL675" s="941">
        <v>3.0</v>
      </c>
      <c r="AM675" s="941">
        <v>0.0</v>
      </c>
      <c r="AN675" s="941">
        <v>0.0</v>
      </c>
      <c r="AO675" s="941">
        <v>0.0</v>
      </c>
      <c r="AP675" s="941">
        <v>3.0</v>
      </c>
      <c r="AQ675" s="941">
        <v>0.0</v>
      </c>
      <c r="AR675" s="941">
        <v>18.0</v>
      </c>
      <c r="AS675" s="941">
        <v>4.0</v>
      </c>
      <c r="AT675" s="941">
        <v>2.0</v>
      </c>
      <c r="AU675" s="941">
        <v>1.0</v>
      </c>
      <c r="AV675" s="941">
        <v>0.0</v>
      </c>
      <c r="AW675" s="941">
        <v>0.0</v>
      </c>
      <c r="AX675" s="941">
        <v>0.0</v>
      </c>
      <c r="AY675" s="941">
        <v>0.0</v>
      </c>
      <c r="AZ675" s="941">
        <v>0.0</v>
      </c>
      <c r="BA675" s="941">
        <v>0.0</v>
      </c>
      <c r="BB675" s="941">
        <v>2.0</v>
      </c>
      <c r="BC675" s="941">
        <v>0.0</v>
      </c>
      <c r="BD675" s="941">
        <v>14.0</v>
      </c>
      <c r="BE675" s="941">
        <v>8.0</v>
      </c>
      <c r="BF675" s="941">
        <v>1.0</v>
      </c>
      <c r="BG675" s="942">
        <v>1.0</v>
      </c>
    </row>
    <row r="676">
      <c r="A676" s="935" t="s">
        <v>419</v>
      </c>
      <c r="B676" s="421" t="str">
        <f>IF(C676&lt;'PlayerGrades+'!$Y$44,"F-",IF(C676&lt;'PlayerGrades+'!$Y$43,"F",IF(C676&lt;'PlayerGrades+'!$Y$42,"F+",IF(C676&lt;'PlayerGrades+'!$Y$41,"E-",IF(C676&lt;'PlayerGrades+'!$Y$40,"E",IF(C676&lt;'PlayerGrades+'!$Y$39,"E+",IF(C676&lt;'PlayerGrades+'!$Y$38,"D-",IF(C676&lt;'PlayerGrades+'!$Y$37,"D",IF(C676&lt;'PlayerGrades+'!$Y$36,"D+",IF(C676&lt;'PlayerGrades+'!$Y$35,"C-",IF(C676&lt;'PlayerGrades+'!$Y$34,"C",IF(C676&lt;'PlayerGrades+'!$Y$33,"C+",IF(C676&lt;'PlayerGrades+'!$Y$32,"B-",IF(C676&lt;'PlayerGrades+'!$Y$31,"B",IF(C676&lt;'PlayerGrades+'!$Y$30,"B+",IF(C676&lt;'PlayerGrades+'!$Y$29,"A-",IF(C676&lt;'PlayerGrades+'!$Y$28,"A",IF(C676&lt;'PlayerGrades+'!$Y$27,"A+",IF(C676&lt;'PlayerGrades+'!$Y$26,"S-",IF(C676&lt;'PlayerGrades+'!$Y$25,"S","S+"))))))))))))))))))))</f>
        <v>B</v>
      </c>
      <c r="C676" s="972">
        <f>('PlayerGrades+'!$Y$47*(VLOOKUP(E676, 'PlayerGrades+'!$X$3:$Y$23, 2, FALSE)))+('PlayerGrades+'!$Y$48*(VLOOKUP(G676, 'PlayerGrades+'!$X$3:$Y$23, 2, FALSE)))+('PlayerGrades+'!$Y$49*(VLOOKUP(I676, 'PlayerGrades+'!$X$3:$Y$23, 2, FALSE)))+('PlayerGrades+'!$Y$50*(VLOOKUP(K676, 'PlayerGrades+'!$X$3:$Y$23, 2, FALSE)))+('PlayerGrades+'!$Y$51*(VLOOKUP(M676, 'PlayerGrades+'!$X$3:$Y$23, 2, FALSE)))+('PlayerGrades+'!$Y$52*(VLOOKUP(O676, 'PlayerGrades+'!$X$3:$Y$23, 2, FALSE)))+('PlayerGrades+'!$Y$53*(VLOOKUP(Q676, 'PlayerGrades+'!$X$3:$Y$23, 2, FALSE)))+('PlayerGrades+'!$Y$54*(VLOOKUP(S676, 'PlayerGrades+'!$X$3:$Y$23, 2, FALSE)))+('PlayerGrades+'!$Y$55*(VLOOKUP(U676, 'PlayerGrades+'!$X$3:$Y$23, 2, FALSE)))</f>
        <v>23.25</v>
      </c>
      <c r="D676" s="973">
        <f t="shared" si="1"/>
        <v>0</v>
      </c>
      <c r="E676" s="973" t="str">
        <f>IF(D676&lt;'PlayerGrades+'!$AA$21,"F-",IF(D676&lt;'PlayerGrades+'!$AA$20,"F",IF(D676&lt;'PlayerGrades+'!$AA$19,"F+",IF(D676&lt;'PlayerGrades+'!$AA$18,"E-",IF(D676&lt;'PlayerGrades+'!$AA$17,"E",IF(D676&lt;'PlayerGrades+'!$AA$16,"E+",IF(D676&lt;'PlayerGrades+'!$AA$15,"D-",IF(D676&lt;'PlayerGrades+'!$AA$14,"D",IF(D676&lt;'PlayerGrades+'!$AA$13,"D+",IF(D676&lt;'PlayerGrades+'!$AA$12,"C-",IF(D676&lt;'PlayerGrades+'!$AA$11,"C",IF(D676&lt;'PlayerGrades+'!$AA$10,"C+",IF(D676&lt;'PlayerGrades+'!$AA$9,"B-",IF(D676&lt;'PlayerGrades+'!$AA$8,"B",IF(D676&lt;'PlayerGrades+'!$AA$7,"B+",IF(D676&lt;'PlayerGrades+'!$AA$6,"A-",IF(D676&lt;'PlayerGrades+'!$AA$5,"A",IF(D676&lt;'PlayerGrades+'!$AA$4,"A+",IF(D676&lt;'PlayerGrades+'!$AA$3,"S-",IF(D676&lt;'PlayerGrades+'!$AA$2,"S","S+"))))))))))))))))))))</f>
        <v>F-</v>
      </c>
      <c r="F676" s="973">
        <f t="shared" si="2"/>
        <v>-0.08645533141</v>
      </c>
      <c r="G676" s="973" t="str">
        <f>IF(F676&lt;'PlayerGrades+'!$AB$21,"F-",IF(F676&lt;'PlayerGrades+'!$AB$20,"F",IF(F676&lt;'PlayerGrades+'!$AB$19,"F+",IF(F676&lt;'PlayerGrades+'!$AB$18,"E-",IF(F676&lt;'PlayerGrades+'!$AB$17,"E",IF(F676&lt;'PlayerGrades+'!$AB$16,"E+",IF(F676&lt;'PlayerGrades+'!$AB$15,"D-",IF(F676&lt;'PlayerGrades+'!$AB$14,"D",IF(F676&lt;'PlayerGrades+'!$AB$13,"D+",IF(F676&lt;'PlayerGrades+'!$AB$12,"C-",IF(F676&lt;'PlayerGrades+'!$AB$11,"C",IF(F676&lt;'PlayerGrades+'!$AB$10,"C+",IF(F676&lt;'PlayerGrades+'!$AB$9,"B-",IF(F676&lt;'PlayerGrades+'!$AB$8,"B",IF(F676&lt;'PlayerGrades+'!$AB$7,"B+",IF(F676&lt;'PlayerGrades+'!$AB$6,"A-",IF(F676&lt;'PlayerGrades+'!$AB$5,"A",IF(F676&lt;'PlayerGrades+'!$AB$4,"A+",IF(F676&lt;'PlayerGrades+'!$AB$3,"S-",IF(F676&lt;'PlayerGrades+'!$AB$2,"S","S+"))))))))))))))))))))</f>
        <v>B-</v>
      </c>
      <c r="H676" s="973">
        <f t="shared" si="3"/>
        <v>0.04322766571</v>
      </c>
      <c r="I676" s="973" t="str">
        <f>IF(H676&lt;'PlayerGrades+'!$AC$21,"F-",IF(H676&lt;'PlayerGrades+'!$AC$20,"F",IF(H676&lt;'PlayerGrades+'!$AC$19,"F+",IF(H676&lt;'PlayerGrades+'!$AC$18,"E-",IF(H676&lt;'PlayerGrades+'!$AC$17,"E",IF(H676&lt;'PlayerGrades+'!$AC$16,"E+",IF(H676&lt;'PlayerGrades+'!$AC$15,"D-",IF(H676&lt;'PlayerGrades+'!$AC$14,"D",IF(H676&lt;'PlayerGrades+'!$AC$13,"D+",IF(H676&lt;'PlayerGrades+'!$AC$12,"C-",IF(H676&lt;'PlayerGrades+'!$AC$11,"C",IF(H676&lt;'PlayerGrades+'!$AC$10,"C+",IF(H676&lt;'PlayerGrades+'!$AC$9,"B-",IF(H676&lt;'PlayerGrades+'!$AC$8,"B",IF(H676&lt;'PlayerGrades+'!$AC$7,"B+",IF(H676&lt;'PlayerGrades+'!$AC$6,"A-",IF(H676&lt;'PlayerGrades+'!$AC$5,"A",IF(H676&lt;'PlayerGrades+'!$AC$4,"A+",IF(H676&lt;'PlayerGrades+'!$AC$3,"S-",IF(H676&lt;'PlayerGrades+'!$AC$2,"S","S+"))))))))))))))))))))</f>
        <v>F</v>
      </c>
      <c r="J676" s="973">
        <f t="shared" si="4"/>
        <v>0.04322766571</v>
      </c>
      <c r="K676" s="973" t="str">
        <f>IF(J676&lt;'PlayerGrades+'!$AD$21,"F-",IF(J676&lt;'PlayerGrades+'!$AD$20,"F",IF(J676&lt;'PlayerGrades+'!$AD$19,"F+",IF(J676&lt;'PlayerGrades+'!$AD$18,"E-",IF(J676&lt;'PlayerGrades+'!$AD$17,"E",IF(J676&lt;'PlayerGrades+'!$AD$16,"E+",IF(J676&lt;'PlayerGrades+'!$AD$15,"D-",IF(J676&lt;'PlayerGrades+'!$AD$14,"D",IF(J676&lt;'PlayerGrades+'!$AD$13,"D+",IF(J676&lt;'PlayerGrades+'!$AD$12,"C-",IF(J676&lt;'PlayerGrades+'!$AD$11,"C",IF(J676&lt;'PlayerGrades+'!$AD$10,"C+",IF(J676&lt;'PlayerGrades+'!$AD$9,"B-",IF(J676&lt;'PlayerGrades+'!$AD$8,"B",IF(J676&lt;'PlayerGrades+'!$AD$7,"B+",IF(J676&lt;'PlayerGrades+'!$AD$6,"A-",IF(J676&lt;'PlayerGrades+'!$AD$5,"A",IF(J676&lt;'PlayerGrades+'!$AD$4,"A+",IF(J676&lt;'PlayerGrades+'!$AD$3,"S-",IF(J676&lt;'PlayerGrades+'!$AD$2,"S","S+"))))))))))))))))))))</f>
        <v>C+</v>
      </c>
      <c r="L676" s="974">
        <f t="shared" si="5"/>
        <v>0.4322766571</v>
      </c>
      <c r="M676" s="975" t="str">
        <f>IF(L676&lt;'PlayerGrades+'!$AE$21,"F-",IF(L676&lt;'PlayerGrades+'!$AE$20,"F",IF(L676&lt;'PlayerGrades+'!$AE$19,"F+",IF(L676&lt;'PlayerGrades+'!$AE$18,"E-",IF(L676&lt;'PlayerGrades+'!$AE$17,"E",IF(L676&lt;'PlayerGrades+'!$AE$16,"E+",IF(L676&lt;'PlayerGrades+'!$AE$15,"D-",IF(L676&lt;'PlayerGrades+'!$AE$14,"D",IF(L676&lt;'PlayerGrades+'!$AE$13,"D+",IF(L676&lt;'PlayerGrades+'!$AE$12,"C-",IF(L676&lt;'PlayerGrades+'!$AE$11,"C",IF(L676&lt;'PlayerGrades+'!$AE$10,"C+",IF(L676&lt;'PlayerGrades+'!$AE$9,"B-",IF(L676&lt;'PlayerGrades+'!$AE$8,"B",IF(L676&lt;'PlayerGrades+'!$AE$7,"B+",IF(L676&lt;'PlayerGrades+'!$AE$6,"A-",IF(L676&lt;'PlayerGrades+'!$AE$5,"A",IF(L676&lt;'PlayerGrades+'!$AE$4,"A+",IF(L676&lt;'PlayerGrades+'!$AE$3,"S-",IF(L676&lt;'PlayerGrades+'!$AE$2,"S","S+"))))))))))))))))))))</f>
        <v>B-</v>
      </c>
      <c r="N676" s="973">
        <f t="shared" si="6"/>
        <v>0.1729106628</v>
      </c>
      <c r="O676" s="973" t="str">
        <f>IF(N676&lt;'PlayerGrades+'!$AF$21,"F-",IF(N676&lt;'PlayerGrades+'!$AF$20,"F",IF(N676&lt;'PlayerGrades+'!$AF$19,"F+",IF(N676&lt;'PlayerGrades+'!$AF$18,"E-",IF(N676&lt;'PlayerGrades+'!$AF$17,"E",IF(N676&lt;'PlayerGrades+'!$AF$16,"E+",IF(N676&lt;'PlayerGrades+'!$AF$15,"D-",IF(N676&lt;'PlayerGrades+'!$AF$14,"D",IF(N676&lt;'PlayerGrades+'!$AF$13,"D+",IF(N676&lt;'PlayerGrades+'!$AF$12,"C-",IF(N676&lt;'PlayerGrades+'!$AF$11,"C",IF(N676&lt;'PlayerGrades+'!$AF$10,"C+",IF(N676&lt;'PlayerGrades+'!$AF$9,"B-",IF(N676&lt;'PlayerGrades+'!$AF$8,"B",IF(N676&lt;'PlayerGrades+'!$AF$7,"B+",IF(N676&lt;'PlayerGrades+'!$AF$6,"A-",IF(N676&lt;'PlayerGrades+'!$AF$5,"A",IF(N676&lt;'PlayerGrades+'!$AF$4,"A+",IF(N676&lt;'PlayerGrades+'!$AF$3,"S-",IF(N676&lt;'PlayerGrades+'!$AF$2,"S","S+"))))))))))))))))))))</f>
        <v>S+</v>
      </c>
      <c r="P676" s="973">
        <f t="shared" si="7"/>
        <v>0.04322766571</v>
      </c>
      <c r="Q676" s="973" t="str">
        <f>IF(P676&lt;'PlayerGrades+'!$AG$21,"F-",IF(P676&lt;'PlayerGrades+'!$AG$20,"F",IF(P676&lt;'PlayerGrades+'!$AG$19,"F+",IF(P676&lt;'PlayerGrades+'!$AG$18,"E-",IF(P676&lt;'PlayerGrades+'!$AG$17,"E",IF(P676&lt;'PlayerGrades+'!$AG$16,"E+",IF(P676&lt;'PlayerGrades+'!$AG$15,"D-",IF(P676&lt;'PlayerGrades+'!$AG$14,"D",IF(P676&lt;'PlayerGrades+'!$AG$13,"D+",IF(P676&lt;'PlayerGrades+'!$AG$12,"C-",IF(P676&lt;'PlayerGrades+'!$AG$11,"C",IF(P676&lt;'PlayerGrades+'!$AG$10,"C+",IF(P676&lt;'PlayerGrades+'!$AG$9,"B-",IF(P676&lt;'PlayerGrades+'!$AG$8,"B",IF(P676&lt;'PlayerGrades+'!$AG$7,"B+",IF(P676&lt;'PlayerGrades+'!$AG$6,"A-",IF(P676&lt;'PlayerGrades+'!$AG$5,"A",IF(P676&lt;'PlayerGrades+'!$AG$4,"A+",IF(P676&lt;'PlayerGrades+'!$AG$3,"S-",IF(P676&lt;'PlayerGrades+'!$AG$2,"S","S+"))))))))))))))))))))</f>
        <v>A</v>
      </c>
      <c r="R676" s="973">
        <f t="shared" si="8"/>
        <v>0.6051873199</v>
      </c>
      <c r="S676" s="973" t="str">
        <f>IF(R676&lt;'PlayerGrades+'!$AH$21,"F-",IF(R676&lt;'PlayerGrades+'!$AH$20,"F",IF(R676&lt;'PlayerGrades+'!$AH$19,"F+",IF(R676&lt;'PlayerGrades+'!$AH$18,"E-",IF(R676&lt;'PlayerGrades+'!$AH$17,"E",IF(R676&lt;'PlayerGrades+'!$AH$16,"E+",IF(R676&lt;'PlayerGrades+'!$AH$15,"D-",IF(R676&lt;'PlayerGrades+'!$AH$14,"D",IF(R676&lt;'PlayerGrades+'!$AH$13,"D+",IF(R676&lt;'PlayerGrades+'!$AH$12,"C-",IF(R676&lt;'PlayerGrades+'!$AH$11,"C",IF(R676&lt;'PlayerGrades+'!$AH$10,"C+",IF(R676&lt;'PlayerGrades+'!$AH$9,"B-",IF(R676&lt;'PlayerGrades+'!$AH$8,"B",IF(R676&lt;'PlayerGrades+'!$AH$7,"B+",IF(R676&lt;'PlayerGrades+'!$AH$6,"A-",IF(R676&lt;'PlayerGrades+'!$AH$5,"A",IF(R676&lt;'PlayerGrades+'!$AH$4,"A+",IF(R676&lt;'PlayerGrades+'!$AH$3,"S-",IF(R676&lt;'PlayerGrades+'!$AH$2,"S","S+"))))))))))))))))))))</f>
        <v>A-</v>
      </c>
      <c r="T676" s="973">
        <f t="shared" si="9"/>
        <v>1.648414986</v>
      </c>
      <c r="U676" s="973" t="str">
        <f>IF(T676&lt;'PlayerGrades+'!$AI$21,"F-",IF(T676&lt;'PlayerGrades+'!$AI$20,"F",IF(T676&lt;'PlayerGrades+'!$AI$19,"F+",IF(T676&lt;'PlayerGrades+'!$AI$18,"E-",IF(T676&lt;'PlayerGrades+'!$AI$17,"E",IF(T676&lt;'PlayerGrades+'!$AI$16,"E+",IF(T676&lt;'PlayerGrades+'!$AI$15,"D-",IF(T676&lt;'PlayerGrades+'!$AI$14,"D",IF(T676&lt;'PlayerGrades+'!$AI$13,"D+",IF(T676&lt;'PlayerGrades+'!$AI$12,"C-",IF(T676&lt;'PlayerGrades+'!$AI$11,"C",IF(T676&lt;'PlayerGrades+'!$AI$10,"C+",IF(T676&lt;'PlayerGrades+'!$AI$9,"B-",IF(T676&lt;'PlayerGrades+'!$AI$8,"B",IF(T676&lt;'PlayerGrades+'!$AI$7,"B+",IF(T676&lt;'PlayerGrades+'!$AI$6,"A-",IF(T676&lt;'PlayerGrades+'!$AI$5,"A",IF(T676&lt;'PlayerGrades+'!$AI$4,"A+",IF(T676&lt;'PlayerGrades+'!$AI$3,"S-",IF(T676&lt;'PlayerGrades+'!$AI$2,"S","S+"))))))))))))))))))))</f>
        <v>S-</v>
      </c>
      <c r="V676" s="941">
        <v>1.0</v>
      </c>
      <c r="W676" s="941">
        <v>1.0</v>
      </c>
      <c r="X676" s="941">
        <v>0.0</v>
      </c>
      <c r="Y676" s="941">
        <v>0.0</v>
      </c>
      <c r="Z676" s="941">
        <v>0.0</v>
      </c>
      <c r="AA676" s="941">
        <v>72.0</v>
      </c>
      <c r="AB676" s="941">
        <v>74.0</v>
      </c>
      <c r="AC676" s="941">
        <v>-2.0</v>
      </c>
      <c r="AD676" s="941">
        <v>7.0</v>
      </c>
      <c r="AE676" s="941">
        <v>6.0</v>
      </c>
      <c r="AF676" s="941">
        <v>1.0</v>
      </c>
      <c r="AG676" s="941">
        <v>1092.0</v>
      </c>
      <c r="AH676" s="941">
        <v>1388.0</v>
      </c>
      <c r="AI676" s="941">
        <v>14.0</v>
      </c>
      <c r="AJ676" s="941">
        <v>14.0</v>
      </c>
      <c r="AK676" s="941">
        <v>0.0</v>
      </c>
      <c r="AL676" s="941">
        <v>1.0</v>
      </c>
      <c r="AM676" s="941">
        <v>0.0</v>
      </c>
      <c r="AN676" s="941">
        <v>0.0</v>
      </c>
      <c r="AO676" s="941">
        <v>0.0</v>
      </c>
      <c r="AP676" s="941">
        <v>1.0</v>
      </c>
      <c r="AQ676" s="941">
        <v>0.0</v>
      </c>
      <c r="AR676" s="941">
        <v>10.0</v>
      </c>
      <c r="AS676" s="941">
        <v>4.0</v>
      </c>
      <c r="AT676" s="941">
        <v>0.0</v>
      </c>
      <c r="AU676" s="941">
        <v>0.0</v>
      </c>
      <c r="AV676" s="941">
        <v>0.0</v>
      </c>
      <c r="AW676" s="941">
        <v>0.0</v>
      </c>
      <c r="AX676" s="941">
        <v>0.0</v>
      </c>
      <c r="AY676" s="941">
        <v>0.0</v>
      </c>
      <c r="AZ676" s="941">
        <v>0.0</v>
      </c>
      <c r="BA676" s="941">
        <v>0.0</v>
      </c>
      <c r="BB676" s="941">
        <v>1.0</v>
      </c>
      <c r="BC676" s="941">
        <v>0.0</v>
      </c>
      <c r="BD676" s="941">
        <v>7.0</v>
      </c>
      <c r="BE676" s="941">
        <v>15.0</v>
      </c>
      <c r="BF676" s="941">
        <v>1.0</v>
      </c>
      <c r="BG676" s="942">
        <v>1.0</v>
      </c>
    </row>
    <row r="677">
      <c r="A677" s="935" t="s">
        <v>156</v>
      </c>
      <c r="B677" s="421" t="str">
        <f>IF(C677&lt;'PlayerGrades+'!$Y$44,"F-",IF(C677&lt;'PlayerGrades+'!$Y$43,"F",IF(C677&lt;'PlayerGrades+'!$Y$42,"F+",IF(C677&lt;'PlayerGrades+'!$Y$41,"E-",IF(C677&lt;'PlayerGrades+'!$Y$40,"E",IF(C677&lt;'PlayerGrades+'!$Y$39,"E+",IF(C677&lt;'PlayerGrades+'!$Y$38,"D-",IF(C677&lt;'PlayerGrades+'!$Y$37,"D",IF(C677&lt;'PlayerGrades+'!$Y$36,"D+",IF(C677&lt;'PlayerGrades+'!$Y$35,"C-",IF(C677&lt;'PlayerGrades+'!$Y$34,"C",IF(C677&lt;'PlayerGrades+'!$Y$33,"C+",IF(C677&lt;'PlayerGrades+'!$Y$32,"B-",IF(C677&lt;'PlayerGrades+'!$Y$31,"B",IF(C677&lt;'PlayerGrades+'!$Y$30,"B+",IF(C677&lt;'PlayerGrades+'!$Y$29,"A-",IF(C677&lt;'PlayerGrades+'!$Y$28,"A",IF(C677&lt;'PlayerGrades+'!$Y$27,"A+",IF(C677&lt;'PlayerGrades+'!$Y$26,"S-",IF(C677&lt;'PlayerGrades+'!$Y$25,"S","S+"))))))))))))))))))))</f>
        <v>C+</v>
      </c>
      <c r="C677" s="972">
        <f>('PlayerGrades+'!$Y$47*(VLOOKUP(E677, 'PlayerGrades+'!$X$3:$Y$23, 2, FALSE)))+('PlayerGrades+'!$Y$48*(VLOOKUP(G677, 'PlayerGrades+'!$X$3:$Y$23, 2, FALSE)))+('PlayerGrades+'!$Y$49*(VLOOKUP(I677, 'PlayerGrades+'!$X$3:$Y$23, 2, FALSE)))+('PlayerGrades+'!$Y$50*(VLOOKUP(K677, 'PlayerGrades+'!$X$3:$Y$23, 2, FALSE)))+('PlayerGrades+'!$Y$51*(VLOOKUP(M677, 'PlayerGrades+'!$X$3:$Y$23, 2, FALSE)))+('PlayerGrades+'!$Y$52*(VLOOKUP(O677, 'PlayerGrades+'!$X$3:$Y$23, 2, FALSE)))+('PlayerGrades+'!$Y$53*(VLOOKUP(Q677, 'PlayerGrades+'!$X$3:$Y$23, 2, FALSE)))+('PlayerGrades+'!$Y$54*(VLOOKUP(S677, 'PlayerGrades+'!$X$3:$Y$23, 2, FALSE)))+('PlayerGrades+'!$Y$55*(VLOOKUP(U677, 'PlayerGrades+'!$X$3:$Y$23, 2, FALSE)))</f>
        <v>21.6</v>
      </c>
      <c r="D677" s="973">
        <f t="shared" si="1"/>
        <v>0</v>
      </c>
      <c r="E677" s="973" t="str">
        <f>IF(D677&lt;'PlayerGrades+'!$AA$21,"F-",IF(D677&lt;'PlayerGrades+'!$AA$20,"F",IF(D677&lt;'PlayerGrades+'!$AA$19,"F+",IF(D677&lt;'PlayerGrades+'!$AA$18,"E-",IF(D677&lt;'PlayerGrades+'!$AA$17,"E",IF(D677&lt;'PlayerGrades+'!$AA$16,"E+",IF(D677&lt;'PlayerGrades+'!$AA$15,"D-",IF(D677&lt;'PlayerGrades+'!$AA$14,"D",IF(D677&lt;'PlayerGrades+'!$AA$13,"D+",IF(D677&lt;'PlayerGrades+'!$AA$12,"C-",IF(D677&lt;'PlayerGrades+'!$AA$11,"C",IF(D677&lt;'PlayerGrades+'!$AA$10,"C+",IF(D677&lt;'PlayerGrades+'!$AA$9,"B-",IF(D677&lt;'PlayerGrades+'!$AA$8,"B",IF(D677&lt;'PlayerGrades+'!$AA$7,"B+",IF(D677&lt;'PlayerGrades+'!$AA$6,"A-",IF(D677&lt;'PlayerGrades+'!$AA$5,"A",IF(D677&lt;'PlayerGrades+'!$AA$4,"A+",IF(D677&lt;'PlayerGrades+'!$AA$3,"S-",IF(D677&lt;'PlayerGrades+'!$AA$2,"S","S+"))))))))))))))))))))</f>
        <v>F-</v>
      </c>
      <c r="F677" s="973">
        <f t="shared" si="2"/>
        <v>-0.2161383285</v>
      </c>
      <c r="G677" s="973" t="str">
        <f>IF(F677&lt;'PlayerGrades+'!$AB$21,"F-",IF(F677&lt;'PlayerGrades+'!$AB$20,"F",IF(F677&lt;'PlayerGrades+'!$AB$19,"F+",IF(F677&lt;'PlayerGrades+'!$AB$18,"E-",IF(F677&lt;'PlayerGrades+'!$AB$17,"E",IF(F677&lt;'PlayerGrades+'!$AB$16,"E+",IF(F677&lt;'PlayerGrades+'!$AB$15,"D-",IF(F677&lt;'PlayerGrades+'!$AB$14,"D",IF(F677&lt;'PlayerGrades+'!$AB$13,"D+",IF(F677&lt;'PlayerGrades+'!$AB$12,"C-",IF(F677&lt;'PlayerGrades+'!$AB$11,"C",IF(F677&lt;'PlayerGrades+'!$AB$10,"C+",IF(F677&lt;'PlayerGrades+'!$AB$9,"B-",IF(F677&lt;'PlayerGrades+'!$AB$8,"B",IF(F677&lt;'PlayerGrades+'!$AB$7,"B+",IF(F677&lt;'PlayerGrades+'!$AB$6,"A-",IF(F677&lt;'PlayerGrades+'!$AB$5,"A",IF(F677&lt;'PlayerGrades+'!$AB$4,"A+",IF(F677&lt;'PlayerGrades+'!$AB$3,"S-",IF(F677&lt;'PlayerGrades+'!$AB$2,"S","S+"))))))))))))))))))))</f>
        <v>C+</v>
      </c>
      <c r="H677" s="973">
        <f t="shared" si="3"/>
        <v>0</v>
      </c>
      <c r="I677" s="973" t="str">
        <f>IF(H677&lt;'PlayerGrades+'!$AC$21,"F-",IF(H677&lt;'PlayerGrades+'!$AC$20,"F",IF(H677&lt;'PlayerGrades+'!$AC$19,"F+",IF(H677&lt;'PlayerGrades+'!$AC$18,"E-",IF(H677&lt;'PlayerGrades+'!$AC$17,"E",IF(H677&lt;'PlayerGrades+'!$AC$16,"E+",IF(H677&lt;'PlayerGrades+'!$AC$15,"D-",IF(H677&lt;'PlayerGrades+'!$AC$14,"D",IF(H677&lt;'PlayerGrades+'!$AC$13,"D+",IF(H677&lt;'PlayerGrades+'!$AC$12,"C-",IF(H677&lt;'PlayerGrades+'!$AC$11,"C",IF(H677&lt;'PlayerGrades+'!$AC$10,"C+",IF(H677&lt;'PlayerGrades+'!$AC$9,"B-",IF(H677&lt;'PlayerGrades+'!$AC$8,"B",IF(H677&lt;'PlayerGrades+'!$AC$7,"B+",IF(H677&lt;'PlayerGrades+'!$AC$6,"A-",IF(H677&lt;'PlayerGrades+'!$AC$5,"A",IF(H677&lt;'PlayerGrades+'!$AC$4,"A+",IF(H677&lt;'PlayerGrades+'!$AC$3,"S-",IF(H677&lt;'PlayerGrades+'!$AC$2,"S","S+"))))))))))))))))))))</f>
        <v>F-</v>
      </c>
      <c r="J677" s="973">
        <f t="shared" si="4"/>
        <v>0.08645533141</v>
      </c>
      <c r="K677" s="973" t="str">
        <f>IF(J677&lt;'PlayerGrades+'!$AD$21,"F-",IF(J677&lt;'PlayerGrades+'!$AD$20,"F",IF(J677&lt;'PlayerGrades+'!$AD$19,"F+",IF(J677&lt;'PlayerGrades+'!$AD$18,"E-",IF(J677&lt;'PlayerGrades+'!$AD$17,"E",IF(J677&lt;'PlayerGrades+'!$AD$16,"E+",IF(J677&lt;'PlayerGrades+'!$AD$15,"D-",IF(J677&lt;'PlayerGrades+'!$AD$14,"D",IF(J677&lt;'PlayerGrades+'!$AD$13,"D+",IF(J677&lt;'PlayerGrades+'!$AD$12,"C-",IF(J677&lt;'PlayerGrades+'!$AD$11,"C",IF(J677&lt;'PlayerGrades+'!$AD$10,"C+",IF(J677&lt;'PlayerGrades+'!$AD$9,"B-",IF(J677&lt;'PlayerGrades+'!$AD$8,"B",IF(J677&lt;'PlayerGrades+'!$AD$7,"B+",IF(J677&lt;'PlayerGrades+'!$AD$6,"A-",IF(J677&lt;'PlayerGrades+'!$AD$5,"A",IF(J677&lt;'PlayerGrades+'!$AD$4,"A+",IF(J677&lt;'PlayerGrades+'!$AD$3,"S-",IF(J677&lt;'PlayerGrades+'!$AD$2,"S","S+"))))))))))))))))))))</f>
        <v>S-</v>
      </c>
      <c r="L677" s="974">
        <f t="shared" si="5"/>
        <v>0.3890489914</v>
      </c>
      <c r="M677" s="975" t="str">
        <f>IF(L677&lt;'PlayerGrades+'!$AE$21,"F-",IF(L677&lt;'PlayerGrades+'!$AE$20,"F",IF(L677&lt;'PlayerGrades+'!$AE$19,"F+",IF(L677&lt;'PlayerGrades+'!$AE$18,"E-",IF(L677&lt;'PlayerGrades+'!$AE$17,"E",IF(L677&lt;'PlayerGrades+'!$AE$16,"E+",IF(L677&lt;'PlayerGrades+'!$AE$15,"D-",IF(L677&lt;'PlayerGrades+'!$AE$14,"D",IF(L677&lt;'PlayerGrades+'!$AE$13,"D+",IF(L677&lt;'PlayerGrades+'!$AE$12,"C-",IF(L677&lt;'PlayerGrades+'!$AE$11,"C",IF(L677&lt;'PlayerGrades+'!$AE$10,"C+",IF(L677&lt;'PlayerGrades+'!$AE$9,"B-",IF(L677&lt;'PlayerGrades+'!$AE$8,"B",IF(L677&lt;'PlayerGrades+'!$AE$7,"B+",IF(L677&lt;'PlayerGrades+'!$AE$6,"A-",IF(L677&lt;'PlayerGrades+'!$AE$5,"A",IF(L677&lt;'PlayerGrades+'!$AE$4,"A+",IF(L677&lt;'PlayerGrades+'!$AE$3,"S-",IF(L677&lt;'PlayerGrades+'!$AE$2,"S","S+"))))))))))))))))))))</f>
        <v>C</v>
      </c>
      <c r="N677" s="973">
        <f t="shared" si="6"/>
        <v>0.1729106628</v>
      </c>
      <c r="O677" s="973" t="str">
        <f>IF(N677&lt;'PlayerGrades+'!$AF$21,"F-",IF(N677&lt;'PlayerGrades+'!$AF$20,"F",IF(N677&lt;'PlayerGrades+'!$AF$19,"F+",IF(N677&lt;'PlayerGrades+'!$AF$18,"E-",IF(N677&lt;'PlayerGrades+'!$AF$17,"E",IF(N677&lt;'PlayerGrades+'!$AF$16,"E+",IF(N677&lt;'PlayerGrades+'!$AF$15,"D-",IF(N677&lt;'PlayerGrades+'!$AF$14,"D",IF(N677&lt;'PlayerGrades+'!$AF$13,"D+",IF(N677&lt;'PlayerGrades+'!$AF$12,"C-",IF(N677&lt;'PlayerGrades+'!$AF$11,"C",IF(N677&lt;'PlayerGrades+'!$AF$10,"C+",IF(N677&lt;'PlayerGrades+'!$AF$9,"B-",IF(N677&lt;'PlayerGrades+'!$AF$8,"B",IF(N677&lt;'PlayerGrades+'!$AF$7,"B+",IF(N677&lt;'PlayerGrades+'!$AF$6,"A-",IF(N677&lt;'PlayerGrades+'!$AF$5,"A",IF(N677&lt;'PlayerGrades+'!$AF$4,"A+",IF(N677&lt;'PlayerGrades+'!$AF$3,"S-",IF(N677&lt;'PlayerGrades+'!$AF$2,"S","S+"))))))))))))))))))))</f>
        <v>S+</v>
      </c>
      <c r="P677" s="973">
        <f t="shared" si="7"/>
        <v>0.08645533141</v>
      </c>
      <c r="Q677" s="973" t="str">
        <f>IF(P677&lt;'PlayerGrades+'!$AG$21,"F-",IF(P677&lt;'PlayerGrades+'!$AG$20,"F",IF(P677&lt;'PlayerGrades+'!$AG$19,"F+",IF(P677&lt;'PlayerGrades+'!$AG$18,"E-",IF(P677&lt;'PlayerGrades+'!$AG$17,"E",IF(P677&lt;'PlayerGrades+'!$AG$16,"E+",IF(P677&lt;'PlayerGrades+'!$AG$15,"D-",IF(P677&lt;'PlayerGrades+'!$AG$14,"D",IF(P677&lt;'PlayerGrades+'!$AG$13,"D+",IF(P677&lt;'PlayerGrades+'!$AG$12,"C-",IF(P677&lt;'PlayerGrades+'!$AG$11,"C",IF(P677&lt;'PlayerGrades+'!$AG$10,"C+",IF(P677&lt;'PlayerGrades+'!$AG$9,"B-",IF(P677&lt;'PlayerGrades+'!$AG$8,"B",IF(P677&lt;'PlayerGrades+'!$AG$7,"B+",IF(P677&lt;'PlayerGrades+'!$AG$6,"A-",IF(P677&lt;'PlayerGrades+'!$AG$5,"A",IF(P677&lt;'PlayerGrades+'!$AG$4,"A+",IF(P677&lt;'PlayerGrades+'!$AG$3,"S-",IF(P677&lt;'PlayerGrades+'!$AG$2,"S","S+"))))))))))))))))))))</f>
        <v>S</v>
      </c>
      <c r="R677" s="973">
        <f t="shared" si="8"/>
        <v>0.6051873199</v>
      </c>
      <c r="S677" s="973" t="str">
        <f>IF(R677&lt;'PlayerGrades+'!$AH$21,"F-",IF(R677&lt;'PlayerGrades+'!$AH$20,"F",IF(R677&lt;'PlayerGrades+'!$AH$19,"F+",IF(R677&lt;'PlayerGrades+'!$AH$18,"E-",IF(R677&lt;'PlayerGrades+'!$AH$17,"E",IF(R677&lt;'PlayerGrades+'!$AH$16,"E+",IF(R677&lt;'PlayerGrades+'!$AH$15,"D-",IF(R677&lt;'PlayerGrades+'!$AH$14,"D",IF(R677&lt;'PlayerGrades+'!$AH$13,"D+",IF(R677&lt;'PlayerGrades+'!$AH$12,"C-",IF(R677&lt;'PlayerGrades+'!$AH$11,"C",IF(R677&lt;'PlayerGrades+'!$AH$10,"C+",IF(R677&lt;'PlayerGrades+'!$AH$9,"B-",IF(R677&lt;'PlayerGrades+'!$AH$8,"B",IF(R677&lt;'PlayerGrades+'!$AH$7,"B+",IF(R677&lt;'PlayerGrades+'!$AH$6,"A-",IF(R677&lt;'PlayerGrades+'!$AH$5,"A",IF(R677&lt;'PlayerGrades+'!$AH$4,"A+",IF(R677&lt;'PlayerGrades+'!$AH$3,"S-",IF(R677&lt;'PlayerGrades+'!$AH$2,"S","S+"))))))))))))))))))))</f>
        <v>A-</v>
      </c>
      <c r="T677" s="973">
        <f t="shared" si="9"/>
        <v>0.3025936599</v>
      </c>
      <c r="U677" s="973" t="str">
        <f>IF(T677&lt;'PlayerGrades+'!$AI$21,"F-",IF(T677&lt;'PlayerGrades+'!$AI$20,"F",IF(T677&lt;'PlayerGrades+'!$AI$19,"F+",IF(T677&lt;'PlayerGrades+'!$AI$18,"E-",IF(T677&lt;'PlayerGrades+'!$AI$17,"E",IF(T677&lt;'PlayerGrades+'!$AI$16,"E+",IF(T677&lt;'PlayerGrades+'!$AI$15,"D-",IF(T677&lt;'PlayerGrades+'!$AI$14,"D",IF(T677&lt;'PlayerGrades+'!$AI$13,"D+",IF(T677&lt;'PlayerGrades+'!$AI$12,"C-",IF(T677&lt;'PlayerGrades+'!$AI$11,"C",IF(T677&lt;'PlayerGrades+'!$AI$10,"C+",IF(T677&lt;'PlayerGrades+'!$AI$9,"B-",IF(T677&lt;'PlayerGrades+'!$AI$8,"B",IF(T677&lt;'PlayerGrades+'!$AI$7,"B+",IF(T677&lt;'PlayerGrades+'!$AI$6,"A-",IF(T677&lt;'PlayerGrades+'!$AI$5,"A",IF(T677&lt;'PlayerGrades+'!$AI$4,"A+",IF(T677&lt;'PlayerGrades+'!$AI$3,"S-",IF(T677&lt;'PlayerGrades+'!$AI$2,"S","S+"))))))))))))))))))))</f>
        <v>F-</v>
      </c>
      <c r="V677" s="941">
        <v>1.0</v>
      </c>
      <c r="W677" s="941">
        <v>1.0</v>
      </c>
      <c r="X677" s="941">
        <v>0.0</v>
      </c>
      <c r="Y677" s="941">
        <v>0.0</v>
      </c>
      <c r="Z677" s="941">
        <v>0.0</v>
      </c>
      <c r="AA677" s="941">
        <v>67.0</v>
      </c>
      <c r="AB677" s="941">
        <v>72.0</v>
      </c>
      <c r="AC677" s="941">
        <v>-5.0</v>
      </c>
      <c r="AD677" s="941">
        <v>5.0</v>
      </c>
      <c r="AE677" s="941">
        <v>6.0</v>
      </c>
      <c r="AF677" s="941">
        <v>2.0</v>
      </c>
      <c r="AG677" s="941">
        <v>1104.0</v>
      </c>
      <c r="AH677" s="941">
        <v>1388.0</v>
      </c>
      <c r="AI677" s="941">
        <v>15.0</v>
      </c>
      <c r="AJ677" s="941">
        <v>8.0</v>
      </c>
      <c r="AK677" s="941">
        <v>0.0</v>
      </c>
      <c r="AL677" s="941">
        <v>2.0</v>
      </c>
      <c r="AM677" s="941">
        <v>0.0</v>
      </c>
      <c r="AN677" s="941">
        <v>0.0</v>
      </c>
      <c r="AO677" s="941">
        <v>0.0</v>
      </c>
      <c r="AP677" s="941">
        <v>2.0</v>
      </c>
      <c r="AQ677" s="941">
        <v>0.0</v>
      </c>
      <c r="AR677" s="941">
        <v>9.0</v>
      </c>
      <c r="AS677" s="941">
        <v>4.0</v>
      </c>
      <c r="AT677" s="941">
        <v>1.0</v>
      </c>
      <c r="AU677" s="941">
        <v>0.0</v>
      </c>
      <c r="AV677" s="941">
        <v>0.0</v>
      </c>
      <c r="AW677" s="941">
        <v>0.0</v>
      </c>
      <c r="AX677" s="941">
        <v>0.0</v>
      </c>
      <c r="AY677" s="941">
        <v>0.0</v>
      </c>
      <c r="AZ677" s="941">
        <v>0.0</v>
      </c>
      <c r="BA677" s="941">
        <v>0.0</v>
      </c>
      <c r="BB677" s="941">
        <v>0.0</v>
      </c>
      <c r="BC677" s="941">
        <v>0.0</v>
      </c>
      <c r="BD677" s="941">
        <v>9.0</v>
      </c>
      <c r="BE677" s="941">
        <v>7.0</v>
      </c>
      <c r="BF677" s="941">
        <v>0.0</v>
      </c>
      <c r="BG677" s="942">
        <v>1.0</v>
      </c>
    </row>
    <row r="678">
      <c r="A678" s="935" t="s">
        <v>132</v>
      </c>
      <c r="B678" s="421" t="str">
        <f>IF(C678&lt;'PlayerGrades+'!$Y$44,"F-",IF(C678&lt;'PlayerGrades+'!$Y$43,"F",IF(C678&lt;'PlayerGrades+'!$Y$42,"F+",IF(C678&lt;'PlayerGrades+'!$Y$41,"E-",IF(C678&lt;'PlayerGrades+'!$Y$40,"E",IF(C678&lt;'PlayerGrades+'!$Y$39,"E+",IF(C678&lt;'PlayerGrades+'!$Y$38,"D-",IF(C678&lt;'PlayerGrades+'!$Y$37,"D",IF(C678&lt;'PlayerGrades+'!$Y$36,"D+",IF(C678&lt;'PlayerGrades+'!$Y$35,"C-",IF(C678&lt;'PlayerGrades+'!$Y$34,"C",IF(C678&lt;'PlayerGrades+'!$Y$33,"C+",IF(C678&lt;'PlayerGrades+'!$Y$32,"B-",IF(C678&lt;'PlayerGrades+'!$Y$31,"B",IF(C678&lt;'PlayerGrades+'!$Y$30,"B+",IF(C678&lt;'PlayerGrades+'!$Y$29,"A-",IF(C678&lt;'PlayerGrades+'!$Y$28,"A",IF(C678&lt;'PlayerGrades+'!$Y$27,"A+",IF(C678&lt;'PlayerGrades+'!$Y$26,"S-",IF(C678&lt;'PlayerGrades+'!$Y$25,"S","S+"))))))))))))))))))))</f>
        <v>A-</v>
      </c>
      <c r="C678" s="972">
        <f>('PlayerGrades+'!$Y$47*(VLOOKUP(E678, 'PlayerGrades+'!$X$3:$Y$23, 2, FALSE)))+('PlayerGrades+'!$Y$48*(VLOOKUP(G678, 'PlayerGrades+'!$X$3:$Y$23, 2, FALSE)))+('PlayerGrades+'!$Y$49*(VLOOKUP(I678, 'PlayerGrades+'!$X$3:$Y$23, 2, FALSE)))+('PlayerGrades+'!$Y$50*(VLOOKUP(K678, 'PlayerGrades+'!$X$3:$Y$23, 2, FALSE)))+('PlayerGrades+'!$Y$51*(VLOOKUP(M678, 'PlayerGrades+'!$X$3:$Y$23, 2, FALSE)))+('PlayerGrades+'!$Y$52*(VLOOKUP(O678, 'PlayerGrades+'!$X$3:$Y$23, 2, FALSE)))+('PlayerGrades+'!$Y$53*(VLOOKUP(Q678, 'PlayerGrades+'!$X$3:$Y$23, 2, FALSE)))+('PlayerGrades+'!$Y$54*(VLOOKUP(S678, 'PlayerGrades+'!$X$3:$Y$23, 2, FALSE)))+('PlayerGrades+'!$Y$55*(VLOOKUP(U678, 'PlayerGrades+'!$X$3:$Y$23, 2, FALSE)))</f>
        <v>24.8</v>
      </c>
      <c r="D678" s="973">
        <f t="shared" si="1"/>
        <v>0.4322766571</v>
      </c>
      <c r="E678" s="973" t="str">
        <f>IF(D678&lt;'PlayerGrades+'!$AA$21,"F-",IF(D678&lt;'PlayerGrades+'!$AA$20,"F",IF(D678&lt;'PlayerGrades+'!$AA$19,"F+",IF(D678&lt;'PlayerGrades+'!$AA$18,"E-",IF(D678&lt;'PlayerGrades+'!$AA$17,"E",IF(D678&lt;'PlayerGrades+'!$AA$16,"E+",IF(D678&lt;'PlayerGrades+'!$AA$15,"D-",IF(D678&lt;'PlayerGrades+'!$AA$14,"D",IF(D678&lt;'PlayerGrades+'!$AA$13,"D+",IF(D678&lt;'PlayerGrades+'!$AA$12,"C-",IF(D678&lt;'PlayerGrades+'!$AA$11,"C",IF(D678&lt;'PlayerGrades+'!$AA$10,"C+",IF(D678&lt;'PlayerGrades+'!$AA$9,"B-",IF(D678&lt;'PlayerGrades+'!$AA$8,"B",IF(D678&lt;'PlayerGrades+'!$AA$7,"B+",IF(D678&lt;'PlayerGrades+'!$AA$6,"A-",IF(D678&lt;'PlayerGrades+'!$AA$5,"A",IF(D678&lt;'PlayerGrades+'!$AA$4,"A+",IF(D678&lt;'PlayerGrades+'!$AA$3,"S-",IF(D678&lt;'PlayerGrades+'!$AA$2,"S","S+"))))))))))))))))))))</f>
        <v>A+</v>
      </c>
      <c r="F678" s="973">
        <f t="shared" si="2"/>
        <v>0.9077809798</v>
      </c>
      <c r="G678" s="973" t="str">
        <f>IF(F678&lt;'PlayerGrades+'!$AB$21,"F-",IF(F678&lt;'PlayerGrades+'!$AB$20,"F",IF(F678&lt;'PlayerGrades+'!$AB$19,"F+",IF(F678&lt;'PlayerGrades+'!$AB$18,"E-",IF(F678&lt;'PlayerGrades+'!$AB$17,"E",IF(F678&lt;'PlayerGrades+'!$AB$16,"E+",IF(F678&lt;'PlayerGrades+'!$AB$15,"D-",IF(F678&lt;'PlayerGrades+'!$AB$14,"D",IF(F678&lt;'PlayerGrades+'!$AB$13,"D+",IF(F678&lt;'PlayerGrades+'!$AB$12,"C-",IF(F678&lt;'PlayerGrades+'!$AB$11,"C",IF(F678&lt;'PlayerGrades+'!$AB$10,"C+",IF(F678&lt;'PlayerGrades+'!$AB$9,"B-",IF(F678&lt;'PlayerGrades+'!$AB$8,"B",IF(F678&lt;'PlayerGrades+'!$AB$7,"B+",IF(F678&lt;'PlayerGrades+'!$AB$6,"A-",IF(F678&lt;'PlayerGrades+'!$AB$5,"A",IF(F678&lt;'PlayerGrades+'!$AB$4,"A+",IF(F678&lt;'PlayerGrades+'!$AB$3,"S-",IF(F678&lt;'PlayerGrades+'!$AB$2,"S","S+"))))))))))))))))))))</f>
        <v>S</v>
      </c>
      <c r="H678" s="973">
        <f t="shared" si="3"/>
        <v>0.1729106628</v>
      </c>
      <c r="I678" s="973" t="str">
        <f>IF(H678&lt;'PlayerGrades+'!$AC$21,"F-",IF(H678&lt;'PlayerGrades+'!$AC$20,"F",IF(H678&lt;'PlayerGrades+'!$AC$19,"F+",IF(H678&lt;'PlayerGrades+'!$AC$18,"E-",IF(H678&lt;'PlayerGrades+'!$AC$17,"E",IF(H678&lt;'PlayerGrades+'!$AC$16,"E+",IF(H678&lt;'PlayerGrades+'!$AC$15,"D-",IF(H678&lt;'PlayerGrades+'!$AC$14,"D",IF(H678&lt;'PlayerGrades+'!$AC$13,"D+",IF(H678&lt;'PlayerGrades+'!$AC$12,"C-",IF(H678&lt;'PlayerGrades+'!$AC$11,"C",IF(H678&lt;'PlayerGrades+'!$AC$10,"C+",IF(H678&lt;'PlayerGrades+'!$AC$9,"B-",IF(H678&lt;'PlayerGrades+'!$AC$8,"B",IF(H678&lt;'PlayerGrades+'!$AC$7,"B+",IF(H678&lt;'PlayerGrades+'!$AC$6,"A-",IF(H678&lt;'PlayerGrades+'!$AC$5,"A",IF(H678&lt;'PlayerGrades+'!$AC$4,"A+",IF(H678&lt;'PlayerGrades+'!$AC$3,"S-",IF(H678&lt;'PlayerGrades+'!$AC$2,"S","S+"))))))))))))))))))))</f>
        <v>S-</v>
      </c>
      <c r="J678" s="973">
        <f t="shared" si="4"/>
        <v>0.08645533141</v>
      </c>
      <c r="K678" s="973" t="str">
        <f>IF(J678&lt;'PlayerGrades+'!$AD$21,"F-",IF(J678&lt;'PlayerGrades+'!$AD$20,"F",IF(J678&lt;'PlayerGrades+'!$AD$19,"F+",IF(J678&lt;'PlayerGrades+'!$AD$18,"E-",IF(J678&lt;'PlayerGrades+'!$AD$17,"E",IF(J678&lt;'PlayerGrades+'!$AD$16,"E+",IF(J678&lt;'PlayerGrades+'!$AD$15,"D-",IF(J678&lt;'PlayerGrades+'!$AD$14,"D",IF(J678&lt;'PlayerGrades+'!$AD$13,"D+",IF(J678&lt;'PlayerGrades+'!$AD$12,"C-",IF(J678&lt;'PlayerGrades+'!$AD$11,"C",IF(J678&lt;'PlayerGrades+'!$AD$10,"C+",IF(J678&lt;'PlayerGrades+'!$AD$9,"B-",IF(J678&lt;'PlayerGrades+'!$AD$8,"B",IF(J678&lt;'PlayerGrades+'!$AD$7,"B+",IF(J678&lt;'PlayerGrades+'!$AD$6,"A-",IF(J678&lt;'PlayerGrades+'!$AD$5,"A",IF(J678&lt;'PlayerGrades+'!$AD$4,"A+",IF(J678&lt;'PlayerGrades+'!$AD$3,"S-",IF(J678&lt;'PlayerGrades+'!$AD$2,"S","S+"))))))))))))))))))))</f>
        <v>S-</v>
      </c>
      <c r="L678" s="974">
        <f t="shared" si="5"/>
        <v>0.3890489914</v>
      </c>
      <c r="M678" s="975" t="str">
        <f>IF(L678&lt;'PlayerGrades+'!$AE$21,"F-",IF(L678&lt;'PlayerGrades+'!$AE$20,"F",IF(L678&lt;'PlayerGrades+'!$AE$19,"F+",IF(L678&lt;'PlayerGrades+'!$AE$18,"E-",IF(L678&lt;'PlayerGrades+'!$AE$17,"E",IF(L678&lt;'PlayerGrades+'!$AE$16,"E+",IF(L678&lt;'PlayerGrades+'!$AE$15,"D-",IF(L678&lt;'PlayerGrades+'!$AE$14,"D",IF(L678&lt;'PlayerGrades+'!$AE$13,"D+",IF(L678&lt;'PlayerGrades+'!$AE$12,"C-",IF(L678&lt;'PlayerGrades+'!$AE$11,"C",IF(L678&lt;'PlayerGrades+'!$AE$10,"C+",IF(L678&lt;'PlayerGrades+'!$AE$9,"B-",IF(L678&lt;'PlayerGrades+'!$AE$8,"B",IF(L678&lt;'PlayerGrades+'!$AE$7,"B+",IF(L678&lt;'PlayerGrades+'!$AE$6,"A-",IF(L678&lt;'PlayerGrades+'!$AE$5,"A",IF(L678&lt;'PlayerGrades+'!$AE$4,"A+",IF(L678&lt;'PlayerGrades+'!$AE$3,"S-",IF(L678&lt;'PlayerGrades+'!$AE$2,"S","S+"))))))))))))))))))))</f>
        <v>C</v>
      </c>
      <c r="N678" s="973">
        <f t="shared" si="6"/>
        <v>0.04322766571</v>
      </c>
      <c r="O678" s="973" t="str">
        <f>IF(N678&lt;'PlayerGrades+'!$AF$21,"F-",IF(N678&lt;'PlayerGrades+'!$AF$20,"F",IF(N678&lt;'PlayerGrades+'!$AF$19,"F+",IF(N678&lt;'PlayerGrades+'!$AF$18,"E-",IF(N678&lt;'PlayerGrades+'!$AF$17,"E",IF(N678&lt;'PlayerGrades+'!$AF$16,"E+",IF(N678&lt;'PlayerGrades+'!$AF$15,"D-",IF(N678&lt;'PlayerGrades+'!$AF$14,"D",IF(N678&lt;'PlayerGrades+'!$AF$13,"D+",IF(N678&lt;'PlayerGrades+'!$AF$12,"C-",IF(N678&lt;'PlayerGrades+'!$AF$11,"C",IF(N678&lt;'PlayerGrades+'!$AF$10,"C+",IF(N678&lt;'PlayerGrades+'!$AF$9,"B-",IF(N678&lt;'PlayerGrades+'!$AF$8,"B",IF(N678&lt;'PlayerGrades+'!$AF$7,"B+",IF(N678&lt;'PlayerGrades+'!$AF$6,"A-",IF(N678&lt;'PlayerGrades+'!$AF$5,"A",IF(N678&lt;'PlayerGrades+'!$AF$4,"A+",IF(N678&lt;'PlayerGrades+'!$AF$3,"S-",IF(N678&lt;'PlayerGrades+'!$AF$2,"S","S+"))))))))))))))))))))</f>
        <v>E+</v>
      </c>
      <c r="P678" s="973">
        <f t="shared" si="7"/>
        <v>0</v>
      </c>
      <c r="Q678" s="973" t="str">
        <f>IF(P678&lt;'PlayerGrades+'!$AG$21,"F-",IF(P678&lt;'PlayerGrades+'!$AG$20,"F",IF(P678&lt;'PlayerGrades+'!$AG$19,"F+",IF(P678&lt;'PlayerGrades+'!$AG$18,"E-",IF(P678&lt;'PlayerGrades+'!$AG$17,"E",IF(P678&lt;'PlayerGrades+'!$AG$16,"E+",IF(P678&lt;'PlayerGrades+'!$AG$15,"D-",IF(P678&lt;'PlayerGrades+'!$AG$14,"D",IF(P678&lt;'PlayerGrades+'!$AG$13,"D+",IF(P678&lt;'PlayerGrades+'!$AG$12,"C-",IF(P678&lt;'PlayerGrades+'!$AG$11,"C",IF(P678&lt;'PlayerGrades+'!$AG$10,"C+",IF(P678&lt;'PlayerGrades+'!$AG$9,"B-",IF(P678&lt;'PlayerGrades+'!$AG$8,"B",IF(P678&lt;'PlayerGrades+'!$AG$7,"B+",IF(P678&lt;'PlayerGrades+'!$AG$6,"A-",IF(P678&lt;'PlayerGrades+'!$AG$5,"A",IF(P678&lt;'PlayerGrades+'!$AG$4,"A+",IF(P678&lt;'PlayerGrades+'!$AG$3,"S-",IF(P678&lt;'PlayerGrades+'!$AG$2,"S","S+"))))))))))))))))))))</f>
        <v>F</v>
      </c>
      <c r="R678" s="973">
        <f t="shared" si="8"/>
        <v>0.6484149856</v>
      </c>
      <c r="S678" s="973" t="str">
        <f>IF(R678&lt;'PlayerGrades+'!$AH$21,"F-",IF(R678&lt;'PlayerGrades+'!$AH$20,"F",IF(R678&lt;'PlayerGrades+'!$AH$19,"F+",IF(R678&lt;'PlayerGrades+'!$AH$18,"E-",IF(R678&lt;'PlayerGrades+'!$AH$17,"E",IF(R678&lt;'PlayerGrades+'!$AH$16,"E+",IF(R678&lt;'PlayerGrades+'!$AH$15,"D-",IF(R678&lt;'PlayerGrades+'!$AH$14,"D",IF(R678&lt;'PlayerGrades+'!$AH$13,"D+",IF(R678&lt;'PlayerGrades+'!$AH$12,"C-",IF(R678&lt;'PlayerGrades+'!$AH$11,"C",IF(R678&lt;'PlayerGrades+'!$AH$10,"C+",IF(R678&lt;'PlayerGrades+'!$AH$9,"B-",IF(R678&lt;'PlayerGrades+'!$AH$8,"B",IF(R678&lt;'PlayerGrades+'!$AH$7,"B+",IF(R678&lt;'PlayerGrades+'!$AH$6,"A-",IF(R678&lt;'PlayerGrades+'!$AH$5,"A",IF(R678&lt;'PlayerGrades+'!$AH$4,"A+",IF(R678&lt;'PlayerGrades+'!$AH$3,"S-",IF(R678&lt;'PlayerGrades+'!$AH$2,"S","S+"))))))))))))))))))))</f>
        <v>A+</v>
      </c>
      <c r="T678" s="973">
        <f t="shared" si="9"/>
        <v>0.2593659942</v>
      </c>
      <c r="U678" s="973" t="str">
        <f>IF(T678&lt;'PlayerGrades+'!$AI$21,"F-",IF(T678&lt;'PlayerGrades+'!$AI$20,"F",IF(T678&lt;'PlayerGrades+'!$AI$19,"F+",IF(T678&lt;'PlayerGrades+'!$AI$18,"E-",IF(T678&lt;'PlayerGrades+'!$AI$17,"E",IF(T678&lt;'PlayerGrades+'!$AI$16,"E+",IF(T678&lt;'PlayerGrades+'!$AI$15,"D-",IF(T678&lt;'PlayerGrades+'!$AI$14,"D",IF(T678&lt;'PlayerGrades+'!$AI$13,"D+",IF(T678&lt;'PlayerGrades+'!$AI$12,"C-",IF(T678&lt;'PlayerGrades+'!$AI$11,"C",IF(T678&lt;'PlayerGrades+'!$AI$10,"C+",IF(T678&lt;'PlayerGrades+'!$AI$9,"B-",IF(T678&lt;'PlayerGrades+'!$AI$8,"B",IF(T678&lt;'PlayerGrades+'!$AI$7,"B+",IF(T678&lt;'PlayerGrades+'!$AI$6,"A-",IF(T678&lt;'PlayerGrades+'!$AI$5,"A",IF(T678&lt;'PlayerGrades+'!$AI$4,"A+",IF(T678&lt;'PlayerGrades+'!$AI$3,"S-",IF(T678&lt;'PlayerGrades+'!$AI$2,"S","S+"))))))))))))))))))))</f>
        <v>F-</v>
      </c>
      <c r="V678" s="941">
        <v>1.0</v>
      </c>
      <c r="W678" s="941">
        <v>0.0</v>
      </c>
      <c r="X678" s="941">
        <v>1.0</v>
      </c>
      <c r="Y678" s="941">
        <v>0.0</v>
      </c>
      <c r="Z678" s="941">
        <v>10.0</v>
      </c>
      <c r="AA678" s="941">
        <v>75.0</v>
      </c>
      <c r="AB678" s="941">
        <v>54.0</v>
      </c>
      <c r="AC678" s="941">
        <v>21.0</v>
      </c>
      <c r="AD678" s="941">
        <v>2.0</v>
      </c>
      <c r="AE678" s="941">
        <v>7.0</v>
      </c>
      <c r="AF678" s="941">
        <v>2.0</v>
      </c>
      <c r="AG678" s="941">
        <v>1163.0</v>
      </c>
      <c r="AH678" s="941">
        <v>1388.0</v>
      </c>
      <c r="AI678" s="941">
        <v>21.0</v>
      </c>
      <c r="AJ678" s="941">
        <v>339.0</v>
      </c>
      <c r="AK678" s="941">
        <v>0.0</v>
      </c>
      <c r="AL678" s="941">
        <v>2.0</v>
      </c>
      <c r="AM678" s="941">
        <v>0.0</v>
      </c>
      <c r="AN678" s="941">
        <v>0.0</v>
      </c>
      <c r="AO678" s="941">
        <v>0.0</v>
      </c>
      <c r="AP678" s="941">
        <v>0.0</v>
      </c>
      <c r="AQ678" s="941">
        <v>0.0</v>
      </c>
      <c r="AR678" s="941">
        <v>9.0</v>
      </c>
      <c r="AS678" s="941">
        <v>1.0</v>
      </c>
      <c r="AT678" s="941">
        <v>0.0</v>
      </c>
      <c r="AU678" s="941">
        <v>0.0</v>
      </c>
      <c r="AV678" s="941">
        <v>0.0</v>
      </c>
      <c r="AW678" s="941">
        <v>0.0</v>
      </c>
      <c r="AX678" s="941">
        <v>0.0</v>
      </c>
      <c r="AY678" s="941">
        <v>0.0</v>
      </c>
      <c r="AZ678" s="941">
        <v>0.0</v>
      </c>
      <c r="BA678" s="941">
        <v>0.0</v>
      </c>
      <c r="BB678" s="941">
        <v>4.0</v>
      </c>
      <c r="BC678" s="941">
        <v>0.0</v>
      </c>
      <c r="BD678" s="941">
        <v>13.0</v>
      </c>
      <c r="BE678" s="941">
        <v>6.0</v>
      </c>
      <c r="BF678" s="941">
        <v>0.0</v>
      </c>
      <c r="BG678" s="942">
        <v>0.0</v>
      </c>
    </row>
    <row r="679">
      <c r="A679" s="935" t="s">
        <v>114</v>
      </c>
      <c r="B679" s="421" t="str">
        <f>IF(C679&lt;'PlayerGrades+'!$Y$44,"F-",IF(C679&lt;'PlayerGrades+'!$Y$43,"F",IF(C679&lt;'PlayerGrades+'!$Y$42,"F+",IF(C679&lt;'PlayerGrades+'!$Y$41,"E-",IF(C679&lt;'PlayerGrades+'!$Y$40,"E",IF(C679&lt;'PlayerGrades+'!$Y$39,"E+",IF(C679&lt;'PlayerGrades+'!$Y$38,"D-",IF(C679&lt;'PlayerGrades+'!$Y$37,"D",IF(C679&lt;'PlayerGrades+'!$Y$36,"D+",IF(C679&lt;'PlayerGrades+'!$Y$35,"C-",IF(C679&lt;'PlayerGrades+'!$Y$34,"C",IF(C679&lt;'PlayerGrades+'!$Y$33,"C+",IF(C679&lt;'PlayerGrades+'!$Y$32,"B-",IF(C679&lt;'PlayerGrades+'!$Y$31,"B",IF(C679&lt;'PlayerGrades+'!$Y$30,"B+",IF(C679&lt;'PlayerGrades+'!$Y$29,"A-",IF(C679&lt;'PlayerGrades+'!$Y$28,"A",IF(C679&lt;'PlayerGrades+'!$Y$27,"A+",IF(C679&lt;'PlayerGrades+'!$Y$26,"S-",IF(C679&lt;'PlayerGrades+'!$Y$25,"S","S+"))))))))))))))))))))</f>
        <v>D</v>
      </c>
      <c r="C679" s="972">
        <f>('PlayerGrades+'!$Y$47*(VLOOKUP(E679, 'PlayerGrades+'!$X$3:$Y$23, 2, FALSE)))+('PlayerGrades+'!$Y$48*(VLOOKUP(G679, 'PlayerGrades+'!$X$3:$Y$23, 2, FALSE)))+('PlayerGrades+'!$Y$49*(VLOOKUP(I679, 'PlayerGrades+'!$X$3:$Y$23, 2, FALSE)))+('PlayerGrades+'!$Y$50*(VLOOKUP(K679, 'PlayerGrades+'!$X$3:$Y$23, 2, FALSE)))+('PlayerGrades+'!$Y$51*(VLOOKUP(M679, 'PlayerGrades+'!$X$3:$Y$23, 2, FALSE)))+('PlayerGrades+'!$Y$52*(VLOOKUP(O679, 'PlayerGrades+'!$X$3:$Y$23, 2, FALSE)))+('PlayerGrades+'!$Y$53*(VLOOKUP(Q679, 'PlayerGrades+'!$X$3:$Y$23, 2, FALSE)))+('PlayerGrades+'!$Y$54*(VLOOKUP(S679, 'PlayerGrades+'!$X$3:$Y$23, 2, FALSE)))+('PlayerGrades+'!$Y$55*(VLOOKUP(U679, 'PlayerGrades+'!$X$3:$Y$23, 2, FALSE)))</f>
        <v>17.05</v>
      </c>
      <c r="D679" s="973">
        <f t="shared" si="1"/>
        <v>0.3458213256</v>
      </c>
      <c r="E679" s="973" t="str">
        <f>IF(D679&lt;'PlayerGrades+'!$AA$21,"F-",IF(D679&lt;'PlayerGrades+'!$AA$20,"F",IF(D679&lt;'PlayerGrades+'!$AA$19,"F+",IF(D679&lt;'PlayerGrades+'!$AA$18,"E-",IF(D679&lt;'PlayerGrades+'!$AA$17,"E",IF(D679&lt;'PlayerGrades+'!$AA$16,"E+",IF(D679&lt;'PlayerGrades+'!$AA$15,"D-",IF(D679&lt;'PlayerGrades+'!$AA$14,"D",IF(D679&lt;'PlayerGrades+'!$AA$13,"D+",IF(D679&lt;'PlayerGrades+'!$AA$12,"C-",IF(D679&lt;'PlayerGrades+'!$AA$11,"C",IF(D679&lt;'PlayerGrades+'!$AA$10,"C+",IF(D679&lt;'PlayerGrades+'!$AA$9,"B-",IF(D679&lt;'PlayerGrades+'!$AA$8,"B",IF(D679&lt;'PlayerGrades+'!$AA$7,"B+",IF(D679&lt;'PlayerGrades+'!$AA$6,"A-",IF(D679&lt;'PlayerGrades+'!$AA$5,"A",IF(D679&lt;'PlayerGrades+'!$AA$4,"A+",IF(D679&lt;'PlayerGrades+'!$AA$3,"S-",IF(D679&lt;'PlayerGrades+'!$AA$2,"S","S+"))))))))))))))))))))</f>
        <v>A</v>
      </c>
      <c r="F679" s="973">
        <f t="shared" si="2"/>
        <v>-0.2593659942</v>
      </c>
      <c r="G679" s="973" t="str">
        <f>IF(F679&lt;'PlayerGrades+'!$AB$21,"F-",IF(F679&lt;'PlayerGrades+'!$AB$20,"F",IF(F679&lt;'PlayerGrades+'!$AB$19,"F+",IF(F679&lt;'PlayerGrades+'!$AB$18,"E-",IF(F679&lt;'PlayerGrades+'!$AB$17,"E",IF(F679&lt;'PlayerGrades+'!$AB$16,"E+",IF(F679&lt;'PlayerGrades+'!$AB$15,"D-",IF(F679&lt;'PlayerGrades+'!$AB$14,"D",IF(F679&lt;'PlayerGrades+'!$AB$13,"D+",IF(F679&lt;'PlayerGrades+'!$AB$12,"C-",IF(F679&lt;'PlayerGrades+'!$AB$11,"C",IF(F679&lt;'PlayerGrades+'!$AB$10,"C+",IF(F679&lt;'PlayerGrades+'!$AB$9,"B-",IF(F679&lt;'PlayerGrades+'!$AB$8,"B",IF(F679&lt;'PlayerGrades+'!$AB$7,"B+",IF(F679&lt;'PlayerGrades+'!$AB$6,"A-",IF(F679&lt;'PlayerGrades+'!$AB$5,"A",IF(F679&lt;'PlayerGrades+'!$AB$4,"A+",IF(F679&lt;'PlayerGrades+'!$AB$3,"S-",IF(F679&lt;'PlayerGrades+'!$AB$2,"S","S+"))))))))))))))))))))</f>
        <v>C</v>
      </c>
      <c r="H679" s="973">
        <f t="shared" si="3"/>
        <v>0.04322766571</v>
      </c>
      <c r="I679" s="973" t="str">
        <f>IF(H679&lt;'PlayerGrades+'!$AC$21,"F-",IF(H679&lt;'PlayerGrades+'!$AC$20,"F",IF(H679&lt;'PlayerGrades+'!$AC$19,"F+",IF(H679&lt;'PlayerGrades+'!$AC$18,"E-",IF(H679&lt;'PlayerGrades+'!$AC$17,"E",IF(H679&lt;'PlayerGrades+'!$AC$16,"E+",IF(H679&lt;'PlayerGrades+'!$AC$15,"D-",IF(H679&lt;'PlayerGrades+'!$AC$14,"D",IF(H679&lt;'PlayerGrades+'!$AC$13,"D+",IF(H679&lt;'PlayerGrades+'!$AC$12,"C-",IF(H679&lt;'PlayerGrades+'!$AC$11,"C",IF(H679&lt;'PlayerGrades+'!$AC$10,"C+",IF(H679&lt;'PlayerGrades+'!$AC$9,"B-",IF(H679&lt;'PlayerGrades+'!$AC$8,"B",IF(H679&lt;'PlayerGrades+'!$AC$7,"B+",IF(H679&lt;'PlayerGrades+'!$AC$6,"A-",IF(H679&lt;'PlayerGrades+'!$AC$5,"A",IF(H679&lt;'PlayerGrades+'!$AC$4,"A+",IF(H679&lt;'PlayerGrades+'!$AC$3,"S-",IF(H679&lt;'PlayerGrades+'!$AC$2,"S","S+"))))))))))))))))))))</f>
        <v>F</v>
      </c>
      <c r="J679" s="973">
        <f t="shared" si="4"/>
        <v>0.04322766571</v>
      </c>
      <c r="K679" s="973" t="str">
        <f>IF(J679&lt;'PlayerGrades+'!$AD$21,"F-",IF(J679&lt;'PlayerGrades+'!$AD$20,"F",IF(J679&lt;'PlayerGrades+'!$AD$19,"F+",IF(J679&lt;'PlayerGrades+'!$AD$18,"E-",IF(J679&lt;'PlayerGrades+'!$AD$17,"E",IF(J679&lt;'PlayerGrades+'!$AD$16,"E+",IF(J679&lt;'PlayerGrades+'!$AD$15,"D-",IF(J679&lt;'PlayerGrades+'!$AD$14,"D",IF(J679&lt;'PlayerGrades+'!$AD$13,"D+",IF(J679&lt;'PlayerGrades+'!$AD$12,"C-",IF(J679&lt;'PlayerGrades+'!$AD$11,"C",IF(J679&lt;'PlayerGrades+'!$AD$10,"C+",IF(J679&lt;'PlayerGrades+'!$AD$9,"B-",IF(J679&lt;'PlayerGrades+'!$AD$8,"B",IF(J679&lt;'PlayerGrades+'!$AD$7,"B+",IF(J679&lt;'PlayerGrades+'!$AD$6,"A-",IF(J679&lt;'PlayerGrades+'!$AD$5,"A",IF(J679&lt;'PlayerGrades+'!$AD$4,"A+",IF(J679&lt;'PlayerGrades+'!$AD$3,"S-",IF(J679&lt;'PlayerGrades+'!$AD$2,"S","S+"))))))))))))))))))))</f>
        <v>C+</v>
      </c>
      <c r="L679" s="974">
        <f t="shared" si="5"/>
        <v>0.4322766571</v>
      </c>
      <c r="M679" s="975" t="str">
        <f>IF(L679&lt;'PlayerGrades+'!$AE$21,"F-",IF(L679&lt;'PlayerGrades+'!$AE$20,"F",IF(L679&lt;'PlayerGrades+'!$AE$19,"F+",IF(L679&lt;'PlayerGrades+'!$AE$18,"E-",IF(L679&lt;'PlayerGrades+'!$AE$17,"E",IF(L679&lt;'PlayerGrades+'!$AE$16,"E+",IF(L679&lt;'PlayerGrades+'!$AE$15,"D-",IF(L679&lt;'PlayerGrades+'!$AE$14,"D",IF(L679&lt;'PlayerGrades+'!$AE$13,"D+",IF(L679&lt;'PlayerGrades+'!$AE$12,"C-",IF(L679&lt;'PlayerGrades+'!$AE$11,"C",IF(L679&lt;'PlayerGrades+'!$AE$10,"C+",IF(L679&lt;'PlayerGrades+'!$AE$9,"B-",IF(L679&lt;'PlayerGrades+'!$AE$8,"B",IF(L679&lt;'PlayerGrades+'!$AE$7,"B+",IF(L679&lt;'PlayerGrades+'!$AE$6,"A-",IF(L679&lt;'PlayerGrades+'!$AE$5,"A",IF(L679&lt;'PlayerGrades+'!$AE$4,"A+",IF(L679&lt;'PlayerGrades+'!$AE$3,"S-",IF(L679&lt;'PlayerGrades+'!$AE$2,"S","S+"))))))))))))))))))))</f>
        <v>B-</v>
      </c>
      <c r="N679" s="973">
        <f t="shared" si="6"/>
        <v>0.04322766571</v>
      </c>
      <c r="O679" s="973" t="str">
        <f>IF(N679&lt;'PlayerGrades+'!$AF$21,"F-",IF(N679&lt;'PlayerGrades+'!$AF$20,"F",IF(N679&lt;'PlayerGrades+'!$AF$19,"F+",IF(N679&lt;'PlayerGrades+'!$AF$18,"E-",IF(N679&lt;'PlayerGrades+'!$AF$17,"E",IF(N679&lt;'PlayerGrades+'!$AF$16,"E+",IF(N679&lt;'PlayerGrades+'!$AF$15,"D-",IF(N679&lt;'PlayerGrades+'!$AF$14,"D",IF(N679&lt;'PlayerGrades+'!$AF$13,"D+",IF(N679&lt;'PlayerGrades+'!$AF$12,"C-",IF(N679&lt;'PlayerGrades+'!$AF$11,"C",IF(N679&lt;'PlayerGrades+'!$AF$10,"C+",IF(N679&lt;'PlayerGrades+'!$AF$9,"B-",IF(N679&lt;'PlayerGrades+'!$AF$8,"B",IF(N679&lt;'PlayerGrades+'!$AF$7,"B+",IF(N679&lt;'PlayerGrades+'!$AF$6,"A-",IF(N679&lt;'PlayerGrades+'!$AF$5,"A",IF(N679&lt;'PlayerGrades+'!$AF$4,"A+",IF(N679&lt;'PlayerGrades+'!$AF$3,"S-",IF(N679&lt;'PlayerGrades+'!$AF$2,"S","S+"))))))))))))))))))))</f>
        <v>E+</v>
      </c>
      <c r="P679" s="973">
        <f t="shared" si="7"/>
        <v>0</v>
      </c>
      <c r="Q679" s="973" t="str">
        <f>IF(P679&lt;'PlayerGrades+'!$AG$21,"F-",IF(P679&lt;'PlayerGrades+'!$AG$20,"F",IF(P679&lt;'PlayerGrades+'!$AG$19,"F+",IF(P679&lt;'PlayerGrades+'!$AG$18,"E-",IF(P679&lt;'PlayerGrades+'!$AG$17,"E",IF(P679&lt;'PlayerGrades+'!$AG$16,"E+",IF(P679&lt;'PlayerGrades+'!$AG$15,"D-",IF(P679&lt;'PlayerGrades+'!$AG$14,"D",IF(P679&lt;'PlayerGrades+'!$AG$13,"D+",IF(P679&lt;'PlayerGrades+'!$AG$12,"C-",IF(P679&lt;'PlayerGrades+'!$AG$11,"C",IF(P679&lt;'PlayerGrades+'!$AG$10,"C+",IF(P679&lt;'PlayerGrades+'!$AG$9,"B-",IF(P679&lt;'PlayerGrades+'!$AG$8,"B",IF(P679&lt;'PlayerGrades+'!$AG$7,"B+",IF(P679&lt;'PlayerGrades+'!$AG$6,"A-",IF(P679&lt;'PlayerGrades+'!$AG$5,"A",IF(P679&lt;'PlayerGrades+'!$AG$4,"A+",IF(P679&lt;'PlayerGrades+'!$AG$3,"S-",IF(P679&lt;'PlayerGrades+'!$AG$2,"S","S+"))))))))))))))))))))</f>
        <v>F</v>
      </c>
      <c r="R679" s="973">
        <f t="shared" si="8"/>
        <v>0.4322766571</v>
      </c>
      <c r="S679" s="973" t="str">
        <f>IF(R679&lt;'PlayerGrades+'!$AH$21,"F-",IF(R679&lt;'PlayerGrades+'!$AH$20,"F",IF(R679&lt;'PlayerGrades+'!$AH$19,"F+",IF(R679&lt;'PlayerGrades+'!$AH$18,"E-",IF(R679&lt;'PlayerGrades+'!$AH$17,"E",IF(R679&lt;'PlayerGrades+'!$AH$16,"E+",IF(R679&lt;'PlayerGrades+'!$AH$15,"D-",IF(R679&lt;'PlayerGrades+'!$AH$14,"D",IF(R679&lt;'PlayerGrades+'!$AH$13,"D+",IF(R679&lt;'PlayerGrades+'!$AH$12,"C-",IF(R679&lt;'PlayerGrades+'!$AH$11,"C",IF(R679&lt;'PlayerGrades+'!$AH$10,"C+",IF(R679&lt;'PlayerGrades+'!$AH$9,"B-",IF(R679&lt;'PlayerGrades+'!$AH$8,"B",IF(R679&lt;'PlayerGrades+'!$AH$7,"B+",IF(R679&lt;'PlayerGrades+'!$AH$6,"A-",IF(R679&lt;'PlayerGrades+'!$AH$5,"A",IF(R679&lt;'PlayerGrades+'!$AH$4,"A+",IF(R679&lt;'PlayerGrades+'!$AH$3,"S-",IF(R679&lt;'PlayerGrades+'!$AH$2,"S","S+"))))))))))))))))))))</f>
        <v>E-</v>
      </c>
      <c r="T679" s="973">
        <f t="shared" si="9"/>
        <v>1.734870317</v>
      </c>
      <c r="U679" s="973" t="str">
        <f>IF(T679&lt;'PlayerGrades+'!$AI$21,"F-",IF(T679&lt;'PlayerGrades+'!$AI$20,"F",IF(T679&lt;'PlayerGrades+'!$AI$19,"F+",IF(T679&lt;'PlayerGrades+'!$AI$18,"E-",IF(T679&lt;'PlayerGrades+'!$AI$17,"E",IF(T679&lt;'PlayerGrades+'!$AI$16,"E+",IF(T679&lt;'PlayerGrades+'!$AI$15,"D-",IF(T679&lt;'PlayerGrades+'!$AI$14,"D",IF(T679&lt;'PlayerGrades+'!$AI$13,"D+",IF(T679&lt;'PlayerGrades+'!$AI$12,"C-",IF(T679&lt;'PlayerGrades+'!$AI$11,"C",IF(T679&lt;'PlayerGrades+'!$AI$10,"C+",IF(T679&lt;'PlayerGrades+'!$AI$9,"B-",IF(T679&lt;'PlayerGrades+'!$AI$8,"B",IF(T679&lt;'PlayerGrades+'!$AI$7,"B+",IF(T679&lt;'PlayerGrades+'!$AI$6,"A-",IF(T679&lt;'PlayerGrades+'!$AI$5,"A",IF(T679&lt;'PlayerGrades+'!$AI$4,"A+",IF(T679&lt;'PlayerGrades+'!$AI$3,"S-",IF(T679&lt;'PlayerGrades+'!$AI$2,"S","S+"))))))))))))))))))))</f>
        <v>S</v>
      </c>
      <c r="V679" s="941">
        <v>1.0</v>
      </c>
      <c r="W679" s="941">
        <v>0.0</v>
      </c>
      <c r="X679" s="941">
        <v>1.0</v>
      </c>
      <c r="Y679" s="941">
        <v>0.0</v>
      </c>
      <c r="Z679" s="941">
        <v>8.0</v>
      </c>
      <c r="AA679" s="941">
        <v>73.0</v>
      </c>
      <c r="AB679" s="941">
        <v>79.0</v>
      </c>
      <c r="AC679" s="941">
        <v>-6.0</v>
      </c>
      <c r="AD679" s="941">
        <v>3.0</v>
      </c>
      <c r="AE679" s="941">
        <v>8.0</v>
      </c>
      <c r="AF679" s="941">
        <v>0.0</v>
      </c>
      <c r="AG679" s="941">
        <v>1088.0</v>
      </c>
      <c r="AH679" s="941">
        <v>1388.0</v>
      </c>
      <c r="AI679" s="941">
        <v>13.0</v>
      </c>
      <c r="AJ679" s="941">
        <v>251.0</v>
      </c>
      <c r="AK679" s="941">
        <v>0.0</v>
      </c>
      <c r="AL679" s="941">
        <v>1.0</v>
      </c>
      <c r="AM679" s="941">
        <v>0.0</v>
      </c>
      <c r="AN679" s="941">
        <v>0.0</v>
      </c>
      <c r="AO679" s="941">
        <v>0.0</v>
      </c>
      <c r="AP679" s="941">
        <v>0.0</v>
      </c>
      <c r="AQ679" s="941">
        <v>0.0</v>
      </c>
      <c r="AR679" s="941">
        <v>10.0</v>
      </c>
      <c r="AS679" s="941">
        <v>1.0</v>
      </c>
      <c r="AT679" s="941">
        <v>0.0</v>
      </c>
      <c r="AU679" s="941">
        <v>0.0</v>
      </c>
      <c r="AV679" s="941">
        <v>0.0</v>
      </c>
      <c r="AW679" s="941">
        <v>0.0</v>
      </c>
      <c r="AX679" s="941">
        <v>0.0</v>
      </c>
      <c r="AY679" s="941">
        <v>0.0</v>
      </c>
      <c r="AZ679" s="941">
        <v>0.0</v>
      </c>
      <c r="BA679" s="941">
        <v>0.0</v>
      </c>
      <c r="BB679" s="941">
        <v>1.0</v>
      </c>
      <c r="BC679" s="941">
        <v>0.0</v>
      </c>
      <c r="BD679" s="941">
        <v>7.0</v>
      </c>
      <c r="BE679" s="941">
        <v>17.0</v>
      </c>
      <c r="BF679" s="941">
        <v>1.0</v>
      </c>
      <c r="BG679" s="942">
        <v>0.0</v>
      </c>
    </row>
    <row r="680">
      <c r="A680" s="935" t="s">
        <v>147</v>
      </c>
      <c r="B680" s="421" t="str">
        <f>IF(C680&lt;'PlayerGrades+'!$Y$44,"F-",IF(C680&lt;'PlayerGrades+'!$Y$43,"F",IF(C680&lt;'PlayerGrades+'!$Y$42,"F+",IF(C680&lt;'PlayerGrades+'!$Y$41,"E-",IF(C680&lt;'PlayerGrades+'!$Y$40,"E",IF(C680&lt;'PlayerGrades+'!$Y$39,"E+",IF(C680&lt;'PlayerGrades+'!$Y$38,"D-",IF(C680&lt;'PlayerGrades+'!$Y$37,"D",IF(C680&lt;'PlayerGrades+'!$Y$36,"D+",IF(C680&lt;'PlayerGrades+'!$Y$35,"C-",IF(C680&lt;'PlayerGrades+'!$Y$34,"C",IF(C680&lt;'PlayerGrades+'!$Y$33,"C+",IF(C680&lt;'PlayerGrades+'!$Y$32,"B-",IF(C680&lt;'PlayerGrades+'!$Y$31,"B",IF(C680&lt;'PlayerGrades+'!$Y$30,"B+",IF(C680&lt;'PlayerGrades+'!$Y$29,"A-",IF(C680&lt;'PlayerGrades+'!$Y$28,"A",IF(C680&lt;'PlayerGrades+'!$Y$27,"A+",IF(C680&lt;'PlayerGrades+'!$Y$26,"S-",IF(C680&lt;'PlayerGrades+'!$Y$25,"S","S+"))))))))))))))))))))</f>
        <v>F-</v>
      </c>
      <c r="C680" s="972">
        <f>('PlayerGrades+'!$Y$47*(VLOOKUP(E680, 'PlayerGrades+'!$X$3:$Y$23, 2, FALSE)))+('PlayerGrades+'!$Y$48*(VLOOKUP(G680, 'PlayerGrades+'!$X$3:$Y$23, 2, FALSE)))+('PlayerGrades+'!$Y$49*(VLOOKUP(I680, 'PlayerGrades+'!$X$3:$Y$23, 2, FALSE)))+('PlayerGrades+'!$Y$50*(VLOOKUP(K680, 'PlayerGrades+'!$X$3:$Y$23, 2, FALSE)))+('PlayerGrades+'!$Y$51*(VLOOKUP(M680, 'PlayerGrades+'!$X$3:$Y$23, 2, FALSE)))+('PlayerGrades+'!$Y$52*(VLOOKUP(O680, 'PlayerGrades+'!$X$3:$Y$23, 2, FALSE)))+('PlayerGrades+'!$Y$53*(VLOOKUP(Q680, 'PlayerGrades+'!$X$3:$Y$23, 2, FALSE)))+('PlayerGrades+'!$Y$54*(VLOOKUP(S680, 'PlayerGrades+'!$X$3:$Y$23, 2, FALSE)))+('PlayerGrades+'!$Y$55*(VLOOKUP(U680, 'PlayerGrades+'!$X$3:$Y$23, 2, FALSE)))</f>
        <v>7.55</v>
      </c>
      <c r="D680" s="973">
        <f t="shared" si="1"/>
        <v>0</v>
      </c>
      <c r="E680" s="973" t="str">
        <f>IF(D680&lt;'PlayerGrades+'!$AA$21,"F-",IF(D680&lt;'PlayerGrades+'!$AA$20,"F",IF(D680&lt;'PlayerGrades+'!$AA$19,"F+",IF(D680&lt;'PlayerGrades+'!$AA$18,"E-",IF(D680&lt;'PlayerGrades+'!$AA$17,"E",IF(D680&lt;'PlayerGrades+'!$AA$16,"E+",IF(D680&lt;'PlayerGrades+'!$AA$15,"D-",IF(D680&lt;'PlayerGrades+'!$AA$14,"D",IF(D680&lt;'PlayerGrades+'!$AA$13,"D+",IF(D680&lt;'PlayerGrades+'!$AA$12,"C-",IF(D680&lt;'PlayerGrades+'!$AA$11,"C",IF(D680&lt;'PlayerGrades+'!$AA$10,"C+",IF(D680&lt;'PlayerGrades+'!$AA$9,"B-",IF(D680&lt;'PlayerGrades+'!$AA$8,"B",IF(D680&lt;'PlayerGrades+'!$AA$7,"B+",IF(D680&lt;'PlayerGrades+'!$AA$6,"A-",IF(D680&lt;'PlayerGrades+'!$AA$5,"A",IF(D680&lt;'PlayerGrades+'!$AA$4,"A+",IF(D680&lt;'PlayerGrades+'!$AA$3,"S-",IF(D680&lt;'PlayerGrades+'!$AA$2,"S","S+"))))))))))))))))))))</f>
        <v>F-</v>
      </c>
      <c r="F680" s="973">
        <f t="shared" si="2"/>
        <v>-1.167146974</v>
      </c>
      <c r="G680" s="973" t="str">
        <f>IF(F680&lt;'PlayerGrades+'!$AB$21,"F-",IF(F680&lt;'PlayerGrades+'!$AB$20,"F",IF(F680&lt;'PlayerGrades+'!$AB$19,"F+",IF(F680&lt;'PlayerGrades+'!$AB$18,"E-",IF(F680&lt;'PlayerGrades+'!$AB$17,"E",IF(F680&lt;'PlayerGrades+'!$AB$16,"E+",IF(F680&lt;'PlayerGrades+'!$AB$15,"D-",IF(F680&lt;'PlayerGrades+'!$AB$14,"D",IF(F680&lt;'PlayerGrades+'!$AB$13,"D+",IF(F680&lt;'PlayerGrades+'!$AB$12,"C-",IF(F680&lt;'PlayerGrades+'!$AB$11,"C",IF(F680&lt;'PlayerGrades+'!$AB$10,"C+",IF(F680&lt;'PlayerGrades+'!$AB$9,"B-",IF(F680&lt;'PlayerGrades+'!$AB$8,"B",IF(F680&lt;'PlayerGrades+'!$AB$7,"B+",IF(F680&lt;'PlayerGrades+'!$AB$6,"A-",IF(F680&lt;'PlayerGrades+'!$AB$5,"A",IF(F680&lt;'PlayerGrades+'!$AB$4,"A+",IF(F680&lt;'PlayerGrades+'!$AB$3,"S-",IF(F680&lt;'PlayerGrades+'!$AB$2,"S","S+"))))))))))))))))))))</f>
        <v>F-</v>
      </c>
      <c r="H680" s="973">
        <f t="shared" si="3"/>
        <v>0.1729106628</v>
      </c>
      <c r="I680" s="973" t="str">
        <f>IF(H680&lt;'PlayerGrades+'!$AC$21,"F-",IF(H680&lt;'PlayerGrades+'!$AC$20,"F",IF(H680&lt;'PlayerGrades+'!$AC$19,"F+",IF(H680&lt;'PlayerGrades+'!$AC$18,"E-",IF(H680&lt;'PlayerGrades+'!$AC$17,"E",IF(H680&lt;'PlayerGrades+'!$AC$16,"E+",IF(H680&lt;'PlayerGrades+'!$AC$15,"D-",IF(H680&lt;'PlayerGrades+'!$AC$14,"D",IF(H680&lt;'PlayerGrades+'!$AC$13,"D+",IF(H680&lt;'PlayerGrades+'!$AC$12,"C-",IF(H680&lt;'PlayerGrades+'!$AC$11,"C",IF(H680&lt;'PlayerGrades+'!$AC$10,"C+",IF(H680&lt;'PlayerGrades+'!$AC$9,"B-",IF(H680&lt;'PlayerGrades+'!$AC$8,"B",IF(H680&lt;'PlayerGrades+'!$AC$7,"B+",IF(H680&lt;'PlayerGrades+'!$AC$6,"A-",IF(H680&lt;'PlayerGrades+'!$AC$5,"A",IF(H680&lt;'PlayerGrades+'!$AC$4,"A+",IF(H680&lt;'PlayerGrades+'!$AC$3,"S-",IF(H680&lt;'PlayerGrades+'!$AC$2,"S","S+"))))))))))))))))))))</f>
        <v>S-</v>
      </c>
      <c r="J680" s="973">
        <f t="shared" si="4"/>
        <v>0</v>
      </c>
      <c r="K680" s="973" t="str">
        <f>IF(J680&lt;'PlayerGrades+'!$AD$21,"F-",IF(J680&lt;'PlayerGrades+'!$AD$20,"F",IF(J680&lt;'PlayerGrades+'!$AD$19,"F+",IF(J680&lt;'PlayerGrades+'!$AD$18,"E-",IF(J680&lt;'PlayerGrades+'!$AD$17,"E",IF(J680&lt;'PlayerGrades+'!$AD$16,"E+",IF(J680&lt;'PlayerGrades+'!$AD$15,"D-",IF(J680&lt;'PlayerGrades+'!$AD$14,"D",IF(J680&lt;'PlayerGrades+'!$AD$13,"D+",IF(J680&lt;'PlayerGrades+'!$AD$12,"C-",IF(J680&lt;'PlayerGrades+'!$AD$11,"C",IF(J680&lt;'PlayerGrades+'!$AD$10,"C+",IF(J680&lt;'PlayerGrades+'!$AD$9,"B-",IF(J680&lt;'PlayerGrades+'!$AD$8,"B",IF(J680&lt;'PlayerGrades+'!$AD$7,"B+",IF(J680&lt;'PlayerGrades+'!$AD$6,"A-",IF(J680&lt;'PlayerGrades+'!$AD$5,"A",IF(J680&lt;'PlayerGrades+'!$AD$4,"A+",IF(J680&lt;'PlayerGrades+'!$AD$3,"S-",IF(J680&lt;'PlayerGrades+'!$AD$2,"S","S+"))))))))))))))))))))</f>
        <v>F-</v>
      </c>
      <c r="L680" s="974">
        <f t="shared" si="5"/>
        <v>0.2161383285</v>
      </c>
      <c r="M680" s="975" t="str">
        <f>IF(L680&lt;'PlayerGrades+'!$AE$21,"F-",IF(L680&lt;'PlayerGrades+'!$AE$20,"F",IF(L680&lt;'PlayerGrades+'!$AE$19,"F+",IF(L680&lt;'PlayerGrades+'!$AE$18,"E-",IF(L680&lt;'PlayerGrades+'!$AE$17,"E",IF(L680&lt;'PlayerGrades+'!$AE$16,"E+",IF(L680&lt;'PlayerGrades+'!$AE$15,"D-",IF(L680&lt;'PlayerGrades+'!$AE$14,"D",IF(L680&lt;'PlayerGrades+'!$AE$13,"D+",IF(L680&lt;'PlayerGrades+'!$AE$12,"C-",IF(L680&lt;'PlayerGrades+'!$AE$11,"C",IF(L680&lt;'PlayerGrades+'!$AE$10,"C+",IF(L680&lt;'PlayerGrades+'!$AE$9,"B-",IF(L680&lt;'PlayerGrades+'!$AE$8,"B",IF(L680&lt;'PlayerGrades+'!$AE$7,"B+",IF(L680&lt;'PlayerGrades+'!$AE$6,"A-",IF(L680&lt;'PlayerGrades+'!$AE$5,"A",IF(L680&lt;'PlayerGrades+'!$AE$4,"A+",IF(L680&lt;'PlayerGrades+'!$AE$3,"S-",IF(L680&lt;'PlayerGrades+'!$AE$2,"S","S+"))))))))))))))))))))</f>
        <v>F</v>
      </c>
      <c r="N680" s="973">
        <f t="shared" si="6"/>
        <v>0</v>
      </c>
      <c r="O680" s="973" t="str">
        <f>IF(N680&lt;'PlayerGrades+'!$AF$21,"F-",IF(N680&lt;'PlayerGrades+'!$AF$20,"F",IF(N680&lt;'PlayerGrades+'!$AF$19,"F+",IF(N680&lt;'PlayerGrades+'!$AF$18,"E-",IF(N680&lt;'PlayerGrades+'!$AF$17,"E",IF(N680&lt;'PlayerGrades+'!$AF$16,"E+",IF(N680&lt;'PlayerGrades+'!$AF$15,"D-",IF(N680&lt;'PlayerGrades+'!$AF$14,"D",IF(N680&lt;'PlayerGrades+'!$AF$13,"D+",IF(N680&lt;'PlayerGrades+'!$AF$12,"C-",IF(N680&lt;'PlayerGrades+'!$AF$11,"C",IF(N680&lt;'PlayerGrades+'!$AF$10,"C+",IF(N680&lt;'PlayerGrades+'!$AF$9,"B-",IF(N680&lt;'PlayerGrades+'!$AF$8,"B",IF(N680&lt;'PlayerGrades+'!$AF$7,"B+",IF(N680&lt;'PlayerGrades+'!$AF$6,"A-",IF(N680&lt;'PlayerGrades+'!$AF$5,"A",IF(N680&lt;'PlayerGrades+'!$AF$4,"A+",IF(N680&lt;'PlayerGrades+'!$AF$3,"S-",IF(N680&lt;'PlayerGrades+'!$AF$2,"S","S+"))))))))))))))))))))</f>
        <v>F-</v>
      </c>
      <c r="P680" s="973">
        <f t="shared" si="7"/>
        <v>0</v>
      </c>
      <c r="Q680" s="973" t="str">
        <f>IF(P680&lt;'PlayerGrades+'!$AG$21,"F-",IF(P680&lt;'PlayerGrades+'!$AG$20,"F",IF(P680&lt;'PlayerGrades+'!$AG$19,"F+",IF(P680&lt;'PlayerGrades+'!$AG$18,"E-",IF(P680&lt;'PlayerGrades+'!$AG$17,"E",IF(P680&lt;'PlayerGrades+'!$AG$16,"E+",IF(P680&lt;'PlayerGrades+'!$AG$15,"D-",IF(P680&lt;'PlayerGrades+'!$AG$14,"D",IF(P680&lt;'PlayerGrades+'!$AG$13,"D+",IF(P680&lt;'PlayerGrades+'!$AG$12,"C-",IF(P680&lt;'PlayerGrades+'!$AG$11,"C",IF(P680&lt;'PlayerGrades+'!$AG$10,"C+",IF(P680&lt;'PlayerGrades+'!$AG$9,"B-",IF(P680&lt;'PlayerGrades+'!$AG$8,"B",IF(P680&lt;'PlayerGrades+'!$AG$7,"B+",IF(P680&lt;'PlayerGrades+'!$AG$6,"A-",IF(P680&lt;'PlayerGrades+'!$AG$5,"A",IF(P680&lt;'PlayerGrades+'!$AG$4,"A+",IF(P680&lt;'PlayerGrades+'!$AG$3,"S-",IF(P680&lt;'PlayerGrades+'!$AG$2,"S","S+"))))))))))))))))))))</f>
        <v>F</v>
      </c>
      <c r="R680" s="973">
        <f t="shared" si="8"/>
        <v>0.3890489914</v>
      </c>
      <c r="S680" s="973" t="str">
        <f>IF(R680&lt;'PlayerGrades+'!$AH$21,"F-",IF(R680&lt;'PlayerGrades+'!$AH$20,"F",IF(R680&lt;'PlayerGrades+'!$AH$19,"F+",IF(R680&lt;'PlayerGrades+'!$AH$18,"E-",IF(R680&lt;'PlayerGrades+'!$AH$17,"E",IF(R680&lt;'PlayerGrades+'!$AH$16,"E+",IF(R680&lt;'PlayerGrades+'!$AH$15,"D-",IF(R680&lt;'PlayerGrades+'!$AH$14,"D",IF(R680&lt;'PlayerGrades+'!$AH$13,"D+",IF(R680&lt;'PlayerGrades+'!$AH$12,"C-",IF(R680&lt;'PlayerGrades+'!$AH$11,"C",IF(R680&lt;'PlayerGrades+'!$AH$10,"C+",IF(R680&lt;'PlayerGrades+'!$AH$9,"B-",IF(R680&lt;'PlayerGrades+'!$AH$8,"B",IF(R680&lt;'PlayerGrades+'!$AH$7,"B+",IF(R680&lt;'PlayerGrades+'!$AH$6,"A-",IF(R680&lt;'PlayerGrades+'!$AH$5,"A",IF(R680&lt;'PlayerGrades+'!$AH$4,"A+",IF(R680&lt;'PlayerGrades+'!$AH$3,"S-",IF(R680&lt;'PlayerGrades+'!$AH$2,"S","S+"))))))))))))))))))))</f>
        <v>F</v>
      </c>
      <c r="T680" s="973">
        <f t="shared" si="9"/>
        <v>0.3025936599</v>
      </c>
      <c r="U680" s="973" t="str">
        <f>IF(T680&lt;'PlayerGrades+'!$AI$21,"F-",IF(T680&lt;'PlayerGrades+'!$AI$20,"F",IF(T680&lt;'PlayerGrades+'!$AI$19,"F+",IF(T680&lt;'PlayerGrades+'!$AI$18,"E-",IF(T680&lt;'PlayerGrades+'!$AI$17,"E",IF(T680&lt;'PlayerGrades+'!$AI$16,"E+",IF(T680&lt;'PlayerGrades+'!$AI$15,"D-",IF(T680&lt;'PlayerGrades+'!$AI$14,"D",IF(T680&lt;'PlayerGrades+'!$AI$13,"D+",IF(T680&lt;'PlayerGrades+'!$AI$12,"C-",IF(T680&lt;'PlayerGrades+'!$AI$11,"C",IF(T680&lt;'PlayerGrades+'!$AI$10,"C+",IF(T680&lt;'PlayerGrades+'!$AI$9,"B-",IF(T680&lt;'PlayerGrades+'!$AI$8,"B",IF(T680&lt;'PlayerGrades+'!$AI$7,"B+",IF(T680&lt;'PlayerGrades+'!$AI$6,"A-",IF(T680&lt;'PlayerGrades+'!$AI$5,"A",IF(T680&lt;'PlayerGrades+'!$AI$4,"A+",IF(T680&lt;'PlayerGrades+'!$AI$3,"S-",IF(T680&lt;'PlayerGrades+'!$AI$2,"S","S+"))))))))))))))))))))</f>
        <v>F-</v>
      </c>
      <c r="V680" s="941">
        <v>1.0</v>
      </c>
      <c r="W680" s="941">
        <v>0.0</v>
      </c>
      <c r="X680" s="941">
        <v>1.0</v>
      </c>
      <c r="Y680" s="941">
        <v>0.0</v>
      </c>
      <c r="Z680" s="941">
        <v>0.0</v>
      </c>
      <c r="AA680" s="941">
        <v>50.0</v>
      </c>
      <c r="AB680" s="941">
        <v>77.0</v>
      </c>
      <c r="AC680" s="941">
        <v>-27.0</v>
      </c>
      <c r="AD680" s="941">
        <v>3.0</v>
      </c>
      <c r="AE680" s="941">
        <v>3.0</v>
      </c>
      <c r="AF680" s="941">
        <v>5.0</v>
      </c>
      <c r="AG680" s="941">
        <v>1094.0</v>
      </c>
      <c r="AH680" s="941">
        <v>1388.0</v>
      </c>
      <c r="AI680" s="941">
        <v>14.0</v>
      </c>
      <c r="AJ680" s="941">
        <v>15.0</v>
      </c>
      <c r="AK680" s="941">
        <v>0.0</v>
      </c>
      <c r="AL680" s="941">
        <v>0.0</v>
      </c>
      <c r="AM680" s="941">
        <v>0.0</v>
      </c>
      <c r="AN680" s="941">
        <v>0.0</v>
      </c>
      <c r="AO680" s="941">
        <v>0.0</v>
      </c>
      <c r="AP680" s="941">
        <v>0.0</v>
      </c>
      <c r="AQ680" s="941">
        <v>0.0</v>
      </c>
      <c r="AR680" s="941">
        <v>5.0</v>
      </c>
      <c r="AS680" s="941">
        <v>0.0</v>
      </c>
      <c r="AT680" s="941">
        <v>0.0</v>
      </c>
      <c r="AU680" s="941">
        <v>0.0</v>
      </c>
      <c r="AV680" s="941">
        <v>0.0</v>
      </c>
      <c r="AW680" s="941">
        <v>0.0</v>
      </c>
      <c r="AX680" s="941">
        <v>0.0</v>
      </c>
      <c r="AY680" s="941">
        <v>0.0</v>
      </c>
      <c r="AZ680" s="941">
        <v>0.0</v>
      </c>
      <c r="BA680" s="941">
        <v>0.0</v>
      </c>
      <c r="BB680" s="941">
        <v>4.0</v>
      </c>
      <c r="BC680" s="941">
        <v>0.0</v>
      </c>
      <c r="BD680" s="941">
        <v>6.0</v>
      </c>
      <c r="BE680" s="941">
        <v>7.0</v>
      </c>
      <c r="BF680" s="941">
        <v>0.0</v>
      </c>
      <c r="BG680" s="942">
        <v>0.0</v>
      </c>
    </row>
    <row r="681">
      <c r="A681" s="943" t="s">
        <v>136</v>
      </c>
      <c r="B681" s="421" t="str">
        <f>IF(C681&lt;'PlayerGrades+'!$Y$44,"F-",IF(C681&lt;'PlayerGrades+'!$Y$43,"F",IF(C681&lt;'PlayerGrades+'!$Y$42,"F+",IF(C681&lt;'PlayerGrades+'!$Y$41,"E-",IF(C681&lt;'PlayerGrades+'!$Y$40,"E",IF(C681&lt;'PlayerGrades+'!$Y$39,"E+",IF(C681&lt;'PlayerGrades+'!$Y$38,"D-",IF(C681&lt;'PlayerGrades+'!$Y$37,"D",IF(C681&lt;'PlayerGrades+'!$Y$36,"D+",IF(C681&lt;'PlayerGrades+'!$Y$35,"C-",IF(C681&lt;'PlayerGrades+'!$Y$34,"C",IF(C681&lt;'PlayerGrades+'!$Y$33,"C+",IF(C681&lt;'PlayerGrades+'!$Y$32,"B-",IF(C681&lt;'PlayerGrades+'!$Y$31,"B",IF(C681&lt;'PlayerGrades+'!$Y$30,"B+",IF(C681&lt;'PlayerGrades+'!$Y$29,"A-",IF(C681&lt;'PlayerGrades+'!$Y$28,"A",IF(C681&lt;'PlayerGrades+'!$Y$27,"A+",IF(C681&lt;'PlayerGrades+'!$Y$26,"S-",IF(C681&lt;'PlayerGrades+'!$Y$25,"S","S+"))))))))))))))))))))</f>
        <v>E-</v>
      </c>
      <c r="C681" s="972">
        <f>('PlayerGrades+'!$Y$47*(VLOOKUP(E681, 'PlayerGrades+'!$X$3:$Y$23, 2, FALSE)))+('PlayerGrades+'!$Y$48*(VLOOKUP(G681, 'PlayerGrades+'!$X$3:$Y$23, 2, FALSE)))+('PlayerGrades+'!$Y$49*(VLOOKUP(I681, 'PlayerGrades+'!$X$3:$Y$23, 2, FALSE)))+('PlayerGrades+'!$Y$50*(VLOOKUP(K681, 'PlayerGrades+'!$X$3:$Y$23, 2, FALSE)))+('PlayerGrades+'!$Y$51*(VLOOKUP(M681, 'PlayerGrades+'!$X$3:$Y$23, 2, FALSE)))+('PlayerGrades+'!$Y$52*(VLOOKUP(O681, 'PlayerGrades+'!$X$3:$Y$23, 2, FALSE)))+('PlayerGrades+'!$Y$53*(VLOOKUP(Q681, 'PlayerGrades+'!$X$3:$Y$23, 2, FALSE)))+('PlayerGrades+'!$Y$54*(VLOOKUP(S681, 'PlayerGrades+'!$X$3:$Y$23, 2, FALSE)))+('PlayerGrades+'!$Y$55*(VLOOKUP(U681, 'PlayerGrades+'!$X$3:$Y$23, 2, FALSE)))</f>
        <v>11</v>
      </c>
      <c r="D681" s="973">
        <f t="shared" si="1"/>
        <v>0.04322766571</v>
      </c>
      <c r="E681" s="973" t="str">
        <f>IF(D681&lt;'PlayerGrades+'!$AA$21,"F-",IF(D681&lt;'PlayerGrades+'!$AA$20,"F",IF(D681&lt;'PlayerGrades+'!$AA$19,"F+",IF(D681&lt;'PlayerGrades+'!$AA$18,"E-",IF(D681&lt;'PlayerGrades+'!$AA$17,"E",IF(D681&lt;'PlayerGrades+'!$AA$16,"E+",IF(D681&lt;'PlayerGrades+'!$AA$15,"D-",IF(D681&lt;'PlayerGrades+'!$AA$14,"D",IF(D681&lt;'PlayerGrades+'!$AA$13,"D+",IF(D681&lt;'PlayerGrades+'!$AA$12,"C-",IF(D681&lt;'PlayerGrades+'!$AA$11,"C",IF(D681&lt;'PlayerGrades+'!$AA$10,"C+",IF(D681&lt;'PlayerGrades+'!$AA$9,"B-",IF(D681&lt;'PlayerGrades+'!$AA$8,"B",IF(D681&lt;'PlayerGrades+'!$AA$7,"B+",IF(D681&lt;'PlayerGrades+'!$AA$6,"A-",IF(D681&lt;'PlayerGrades+'!$AA$5,"A",IF(D681&lt;'PlayerGrades+'!$AA$4,"A+",IF(D681&lt;'PlayerGrades+'!$AA$3,"S-",IF(D681&lt;'PlayerGrades+'!$AA$2,"S","S+"))))))))))))))))))))</f>
        <v>C</v>
      </c>
      <c r="F681" s="973">
        <f t="shared" si="2"/>
        <v>-1.902017291</v>
      </c>
      <c r="G681" s="973" t="str">
        <f>IF(F681&lt;'PlayerGrades+'!$AB$21,"F-",IF(F681&lt;'PlayerGrades+'!$AB$20,"F",IF(F681&lt;'PlayerGrades+'!$AB$19,"F+",IF(F681&lt;'PlayerGrades+'!$AB$18,"E-",IF(F681&lt;'PlayerGrades+'!$AB$17,"E",IF(F681&lt;'PlayerGrades+'!$AB$16,"E+",IF(F681&lt;'PlayerGrades+'!$AB$15,"D-",IF(F681&lt;'PlayerGrades+'!$AB$14,"D",IF(F681&lt;'PlayerGrades+'!$AB$13,"D+",IF(F681&lt;'PlayerGrades+'!$AB$12,"C-",IF(F681&lt;'PlayerGrades+'!$AB$11,"C",IF(F681&lt;'PlayerGrades+'!$AB$10,"C+",IF(F681&lt;'PlayerGrades+'!$AB$9,"B-",IF(F681&lt;'PlayerGrades+'!$AB$8,"B",IF(F681&lt;'PlayerGrades+'!$AB$7,"B+",IF(F681&lt;'PlayerGrades+'!$AB$6,"A-",IF(F681&lt;'PlayerGrades+'!$AB$5,"A",IF(F681&lt;'PlayerGrades+'!$AB$4,"A+",IF(F681&lt;'PlayerGrades+'!$AB$3,"S-",IF(F681&lt;'PlayerGrades+'!$AB$2,"S","S+"))))))))))))))))))))</f>
        <v>F-</v>
      </c>
      <c r="H681" s="973">
        <f t="shared" si="3"/>
        <v>0.08645533141</v>
      </c>
      <c r="I681" s="973" t="str">
        <f>IF(H681&lt;'PlayerGrades+'!$AC$21,"F-",IF(H681&lt;'PlayerGrades+'!$AC$20,"F",IF(H681&lt;'PlayerGrades+'!$AC$19,"F+",IF(H681&lt;'PlayerGrades+'!$AC$18,"E-",IF(H681&lt;'PlayerGrades+'!$AC$17,"E",IF(H681&lt;'PlayerGrades+'!$AC$16,"E+",IF(H681&lt;'PlayerGrades+'!$AC$15,"D-",IF(H681&lt;'PlayerGrades+'!$AC$14,"D",IF(H681&lt;'PlayerGrades+'!$AC$13,"D+",IF(H681&lt;'PlayerGrades+'!$AC$12,"C-",IF(H681&lt;'PlayerGrades+'!$AC$11,"C",IF(H681&lt;'PlayerGrades+'!$AC$10,"C+",IF(H681&lt;'PlayerGrades+'!$AC$9,"B-",IF(H681&lt;'PlayerGrades+'!$AC$8,"B",IF(H681&lt;'PlayerGrades+'!$AC$7,"B+",IF(H681&lt;'PlayerGrades+'!$AC$6,"A-",IF(H681&lt;'PlayerGrades+'!$AC$5,"A",IF(H681&lt;'PlayerGrades+'!$AC$4,"A+",IF(H681&lt;'PlayerGrades+'!$AC$3,"S-",IF(H681&lt;'PlayerGrades+'!$AC$2,"S","S+"))))))))))))))))))))</f>
        <v>D-</v>
      </c>
      <c r="J681" s="973">
        <f t="shared" si="4"/>
        <v>0</v>
      </c>
      <c r="K681" s="973" t="str">
        <f>IF(J681&lt;'PlayerGrades+'!$AD$21,"F-",IF(J681&lt;'PlayerGrades+'!$AD$20,"F",IF(J681&lt;'PlayerGrades+'!$AD$19,"F+",IF(J681&lt;'PlayerGrades+'!$AD$18,"E-",IF(J681&lt;'PlayerGrades+'!$AD$17,"E",IF(J681&lt;'PlayerGrades+'!$AD$16,"E+",IF(J681&lt;'PlayerGrades+'!$AD$15,"D-",IF(J681&lt;'PlayerGrades+'!$AD$14,"D",IF(J681&lt;'PlayerGrades+'!$AD$13,"D+",IF(J681&lt;'PlayerGrades+'!$AD$12,"C-",IF(J681&lt;'PlayerGrades+'!$AD$11,"C",IF(J681&lt;'PlayerGrades+'!$AD$10,"C+",IF(J681&lt;'PlayerGrades+'!$AD$9,"B-",IF(J681&lt;'PlayerGrades+'!$AD$8,"B",IF(J681&lt;'PlayerGrades+'!$AD$7,"B+",IF(J681&lt;'PlayerGrades+'!$AD$6,"A-",IF(J681&lt;'PlayerGrades+'!$AD$5,"A",IF(J681&lt;'PlayerGrades+'!$AD$4,"A+",IF(J681&lt;'PlayerGrades+'!$AD$3,"S-",IF(J681&lt;'PlayerGrades+'!$AD$2,"S","S+"))))))))))))))))))))</f>
        <v>F-</v>
      </c>
      <c r="L681" s="974">
        <f t="shared" si="5"/>
        <v>0.4755043228</v>
      </c>
      <c r="M681" s="975" t="str">
        <f>IF(L681&lt;'PlayerGrades+'!$AE$21,"F-",IF(L681&lt;'PlayerGrades+'!$AE$20,"F",IF(L681&lt;'PlayerGrades+'!$AE$19,"F+",IF(L681&lt;'PlayerGrades+'!$AE$18,"E-",IF(L681&lt;'PlayerGrades+'!$AE$17,"E",IF(L681&lt;'PlayerGrades+'!$AE$16,"E+",IF(L681&lt;'PlayerGrades+'!$AE$15,"D-",IF(L681&lt;'PlayerGrades+'!$AE$14,"D",IF(L681&lt;'PlayerGrades+'!$AE$13,"D+",IF(L681&lt;'PlayerGrades+'!$AE$12,"C-",IF(L681&lt;'PlayerGrades+'!$AE$11,"C",IF(L681&lt;'PlayerGrades+'!$AE$10,"C+",IF(L681&lt;'PlayerGrades+'!$AE$9,"B-",IF(L681&lt;'PlayerGrades+'!$AE$8,"B",IF(L681&lt;'PlayerGrades+'!$AE$7,"B+",IF(L681&lt;'PlayerGrades+'!$AE$6,"A-",IF(L681&lt;'PlayerGrades+'!$AE$5,"A",IF(L681&lt;'PlayerGrades+'!$AE$4,"A+",IF(L681&lt;'PlayerGrades+'!$AE$3,"S-",IF(L681&lt;'PlayerGrades+'!$AE$2,"S","S+"))))))))))))))))))))</f>
        <v>B+</v>
      </c>
      <c r="N681" s="973">
        <f t="shared" si="6"/>
        <v>0.04322766571</v>
      </c>
      <c r="O681" s="973" t="str">
        <f>IF(N681&lt;'PlayerGrades+'!$AF$21,"F-",IF(N681&lt;'PlayerGrades+'!$AF$20,"F",IF(N681&lt;'PlayerGrades+'!$AF$19,"F+",IF(N681&lt;'PlayerGrades+'!$AF$18,"E-",IF(N681&lt;'PlayerGrades+'!$AF$17,"E",IF(N681&lt;'PlayerGrades+'!$AF$16,"E+",IF(N681&lt;'PlayerGrades+'!$AF$15,"D-",IF(N681&lt;'PlayerGrades+'!$AF$14,"D",IF(N681&lt;'PlayerGrades+'!$AF$13,"D+",IF(N681&lt;'PlayerGrades+'!$AF$12,"C-",IF(N681&lt;'PlayerGrades+'!$AF$11,"C",IF(N681&lt;'PlayerGrades+'!$AF$10,"C+",IF(N681&lt;'PlayerGrades+'!$AF$9,"B-",IF(N681&lt;'PlayerGrades+'!$AF$8,"B",IF(N681&lt;'PlayerGrades+'!$AF$7,"B+",IF(N681&lt;'PlayerGrades+'!$AF$6,"A-",IF(N681&lt;'PlayerGrades+'!$AF$5,"A",IF(N681&lt;'PlayerGrades+'!$AF$4,"A+",IF(N681&lt;'PlayerGrades+'!$AF$3,"S-",IF(N681&lt;'PlayerGrades+'!$AF$2,"S","S+"))))))))))))))))))))</f>
        <v>E+</v>
      </c>
      <c r="P681" s="973">
        <f t="shared" si="7"/>
        <v>0</v>
      </c>
      <c r="Q681" s="973" t="str">
        <f>IF(P681&lt;'PlayerGrades+'!$AG$21,"F-",IF(P681&lt;'PlayerGrades+'!$AG$20,"F",IF(P681&lt;'PlayerGrades+'!$AG$19,"F+",IF(P681&lt;'PlayerGrades+'!$AG$18,"E-",IF(P681&lt;'PlayerGrades+'!$AG$17,"E",IF(P681&lt;'PlayerGrades+'!$AG$16,"E+",IF(P681&lt;'PlayerGrades+'!$AG$15,"D-",IF(P681&lt;'PlayerGrades+'!$AG$14,"D",IF(P681&lt;'PlayerGrades+'!$AG$13,"D+",IF(P681&lt;'PlayerGrades+'!$AG$12,"C-",IF(P681&lt;'PlayerGrades+'!$AG$11,"C",IF(P681&lt;'PlayerGrades+'!$AG$10,"C+",IF(P681&lt;'PlayerGrades+'!$AG$9,"B-",IF(P681&lt;'PlayerGrades+'!$AG$8,"B",IF(P681&lt;'PlayerGrades+'!$AG$7,"B+",IF(P681&lt;'PlayerGrades+'!$AG$6,"A-",IF(P681&lt;'PlayerGrades+'!$AG$5,"A",IF(P681&lt;'PlayerGrades+'!$AG$4,"A+",IF(P681&lt;'PlayerGrades+'!$AG$3,"S-",IF(P681&lt;'PlayerGrades+'!$AG$2,"S","S+"))))))))))))))))))))</f>
        <v>F</v>
      </c>
      <c r="R681" s="973">
        <f t="shared" si="8"/>
        <v>0.3025936599</v>
      </c>
      <c r="S681" s="973" t="str">
        <f>IF(R681&lt;'PlayerGrades+'!$AH$21,"F-",IF(R681&lt;'PlayerGrades+'!$AH$20,"F",IF(R681&lt;'PlayerGrades+'!$AH$19,"F+",IF(R681&lt;'PlayerGrades+'!$AH$18,"E-",IF(R681&lt;'PlayerGrades+'!$AH$17,"E",IF(R681&lt;'PlayerGrades+'!$AH$16,"E+",IF(R681&lt;'PlayerGrades+'!$AH$15,"D-",IF(R681&lt;'PlayerGrades+'!$AH$14,"D",IF(R681&lt;'PlayerGrades+'!$AH$13,"D+",IF(R681&lt;'PlayerGrades+'!$AH$12,"C-",IF(R681&lt;'PlayerGrades+'!$AH$11,"C",IF(R681&lt;'PlayerGrades+'!$AH$10,"C+",IF(R681&lt;'PlayerGrades+'!$AH$9,"B-",IF(R681&lt;'PlayerGrades+'!$AH$8,"B",IF(R681&lt;'PlayerGrades+'!$AH$7,"B+",IF(R681&lt;'PlayerGrades+'!$AH$6,"A-",IF(R681&lt;'PlayerGrades+'!$AH$5,"A",IF(R681&lt;'PlayerGrades+'!$AH$4,"A+",IF(R681&lt;'PlayerGrades+'!$AH$3,"S-",IF(R681&lt;'PlayerGrades+'!$AH$2,"S","S+"))))))))))))))))))))</f>
        <v>F-</v>
      </c>
      <c r="T681" s="973">
        <f t="shared" si="9"/>
        <v>0.4322766571</v>
      </c>
      <c r="U681" s="973" t="str">
        <f>IF(T681&lt;'PlayerGrades+'!$AI$21,"F-",IF(T681&lt;'PlayerGrades+'!$AI$20,"F",IF(T681&lt;'PlayerGrades+'!$AI$19,"F+",IF(T681&lt;'PlayerGrades+'!$AI$18,"E-",IF(T681&lt;'PlayerGrades+'!$AI$17,"E",IF(T681&lt;'PlayerGrades+'!$AI$16,"E+",IF(T681&lt;'PlayerGrades+'!$AI$15,"D-",IF(T681&lt;'PlayerGrades+'!$AI$14,"D",IF(T681&lt;'PlayerGrades+'!$AI$13,"D+",IF(T681&lt;'PlayerGrades+'!$AI$12,"C-",IF(T681&lt;'PlayerGrades+'!$AI$11,"C",IF(T681&lt;'PlayerGrades+'!$AI$10,"C+",IF(T681&lt;'PlayerGrades+'!$AI$9,"B-",IF(T681&lt;'PlayerGrades+'!$AI$8,"B",IF(T681&lt;'PlayerGrades+'!$AI$7,"B+",IF(T681&lt;'PlayerGrades+'!$AI$6,"A-",IF(T681&lt;'PlayerGrades+'!$AI$5,"A",IF(T681&lt;'PlayerGrades+'!$AI$4,"A+",IF(T681&lt;'PlayerGrades+'!$AI$3,"S-",IF(T681&lt;'PlayerGrades+'!$AI$2,"S","S+"))))))))))))))))))))</f>
        <v>F-</v>
      </c>
      <c r="V681" s="944">
        <v>1.0</v>
      </c>
      <c r="W681" s="944">
        <v>0.0</v>
      </c>
      <c r="X681" s="944">
        <v>1.0</v>
      </c>
      <c r="Y681" s="944">
        <v>0.0</v>
      </c>
      <c r="Z681" s="944">
        <v>1.0</v>
      </c>
      <c r="AA681" s="944">
        <v>64.0</v>
      </c>
      <c r="AB681" s="944">
        <v>108.0</v>
      </c>
      <c r="AC681" s="944">
        <v>-44.0</v>
      </c>
      <c r="AD681" s="944">
        <v>5.0</v>
      </c>
      <c r="AE681" s="944">
        <v>3.0</v>
      </c>
      <c r="AF681" s="944">
        <v>3.0</v>
      </c>
      <c r="AG681" s="944">
        <v>1002.0</v>
      </c>
      <c r="AH681" s="944">
        <v>1388.0</v>
      </c>
      <c r="AI681" s="944">
        <v>9.0</v>
      </c>
      <c r="AJ681" s="944">
        <v>22.0</v>
      </c>
      <c r="AK681" s="944">
        <v>0.0</v>
      </c>
      <c r="AL681" s="944">
        <v>0.0</v>
      </c>
      <c r="AM681" s="944">
        <v>0.0</v>
      </c>
      <c r="AN681" s="944">
        <v>0.0</v>
      </c>
      <c r="AO681" s="944">
        <v>0.0</v>
      </c>
      <c r="AP681" s="944">
        <v>0.0</v>
      </c>
      <c r="AQ681" s="944">
        <v>0.0</v>
      </c>
      <c r="AR681" s="944">
        <v>11.0</v>
      </c>
      <c r="AS681" s="944">
        <v>1.0</v>
      </c>
      <c r="AT681" s="944">
        <v>0.0</v>
      </c>
      <c r="AU681" s="944">
        <v>0.0</v>
      </c>
      <c r="AV681" s="944">
        <v>0.0</v>
      </c>
      <c r="AW681" s="944">
        <v>0.0</v>
      </c>
      <c r="AX681" s="944">
        <v>0.0</v>
      </c>
      <c r="AY681" s="944">
        <v>0.0</v>
      </c>
      <c r="AZ681" s="944">
        <v>0.0</v>
      </c>
      <c r="BA681" s="944">
        <v>0.0</v>
      </c>
      <c r="BB681" s="944">
        <v>2.0</v>
      </c>
      <c r="BC681" s="944">
        <v>0.0</v>
      </c>
      <c r="BD681" s="944">
        <v>2.0</v>
      </c>
      <c r="BE681" s="944">
        <v>10.0</v>
      </c>
      <c r="BF681" s="944">
        <v>0.0</v>
      </c>
      <c r="BG681" s="945">
        <v>0.0</v>
      </c>
    </row>
    <row r="682">
      <c r="A682" s="946" t="s">
        <v>123</v>
      </c>
      <c r="B682" s="421" t="str">
        <f>IF(C682&lt;'PlayerGrades+'!$Y$44,"F-",IF(C682&lt;'PlayerGrades+'!$Y$43,"F",IF(C682&lt;'PlayerGrades+'!$Y$42,"F+",IF(C682&lt;'PlayerGrades+'!$Y$41,"E-",IF(C682&lt;'PlayerGrades+'!$Y$40,"E",IF(C682&lt;'PlayerGrades+'!$Y$39,"E+",IF(C682&lt;'PlayerGrades+'!$Y$38,"D-",IF(C682&lt;'PlayerGrades+'!$Y$37,"D",IF(C682&lt;'PlayerGrades+'!$Y$36,"D+",IF(C682&lt;'PlayerGrades+'!$Y$35,"C-",IF(C682&lt;'PlayerGrades+'!$Y$34,"C",IF(C682&lt;'PlayerGrades+'!$Y$33,"C+",IF(C682&lt;'PlayerGrades+'!$Y$32,"B-",IF(C682&lt;'PlayerGrades+'!$Y$31,"B",IF(C682&lt;'PlayerGrades+'!$Y$30,"B+",IF(C682&lt;'PlayerGrades+'!$Y$29,"A-",IF(C682&lt;'PlayerGrades+'!$Y$28,"A",IF(C682&lt;'PlayerGrades+'!$Y$27,"A+",IF(C682&lt;'PlayerGrades+'!$Y$26,"S-",IF(C682&lt;'PlayerGrades+'!$Y$25,"S","S+"))))))))))))))))))))</f>
        <v>A+</v>
      </c>
      <c r="C682" s="972">
        <f>('PlayerGrades+'!$Y$47*(VLOOKUP(E682, 'PlayerGrades+'!$X$3:$Y$23, 2, FALSE)))+('PlayerGrades+'!$Y$48*(VLOOKUP(G682, 'PlayerGrades+'!$X$3:$Y$23, 2, FALSE)))+('PlayerGrades+'!$Y$49*(VLOOKUP(I682, 'PlayerGrades+'!$X$3:$Y$23, 2, FALSE)))+('PlayerGrades+'!$Y$50*(VLOOKUP(K682, 'PlayerGrades+'!$X$3:$Y$23, 2, FALSE)))+('PlayerGrades+'!$Y$51*(VLOOKUP(M682, 'PlayerGrades+'!$X$3:$Y$23, 2, FALSE)))+('PlayerGrades+'!$Y$52*(VLOOKUP(O682, 'PlayerGrades+'!$X$3:$Y$23, 2, FALSE)))+('PlayerGrades+'!$Y$53*(VLOOKUP(Q682, 'PlayerGrades+'!$X$3:$Y$23, 2, FALSE)))+('PlayerGrades+'!$Y$54*(VLOOKUP(S682, 'PlayerGrades+'!$X$3:$Y$23, 2, FALSE)))+('PlayerGrades+'!$Y$55*(VLOOKUP(U682, 'PlayerGrades+'!$X$3:$Y$23, 2, FALSE)))</f>
        <v>28.2</v>
      </c>
      <c r="D682" s="973">
        <f t="shared" si="1"/>
        <v>1.940491591</v>
      </c>
      <c r="E682" s="973" t="str">
        <f>IF(D682&lt;'PlayerGrades+'!$AA$21,"F-",IF(D682&lt;'PlayerGrades+'!$AA$20,"F",IF(D682&lt;'PlayerGrades+'!$AA$19,"F+",IF(D682&lt;'PlayerGrades+'!$AA$18,"E-",IF(D682&lt;'PlayerGrades+'!$AA$17,"E",IF(D682&lt;'PlayerGrades+'!$AA$16,"E+",IF(D682&lt;'PlayerGrades+'!$AA$15,"D-",IF(D682&lt;'PlayerGrades+'!$AA$14,"D",IF(D682&lt;'PlayerGrades+'!$AA$13,"D+",IF(D682&lt;'PlayerGrades+'!$AA$12,"C-",IF(D682&lt;'PlayerGrades+'!$AA$11,"C",IF(D682&lt;'PlayerGrades+'!$AA$10,"C+",IF(D682&lt;'PlayerGrades+'!$AA$9,"B-",IF(D682&lt;'PlayerGrades+'!$AA$8,"B",IF(D682&lt;'PlayerGrades+'!$AA$7,"B+",IF(D682&lt;'PlayerGrades+'!$AA$6,"A-",IF(D682&lt;'PlayerGrades+'!$AA$5,"A",IF(D682&lt;'PlayerGrades+'!$AA$4,"A+",IF(D682&lt;'PlayerGrades+'!$AA$3,"S-",IF(D682&lt;'PlayerGrades+'!$AA$2,"S","S+"))))))))))))))))))))</f>
        <v>S+</v>
      </c>
      <c r="F682" s="973">
        <f t="shared" si="2"/>
        <v>0.8538163001</v>
      </c>
      <c r="G682" s="973" t="str">
        <f>IF(F682&lt;'PlayerGrades+'!$AB$21,"F-",IF(F682&lt;'PlayerGrades+'!$AB$20,"F",IF(F682&lt;'PlayerGrades+'!$AB$19,"F+",IF(F682&lt;'PlayerGrades+'!$AB$18,"E-",IF(F682&lt;'PlayerGrades+'!$AB$17,"E",IF(F682&lt;'PlayerGrades+'!$AB$16,"E+",IF(F682&lt;'PlayerGrades+'!$AB$15,"D-",IF(F682&lt;'PlayerGrades+'!$AB$14,"D",IF(F682&lt;'PlayerGrades+'!$AB$13,"D+",IF(F682&lt;'PlayerGrades+'!$AB$12,"C-",IF(F682&lt;'PlayerGrades+'!$AB$11,"C",IF(F682&lt;'PlayerGrades+'!$AB$10,"C+",IF(F682&lt;'PlayerGrades+'!$AB$9,"B-",IF(F682&lt;'PlayerGrades+'!$AB$8,"B",IF(F682&lt;'PlayerGrades+'!$AB$7,"B+",IF(F682&lt;'PlayerGrades+'!$AB$6,"A-",IF(F682&lt;'PlayerGrades+'!$AB$5,"A",IF(F682&lt;'PlayerGrades+'!$AB$4,"A+",IF(F682&lt;'PlayerGrades+'!$AB$3,"S-",IF(F682&lt;'PlayerGrades+'!$AB$2,"S","S+"))))))))))))))))))))</f>
        <v>S</v>
      </c>
      <c r="H682" s="973">
        <f t="shared" si="3"/>
        <v>0</v>
      </c>
      <c r="I682" s="973" t="str">
        <f>IF(H682&lt;'PlayerGrades+'!$AC$21,"F-",IF(H682&lt;'PlayerGrades+'!$AC$20,"F",IF(H682&lt;'PlayerGrades+'!$AC$19,"F+",IF(H682&lt;'PlayerGrades+'!$AC$18,"E-",IF(H682&lt;'PlayerGrades+'!$AC$17,"E",IF(H682&lt;'PlayerGrades+'!$AC$16,"E+",IF(H682&lt;'PlayerGrades+'!$AC$15,"D-",IF(H682&lt;'PlayerGrades+'!$AC$14,"D",IF(H682&lt;'PlayerGrades+'!$AC$13,"D+",IF(H682&lt;'PlayerGrades+'!$AC$12,"C-",IF(H682&lt;'PlayerGrades+'!$AC$11,"C",IF(H682&lt;'PlayerGrades+'!$AC$10,"C+",IF(H682&lt;'PlayerGrades+'!$AC$9,"B-",IF(H682&lt;'PlayerGrades+'!$AC$8,"B",IF(H682&lt;'PlayerGrades+'!$AC$7,"B+",IF(H682&lt;'PlayerGrades+'!$AC$6,"A-",IF(H682&lt;'PlayerGrades+'!$AC$5,"A",IF(H682&lt;'PlayerGrades+'!$AC$4,"A+",IF(H682&lt;'PlayerGrades+'!$AC$3,"S-",IF(H682&lt;'PlayerGrades+'!$AC$2,"S","S+"))))))))))))))))))))</f>
        <v>F-</v>
      </c>
      <c r="J682" s="973">
        <f t="shared" si="4"/>
        <v>0.1552393273</v>
      </c>
      <c r="K682" s="973" t="str">
        <f>IF(J682&lt;'PlayerGrades+'!$AD$21,"F-",IF(J682&lt;'PlayerGrades+'!$AD$20,"F",IF(J682&lt;'PlayerGrades+'!$AD$19,"F+",IF(J682&lt;'PlayerGrades+'!$AD$18,"E-",IF(J682&lt;'PlayerGrades+'!$AD$17,"E",IF(J682&lt;'PlayerGrades+'!$AD$16,"E+",IF(J682&lt;'PlayerGrades+'!$AD$15,"D-",IF(J682&lt;'PlayerGrades+'!$AD$14,"D",IF(J682&lt;'PlayerGrades+'!$AD$13,"D+",IF(J682&lt;'PlayerGrades+'!$AD$12,"C-",IF(J682&lt;'PlayerGrades+'!$AD$11,"C",IF(J682&lt;'PlayerGrades+'!$AD$10,"C+",IF(J682&lt;'PlayerGrades+'!$AD$9,"B-",IF(J682&lt;'PlayerGrades+'!$AD$8,"B",IF(J682&lt;'PlayerGrades+'!$AD$7,"B+",IF(J682&lt;'PlayerGrades+'!$AD$6,"A-",IF(J682&lt;'PlayerGrades+'!$AD$5,"A",IF(J682&lt;'PlayerGrades+'!$AD$4,"A+",IF(J682&lt;'PlayerGrades+'!$AD$3,"S-",IF(J682&lt;'PlayerGrades+'!$AD$2,"S","S+"))))))))))))))))))))</f>
        <v>S+</v>
      </c>
      <c r="L682" s="974">
        <f t="shared" si="5"/>
        <v>0.5433376455</v>
      </c>
      <c r="M682" s="975" t="str">
        <f>IF(L682&lt;'PlayerGrades+'!$AE$21,"F-",IF(L682&lt;'PlayerGrades+'!$AE$20,"F",IF(L682&lt;'PlayerGrades+'!$AE$19,"F+",IF(L682&lt;'PlayerGrades+'!$AE$18,"E-",IF(L682&lt;'PlayerGrades+'!$AE$17,"E",IF(L682&lt;'PlayerGrades+'!$AE$16,"E+",IF(L682&lt;'PlayerGrades+'!$AE$15,"D-",IF(L682&lt;'PlayerGrades+'!$AE$14,"D",IF(L682&lt;'PlayerGrades+'!$AE$13,"D+",IF(L682&lt;'PlayerGrades+'!$AE$12,"C-",IF(L682&lt;'PlayerGrades+'!$AE$11,"C",IF(L682&lt;'PlayerGrades+'!$AE$10,"C+",IF(L682&lt;'PlayerGrades+'!$AE$9,"B-",IF(L682&lt;'PlayerGrades+'!$AE$8,"B",IF(L682&lt;'PlayerGrades+'!$AE$7,"B+",IF(L682&lt;'PlayerGrades+'!$AE$6,"A-",IF(L682&lt;'PlayerGrades+'!$AE$5,"A",IF(L682&lt;'PlayerGrades+'!$AE$4,"A+",IF(L682&lt;'PlayerGrades+'!$AE$3,"S-",IF(L682&lt;'PlayerGrades+'!$AE$2,"S","S+"))))))))))))))))))))</f>
        <v>A</v>
      </c>
      <c r="N682" s="973">
        <f t="shared" si="6"/>
        <v>0.2328589909</v>
      </c>
      <c r="O682" s="973" t="str">
        <f>IF(N682&lt;'PlayerGrades+'!$AF$21,"F-",IF(N682&lt;'PlayerGrades+'!$AF$20,"F",IF(N682&lt;'PlayerGrades+'!$AF$19,"F+",IF(N682&lt;'PlayerGrades+'!$AF$18,"E-",IF(N682&lt;'PlayerGrades+'!$AF$17,"E",IF(N682&lt;'PlayerGrades+'!$AF$16,"E+",IF(N682&lt;'PlayerGrades+'!$AF$15,"D-",IF(N682&lt;'PlayerGrades+'!$AF$14,"D",IF(N682&lt;'PlayerGrades+'!$AF$13,"D+",IF(N682&lt;'PlayerGrades+'!$AF$12,"C-",IF(N682&lt;'PlayerGrades+'!$AF$11,"C",IF(N682&lt;'PlayerGrades+'!$AF$10,"C+",IF(N682&lt;'PlayerGrades+'!$AF$9,"B-",IF(N682&lt;'PlayerGrades+'!$AF$8,"B",IF(N682&lt;'PlayerGrades+'!$AF$7,"B+",IF(N682&lt;'PlayerGrades+'!$AF$6,"A-",IF(N682&lt;'PlayerGrades+'!$AF$5,"A",IF(N682&lt;'PlayerGrades+'!$AF$4,"A+",IF(N682&lt;'PlayerGrades+'!$AF$3,"S-",IF(N682&lt;'PlayerGrades+'!$AF$2,"S","S+"))))))))))))))))))))</f>
        <v>S+</v>
      </c>
      <c r="P682" s="973">
        <f t="shared" si="7"/>
        <v>0</v>
      </c>
      <c r="Q682" s="973" t="str">
        <f>IF(P682&lt;'PlayerGrades+'!$AG$21,"F-",IF(P682&lt;'PlayerGrades+'!$AG$20,"F",IF(P682&lt;'PlayerGrades+'!$AG$19,"F+",IF(P682&lt;'PlayerGrades+'!$AG$18,"E-",IF(P682&lt;'PlayerGrades+'!$AG$17,"E",IF(P682&lt;'PlayerGrades+'!$AG$16,"E+",IF(P682&lt;'PlayerGrades+'!$AG$15,"D-",IF(P682&lt;'PlayerGrades+'!$AG$14,"D",IF(P682&lt;'PlayerGrades+'!$AG$13,"D+",IF(P682&lt;'PlayerGrades+'!$AG$12,"C-",IF(P682&lt;'PlayerGrades+'!$AG$11,"C",IF(P682&lt;'PlayerGrades+'!$AG$10,"C+",IF(P682&lt;'PlayerGrades+'!$AG$9,"B-",IF(P682&lt;'PlayerGrades+'!$AG$8,"B",IF(P682&lt;'PlayerGrades+'!$AG$7,"B+",IF(P682&lt;'PlayerGrades+'!$AG$6,"A-",IF(P682&lt;'PlayerGrades+'!$AG$5,"A",IF(P682&lt;'PlayerGrades+'!$AG$4,"A+",IF(P682&lt;'PlayerGrades+'!$AG$3,"S-",IF(P682&lt;'PlayerGrades+'!$AG$2,"S","S+"))))))))))))))))))))</f>
        <v>F</v>
      </c>
      <c r="R682" s="973">
        <f t="shared" si="8"/>
        <v>0.6209573092</v>
      </c>
      <c r="S682" s="973" t="str">
        <f>IF(R682&lt;'PlayerGrades+'!$AH$21,"F-",IF(R682&lt;'PlayerGrades+'!$AH$20,"F",IF(R682&lt;'PlayerGrades+'!$AH$19,"F+",IF(R682&lt;'PlayerGrades+'!$AH$18,"E-",IF(R682&lt;'PlayerGrades+'!$AH$17,"E",IF(R682&lt;'PlayerGrades+'!$AH$16,"E+",IF(R682&lt;'PlayerGrades+'!$AH$15,"D-",IF(R682&lt;'PlayerGrades+'!$AH$14,"D",IF(R682&lt;'PlayerGrades+'!$AH$13,"D+",IF(R682&lt;'PlayerGrades+'!$AH$12,"C-",IF(R682&lt;'PlayerGrades+'!$AH$11,"C",IF(R682&lt;'PlayerGrades+'!$AH$10,"C+",IF(R682&lt;'PlayerGrades+'!$AH$9,"B-",IF(R682&lt;'PlayerGrades+'!$AH$8,"B",IF(R682&lt;'PlayerGrades+'!$AH$7,"B+",IF(R682&lt;'PlayerGrades+'!$AH$6,"A-",IF(R682&lt;'PlayerGrades+'!$AH$5,"A",IF(R682&lt;'PlayerGrades+'!$AH$4,"A+",IF(R682&lt;'PlayerGrades+'!$AH$3,"S-",IF(R682&lt;'PlayerGrades+'!$AH$2,"S","S+"))))))))))))))))))))</f>
        <v>A-</v>
      </c>
      <c r="T682" s="973">
        <f t="shared" si="9"/>
        <v>1.232858991</v>
      </c>
      <c r="U682" s="973" t="str">
        <f>IF(T682&lt;'PlayerGrades+'!$AI$21,"F-",IF(T682&lt;'PlayerGrades+'!$AI$20,"F",IF(T682&lt;'PlayerGrades+'!$AI$19,"F+",IF(T682&lt;'PlayerGrades+'!$AI$18,"E-",IF(T682&lt;'PlayerGrades+'!$AI$17,"E",IF(T682&lt;'PlayerGrades+'!$AI$16,"E+",IF(T682&lt;'PlayerGrades+'!$AI$15,"D-",IF(T682&lt;'PlayerGrades+'!$AI$14,"D",IF(T682&lt;'PlayerGrades+'!$AI$13,"D+",IF(T682&lt;'PlayerGrades+'!$AI$12,"C-",IF(T682&lt;'PlayerGrades+'!$AI$11,"C",IF(T682&lt;'PlayerGrades+'!$AI$10,"C+",IF(T682&lt;'PlayerGrades+'!$AI$9,"B-",IF(T682&lt;'PlayerGrades+'!$AI$8,"B",IF(T682&lt;'PlayerGrades+'!$AI$7,"B+",IF(T682&lt;'PlayerGrades+'!$AI$6,"A-",IF(T682&lt;'PlayerGrades+'!$AI$5,"A",IF(T682&lt;'PlayerGrades+'!$AI$4,"A+",IF(T682&lt;'PlayerGrades+'!$AI$3,"S-",IF(T682&lt;'PlayerGrades+'!$AI$2,"S","S+"))))))))))))))))))))</f>
        <v>C</v>
      </c>
      <c r="V682" s="939">
        <v>1.0</v>
      </c>
      <c r="W682" s="939">
        <v>1.0</v>
      </c>
      <c r="X682" s="939">
        <v>0.0</v>
      </c>
      <c r="Y682" s="939">
        <v>5.0</v>
      </c>
      <c r="Z682" s="939">
        <v>20.0</v>
      </c>
      <c r="AA682" s="939">
        <v>39.0</v>
      </c>
      <c r="AB682" s="939">
        <v>28.0</v>
      </c>
      <c r="AC682" s="939">
        <v>11.0</v>
      </c>
      <c r="AD682" s="939">
        <v>0.0</v>
      </c>
      <c r="AE682" s="939">
        <v>8.0</v>
      </c>
      <c r="AF682" s="939">
        <v>0.0</v>
      </c>
      <c r="AG682" s="939">
        <v>582.0</v>
      </c>
      <c r="AH682" s="939">
        <v>773.0</v>
      </c>
      <c r="AI682" s="939">
        <v>20.0</v>
      </c>
      <c r="AJ682" s="939">
        <v>368.0</v>
      </c>
      <c r="AK682" s="939">
        <v>0.0</v>
      </c>
      <c r="AL682" s="939">
        <v>2.0</v>
      </c>
      <c r="AM682" s="939">
        <v>0.0</v>
      </c>
      <c r="AN682" s="939">
        <v>0.0</v>
      </c>
      <c r="AO682" s="939">
        <v>0.0</v>
      </c>
      <c r="AP682" s="939">
        <v>0.0</v>
      </c>
      <c r="AQ682" s="939">
        <v>0.0</v>
      </c>
      <c r="AR682" s="939">
        <v>7.0</v>
      </c>
      <c r="AS682" s="939">
        <v>3.0</v>
      </c>
      <c r="AT682" s="939">
        <v>0.0</v>
      </c>
      <c r="AU682" s="939">
        <v>0.0</v>
      </c>
      <c r="AV682" s="939">
        <v>0.0</v>
      </c>
      <c r="AW682" s="939">
        <v>0.0</v>
      </c>
      <c r="AX682" s="939">
        <v>0.0</v>
      </c>
      <c r="AY682" s="939">
        <v>0.0</v>
      </c>
      <c r="AZ682" s="939">
        <v>0.0</v>
      </c>
      <c r="BA682" s="939">
        <v>0.0</v>
      </c>
      <c r="BB682" s="939">
        <v>0.0</v>
      </c>
      <c r="BC682" s="939">
        <v>0.0</v>
      </c>
      <c r="BD682" s="939">
        <v>8.0</v>
      </c>
      <c r="BE682" s="939">
        <v>3.0</v>
      </c>
      <c r="BF682" s="939">
        <v>1.0</v>
      </c>
      <c r="BG682" s="940">
        <v>1.0</v>
      </c>
    </row>
    <row r="683">
      <c r="A683" s="935" t="s">
        <v>145</v>
      </c>
      <c r="B683" s="421" t="str">
        <f>IF(C683&lt;'PlayerGrades+'!$Y$44,"F-",IF(C683&lt;'PlayerGrades+'!$Y$43,"F",IF(C683&lt;'PlayerGrades+'!$Y$42,"F+",IF(C683&lt;'PlayerGrades+'!$Y$41,"E-",IF(C683&lt;'PlayerGrades+'!$Y$40,"E",IF(C683&lt;'PlayerGrades+'!$Y$39,"E+",IF(C683&lt;'PlayerGrades+'!$Y$38,"D-",IF(C683&lt;'PlayerGrades+'!$Y$37,"D",IF(C683&lt;'PlayerGrades+'!$Y$36,"D+",IF(C683&lt;'PlayerGrades+'!$Y$35,"C-",IF(C683&lt;'PlayerGrades+'!$Y$34,"C",IF(C683&lt;'PlayerGrades+'!$Y$33,"C+",IF(C683&lt;'PlayerGrades+'!$Y$32,"B-",IF(C683&lt;'PlayerGrades+'!$Y$31,"B",IF(C683&lt;'PlayerGrades+'!$Y$30,"B+",IF(C683&lt;'PlayerGrades+'!$Y$29,"A-",IF(C683&lt;'PlayerGrades+'!$Y$28,"A",IF(C683&lt;'PlayerGrades+'!$Y$27,"A+",IF(C683&lt;'PlayerGrades+'!$Y$26,"S-",IF(C683&lt;'PlayerGrades+'!$Y$25,"S","S+"))))))))))))))))))))</f>
        <v>A+</v>
      </c>
      <c r="C683" s="972">
        <f>('PlayerGrades+'!$Y$47*(VLOOKUP(E683, 'PlayerGrades+'!$X$3:$Y$23, 2, FALSE)))+('PlayerGrades+'!$Y$48*(VLOOKUP(G683, 'PlayerGrades+'!$X$3:$Y$23, 2, FALSE)))+('PlayerGrades+'!$Y$49*(VLOOKUP(I683, 'PlayerGrades+'!$X$3:$Y$23, 2, FALSE)))+('PlayerGrades+'!$Y$50*(VLOOKUP(K683, 'PlayerGrades+'!$X$3:$Y$23, 2, FALSE)))+('PlayerGrades+'!$Y$51*(VLOOKUP(M683, 'PlayerGrades+'!$X$3:$Y$23, 2, FALSE)))+('PlayerGrades+'!$Y$52*(VLOOKUP(O683, 'PlayerGrades+'!$X$3:$Y$23, 2, FALSE)))+('PlayerGrades+'!$Y$53*(VLOOKUP(Q683, 'PlayerGrades+'!$X$3:$Y$23, 2, FALSE)))+('PlayerGrades+'!$Y$54*(VLOOKUP(S683, 'PlayerGrades+'!$X$3:$Y$23, 2, FALSE)))+('PlayerGrades+'!$Y$55*(VLOOKUP(U683, 'PlayerGrades+'!$X$3:$Y$23, 2, FALSE)))</f>
        <v>29</v>
      </c>
      <c r="D683" s="973">
        <f t="shared" si="1"/>
        <v>0</v>
      </c>
      <c r="E683" s="973" t="str">
        <f>IF(D683&lt;'PlayerGrades+'!$AA$21,"F-",IF(D683&lt;'PlayerGrades+'!$AA$20,"F",IF(D683&lt;'PlayerGrades+'!$AA$19,"F+",IF(D683&lt;'PlayerGrades+'!$AA$18,"E-",IF(D683&lt;'PlayerGrades+'!$AA$17,"E",IF(D683&lt;'PlayerGrades+'!$AA$16,"E+",IF(D683&lt;'PlayerGrades+'!$AA$15,"D-",IF(D683&lt;'PlayerGrades+'!$AA$14,"D",IF(D683&lt;'PlayerGrades+'!$AA$13,"D+",IF(D683&lt;'PlayerGrades+'!$AA$12,"C-",IF(D683&lt;'PlayerGrades+'!$AA$11,"C",IF(D683&lt;'PlayerGrades+'!$AA$10,"C+",IF(D683&lt;'PlayerGrades+'!$AA$9,"B-",IF(D683&lt;'PlayerGrades+'!$AA$8,"B",IF(D683&lt;'PlayerGrades+'!$AA$7,"B+",IF(D683&lt;'PlayerGrades+'!$AA$6,"A-",IF(D683&lt;'PlayerGrades+'!$AA$5,"A",IF(D683&lt;'PlayerGrades+'!$AA$4,"A+",IF(D683&lt;'PlayerGrades+'!$AA$3,"S-",IF(D683&lt;'PlayerGrades+'!$AA$2,"S","S+"))))))))))))))))))))</f>
        <v>F-</v>
      </c>
      <c r="F683" s="973">
        <f t="shared" si="2"/>
        <v>-0.07761966365</v>
      </c>
      <c r="G683" s="973" t="str">
        <f>IF(F683&lt;'PlayerGrades+'!$AB$21,"F-",IF(F683&lt;'PlayerGrades+'!$AB$20,"F",IF(F683&lt;'PlayerGrades+'!$AB$19,"F+",IF(F683&lt;'PlayerGrades+'!$AB$18,"E-",IF(F683&lt;'PlayerGrades+'!$AB$17,"E",IF(F683&lt;'PlayerGrades+'!$AB$16,"E+",IF(F683&lt;'PlayerGrades+'!$AB$15,"D-",IF(F683&lt;'PlayerGrades+'!$AB$14,"D",IF(F683&lt;'PlayerGrades+'!$AB$13,"D+",IF(F683&lt;'PlayerGrades+'!$AB$12,"C-",IF(F683&lt;'PlayerGrades+'!$AB$11,"C",IF(F683&lt;'PlayerGrades+'!$AB$10,"C+",IF(F683&lt;'PlayerGrades+'!$AB$9,"B-",IF(F683&lt;'PlayerGrades+'!$AB$8,"B",IF(F683&lt;'PlayerGrades+'!$AB$7,"B+",IF(F683&lt;'PlayerGrades+'!$AB$6,"A-",IF(F683&lt;'PlayerGrades+'!$AB$5,"A",IF(F683&lt;'PlayerGrades+'!$AB$4,"A+",IF(F683&lt;'PlayerGrades+'!$AB$3,"S-",IF(F683&lt;'PlayerGrades+'!$AB$2,"S","S+"))))))))))))))))))))</f>
        <v>B-</v>
      </c>
      <c r="H683" s="973">
        <f t="shared" si="3"/>
        <v>0.1552393273</v>
      </c>
      <c r="I683" s="973" t="str">
        <f>IF(H683&lt;'PlayerGrades+'!$AC$21,"F-",IF(H683&lt;'PlayerGrades+'!$AC$20,"F",IF(H683&lt;'PlayerGrades+'!$AC$19,"F+",IF(H683&lt;'PlayerGrades+'!$AC$18,"E-",IF(H683&lt;'PlayerGrades+'!$AC$17,"E",IF(H683&lt;'PlayerGrades+'!$AC$16,"E+",IF(H683&lt;'PlayerGrades+'!$AC$15,"D-",IF(H683&lt;'PlayerGrades+'!$AC$14,"D",IF(H683&lt;'PlayerGrades+'!$AC$13,"D+",IF(H683&lt;'PlayerGrades+'!$AC$12,"C-",IF(H683&lt;'PlayerGrades+'!$AC$11,"C",IF(H683&lt;'PlayerGrades+'!$AC$10,"C+",IF(H683&lt;'PlayerGrades+'!$AC$9,"B-",IF(H683&lt;'PlayerGrades+'!$AC$8,"B",IF(H683&lt;'PlayerGrades+'!$AC$7,"B+",IF(H683&lt;'PlayerGrades+'!$AC$6,"A-",IF(H683&lt;'PlayerGrades+'!$AC$5,"A",IF(H683&lt;'PlayerGrades+'!$AC$4,"A+",IF(H683&lt;'PlayerGrades+'!$AC$3,"S-",IF(H683&lt;'PlayerGrades+'!$AC$2,"S","S+"))))))))))))))))))))</f>
        <v>A</v>
      </c>
      <c r="J683" s="973">
        <f t="shared" si="4"/>
        <v>0.07761966365</v>
      </c>
      <c r="K683" s="973" t="str">
        <f>IF(J683&lt;'PlayerGrades+'!$AD$21,"F-",IF(J683&lt;'PlayerGrades+'!$AD$20,"F",IF(J683&lt;'PlayerGrades+'!$AD$19,"F+",IF(J683&lt;'PlayerGrades+'!$AD$18,"E-",IF(J683&lt;'PlayerGrades+'!$AD$17,"E",IF(J683&lt;'PlayerGrades+'!$AD$16,"E+",IF(J683&lt;'PlayerGrades+'!$AD$15,"D-",IF(J683&lt;'PlayerGrades+'!$AD$14,"D",IF(J683&lt;'PlayerGrades+'!$AD$13,"D+",IF(J683&lt;'PlayerGrades+'!$AD$12,"C-",IF(J683&lt;'PlayerGrades+'!$AD$11,"C",IF(J683&lt;'PlayerGrades+'!$AD$10,"C+",IF(J683&lt;'PlayerGrades+'!$AD$9,"B-",IF(J683&lt;'PlayerGrades+'!$AD$8,"B",IF(J683&lt;'PlayerGrades+'!$AD$7,"B+",IF(J683&lt;'PlayerGrades+'!$AD$6,"A-",IF(J683&lt;'PlayerGrades+'!$AD$5,"A",IF(J683&lt;'PlayerGrades+'!$AD$4,"A+",IF(J683&lt;'PlayerGrades+'!$AD$3,"S-",IF(J683&lt;'PlayerGrades+'!$AD$2,"S","S+"))))))))))))))))))))</f>
        <v>A+</v>
      </c>
      <c r="L683" s="974">
        <f t="shared" si="5"/>
        <v>0.6985769728</v>
      </c>
      <c r="M683" s="975" t="str">
        <f>IF(L683&lt;'PlayerGrades+'!$AE$21,"F-",IF(L683&lt;'PlayerGrades+'!$AE$20,"F",IF(L683&lt;'PlayerGrades+'!$AE$19,"F+",IF(L683&lt;'PlayerGrades+'!$AE$18,"E-",IF(L683&lt;'PlayerGrades+'!$AE$17,"E",IF(L683&lt;'PlayerGrades+'!$AE$16,"E+",IF(L683&lt;'PlayerGrades+'!$AE$15,"D-",IF(L683&lt;'PlayerGrades+'!$AE$14,"D",IF(L683&lt;'PlayerGrades+'!$AE$13,"D+",IF(L683&lt;'PlayerGrades+'!$AE$12,"C-",IF(L683&lt;'PlayerGrades+'!$AE$11,"C",IF(L683&lt;'PlayerGrades+'!$AE$10,"C+",IF(L683&lt;'PlayerGrades+'!$AE$9,"B-",IF(L683&lt;'PlayerGrades+'!$AE$8,"B",IF(L683&lt;'PlayerGrades+'!$AE$7,"B+",IF(L683&lt;'PlayerGrades+'!$AE$6,"A-",IF(L683&lt;'PlayerGrades+'!$AE$5,"A",IF(L683&lt;'PlayerGrades+'!$AE$4,"A+",IF(L683&lt;'PlayerGrades+'!$AE$3,"S-",IF(L683&lt;'PlayerGrades+'!$AE$2,"S","S+"))))))))))))))))))))</f>
        <v>S</v>
      </c>
      <c r="N683" s="973">
        <f t="shared" si="6"/>
        <v>0.2328589909</v>
      </c>
      <c r="O683" s="973" t="str">
        <f>IF(N683&lt;'PlayerGrades+'!$AF$21,"F-",IF(N683&lt;'PlayerGrades+'!$AF$20,"F",IF(N683&lt;'PlayerGrades+'!$AF$19,"F+",IF(N683&lt;'PlayerGrades+'!$AF$18,"E-",IF(N683&lt;'PlayerGrades+'!$AF$17,"E",IF(N683&lt;'PlayerGrades+'!$AF$16,"E+",IF(N683&lt;'PlayerGrades+'!$AF$15,"D-",IF(N683&lt;'PlayerGrades+'!$AF$14,"D",IF(N683&lt;'PlayerGrades+'!$AF$13,"D+",IF(N683&lt;'PlayerGrades+'!$AF$12,"C-",IF(N683&lt;'PlayerGrades+'!$AF$11,"C",IF(N683&lt;'PlayerGrades+'!$AF$10,"C+",IF(N683&lt;'PlayerGrades+'!$AF$9,"B-",IF(N683&lt;'PlayerGrades+'!$AF$8,"B",IF(N683&lt;'PlayerGrades+'!$AF$7,"B+",IF(N683&lt;'PlayerGrades+'!$AF$6,"A-",IF(N683&lt;'PlayerGrades+'!$AF$5,"A",IF(N683&lt;'PlayerGrades+'!$AF$4,"A+",IF(N683&lt;'PlayerGrades+'!$AF$3,"S-",IF(N683&lt;'PlayerGrades+'!$AF$2,"S","S+"))))))))))))))))))))</f>
        <v>S+</v>
      </c>
      <c r="P683" s="973">
        <f t="shared" si="7"/>
        <v>0.07761966365</v>
      </c>
      <c r="Q683" s="973" t="str">
        <f>IF(P683&lt;'PlayerGrades+'!$AG$21,"F-",IF(P683&lt;'PlayerGrades+'!$AG$20,"F",IF(P683&lt;'PlayerGrades+'!$AG$19,"F+",IF(P683&lt;'PlayerGrades+'!$AG$18,"E-",IF(P683&lt;'PlayerGrades+'!$AG$17,"E",IF(P683&lt;'PlayerGrades+'!$AG$16,"E+",IF(P683&lt;'PlayerGrades+'!$AG$15,"D-",IF(P683&lt;'PlayerGrades+'!$AG$14,"D",IF(P683&lt;'PlayerGrades+'!$AG$13,"D+",IF(P683&lt;'PlayerGrades+'!$AG$12,"C-",IF(P683&lt;'PlayerGrades+'!$AG$11,"C",IF(P683&lt;'PlayerGrades+'!$AG$10,"C+",IF(P683&lt;'PlayerGrades+'!$AG$9,"B-",IF(P683&lt;'PlayerGrades+'!$AG$8,"B",IF(P683&lt;'PlayerGrades+'!$AG$7,"B+",IF(P683&lt;'PlayerGrades+'!$AG$6,"A-",IF(P683&lt;'PlayerGrades+'!$AG$5,"A",IF(P683&lt;'PlayerGrades+'!$AG$4,"A+",IF(P683&lt;'PlayerGrades+'!$AG$3,"S-",IF(P683&lt;'PlayerGrades+'!$AG$2,"S","S+"))))))))))))))))))))</f>
        <v>S-</v>
      </c>
      <c r="R683" s="973">
        <f t="shared" si="8"/>
        <v>1.086675291</v>
      </c>
      <c r="S683" s="973" t="str">
        <f>IF(R683&lt;'PlayerGrades+'!$AH$21,"F-",IF(R683&lt;'PlayerGrades+'!$AH$20,"F",IF(R683&lt;'PlayerGrades+'!$AH$19,"F+",IF(R683&lt;'PlayerGrades+'!$AH$18,"E-",IF(R683&lt;'PlayerGrades+'!$AH$17,"E",IF(R683&lt;'PlayerGrades+'!$AH$16,"E+",IF(R683&lt;'PlayerGrades+'!$AH$15,"D-",IF(R683&lt;'PlayerGrades+'!$AH$14,"D",IF(R683&lt;'PlayerGrades+'!$AH$13,"D+",IF(R683&lt;'PlayerGrades+'!$AH$12,"C-",IF(R683&lt;'PlayerGrades+'!$AH$11,"C",IF(R683&lt;'PlayerGrades+'!$AH$10,"C+",IF(R683&lt;'PlayerGrades+'!$AH$9,"B-",IF(R683&lt;'PlayerGrades+'!$AH$8,"B",IF(R683&lt;'PlayerGrades+'!$AH$7,"B+",IF(R683&lt;'PlayerGrades+'!$AH$6,"A-",IF(R683&lt;'PlayerGrades+'!$AH$5,"A",IF(R683&lt;'PlayerGrades+'!$AH$4,"A+",IF(R683&lt;'PlayerGrades+'!$AH$3,"S-",IF(R683&lt;'PlayerGrades+'!$AH$2,"S","S+"))))))))))))))))))))</f>
        <v>S+</v>
      </c>
      <c r="T683" s="973">
        <f t="shared" si="9"/>
        <v>1.310478655</v>
      </c>
      <c r="U683" s="973" t="str">
        <f>IF(T683&lt;'PlayerGrades+'!$AI$21,"F-",IF(T683&lt;'PlayerGrades+'!$AI$20,"F",IF(T683&lt;'PlayerGrades+'!$AI$19,"F+",IF(T683&lt;'PlayerGrades+'!$AI$18,"E-",IF(T683&lt;'PlayerGrades+'!$AI$17,"E",IF(T683&lt;'PlayerGrades+'!$AI$16,"E+",IF(T683&lt;'PlayerGrades+'!$AI$15,"D-",IF(T683&lt;'PlayerGrades+'!$AI$14,"D",IF(T683&lt;'PlayerGrades+'!$AI$13,"D+",IF(T683&lt;'PlayerGrades+'!$AI$12,"C-",IF(T683&lt;'PlayerGrades+'!$AI$11,"C",IF(T683&lt;'PlayerGrades+'!$AI$10,"C+",IF(T683&lt;'PlayerGrades+'!$AI$9,"B-",IF(T683&lt;'PlayerGrades+'!$AI$8,"B",IF(T683&lt;'PlayerGrades+'!$AI$7,"B+",IF(T683&lt;'PlayerGrades+'!$AI$6,"A-",IF(T683&lt;'PlayerGrades+'!$AI$5,"A",IF(T683&lt;'PlayerGrades+'!$AI$4,"A+",IF(T683&lt;'PlayerGrades+'!$AI$3,"S-",IF(T683&lt;'PlayerGrades+'!$AI$2,"S","S+"))))))))))))))))))))</f>
        <v>C+</v>
      </c>
      <c r="V683" s="941">
        <v>1.0</v>
      </c>
      <c r="W683" s="941">
        <v>1.0</v>
      </c>
      <c r="X683" s="941">
        <v>0.0</v>
      </c>
      <c r="Y683" s="941">
        <v>0.0</v>
      </c>
      <c r="Z683" s="941">
        <v>0.0</v>
      </c>
      <c r="AA683" s="941">
        <v>43.0</v>
      </c>
      <c r="AB683" s="941">
        <v>44.0</v>
      </c>
      <c r="AC683" s="941">
        <v>-1.0</v>
      </c>
      <c r="AD683" s="941">
        <v>9.0</v>
      </c>
      <c r="AE683" s="941">
        <v>6.0</v>
      </c>
      <c r="AF683" s="941">
        <v>1.0</v>
      </c>
      <c r="AG683" s="941">
        <v>536.0</v>
      </c>
      <c r="AH683" s="941">
        <v>773.0</v>
      </c>
      <c r="AI683" s="941">
        <v>12.0</v>
      </c>
      <c r="AJ683" s="941">
        <v>16.0</v>
      </c>
      <c r="AK683" s="941">
        <v>0.0</v>
      </c>
      <c r="AL683" s="941">
        <v>1.0</v>
      </c>
      <c r="AM683" s="941">
        <v>0.0</v>
      </c>
      <c r="AN683" s="941">
        <v>0.0</v>
      </c>
      <c r="AO683" s="941">
        <v>0.0</v>
      </c>
      <c r="AP683" s="941">
        <v>1.0</v>
      </c>
      <c r="AQ683" s="941">
        <v>0.0</v>
      </c>
      <c r="AR683" s="941">
        <v>9.0</v>
      </c>
      <c r="AS683" s="941">
        <v>3.0</v>
      </c>
      <c r="AT683" s="941">
        <v>1.0</v>
      </c>
      <c r="AU683" s="941">
        <v>0.0</v>
      </c>
      <c r="AV683" s="941">
        <v>0.0</v>
      </c>
      <c r="AW683" s="941">
        <v>0.0</v>
      </c>
      <c r="AX683" s="941">
        <v>0.0</v>
      </c>
      <c r="AY683" s="941">
        <v>0.0</v>
      </c>
      <c r="AZ683" s="941">
        <v>0.0</v>
      </c>
      <c r="BA683" s="941">
        <v>0.0</v>
      </c>
      <c r="BB683" s="941">
        <v>2.0</v>
      </c>
      <c r="BC683" s="941">
        <v>0.0</v>
      </c>
      <c r="BD683" s="941">
        <v>5.0</v>
      </c>
      <c r="BE683" s="941">
        <v>4.0</v>
      </c>
      <c r="BF683" s="941">
        <v>1.0</v>
      </c>
      <c r="BG683" s="942">
        <v>1.0</v>
      </c>
    </row>
    <row r="684">
      <c r="A684" s="935" t="s">
        <v>156</v>
      </c>
      <c r="B684" s="421" t="str">
        <f>IF(C684&lt;'PlayerGrades+'!$Y$44,"F-",IF(C684&lt;'PlayerGrades+'!$Y$43,"F",IF(C684&lt;'PlayerGrades+'!$Y$42,"F+",IF(C684&lt;'PlayerGrades+'!$Y$41,"E-",IF(C684&lt;'PlayerGrades+'!$Y$40,"E",IF(C684&lt;'PlayerGrades+'!$Y$39,"E+",IF(C684&lt;'PlayerGrades+'!$Y$38,"D-",IF(C684&lt;'PlayerGrades+'!$Y$37,"D",IF(C684&lt;'PlayerGrades+'!$Y$36,"D+",IF(C684&lt;'PlayerGrades+'!$Y$35,"C-",IF(C684&lt;'PlayerGrades+'!$Y$34,"C",IF(C684&lt;'PlayerGrades+'!$Y$33,"C+",IF(C684&lt;'PlayerGrades+'!$Y$32,"B-",IF(C684&lt;'PlayerGrades+'!$Y$31,"B",IF(C684&lt;'PlayerGrades+'!$Y$30,"B+",IF(C684&lt;'PlayerGrades+'!$Y$29,"A-",IF(C684&lt;'PlayerGrades+'!$Y$28,"A",IF(C684&lt;'PlayerGrades+'!$Y$27,"A+",IF(C684&lt;'PlayerGrades+'!$Y$26,"S-",IF(C684&lt;'PlayerGrades+'!$Y$25,"S","S+"))))))))))))))))))))</f>
        <v>D-</v>
      </c>
      <c r="C684" s="972">
        <f>('PlayerGrades+'!$Y$47*(VLOOKUP(E684, 'PlayerGrades+'!$X$3:$Y$23, 2, FALSE)))+('PlayerGrades+'!$Y$48*(VLOOKUP(G684, 'PlayerGrades+'!$X$3:$Y$23, 2, FALSE)))+('PlayerGrades+'!$Y$49*(VLOOKUP(I684, 'PlayerGrades+'!$X$3:$Y$23, 2, FALSE)))+('PlayerGrades+'!$Y$50*(VLOOKUP(K684, 'PlayerGrades+'!$X$3:$Y$23, 2, FALSE)))+('PlayerGrades+'!$Y$51*(VLOOKUP(M684, 'PlayerGrades+'!$X$3:$Y$23, 2, FALSE)))+('PlayerGrades+'!$Y$52*(VLOOKUP(O684, 'PlayerGrades+'!$X$3:$Y$23, 2, FALSE)))+('PlayerGrades+'!$Y$53*(VLOOKUP(Q684, 'PlayerGrades+'!$X$3:$Y$23, 2, FALSE)))+('PlayerGrades+'!$Y$54*(VLOOKUP(S684, 'PlayerGrades+'!$X$3:$Y$23, 2, FALSE)))+('PlayerGrades+'!$Y$55*(VLOOKUP(U684, 'PlayerGrades+'!$X$3:$Y$23, 2, FALSE)))</f>
        <v>14.45</v>
      </c>
      <c r="D684" s="973">
        <f t="shared" si="1"/>
        <v>0.07761966365</v>
      </c>
      <c r="E684" s="973" t="str">
        <f>IF(D684&lt;'PlayerGrades+'!$AA$21,"F-",IF(D684&lt;'PlayerGrades+'!$AA$20,"F",IF(D684&lt;'PlayerGrades+'!$AA$19,"F+",IF(D684&lt;'PlayerGrades+'!$AA$18,"E-",IF(D684&lt;'PlayerGrades+'!$AA$17,"E",IF(D684&lt;'PlayerGrades+'!$AA$16,"E+",IF(D684&lt;'PlayerGrades+'!$AA$15,"D-",IF(D684&lt;'PlayerGrades+'!$AA$14,"D",IF(D684&lt;'PlayerGrades+'!$AA$13,"D+",IF(D684&lt;'PlayerGrades+'!$AA$12,"C-",IF(D684&lt;'PlayerGrades+'!$AA$11,"C",IF(D684&lt;'PlayerGrades+'!$AA$10,"C+",IF(D684&lt;'PlayerGrades+'!$AA$9,"B-",IF(D684&lt;'PlayerGrades+'!$AA$8,"B",IF(D684&lt;'PlayerGrades+'!$AA$7,"B+",IF(D684&lt;'PlayerGrades+'!$AA$6,"A-",IF(D684&lt;'PlayerGrades+'!$AA$5,"A",IF(D684&lt;'PlayerGrades+'!$AA$4,"A+",IF(D684&lt;'PlayerGrades+'!$AA$3,"S-",IF(D684&lt;'PlayerGrades+'!$AA$2,"S","S+"))))))))))))))))))))</f>
        <v>B</v>
      </c>
      <c r="F684" s="973">
        <f t="shared" si="2"/>
        <v>-0.2328589909</v>
      </c>
      <c r="G684" s="973" t="str">
        <f>IF(F684&lt;'PlayerGrades+'!$AB$21,"F-",IF(F684&lt;'PlayerGrades+'!$AB$20,"F",IF(F684&lt;'PlayerGrades+'!$AB$19,"F+",IF(F684&lt;'PlayerGrades+'!$AB$18,"E-",IF(F684&lt;'PlayerGrades+'!$AB$17,"E",IF(F684&lt;'PlayerGrades+'!$AB$16,"E+",IF(F684&lt;'PlayerGrades+'!$AB$15,"D-",IF(F684&lt;'PlayerGrades+'!$AB$14,"D",IF(F684&lt;'PlayerGrades+'!$AB$13,"D+",IF(F684&lt;'PlayerGrades+'!$AB$12,"C-",IF(F684&lt;'PlayerGrades+'!$AB$11,"C",IF(F684&lt;'PlayerGrades+'!$AB$10,"C+",IF(F684&lt;'PlayerGrades+'!$AB$9,"B-",IF(F684&lt;'PlayerGrades+'!$AB$8,"B",IF(F684&lt;'PlayerGrades+'!$AB$7,"B+",IF(F684&lt;'PlayerGrades+'!$AB$6,"A-",IF(F684&lt;'PlayerGrades+'!$AB$5,"A",IF(F684&lt;'PlayerGrades+'!$AB$4,"A+",IF(F684&lt;'PlayerGrades+'!$AB$3,"S-",IF(F684&lt;'PlayerGrades+'!$AB$2,"S","S+"))))))))))))))))))))</f>
        <v>C+</v>
      </c>
      <c r="H684" s="973">
        <f t="shared" si="3"/>
        <v>0.07761966365</v>
      </c>
      <c r="I684" s="973" t="str">
        <f>IF(H684&lt;'PlayerGrades+'!$AC$21,"F-",IF(H684&lt;'PlayerGrades+'!$AC$20,"F",IF(H684&lt;'PlayerGrades+'!$AC$19,"F+",IF(H684&lt;'PlayerGrades+'!$AC$18,"E-",IF(H684&lt;'PlayerGrades+'!$AC$17,"E",IF(H684&lt;'PlayerGrades+'!$AC$16,"E+",IF(H684&lt;'PlayerGrades+'!$AC$15,"D-",IF(H684&lt;'PlayerGrades+'!$AC$14,"D",IF(H684&lt;'PlayerGrades+'!$AC$13,"D+",IF(H684&lt;'PlayerGrades+'!$AC$12,"C-",IF(H684&lt;'PlayerGrades+'!$AC$11,"C",IF(H684&lt;'PlayerGrades+'!$AC$10,"C+",IF(H684&lt;'PlayerGrades+'!$AC$9,"B-",IF(H684&lt;'PlayerGrades+'!$AC$8,"B",IF(H684&lt;'PlayerGrades+'!$AC$7,"B+",IF(H684&lt;'PlayerGrades+'!$AC$6,"A-",IF(H684&lt;'PlayerGrades+'!$AC$5,"A",IF(H684&lt;'PlayerGrades+'!$AC$4,"A+",IF(H684&lt;'PlayerGrades+'!$AC$3,"S-",IF(H684&lt;'PlayerGrades+'!$AC$2,"S","S+"))))))))))))))))))))</f>
        <v>E+</v>
      </c>
      <c r="J684" s="973">
        <f t="shared" si="4"/>
        <v>0</v>
      </c>
      <c r="K684" s="973" t="str">
        <f>IF(J684&lt;'PlayerGrades+'!$AD$21,"F-",IF(J684&lt;'PlayerGrades+'!$AD$20,"F",IF(J684&lt;'PlayerGrades+'!$AD$19,"F+",IF(J684&lt;'PlayerGrades+'!$AD$18,"E-",IF(J684&lt;'PlayerGrades+'!$AD$17,"E",IF(J684&lt;'PlayerGrades+'!$AD$16,"E+",IF(J684&lt;'PlayerGrades+'!$AD$15,"D-",IF(J684&lt;'PlayerGrades+'!$AD$14,"D",IF(J684&lt;'PlayerGrades+'!$AD$13,"D+",IF(J684&lt;'PlayerGrades+'!$AD$12,"C-",IF(J684&lt;'PlayerGrades+'!$AD$11,"C",IF(J684&lt;'PlayerGrades+'!$AD$10,"C+",IF(J684&lt;'PlayerGrades+'!$AD$9,"B-",IF(J684&lt;'PlayerGrades+'!$AD$8,"B",IF(J684&lt;'PlayerGrades+'!$AD$7,"B+",IF(J684&lt;'PlayerGrades+'!$AD$6,"A-",IF(J684&lt;'PlayerGrades+'!$AD$5,"A",IF(J684&lt;'PlayerGrades+'!$AD$4,"A+",IF(J684&lt;'PlayerGrades+'!$AD$3,"S-",IF(J684&lt;'PlayerGrades+'!$AD$2,"S","S+"))))))))))))))))))))</f>
        <v>F-</v>
      </c>
      <c r="L684" s="974">
        <f t="shared" si="5"/>
        <v>0.6209573092</v>
      </c>
      <c r="M684" s="975" t="str">
        <f>IF(L684&lt;'PlayerGrades+'!$AE$21,"F-",IF(L684&lt;'PlayerGrades+'!$AE$20,"F",IF(L684&lt;'PlayerGrades+'!$AE$19,"F+",IF(L684&lt;'PlayerGrades+'!$AE$18,"E-",IF(L684&lt;'PlayerGrades+'!$AE$17,"E",IF(L684&lt;'PlayerGrades+'!$AE$16,"E+",IF(L684&lt;'PlayerGrades+'!$AE$15,"D-",IF(L684&lt;'PlayerGrades+'!$AE$14,"D",IF(L684&lt;'PlayerGrades+'!$AE$13,"D+",IF(L684&lt;'PlayerGrades+'!$AE$12,"C-",IF(L684&lt;'PlayerGrades+'!$AE$11,"C",IF(L684&lt;'PlayerGrades+'!$AE$10,"C+",IF(L684&lt;'PlayerGrades+'!$AE$9,"B-",IF(L684&lt;'PlayerGrades+'!$AE$8,"B",IF(L684&lt;'PlayerGrades+'!$AE$7,"B+",IF(L684&lt;'PlayerGrades+'!$AE$6,"A-",IF(L684&lt;'PlayerGrades+'!$AE$5,"A",IF(L684&lt;'PlayerGrades+'!$AE$4,"A+",IF(L684&lt;'PlayerGrades+'!$AE$3,"S-",IF(L684&lt;'PlayerGrades+'!$AE$2,"S","S+"))))))))))))))))))))</f>
        <v>S-</v>
      </c>
      <c r="N684" s="973">
        <f t="shared" si="6"/>
        <v>0</v>
      </c>
      <c r="O684" s="973" t="str">
        <f>IF(N684&lt;'PlayerGrades+'!$AF$21,"F-",IF(N684&lt;'PlayerGrades+'!$AF$20,"F",IF(N684&lt;'PlayerGrades+'!$AF$19,"F+",IF(N684&lt;'PlayerGrades+'!$AF$18,"E-",IF(N684&lt;'PlayerGrades+'!$AF$17,"E",IF(N684&lt;'PlayerGrades+'!$AF$16,"E+",IF(N684&lt;'PlayerGrades+'!$AF$15,"D-",IF(N684&lt;'PlayerGrades+'!$AF$14,"D",IF(N684&lt;'PlayerGrades+'!$AF$13,"D+",IF(N684&lt;'PlayerGrades+'!$AF$12,"C-",IF(N684&lt;'PlayerGrades+'!$AF$11,"C",IF(N684&lt;'PlayerGrades+'!$AF$10,"C+",IF(N684&lt;'PlayerGrades+'!$AF$9,"B-",IF(N684&lt;'PlayerGrades+'!$AF$8,"B",IF(N684&lt;'PlayerGrades+'!$AF$7,"B+",IF(N684&lt;'PlayerGrades+'!$AF$6,"A-",IF(N684&lt;'PlayerGrades+'!$AF$5,"A",IF(N684&lt;'PlayerGrades+'!$AF$4,"A+",IF(N684&lt;'PlayerGrades+'!$AF$3,"S-",IF(N684&lt;'PlayerGrades+'!$AF$2,"S","S+"))))))))))))))))))))</f>
        <v>F-</v>
      </c>
      <c r="P684" s="973">
        <f t="shared" si="7"/>
        <v>0</v>
      </c>
      <c r="Q684" s="973" t="str">
        <f>IF(P684&lt;'PlayerGrades+'!$AG$21,"F-",IF(P684&lt;'PlayerGrades+'!$AG$20,"F",IF(P684&lt;'PlayerGrades+'!$AG$19,"F+",IF(P684&lt;'PlayerGrades+'!$AG$18,"E-",IF(P684&lt;'PlayerGrades+'!$AG$17,"E",IF(P684&lt;'PlayerGrades+'!$AG$16,"E+",IF(P684&lt;'PlayerGrades+'!$AG$15,"D-",IF(P684&lt;'PlayerGrades+'!$AG$14,"D",IF(P684&lt;'PlayerGrades+'!$AG$13,"D+",IF(P684&lt;'PlayerGrades+'!$AG$12,"C-",IF(P684&lt;'PlayerGrades+'!$AG$11,"C",IF(P684&lt;'PlayerGrades+'!$AG$10,"C+",IF(P684&lt;'PlayerGrades+'!$AG$9,"B-",IF(P684&lt;'PlayerGrades+'!$AG$8,"B",IF(P684&lt;'PlayerGrades+'!$AG$7,"B+",IF(P684&lt;'PlayerGrades+'!$AG$6,"A-",IF(P684&lt;'PlayerGrades+'!$AG$5,"A",IF(P684&lt;'PlayerGrades+'!$AG$4,"A+",IF(P684&lt;'PlayerGrades+'!$AG$3,"S-",IF(P684&lt;'PlayerGrades+'!$AG$2,"S","S+"))))))))))))))))))))</f>
        <v>F</v>
      </c>
      <c r="R684" s="973">
        <f t="shared" si="8"/>
        <v>0.4657179819</v>
      </c>
      <c r="S684" s="973" t="str">
        <f>IF(R684&lt;'PlayerGrades+'!$AH$21,"F-",IF(R684&lt;'PlayerGrades+'!$AH$20,"F",IF(R684&lt;'PlayerGrades+'!$AH$19,"F+",IF(R684&lt;'PlayerGrades+'!$AH$18,"E-",IF(R684&lt;'PlayerGrades+'!$AH$17,"E",IF(R684&lt;'PlayerGrades+'!$AH$16,"E+",IF(R684&lt;'PlayerGrades+'!$AH$15,"D-",IF(R684&lt;'PlayerGrades+'!$AH$14,"D",IF(R684&lt;'PlayerGrades+'!$AH$13,"D+",IF(R684&lt;'PlayerGrades+'!$AH$12,"C-",IF(R684&lt;'PlayerGrades+'!$AH$11,"C",IF(R684&lt;'PlayerGrades+'!$AH$10,"C+",IF(R684&lt;'PlayerGrades+'!$AH$9,"B-",IF(R684&lt;'PlayerGrades+'!$AH$8,"B",IF(R684&lt;'PlayerGrades+'!$AH$7,"B+",IF(R684&lt;'PlayerGrades+'!$AH$6,"A-",IF(R684&lt;'PlayerGrades+'!$AH$5,"A",IF(R684&lt;'PlayerGrades+'!$AH$4,"A+",IF(R684&lt;'PlayerGrades+'!$AH$3,"S-",IF(R684&lt;'PlayerGrades+'!$AH$2,"S","S+"))))))))))))))))))))</f>
        <v>E</v>
      </c>
      <c r="T684" s="973">
        <f t="shared" si="9"/>
        <v>0.5433376455</v>
      </c>
      <c r="U684" s="973" t="str">
        <f>IF(T684&lt;'PlayerGrades+'!$AI$21,"F-",IF(T684&lt;'PlayerGrades+'!$AI$20,"F",IF(T684&lt;'PlayerGrades+'!$AI$19,"F+",IF(T684&lt;'PlayerGrades+'!$AI$18,"E-",IF(T684&lt;'PlayerGrades+'!$AI$17,"E",IF(T684&lt;'PlayerGrades+'!$AI$16,"E+",IF(T684&lt;'PlayerGrades+'!$AI$15,"D-",IF(T684&lt;'PlayerGrades+'!$AI$14,"D",IF(T684&lt;'PlayerGrades+'!$AI$13,"D+",IF(T684&lt;'PlayerGrades+'!$AI$12,"C-",IF(T684&lt;'PlayerGrades+'!$AI$11,"C",IF(T684&lt;'PlayerGrades+'!$AI$10,"C+",IF(T684&lt;'PlayerGrades+'!$AI$9,"B-",IF(T684&lt;'PlayerGrades+'!$AI$8,"B",IF(T684&lt;'PlayerGrades+'!$AI$7,"B+",IF(T684&lt;'PlayerGrades+'!$AI$6,"A-",IF(T684&lt;'PlayerGrades+'!$AI$5,"A",IF(T684&lt;'PlayerGrades+'!$AI$4,"A+",IF(T684&lt;'PlayerGrades+'!$AI$3,"S-",IF(T684&lt;'PlayerGrades+'!$AI$2,"S","S+"))))))))))))))))))))</f>
        <v>F-</v>
      </c>
      <c r="V684" s="941">
        <v>1.0</v>
      </c>
      <c r="W684" s="941">
        <v>1.0</v>
      </c>
      <c r="X684" s="941">
        <v>0.0</v>
      </c>
      <c r="Y684" s="941">
        <v>0.0</v>
      </c>
      <c r="Z684" s="941">
        <v>1.0</v>
      </c>
      <c r="AA684" s="941">
        <v>47.0</v>
      </c>
      <c r="AB684" s="941">
        <v>50.0</v>
      </c>
      <c r="AC684" s="941">
        <v>-3.0</v>
      </c>
      <c r="AD684" s="941">
        <v>1.0</v>
      </c>
      <c r="AE684" s="941">
        <v>4.0</v>
      </c>
      <c r="AF684" s="941">
        <v>1.0</v>
      </c>
      <c r="AG684" s="941">
        <v>518.0</v>
      </c>
      <c r="AH684" s="941">
        <v>773.0</v>
      </c>
      <c r="AI684" s="941">
        <v>10.0</v>
      </c>
      <c r="AJ684" s="941">
        <v>0.0</v>
      </c>
      <c r="AK684" s="941">
        <v>0.0</v>
      </c>
      <c r="AL684" s="941">
        <v>0.0</v>
      </c>
      <c r="AM684" s="941">
        <v>0.0</v>
      </c>
      <c r="AN684" s="941">
        <v>0.0</v>
      </c>
      <c r="AO684" s="941">
        <v>0.0</v>
      </c>
      <c r="AP684" s="941">
        <v>0.0</v>
      </c>
      <c r="AQ684" s="941">
        <v>0.0</v>
      </c>
      <c r="AR684" s="941">
        <v>8.0</v>
      </c>
      <c r="AS684" s="941">
        <v>0.0</v>
      </c>
      <c r="AT684" s="941">
        <v>0.0</v>
      </c>
      <c r="AU684" s="941">
        <v>0.0</v>
      </c>
      <c r="AV684" s="941">
        <v>0.0</v>
      </c>
      <c r="AW684" s="941">
        <v>0.0</v>
      </c>
      <c r="AX684" s="941">
        <v>0.0</v>
      </c>
      <c r="AY684" s="941">
        <v>0.0</v>
      </c>
      <c r="AZ684" s="941">
        <v>0.0</v>
      </c>
      <c r="BA684" s="941">
        <v>0.0</v>
      </c>
      <c r="BB684" s="941">
        <v>1.0</v>
      </c>
      <c r="BC684" s="941">
        <v>0.0</v>
      </c>
      <c r="BD684" s="941">
        <v>5.0</v>
      </c>
      <c r="BE684" s="941">
        <v>7.0</v>
      </c>
      <c r="BF684" s="941">
        <v>0.0</v>
      </c>
      <c r="BG684" s="942">
        <v>1.0</v>
      </c>
    </row>
    <row r="685">
      <c r="A685" s="935" t="s">
        <v>419</v>
      </c>
      <c r="B685" s="421" t="str">
        <f>IF(C685&lt;'PlayerGrades+'!$Y$44,"F-",IF(C685&lt;'PlayerGrades+'!$Y$43,"F",IF(C685&lt;'PlayerGrades+'!$Y$42,"F+",IF(C685&lt;'PlayerGrades+'!$Y$41,"E-",IF(C685&lt;'PlayerGrades+'!$Y$40,"E",IF(C685&lt;'PlayerGrades+'!$Y$39,"E+",IF(C685&lt;'PlayerGrades+'!$Y$38,"D-",IF(C685&lt;'PlayerGrades+'!$Y$37,"D",IF(C685&lt;'PlayerGrades+'!$Y$36,"D+",IF(C685&lt;'PlayerGrades+'!$Y$35,"C-",IF(C685&lt;'PlayerGrades+'!$Y$34,"C",IF(C685&lt;'PlayerGrades+'!$Y$33,"C+",IF(C685&lt;'PlayerGrades+'!$Y$32,"B-",IF(C685&lt;'PlayerGrades+'!$Y$31,"B",IF(C685&lt;'PlayerGrades+'!$Y$30,"B+",IF(C685&lt;'PlayerGrades+'!$Y$29,"A-",IF(C685&lt;'PlayerGrades+'!$Y$28,"A",IF(C685&lt;'PlayerGrades+'!$Y$27,"A+",IF(C685&lt;'PlayerGrades+'!$Y$26,"S-",IF(C685&lt;'PlayerGrades+'!$Y$25,"S","S+"))))))))))))))))))))</f>
        <v>B-</v>
      </c>
      <c r="C685" s="972">
        <f>('PlayerGrades+'!$Y$47*(VLOOKUP(E685, 'PlayerGrades+'!$X$3:$Y$23, 2, FALSE)))+('PlayerGrades+'!$Y$48*(VLOOKUP(G685, 'PlayerGrades+'!$X$3:$Y$23, 2, FALSE)))+('PlayerGrades+'!$Y$49*(VLOOKUP(I685, 'PlayerGrades+'!$X$3:$Y$23, 2, FALSE)))+('PlayerGrades+'!$Y$50*(VLOOKUP(K685, 'PlayerGrades+'!$X$3:$Y$23, 2, FALSE)))+('PlayerGrades+'!$Y$51*(VLOOKUP(M685, 'PlayerGrades+'!$X$3:$Y$23, 2, FALSE)))+('PlayerGrades+'!$Y$52*(VLOOKUP(O685, 'PlayerGrades+'!$X$3:$Y$23, 2, FALSE)))+('PlayerGrades+'!$Y$53*(VLOOKUP(Q685, 'PlayerGrades+'!$X$3:$Y$23, 2, FALSE)))+('PlayerGrades+'!$Y$54*(VLOOKUP(S685, 'PlayerGrades+'!$X$3:$Y$23, 2, FALSE)))+('PlayerGrades+'!$Y$55*(VLOOKUP(U685, 'PlayerGrades+'!$X$3:$Y$23, 2, FALSE)))</f>
        <v>21.8</v>
      </c>
      <c r="D685" s="973">
        <f t="shared" si="1"/>
        <v>0</v>
      </c>
      <c r="E685" s="973" t="str">
        <f>IF(D685&lt;'PlayerGrades+'!$AA$21,"F-",IF(D685&lt;'PlayerGrades+'!$AA$20,"F",IF(D685&lt;'PlayerGrades+'!$AA$19,"F+",IF(D685&lt;'PlayerGrades+'!$AA$18,"E-",IF(D685&lt;'PlayerGrades+'!$AA$17,"E",IF(D685&lt;'PlayerGrades+'!$AA$16,"E+",IF(D685&lt;'PlayerGrades+'!$AA$15,"D-",IF(D685&lt;'PlayerGrades+'!$AA$14,"D",IF(D685&lt;'PlayerGrades+'!$AA$13,"D+",IF(D685&lt;'PlayerGrades+'!$AA$12,"C-",IF(D685&lt;'PlayerGrades+'!$AA$11,"C",IF(D685&lt;'PlayerGrades+'!$AA$10,"C+",IF(D685&lt;'PlayerGrades+'!$AA$9,"B-",IF(D685&lt;'PlayerGrades+'!$AA$8,"B",IF(D685&lt;'PlayerGrades+'!$AA$7,"B+",IF(D685&lt;'PlayerGrades+'!$AA$6,"A-",IF(D685&lt;'PlayerGrades+'!$AA$5,"A",IF(D685&lt;'PlayerGrades+'!$AA$4,"A+",IF(D685&lt;'PlayerGrades+'!$AA$3,"S-",IF(D685&lt;'PlayerGrades+'!$AA$2,"S","S+"))))))))))))))))))))</f>
        <v>F-</v>
      </c>
      <c r="F685" s="973">
        <f t="shared" si="2"/>
        <v>-0.3880983182</v>
      </c>
      <c r="G685" s="973" t="str">
        <f>IF(F685&lt;'PlayerGrades+'!$AB$21,"F-",IF(F685&lt;'PlayerGrades+'!$AB$20,"F",IF(F685&lt;'PlayerGrades+'!$AB$19,"F+",IF(F685&lt;'PlayerGrades+'!$AB$18,"E-",IF(F685&lt;'PlayerGrades+'!$AB$17,"E",IF(F685&lt;'PlayerGrades+'!$AB$16,"E+",IF(F685&lt;'PlayerGrades+'!$AB$15,"D-",IF(F685&lt;'PlayerGrades+'!$AB$14,"D",IF(F685&lt;'PlayerGrades+'!$AB$13,"D+",IF(F685&lt;'PlayerGrades+'!$AB$12,"C-",IF(F685&lt;'PlayerGrades+'!$AB$11,"C",IF(F685&lt;'PlayerGrades+'!$AB$10,"C+",IF(F685&lt;'PlayerGrades+'!$AB$9,"B-",IF(F685&lt;'PlayerGrades+'!$AB$8,"B",IF(F685&lt;'PlayerGrades+'!$AB$7,"B+",IF(F685&lt;'PlayerGrades+'!$AB$6,"A-",IF(F685&lt;'PlayerGrades+'!$AB$5,"A",IF(F685&lt;'PlayerGrades+'!$AB$4,"A+",IF(F685&lt;'PlayerGrades+'!$AB$3,"S-",IF(F685&lt;'PlayerGrades+'!$AB$2,"S","S+"))))))))))))))))))))</f>
        <v>C-</v>
      </c>
      <c r="H685" s="973">
        <f t="shared" si="3"/>
        <v>0.07761966365</v>
      </c>
      <c r="I685" s="973" t="str">
        <f>IF(H685&lt;'PlayerGrades+'!$AC$21,"F-",IF(H685&lt;'PlayerGrades+'!$AC$20,"F",IF(H685&lt;'PlayerGrades+'!$AC$19,"F+",IF(H685&lt;'PlayerGrades+'!$AC$18,"E-",IF(H685&lt;'PlayerGrades+'!$AC$17,"E",IF(H685&lt;'PlayerGrades+'!$AC$16,"E+",IF(H685&lt;'PlayerGrades+'!$AC$15,"D-",IF(H685&lt;'PlayerGrades+'!$AC$14,"D",IF(H685&lt;'PlayerGrades+'!$AC$13,"D+",IF(H685&lt;'PlayerGrades+'!$AC$12,"C-",IF(H685&lt;'PlayerGrades+'!$AC$11,"C",IF(H685&lt;'PlayerGrades+'!$AC$10,"C+",IF(H685&lt;'PlayerGrades+'!$AC$9,"B-",IF(H685&lt;'PlayerGrades+'!$AC$8,"B",IF(H685&lt;'PlayerGrades+'!$AC$7,"B+",IF(H685&lt;'PlayerGrades+'!$AC$6,"A-",IF(H685&lt;'PlayerGrades+'!$AC$5,"A",IF(H685&lt;'PlayerGrades+'!$AC$4,"A+",IF(H685&lt;'PlayerGrades+'!$AC$3,"S-",IF(H685&lt;'PlayerGrades+'!$AC$2,"S","S+"))))))))))))))))))))</f>
        <v>E+</v>
      </c>
      <c r="J685" s="973">
        <f t="shared" si="4"/>
        <v>0.1552393273</v>
      </c>
      <c r="K685" s="973" t="str">
        <f>IF(J685&lt;'PlayerGrades+'!$AD$21,"F-",IF(J685&lt;'PlayerGrades+'!$AD$20,"F",IF(J685&lt;'PlayerGrades+'!$AD$19,"F+",IF(J685&lt;'PlayerGrades+'!$AD$18,"E-",IF(J685&lt;'PlayerGrades+'!$AD$17,"E",IF(J685&lt;'PlayerGrades+'!$AD$16,"E+",IF(J685&lt;'PlayerGrades+'!$AD$15,"D-",IF(J685&lt;'PlayerGrades+'!$AD$14,"D",IF(J685&lt;'PlayerGrades+'!$AD$13,"D+",IF(J685&lt;'PlayerGrades+'!$AD$12,"C-",IF(J685&lt;'PlayerGrades+'!$AD$11,"C",IF(J685&lt;'PlayerGrades+'!$AD$10,"C+",IF(J685&lt;'PlayerGrades+'!$AD$9,"B-",IF(J685&lt;'PlayerGrades+'!$AD$8,"B",IF(J685&lt;'PlayerGrades+'!$AD$7,"B+",IF(J685&lt;'PlayerGrades+'!$AD$6,"A-",IF(J685&lt;'PlayerGrades+'!$AD$5,"A",IF(J685&lt;'PlayerGrades+'!$AD$4,"A+",IF(J685&lt;'PlayerGrades+'!$AD$3,"S-",IF(J685&lt;'PlayerGrades+'!$AD$2,"S","S+"))))))))))))))))))))</f>
        <v>S+</v>
      </c>
      <c r="L685" s="974">
        <f t="shared" si="5"/>
        <v>0.6985769728</v>
      </c>
      <c r="M685" s="975" t="str">
        <f>IF(L685&lt;'PlayerGrades+'!$AE$21,"F-",IF(L685&lt;'PlayerGrades+'!$AE$20,"F",IF(L685&lt;'PlayerGrades+'!$AE$19,"F+",IF(L685&lt;'PlayerGrades+'!$AE$18,"E-",IF(L685&lt;'PlayerGrades+'!$AE$17,"E",IF(L685&lt;'PlayerGrades+'!$AE$16,"E+",IF(L685&lt;'PlayerGrades+'!$AE$15,"D-",IF(L685&lt;'PlayerGrades+'!$AE$14,"D",IF(L685&lt;'PlayerGrades+'!$AE$13,"D+",IF(L685&lt;'PlayerGrades+'!$AE$12,"C-",IF(L685&lt;'PlayerGrades+'!$AE$11,"C",IF(L685&lt;'PlayerGrades+'!$AE$10,"C+",IF(L685&lt;'PlayerGrades+'!$AE$9,"B-",IF(L685&lt;'PlayerGrades+'!$AE$8,"B",IF(L685&lt;'PlayerGrades+'!$AE$7,"B+",IF(L685&lt;'PlayerGrades+'!$AE$6,"A-",IF(L685&lt;'PlayerGrades+'!$AE$5,"A",IF(L685&lt;'PlayerGrades+'!$AE$4,"A+",IF(L685&lt;'PlayerGrades+'!$AE$3,"S-",IF(L685&lt;'PlayerGrades+'!$AE$2,"S","S+"))))))))))))))))))))</f>
        <v>S</v>
      </c>
      <c r="N685" s="973">
        <f t="shared" si="6"/>
        <v>0.1552393273</v>
      </c>
      <c r="O685" s="973" t="str">
        <f>IF(N685&lt;'PlayerGrades+'!$AF$21,"F-",IF(N685&lt;'PlayerGrades+'!$AF$20,"F",IF(N685&lt;'PlayerGrades+'!$AF$19,"F+",IF(N685&lt;'PlayerGrades+'!$AF$18,"E-",IF(N685&lt;'PlayerGrades+'!$AF$17,"E",IF(N685&lt;'PlayerGrades+'!$AF$16,"E+",IF(N685&lt;'PlayerGrades+'!$AF$15,"D-",IF(N685&lt;'PlayerGrades+'!$AF$14,"D",IF(N685&lt;'PlayerGrades+'!$AF$13,"D+",IF(N685&lt;'PlayerGrades+'!$AF$12,"C-",IF(N685&lt;'PlayerGrades+'!$AF$11,"C",IF(N685&lt;'PlayerGrades+'!$AF$10,"C+",IF(N685&lt;'PlayerGrades+'!$AF$9,"B-",IF(N685&lt;'PlayerGrades+'!$AF$8,"B",IF(N685&lt;'PlayerGrades+'!$AF$7,"B+",IF(N685&lt;'PlayerGrades+'!$AF$6,"A-",IF(N685&lt;'PlayerGrades+'!$AF$5,"A",IF(N685&lt;'PlayerGrades+'!$AF$4,"A+",IF(N685&lt;'PlayerGrades+'!$AF$3,"S-",IF(N685&lt;'PlayerGrades+'!$AF$2,"S","S+"))))))))))))))))))))</f>
        <v>S+</v>
      </c>
      <c r="P685" s="973">
        <f t="shared" si="7"/>
        <v>0.1552393273</v>
      </c>
      <c r="Q685" s="973" t="str">
        <f>IF(P685&lt;'PlayerGrades+'!$AG$21,"F-",IF(P685&lt;'PlayerGrades+'!$AG$20,"F",IF(P685&lt;'PlayerGrades+'!$AG$19,"F+",IF(P685&lt;'PlayerGrades+'!$AG$18,"E-",IF(P685&lt;'PlayerGrades+'!$AG$17,"E",IF(P685&lt;'PlayerGrades+'!$AG$16,"E+",IF(P685&lt;'PlayerGrades+'!$AG$15,"D-",IF(P685&lt;'PlayerGrades+'!$AG$14,"D",IF(P685&lt;'PlayerGrades+'!$AG$13,"D+",IF(P685&lt;'PlayerGrades+'!$AG$12,"C-",IF(P685&lt;'PlayerGrades+'!$AG$11,"C",IF(P685&lt;'PlayerGrades+'!$AG$10,"C+",IF(P685&lt;'PlayerGrades+'!$AG$9,"B-",IF(P685&lt;'PlayerGrades+'!$AG$8,"B",IF(P685&lt;'PlayerGrades+'!$AG$7,"B+",IF(P685&lt;'PlayerGrades+'!$AG$6,"A-",IF(P685&lt;'PlayerGrades+'!$AG$5,"A",IF(P685&lt;'PlayerGrades+'!$AG$4,"A+",IF(P685&lt;'PlayerGrades+'!$AG$3,"S-",IF(P685&lt;'PlayerGrades+'!$AG$2,"S","S+"))))))))))))))))))))</f>
        <v>S+</v>
      </c>
      <c r="R685" s="973">
        <f t="shared" si="8"/>
        <v>0.3880983182</v>
      </c>
      <c r="S685" s="973" t="str">
        <f>IF(R685&lt;'PlayerGrades+'!$AH$21,"F-",IF(R685&lt;'PlayerGrades+'!$AH$20,"F",IF(R685&lt;'PlayerGrades+'!$AH$19,"F+",IF(R685&lt;'PlayerGrades+'!$AH$18,"E-",IF(R685&lt;'PlayerGrades+'!$AH$17,"E",IF(R685&lt;'PlayerGrades+'!$AH$16,"E+",IF(R685&lt;'PlayerGrades+'!$AH$15,"D-",IF(R685&lt;'PlayerGrades+'!$AH$14,"D",IF(R685&lt;'PlayerGrades+'!$AH$13,"D+",IF(R685&lt;'PlayerGrades+'!$AH$12,"C-",IF(R685&lt;'PlayerGrades+'!$AH$11,"C",IF(R685&lt;'PlayerGrades+'!$AH$10,"C+",IF(R685&lt;'PlayerGrades+'!$AH$9,"B-",IF(R685&lt;'PlayerGrades+'!$AH$8,"B",IF(R685&lt;'PlayerGrades+'!$AH$7,"B+",IF(R685&lt;'PlayerGrades+'!$AH$6,"A-",IF(R685&lt;'PlayerGrades+'!$AH$5,"A",IF(R685&lt;'PlayerGrades+'!$AH$4,"A+",IF(R685&lt;'PlayerGrades+'!$AH$3,"S-",IF(R685&lt;'PlayerGrades+'!$AH$2,"S","S+"))))))))))))))))))))</f>
        <v>F</v>
      </c>
      <c r="T685" s="973">
        <f t="shared" si="9"/>
        <v>1.310478655</v>
      </c>
      <c r="U685" s="973" t="str">
        <f>IF(T685&lt;'PlayerGrades+'!$AI$21,"F-",IF(T685&lt;'PlayerGrades+'!$AI$20,"F",IF(T685&lt;'PlayerGrades+'!$AI$19,"F+",IF(T685&lt;'PlayerGrades+'!$AI$18,"E-",IF(T685&lt;'PlayerGrades+'!$AI$17,"E",IF(T685&lt;'PlayerGrades+'!$AI$16,"E+",IF(T685&lt;'PlayerGrades+'!$AI$15,"D-",IF(T685&lt;'PlayerGrades+'!$AI$14,"D",IF(T685&lt;'PlayerGrades+'!$AI$13,"D+",IF(T685&lt;'PlayerGrades+'!$AI$12,"C-",IF(T685&lt;'PlayerGrades+'!$AI$11,"C",IF(T685&lt;'PlayerGrades+'!$AI$10,"C+",IF(T685&lt;'PlayerGrades+'!$AI$9,"B-",IF(T685&lt;'PlayerGrades+'!$AI$8,"B",IF(T685&lt;'PlayerGrades+'!$AI$7,"B+",IF(T685&lt;'PlayerGrades+'!$AI$6,"A-",IF(T685&lt;'PlayerGrades+'!$AI$5,"A",IF(T685&lt;'PlayerGrades+'!$AI$4,"A+",IF(T685&lt;'PlayerGrades+'!$AI$3,"S-",IF(T685&lt;'PlayerGrades+'!$AI$2,"S","S+"))))))))))))))))))))</f>
        <v>C+</v>
      </c>
      <c r="V685" s="941">
        <v>1.0</v>
      </c>
      <c r="W685" s="941">
        <v>1.0</v>
      </c>
      <c r="X685" s="941">
        <v>0.0</v>
      </c>
      <c r="Y685" s="941">
        <v>0.0</v>
      </c>
      <c r="Z685" s="941">
        <v>0.0</v>
      </c>
      <c r="AA685" s="941">
        <v>43.0</v>
      </c>
      <c r="AB685" s="941">
        <v>48.0</v>
      </c>
      <c r="AC685" s="941">
        <v>-5.0</v>
      </c>
      <c r="AD685" s="941">
        <v>3.0</v>
      </c>
      <c r="AE685" s="941">
        <v>7.0</v>
      </c>
      <c r="AF685" s="941">
        <v>1.0</v>
      </c>
      <c r="AG685" s="941">
        <v>521.0</v>
      </c>
      <c r="AH685" s="941">
        <v>773.0</v>
      </c>
      <c r="AI685" s="941">
        <v>10.0</v>
      </c>
      <c r="AJ685" s="941">
        <v>7.0</v>
      </c>
      <c r="AK685" s="941">
        <v>0.0</v>
      </c>
      <c r="AL685" s="941">
        <v>2.0</v>
      </c>
      <c r="AM685" s="941">
        <v>0.0</v>
      </c>
      <c r="AN685" s="941">
        <v>0.0</v>
      </c>
      <c r="AO685" s="941">
        <v>0.0</v>
      </c>
      <c r="AP685" s="941">
        <v>2.0</v>
      </c>
      <c r="AQ685" s="941">
        <v>0.0</v>
      </c>
      <c r="AR685" s="941">
        <v>9.0</v>
      </c>
      <c r="AS685" s="941">
        <v>2.0</v>
      </c>
      <c r="AT685" s="941">
        <v>1.0</v>
      </c>
      <c r="AU685" s="941">
        <v>0.0</v>
      </c>
      <c r="AV685" s="941">
        <v>0.0</v>
      </c>
      <c r="AW685" s="941">
        <v>0.0</v>
      </c>
      <c r="AX685" s="941">
        <v>0.0</v>
      </c>
      <c r="AY685" s="941">
        <v>0.0</v>
      </c>
      <c r="AZ685" s="941">
        <v>0.0</v>
      </c>
      <c r="BA685" s="941">
        <v>1.0</v>
      </c>
      <c r="BB685" s="941">
        <v>1.0</v>
      </c>
      <c r="BC685" s="941">
        <v>0.0</v>
      </c>
      <c r="BD685" s="941">
        <v>2.0</v>
      </c>
      <c r="BE685" s="941">
        <v>4.0</v>
      </c>
      <c r="BF685" s="941">
        <v>1.0</v>
      </c>
      <c r="BG685" s="942">
        <v>1.0</v>
      </c>
    </row>
    <row r="686">
      <c r="A686" s="935" t="s">
        <v>132</v>
      </c>
      <c r="B686" s="421" t="str">
        <f>IF(C686&lt;'PlayerGrades+'!$Y$44,"F-",IF(C686&lt;'PlayerGrades+'!$Y$43,"F",IF(C686&lt;'PlayerGrades+'!$Y$42,"F+",IF(C686&lt;'PlayerGrades+'!$Y$41,"E-",IF(C686&lt;'PlayerGrades+'!$Y$40,"E",IF(C686&lt;'PlayerGrades+'!$Y$39,"E+",IF(C686&lt;'PlayerGrades+'!$Y$38,"D-",IF(C686&lt;'PlayerGrades+'!$Y$37,"D",IF(C686&lt;'PlayerGrades+'!$Y$36,"D+",IF(C686&lt;'PlayerGrades+'!$Y$35,"C-",IF(C686&lt;'PlayerGrades+'!$Y$34,"C",IF(C686&lt;'PlayerGrades+'!$Y$33,"C+",IF(C686&lt;'PlayerGrades+'!$Y$32,"B-",IF(C686&lt;'PlayerGrades+'!$Y$31,"B",IF(C686&lt;'PlayerGrades+'!$Y$30,"B+",IF(C686&lt;'PlayerGrades+'!$Y$29,"A-",IF(C686&lt;'PlayerGrades+'!$Y$28,"A",IF(C686&lt;'PlayerGrades+'!$Y$27,"A+",IF(C686&lt;'PlayerGrades+'!$Y$26,"S-",IF(C686&lt;'PlayerGrades+'!$Y$25,"S","S+"))))))))))))))))))))</f>
        <v>A</v>
      </c>
      <c r="C686" s="972">
        <f>('PlayerGrades+'!$Y$47*(VLOOKUP(E686, 'PlayerGrades+'!$X$3:$Y$23, 2, FALSE)))+('PlayerGrades+'!$Y$48*(VLOOKUP(G686, 'PlayerGrades+'!$X$3:$Y$23, 2, FALSE)))+('PlayerGrades+'!$Y$49*(VLOOKUP(I686, 'PlayerGrades+'!$X$3:$Y$23, 2, FALSE)))+('PlayerGrades+'!$Y$50*(VLOOKUP(K686, 'PlayerGrades+'!$X$3:$Y$23, 2, FALSE)))+('PlayerGrades+'!$Y$51*(VLOOKUP(M686, 'PlayerGrades+'!$X$3:$Y$23, 2, FALSE)))+('PlayerGrades+'!$Y$52*(VLOOKUP(O686, 'PlayerGrades+'!$X$3:$Y$23, 2, FALSE)))+('PlayerGrades+'!$Y$53*(VLOOKUP(Q686, 'PlayerGrades+'!$X$3:$Y$23, 2, FALSE)))+('PlayerGrades+'!$Y$54*(VLOOKUP(S686, 'PlayerGrades+'!$X$3:$Y$23, 2, FALSE)))+('PlayerGrades+'!$Y$55*(VLOOKUP(U686, 'PlayerGrades+'!$X$3:$Y$23, 2, FALSE)))</f>
        <v>26.25</v>
      </c>
      <c r="D686" s="973">
        <f t="shared" si="1"/>
        <v>0.3880983182</v>
      </c>
      <c r="E686" s="973" t="str">
        <f>IF(D686&lt;'PlayerGrades+'!$AA$21,"F-",IF(D686&lt;'PlayerGrades+'!$AA$20,"F",IF(D686&lt;'PlayerGrades+'!$AA$19,"F+",IF(D686&lt;'PlayerGrades+'!$AA$18,"E-",IF(D686&lt;'PlayerGrades+'!$AA$17,"E",IF(D686&lt;'PlayerGrades+'!$AA$16,"E+",IF(D686&lt;'PlayerGrades+'!$AA$15,"D-",IF(D686&lt;'PlayerGrades+'!$AA$14,"D",IF(D686&lt;'PlayerGrades+'!$AA$13,"D+",IF(D686&lt;'PlayerGrades+'!$AA$12,"C-",IF(D686&lt;'PlayerGrades+'!$AA$11,"C",IF(D686&lt;'PlayerGrades+'!$AA$10,"C+",IF(D686&lt;'PlayerGrades+'!$AA$9,"B-",IF(D686&lt;'PlayerGrades+'!$AA$8,"B",IF(D686&lt;'PlayerGrades+'!$AA$7,"B+",IF(D686&lt;'PlayerGrades+'!$AA$6,"A-",IF(D686&lt;'PlayerGrades+'!$AA$5,"A",IF(D686&lt;'PlayerGrades+'!$AA$4,"A+",IF(D686&lt;'PlayerGrades+'!$AA$3,"S-",IF(D686&lt;'PlayerGrades+'!$AA$2,"S","S+"))))))))))))))))))))</f>
        <v>A+</v>
      </c>
      <c r="F686" s="973">
        <f t="shared" si="2"/>
        <v>0</v>
      </c>
      <c r="G686" s="973" t="str">
        <f>IF(F686&lt;'PlayerGrades+'!$AB$21,"F-",IF(F686&lt;'PlayerGrades+'!$AB$20,"F",IF(F686&lt;'PlayerGrades+'!$AB$19,"F+",IF(F686&lt;'PlayerGrades+'!$AB$18,"E-",IF(F686&lt;'PlayerGrades+'!$AB$17,"E",IF(F686&lt;'PlayerGrades+'!$AB$16,"E+",IF(F686&lt;'PlayerGrades+'!$AB$15,"D-",IF(F686&lt;'PlayerGrades+'!$AB$14,"D",IF(F686&lt;'PlayerGrades+'!$AB$13,"D+",IF(F686&lt;'PlayerGrades+'!$AB$12,"C-",IF(F686&lt;'PlayerGrades+'!$AB$11,"C",IF(F686&lt;'PlayerGrades+'!$AB$10,"C+",IF(F686&lt;'PlayerGrades+'!$AB$9,"B-",IF(F686&lt;'PlayerGrades+'!$AB$8,"B",IF(F686&lt;'PlayerGrades+'!$AB$7,"B+",IF(F686&lt;'PlayerGrades+'!$AB$6,"A-",IF(F686&lt;'PlayerGrades+'!$AB$5,"A",IF(F686&lt;'PlayerGrades+'!$AB$4,"A+",IF(F686&lt;'PlayerGrades+'!$AB$3,"S-",IF(F686&lt;'PlayerGrades+'!$AB$2,"S","S+"))))))))))))))))))))</f>
        <v>B</v>
      </c>
      <c r="H686" s="973">
        <f t="shared" si="3"/>
        <v>0.07761966365</v>
      </c>
      <c r="I686" s="973" t="str">
        <f>IF(H686&lt;'PlayerGrades+'!$AC$21,"F-",IF(H686&lt;'PlayerGrades+'!$AC$20,"F",IF(H686&lt;'PlayerGrades+'!$AC$19,"F+",IF(H686&lt;'PlayerGrades+'!$AC$18,"E-",IF(H686&lt;'PlayerGrades+'!$AC$17,"E",IF(H686&lt;'PlayerGrades+'!$AC$16,"E+",IF(H686&lt;'PlayerGrades+'!$AC$15,"D-",IF(H686&lt;'PlayerGrades+'!$AC$14,"D",IF(H686&lt;'PlayerGrades+'!$AC$13,"D+",IF(H686&lt;'PlayerGrades+'!$AC$12,"C-",IF(H686&lt;'PlayerGrades+'!$AC$11,"C",IF(H686&lt;'PlayerGrades+'!$AC$10,"C+",IF(H686&lt;'PlayerGrades+'!$AC$9,"B-",IF(H686&lt;'PlayerGrades+'!$AC$8,"B",IF(H686&lt;'PlayerGrades+'!$AC$7,"B+",IF(H686&lt;'PlayerGrades+'!$AC$6,"A-",IF(H686&lt;'PlayerGrades+'!$AC$5,"A",IF(H686&lt;'PlayerGrades+'!$AC$4,"A+",IF(H686&lt;'PlayerGrades+'!$AC$3,"S-",IF(H686&lt;'PlayerGrades+'!$AC$2,"S","S+"))))))))))))))))))))</f>
        <v>E+</v>
      </c>
      <c r="J686" s="973">
        <f t="shared" si="4"/>
        <v>0.07761966365</v>
      </c>
      <c r="K686" s="973" t="str">
        <f>IF(J686&lt;'PlayerGrades+'!$AD$21,"F-",IF(J686&lt;'PlayerGrades+'!$AD$20,"F",IF(J686&lt;'PlayerGrades+'!$AD$19,"F+",IF(J686&lt;'PlayerGrades+'!$AD$18,"E-",IF(J686&lt;'PlayerGrades+'!$AD$17,"E",IF(J686&lt;'PlayerGrades+'!$AD$16,"E+",IF(J686&lt;'PlayerGrades+'!$AD$15,"D-",IF(J686&lt;'PlayerGrades+'!$AD$14,"D",IF(J686&lt;'PlayerGrades+'!$AD$13,"D+",IF(J686&lt;'PlayerGrades+'!$AD$12,"C-",IF(J686&lt;'PlayerGrades+'!$AD$11,"C",IF(J686&lt;'PlayerGrades+'!$AD$10,"C+",IF(J686&lt;'PlayerGrades+'!$AD$9,"B-",IF(J686&lt;'PlayerGrades+'!$AD$8,"B",IF(J686&lt;'PlayerGrades+'!$AD$7,"B+",IF(J686&lt;'PlayerGrades+'!$AD$6,"A-",IF(J686&lt;'PlayerGrades+'!$AD$5,"A",IF(J686&lt;'PlayerGrades+'!$AD$4,"A+",IF(J686&lt;'PlayerGrades+'!$AD$3,"S-",IF(J686&lt;'PlayerGrades+'!$AD$2,"S","S+"))))))))))))))))))))</f>
        <v>A+</v>
      </c>
      <c r="L686" s="974">
        <f t="shared" si="5"/>
        <v>0.4657179819</v>
      </c>
      <c r="M686" s="975" t="str">
        <f>IF(L686&lt;'PlayerGrades+'!$AE$21,"F-",IF(L686&lt;'PlayerGrades+'!$AE$20,"F",IF(L686&lt;'PlayerGrades+'!$AE$19,"F+",IF(L686&lt;'PlayerGrades+'!$AE$18,"E-",IF(L686&lt;'PlayerGrades+'!$AE$17,"E",IF(L686&lt;'PlayerGrades+'!$AE$16,"E+",IF(L686&lt;'PlayerGrades+'!$AE$15,"D-",IF(L686&lt;'PlayerGrades+'!$AE$14,"D",IF(L686&lt;'PlayerGrades+'!$AE$13,"D+",IF(L686&lt;'PlayerGrades+'!$AE$12,"C-",IF(L686&lt;'PlayerGrades+'!$AE$11,"C",IF(L686&lt;'PlayerGrades+'!$AE$10,"C+",IF(L686&lt;'PlayerGrades+'!$AE$9,"B-",IF(L686&lt;'PlayerGrades+'!$AE$8,"B",IF(L686&lt;'PlayerGrades+'!$AE$7,"B+",IF(L686&lt;'PlayerGrades+'!$AE$6,"A-",IF(L686&lt;'PlayerGrades+'!$AE$5,"A",IF(L686&lt;'PlayerGrades+'!$AE$4,"A+",IF(L686&lt;'PlayerGrades+'!$AE$3,"S-",IF(L686&lt;'PlayerGrades+'!$AE$2,"S","S+"))))))))))))))))))))</f>
        <v>B+</v>
      </c>
      <c r="N686" s="973">
        <f t="shared" si="6"/>
        <v>0.07761966365</v>
      </c>
      <c r="O686" s="973" t="str">
        <f>IF(N686&lt;'PlayerGrades+'!$AF$21,"F-",IF(N686&lt;'PlayerGrades+'!$AF$20,"F",IF(N686&lt;'PlayerGrades+'!$AF$19,"F+",IF(N686&lt;'PlayerGrades+'!$AF$18,"E-",IF(N686&lt;'PlayerGrades+'!$AF$17,"E",IF(N686&lt;'PlayerGrades+'!$AF$16,"E+",IF(N686&lt;'PlayerGrades+'!$AF$15,"D-",IF(N686&lt;'PlayerGrades+'!$AF$14,"D",IF(N686&lt;'PlayerGrades+'!$AF$13,"D+",IF(N686&lt;'PlayerGrades+'!$AF$12,"C-",IF(N686&lt;'PlayerGrades+'!$AF$11,"C",IF(N686&lt;'PlayerGrades+'!$AF$10,"C+",IF(N686&lt;'PlayerGrades+'!$AF$9,"B-",IF(N686&lt;'PlayerGrades+'!$AF$8,"B",IF(N686&lt;'PlayerGrades+'!$AF$7,"B+",IF(N686&lt;'PlayerGrades+'!$AF$6,"A-",IF(N686&lt;'PlayerGrades+'!$AF$5,"A",IF(N686&lt;'PlayerGrades+'!$AF$4,"A+",IF(N686&lt;'PlayerGrades+'!$AF$3,"S-",IF(N686&lt;'PlayerGrades+'!$AF$2,"S","S+"))))))))))))))))))))</f>
        <v>B-</v>
      </c>
      <c r="P686" s="973">
        <f t="shared" si="7"/>
        <v>0</v>
      </c>
      <c r="Q686" s="973" t="str">
        <f>IF(P686&lt;'PlayerGrades+'!$AG$21,"F-",IF(P686&lt;'PlayerGrades+'!$AG$20,"F",IF(P686&lt;'PlayerGrades+'!$AG$19,"F+",IF(P686&lt;'PlayerGrades+'!$AG$18,"E-",IF(P686&lt;'PlayerGrades+'!$AG$17,"E",IF(P686&lt;'PlayerGrades+'!$AG$16,"E+",IF(P686&lt;'PlayerGrades+'!$AG$15,"D-",IF(P686&lt;'PlayerGrades+'!$AG$14,"D",IF(P686&lt;'PlayerGrades+'!$AG$13,"D+",IF(P686&lt;'PlayerGrades+'!$AG$12,"C-",IF(P686&lt;'PlayerGrades+'!$AG$11,"C",IF(P686&lt;'PlayerGrades+'!$AG$10,"C+",IF(P686&lt;'PlayerGrades+'!$AG$9,"B-",IF(P686&lt;'PlayerGrades+'!$AG$8,"B",IF(P686&lt;'PlayerGrades+'!$AG$7,"B+",IF(P686&lt;'PlayerGrades+'!$AG$6,"A-",IF(P686&lt;'PlayerGrades+'!$AG$5,"A",IF(P686&lt;'PlayerGrades+'!$AG$4,"A+",IF(P686&lt;'PlayerGrades+'!$AG$3,"S-",IF(P686&lt;'PlayerGrades+'!$AG$2,"S","S+"))))))))))))))))))))</f>
        <v>F</v>
      </c>
      <c r="R686" s="973">
        <f t="shared" si="8"/>
        <v>0.8538163001</v>
      </c>
      <c r="S686" s="973" t="str">
        <f>IF(R686&lt;'PlayerGrades+'!$AH$21,"F-",IF(R686&lt;'PlayerGrades+'!$AH$20,"F",IF(R686&lt;'PlayerGrades+'!$AH$19,"F+",IF(R686&lt;'PlayerGrades+'!$AH$18,"E-",IF(R686&lt;'PlayerGrades+'!$AH$17,"E",IF(R686&lt;'PlayerGrades+'!$AH$16,"E+",IF(R686&lt;'PlayerGrades+'!$AH$15,"D-",IF(R686&lt;'PlayerGrades+'!$AH$14,"D",IF(R686&lt;'PlayerGrades+'!$AH$13,"D+",IF(R686&lt;'PlayerGrades+'!$AH$12,"C-",IF(R686&lt;'PlayerGrades+'!$AH$11,"C",IF(R686&lt;'PlayerGrades+'!$AH$10,"C+",IF(R686&lt;'PlayerGrades+'!$AH$9,"B-",IF(R686&lt;'PlayerGrades+'!$AH$8,"B",IF(R686&lt;'PlayerGrades+'!$AH$7,"B+",IF(R686&lt;'PlayerGrades+'!$AH$6,"A-",IF(R686&lt;'PlayerGrades+'!$AH$5,"A",IF(R686&lt;'PlayerGrades+'!$AH$4,"A+",IF(R686&lt;'PlayerGrades+'!$AH$3,"S-",IF(R686&lt;'PlayerGrades+'!$AH$2,"S","S+"))))))))))))))))))))</f>
        <v>S+</v>
      </c>
      <c r="T686" s="973">
        <f t="shared" si="9"/>
        <v>3.543337646</v>
      </c>
      <c r="U686" s="973" t="str">
        <f>IF(T686&lt;'PlayerGrades+'!$AI$21,"F-",IF(T686&lt;'PlayerGrades+'!$AI$20,"F",IF(T686&lt;'PlayerGrades+'!$AI$19,"F+",IF(T686&lt;'PlayerGrades+'!$AI$18,"E-",IF(T686&lt;'PlayerGrades+'!$AI$17,"E",IF(T686&lt;'PlayerGrades+'!$AI$16,"E+",IF(T686&lt;'PlayerGrades+'!$AI$15,"D-",IF(T686&lt;'PlayerGrades+'!$AI$14,"D",IF(T686&lt;'PlayerGrades+'!$AI$13,"D+",IF(T686&lt;'PlayerGrades+'!$AI$12,"C-",IF(T686&lt;'PlayerGrades+'!$AI$11,"C",IF(T686&lt;'PlayerGrades+'!$AI$10,"C+",IF(T686&lt;'PlayerGrades+'!$AI$9,"B-",IF(T686&lt;'PlayerGrades+'!$AI$8,"B",IF(T686&lt;'PlayerGrades+'!$AI$7,"B+",IF(T686&lt;'PlayerGrades+'!$AI$6,"A-",IF(T686&lt;'PlayerGrades+'!$AI$5,"A",IF(T686&lt;'PlayerGrades+'!$AI$4,"A+",IF(T686&lt;'PlayerGrades+'!$AI$3,"S-",IF(T686&lt;'PlayerGrades+'!$AI$2,"S","S+"))))))))))))))))))))</f>
        <v>S+</v>
      </c>
      <c r="V686" s="941">
        <v>1.0</v>
      </c>
      <c r="W686" s="941">
        <v>0.0</v>
      </c>
      <c r="X686" s="941">
        <v>1.0</v>
      </c>
      <c r="Y686" s="941">
        <v>1.0</v>
      </c>
      <c r="Z686" s="941">
        <v>4.0</v>
      </c>
      <c r="AA686" s="941">
        <v>46.0</v>
      </c>
      <c r="AB686" s="941">
        <v>46.0</v>
      </c>
      <c r="AC686" s="941">
        <v>0.0</v>
      </c>
      <c r="AD686" s="941">
        <v>4.0</v>
      </c>
      <c r="AE686" s="941">
        <v>5.0</v>
      </c>
      <c r="AF686" s="941">
        <v>0.0</v>
      </c>
      <c r="AG686" s="941">
        <v>523.0</v>
      </c>
      <c r="AH686" s="941">
        <v>773.0</v>
      </c>
      <c r="AI686" s="941">
        <v>11.0</v>
      </c>
      <c r="AJ686" s="941">
        <v>57.0</v>
      </c>
      <c r="AK686" s="941">
        <v>0.0</v>
      </c>
      <c r="AL686" s="941">
        <v>1.0</v>
      </c>
      <c r="AM686" s="941">
        <v>0.0</v>
      </c>
      <c r="AN686" s="941">
        <v>0.0</v>
      </c>
      <c r="AO686" s="941">
        <v>0.0</v>
      </c>
      <c r="AP686" s="941">
        <v>0.0</v>
      </c>
      <c r="AQ686" s="941">
        <v>0.0</v>
      </c>
      <c r="AR686" s="941">
        <v>6.0</v>
      </c>
      <c r="AS686" s="941">
        <v>1.0</v>
      </c>
      <c r="AT686" s="941">
        <v>0.0</v>
      </c>
      <c r="AU686" s="941">
        <v>0.0</v>
      </c>
      <c r="AV686" s="941">
        <v>0.0</v>
      </c>
      <c r="AW686" s="941">
        <v>0.0</v>
      </c>
      <c r="AX686" s="941">
        <v>0.0</v>
      </c>
      <c r="AY686" s="941">
        <v>0.0</v>
      </c>
      <c r="AZ686" s="941">
        <v>0.0</v>
      </c>
      <c r="BA686" s="941">
        <v>0.0</v>
      </c>
      <c r="BB686" s="941">
        <v>1.0</v>
      </c>
      <c r="BC686" s="941">
        <v>0.0</v>
      </c>
      <c r="BD686" s="941">
        <v>7.0</v>
      </c>
      <c r="BE686" s="941">
        <v>7.0</v>
      </c>
      <c r="BF686" s="941">
        <v>3.0</v>
      </c>
      <c r="BG686" s="942">
        <v>0.0</v>
      </c>
    </row>
    <row r="687">
      <c r="A687" s="935" t="s">
        <v>114</v>
      </c>
      <c r="B687" s="421" t="str">
        <f>IF(C687&lt;'PlayerGrades+'!$Y$44,"F-",IF(C687&lt;'PlayerGrades+'!$Y$43,"F",IF(C687&lt;'PlayerGrades+'!$Y$42,"F+",IF(C687&lt;'PlayerGrades+'!$Y$41,"E-",IF(C687&lt;'PlayerGrades+'!$Y$40,"E",IF(C687&lt;'PlayerGrades+'!$Y$39,"E+",IF(C687&lt;'PlayerGrades+'!$Y$38,"D-",IF(C687&lt;'PlayerGrades+'!$Y$37,"D",IF(C687&lt;'PlayerGrades+'!$Y$36,"D+",IF(C687&lt;'PlayerGrades+'!$Y$35,"C-",IF(C687&lt;'PlayerGrades+'!$Y$34,"C",IF(C687&lt;'PlayerGrades+'!$Y$33,"C+",IF(C687&lt;'PlayerGrades+'!$Y$32,"B-",IF(C687&lt;'PlayerGrades+'!$Y$31,"B",IF(C687&lt;'PlayerGrades+'!$Y$30,"B+",IF(C687&lt;'PlayerGrades+'!$Y$29,"A-",IF(C687&lt;'PlayerGrades+'!$Y$28,"A",IF(C687&lt;'PlayerGrades+'!$Y$27,"A+",IF(C687&lt;'PlayerGrades+'!$Y$26,"S-",IF(C687&lt;'PlayerGrades+'!$Y$25,"S","S+"))))))))))))))))))))</f>
        <v>C+</v>
      </c>
      <c r="C687" s="972">
        <f>('PlayerGrades+'!$Y$47*(VLOOKUP(E687, 'PlayerGrades+'!$X$3:$Y$23, 2, FALSE)))+('PlayerGrades+'!$Y$48*(VLOOKUP(G687, 'PlayerGrades+'!$X$3:$Y$23, 2, FALSE)))+('PlayerGrades+'!$Y$49*(VLOOKUP(I687, 'PlayerGrades+'!$X$3:$Y$23, 2, FALSE)))+('PlayerGrades+'!$Y$50*(VLOOKUP(K687, 'PlayerGrades+'!$X$3:$Y$23, 2, FALSE)))+('PlayerGrades+'!$Y$51*(VLOOKUP(M687, 'PlayerGrades+'!$X$3:$Y$23, 2, FALSE)))+('PlayerGrades+'!$Y$52*(VLOOKUP(O687, 'PlayerGrades+'!$X$3:$Y$23, 2, FALSE)))+('PlayerGrades+'!$Y$53*(VLOOKUP(Q687, 'PlayerGrades+'!$X$3:$Y$23, 2, FALSE)))+('PlayerGrades+'!$Y$54*(VLOOKUP(S687, 'PlayerGrades+'!$X$3:$Y$23, 2, FALSE)))+('PlayerGrades+'!$Y$55*(VLOOKUP(U687, 'PlayerGrades+'!$X$3:$Y$23, 2, FALSE)))</f>
        <v>21.05</v>
      </c>
      <c r="D687" s="973">
        <f t="shared" si="1"/>
        <v>0.3880983182</v>
      </c>
      <c r="E687" s="973" t="str">
        <f>IF(D687&lt;'PlayerGrades+'!$AA$21,"F-",IF(D687&lt;'PlayerGrades+'!$AA$20,"F",IF(D687&lt;'PlayerGrades+'!$AA$19,"F+",IF(D687&lt;'PlayerGrades+'!$AA$18,"E-",IF(D687&lt;'PlayerGrades+'!$AA$17,"E",IF(D687&lt;'PlayerGrades+'!$AA$16,"E+",IF(D687&lt;'PlayerGrades+'!$AA$15,"D-",IF(D687&lt;'PlayerGrades+'!$AA$14,"D",IF(D687&lt;'PlayerGrades+'!$AA$13,"D+",IF(D687&lt;'PlayerGrades+'!$AA$12,"C-",IF(D687&lt;'PlayerGrades+'!$AA$11,"C",IF(D687&lt;'PlayerGrades+'!$AA$10,"C+",IF(D687&lt;'PlayerGrades+'!$AA$9,"B-",IF(D687&lt;'PlayerGrades+'!$AA$8,"B",IF(D687&lt;'PlayerGrades+'!$AA$7,"B+",IF(D687&lt;'PlayerGrades+'!$AA$6,"A-",IF(D687&lt;'PlayerGrades+'!$AA$5,"A",IF(D687&lt;'PlayerGrades+'!$AA$4,"A+",IF(D687&lt;'PlayerGrades+'!$AA$3,"S-",IF(D687&lt;'PlayerGrades+'!$AA$2,"S","S+"))))))))))))))))))))</f>
        <v>A+</v>
      </c>
      <c r="F687" s="973">
        <f t="shared" si="2"/>
        <v>-0.2328589909</v>
      </c>
      <c r="G687" s="973" t="str">
        <f>IF(F687&lt;'PlayerGrades+'!$AB$21,"F-",IF(F687&lt;'PlayerGrades+'!$AB$20,"F",IF(F687&lt;'PlayerGrades+'!$AB$19,"F+",IF(F687&lt;'PlayerGrades+'!$AB$18,"E-",IF(F687&lt;'PlayerGrades+'!$AB$17,"E",IF(F687&lt;'PlayerGrades+'!$AB$16,"E+",IF(F687&lt;'PlayerGrades+'!$AB$15,"D-",IF(F687&lt;'PlayerGrades+'!$AB$14,"D",IF(F687&lt;'PlayerGrades+'!$AB$13,"D+",IF(F687&lt;'PlayerGrades+'!$AB$12,"C-",IF(F687&lt;'PlayerGrades+'!$AB$11,"C",IF(F687&lt;'PlayerGrades+'!$AB$10,"C+",IF(F687&lt;'PlayerGrades+'!$AB$9,"B-",IF(F687&lt;'PlayerGrades+'!$AB$8,"B",IF(F687&lt;'PlayerGrades+'!$AB$7,"B+",IF(F687&lt;'PlayerGrades+'!$AB$6,"A-",IF(F687&lt;'PlayerGrades+'!$AB$5,"A",IF(F687&lt;'PlayerGrades+'!$AB$4,"A+",IF(F687&lt;'PlayerGrades+'!$AB$3,"S-",IF(F687&lt;'PlayerGrades+'!$AB$2,"S","S+"))))))))))))))))))))</f>
        <v>C+</v>
      </c>
      <c r="H687" s="973">
        <f t="shared" si="3"/>
        <v>0.2328589909</v>
      </c>
      <c r="I687" s="973" t="str">
        <f>IF(H687&lt;'PlayerGrades+'!$AC$21,"F-",IF(H687&lt;'PlayerGrades+'!$AC$20,"F",IF(H687&lt;'PlayerGrades+'!$AC$19,"F+",IF(H687&lt;'PlayerGrades+'!$AC$18,"E-",IF(H687&lt;'PlayerGrades+'!$AC$17,"E",IF(H687&lt;'PlayerGrades+'!$AC$16,"E+",IF(H687&lt;'PlayerGrades+'!$AC$15,"D-",IF(H687&lt;'PlayerGrades+'!$AC$14,"D",IF(H687&lt;'PlayerGrades+'!$AC$13,"D+",IF(H687&lt;'PlayerGrades+'!$AC$12,"C-",IF(H687&lt;'PlayerGrades+'!$AC$11,"C",IF(H687&lt;'PlayerGrades+'!$AC$10,"C+",IF(H687&lt;'PlayerGrades+'!$AC$9,"B-",IF(H687&lt;'PlayerGrades+'!$AC$8,"B",IF(H687&lt;'PlayerGrades+'!$AC$7,"B+",IF(H687&lt;'PlayerGrades+'!$AC$6,"A-",IF(H687&lt;'PlayerGrades+'!$AC$5,"A",IF(H687&lt;'PlayerGrades+'!$AC$4,"A+",IF(H687&lt;'PlayerGrades+'!$AC$3,"S-",IF(H687&lt;'PlayerGrades+'!$AC$2,"S","S+"))))))))))))))))))))</f>
        <v>S</v>
      </c>
      <c r="J687" s="973">
        <f t="shared" si="4"/>
        <v>0.07761966365</v>
      </c>
      <c r="K687" s="973" t="str">
        <f>IF(J687&lt;'PlayerGrades+'!$AD$21,"F-",IF(J687&lt;'PlayerGrades+'!$AD$20,"F",IF(J687&lt;'PlayerGrades+'!$AD$19,"F+",IF(J687&lt;'PlayerGrades+'!$AD$18,"E-",IF(J687&lt;'PlayerGrades+'!$AD$17,"E",IF(J687&lt;'PlayerGrades+'!$AD$16,"E+",IF(J687&lt;'PlayerGrades+'!$AD$15,"D-",IF(J687&lt;'PlayerGrades+'!$AD$14,"D",IF(J687&lt;'PlayerGrades+'!$AD$13,"D+",IF(J687&lt;'PlayerGrades+'!$AD$12,"C-",IF(J687&lt;'PlayerGrades+'!$AD$11,"C",IF(J687&lt;'PlayerGrades+'!$AD$10,"C+",IF(J687&lt;'PlayerGrades+'!$AD$9,"B-",IF(J687&lt;'PlayerGrades+'!$AD$8,"B",IF(J687&lt;'PlayerGrades+'!$AD$7,"B+",IF(J687&lt;'PlayerGrades+'!$AD$6,"A-",IF(J687&lt;'PlayerGrades+'!$AD$5,"A",IF(J687&lt;'PlayerGrades+'!$AD$4,"A+",IF(J687&lt;'PlayerGrades+'!$AD$3,"S-",IF(J687&lt;'PlayerGrades+'!$AD$2,"S","S+"))))))))))))))))))))</f>
        <v>A+</v>
      </c>
      <c r="L687" s="974">
        <f t="shared" si="5"/>
        <v>0.3104786546</v>
      </c>
      <c r="M687" s="975" t="str">
        <f>IF(L687&lt;'PlayerGrades+'!$AE$21,"F-",IF(L687&lt;'PlayerGrades+'!$AE$20,"F",IF(L687&lt;'PlayerGrades+'!$AE$19,"F+",IF(L687&lt;'PlayerGrades+'!$AE$18,"E-",IF(L687&lt;'PlayerGrades+'!$AE$17,"E",IF(L687&lt;'PlayerGrades+'!$AE$16,"E+",IF(L687&lt;'PlayerGrades+'!$AE$15,"D-",IF(L687&lt;'PlayerGrades+'!$AE$14,"D",IF(L687&lt;'PlayerGrades+'!$AE$13,"D+",IF(L687&lt;'PlayerGrades+'!$AE$12,"C-",IF(L687&lt;'PlayerGrades+'!$AE$11,"C",IF(L687&lt;'PlayerGrades+'!$AE$10,"C+",IF(L687&lt;'PlayerGrades+'!$AE$9,"B-",IF(L687&lt;'PlayerGrades+'!$AE$8,"B",IF(L687&lt;'PlayerGrades+'!$AE$7,"B+",IF(L687&lt;'PlayerGrades+'!$AE$6,"A-",IF(L687&lt;'PlayerGrades+'!$AE$5,"A",IF(L687&lt;'PlayerGrades+'!$AE$4,"A+",IF(L687&lt;'PlayerGrades+'!$AE$3,"S-",IF(L687&lt;'PlayerGrades+'!$AE$2,"S","S+"))))))))))))))))))))</f>
        <v>E-</v>
      </c>
      <c r="N687" s="973">
        <f t="shared" si="6"/>
        <v>0.07761966365</v>
      </c>
      <c r="O687" s="973" t="str">
        <f>IF(N687&lt;'PlayerGrades+'!$AF$21,"F-",IF(N687&lt;'PlayerGrades+'!$AF$20,"F",IF(N687&lt;'PlayerGrades+'!$AF$19,"F+",IF(N687&lt;'PlayerGrades+'!$AF$18,"E-",IF(N687&lt;'PlayerGrades+'!$AF$17,"E",IF(N687&lt;'PlayerGrades+'!$AF$16,"E+",IF(N687&lt;'PlayerGrades+'!$AF$15,"D-",IF(N687&lt;'PlayerGrades+'!$AF$14,"D",IF(N687&lt;'PlayerGrades+'!$AF$13,"D+",IF(N687&lt;'PlayerGrades+'!$AF$12,"C-",IF(N687&lt;'PlayerGrades+'!$AF$11,"C",IF(N687&lt;'PlayerGrades+'!$AF$10,"C+",IF(N687&lt;'PlayerGrades+'!$AF$9,"B-",IF(N687&lt;'PlayerGrades+'!$AF$8,"B",IF(N687&lt;'PlayerGrades+'!$AF$7,"B+",IF(N687&lt;'PlayerGrades+'!$AF$6,"A-",IF(N687&lt;'PlayerGrades+'!$AF$5,"A",IF(N687&lt;'PlayerGrades+'!$AF$4,"A+",IF(N687&lt;'PlayerGrades+'!$AF$3,"S-",IF(N687&lt;'PlayerGrades+'!$AF$2,"S","S+"))))))))))))))))))))</f>
        <v>B-</v>
      </c>
      <c r="P687" s="973">
        <f t="shared" si="7"/>
        <v>0.07761966365</v>
      </c>
      <c r="Q687" s="973" t="str">
        <f>IF(P687&lt;'PlayerGrades+'!$AG$21,"F-",IF(P687&lt;'PlayerGrades+'!$AG$20,"F",IF(P687&lt;'PlayerGrades+'!$AG$19,"F+",IF(P687&lt;'PlayerGrades+'!$AG$18,"E-",IF(P687&lt;'PlayerGrades+'!$AG$17,"E",IF(P687&lt;'PlayerGrades+'!$AG$16,"E+",IF(P687&lt;'PlayerGrades+'!$AG$15,"D-",IF(P687&lt;'PlayerGrades+'!$AG$14,"D",IF(P687&lt;'PlayerGrades+'!$AG$13,"D+",IF(P687&lt;'PlayerGrades+'!$AG$12,"C-",IF(P687&lt;'PlayerGrades+'!$AG$11,"C",IF(P687&lt;'PlayerGrades+'!$AG$10,"C+",IF(P687&lt;'PlayerGrades+'!$AG$9,"B-",IF(P687&lt;'PlayerGrades+'!$AG$8,"B",IF(P687&lt;'PlayerGrades+'!$AG$7,"B+",IF(P687&lt;'PlayerGrades+'!$AG$6,"A-",IF(P687&lt;'PlayerGrades+'!$AG$5,"A",IF(P687&lt;'PlayerGrades+'!$AG$4,"A+",IF(P687&lt;'PlayerGrades+'!$AG$3,"S-",IF(P687&lt;'PlayerGrades+'!$AG$2,"S","S+"))))))))))))))))))))</f>
        <v>S-</v>
      </c>
      <c r="R687" s="973">
        <f t="shared" si="8"/>
        <v>0.2328589909</v>
      </c>
      <c r="S687" s="973" t="str">
        <f>IF(R687&lt;'PlayerGrades+'!$AH$21,"F-",IF(R687&lt;'PlayerGrades+'!$AH$20,"F",IF(R687&lt;'PlayerGrades+'!$AH$19,"F+",IF(R687&lt;'PlayerGrades+'!$AH$18,"E-",IF(R687&lt;'PlayerGrades+'!$AH$17,"E",IF(R687&lt;'PlayerGrades+'!$AH$16,"E+",IF(R687&lt;'PlayerGrades+'!$AH$15,"D-",IF(R687&lt;'PlayerGrades+'!$AH$14,"D",IF(R687&lt;'PlayerGrades+'!$AH$13,"D+",IF(R687&lt;'PlayerGrades+'!$AH$12,"C-",IF(R687&lt;'PlayerGrades+'!$AH$11,"C",IF(R687&lt;'PlayerGrades+'!$AH$10,"C+",IF(R687&lt;'PlayerGrades+'!$AH$9,"B-",IF(R687&lt;'PlayerGrades+'!$AH$8,"B",IF(R687&lt;'PlayerGrades+'!$AH$7,"B+",IF(R687&lt;'PlayerGrades+'!$AH$6,"A-",IF(R687&lt;'PlayerGrades+'!$AH$5,"A",IF(R687&lt;'PlayerGrades+'!$AH$4,"A+",IF(R687&lt;'PlayerGrades+'!$AH$3,"S-",IF(R687&lt;'PlayerGrades+'!$AH$2,"S","S+"))))))))))))))))))))</f>
        <v>F-</v>
      </c>
      <c r="T687" s="973">
        <f t="shared" si="9"/>
        <v>0.3880983182</v>
      </c>
      <c r="U687" s="973" t="str">
        <f>IF(T687&lt;'PlayerGrades+'!$AI$21,"F-",IF(T687&lt;'PlayerGrades+'!$AI$20,"F",IF(T687&lt;'PlayerGrades+'!$AI$19,"F+",IF(T687&lt;'PlayerGrades+'!$AI$18,"E-",IF(T687&lt;'PlayerGrades+'!$AI$17,"E",IF(T687&lt;'PlayerGrades+'!$AI$16,"E+",IF(T687&lt;'PlayerGrades+'!$AI$15,"D-",IF(T687&lt;'PlayerGrades+'!$AI$14,"D",IF(T687&lt;'PlayerGrades+'!$AI$13,"D+",IF(T687&lt;'PlayerGrades+'!$AI$12,"C-",IF(T687&lt;'PlayerGrades+'!$AI$11,"C",IF(T687&lt;'PlayerGrades+'!$AI$10,"C+",IF(T687&lt;'PlayerGrades+'!$AI$9,"B-",IF(T687&lt;'PlayerGrades+'!$AI$8,"B",IF(T687&lt;'PlayerGrades+'!$AI$7,"B+",IF(T687&lt;'PlayerGrades+'!$AI$6,"A-",IF(T687&lt;'PlayerGrades+'!$AI$5,"A",IF(T687&lt;'PlayerGrades+'!$AI$4,"A+",IF(T687&lt;'PlayerGrades+'!$AI$3,"S-",IF(T687&lt;'PlayerGrades+'!$AI$2,"S","S+"))))))))))))))))))))</f>
        <v>F-</v>
      </c>
      <c r="V687" s="941">
        <v>1.0</v>
      </c>
      <c r="W687" s="941">
        <v>0.0</v>
      </c>
      <c r="X687" s="941">
        <v>1.0</v>
      </c>
      <c r="Y687" s="941">
        <v>1.0</v>
      </c>
      <c r="Z687" s="941">
        <v>4.0</v>
      </c>
      <c r="AA687" s="941">
        <v>37.0</v>
      </c>
      <c r="AB687" s="941">
        <v>40.0</v>
      </c>
      <c r="AC687" s="941">
        <v>-3.0</v>
      </c>
      <c r="AD687" s="941">
        <v>1.0</v>
      </c>
      <c r="AE687" s="941">
        <v>7.0</v>
      </c>
      <c r="AF687" s="941">
        <v>0.0</v>
      </c>
      <c r="AG687" s="941">
        <v>546.0</v>
      </c>
      <c r="AH687" s="941">
        <v>773.0</v>
      </c>
      <c r="AI687" s="941">
        <v>13.0</v>
      </c>
      <c r="AJ687" s="941">
        <v>116.0</v>
      </c>
      <c r="AK687" s="941">
        <v>0.0</v>
      </c>
      <c r="AL687" s="941">
        <v>1.0</v>
      </c>
      <c r="AM687" s="941">
        <v>0.0</v>
      </c>
      <c r="AN687" s="941">
        <v>0.0</v>
      </c>
      <c r="AO687" s="941">
        <v>0.0</v>
      </c>
      <c r="AP687" s="941">
        <v>1.0</v>
      </c>
      <c r="AQ687" s="941">
        <v>0.0</v>
      </c>
      <c r="AR687" s="941">
        <v>4.0</v>
      </c>
      <c r="AS687" s="941">
        <v>1.0</v>
      </c>
      <c r="AT687" s="941">
        <v>1.0</v>
      </c>
      <c r="AU687" s="941">
        <v>1.0</v>
      </c>
      <c r="AV687" s="941">
        <v>1.0</v>
      </c>
      <c r="AW687" s="941">
        <v>1.0</v>
      </c>
      <c r="AX687" s="941">
        <v>0.0</v>
      </c>
      <c r="AY687" s="941">
        <v>0.0</v>
      </c>
      <c r="AZ687" s="941">
        <v>0.0</v>
      </c>
      <c r="BA687" s="941">
        <v>0.0</v>
      </c>
      <c r="BB687" s="941">
        <v>3.0</v>
      </c>
      <c r="BC687" s="941">
        <v>0.0</v>
      </c>
      <c r="BD687" s="941">
        <v>2.0</v>
      </c>
      <c r="BE687" s="941">
        <v>5.0</v>
      </c>
      <c r="BF687" s="941">
        <v>0.0</v>
      </c>
      <c r="BG687" s="942">
        <v>0.0</v>
      </c>
    </row>
    <row r="688">
      <c r="A688" s="935" t="s">
        <v>136</v>
      </c>
      <c r="B688" s="421" t="str">
        <f>IF(C688&lt;'PlayerGrades+'!$Y$44,"F-",IF(C688&lt;'PlayerGrades+'!$Y$43,"F",IF(C688&lt;'PlayerGrades+'!$Y$42,"F+",IF(C688&lt;'PlayerGrades+'!$Y$41,"E-",IF(C688&lt;'PlayerGrades+'!$Y$40,"E",IF(C688&lt;'PlayerGrades+'!$Y$39,"E+",IF(C688&lt;'PlayerGrades+'!$Y$38,"D-",IF(C688&lt;'PlayerGrades+'!$Y$37,"D",IF(C688&lt;'PlayerGrades+'!$Y$36,"D+",IF(C688&lt;'PlayerGrades+'!$Y$35,"C-",IF(C688&lt;'PlayerGrades+'!$Y$34,"C",IF(C688&lt;'PlayerGrades+'!$Y$33,"C+",IF(C688&lt;'PlayerGrades+'!$Y$32,"B-",IF(C688&lt;'PlayerGrades+'!$Y$31,"B",IF(C688&lt;'PlayerGrades+'!$Y$30,"B+",IF(C688&lt;'PlayerGrades+'!$Y$29,"A-",IF(C688&lt;'PlayerGrades+'!$Y$28,"A",IF(C688&lt;'PlayerGrades+'!$Y$27,"A+",IF(C688&lt;'PlayerGrades+'!$Y$26,"S-",IF(C688&lt;'PlayerGrades+'!$Y$25,"S","S+"))))))))))))))))))))</f>
        <v>D+</v>
      </c>
      <c r="C688" s="972">
        <f>('PlayerGrades+'!$Y$47*(VLOOKUP(E688, 'PlayerGrades+'!$X$3:$Y$23, 2, FALSE)))+('PlayerGrades+'!$Y$48*(VLOOKUP(G688, 'PlayerGrades+'!$X$3:$Y$23, 2, FALSE)))+('PlayerGrades+'!$Y$49*(VLOOKUP(I688, 'PlayerGrades+'!$X$3:$Y$23, 2, FALSE)))+('PlayerGrades+'!$Y$50*(VLOOKUP(K688, 'PlayerGrades+'!$X$3:$Y$23, 2, FALSE)))+('PlayerGrades+'!$Y$51*(VLOOKUP(M688, 'PlayerGrades+'!$X$3:$Y$23, 2, FALSE)))+('PlayerGrades+'!$Y$52*(VLOOKUP(O688, 'PlayerGrades+'!$X$3:$Y$23, 2, FALSE)))+('PlayerGrades+'!$Y$53*(VLOOKUP(Q688, 'PlayerGrades+'!$X$3:$Y$23, 2, FALSE)))+('PlayerGrades+'!$Y$54*(VLOOKUP(S688, 'PlayerGrades+'!$X$3:$Y$23, 2, FALSE)))+('PlayerGrades+'!$Y$55*(VLOOKUP(U688, 'PlayerGrades+'!$X$3:$Y$23, 2, FALSE)))</f>
        <v>17.3</v>
      </c>
      <c r="D688" s="973">
        <f t="shared" si="1"/>
        <v>0.07761966365</v>
      </c>
      <c r="E688" s="973" t="str">
        <f>IF(D688&lt;'PlayerGrades+'!$AA$21,"F-",IF(D688&lt;'PlayerGrades+'!$AA$20,"F",IF(D688&lt;'PlayerGrades+'!$AA$19,"F+",IF(D688&lt;'PlayerGrades+'!$AA$18,"E-",IF(D688&lt;'PlayerGrades+'!$AA$17,"E",IF(D688&lt;'PlayerGrades+'!$AA$16,"E+",IF(D688&lt;'PlayerGrades+'!$AA$15,"D-",IF(D688&lt;'PlayerGrades+'!$AA$14,"D",IF(D688&lt;'PlayerGrades+'!$AA$13,"D+",IF(D688&lt;'PlayerGrades+'!$AA$12,"C-",IF(D688&lt;'PlayerGrades+'!$AA$11,"C",IF(D688&lt;'PlayerGrades+'!$AA$10,"C+",IF(D688&lt;'PlayerGrades+'!$AA$9,"B-",IF(D688&lt;'PlayerGrades+'!$AA$8,"B",IF(D688&lt;'PlayerGrades+'!$AA$7,"B+",IF(D688&lt;'PlayerGrades+'!$AA$6,"A-",IF(D688&lt;'PlayerGrades+'!$AA$5,"A",IF(D688&lt;'PlayerGrades+'!$AA$4,"A+",IF(D688&lt;'PlayerGrades+'!$AA$3,"S-",IF(D688&lt;'PlayerGrades+'!$AA$2,"S","S+"))))))))))))))))))))</f>
        <v>B</v>
      </c>
      <c r="F688" s="973">
        <f t="shared" si="2"/>
        <v>-0.4657179819</v>
      </c>
      <c r="G688" s="973" t="str">
        <f>IF(F688&lt;'PlayerGrades+'!$AB$21,"F-",IF(F688&lt;'PlayerGrades+'!$AB$20,"F",IF(F688&lt;'PlayerGrades+'!$AB$19,"F+",IF(F688&lt;'PlayerGrades+'!$AB$18,"E-",IF(F688&lt;'PlayerGrades+'!$AB$17,"E",IF(F688&lt;'PlayerGrades+'!$AB$16,"E+",IF(F688&lt;'PlayerGrades+'!$AB$15,"D-",IF(F688&lt;'PlayerGrades+'!$AB$14,"D",IF(F688&lt;'PlayerGrades+'!$AB$13,"D+",IF(F688&lt;'PlayerGrades+'!$AB$12,"C-",IF(F688&lt;'PlayerGrades+'!$AB$11,"C",IF(F688&lt;'PlayerGrades+'!$AB$10,"C+",IF(F688&lt;'PlayerGrades+'!$AB$9,"B-",IF(F688&lt;'PlayerGrades+'!$AB$8,"B",IF(F688&lt;'PlayerGrades+'!$AB$7,"B+",IF(F688&lt;'PlayerGrades+'!$AB$6,"A-",IF(F688&lt;'PlayerGrades+'!$AB$5,"A",IF(F688&lt;'PlayerGrades+'!$AB$4,"A+",IF(F688&lt;'PlayerGrades+'!$AB$3,"S-",IF(F688&lt;'PlayerGrades+'!$AB$2,"S","S+"))))))))))))))))))))</f>
        <v>D</v>
      </c>
      <c r="H688" s="973">
        <f t="shared" si="3"/>
        <v>0.07761966365</v>
      </c>
      <c r="I688" s="973" t="str">
        <f>IF(H688&lt;'PlayerGrades+'!$AC$21,"F-",IF(H688&lt;'PlayerGrades+'!$AC$20,"F",IF(H688&lt;'PlayerGrades+'!$AC$19,"F+",IF(H688&lt;'PlayerGrades+'!$AC$18,"E-",IF(H688&lt;'PlayerGrades+'!$AC$17,"E",IF(H688&lt;'PlayerGrades+'!$AC$16,"E+",IF(H688&lt;'PlayerGrades+'!$AC$15,"D-",IF(H688&lt;'PlayerGrades+'!$AC$14,"D",IF(H688&lt;'PlayerGrades+'!$AC$13,"D+",IF(H688&lt;'PlayerGrades+'!$AC$12,"C-",IF(H688&lt;'PlayerGrades+'!$AC$11,"C",IF(H688&lt;'PlayerGrades+'!$AC$10,"C+",IF(H688&lt;'PlayerGrades+'!$AC$9,"B-",IF(H688&lt;'PlayerGrades+'!$AC$8,"B",IF(H688&lt;'PlayerGrades+'!$AC$7,"B+",IF(H688&lt;'PlayerGrades+'!$AC$6,"A-",IF(H688&lt;'PlayerGrades+'!$AC$5,"A",IF(H688&lt;'PlayerGrades+'!$AC$4,"A+",IF(H688&lt;'PlayerGrades+'!$AC$3,"S-",IF(H688&lt;'PlayerGrades+'!$AC$2,"S","S+"))))))))))))))))))))</f>
        <v>E+</v>
      </c>
      <c r="J688" s="973">
        <f t="shared" si="4"/>
        <v>0</v>
      </c>
      <c r="K688" s="973" t="str">
        <f>IF(J688&lt;'PlayerGrades+'!$AD$21,"F-",IF(J688&lt;'PlayerGrades+'!$AD$20,"F",IF(J688&lt;'PlayerGrades+'!$AD$19,"F+",IF(J688&lt;'PlayerGrades+'!$AD$18,"E-",IF(J688&lt;'PlayerGrades+'!$AD$17,"E",IF(J688&lt;'PlayerGrades+'!$AD$16,"E+",IF(J688&lt;'PlayerGrades+'!$AD$15,"D-",IF(J688&lt;'PlayerGrades+'!$AD$14,"D",IF(J688&lt;'PlayerGrades+'!$AD$13,"D+",IF(J688&lt;'PlayerGrades+'!$AD$12,"C-",IF(J688&lt;'PlayerGrades+'!$AD$11,"C",IF(J688&lt;'PlayerGrades+'!$AD$10,"C+",IF(J688&lt;'PlayerGrades+'!$AD$9,"B-",IF(J688&lt;'PlayerGrades+'!$AD$8,"B",IF(J688&lt;'PlayerGrades+'!$AD$7,"B+",IF(J688&lt;'PlayerGrades+'!$AD$6,"A-",IF(J688&lt;'PlayerGrades+'!$AD$5,"A",IF(J688&lt;'PlayerGrades+'!$AD$4,"A+",IF(J688&lt;'PlayerGrades+'!$AD$3,"S-",IF(J688&lt;'PlayerGrades+'!$AD$2,"S","S+"))))))))))))))))))))</f>
        <v>F-</v>
      </c>
      <c r="L688" s="974">
        <f t="shared" si="5"/>
        <v>0.4657179819</v>
      </c>
      <c r="M688" s="975" t="str">
        <f>IF(L688&lt;'PlayerGrades+'!$AE$21,"F-",IF(L688&lt;'PlayerGrades+'!$AE$20,"F",IF(L688&lt;'PlayerGrades+'!$AE$19,"F+",IF(L688&lt;'PlayerGrades+'!$AE$18,"E-",IF(L688&lt;'PlayerGrades+'!$AE$17,"E",IF(L688&lt;'PlayerGrades+'!$AE$16,"E+",IF(L688&lt;'PlayerGrades+'!$AE$15,"D-",IF(L688&lt;'PlayerGrades+'!$AE$14,"D",IF(L688&lt;'PlayerGrades+'!$AE$13,"D+",IF(L688&lt;'PlayerGrades+'!$AE$12,"C-",IF(L688&lt;'PlayerGrades+'!$AE$11,"C",IF(L688&lt;'PlayerGrades+'!$AE$10,"C+",IF(L688&lt;'PlayerGrades+'!$AE$9,"B-",IF(L688&lt;'PlayerGrades+'!$AE$8,"B",IF(L688&lt;'PlayerGrades+'!$AE$7,"B+",IF(L688&lt;'PlayerGrades+'!$AE$6,"A-",IF(L688&lt;'PlayerGrades+'!$AE$5,"A",IF(L688&lt;'PlayerGrades+'!$AE$4,"A+",IF(L688&lt;'PlayerGrades+'!$AE$3,"S-",IF(L688&lt;'PlayerGrades+'!$AE$2,"S","S+"))))))))))))))))))))</f>
        <v>B+</v>
      </c>
      <c r="N688" s="973">
        <f t="shared" si="6"/>
        <v>0.07761966365</v>
      </c>
      <c r="O688" s="973" t="str">
        <f>IF(N688&lt;'PlayerGrades+'!$AF$21,"F-",IF(N688&lt;'PlayerGrades+'!$AF$20,"F",IF(N688&lt;'PlayerGrades+'!$AF$19,"F+",IF(N688&lt;'PlayerGrades+'!$AF$18,"E-",IF(N688&lt;'PlayerGrades+'!$AF$17,"E",IF(N688&lt;'PlayerGrades+'!$AF$16,"E+",IF(N688&lt;'PlayerGrades+'!$AF$15,"D-",IF(N688&lt;'PlayerGrades+'!$AF$14,"D",IF(N688&lt;'PlayerGrades+'!$AF$13,"D+",IF(N688&lt;'PlayerGrades+'!$AF$12,"C-",IF(N688&lt;'PlayerGrades+'!$AF$11,"C",IF(N688&lt;'PlayerGrades+'!$AF$10,"C+",IF(N688&lt;'PlayerGrades+'!$AF$9,"B-",IF(N688&lt;'PlayerGrades+'!$AF$8,"B",IF(N688&lt;'PlayerGrades+'!$AF$7,"B+",IF(N688&lt;'PlayerGrades+'!$AF$6,"A-",IF(N688&lt;'PlayerGrades+'!$AF$5,"A",IF(N688&lt;'PlayerGrades+'!$AF$4,"A+",IF(N688&lt;'PlayerGrades+'!$AF$3,"S-",IF(N688&lt;'PlayerGrades+'!$AF$2,"S","S+"))))))))))))))))))))</f>
        <v>B-</v>
      </c>
      <c r="P688" s="973">
        <f t="shared" si="7"/>
        <v>0</v>
      </c>
      <c r="Q688" s="973" t="str">
        <f>IF(P688&lt;'PlayerGrades+'!$AG$21,"F-",IF(P688&lt;'PlayerGrades+'!$AG$20,"F",IF(P688&lt;'PlayerGrades+'!$AG$19,"F+",IF(P688&lt;'PlayerGrades+'!$AG$18,"E-",IF(P688&lt;'PlayerGrades+'!$AG$17,"E",IF(P688&lt;'PlayerGrades+'!$AG$16,"E+",IF(P688&lt;'PlayerGrades+'!$AG$15,"D-",IF(P688&lt;'PlayerGrades+'!$AG$14,"D",IF(P688&lt;'PlayerGrades+'!$AG$13,"D+",IF(P688&lt;'PlayerGrades+'!$AG$12,"C-",IF(P688&lt;'PlayerGrades+'!$AG$11,"C",IF(P688&lt;'PlayerGrades+'!$AG$10,"C+",IF(P688&lt;'PlayerGrades+'!$AG$9,"B-",IF(P688&lt;'PlayerGrades+'!$AG$8,"B",IF(P688&lt;'PlayerGrades+'!$AG$7,"B+",IF(P688&lt;'PlayerGrades+'!$AG$6,"A-",IF(P688&lt;'PlayerGrades+'!$AG$5,"A",IF(P688&lt;'PlayerGrades+'!$AG$4,"A+",IF(P688&lt;'PlayerGrades+'!$AG$3,"S-",IF(P688&lt;'PlayerGrades+'!$AG$2,"S","S+"))))))))))))))))))))</f>
        <v>F</v>
      </c>
      <c r="R688" s="973">
        <f t="shared" si="8"/>
        <v>0.3880983182</v>
      </c>
      <c r="S688" s="973" t="str">
        <f>IF(R688&lt;'PlayerGrades+'!$AH$21,"F-",IF(R688&lt;'PlayerGrades+'!$AH$20,"F",IF(R688&lt;'PlayerGrades+'!$AH$19,"F+",IF(R688&lt;'PlayerGrades+'!$AH$18,"E-",IF(R688&lt;'PlayerGrades+'!$AH$17,"E",IF(R688&lt;'PlayerGrades+'!$AH$16,"E+",IF(R688&lt;'PlayerGrades+'!$AH$15,"D-",IF(R688&lt;'PlayerGrades+'!$AH$14,"D",IF(R688&lt;'PlayerGrades+'!$AH$13,"D+",IF(R688&lt;'PlayerGrades+'!$AH$12,"C-",IF(R688&lt;'PlayerGrades+'!$AH$11,"C",IF(R688&lt;'PlayerGrades+'!$AH$10,"C+",IF(R688&lt;'PlayerGrades+'!$AH$9,"B-",IF(R688&lt;'PlayerGrades+'!$AH$8,"B",IF(R688&lt;'PlayerGrades+'!$AH$7,"B+",IF(R688&lt;'PlayerGrades+'!$AH$6,"A-",IF(R688&lt;'PlayerGrades+'!$AH$5,"A",IF(R688&lt;'PlayerGrades+'!$AH$4,"A+",IF(R688&lt;'PlayerGrades+'!$AH$3,"S-",IF(R688&lt;'PlayerGrades+'!$AH$2,"S","S+"))))))))))))))))))))</f>
        <v>F</v>
      </c>
      <c r="T688" s="973">
        <f t="shared" si="9"/>
        <v>1.620957309</v>
      </c>
      <c r="U688" s="973" t="str">
        <f>IF(T688&lt;'PlayerGrades+'!$AI$21,"F-",IF(T688&lt;'PlayerGrades+'!$AI$20,"F",IF(T688&lt;'PlayerGrades+'!$AI$19,"F+",IF(T688&lt;'PlayerGrades+'!$AI$18,"E-",IF(T688&lt;'PlayerGrades+'!$AI$17,"E",IF(T688&lt;'PlayerGrades+'!$AI$16,"E+",IF(T688&lt;'PlayerGrades+'!$AI$15,"D-",IF(T688&lt;'PlayerGrades+'!$AI$14,"D",IF(T688&lt;'PlayerGrades+'!$AI$13,"D+",IF(T688&lt;'PlayerGrades+'!$AI$12,"C-",IF(T688&lt;'PlayerGrades+'!$AI$11,"C",IF(T688&lt;'PlayerGrades+'!$AI$10,"C+",IF(T688&lt;'PlayerGrades+'!$AI$9,"B-",IF(T688&lt;'PlayerGrades+'!$AI$8,"B",IF(T688&lt;'PlayerGrades+'!$AI$7,"B+",IF(T688&lt;'PlayerGrades+'!$AI$6,"A-",IF(T688&lt;'PlayerGrades+'!$AI$5,"A",IF(T688&lt;'PlayerGrades+'!$AI$4,"A+",IF(T688&lt;'PlayerGrades+'!$AI$3,"S-",IF(T688&lt;'PlayerGrades+'!$AI$2,"S","S+"))))))))))))))))))))</f>
        <v>S-</v>
      </c>
      <c r="V688" s="941">
        <v>1.0</v>
      </c>
      <c r="W688" s="941">
        <v>0.0</v>
      </c>
      <c r="X688" s="941">
        <v>1.0</v>
      </c>
      <c r="Y688" s="941">
        <v>1.0</v>
      </c>
      <c r="Z688" s="941">
        <v>0.0</v>
      </c>
      <c r="AA688" s="941">
        <v>46.0</v>
      </c>
      <c r="AB688" s="941">
        <v>52.0</v>
      </c>
      <c r="AC688" s="941">
        <v>-6.0</v>
      </c>
      <c r="AD688" s="941">
        <v>1.0</v>
      </c>
      <c r="AE688" s="941">
        <v>3.0</v>
      </c>
      <c r="AF688" s="941">
        <v>1.0</v>
      </c>
      <c r="AG688" s="941">
        <v>507.0</v>
      </c>
      <c r="AH688" s="941">
        <v>773.0</v>
      </c>
      <c r="AI688" s="941">
        <v>9.0</v>
      </c>
      <c r="AJ688" s="941">
        <v>7.0</v>
      </c>
      <c r="AK688" s="941">
        <v>0.0</v>
      </c>
      <c r="AL688" s="941">
        <v>0.0</v>
      </c>
      <c r="AM688" s="941">
        <v>0.0</v>
      </c>
      <c r="AN688" s="941">
        <v>0.0</v>
      </c>
      <c r="AO688" s="941">
        <v>0.0</v>
      </c>
      <c r="AP688" s="941">
        <v>0.0</v>
      </c>
      <c r="AQ688" s="941">
        <v>0.0</v>
      </c>
      <c r="AR688" s="941">
        <v>6.0</v>
      </c>
      <c r="AS688" s="941">
        <v>1.0</v>
      </c>
      <c r="AT688" s="941">
        <v>0.0</v>
      </c>
      <c r="AU688" s="941">
        <v>0.0</v>
      </c>
      <c r="AV688" s="941">
        <v>0.0</v>
      </c>
      <c r="AW688" s="941">
        <v>0.0</v>
      </c>
      <c r="AX688" s="941">
        <v>0.0</v>
      </c>
      <c r="AY688" s="941">
        <v>0.0</v>
      </c>
      <c r="AZ688" s="941">
        <v>0.0</v>
      </c>
      <c r="BA688" s="941">
        <v>0.0</v>
      </c>
      <c r="BB688" s="941">
        <v>1.0</v>
      </c>
      <c r="BC688" s="941">
        <v>0.0</v>
      </c>
      <c r="BD688" s="941">
        <v>4.0</v>
      </c>
      <c r="BE688" s="941">
        <v>8.0</v>
      </c>
      <c r="BF688" s="941">
        <v>1.0</v>
      </c>
      <c r="BG688" s="942">
        <v>0.0</v>
      </c>
    </row>
    <row r="689">
      <c r="A689" s="943" t="s">
        <v>147</v>
      </c>
      <c r="B689" s="421" t="str">
        <f>IF(C689&lt;'PlayerGrades+'!$Y$44,"F-",IF(C689&lt;'PlayerGrades+'!$Y$43,"F",IF(C689&lt;'PlayerGrades+'!$Y$42,"F+",IF(C689&lt;'PlayerGrades+'!$Y$41,"E-",IF(C689&lt;'PlayerGrades+'!$Y$40,"E",IF(C689&lt;'PlayerGrades+'!$Y$39,"E+",IF(C689&lt;'PlayerGrades+'!$Y$38,"D-",IF(C689&lt;'PlayerGrades+'!$Y$37,"D",IF(C689&lt;'PlayerGrades+'!$Y$36,"D+",IF(C689&lt;'PlayerGrades+'!$Y$35,"C-",IF(C689&lt;'PlayerGrades+'!$Y$34,"C",IF(C689&lt;'PlayerGrades+'!$Y$33,"C+",IF(C689&lt;'PlayerGrades+'!$Y$32,"B-",IF(C689&lt;'PlayerGrades+'!$Y$31,"B",IF(C689&lt;'PlayerGrades+'!$Y$30,"B+",IF(C689&lt;'PlayerGrades+'!$Y$29,"A-",IF(C689&lt;'PlayerGrades+'!$Y$28,"A",IF(C689&lt;'PlayerGrades+'!$Y$27,"A+",IF(C689&lt;'PlayerGrades+'!$Y$26,"S-",IF(C689&lt;'PlayerGrades+'!$Y$25,"S","S+"))))))))))))))))))))</f>
        <v>E+</v>
      </c>
      <c r="C689" s="972">
        <f>('PlayerGrades+'!$Y$47*(VLOOKUP(E689, 'PlayerGrades+'!$X$3:$Y$23, 2, FALSE)))+('PlayerGrades+'!$Y$48*(VLOOKUP(G689, 'PlayerGrades+'!$X$3:$Y$23, 2, FALSE)))+('PlayerGrades+'!$Y$49*(VLOOKUP(I689, 'PlayerGrades+'!$X$3:$Y$23, 2, FALSE)))+('PlayerGrades+'!$Y$50*(VLOOKUP(K689, 'PlayerGrades+'!$X$3:$Y$23, 2, FALSE)))+('PlayerGrades+'!$Y$51*(VLOOKUP(M689, 'PlayerGrades+'!$X$3:$Y$23, 2, FALSE)))+('PlayerGrades+'!$Y$52*(VLOOKUP(O689, 'PlayerGrades+'!$X$3:$Y$23, 2, FALSE)))+('PlayerGrades+'!$Y$53*(VLOOKUP(Q689, 'PlayerGrades+'!$X$3:$Y$23, 2, FALSE)))+('PlayerGrades+'!$Y$54*(VLOOKUP(S689, 'PlayerGrades+'!$X$3:$Y$23, 2, FALSE)))+('PlayerGrades+'!$Y$55*(VLOOKUP(U689, 'PlayerGrades+'!$X$3:$Y$23, 2, FALSE)))</f>
        <v>13.4</v>
      </c>
      <c r="D689" s="973">
        <f t="shared" si="1"/>
        <v>0</v>
      </c>
      <c r="E689" s="973" t="str">
        <f>IF(D689&lt;'PlayerGrades+'!$AA$21,"F-",IF(D689&lt;'PlayerGrades+'!$AA$20,"F",IF(D689&lt;'PlayerGrades+'!$AA$19,"F+",IF(D689&lt;'PlayerGrades+'!$AA$18,"E-",IF(D689&lt;'PlayerGrades+'!$AA$17,"E",IF(D689&lt;'PlayerGrades+'!$AA$16,"E+",IF(D689&lt;'PlayerGrades+'!$AA$15,"D-",IF(D689&lt;'PlayerGrades+'!$AA$14,"D",IF(D689&lt;'PlayerGrades+'!$AA$13,"D+",IF(D689&lt;'PlayerGrades+'!$AA$12,"C-",IF(D689&lt;'PlayerGrades+'!$AA$11,"C",IF(D689&lt;'PlayerGrades+'!$AA$10,"C+",IF(D689&lt;'PlayerGrades+'!$AA$9,"B-",IF(D689&lt;'PlayerGrades+'!$AA$8,"B",IF(D689&lt;'PlayerGrades+'!$AA$7,"B+",IF(D689&lt;'PlayerGrades+'!$AA$6,"A-",IF(D689&lt;'PlayerGrades+'!$AA$5,"A",IF(D689&lt;'PlayerGrades+'!$AA$4,"A+",IF(D689&lt;'PlayerGrades+'!$AA$3,"S-",IF(D689&lt;'PlayerGrades+'!$AA$2,"S","S+"))))))))))))))))))))</f>
        <v>F-</v>
      </c>
      <c r="F689" s="973">
        <f t="shared" si="2"/>
        <v>-1.319534282</v>
      </c>
      <c r="G689" s="973" t="str">
        <f>IF(F689&lt;'PlayerGrades+'!$AB$21,"F-",IF(F689&lt;'PlayerGrades+'!$AB$20,"F",IF(F689&lt;'PlayerGrades+'!$AB$19,"F+",IF(F689&lt;'PlayerGrades+'!$AB$18,"E-",IF(F689&lt;'PlayerGrades+'!$AB$17,"E",IF(F689&lt;'PlayerGrades+'!$AB$16,"E+",IF(F689&lt;'PlayerGrades+'!$AB$15,"D-",IF(F689&lt;'PlayerGrades+'!$AB$14,"D",IF(F689&lt;'PlayerGrades+'!$AB$13,"D+",IF(F689&lt;'PlayerGrades+'!$AB$12,"C-",IF(F689&lt;'PlayerGrades+'!$AB$11,"C",IF(F689&lt;'PlayerGrades+'!$AB$10,"C+",IF(F689&lt;'PlayerGrades+'!$AB$9,"B-",IF(F689&lt;'PlayerGrades+'!$AB$8,"B",IF(F689&lt;'PlayerGrades+'!$AB$7,"B+",IF(F689&lt;'PlayerGrades+'!$AB$6,"A-",IF(F689&lt;'PlayerGrades+'!$AB$5,"A",IF(F689&lt;'PlayerGrades+'!$AB$4,"A+",IF(F689&lt;'PlayerGrades+'!$AB$3,"S-",IF(F689&lt;'PlayerGrades+'!$AB$2,"S","S+"))))))))))))))))))))</f>
        <v>F-</v>
      </c>
      <c r="H689" s="973">
        <f t="shared" si="3"/>
        <v>0.1552393273</v>
      </c>
      <c r="I689" s="973" t="str">
        <f>IF(H689&lt;'PlayerGrades+'!$AC$21,"F-",IF(H689&lt;'PlayerGrades+'!$AC$20,"F",IF(H689&lt;'PlayerGrades+'!$AC$19,"F+",IF(H689&lt;'PlayerGrades+'!$AC$18,"E-",IF(H689&lt;'PlayerGrades+'!$AC$17,"E",IF(H689&lt;'PlayerGrades+'!$AC$16,"E+",IF(H689&lt;'PlayerGrades+'!$AC$15,"D-",IF(H689&lt;'PlayerGrades+'!$AC$14,"D",IF(H689&lt;'PlayerGrades+'!$AC$13,"D+",IF(H689&lt;'PlayerGrades+'!$AC$12,"C-",IF(H689&lt;'PlayerGrades+'!$AC$11,"C",IF(H689&lt;'PlayerGrades+'!$AC$10,"C+",IF(H689&lt;'PlayerGrades+'!$AC$9,"B-",IF(H689&lt;'PlayerGrades+'!$AC$8,"B",IF(H689&lt;'PlayerGrades+'!$AC$7,"B+",IF(H689&lt;'PlayerGrades+'!$AC$6,"A-",IF(H689&lt;'PlayerGrades+'!$AC$5,"A",IF(H689&lt;'PlayerGrades+'!$AC$4,"A+",IF(H689&lt;'PlayerGrades+'!$AC$3,"S-",IF(H689&lt;'PlayerGrades+'!$AC$2,"S","S+"))))))))))))))))))))</f>
        <v>A</v>
      </c>
      <c r="J689" s="973">
        <f t="shared" si="4"/>
        <v>0</v>
      </c>
      <c r="K689" s="973" t="str">
        <f>IF(J689&lt;'PlayerGrades+'!$AD$21,"F-",IF(J689&lt;'PlayerGrades+'!$AD$20,"F",IF(J689&lt;'PlayerGrades+'!$AD$19,"F+",IF(J689&lt;'PlayerGrades+'!$AD$18,"E-",IF(J689&lt;'PlayerGrades+'!$AD$17,"E",IF(J689&lt;'PlayerGrades+'!$AD$16,"E+",IF(J689&lt;'PlayerGrades+'!$AD$15,"D-",IF(J689&lt;'PlayerGrades+'!$AD$14,"D",IF(J689&lt;'PlayerGrades+'!$AD$13,"D+",IF(J689&lt;'PlayerGrades+'!$AD$12,"C-",IF(J689&lt;'PlayerGrades+'!$AD$11,"C",IF(J689&lt;'PlayerGrades+'!$AD$10,"C+",IF(J689&lt;'PlayerGrades+'!$AD$9,"B-",IF(J689&lt;'PlayerGrades+'!$AD$8,"B",IF(J689&lt;'PlayerGrades+'!$AD$7,"B+",IF(J689&lt;'PlayerGrades+'!$AD$6,"A-",IF(J689&lt;'PlayerGrades+'!$AD$5,"A",IF(J689&lt;'PlayerGrades+'!$AD$4,"A+",IF(J689&lt;'PlayerGrades+'!$AD$3,"S-",IF(J689&lt;'PlayerGrades+'!$AD$2,"S","S+"))))))))))))))))))))</f>
        <v>F-</v>
      </c>
      <c r="L689" s="974">
        <f t="shared" si="5"/>
        <v>0.3104786546</v>
      </c>
      <c r="M689" s="975" t="str">
        <f>IF(L689&lt;'PlayerGrades+'!$AE$21,"F-",IF(L689&lt;'PlayerGrades+'!$AE$20,"F",IF(L689&lt;'PlayerGrades+'!$AE$19,"F+",IF(L689&lt;'PlayerGrades+'!$AE$18,"E-",IF(L689&lt;'PlayerGrades+'!$AE$17,"E",IF(L689&lt;'PlayerGrades+'!$AE$16,"E+",IF(L689&lt;'PlayerGrades+'!$AE$15,"D-",IF(L689&lt;'PlayerGrades+'!$AE$14,"D",IF(L689&lt;'PlayerGrades+'!$AE$13,"D+",IF(L689&lt;'PlayerGrades+'!$AE$12,"C-",IF(L689&lt;'PlayerGrades+'!$AE$11,"C",IF(L689&lt;'PlayerGrades+'!$AE$10,"C+",IF(L689&lt;'PlayerGrades+'!$AE$9,"B-",IF(L689&lt;'PlayerGrades+'!$AE$8,"B",IF(L689&lt;'PlayerGrades+'!$AE$7,"B+",IF(L689&lt;'PlayerGrades+'!$AE$6,"A-",IF(L689&lt;'PlayerGrades+'!$AE$5,"A",IF(L689&lt;'PlayerGrades+'!$AE$4,"A+",IF(L689&lt;'PlayerGrades+'!$AE$3,"S-",IF(L689&lt;'PlayerGrades+'!$AE$2,"S","S+"))))))))))))))))))))</f>
        <v>E-</v>
      </c>
      <c r="N689" s="973">
        <f t="shared" si="6"/>
        <v>0</v>
      </c>
      <c r="O689" s="973" t="str">
        <f>IF(N689&lt;'PlayerGrades+'!$AF$21,"F-",IF(N689&lt;'PlayerGrades+'!$AF$20,"F",IF(N689&lt;'PlayerGrades+'!$AF$19,"F+",IF(N689&lt;'PlayerGrades+'!$AF$18,"E-",IF(N689&lt;'PlayerGrades+'!$AF$17,"E",IF(N689&lt;'PlayerGrades+'!$AF$16,"E+",IF(N689&lt;'PlayerGrades+'!$AF$15,"D-",IF(N689&lt;'PlayerGrades+'!$AF$14,"D",IF(N689&lt;'PlayerGrades+'!$AF$13,"D+",IF(N689&lt;'PlayerGrades+'!$AF$12,"C-",IF(N689&lt;'PlayerGrades+'!$AF$11,"C",IF(N689&lt;'PlayerGrades+'!$AF$10,"C+",IF(N689&lt;'PlayerGrades+'!$AF$9,"B-",IF(N689&lt;'PlayerGrades+'!$AF$8,"B",IF(N689&lt;'PlayerGrades+'!$AF$7,"B+",IF(N689&lt;'PlayerGrades+'!$AF$6,"A-",IF(N689&lt;'PlayerGrades+'!$AF$5,"A",IF(N689&lt;'PlayerGrades+'!$AF$4,"A+",IF(N689&lt;'PlayerGrades+'!$AF$3,"S-",IF(N689&lt;'PlayerGrades+'!$AF$2,"S","S+"))))))))))))))))))))</f>
        <v>F-</v>
      </c>
      <c r="P689" s="973">
        <f t="shared" si="7"/>
        <v>0</v>
      </c>
      <c r="Q689" s="973" t="str">
        <f>IF(P689&lt;'PlayerGrades+'!$AG$21,"F-",IF(P689&lt;'PlayerGrades+'!$AG$20,"F",IF(P689&lt;'PlayerGrades+'!$AG$19,"F+",IF(P689&lt;'PlayerGrades+'!$AG$18,"E-",IF(P689&lt;'PlayerGrades+'!$AG$17,"E",IF(P689&lt;'PlayerGrades+'!$AG$16,"E+",IF(P689&lt;'PlayerGrades+'!$AG$15,"D-",IF(P689&lt;'PlayerGrades+'!$AG$14,"D",IF(P689&lt;'PlayerGrades+'!$AG$13,"D+",IF(P689&lt;'PlayerGrades+'!$AG$12,"C-",IF(P689&lt;'PlayerGrades+'!$AG$11,"C",IF(P689&lt;'PlayerGrades+'!$AG$10,"C+",IF(P689&lt;'PlayerGrades+'!$AG$9,"B-",IF(P689&lt;'PlayerGrades+'!$AG$8,"B",IF(P689&lt;'PlayerGrades+'!$AG$7,"B+",IF(P689&lt;'PlayerGrades+'!$AG$6,"A-",IF(P689&lt;'PlayerGrades+'!$AG$5,"A",IF(P689&lt;'PlayerGrades+'!$AG$4,"A+",IF(P689&lt;'PlayerGrades+'!$AG$3,"S-",IF(P689&lt;'PlayerGrades+'!$AG$2,"S","S+"))))))))))))))))))))</f>
        <v>F</v>
      </c>
      <c r="R689" s="973">
        <f t="shared" si="8"/>
        <v>0.8538163001</v>
      </c>
      <c r="S689" s="973" t="str">
        <f>IF(R689&lt;'PlayerGrades+'!$AH$21,"F-",IF(R689&lt;'PlayerGrades+'!$AH$20,"F",IF(R689&lt;'PlayerGrades+'!$AH$19,"F+",IF(R689&lt;'PlayerGrades+'!$AH$18,"E-",IF(R689&lt;'PlayerGrades+'!$AH$17,"E",IF(R689&lt;'PlayerGrades+'!$AH$16,"E+",IF(R689&lt;'PlayerGrades+'!$AH$15,"D-",IF(R689&lt;'PlayerGrades+'!$AH$14,"D",IF(R689&lt;'PlayerGrades+'!$AH$13,"D+",IF(R689&lt;'PlayerGrades+'!$AH$12,"C-",IF(R689&lt;'PlayerGrades+'!$AH$11,"C",IF(R689&lt;'PlayerGrades+'!$AH$10,"C+",IF(R689&lt;'PlayerGrades+'!$AH$9,"B-",IF(R689&lt;'PlayerGrades+'!$AH$8,"B",IF(R689&lt;'PlayerGrades+'!$AH$7,"B+",IF(R689&lt;'PlayerGrades+'!$AH$6,"A-",IF(R689&lt;'PlayerGrades+'!$AH$5,"A",IF(R689&lt;'PlayerGrades+'!$AH$4,"A+",IF(R689&lt;'PlayerGrades+'!$AH$3,"S-",IF(R689&lt;'PlayerGrades+'!$AH$2,"S","S+"))))))))))))))))))))</f>
        <v>S+</v>
      </c>
      <c r="T689" s="973">
        <f t="shared" si="9"/>
        <v>1.310478655</v>
      </c>
      <c r="U689" s="973" t="str">
        <f>IF(T689&lt;'PlayerGrades+'!$AI$21,"F-",IF(T689&lt;'PlayerGrades+'!$AI$20,"F",IF(T689&lt;'PlayerGrades+'!$AI$19,"F+",IF(T689&lt;'PlayerGrades+'!$AI$18,"E-",IF(T689&lt;'PlayerGrades+'!$AI$17,"E",IF(T689&lt;'PlayerGrades+'!$AI$16,"E+",IF(T689&lt;'PlayerGrades+'!$AI$15,"D-",IF(T689&lt;'PlayerGrades+'!$AI$14,"D",IF(T689&lt;'PlayerGrades+'!$AI$13,"D+",IF(T689&lt;'PlayerGrades+'!$AI$12,"C-",IF(T689&lt;'PlayerGrades+'!$AI$11,"C",IF(T689&lt;'PlayerGrades+'!$AI$10,"C+",IF(T689&lt;'PlayerGrades+'!$AI$9,"B-",IF(T689&lt;'PlayerGrades+'!$AI$8,"B",IF(T689&lt;'PlayerGrades+'!$AI$7,"B+",IF(T689&lt;'PlayerGrades+'!$AI$6,"A-",IF(T689&lt;'PlayerGrades+'!$AI$5,"A",IF(T689&lt;'PlayerGrades+'!$AI$4,"A+",IF(T689&lt;'PlayerGrades+'!$AI$3,"S-",IF(T689&lt;'PlayerGrades+'!$AI$2,"S","S+"))))))))))))))))))))</f>
        <v>C+</v>
      </c>
      <c r="V689" s="944">
        <v>1.0</v>
      </c>
      <c r="W689" s="944">
        <v>0.0</v>
      </c>
      <c r="X689" s="944">
        <v>1.0</v>
      </c>
      <c r="Y689" s="944">
        <v>0.0</v>
      </c>
      <c r="Z689" s="944">
        <v>0.0</v>
      </c>
      <c r="AA689" s="944">
        <v>25.0</v>
      </c>
      <c r="AB689" s="944">
        <v>42.0</v>
      </c>
      <c r="AC689" s="944">
        <v>-17.0</v>
      </c>
      <c r="AD689" s="944">
        <v>9.0</v>
      </c>
      <c r="AE689" s="944">
        <v>3.0</v>
      </c>
      <c r="AF689" s="944">
        <v>2.0</v>
      </c>
      <c r="AG689" s="944">
        <v>535.0</v>
      </c>
      <c r="AH689" s="944">
        <v>773.0</v>
      </c>
      <c r="AI689" s="944">
        <v>12.0</v>
      </c>
      <c r="AJ689" s="944">
        <v>0.0</v>
      </c>
      <c r="AK689" s="944">
        <v>0.0</v>
      </c>
      <c r="AL689" s="944">
        <v>0.0</v>
      </c>
      <c r="AM689" s="944">
        <v>0.0</v>
      </c>
      <c r="AN689" s="944">
        <v>0.0</v>
      </c>
      <c r="AO689" s="944">
        <v>0.0</v>
      </c>
      <c r="AP689" s="944">
        <v>0.0</v>
      </c>
      <c r="AQ689" s="944">
        <v>0.0</v>
      </c>
      <c r="AR689" s="944">
        <v>4.0</v>
      </c>
      <c r="AS689" s="944">
        <v>0.0</v>
      </c>
      <c r="AT689" s="944">
        <v>0.0</v>
      </c>
      <c r="AU689" s="944">
        <v>0.0</v>
      </c>
      <c r="AV689" s="944">
        <v>0.0</v>
      </c>
      <c r="AW689" s="944">
        <v>0.0</v>
      </c>
      <c r="AX689" s="944">
        <v>0.0</v>
      </c>
      <c r="AY689" s="944">
        <v>0.0</v>
      </c>
      <c r="AZ689" s="944">
        <v>0.0</v>
      </c>
      <c r="BA689" s="944">
        <v>0.0</v>
      </c>
      <c r="BB689" s="944">
        <v>2.0</v>
      </c>
      <c r="BC689" s="944">
        <v>0.0</v>
      </c>
      <c r="BD689" s="944">
        <v>2.0</v>
      </c>
      <c r="BE689" s="944">
        <v>4.0</v>
      </c>
      <c r="BF689" s="944">
        <v>1.0</v>
      </c>
      <c r="BG689" s="945">
        <v>0.0</v>
      </c>
    </row>
    <row r="690">
      <c r="A690" s="946" t="s">
        <v>123</v>
      </c>
      <c r="B690" s="421" t="str">
        <f>IF(C690&lt;'PlayerGrades+'!$Y$44,"F-",IF(C690&lt;'PlayerGrades+'!$Y$43,"F",IF(C690&lt;'PlayerGrades+'!$Y$42,"F+",IF(C690&lt;'PlayerGrades+'!$Y$41,"E-",IF(C690&lt;'PlayerGrades+'!$Y$40,"E",IF(C690&lt;'PlayerGrades+'!$Y$39,"E+",IF(C690&lt;'PlayerGrades+'!$Y$38,"D-",IF(C690&lt;'PlayerGrades+'!$Y$37,"D",IF(C690&lt;'PlayerGrades+'!$Y$36,"D+",IF(C690&lt;'PlayerGrades+'!$Y$35,"C-",IF(C690&lt;'PlayerGrades+'!$Y$34,"C",IF(C690&lt;'PlayerGrades+'!$Y$33,"C+",IF(C690&lt;'PlayerGrades+'!$Y$32,"B-",IF(C690&lt;'PlayerGrades+'!$Y$31,"B",IF(C690&lt;'PlayerGrades+'!$Y$30,"B+",IF(C690&lt;'PlayerGrades+'!$Y$29,"A-",IF(C690&lt;'PlayerGrades+'!$Y$28,"A",IF(C690&lt;'PlayerGrades+'!$Y$27,"A+",IF(C690&lt;'PlayerGrades+'!$Y$26,"S-",IF(C690&lt;'PlayerGrades+'!$Y$25,"S","S+"))))))))))))))))))))</f>
        <v>C+</v>
      </c>
      <c r="C690" s="972">
        <f>('PlayerGrades+'!$Y$47*(VLOOKUP(E690, 'PlayerGrades+'!$X$3:$Y$23, 2, FALSE)))+('PlayerGrades+'!$Y$48*(VLOOKUP(G690, 'PlayerGrades+'!$X$3:$Y$23, 2, FALSE)))+('PlayerGrades+'!$Y$49*(VLOOKUP(I690, 'PlayerGrades+'!$X$3:$Y$23, 2, FALSE)))+('PlayerGrades+'!$Y$50*(VLOOKUP(K690, 'PlayerGrades+'!$X$3:$Y$23, 2, FALSE)))+('PlayerGrades+'!$Y$51*(VLOOKUP(M690, 'PlayerGrades+'!$X$3:$Y$23, 2, FALSE)))+('PlayerGrades+'!$Y$52*(VLOOKUP(O690, 'PlayerGrades+'!$X$3:$Y$23, 2, FALSE)))+('PlayerGrades+'!$Y$53*(VLOOKUP(Q690, 'PlayerGrades+'!$X$3:$Y$23, 2, FALSE)))+('PlayerGrades+'!$Y$54*(VLOOKUP(S690, 'PlayerGrades+'!$X$3:$Y$23, 2, FALSE)))+('PlayerGrades+'!$Y$55*(VLOOKUP(U690, 'PlayerGrades+'!$X$3:$Y$23, 2, FALSE)))</f>
        <v>20.9</v>
      </c>
      <c r="D690" s="973">
        <f t="shared" si="1"/>
        <v>1.210898083</v>
      </c>
      <c r="E690" s="973" t="str">
        <f>IF(D690&lt;'PlayerGrades+'!$AA$21,"F-",IF(D690&lt;'PlayerGrades+'!$AA$20,"F",IF(D690&lt;'PlayerGrades+'!$AA$19,"F+",IF(D690&lt;'PlayerGrades+'!$AA$18,"E-",IF(D690&lt;'PlayerGrades+'!$AA$17,"E",IF(D690&lt;'PlayerGrades+'!$AA$16,"E+",IF(D690&lt;'PlayerGrades+'!$AA$15,"D-",IF(D690&lt;'PlayerGrades+'!$AA$14,"D",IF(D690&lt;'PlayerGrades+'!$AA$13,"D+",IF(D690&lt;'PlayerGrades+'!$AA$12,"C-",IF(D690&lt;'PlayerGrades+'!$AA$11,"C",IF(D690&lt;'PlayerGrades+'!$AA$10,"C+",IF(D690&lt;'PlayerGrades+'!$AA$9,"B-",IF(D690&lt;'PlayerGrades+'!$AA$8,"B",IF(D690&lt;'PlayerGrades+'!$AA$7,"B+",IF(D690&lt;'PlayerGrades+'!$AA$6,"A-",IF(D690&lt;'PlayerGrades+'!$AA$5,"A",IF(D690&lt;'PlayerGrades+'!$AA$4,"A+",IF(D690&lt;'PlayerGrades+'!$AA$3,"S-",IF(D690&lt;'PlayerGrades+'!$AA$2,"S","S+"))))))))))))))))))))</f>
        <v>S+</v>
      </c>
      <c r="F690" s="973">
        <f t="shared" si="2"/>
        <v>0.3027245207</v>
      </c>
      <c r="G690" s="973" t="str">
        <f>IF(F690&lt;'PlayerGrades+'!$AB$21,"F-",IF(F690&lt;'PlayerGrades+'!$AB$20,"F",IF(F690&lt;'PlayerGrades+'!$AB$19,"F+",IF(F690&lt;'PlayerGrades+'!$AB$18,"E-",IF(F690&lt;'PlayerGrades+'!$AB$17,"E",IF(F690&lt;'PlayerGrades+'!$AB$16,"E+",IF(F690&lt;'PlayerGrades+'!$AB$15,"D-",IF(F690&lt;'PlayerGrades+'!$AB$14,"D",IF(F690&lt;'PlayerGrades+'!$AB$13,"D+",IF(F690&lt;'PlayerGrades+'!$AB$12,"C-",IF(F690&lt;'PlayerGrades+'!$AB$11,"C",IF(F690&lt;'PlayerGrades+'!$AB$10,"C+",IF(F690&lt;'PlayerGrades+'!$AB$9,"B-",IF(F690&lt;'PlayerGrades+'!$AB$8,"B",IF(F690&lt;'PlayerGrades+'!$AB$7,"B+",IF(F690&lt;'PlayerGrades+'!$AB$6,"A-",IF(F690&lt;'PlayerGrades+'!$AB$5,"A",IF(F690&lt;'PlayerGrades+'!$AB$4,"A+",IF(F690&lt;'PlayerGrades+'!$AB$3,"S-",IF(F690&lt;'PlayerGrades+'!$AB$2,"S","S+"))))))))))))))))))))</f>
        <v>A-</v>
      </c>
      <c r="H690" s="973">
        <f t="shared" si="3"/>
        <v>0.06054490414</v>
      </c>
      <c r="I690" s="973" t="str">
        <f>IF(H690&lt;'PlayerGrades+'!$AC$21,"F-",IF(H690&lt;'PlayerGrades+'!$AC$20,"F",IF(H690&lt;'PlayerGrades+'!$AC$19,"F+",IF(H690&lt;'PlayerGrades+'!$AC$18,"E-",IF(H690&lt;'PlayerGrades+'!$AC$17,"E",IF(H690&lt;'PlayerGrades+'!$AC$16,"E+",IF(H690&lt;'PlayerGrades+'!$AC$15,"D-",IF(H690&lt;'PlayerGrades+'!$AC$14,"D",IF(H690&lt;'PlayerGrades+'!$AC$13,"D+",IF(H690&lt;'PlayerGrades+'!$AC$12,"C-",IF(H690&lt;'PlayerGrades+'!$AC$11,"C",IF(H690&lt;'PlayerGrades+'!$AC$10,"C+",IF(H690&lt;'PlayerGrades+'!$AC$9,"B-",IF(H690&lt;'PlayerGrades+'!$AC$8,"B",IF(H690&lt;'PlayerGrades+'!$AC$7,"B+",IF(H690&lt;'PlayerGrades+'!$AC$6,"A-",IF(H690&lt;'PlayerGrades+'!$AC$5,"A",IF(H690&lt;'PlayerGrades+'!$AC$4,"A+",IF(H690&lt;'PlayerGrades+'!$AC$3,"S-",IF(H690&lt;'PlayerGrades+'!$AC$2,"S","S+"))))))))))))))))))))</f>
        <v>E-</v>
      </c>
      <c r="J690" s="973">
        <f t="shared" si="4"/>
        <v>0</v>
      </c>
      <c r="K690" s="973" t="str">
        <f>IF(J690&lt;'PlayerGrades+'!$AD$21,"F-",IF(J690&lt;'PlayerGrades+'!$AD$20,"F",IF(J690&lt;'PlayerGrades+'!$AD$19,"F+",IF(J690&lt;'PlayerGrades+'!$AD$18,"E-",IF(J690&lt;'PlayerGrades+'!$AD$17,"E",IF(J690&lt;'PlayerGrades+'!$AD$16,"E+",IF(J690&lt;'PlayerGrades+'!$AD$15,"D-",IF(J690&lt;'PlayerGrades+'!$AD$14,"D",IF(J690&lt;'PlayerGrades+'!$AD$13,"D+",IF(J690&lt;'PlayerGrades+'!$AD$12,"C-",IF(J690&lt;'PlayerGrades+'!$AD$11,"C",IF(J690&lt;'PlayerGrades+'!$AD$10,"C+",IF(J690&lt;'PlayerGrades+'!$AD$9,"B-",IF(J690&lt;'PlayerGrades+'!$AD$8,"B",IF(J690&lt;'PlayerGrades+'!$AD$7,"B+",IF(J690&lt;'PlayerGrades+'!$AD$6,"A-",IF(J690&lt;'PlayerGrades+'!$AD$5,"A",IF(J690&lt;'PlayerGrades+'!$AD$4,"A+",IF(J690&lt;'PlayerGrades+'!$AD$3,"S-",IF(J690&lt;'PlayerGrades+'!$AD$2,"S","S+"))))))))))))))))))))</f>
        <v>F-</v>
      </c>
      <c r="L690" s="974">
        <f t="shared" si="5"/>
        <v>0.2421796165</v>
      </c>
      <c r="M690" s="975" t="str">
        <f>IF(L690&lt;'PlayerGrades+'!$AE$21,"F-",IF(L690&lt;'PlayerGrades+'!$AE$20,"F",IF(L690&lt;'PlayerGrades+'!$AE$19,"F+",IF(L690&lt;'PlayerGrades+'!$AE$18,"E-",IF(L690&lt;'PlayerGrades+'!$AE$17,"E",IF(L690&lt;'PlayerGrades+'!$AE$16,"E+",IF(L690&lt;'PlayerGrades+'!$AE$15,"D-",IF(L690&lt;'PlayerGrades+'!$AE$14,"D",IF(L690&lt;'PlayerGrades+'!$AE$13,"D+",IF(L690&lt;'PlayerGrades+'!$AE$12,"C-",IF(L690&lt;'PlayerGrades+'!$AE$11,"C",IF(L690&lt;'PlayerGrades+'!$AE$10,"C+",IF(L690&lt;'PlayerGrades+'!$AE$9,"B-",IF(L690&lt;'PlayerGrades+'!$AE$8,"B",IF(L690&lt;'PlayerGrades+'!$AE$7,"B+",IF(L690&lt;'PlayerGrades+'!$AE$6,"A-",IF(L690&lt;'PlayerGrades+'!$AE$5,"A",IF(L690&lt;'PlayerGrades+'!$AE$4,"A+",IF(L690&lt;'PlayerGrades+'!$AE$3,"S-",IF(L690&lt;'PlayerGrades+'!$AE$2,"S","S+"))))))))))))))))))))</f>
        <v>F</v>
      </c>
      <c r="N690" s="973">
        <f t="shared" si="6"/>
        <v>0.1210898083</v>
      </c>
      <c r="O690" s="973" t="str">
        <f>IF(N690&lt;'PlayerGrades+'!$AF$21,"F-",IF(N690&lt;'PlayerGrades+'!$AF$20,"F",IF(N690&lt;'PlayerGrades+'!$AF$19,"F+",IF(N690&lt;'PlayerGrades+'!$AF$18,"E-",IF(N690&lt;'PlayerGrades+'!$AF$17,"E",IF(N690&lt;'PlayerGrades+'!$AF$16,"E+",IF(N690&lt;'PlayerGrades+'!$AF$15,"D-",IF(N690&lt;'PlayerGrades+'!$AF$14,"D",IF(N690&lt;'PlayerGrades+'!$AF$13,"D+",IF(N690&lt;'PlayerGrades+'!$AF$12,"C-",IF(N690&lt;'PlayerGrades+'!$AF$11,"C",IF(N690&lt;'PlayerGrades+'!$AF$10,"C+",IF(N690&lt;'PlayerGrades+'!$AF$9,"B-",IF(N690&lt;'PlayerGrades+'!$AF$8,"B",IF(N690&lt;'PlayerGrades+'!$AF$7,"B+",IF(N690&lt;'PlayerGrades+'!$AF$6,"A-",IF(N690&lt;'PlayerGrades+'!$AF$5,"A",IF(N690&lt;'PlayerGrades+'!$AF$4,"A+",IF(N690&lt;'PlayerGrades+'!$AF$3,"S-",IF(N690&lt;'PlayerGrades+'!$AF$2,"S","S+"))))))))))))))))))))</f>
        <v>S-</v>
      </c>
      <c r="P690" s="973">
        <f t="shared" si="7"/>
        <v>0</v>
      </c>
      <c r="Q690" s="973" t="str">
        <f>IF(P690&lt;'PlayerGrades+'!$AG$21,"F-",IF(P690&lt;'PlayerGrades+'!$AG$20,"F",IF(P690&lt;'PlayerGrades+'!$AG$19,"F+",IF(P690&lt;'PlayerGrades+'!$AG$18,"E-",IF(P690&lt;'PlayerGrades+'!$AG$17,"E",IF(P690&lt;'PlayerGrades+'!$AG$16,"E+",IF(P690&lt;'PlayerGrades+'!$AG$15,"D-",IF(P690&lt;'PlayerGrades+'!$AG$14,"D",IF(P690&lt;'PlayerGrades+'!$AG$13,"D+",IF(P690&lt;'PlayerGrades+'!$AG$12,"C-",IF(P690&lt;'PlayerGrades+'!$AG$11,"C",IF(P690&lt;'PlayerGrades+'!$AG$10,"C+",IF(P690&lt;'PlayerGrades+'!$AG$9,"B-",IF(P690&lt;'PlayerGrades+'!$AG$8,"B",IF(P690&lt;'PlayerGrades+'!$AG$7,"B+",IF(P690&lt;'PlayerGrades+'!$AG$6,"A-",IF(P690&lt;'PlayerGrades+'!$AG$5,"A",IF(P690&lt;'PlayerGrades+'!$AG$4,"A+",IF(P690&lt;'PlayerGrades+'!$AG$3,"S-",IF(P690&lt;'PlayerGrades+'!$AG$2,"S","S+"))))))))))))))))))))</f>
        <v>F</v>
      </c>
      <c r="R690" s="973">
        <f t="shared" si="8"/>
        <v>0.5449041372</v>
      </c>
      <c r="S690" s="973" t="str">
        <f>IF(R690&lt;'PlayerGrades+'!$AH$21,"F-",IF(R690&lt;'PlayerGrades+'!$AH$20,"F",IF(R690&lt;'PlayerGrades+'!$AH$19,"F+",IF(R690&lt;'PlayerGrades+'!$AH$18,"E-",IF(R690&lt;'PlayerGrades+'!$AH$17,"E",IF(R690&lt;'PlayerGrades+'!$AH$16,"E+",IF(R690&lt;'PlayerGrades+'!$AH$15,"D-",IF(R690&lt;'PlayerGrades+'!$AH$14,"D",IF(R690&lt;'PlayerGrades+'!$AH$13,"D+",IF(R690&lt;'PlayerGrades+'!$AH$12,"C-",IF(R690&lt;'PlayerGrades+'!$AH$11,"C",IF(R690&lt;'PlayerGrades+'!$AH$10,"C+",IF(R690&lt;'PlayerGrades+'!$AH$9,"B-",IF(R690&lt;'PlayerGrades+'!$AH$8,"B",IF(R690&lt;'PlayerGrades+'!$AH$7,"B+",IF(R690&lt;'PlayerGrades+'!$AH$6,"A-",IF(R690&lt;'PlayerGrades+'!$AH$5,"A",IF(R690&lt;'PlayerGrades+'!$AH$4,"A+",IF(R690&lt;'PlayerGrades+'!$AH$3,"S-",IF(R690&lt;'PlayerGrades+'!$AH$2,"S","S+"))))))))))))))))))))</f>
        <v>C+</v>
      </c>
      <c r="T690" s="973">
        <f t="shared" si="9"/>
        <v>1.060544904</v>
      </c>
      <c r="U690" s="973" t="str">
        <f>IF(T690&lt;'PlayerGrades+'!$AI$21,"F-",IF(T690&lt;'PlayerGrades+'!$AI$20,"F",IF(T690&lt;'PlayerGrades+'!$AI$19,"F+",IF(T690&lt;'PlayerGrades+'!$AI$18,"E-",IF(T690&lt;'PlayerGrades+'!$AI$17,"E",IF(T690&lt;'PlayerGrades+'!$AI$16,"E+",IF(T690&lt;'PlayerGrades+'!$AI$15,"D-",IF(T690&lt;'PlayerGrades+'!$AI$14,"D",IF(T690&lt;'PlayerGrades+'!$AI$13,"D+",IF(T690&lt;'PlayerGrades+'!$AI$12,"C-",IF(T690&lt;'PlayerGrades+'!$AI$11,"C",IF(T690&lt;'PlayerGrades+'!$AI$10,"C+",IF(T690&lt;'PlayerGrades+'!$AI$9,"B-",IF(T690&lt;'PlayerGrades+'!$AI$8,"B",IF(T690&lt;'PlayerGrades+'!$AI$7,"B+",IF(T690&lt;'PlayerGrades+'!$AI$6,"A-",IF(T690&lt;'PlayerGrades+'!$AI$5,"A",IF(T690&lt;'PlayerGrades+'!$AI$4,"A+",IF(T690&lt;'PlayerGrades+'!$AI$3,"S-",IF(T690&lt;'PlayerGrades+'!$AI$2,"S","S+"))))))))))))))))))))</f>
        <v>D</v>
      </c>
      <c r="V690" s="939">
        <v>1.0</v>
      </c>
      <c r="W690" s="939">
        <v>1.0</v>
      </c>
      <c r="X690" s="939">
        <v>0.0</v>
      </c>
      <c r="Y690" s="939">
        <v>4.0</v>
      </c>
      <c r="Z690" s="939">
        <v>16.0</v>
      </c>
      <c r="AA690" s="939">
        <v>40.0</v>
      </c>
      <c r="AB690" s="939">
        <v>35.0</v>
      </c>
      <c r="AC690" s="939">
        <v>5.0</v>
      </c>
      <c r="AD690" s="939">
        <v>1.0</v>
      </c>
      <c r="AE690" s="939">
        <v>4.0</v>
      </c>
      <c r="AF690" s="939">
        <v>0.0</v>
      </c>
      <c r="AG690" s="939">
        <v>794.0</v>
      </c>
      <c r="AH690" s="939">
        <v>991.0</v>
      </c>
      <c r="AI690" s="939">
        <v>22.0</v>
      </c>
      <c r="AJ690" s="939">
        <v>450.0</v>
      </c>
      <c r="AK690" s="939">
        <v>0.0</v>
      </c>
      <c r="AL690" s="939">
        <v>0.0</v>
      </c>
      <c r="AM690" s="939">
        <v>0.0</v>
      </c>
      <c r="AN690" s="939">
        <v>0.0</v>
      </c>
      <c r="AO690" s="939">
        <v>0.0</v>
      </c>
      <c r="AP690" s="939">
        <v>0.0</v>
      </c>
      <c r="AQ690" s="939">
        <v>0.0</v>
      </c>
      <c r="AR690" s="939">
        <v>4.0</v>
      </c>
      <c r="AS690" s="939">
        <v>2.0</v>
      </c>
      <c r="AT690" s="939">
        <v>0.0</v>
      </c>
      <c r="AU690" s="939">
        <v>0.0</v>
      </c>
      <c r="AV690" s="939">
        <v>0.0</v>
      </c>
      <c r="AW690" s="939">
        <v>0.0</v>
      </c>
      <c r="AX690" s="939">
        <v>0.0</v>
      </c>
      <c r="AY690" s="939">
        <v>0.0</v>
      </c>
      <c r="AZ690" s="939">
        <v>0.0</v>
      </c>
      <c r="BA690" s="939">
        <v>0.0</v>
      </c>
      <c r="BB690" s="939">
        <v>1.0</v>
      </c>
      <c r="BC690" s="939">
        <v>0.0</v>
      </c>
      <c r="BD690" s="939">
        <v>8.0</v>
      </c>
      <c r="BE690" s="939">
        <v>1.0</v>
      </c>
      <c r="BF690" s="939">
        <v>1.0</v>
      </c>
      <c r="BG690" s="940">
        <v>1.0</v>
      </c>
    </row>
    <row r="691">
      <c r="A691" s="935" t="s">
        <v>419</v>
      </c>
      <c r="B691" s="421" t="str">
        <f>IF(C691&lt;'PlayerGrades+'!$Y$44,"F-",IF(C691&lt;'PlayerGrades+'!$Y$43,"F",IF(C691&lt;'PlayerGrades+'!$Y$42,"F+",IF(C691&lt;'PlayerGrades+'!$Y$41,"E-",IF(C691&lt;'PlayerGrades+'!$Y$40,"E",IF(C691&lt;'PlayerGrades+'!$Y$39,"E+",IF(C691&lt;'PlayerGrades+'!$Y$38,"D-",IF(C691&lt;'PlayerGrades+'!$Y$37,"D",IF(C691&lt;'PlayerGrades+'!$Y$36,"D+",IF(C691&lt;'PlayerGrades+'!$Y$35,"C-",IF(C691&lt;'PlayerGrades+'!$Y$34,"C",IF(C691&lt;'PlayerGrades+'!$Y$33,"C+",IF(C691&lt;'PlayerGrades+'!$Y$32,"B-",IF(C691&lt;'PlayerGrades+'!$Y$31,"B",IF(C691&lt;'PlayerGrades+'!$Y$30,"B+",IF(C691&lt;'PlayerGrades+'!$Y$29,"A-",IF(C691&lt;'PlayerGrades+'!$Y$28,"A",IF(C691&lt;'PlayerGrades+'!$Y$27,"A+",IF(C691&lt;'PlayerGrades+'!$Y$26,"S-",IF(C691&lt;'PlayerGrades+'!$Y$25,"S","S+"))))))))))))))))))))</f>
        <v>E</v>
      </c>
      <c r="C691" s="972">
        <f>('PlayerGrades+'!$Y$47*(VLOOKUP(E691, 'PlayerGrades+'!$X$3:$Y$23, 2, FALSE)))+('PlayerGrades+'!$Y$48*(VLOOKUP(G691, 'PlayerGrades+'!$X$3:$Y$23, 2, FALSE)))+('PlayerGrades+'!$Y$49*(VLOOKUP(I691, 'PlayerGrades+'!$X$3:$Y$23, 2, FALSE)))+('PlayerGrades+'!$Y$50*(VLOOKUP(K691, 'PlayerGrades+'!$X$3:$Y$23, 2, FALSE)))+('PlayerGrades+'!$Y$51*(VLOOKUP(M691, 'PlayerGrades+'!$X$3:$Y$23, 2, FALSE)))+('PlayerGrades+'!$Y$52*(VLOOKUP(O691, 'PlayerGrades+'!$X$3:$Y$23, 2, FALSE)))+('PlayerGrades+'!$Y$53*(VLOOKUP(Q691, 'PlayerGrades+'!$X$3:$Y$23, 2, FALSE)))+('PlayerGrades+'!$Y$54*(VLOOKUP(S691, 'PlayerGrades+'!$X$3:$Y$23, 2, FALSE)))+('PlayerGrades+'!$Y$55*(VLOOKUP(U691, 'PlayerGrades+'!$X$3:$Y$23, 2, FALSE)))</f>
        <v>12.8</v>
      </c>
      <c r="D691" s="973">
        <f t="shared" si="1"/>
        <v>0.1210898083</v>
      </c>
      <c r="E691" s="973" t="str">
        <f>IF(D691&lt;'PlayerGrades+'!$AA$21,"F-",IF(D691&lt;'PlayerGrades+'!$AA$20,"F",IF(D691&lt;'PlayerGrades+'!$AA$19,"F+",IF(D691&lt;'PlayerGrades+'!$AA$18,"E-",IF(D691&lt;'PlayerGrades+'!$AA$17,"E",IF(D691&lt;'PlayerGrades+'!$AA$16,"E+",IF(D691&lt;'PlayerGrades+'!$AA$15,"D-",IF(D691&lt;'PlayerGrades+'!$AA$14,"D",IF(D691&lt;'PlayerGrades+'!$AA$13,"D+",IF(D691&lt;'PlayerGrades+'!$AA$12,"C-",IF(D691&lt;'PlayerGrades+'!$AA$11,"C",IF(D691&lt;'PlayerGrades+'!$AA$10,"C+",IF(D691&lt;'PlayerGrades+'!$AA$9,"B-",IF(D691&lt;'PlayerGrades+'!$AA$8,"B",IF(D691&lt;'PlayerGrades+'!$AA$7,"B+",IF(D691&lt;'PlayerGrades+'!$AA$6,"A-",IF(D691&lt;'PlayerGrades+'!$AA$5,"A",IF(D691&lt;'PlayerGrades+'!$AA$4,"A+",IF(D691&lt;'PlayerGrades+'!$AA$3,"S-",IF(D691&lt;'PlayerGrades+'!$AA$2,"S","S+"))))))))))))))))))))</f>
        <v>B</v>
      </c>
      <c r="F691" s="973">
        <f t="shared" si="2"/>
        <v>-0.8476286579</v>
      </c>
      <c r="G691" s="973" t="str">
        <f>IF(F691&lt;'PlayerGrades+'!$AB$21,"F-",IF(F691&lt;'PlayerGrades+'!$AB$20,"F",IF(F691&lt;'PlayerGrades+'!$AB$19,"F+",IF(F691&lt;'PlayerGrades+'!$AB$18,"E-",IF(F691&lt;'PlayerGrades+'!$AB$17,"E",IF(F691&lt;'PlayerGrades+'!$AB$16,"E+",IF(F691&lt;'PlayerGrades+'!$AB$15,"D-",IF(F691&lt;'PlayerGrades+'!$AB$14,"D",IF(F691&lt;'PlayerGrades+'!$AB$13,"D+",IF(F691&lt;'PlayerGrades+'!$AB$12,"C-",IF(F691&lt;'PlayerGrades+'!$AB$11,"C",IF(F691&lt;'PlayerGrades+'!$AB$10,"C+",IF(F691&lt;'PlayerGrades+'!$AB$9,"B-",IF(F691&lt;'PlayerGrades+'!$AB$8,"B",IF(F691&lt;'PlayerGrades+'!$AB$7,"B+",IF(F691&lt;'PlayerGrades+'!$AB$6,"A-",IF(F691&lt;'PlayerGrades+'!$AB$5,"A",IF(F691&lt;'PlayerGrades+'!$AB$4,"A+",IF(F691&lt;'PlayerGrades+'!$AB$3,"S-",IF(F691&lt;'PlayerGrades+'!$AB$2,"S","S+"))))))))))))))))))))</f>
        <v>E</v>
      </c>
      <c r="H691" s="973">
        <f t="shared" si="3"/>
        <v>0.1210898083</v>
      </c>
      <c r="I691" s="973" t="str">
        <f>IF(H691&lt;'PlayerGrades+'!$AC$21,"F-",IF(H691&lt;'PlayerGrades+'!$AC$20,"F",IF(H691&lt;'PlayerGrades+'!$AC$19,"F+",IF(H691&lt;'PlayerGrades+'!$AC$18,"E-",IF(H691&lt;'PlayerGrades+'!$AC$17,"E",IF(H691&lt;'PlayerGrades+'!$AC$16,"E+",IF(H691&lt;'PlayerGrades+'!$AC$15,"D-",IF(H691&lt;'PlayerGrades+'!$AC$14,"D",IF(H691&lt;'PlayerGrades+'!$AC$13,"D+",IF(H691&lt;'PlayerGrades+'!$AC$12,"C-",IF(H691&lt;'PlayerGrades+'!$AC$11,"C",IF(H691&lt;'PlayerGrades+'!$AC$10,"C+",IF(H691&lt;'PlayerGrades+'!$AC$9,"B-",IF(H691&lt;'PlayerGrades+'!$AC$8,"B",IF(H691&lt;'PlayerGrades+'!$AC$7,"B+",IF(H691&lt;'PlayerGrades+'!$AC$6,"A-",IF(H691&lt;'PlayerGrades+'!$AC$5,"A",IF(H691&lt;'PlayerGrades+'!$AC$4,"A+",IF(H691&lt;'PlayerGrades+'!$AC$3,"S-",IF(H691&lt;'PlayerGrades+'!$AC$2,"S","S+"))))))))))))))))))))</f>
        <v>B-</v>
      </c>
      <c r="J691" s="973">
        <f t="shared" si="4"/>
        <v>0</v>
      </c>
      <c r="K691" s="973" t="str">
        <f>IF(J691&lt;'PlayerGrades+'!$AD$21,"F-",IF(J691&lt;'PlayerGrades+'!$AD$20,"F",IF(J691&lt;'PlayerGrades+'!$AD$19,"F+",IF(J691&lt;'PlayerGrades+'!$AD$18,"E-",IF(J691&lt;'PlayerGrades+'!$AD$17,"E",IF(J691&lt;'PlayerGrades+'!$AD$16,"E+",IF(J691&lt;'PlayerGrades+'!$AD$15,"D-",IF(J691&lt;'PlayerGrades+'!$AD$14,"D",IF(J691&lt;'PlayerGrades+'!$AD$13,"D+",IF(J691&lt;'PlayerGrades+'!$AD$12,"C-",IF(J691&lt;'PlayerGrades+'!$AD$11,"C",IF(J691&lt;'PlayerGrades+'!$AD$10,"C+",IF(J691&lt;'PlayerGrades+'!$AD$9,"B-",IF(J691&lt;'PlayerGrades+'!$AD$8,"B",IF(J691&lt;'PlayerGrades+'!$AD$7,"B+",IF(J691&lt;'PlayerGrades+'!$AD$6,"A-",IF(J691&lt;'PlayerGrades+'!$AD$5,"A",IF(J691&lt;'PlayerGrades+'!$AD$4,"A+",IF(J691&lt;'PlayerGrades+'!$AD$3,"S-",IF(J691&lt;'PlayerGrades+'!$AD$2,"S","S+"))))))))))))))))))))</f>
        <v>F-</v>
      </c>
      <c r="L691" s="974">
        <f t="shared" si="5"/>
        <v>0.4843592331</v>
      </c>
      <c r="M691" s="975" t="str">
        <f>IF(L691&lt;'PlayerGrades+'!$AE$21,"F-",IF(L691&lt;'PlayerGrades+'!$AE$20,"F",IF(L691&lt;'PlayerGrades+'!$AE$19,"F+",IF(L691&lt;'PlayerGrades+'!$AE$18,"E-",IF(L691&lt;'PlayerGrades+'!$AE$17,"E",IF(L691&lt;'PlayerGrades+'!$AE$16,"E+",IF(L691&lt;'PlayerGrades+'!$AE$15,"D-",IF(L691&lt;'PlayerGrades+'!$AE$14,"D",IF(L691&lt;'PlayerGrades+'!$AE$13,"D+",IF(L691&lt;'PlayerGrades+'!$AE$12,"C-",IF(L691&lt;'PlayerGrades+'!$AE$11,"C",IF(L691&lt;'PlayerGrades+'!$AE$10,"C+",IF(L691&lt;'PlayerGrades+'!$AE$9,"B-",IF(L691&lt;'PlayerGrades+'!$AE$8,"B",IF(L691&lt;'PlayerGrades+'!$AE$7,"B+",IF(L691&lt;'PlayerGrades+'!$AE$6,"A-",IF(L691&lt;'PlayerGrades+'!$AE$5,"A",IF(L691&lt;'PlayerGrades+'!$AE$4,"A+",IF(L691&lt;'PlayerGrades+'!$AE$3,"S-",IF(L691&lt;'PlayerGrades+'!$AE$2,"S","S+"))))))))))))))))))))</f>
        <v>B+</v>
      </c>
      <c r="N691" s="973">
        <f t="shared" si="6"/>
        <v>0</v>
      </c>
      <c r="O691" s="973" t="str">
        <f>IF(N691&lt;'PlayerGrades+'!$AF$21,"F-",IF(N691&lt;'PlayerGrades+'!$AF$20,"F",IF(N691&lt;'PlayerGrades+'!$AF$19,"F+",IF(N691&lt;'PlayerGrades+'!$AF$18,"E-",IF(N691&lt;'PlayerGrades+'!$AF$17,"E",IF(N691&lt;'PlayerGrades+'!$AF$16,"E+",IF(N691&lt;'PlayerGrades+'!$AF$15,"D-",IF(N691&lt;'PlayerGrades+'!$AF$14,"D",IF(N691&lt;'PlayerGrades+'!$AF$13,"D+",IF(N691&lt;'PlayerGrades+'!$AF$12,"C-",IF(N691&lt;'PlayerGrades+'!$AF$11,"C",IF(N691&lt;'PlayerGrades+'!$AF$10,"C+",IF(N691&lt;'PlayerGrades+'!$AF$9,"B-",IF(N691&lt;'PlayerGrades+'!$AF$8,"B",IF(N691&lt;'PlayerGrades+'!$AF$7,"B+",IF(N691&lt;'PlayerGrades+'!$AF$6,"A-",IF(N691&lt;'PlayerGrades+'!$AF$5,"A",IF(N691&lt;'PlayerGrades+'!$AF$4,"A+",IF(N691&lt;'PlayerGrades+'!$AF$3,"S-",IF(N691&lt;'PlayerGrades+'!$AF$2,"S","S+"))))))))))))))))))))</f>
        <v>F-</v>
      </c>
      <c r="P691" s="973">
        <f t="shared" si="7"/>
        <v>0</v>
      </c>
      <c r="Q691" s="973" t="str">
        <f>IF(P691&lt;'PlayerGrades+'!$AG$21,"F-",IF(P691&lt;'PlayerGrades+'!$AG$20,"F",IF(P691&lt;'PlayerGrades+'!$AG$19,"F+",IF(P691&lt;'PlayerGrades+'!$AG$18,"E-",IF(P691&lt;'PlayerGrades+'!$AG$17,"E",IF(P691&lt;'PlayerGrades+'!$AG$16,"E+",IF(P691&lt;'PlayerGrades+'!$AG$15,"D-",IF(P691&lt;'PlayerGrades+'!$AG$14,"D",IF(P691&lt;'PlayerGrades+'!$AG$13,"D+",IF(P691&lt;'PlayerGrades+'!$AG$12,"C-",IF(P691&lt;'PlayerGrades+'!$AG$11,"C",IF(P691&lt;'PlayerGrades+'!$AG$10,"C+",IF(P691&lt;'PlayerGrades+'!$AG$9,"B-",IF(P691&lt;'PlayerGrades+'!$AG$8,"B",IF(P691&lt;'PlayerGrades+'!$AG$7,"B+",IF(P691&lt;'PlayerGrades+'!$AG$6,"A-",IF(P691&lt;'PlayerGrades+'!$AG$5,"A",IF(P691&lt;'PlayerGrades+'!$AG$4,"A+",IF(P691&lt;'PlayerGrades+'!$AG$3,"S-",IF(P691&lt;'PlayerGrades+'!$AG$2,"S","S+"))))))))))))))))))))</f>
        <v>F</v>
      </c>
      <c r="R691" s="973">
        <f t="shared" si="8"/>
        <v>0.423814329</v>
      </c>
      <c r="S691" s="973" t="str">
        <f>IF(R691&lt;'PlayerGrades+'!$AH$21,"F-",IF(R691&lt;'PlayerGrades+'!$AH$20,"F",IF(R691&lt;'PlayerGrades+'!$AH$19,"F+",IF(R691&lt;'PlayerGrades+'!$AH$18,"E-",IF(R691&lt;'PlayerGrades+'!$AH$17,"E",IF(R691&lt;'PlayerGrades+'!$AH$16,"E+",IF(R691&lt;'PlayerGrades+'!$AH$15,"D-",IF(R691&lt;'PlayerGrades+'!$AH$14,"D",IF(R691&lt;'PlayerGrades+'!$AH$13,"D+",IF(R691&lt;'PlayerGrades+'!$AH$12,"C-",IF(R691&lt;'PlayerGrades+'!$AH$11,"C",IF(R691&lt;'PlayerGrades+'!$AH$10,"C+",IF(R691&lt;'PlayerGrades+'!$AH$9,"B-",IF(R691&lt;'PlayerGrades+'!$AH$8,"B",IF(R691&lt;'PlayerGrades+'!$AH$7,"B+",IF(R691&lt;'PlayerGrades+'!$AH$6,"A-",IF(R691&lt;'PlayerGrades+'!$AH$5,"A",IF(R691&lt;'PlayerGrades+'!$AH$4,"A+",IF(R691&lt;'PlayerGrades+'!$AH$3,"S-",IF(R691&lt;'PlayerGrades+'!$AH$2,"S","S+"))))))))))))))))))))</f>
        <v>F+</v>
      </c>
      <c r="T691" s="973">
        <f t="shared" si="9"/>
        <v>0.423814329</v>
      </c>
      <c r="U691" s="973" t="str">
        <f>IF(T691&lt;'PlayerGrades+'!$AI$21,"F-",IF(T691&lt;'PlayerGrades+'!$AI$20,"F",IF(T691&lt;'PlayerGrades+'!$AI$19,"F+",IF(T691&lt;'PlayerGrades+'!$AI$18,"E-",IF(T691&lt;'PlayerGrades+'!$AI$17,"E",IF(T691&lt;'PlayerGrades+'!$AI$16,"E+",IF(T691&lt;'PlayerGrades+'!$AI$15,"D-",IF(T691&lt;'PlayerGrades+'!$AI$14,"D",IF(T691&lt;'PlayerGrades+'!$AI$13,"D+",IF(T691&lt;'PlayerGrades+'!$AI$12,"C-",IF(T691&lt;'PlayerGrades+'!$AI$11,"C",IF(T691&lt;'PlayerGrades+'!$AI$10,"C+",IF(T691&lt;'PlayerGrades+'!$AI$9,"B-",IF(T691&lt;'PlayerGrades+'!$AI$8,"B",IF(T691&lt;'PlayerGrades+'!$AI$7,"B+",IF(T691&lt;'PlayerGrades+'!$AI$6,"A-",IF(T691&lt;'PlayerGrades+'!$AI$5,"A",IF(T691&lt;'PlayerGrades+'!$AI$4,"A+",IF(T691&lt;'PlayerGrades+'!$AI$3,"S-",IF(T691&lt;'PlayerGrades+'!$AI$2,"S","S+"))))))))))))))))))))</f>
        <v>F-</v>
      </c>
      <c r="V691" s="941">
        <v>1.0</v>
      </c>
      <c r="W691" s="941">
        <v>1.0</v>
      </c>
      <c r="X691" s="941">
        <v>0.0</v>
      </c>
      <c r="Y691" s="941">
        <v>1.0</v>
      </c>
      <c r="Z691" s="941">
        <v>1.0</v>
      </c>
      <c r="AA691" s="941">
        <v>54.0</v>
      </c>
      <c r="AB691" s="941">
        <v>68.0</v>
      </c>
      <c r="AC691" s="941">
        <v>-14.0</v>
      </c>
      <c r="AD691" s="941">
        <v>5.0</v>
      </c>
      <c r="AE691" s="941">
        <v>4.0</v>
      </c>
      <c r="AF691" s="941">
        <v>1.0</v>
      </c>
      <c r="AG691" s="941">
        <v>696.0</v>
      </c>
      <c r="AH691" s="941">
        <v>991.0</v>
      </c>
      <c r="AI691" s="941">
        <v>10.0</v>
      </c>
      <c r="AJ691" s="941">
        <v>0.0</v>
      </c>
      <c r="AK691" s="941">
        <v>0.0</v>
      </c>
      <c r="AL691" s="941">
        <v>0.0</v>
      </c>
      <c r="AM691" s="941">
        <v>0.0</v>
      </c>
      <c r="AN691" s="941">
        <v>0.0</v>
      </c>
      <c r="AO691" s="941">
        <v>0.0</v>
      </c>
      <c r="AP691" s="941">
        <v>0.0</v>
      </c>
      <c r="AQ691" s="941">
        <v>0.0</v>
      </c>
      <c r="AR691" s="941">
        <v>8.0</v>
      </c>
      <c r="AS691" s="941">
        <v>0.0</v>
      </c>
      <c r="AT691" s="941">
        <v>0.0</v>
      </c>
      <c r="AU691" s="941">
        <v>0.0</v>
      </c>
      <c r="AV691" s="941">
        <v>0.0</v>
      </c>
      <c r="AW691" s="941">
        <v>0.0</v>
      </c>
      <c r="AX691" s="941">
        <v>0.0</v>
      </c>
      <c r="AY691" s="941">
        <v>0.0</v>
      </c>
      <c r="AZ691" s="941">
        <v>0.0</v>
      </c>
      <c r="BA691" s="941">
        <v>0.0</v>
      </c>
      <c r="BB691" s="941">
        <v>2.0</v>
      </c>
      <c r="BC691" s="941">
        <v>0.0</v>
      </c>
      <c r="BD691" s="941">
        <v>2.0</v>
      </c>
      <c r="BE691" s="941">
        <v>7.0</v>
      </c>
      <c r="BF691" s="941">
        <v>0.0</v>
      </c>
      <c r="BG691" s="942">
        <v>1.0</v>
      </c>
    </row>
    <row r="692">
      <c r="A692" s="935" t="s">
        <v>145</v>
      </c>
      <c r="B692" s="421" t="str">
        <f>IF(C692&lt;'PlayerGrades+'!$Y$44,"F-",IF(C692&lt;'PlayerGrades+'!$Y$43,"F",IF(C692&lt;'PlayerGrades+'!$Y$42,"F+",IF(C692&lt;'PlayerGrades+'!$Y$41,"E-",IF(C692&lt;'PlayerGrades+'!$Y$40,"E",IF(C692&lt;'PlayerGrades+'!$Y$39,"E+",IF(C692&lt;'PlayerGrades+'!$Y$38,"D-",IF(C692&lt;'PlayerGrades+'!$Y$37,"D",IF(C692&lt;'PlayerGrades+'!$Y$36,"D+",IF(C692&lt;'PlayerGrades+'!$Y$35,"C-",IF(C692&lt;'PlayerGrades+'!$Y$34,"C",IF(C692&lt;'PlayerGrades+'!$Y$33,"C+",IF(C692&lt;'PlayerGrades+'!$Y$32,"B-",IF(C692&lt;'PlayerGrades+'!$Y$31,"B",IF(C692&lt;'PlayerGrades+'!$Y$30,"B+",IF(C692&lt;'PlayerGrades+'!$Y$29,"A-",IF(C692&lt;'PlayerGrades+'!$Y$28,"A",IF(C692&lt;'PlayerGrades+'!$Y$27,"A+",IF(C692&lt;'PlayerGrades+'!$Y$26,"S-",IF(C692&lt;'PlayerGrades+'!$Y$25,"S","S+"))))))))))))))))))))</f>
        <v>B</v>
      </c>
      <c r="C692" s="972">
        <f>('PlayerGrades+'!$Y$47*(VLOOKUP(E692, 'PlayerGrades+'!$X$3:$Y$23, 2, FALSE)))+('PlayerGrades+'!$Y$48*(VLOOKUP(G692, 'PlayerGrades+'!$X$3:$Y$23, 2, FALSE)))+('PlayerGrades+'!$Y$49*(VLOOKUP(I692, 'PlayerGrades+'!$X$3:$Y$23, 2, FALSE)))+('PlayerGrades+'!$Y$50*(VLOOKUP(K692, 'PlayerGrades+'!$X$3:$Y$23, 2, FALSE)))+('PlayerGrades+'!$Y$51*(VLOOKUP(M692, 'PlayerGrades+'!$X$3:$Y$23, 2, FALSE)))+('PlayerGrades+'!$Y$52*(VLOOKUP(O692, 'PlayerGrades+'!$X$3:$Y$23, 2, FALSE)))+('PlayerGrades+'!$Y$53*(VLOOKUP(Q692, 'PlayerGrades+'!$X$3:$Y$23, 2, FALSE)))+('PlayerGrades+'!$Y$54*(VLOOKUP(S692, 'PlayerGrades+'!$X$3:$Y$23, 2, FALSE)))+('PlayerGrades+'!$Y$55*(VLOOKUP(U692, 'PlayerGrades+'!$X$3:$Y$23, 2, FALSE)))</f>
        <v>22.45</v>
      </c>
      <c r="D692" s="973">
        <f t="shared" si="1"/>
        <v>0</v>
      </c>
      <c r="E692" s="973" t="str">
        <f>IF(D692&lt;'PlayerGrades+'!$AA$21,"F-",IF(D692&lt;'PlayerGrades+'!$AA$20,"F",IF(D692&lt;'PlayerGrades+'!$AA$19,"F+",IF(D692&lt;'PlayerGrades+'!$AA$18,"E-",IF(D692&lt;'PlayerGrades+'!$AA$17,"E",IF(D692&lt;'PlayerGrades+'!$AA$16,"E+",IF(D692&lt;'PlayerGrades+'!$AA$15,"D-",IF(D692&lt;'PlayerGrades+'!$AA$14,"D",IF(D692&lt;'PlayerGrades+'!$AA$13,"D+",IF(D692&lt;'PlayerGrades+'!$AA$12,"C-",IF(D692&lt;'PlayerGrades+'!$AA$11,"C",IF(D692&lt;'PlayerGrades+'!$AA$10,"C+",IF(D692&lt;'PlayerGrades+'!$AA$9,"B-",IF(D692&lt;'PlayerGrades+'!$AA$8,"B",IF(D692&lt;'PlayerGrades+'!$AA$7,"B+",IF(D692&lt;'PlayerGrades+'!$AA$6,"A-",IF(D692&lt;'PlayerGrades+'!$AA$5,"A",IF(D692&lt;'PlayerGrades+'!$AA$4,"A+",IF(D692&lt;'PlayerGrades+'!$AA$3,"S-",IF(D692&lt;'PlayerGrades+'!$AA$2,"S","S+"))))))))))))))))))))</f>
        <v>F-</v>
      </c>
      <c r="F692" s="973">
        <f t="shared" si="2"/>
        <v>0</v>
      </c>
      <c r="G692" s="973" t="str">
        <f>IF(F692&lt;'PlayerGrades+'!$AB$21,"F-",IF(F692&lt;'PlayerGrades+'!$AB$20,"F",IF(F692&lt;'PlayerGrades+'!$AB$19,"F+",IF(F692&lt;'PlayerGrades+'!$AB$18,"E-",IF(F692&lt;'PlayerGrades+'!$AB$17,"E",IF(F692&lt;'PlayerGrades+'!$AB$16,"E+",IF(F692&lt;'PlayerGrades+'!$AB$15,"D-",IF(F692&lt;'PlayerGrades+'!$AB$14,"D",IF(F692&lt;'PlayerGrades+'!$AB$13,"D+",IF(F692&lt;'PlayerGrades+'!$AB$12,"C-",IF(F692&lt;'PlayerGrades+'!$AB$11,"C",IF(F692&lt;'PlayerGrades+'!$AB$10,"C+",IF(F692&lt;'PlayerGrades+'!$AB$9,"B-",IF(F692&lt;'PlayerGrades+'!$AB$8,"B",IF(F692&lt;'PlayerGrades+'!$AB$7,"B+",IF(F692&lt;'PlayerGrades+'!$AB$6,"A-",IF(F692&lt;'PlayerGrades+'!$AB$5,"A",IF(F692&lt;'PlayerGrades+'!$AB$4,"A+",IF(F692&lt;'PlayerGrades+'!$AB$3,"S-",IF(F692&lt;'PlayerGrades+'!$AB$2,"S","S+"))))))))))))))))))))</f>
        <v>B</v>
      </c>
      <c r="H692" s="973">
        <f t="shared" si="3"/>
        <v>0.1210898083</v>
      </c>
      <c r="I692" s="973" t="str">
        <f>IF(H692&lt;'PlayerGrades+'!$AC$21,"F-",IF(H692&lt;'PlayerGrades+'!$AC$20,"F",IF(H692&lt;'PlayerGrades+'!$AC$19,"F+",IF(H692&lt;'PlayerGrades+'!$AC$18,"E-",IF(H692&lt;'PlayerGrades+'!$AC$17,"E",IF(H692&lt;'PlayerGrades+'!$AC$16,"E+",IF(H692&lt;'PlayerGrades+'!$AC$15,"D-",IF(H692&lt;'PlayerGrades+'!$AC$14,"D",IF(H692&lt;'PlayerGrades+'!$AC$13,"D+",IF(H692&lt;'PlayerGrades+'!$AC$12,"C-",IF(H692&lt;'PlayerGrades+'!$AC$11,"C",IF(H692&lt;'PlayerGrades+'!$AC$10,"C+",IF(H692&lt;'PlayerGrades+'!$AC$9,"B-",IF(H692&lt;'PlayerGrades+'!$AC$8,"B",IF(H692&lt;'PlayerGrades+'!$AC$7,"B+",IF(H692&lt;'PlayerGrades+'!$AC$6,"A-",IF(H692&lt;'PlayerGrades+'!$AC$5,"A",IF(H692&lt;'PlayerGrades+'!$AC$4,"A+",IF(H692&lt;'PlayerGrades+'!$AC$3,"S-",IF(H692&lt;'PlayerGrades+'!$AC$2,"S","S+"))))))))))))))))))))</f>
        <v>B-</v>
      </c>
      <c r="J692" s="973">
        <f t="shared" si="4"/>
        <v>0</v>
      </c>
      <c r="K692" s="973" t="str">
        <f>IF(J692&lt;'PlayerGrades+'!$AD$21,"F-",IF(J692&lt;'PlayerGrades+'!$AD$20,"F",IF(J692&lt;'PlayerGrades+'!$AD$19,"F+",IF(J692&lt;'PlayerGrades+'!$AD$18,"E-",IF(J692&lt;'PlayerGrades+'!$AD$17,"E",IF(J692&lt;'PlayerGrades+'!$AD$16,"E+",IF(J692&lt;'PlayerGrades+'!$AD$15,"D-",IF(J692&lt;'PlayerGrades+'!$AD$14,"D",IF(J692&lt;'PlayerGrades+'!$AD$13,"D+",IF(J692&lt;'PlayerGrades+'!$AD$12,"C-",IF(J692&lt;'PlayerGrades+'!$AD$11,"C",IF(J692&lt;'PlayerGrades+'!$AD$10,"C+",IF(J692&lt;'PlayerGrades+'!$AD$9,"B-",IF(J692&lt;'PlayerGrades+'!$AD$8,"B",IF(J692&lt;'PlayerGrades+'!$AD$7,"B+",IF(J692&lt;'PlayerGrades+'!$AD$6,"A-",IF(J692&lt;'PlayerGrades+'!$AD$5,"A",IF(J692&lt;'PlayerGrades+'!$AD$4,"A+",IF(J692&lt;'PlayerGrades+'!$AD$3,"S-",IF(J692&lt;'PlayerGrades+'!$AD$2,"S","S+"))))))))))))))))))))</f>
        <v>F-</v>
      </c>
      <c r="L692" s="974">
        <f t="shared" si="5"/>
        <v>0.7265388496</v>
      </c>
      <c r="M692" s="975" t="str">
        <f>IF(L692&lt;'PlayerGrades+'!$AE$21,"F-",IF(L692&lt;'PlayerGrades+'!$AE$20,"F",IF(L692&lt;'PlayerGrades+'!$AE$19,"F+",IF(L692&lt;'PlayerGrades+'!$AE$18,"E-",IF(L692&lt;'PlayerGrades+'!$AE$17,"E",IF(L692&lt;'PlayerGrades+'!$AE$16,"E+",IF(L692&lt;'PlayerGrades+'!$AE$15,"D-",IF(L692&lt;'PlayerGrades+'!$AE$14,"D",IF(L692&lt;'PlayerGrades+'!$AE$13,"D+",IF(L692&lt;'PlayerGrades+'!$AE$12,"C-",IF(L692&lt;'PlayerGrades+'!$AE$11,"C",IF(L692&lt;'PlayerGrades+'!$AE$10,"C+",IF(L692&lt;'PlayerGrades+'!$AE$9,"B-",IF(L692&lt;'PlayerGrades+'!$AE$8,"B",IF(L692&lt;'PlayerGrades+'!$AE$7,"B+",IF(L692&lt;'PlayerGrades+'!$AE$6,"A-",IF(L692&lt;'PlayerGrades+'!$AE$5,"A",IF(L692&lt;'PlayerGrades+'!$AE$4,"A+",IF(L692&lt;'PlayerGrades+'!$AE$3,"S-",IF(L692&lt;'PlayerGrades+'!$AE$2,"S","S+"))))))))))))))))))))</f>
        <v>S+</v>
      </c>
      <c r="N692" s="973">
        <f t="shared" si="6"/>
        <v>0.06054490414</v>
      </c>
      <c r="O692" s="973" t="str">
        <f>IF(N692&lt;'PlayerGrades+'!$AF$21,"F-",IF(N692&lt;'PlayerGrades+'!$AF$20,"F",IF(N692&lt;'PlayerGrades+'!$AF$19,"F+",IF(N692&lt;'PlayerGrades+'!$AF$18,"E-",IF(N692&lt;'PlayerGrades+'!$AF$17,"E",IF(N692&lt;'PlayerGrades+'!$AF$16,"E+",IF(N692&lt;'PlayerGrades+'!$AF$15,"D-",IF(N692&lt;'PlayerGrades+'!$AF$14,"D",IF(N692&lt;'PlayerGrades+'!$AF$13,"D+",IF(N692&lt;'PlayerGrades+'!$AF$12,"C-",IF(N692&lt;'PlayerGrades+'!$AF$11,"C",IF(N692&lt;'PlayerGrades+'!$AF$10,"C+",IF(N692&lt;'PlayerGrades+'!$AF$9,"B-",IF(N692&lt;'PlayerGrades+'!$AF$8,"B",IF(N692&lt;'PlayerGrades+'!$AF$7,"B+",IF(N692&lt;'PlayerGrades+'!$AF$6,"A-",IF(N692&lt;'PlayerGrades+'!$AF$5,"A",IF(N692&lt;'PlayerGrades+'!$AF$4,"A+",IF(N692&lt;'PlayerGrades+'!$AF$3,"S-",IF(N692&lt;'PlayerGrades+'!$AF$2,"S","S+"))))))))))))))))))))</f>
        <v>D+</v>
      </c>
      <c r="P692" s="973">
        <f t="shared" si="7"/>
        <v>0</v>
      </c>
      <c r="Q692" s="973" t="str">
        <f>IF(P692&lt;'PlayerGrades+'!$AG$21,"F-",IF(P692&lt;'PlayerGrades+'!$AG$20,"F",IF(P692&lt;'PlayerGrades+'!$AG$19,"F+",IF(P692&lt;'PlayerGrades+'!$AG$18,"E-",IF(P692&lt;'PlayerGrades+'!$AG$17,"E",IF(P692&lt;'PlayerGrades+'!$AG$16,"E+",IF(P692&lt;'PlayerGrades+'!$AG$15,"D-",IF(P692&lt;'PlayerGrades+'!$AG$14,"D",IF(P692&lt;'PlayerGrades+'!$AG$13,"D+",IF(P692&lt;'PlayerGrades+'!$AG$12,"C-",IF(P692&lt;'PlayerGrades+'!$AG$11,"C",IF(P692&lt;'PlayerGrades+'!$AG$10,"C+",IF(P692&lt;'PlayerGrades+'!$AG$9,"B-",IF(P692&lt;'PlayerGrades+'!$AG$8,"B",IF(P692&lt;'PlayerGrades+'!$AG$7,"B+",IF(P692&lt;'PlayerGrades+'!$AG$6,"A-",IF(P692&lt;'PlayerGrades+'!$AG$5,"A",IF(P692&lt;'PlayerGrades+'!$AG$4,"A+",IF(P692&lt;'PlayerGrades+'!$AG$3,"S-",IF(P692&lt;'PlayerGrades+'!$AG$2,"S","S+"))))))))))))))))))))</f>
        <v>F</v>
      </c>
      <c r="R692" s="973">
        <f t="shared" si="8"/>
        <v>0.8476286579</v>
      </c>
      <c r="S692" s="973" t="str">
        <f>IF(R692&lt;'PlayerGrades+'!$AH$21,"F-",IF(R692&lt;'PlayerGrades+'!$AH$20,"F",IF(R692&lt;'PlayerGrades+'!$AH$19,"F+",IF(R692&lt;'PlayerGrades+'!$AH$18,"E-",IF(R692&lt;'PlayerGrades+'!$AH$17,"E",IF(R692&lt;'PlayerGrades+'!$AH$16,"E+",IF(R692&lt;'PlayerGrades+'!$AH$15,"D-",IF(R692&lt;'PlayerGrades+'!$AH$14,"D",IF(R692&lt;'PlayerGrades+'!$AH$13,"D+",IF(R692&lt;'PlayerGrades+'!$AH$12,"C-",IF(R692&lt;'PlayerGrades+'!$AH$11,"C",IF(R692&lt;'PlayerGrades+'!$AH$10,"C+",IF(R692&lt;'PlayerGrades+'!$AH$9,"B-",IF(R692&lt;'PlayerGrades+'!$AH$8,"B",IF(R692&lt;'PlayerGrades+'!$AH$7,"B+",IF(R692&lt;'PlayerGrades+'!$AH$6,"A-",IF(R692&lt;'PlayerGrades+'!$AH$5,"A",IF(R692&lt;'PlayerGrades+'!$AH$4,"A+",IF(R692&lt;'PlayerGrades+'!$AH$3,"S-",IF(R692&lt;'PlayerGrades+'!$AH$2,"S","S+"))))))))))))))))))))</f>
        <v>S+</v>
      </c>
      <c r="T692" s="973">
        <f t="shared" si="9"/>
        <v>1.72653885</v>
      </c>
      <c r="U692" s="973" t="str">
        <f>IF(T692&lt;'PlayerGrades+'!$AI$21,"F-",IF(T692&lt;'PlayerGrades+'!$AI$20,"F",IF(T692&lt;'PlayerGrades+'!$AI$19,"F+",IF(T692&lt;'PlayerGrades+'!$AI$18,"E-",IF(T692&lt;'PlayerGrades+'!$AI$17,"E",IF(T692&lt;'PlayerGrades+'!$AI$16,"E+",IF(T692&lt;'PlayerGrades+'!$AI$15,"D-",IF(T692&lt;'PlayerGrades+'!$AI$14,"D",IF(T692&lt;'PlayerGrades+'!$AI$13,"D+",IF(T692&lt;'PlayerGrades+'!$AI$12,"C-",IF(T692&lt;'PlayerGrades+'!$AI$11,"C",IF(T692&lt;'PlayerGrades+'!$AI$10,"C+",IF(T692&lt;'PlayerGrades+'!$AI$9,"B-",IF(T692&lt;'PlayerGrades+'!$AI$8,"B",IF(T692&lt;'PlayerGrades+'!$AI$7,"B+",IF(T692&lt;'PlayerGrades+'!$AI$6,"A-",IF(T692&lt;'PlayerGrades+'!$AI$5,"A",IF(T692&lt;'PlayerGrades+'!$AI$4,"A+",IF(T692&lt;'PlayerGrades+'!$AI$3,"S-",IF(T692&lt;'PlayerGrades+'!$AI$2,"S","S+"))))))))))))))))))))</f>
        <v>S</v>
      </c>
      <c r="V692" s="941">
        <v>1.0</v>
      </c>
      <c r="W692" s="941">
        <v>1.0</v>
      </c>
      <c r="X692" s="941">
        <v>0.0</v>
      </c>
      <c r="Y692" s="941">
        <v>0.0</v>
      </c>
      <c r="Z692" s="941">
        <v>0.0</v>
      </c>
      <c r="AA692" s="941">
        <v>66.0</v>
      </c>
      <c r="AB692" s="941">
        <v>66.0</v>
      </c>
      <c r="AC692" s="941">
        <v>0.0</v>
      </c>
      <c r="AD692" s="941">
        <v>4.0</v>
      </c>
      <c r="AE692" s="941">
        <v>3.0</v>
      </c>
      <c r="AF692" s="941">
        <v>1.0</v>
      </c>
      <c r="AG692" s="941">
        <v>700.0</v>
      </c>
      <c r="AH692" s="941">
        <v>991.0</v>
      </c>
      <c r="AI692" s="941">
        <v>10.0</v>
      </c>
      <c r="AJ692" s="941">
        <v>6.0</v>
      </c>
      <c r="AK692" s="941">
        <v>0.0</v>
      </c>
      <c r="AL692" s="941">
        <v>0.0</v>
      </c>
      <c r="AM692" s="941">
        <v>0.0</v>
      </c>
      <c r="AN692" s="941">
        <v>0.0</v>
      </c>
      <c r="AO692" s="941">
        <v>0.0</v>
      </c>
      <c r="AP692" s="941">
        <v>0.0</v>
      </c>
      <c r="AQ692" s="941">
        <v>0.0</v>
      </c>
      <c r="AR692" s="941">
        <v>12.0</v>
      </c>
      <c r="AS692" s="941">
        <v>1.0</v>
      </c>
      <c r="AT692" s="941">
        <v>0.0</v>
      </c>
      <c r="AU692" s="941">
        <v>0.0</v>
      </c>
      <c r="AV692" s="941">
        <v>0.0</v>
      </c>
      <c r="AW692" s="941">
        <v>0.0</v>
      </c>
      <c r="AX692" s="941">
        <v>0.0</v>
      </c>
      <c r="AY692" s="941">
        <v>0.0</v>
      </c>
      <c r="AZ692" s="941">
        <v>0.0</v>
      </c>
      <c r="BA692" s="941">
        <v>0.0</v>
      </c>
      <c r="BB692" s="941">
        <v>2.0</v>
      </c>
      <c r="BC692" s="941">
        <v>0.0</v>
      </c>
      <c r="BD692" s="941">
        <v>10.0</v>
      </c>
      <c r="BE692" s="941">
        <v>12.0</v>
      </c>
      <c r="BF692" s="941">
        <v>1.0</v>
      </c>
      <c r="BG692" s="942">
        <v>1.0</v>
      </c>
    </row>
    <row r="693">
      <c r="A693" s="935" t="s">
        <v>156</v>
      </c>
      <c r="B693" s="421" t="str">
        <f>IF(C693&lt;'PlayerGrades+'!$Y$44,"F-",IF(C693&lt;'PlayerGrades+'!$Y$43,"F",IF(C693&lt;'PlayerGrades+'!$Y$42,"F+",IF(C693&lt;'PlayerGrades+'!$Y$41,"E-",IF(C693&lt;'PlayerGrades+'!$Y$40,"E",IF(C693&lt;'PlayerGrades+'!$Y$39,"E+",IF(C693&lt;'PlayerGrades+'!$Y$38,"D-",IF(C693&lt;'PlayerGrades+'!$Y$37,"D",IF(C693&lt;'PlayerGrades+'!$Y$36,"D+",IF(C693&lt;'PlayerGrades+'!$Y$35,"C-",IF(C693&lt;'PlayerGrades+'!$Y$34,"C",IF(C693&lt;'PlayerGrades+'!$Y$33,"C+",IF(C693&lt;'PlayerGrades+'!$Y$32,"B-",IF(C693&lt;'PlayerGrades+'!$Y$31,"B",IF(C693&lt;'PlayerGrades+'!$Y$30,"B+",IF(C693&lt;'PlayerGrades+'!$Y$29,"A-",IF(C693&lt;'PlayerGrades+'!$Y$28,"A",IF(C693&lt;'PlayerGrades+'!$Y$27,"A+",IF(C693&lt;'PlayerGrades+'!$Y$26,"S-",IF(C693&lt;'PlayerGrades+'!$Y$25,"S","S+"))))))))))))))))))))</f>
        <v>D-</v>
      </c>
      <c r="C693" s="972">
        <f>('PlayerGrades+'!$Y$47*(VLOOKUP(E693, 'PlayerGrades+'!$X$3:$Y$23, 2, FALSE)))+('PlayerGrades+'!$Y$48*(VLOOKUP(G693, 'PlayerGrades+'!$X$3:$Y$23, 2, FALSE)))+('PlayerGrades+'!$Y$49*(VLOOKUP(I693, 'PlayerGrades+'!$X$3:$Y$23, 2, FALSE)))+('PlayerGrades+'!$Y$50*(VLOOKUP(K693, 'PlayerGrades+'!$X$3:$Y$23, 2, FALSE)))+('PlayerGrades+'!$Y$51*(VLOOKUP(M693, 'PlayerGrades+'!$X$3:$Y$23, 2, FALSE)))+('PlayerGrades+'!$Y$52*(VLOOKUP(O693, 'PlayerGrades+'!$X$3:$Y$23, 2, FALSE)))+('PlayerGrades+'!$Y$53*(VLOOKUP(Q693, 'PlayerGrades+'!$X$3:$Y$23, 2, FALSE)))+('PlayerGrades+'!$Y$54*(VLOOKUP(S693, 'PlayerGrades+'!$X$3:$Y$23, 2, FALSE)))+('PlayerGrades+'!$Y$55*(VLOOKUP(U693, 'PlayerGrades+'!$X$3:$Y$23, 2, FALSE)))</f>
        <v>14.35</v>
      </c>
      <c r="D693" s="973">
        <f t="shared" si="1"/>
        <v>0</v>
      </c>
      <c r="E693" s="973" t="str">
        <f>IF(D693&lt;'PlayerGrades+'!$AA$21,"F-",IF(D693&lt;'PlayerGrades+'!$AA$20,"F",IF(D693&lt;'PlayerGrades+'!$AA$19,"F+",IF(D693&lt;'PlayerGrades+'!$AA$18,"E-",IF(D693&lt;'PlayerGrades+'!$AA$17,"E",IF(D693&lt;'PlayerGrades+'!$AA$16,"E+",IF(D693&lt;'PlayerGrades+'!$AA$15,"D-",IF(D693&lt;'PlayerGrades+'!$AA$14,"D",IF(D693&lt;'PlayerGrades+'!$AA$13,"D+",IF(D693&lt;'PlayerGrades+'!$AA$12,"C-",IF(D693&lt;'PlayerGrades+'!$AA$11,"C",IF(D693&lt;'PlayerGrades+'!$AA$10,"C+",IF(D693&lt;'PlayerGrades+'!$AA$9,"B-",IF(D693&lt;'PlayerGrades+'!$AA$8,"B",IF(D693&lt;'PlayerGrades+'!$AA$7,"B+",IF(D693&lt;'PlayerGrades+'!$AA$6,"A-",IF(D693&lt;'PlayerGrades+'!$AA$5,"A",IF(D693&lt;'PlayerGrades+'!$AA$4,"A+",IF(D693&lt;'PlayerGrades+'!$AA$3,"S-",IF(D693&lt;'PlayerGrades+'!$AA$2,"S","S+"))))))))))))))))))))</f>
        <v>F-</v>
      </c>
      <c r="F693" s="973">
        <f t="shared" si="2"/>
        <v>-0.7870837538</v>
      </c>
      <c r="G693" s="973" t="str">
        <f>IF(F693&lt;'PlayerGrades+'!$AB$21,"F-",IF(F693&lt;'PlayerGrades+'!$AB$20,"F",IF(F693&lt;'PlayerGrades+'!$AB$19,"F+",IF(F693&lt;'PlayerGrades+'!$AB$18,"E-",IF(F693&lt;'PlayerGrades+'!$AB$17,"E",IF(F693&lt;'PlayerGrades+'!$AB$16,"E+",IF(F693&lt;'PlayerGrades+'!$AB$15,"D-",IF(F693&lt;'PlayerGrades+'!$AB$14,"D",IF(F693&lt;'PlayerGrades+'!$AB$13,"D+",IF(F693&lt;'PlayerGrades+'!$AB$12,"C-",IF(F693&lt;'PlayerGrades+'!$AB$11,"C",IF(F693&lt;'PlayerGrades+'!$AB$10,"C+",IF(F693&lt;'PlayerGrades+'!$AB$9,"B-",IF(F693&lt;'PlayerGrades+'!$AB$8,"B",IF(F693&lt;'PlayerGrades+'!$AB$7,"B+",IF(F693&lt;'PlayerGrades+'!$AB$6,"A-",IF(F693&lt;'PlayerGrades+'!$AB$5,"A",IF(F693&lt;'PlayerGrades+'!$AB$4,"A+",IF(F693&lt;'PlayerGrades+'!$AB$3,"S-",IF(F693&lt;'PlayerGrades+'!$AB$2,"S","S+"))))))))))))))))))))</f>
        <v>E</v>
      </c>
      <c r="H693" s="973">
        <f t="shared" si="3"/>
        <v>0</v>
      </c>
      <c r="I693" s="973" t="str">
        <f>IF(H693&lt;'PlayerGrades+'!$AC$21,"F-",IF(H693&lt;'PlayerGrades+'!$AC$20,"F",IF(H693&lt;'PlayerGrades+'!$AC$19,"F+",IF(H693&lt;'PlayerGrades+'!$AC$18,"E-",IF(H693&lt;'PlayerGrades+'!$AC$17,"E",IF(H693&lt;'PlayerGrades+'!$AC$16,"E+",IF(H693&lt;'PlayerGrades+'!$AC$15,"D-",IF(H693&lt;'PlayerGrades+'!$AC$14,"D",IF(H693&lt;'PlayerGrades+'!$AC$13,"D+",IF(H693&lt;'PlayerGrades+'!$AC$12,"C-",IF(H693&lt;'PlayerGrades+'!$AC$11,"C",IF(H693&lt;'PlayerGrades+'!$AC$10,"C+",IF(H693&lt;'PlayerGrades+'!$AC$9,"B-",IF(H693&lt;'PlayerGrades+'!$AC$8,"B",IF(H693&lt;'PlayerGrades+'!$AC$7,"B+",IF(H693&lt;'PlayerGrades+'!$AC$6,"A-",IF(H693&lt;'PlayerGrades+'!$AC$5,"A",IF(H693&lt;'PlayerGrades+'!$AC$4,"A+",IF(H693&lt;'PlayerGrades+'!$AC$3,"S-",IF(H693&lt;'PlayerGrades+'!$AC$2,"S","S+"))))))))))))))))))))</f>
        <v>F-</v>
      </c>
      <c r="J693" s="973">
        <f t="shared" si="4"/>
        <v>0</v>
      </c>
      <c r="K693" s="973" t="str">
        <f>IF(J693&lt;'PlayerGrades+'!$AD$21,"F-",IF(J693&lt;'PlayerGrades+'!$AD$20,"F",IF(J693&lt;'PlayerGrades+'!$AD$19,"F+",IF(J693&lt;'PlayerGrades+'!$AD$18,"E-",IF(J693&lt;'PlayerGrades+'!$AD$17,"E",IF(J693&lt;'PlayerGrades+'!$AD$16,"E+",IF(J693&lt;'PlayerGrades+'!$AD$15,"D-",IF(J693&lt;'PlayerGrades+'!$AD$14,"D",IF(J693&lt;'PlayerGrades+'!$AD$13,"D+",IF(J693&lt;'PlayerGrades+'!$AD$12,"C-",IF(J693&lt;'PlayerGrades+'!$AD$11,"C",IF(J693&lt;'PlayerGrades+'!$AD$10,"C+",IF(J693&lt;'PlayerGrades+'!$AD$9,"B-",IF(J693&lt;'PlayerGrades+'!$AD$8,"B",IF(J693&lt;'PlayerGrades+'!$AD$7,"B+",IF(J693&lt;'PlayerGrades+'!$AD$6,"A-",IF(J693&lt;'PlayerGrades+'!$AD$5,"A",IF(J693&lt;'PlayerGrades+'!$AD$4,"A+",IF(J693&lt;'PlayerGrades+'!$AD$3,"S-",IF(J693&lt;'PlayerGrades+'!$AD$2,"S","S+"))))))))))))))))))))</f>
        <v>F-</v>
      </c>
      <c r="L693" s="974">
        <f t="shared" si="5"/>
        <v>0.3632694248</v>
      </c>
      <c r="M693" s="975" t="str">
        <f>IF(L693&lt;'PlayerGrades+'!$AE$21,"F-",IF(L693&lt;'PlayerGrades+'!$AE$20,"F",IF(L693&lt;'PlayerGrades+'!$AE$19,"F+",IF(L693&lt;'PlayerGrades+'!$AE$18,"E-",IF(L693&lt;'PlayerGrades+'!$AE$17,"E",IF(L693&lt;'PlayerGrades+'!$AE$16,"E+",IF(L693&lt;'PlayerGrades+'!$AE$15,"D-",IF(L693&lt;'PlayerGrades+'!$AE$14,"D",IF(L693&lt;'PlayerGrades+'!$AE$13,"D+",IF(L693&lt;'PlayerGrades+'!$AE$12,"C-",IF(L693&lt;'PlayerGrades+'!$AE$11,"C",IF(L693&lt;'PlayerGrades+'!$AE$10,"C+",IF(L693&lt;'PlayerGrades+'!$AE$9,"B-",IF(L693&lt;'PlayerGrades+'!$AE$8,"B",IF(L693&lt;'PlayerGrades+'!$AE$7,"B+",IF(L693&lt;'PlayerGrades+'!$AE$6,"A-",IF(L693&lt;'PlayerGrades+'!$AE$5,"A",IF(L693&lt;'PlayerGrades+'!$AE$4,"A+",IF(L693&lt;'PlayerGrades+'!$AE$3,"S-",IF(L693&lt;'PlayerGrades+'!$AE$2,"S","S+"))))))))))))))))))))</f>
        <v>D+</v>
      </c>
      <c r="N693" s="973">
        <f t="shared" si="6"/>
        <v>0.06054490414</v>
      </c>
      <c r="O693" s="973" t="str">
        <f>IF(N693&lt;'PlayerGrades+'!$AF$21,"F-",IF(N693&lt;'PlayerGrades+'!$AF$20,"F",IF(N693&lt;'PlayerGrades+'!$AF$19,"F+",IF(N693&lt;'PlayerGrades+'!$AF$18,"E-",IF(N693&lt;'PlayerGrades+'!$AF$17,"E",IF(N693&lt;'PlayerGrades+'!$AF$16,"E+",IF(N693&lt;'PlayerGrades+'!$AF$15,"D-",IF(N693&lt;'PlayerGrades+'!$AF$14,"D",IF(N693&lt;'PlayerGrades+'!$AF$13,"D+",IF(N693&lt;'PlayerGrades+'!$AF$12,"C-",IF(N693&lt;'PlayerGrades+'!$AF$11,"C",IF(N693&lt;'PlayerGrades+'!$AF$10,"C+",IF(N693&lt;'PlayerGrades+'!$AF$9,"B-",IF(N693&lt;'PlayerGrades+'!$AF$8,"B",IF(N693&lt;'PlayerGrades+'!$AF$7,"B+",IF(N693&lt;'PlayerGrades+'!$AF$6,"A-",IF(N693&lt;'PlayerGrades+'!$AF$5,"A",IF(N693&lt;'PlayerGrades+'!$AF$4,"A+",IF(N693&lt;'PlayerGrades+'!$AF$3,"S-",IF(N693&lt;'PlayerGrades+'!$AF$2,"S","S+"))))))))))))))))))))</f>
        <v>D+</v>
      </c>
      <c r="P693" s="973">
        <f t="shared" si="7"/>
        <v>0</v>
      </c>
      <c r="Q693" s="973" t="str">
        <f>IF(P693&lt;'PlayerGrades+'!$AG$21,"F-",IF(P693&lt;'PlayerGrades+'!$AG$20,"F",IF(P693&lt;'PlayerGrades+'!$AG$19,"F+",IF(P693&lt;'PlayerGrades+'!$AG$18,"E-",IF(P693&lt;'PlayerGrades+'!$AG$17,"E",IF(P693&lt;'PlayerGrades+'!$AG$16,"E+",IF(P693&lt;'PlayerGrades+'!$AG$15,"D-",IF(P693&lt;'PlayerGrades+'!$AG$14,"D",IF(P693&lt;'PlayerGrades+'!$AG$13,"D+",IF(P693&lt;'PlayerGrades+'!$AG$12,"C-",IF(P693&lt;'PlayerGrades+'!$AG$11,"C",IF(P693&lt;'PlayerGrades+'!$AG$10,"C+",IF(P693&lt;'PlayerGrades+'!$AG$9,"B-",IF(P693&lt;'PlayerGrades+'!$AG$8,"B",IF(P693&lt;'PlayerGrades+'!$AG$7,"B+",IF(P693&lt;'PlayerGrades+'!$AG$6,"A-",IF(P693&lt;'PlayerGrades+'!$AG$5,"A",IF(P693&lt;'PlayerGrades+'!$AG$4,"A+",IF(P693&lt;'PlayerGrades+'!$AG$3,"S-",IF(P693&lt;'PlayerGrades+'!$AG$2,"S","S+"))))))))))))))))))))</f>
        <v>F</v>
      </c>
      <c r="R693" s="973">
        <f t="shared" si="8"/>
        <v>0.7265388496</v>
      </c>
      <c r="S693" s="973" t="str">
        <f>IF(R693&lt;'PlayerGrades+'!$AH$21,"F-",IF(R693&lt;'PlayerGrades+'!$AH$20,"F",IF(R693&lt;'PlayerGrades+'!$AH$19,"F+",IF(R693&lt;'PlayerGrades+'!$AH$18,"E-",IF(R693&lt;'PlayerGrades+'!$AH$17,"E",IF(R693&lt;'PlayerGrades+'!$AH$16,"E+",IF(R693&lt;'PlayerGrades+'!$AH$15,"D-",IF(R693&lt;'PlayerGrades+'!$AH$14,"D",IF(R693&lt;'PlayerGrades+'!$AH$13,"D+",IF(R693&lt;'PlayerGrades+'!$AH$12,"C-",IF(R693&lt;'PlayerGrades+'!$AH$11,"C",IF(R693&lt;'PlayerGrades+'!$AH$10,"C+",IF(R693&lt;'PlayerGrades+'!$AH$9,"B-",IF(R693&lt;'PlayerGrades+'!$AH$8,"B",IF(R693&lt;'PlayerGrades+'!$AH$7,"B+",IF(R693&lt;'PlayerGrades+'!$AH$6,"A-",IF(R693&lt;'PlayerGrades+'!$AH$5,"A",IF(R693&lt;'PlayerGrades+'!$AH$4,"A+",IF(R693&lt;'PlayerGrades+'!$AH$3,"S-",IF(R693&lt;'PlayerGrades+'!$AH$2,"S","S+"))))))))))))))))))))</f>
        <v>S</v>
      </c>
      <c r="T693" s="973">
        <f t="shared" si="9"/>
        <v>1.302724521</v>
      </c>
      <c r="U693" s="973" t="str">
        <f>IF(T693&lt;'PlayerGrades+'!$AI$21,"F-",IF(T693&lt;'PlayerGrades+'!$AI$20,"F",IF(T693&lt;'PlayerGrades+'!$AI$19,"F+",IF(T693&lt;'PlayerGrades+'!$AI$18,"E-",IF(T693&lt;'PlayerGrades+'!$AI$17,"E",IF(T693&lt;'PlayerGrades+'!$AI$16,"E+",IF(T693&lt;'PlayerGrades+'!$AI$15,"D-",IF(T693&lt;'PlayerGrades+'!$AI$14,"D",IF(T693&lt;'PlayerGrades+'!$AI$13,"D+",IF(T693&lt;'PlayerGrades+'!$AI$12,"C-",IF(T693&lt;'PlayerGrades+'!$AI$11,"C",IF(T693&lt;'PlayerGrades+'!$AI$10,"C+",IF(T693&lt;'PlayerGrades+'!$AI$9,"B-",IF(T693&lt;'PlayerGrades+'!$AI$8,"B",IF(T693&lt;'PlayerGrades+'!$AI$7,"B+",IF(T693&lt;'PlayerGrades+'!$AI$6,"A-",IF(T693&lt;'PlayerGrades+'!$AI$5,"A",IF(T693&lt;'PlayerGrades+'!$AI$4,"A+",IF(T693&lt;'PlayerGrades+'!$AI$3,"S-",IF(T693&lt;'PlayerGrades+'!$AI$2,"S","S+"))))))))))))))))))))</f>
        <v>C+</v>
      </c>
      <c r="V693" s="941">
        <v>1.0</v>
      </c>
      <c r="W693" s="941">
        <v>1.0</v>
      </c>
      <c r="X693" s="941">
        <v>0.0</v>
      </c>
      <c r="Y693" s="941">
        <v>0.0</v>
      </c>
      <c r="Z693" s="941">
        <v>0.0</v>
      </c>
      <c r="AA693" s="941">
        <v>53.0</v>
      </c>
      <c r="AB693" s="941">
        <v>66.0</v>
      </c>
      <c r="AC693" s="941">
        <v>-13.0</v>
      </c>
      <c r="AD693" s="941">
        <v>2.0</v>
      </c>
      <c r="AE693" s="941">
        <v>3.0</v>
      </c>
      <c r="AF693" s="941">
        <v>0.0</v>
      </c>
      <c r="AG693" s="941">
        <v>699.0</v>
      </c>
      <c r="AH693" s="941">
        <v>991.0</v>
      </c>
      <c r="AI693" s="941">
        <v>10.0</v>
      </c>
      <c r="AJ693" s="941">
        <v>29.0</v>
      </c>
      <c r="AK693" s="941">
        <v>0.0</v>
      </c>
      <c r="AL693" s="941">
        <v>0.0</v>
      </c>
      <c r="AM693" s="941">
        <v>0.0</v>
      </c>
      <c r="AN693" s="941">
        <v>0.0</v>
      </c>
      <c r="AO693" s="941">
        <v>0.0</v>
      </c>
      <c r="AP693" s="941">
        <v>0.0</v>
      </c>
      <c r="AQ693" s="941">
        <v>0.0</v>
      </c>
      <c r="AR693" s="941">
        <v>6.0</v>
      </c>
      <c r="AS693" s="941">
        <v>1.0</v>
      </c>
      <c r="AT693" s="941">
        <v>0.0</v>
      </c>
      <c r="AU693" s="941">
        <v>0.0</v>
      </c>
      <c r="AV693" s="941">
        <v>0.0</v>
      </c>
      <c r="AW693" s="941">
        <v>0.0</v>
      </c>
      <c r="AX693" s="941">
        <v>0.0</v>
      </c>
      <c r="AY693" s="941">
        <v>0.0</v>
      </c>
      <c r="AZ693" s="941">
        <v>0.0</v>
      </c>
      <c r="BA693" s="941">
        <v>0.0</v>
      </c>
      <c r="BB693" s="941">
        <v>0.0</v>
      </c>
      <c r="BC693" s="941">
        <v>0.0</v>
      </c>
      <c r="BD693" s="941">
        <v>10.0</v>
      </c>
      <c r="BE693" s="941">
        <v>5.0</v>
      </c>
      <c r="BF693" s="941">
        <v>1.0</v>
      </c>
      <c r="BG693" s="942">
        <v>1.0</v>
      </c>
    </row>
    <row r="694">
      <c r="A694" s="935" t="s">
        <v>114</v>
      </c>
      <c r="B694" s="421" t="str">
        <f>IF(C694&lt;'PlayerGrades+'!$Y$44,"F-",IF(C694&lt;'PlayerGrades+'!$Y$43,"F",IF(C694&lt;'PlayerGrades+'!$Y$42,"F+",IF(C694&lt;'PlayerGrades+'!$Y$41,"E-",IF(C694&lt;'PlayerGrades+'!$Y$40,"E",IF(C694&lt;'PlayerGrades+'!$Y$39,"E+",IF(C694&lt;'PlayerGrades+'!$Y$38,"D-",IF(C694&lt;'PlayerGrades+'!$Y$37,"D",IF(C694&lt;'PlayerGrades+'!$Y$36,"D+",IF(C694&lt;'PlayerGrades+'!$Y$35,"C-",IF(C694&lt;'PlayerGrades+'!$Y$34,"C",IF(C694&lt;'PlayerGrades+'!$Y$33,"C+",IF(C694&lt;'PlayerGrades+'!$Y$32,"B-",IF(C694&lt;'PlayerGrades+'!$Y$31,"B",IF(C694&lt;'PlayerGrades+'!$Y$30,"B+",IF(C694&lt;'PlayerGrades+'!$Y$29,"A-",IF(C694&lt;'PlayerGrades+'!$Y$28,"A",IF(C694&lt;'PlayerGrades+'!$Y$27,"A+",IF(C694&lt;'PlayerGrades+'!$Y$26,"S-",IF(C694&lt;'PlayerGrades+'!$Y$25,"S","S+"))))))))))))))))))))</f>
        <v>C-</v>
      </c>
      <c r="C694" s="972">
        <f>('PlayerGrades+'!$Y$47*(VLOOKUP(E694, 'PlayerGrades+'!$X$3:$Y$23, 2, FALSE)))+('PlayerGrades+'!$Y$48*(VLOOKUP(G694, 'PlayerGrades+'!$X$3:$Y$23, 2, FALSE)))+('PlayerGrades+'!$Y$49*(VLOOKUP(I694, 'PlayerGrades+'!$X$3:$Y$23, 2, FALSE)))+('PlayerGrades+'!$Y$50*(VLOOKUP(K694, 'PlayerGrades+'!$X$3:$Y$23, 2, FALSE)))+('PlayerGrades+'!$Y$51*(VLOOKUP(M694, 'PlayerGrades+'!$X$3:$Y$23, 2, FALSE)))+('PlayerGrades+'!$Y$52*(VLOOKUP(O694, 'PlayerGrades+'!$X$3:$Y$23, 2, FALSE)))+('PlayerGrades+'!$Y$53*(VLOOKUP(Q694, 'PlayerGrades+'!$X$3:$Y$23, 2, FALSE)))+('PlayerGrades+'!$Y$54*(VLOOKUP(S694, 'PlayerGrades+'!$X$3:$Y$23, 2, FALSE)))+('PlayerGrades+'!$Y$55*(VLOOKUP(U694, 'PlayerGrades+'!$X$3:$Y$23, 2, FALSE)))</f>
        <v>18.45</v>
      </c>
      <c r="D694" s="973">
        <f t="shared" si="1"/>
        <v>0.4843592331</v>
      </c>
      <c r="E694" s="973" t="str">
        <f>IF(D694&lt;'PlayerGrades+'!$AA$21,"F-",IF(D694&lt;'PlayerGrades+'!$AA$20,"F",IF(D694&lt;'PlayerGrades+'!$AA$19,"F+",IF(D694&lt;'PlayerGrades+'!$AA$18,"E-",IF(D694&lt;'PlayerGrades+'!$AA$17,"E",IF(D694&lt;'PlayerGrades+'!$AA$16,"E+",IF(D694&lt;'PlayerGrades+'!$AA$15,"D-",IF(D694&lt;'PlayerGrades+'!$AA$14,"D",IF(D694&lt;'PlayerGrades+'!$AA$13,"D+",IF(D694&lt;'PlayerGrades+'!$AA$12,"C-",IF(D694&lt;'PlayerGrades+'!$AA$11,"C",IF(D694&lt;'PlayerGrades+'!$AA$10,"C+",IF(D694&lt;'PlayerGrades+'!$AA$9,"B-",IF(D694&lt;'PlayerGrades+'!$AA$8,"B",IF(D694&lt;'PlayerGrades+'!$AA$7,"B+",IF(D694&lt;'PlayerGrades+'!$AA$6,"A-",IF(D694&lt;'PlayerGrades+'!$AA$5,"A",IF(D694&lt;'PlayerGrades+'!$AA$4,"A+",IF(D694&lt;'PlayerGrades+'!$AA$3,"S-",IF(D694&lt;'PlayerGrades+'!$AA$2,"S","S+"))))))))))))))))))))</f>
        <v>A+</v>
      </c>
      <c r="F694" s="973">
        <f t="shared" si="2"/>
        <v>0.7870837538</v>
      </c>
      <c r="G694" s="973" t="str">
        <f>IF(F694&lt;'PlayerGrades+'!$AB$21,"F-",IF(F694&lt;'PlayerGrades+'!$AB$20,"F",IF(F694&lt;'PlayerGrades+'!$AB$19,"F+",IF(F694&lt;'PlayerGrades+'!$AB$18,"E-",IF(F694&lt;'PlayerGrades+'!$AB$17,"E",IF(F694&lt;'PlayerGrades+'!$AB$16,"E+",IF(F694&lt;'PlayerGrades+'!$AB$15,"D-",IF(F694&lt;'PlayerGrades+'!$AB$14,"D",IF(F694&lt;'PlayerGrades+'!$AB$13,"D+",IF(F694&lt;'PlayerGrades+'!$AB$12,"C-",IF(F694&lt;'PlayerGrades+'!$AB$11,"C",IF(F694&lt;'PlayerGrades+'!$AB$10,"C+",IF(F694&lt;'PlayerGrades+'!$AB$9,"B-",IF(F694&lt;'PlayerGrades+'!$AB$8,"B",IF(F694&lt;'PlayerGrades+'!$AB$7,"B+",IF(F694&lt;'PlayerGrades+'!$AB$6,"A-",IF(F694&lt;'PlayerGrades+'!$AB$5,"A",IF(F694&lt;'PlayerGrades+'!$AB$4,"A+",IF(F694&lt;'PlayerGrades+'!$AB$3,"S-",IF(F694&lt;'PlayerGrades+'!$AB$2,"S","S+"))))))))))))))))))))</f>
        <v>S</v>
      </c>
      <c r="H694" s="973">
        <f t="shared" si="3"/>
        <v>0.06054490414</v>
      </c>
      <c r="I694" s="973" t="str">
        <f>IF(H694&lt;'PlayerGrades+'!$AC$21,"F-",IF(H694&lt;'PlayerGrades+'!$AC$20,"F",IF(H694&lt;'PlayerGrades+'!$AC$19,"F+",IF(H694&lt;'PlayerGrades+'!$AC$18,"E-",IF(H694&lt;'PlayerGrades+'!$AC$17,"E",IF(H694&lt;'PlayerGrades+'!$AC$16,"E+",IF(H694&lt;'PlayerGrades+'!$AC$15,"D-",IF(H694&lt;'PlayerGrades+'!$AC$14,"D",IF(H694&lt;'PlayerGrades+'!$AC$13,"D+",IF(H694&lt;'PlayerGrades+'!$AC$12,"C-",IF(H694&lt;'PlayerGrades+'!$AC$11,"C",IF(H694&lt;'PlayerGrades+'!$AC$10,"C+",IF(H694&lt;'PlayerGrades+'!$AC$9,"B-",IF(H694&lt;'PlayerGrades+'!$AC$8,"B",IF(H694&lt;'PlayerGrades+'!$AC$7,"B+",IF(H694&lt;'PlayerGrades+'!$AC$6,"A-",IF(H694&lt;'PlayerGrades+'!$AC$5,"A",IF(H694&lt;'PlayerGrades+'!$AC$4,"A+",IF(H694&lt;'PlayerGrades+'!$AC$3,"S-",IF(H694&lt;'PlayerGrades+'!$AC$2,"S","S+"))))))))))))))))))))</f>
        <v>E-</v>
      </c>
      <c r="J694" s="973">
        <f t="shared" si="4"/>
        <v>0.06054490414</v>
      </c>
      <c r="K694" s="973" t="str">
        <f>IF(J694&lt;'PlayerGrades+'!$AD$21,"F-",IF(J694&lt;'PlayerGrades+'!$AD$20,"F",IF(J694&lt;'PlayerGrades+'!$AD$19,"F+",IF(J694&lt;'PlayerGrades+'!$AD$18,"E-",IF(J694&lt;'PlayerGrades+'!$AD$17,"E",IF(J694&lt;'PlayerGrades+'!$AD$16,"E+",IF(J694&lt;'PlayerGrades+'!$AD$15,"D-",IF(J694&lt;'PlayerGrades+'!$AD$14,"D",IF(J694&lt;'PlayerGrades+'!$AD$13,"D+",IF(J694&lt;'PlayerGrades+'!$AD$12,"C-",IF(J694&lt;'PlayerGrades+'!$AD$11,"C",IF(J694&lt;'PlayerGrades+'!$AD$10,"C+",IF(J694&lt;'PlayerGrades+'!$AD$9,"B-",IF(J694&lt;'PlayerGrades+'!$AD$8,"B",IF(J694&lt;'PlayerGrades+'!$AD$7,"B+",IF(J694&lt;'PlayerGrades+'!$AD$6,"A-",IF(J694&lt;'PlayerGrades+'!$AD$5,"A",IF(J694&lt;'PlayerGrades+'!$AD$4,"A+",IF(J694&lt;'PlayerGrades+'!$AD$3,"S-",IF(J694&lt;'PlayerGrades+'!$AD$2,"S","S+"))))))))))))))))))))</f>
        <v>B+</v>
      </c>
      <c r="L694" s="974">
        <f t="shared" si="5"/>
        <v>0.4843592331</v>
      </c>
      <c r="M694" s="975" t="str">
        <f>IF(L694&lt;'PlayerGrades+'!$AE$21,"F-",IF(L694&lt;'PlayerGrades+'!$AE$20,"F",IF(L694&lt;'PlayerGrades+'!$AE$19,"F+",IF(L694&lt;'PlayerGrades+'!$AE$18,"E-",IF(L694&lt;'PlayerGrades+'!$AE$17,"E",IF(L694&lt;'PlayerGrades+'!$AE$16,"E+",IF(L694&lt;'PlayerGrades+'!$AE$15,"D-",IF(L694&lt;'PlayerGrades+'!$AE$14,"D",IF(L694&lt;'PlayerGrades+'!$AE$13,"D+",IF(L694&lt;'PlayerGrades+'!$AE$12,"C-",IF(L694&lt;'PlayerGrades+'!$AE$11,"C",IF(L694&lt;'PlayerGrades+'!$AE$10,"C+",IF(L694&lt;'PlayerGrades+'!$AE$9,"B-",IF(L694&lt;'PlayerGrades+'!$AE$8,"B",IF(L694&lt;'PlayerGrades+'!$AE$7,"B+",IF(L694&lt;'PlayerGrades+'!$AE$6,"A-",IF(L694&lt;'PlayerGrades+'!$AE$5,"A",IF(L694&lt;'PlayerGrades+'!$AE$4,"A+",IF(L694&lt;'PlayerGrades+'!$AE$3,"S-",IF(L694&lt;'PlayerGrades+'!$AE$2,"S","S+"))))))))))))))))))))</f>
        <v>B+</v>
      </c>
      <c r="N694" s="973">
        <f t="shared" si="6"/>
        <v>0</v>
      </c>
      <c r="O694" s="973" t="str">
        <f>IF(N694&lt;'PlayerGrades+'!$AF$21,"F-",IF(N694&lt;'PlayerGrades+'!$AF$20,"F",IF(N694&lt;'PlayerGrades+'!$AF$19,"F+",IF(N694&lt;'PlayerGrades+'!$AF$18,"E-",IF(N694&lt;'PlayerGrades+'!$AF$17,"E",IF(N694&lt;'PlayerGrades+'!$AF$16,"E+",IF(N694&lt;'PlayerGrades+'!$AF$15,"D-",IF(N694&lt;'PlayerGrades+'!$AF$14,"D",IF(N694&lt;'PlayerGrades+'!$AF$13,"D+",IF(N694&lt;'PlayerGrades+'!$AF$12,"C-",IF(N694&lt;'PlayerGrades+'!$AF$11,"C",IF(N694&lt;'PlayerGrades+'!$AF$10,"C+",IF(N694&lt;'PlayerGrades+'!$AF$9,"B-",IF(N694&lt;'PlayerGrades+'!$AF$8,"B",IF(N694&lt;'PlayerGrades+'!$AF$7,"B+",IF(N694&lt;'PlayerGrades+'!$AF$6,"A-",IF(N694&lt;'PlayerGrades+'!$AF$5,"A",IF(N694&lt;'PlayerGrades+'!$AF$4,"A+",IF(N694&lt;'PlayerGrades+'!$AF$3,"S-",IF(N694&lt;'PlayerGrades+'!$AF$2,"S","S+"))))))))))))))))))))</f>
        <v>F-</v>
      </c>
      <c r="P694" s="973">
        <f t="shared" si="7"/>
        <v>0.06054490414</v>
      </c>
      <c r="Q694" s="973" t="str">
        <f>IF(P694&lt;'PlayerGrades+'!$AG$21,"F-",IF(P694&lt;'PlayerGrades+'!$AG$20,"F",IF(P694&lt;'PlayerGrades+'!$AG$19,"F+",IF(P694&lt;'PlayerGrades+'!$AG$18,"E-",IF(P694&lt;'PlayerGrades+'!$AG$17,"E",IF(P694&lt;'PlayerGrades+'!$AG$16,"E+",IF(P694&lt;'PlayerGrades+'!$AG$15,"D-",IF(P694&lt;'PlayerGrades+'!$AG$14,"D",IF(P694&lt;'PlayerGrades+'!$AG$13,"D+",IF(P694&lt;'PlayerGrades+'!$AG$12,"C-",IF(P694&lt;'PlayerGrades+'!$AG$11,"C",IF(P694&lt;'PlayerGrades+'!$AG$10,"C+",IF(P694&lt;'PlayerGrades+'!$AG$9,"B-",IF(P694&lt;'PlayerGrades+'!$AG$8,"B",IF(P694&lt;'PlayerGrades+'!$AG$7,"B+",IF(P694&lt;'PlayerGrades+'!$AG$6,"A-",IF(P694&lt;'PlayerGrades+'!$AG$5,"A",IF(P694&lt;'PlayerGrades+'!$AG$4,"A+",IF(P694&lt;'PlayerGrades+'!$AG$3,"S-",IF(P694&lt;'PlayerGrades+'!$AG$2,"S","S+"))))))))))))))))))))</f>
        <v>A</v>
      </c>
      <c r="R694" s="973">
        <f t="shared" si="8"/>
        <v>0.423814329</v>
      </c>
      <c r="S694" s="973" t="str">
        <f>IF(R694&lt;'PlayerGrades+'!$AH$21,"F-",IF(R694&lt;'PlayerGrades+'!$AH$20,"F",IF(R694&lt;'PlayerGrades+'!$AH$19,"F+",IF(R694&lt;'PlayerGrades+'!$AH$18,"E-",IF(R694&lt;'PlayerGrades+'!$AH$17,"E",IF(R694&lt;'PlayerGrades+'!$AH$16,"E+",IF(R694&lt;'PlayerGrades+'!$AH$15,"D-",IF(R694&lt;'PlayerGrades+'!$AH$14,"D",IF(R694&lt;'PlayerGrades+'!$AH$13,"D+",IF(R694&lt;'PlayerGrades+'!$AH$12,"C-",IF(R694&lt;'PlayerGrades+'!$AH$11,"C",IF(R694&lt;'PlayerGrades+'!$AH$10,"C+",IF(R694&lt;'PlayerGrades+'!$AH$9,"B-",IF(R694&lt;'PlayerGrades+'!$AH$8,"B",IF(R694&lt;'PlayerGrades+'!$AH$7,"B+",IF(R694&lt;'PlayerGrades+'!$AH$6,"A-",IF(R694&lt;'PlayerGrades+'!$AH$5,"A",IF(R694&lt;'PlayerGrades+'!$AH$4,"A+",IF(R694&lt;'PlayerGrades+'!$AH$3,"S-",IF(R694&lt;'PlayerGrades+'!$AH$2,"S","S+"))))))))))))))))))))</f>
        <v>F+</v>
      </c>
      <c r="T694" s="973">
        <f t="shared" si="9"/>
        <v>0.423814329</v>
      </c>
      <c r="U694" s="973" t="str">
        <f>IF(T694&lt;'PlayerGrades+'!$AI$21,"F-",IF(T694&lt;'PlayerGrades+'!$AI$20,"F",IF(T694&lt;'PlayerGrades+'!$AI$19,"F+",IF(T694&lt;'PlayerGrades+'!$AI$18,"E-",IF(T694&lt;'PlayerGrades+'!$AI$17,"E",IF(T694&lt;'PlayerGrades+'!$AI$16,"E+",IF(T694&lt;'PlayerGrades+'!$AI$15,"D-",IF(T694&lt;'PlayerGrades+'!$AI$14,"D",IF(T694&lt;'PlayerGrades+'!$AI$13,"D+",IF(T694&lt;'PlayerGrades+'!$AI$12,"C-",IF(T694&lt;'PlayerGrades+'!$AI$11,"C",IF(T694&lt;'PlayerGrades+'!$AI$10,"C+",IF(T694&lt;'PlayerGrades+'!$AI$9,"B-",IF(T694&lt;'PlayerGrades+'!$AI$8,"B",IF(T694&lt;'PlayerGrades+'!$AI$7,"B+",IF(T694&lt;'PlayerGrades+'!$AI$6,"A-",IF(T694&lt;'PlayerGrades+'!$AI$5,"A",IF(T694&lt;'PlayerGrades+'!$AI$4,"A+",IF(T694&lt;'PlayerGrades+'!$AI$3,"S-",IF(T694&lt;'PlayerGrades+'!$AI$2,"S","S+"))))))))))))))))))))</f>
        <v>F-</v>
      </c>
      <c r="V694" s="941">
        <v>1.0</v>
      </c>
      <c r="W694" s="941">
        <v>0.0</v>
      </c>
      <c r="X694" s="941">
        <v>1.0</v>
      </c>
      <c r="Y694" s="941">
        <v>1.0</v>
      </c>
      <c r="Z694" s="941">
        <v>7.0</v>
      </c>
      <c r="AA694" s="941">
        <v>53.0</v>
      </c>
      <c r="AB694" s="941">
        <v>40.0</v>
      </c>
      <c r="AC694" s="941">
        <v>13.0</v>
      </c>
      <c r="AD694" s="941">
        <v>0.0</v>
      </c>
      <c r="AE694" s="941">
        <v>6.0</v>
      </c>
      <c r="AF694" s="941">
        <v>0.0</v>
      </c>
      <c r="AG694" s="941">
        <v>779.0</v>
      </c>
      <c r="AH694" s="941">
        <v>991.0</v>
      </c>
      <c r="AI694" s="941">
        <v>19.0</v>
      </c>
      <c r="AJ694" s="941">
        <v>234.0</v>
      </c>
      <c r="AK694" s="941">
        <v>0.0</v>
      </c>
      <c r="AL694" s="941">
        <v>1.0</v>
      </c>
      <c r="AM694" s="941">
        <v>0.0</v>
      </c>
      <c r="AN694" s="941">
        <v>0.0</v>
      </c>
      <c r="AO694" s="941">
        <v>0.0</v>
      </c>
      <c r="AP694" s="941">
        <v>1.0</v>
      </c>
      <c r="AQ694" s="941">
        <v>0.0</v>
      </c>
      <c r="AR694" s="941">
        <v>8.0</v>
      </c>
      <c r="AS694" s="941">
        <v>0.0</v>
      </c>
      <c r="AT694" s="941">
        <v>0.0</v>
      </c>
      <c r="AU694" s="941">
        <v>0.0</v>
      </c>
      <c r="AV694" s="941">
        <v>0.0</v>
      </c>
      <c r="AW694" s="941">
        <v>0.0</v>
      </c>
      <c r="AX694" s="941">
        <v>0.0</v>
      </c>
      <c r="AY694" s="941">
        <v>0.0</v>
      </c>
      <c r="AZ694" s="941">
        <v>0.0</v>
      </c>
      <c r="BA694" s="941">
        <v>0.0</v>
      </c>
      <c r="BB694" s="941">
        <v>1.0</v>
      </c>
      <c r="BC694" s="941">
        <v>0.0</v>
      </c>
      <c r="BD694" s="941">
        <v>7.0</v>
      </c>
      <c r="BE694" s="941">
        <v>7.0</v>
      </c>
      <c r="BF694" s="941">
        <v>0.0</v>
      </c>
      <c r="BG694" s="942">
        <v>0.0</v>
      </c>
    </row>
    <row r="695">
      <c r="A695" s="935" t="s">
        <v>132</v>
      </c>
      <c r="B695" s="421" t="str">
        <f>IF(C695&lt;'PlayerGrades+'!$Y$44,"F-",IF(C695&lt;'PlayerGrades+'!$Y$43,"F",IF(C695&lt;'PlayerGrades+'!$Y$42,"F+",IF(C695&lt;'PlayerGrades+'!$Y$41,"E-",IF(C695&lt;'PlayerGrades+'!$Y$40,"E",IF(C695&lt;'PlayerGrades+'!$Y$39,"E+",IF(C695&lt;'PlayerGrades+'!$Y$38,"D-",IF(C695&lt;'PlayerGrades+'!$Y$37,"D",IF(C695&lt;'PlayerGrades+'!$Y$36,"D+",IF(C695&lt;'PlayerGrades+'!$Y$35,"C-",IF(C695&lt;'PlayerGrades+'!$Y$34,"C",IF(C695&lt;'PlayerGrades+'!$Y$33,"C+",IF(C695&lt;'PlayerGrades+'!$Y$32,"B-",IF(C695&lt;'PlayerGrades+'!$Y$31,"B",IF(C695&lt;'PlayerGrades+'!$Y$30,"B+",IF(C695&lt;'PlayerGrades+'!$Y$29,"A-",IF(C695&lt;'PlayerGrades+'!$Y$28,"A",IF(C695&lt;'PlayerGrades+'!$Y$27,"A+",IF(C695&lt;'PlayerGrades+'!$Y$26,"S-",IF(C695&lt;'PlayerGrades+'!$Y$25,"S","S+"))))))))))))))))))))</f>
        <v>A</v>
      </c>
      <c r="C695" s="972">
        <f>('PlayerGrades+'!$Y$47*(VLOOKUP(E695, 'PlayerGrades+'!$X$3:$Y$23, 2, FALSE)))+('PlayerGrades+'!$Y$48*(VLOOKUP(G695, 'PlayerGrades+'!$X$3:$Y$23, 2, FALSE)))+('PlayerGrades+'!$Y$49*(VLOOKUP(I695, 'PlayerGrades+'!$X$3:$Y$23, 2, FALSE)))+('PlayerGrades+'!$Y$50*(VLOOKUP(K695, 'PlayerGrades+'!$X$3:$Y$23, 2, FALSE)))+('PlayerGrades+'!$Y$51*(VLOOKUP(M695, 'PlayerGrades+'!$X$3:$Y$23, 2, FALSE)))+('PlayerGrades+'!$Y$52*(VLOOKUP(O695, 'PlayerGrades+'!$X$3:$Y$23, 2, FALSE)))+('PlayerGrades+'!$Y$53*(VLOOKUP(Q695, 'PlayerGrades+'!$X$3:$Y$23, 2, FALSE)))+('PlayerGrades+'!$Y$54*(VLOOKUP(S695, 'PlayerGrades+'!$X$3:$Y$23, 2, FALSE)))+('PlayerGrades+'!$Y$55*(VLOOKUP(U695, 'PlayerGrades+'!$X$3:$Y$23, 2, FALSE)))</f>
        <v>28.1</v>
      </c>
      <c r="D695" s="973">
        <f t="shared" si="1"/>
        <v>0.3632694248</v>
      </c>
      <c r="E695" s="973" t="str">
        <f>IF(D695&lt;'PlayerGrades+'!$AA$21,"F-",IF(D695&lt;'PlayerGrades+'!$AA$20,"F",IF(D695&lt;'PlayerGrades+'!$AA$19,"F+",IF(D695&lt;'PlayerGrades+'!$AA$18,"E-",IF(D695&lt;'PlayerGrades+'!$AA$17,"E",IF(D695&lt;'PlayerGrades+'!$AA$16,"E+",IF(D695&lt;'PlayerGrades+'!$AA$15,"D-",IF(D695&lt;'PlayerGrades+'!$AA$14,"D",IF(D695&lt;'PlayerGrades+'!$AA$13,"D+",IF(D695&lt;'PlayerGrades+'!$AA$12,"C-",IF(D695&lt;'PlayerGrades+'!$AA$11,"C",IF(D695&lt;'PlayerGrades+'!$AA$10,"C+",IF(D695&lt;'PlayerGrades+'!$AA$9,"B-",IF(D695&lt;'PlayerGrades+'!$AA$8,"B",IF(D695&lt;'PlayerGrades+'!$AA$7,"B+",IF(D695&lt;'PlayerGrades+'!$AA$6,"A-",IF(D695&lt;'PlayerGrades+'!$AA$5,"A",IF(D695&lt;'PlayerGrades+'!$AA$4,"A+",IF(D695&lt;'PlayerGrades+'!$AA$3,"S-",IF(D695&lt;'PlayerGrades+'!$AA$2,"S","S+"))))))))))))))))))))</f>
        <v>A</v>
      </c>
      <c r="F695" s="973">
        <f t="shared" si="2"/>
        <v>0.2421796165</v>
      </c>
      <c r="G695" s="973" t="str">
        <f>IF(F695&lt;'PlayerGrades+'!$AB$21,"F-",IF(F695&lt;'PlayerGrades+'!$AB$20,"F",IF(F695&lt;'PlayerGrades+'!$AB$19,"F+",IF(F695&lt;'PlayerGrades+'!$AB$18,"E-",IF(F695&lt;'PlayerGrades+'!$AB$17,"E",IF(F695&lt;'PlayerGrades+'!$AB$16,"E+",IF(F695&lt;'PlayerGrades+'!$AB$15,"D-",IF(F695&lt;'PlayerGrades+'!$AB$14,"D",IF(F695&lt;'PlayerGrades+'!$AB$13,"D+",IF(F695&lt;'PlayerGrades+'!$AB$12,"C-",IF(F695&lt;'PlayerGrades+'!$AB$11,"C",IF(F695&lt;'PlayerGrades+'!$AB$10,"C+",IF(F695&lt;'PlayerGrades+'!$AB$9,"B-",IF(F695&lt;'PlayerGrades+'!$AB$8,"B",IF(F695&lt;'PlayerGrades+'!$AB$7,"B+",IF(F695&lt;'PlayerGrades+'!$AB$6,"A-",IF(F695&lt;'PlayerGrades+'!$AB$5,"A",IF(F695&lt;'PlayerGrades+'!$AB$4,"A+",IF(F695&lt;'PlayerGrades+'!$AB$3,"S-",IF(F695&lt;'PlayerGrades+'!$AB$2,"S","S+"))))))))))))))))))))</f>
        <v>B+</v>
      </c>
      <c r="H695" s="973">
        <f t="shared" si="3"/>
        <v>0.06054490414</v>
      </c>
      <c r="I695" s="973" t="str">
        <f>IF(H695&lt;'PlayerGrades+'!$AC$21,"F-",IF(H695&lt;'PlayerGrades+'!$AC$20,"F",IF(H695&lt;'PlayerGrades+'!$AC$19,"F+",IF(H695&lt;'PlayerGrades+'!$AC$18,"E-",IF(H695&lt;'PlayerGrades+'!$AC$17,"E",IF(H695&lt;'PlayerGrades+'!$AC$16,"E+",IF(H695&lt;'PlayerGrades+'!$AC$15,"D-",IF(H695&lt;'PlayerGrades+'!$AC$14,"D",IF(H695&lt;'PlayerGrades+'!$AC$13,"D+",IF(H695&lt;'PlayerGrades+'!$AC$12,"C-",IF(H695&lt;'PlayerGrades+'!$AC$11,"C",IF(H695&lt;'PlayerGrades+'!$AC$10,"C+",IF(H695&lt;'PlayerGrades+'!$AC$9,"B-",IF(H695&lt;'PlayerGrades+'!$AC$8,"B",IF(H695&lt;'PlayerGrades+'!$AC$7,"B+",IF(H695&lt;'PlayerGrades+'!$AC$6,"A-",IF(H695&lt;'PlayerGrades+'!$AC$5,"A",IF(H695&lt;'PlayerGrades+'!$AC$4,"A+",IF(H695&lt;'PlayerGrades+'!$AC$3,"S-",IF(H695&lt;'PlayerGrades+'!$AC$2,"S","S+"))))))))))))))))))))</f>
        <v>E-</v>
      </c>
      <c r="J695" s="973">
        <f t="shared" si="4"/>
        <v>0.06054490414</v>
      </c>
      <c r="K695" s="973" t="str">
        <f>IF(J695&lt;'PlayerGrades+'!$AD$21,"F-",IF(J695&lt;'PlayerGrades+'!$AD$20,"F",IF(J695&lt;'PlayerGrades+'!$AD$19,"F+",IF(J695&lt;'PlayerGrades+'!$AD$18,"E-",IF(J695&lt;'PlayerGrades+'!$AD$17,"E",IF(J695&lt;'PlayerGrades+'!$AD$16,"E+",IF(J695&lt;'PlayerGrades+'!$AD$15,"D-",IF(J695&lt;'PlayerGrades+'!$AD$14,"D",IF(J695&lt;'PlayerGrades+'!$AD$13,"D+",IF(J695&lt;'PlayerGrades+'!$AD$12,"C-",IF(J695&lt;'PlayerGrades+'!$AD$11,"C",IF(J695&lt;'PlayerGrades+'!$AD$10,"C+",IF(J695&lt;'PlayerGrades+'!$AD$9,"B-",IF(J695&lt;'PlayerGrades+'!$AD$8,"B",IF(J695&lt;'PlayerGrades+'!$AD$7,"B+",IF(J695&lt;'PlayerGrades+'!$AD$6,"A-",IF(J695&lt;'PlayerGrades+'!$AD$5,"A",IF(J695&lt;'PlayerGrades+'!$AD$4,"A+",IF(J695&lt;'PlayerGrades+'!$AD$3,"S-",IF(J695&lt;'PlayerGrades+'!$AD$2,"S","S+"))))))))))))))))))))</f>
        <v>B+</v>
      </c>
      <c r="L695" s="974">
        <f t="shared" si="5"/>
        <v>0.6054490414</v>
      </c>
      <c r="M695" s="975" t="str">
        <f>IF(L695&lt;'PlayerGrades+'!$AE$21,"F-",IF(L695&lt;'PlayerGrades+'!$AE$20,"F",IF(L695&lt;'PlayerGrades+'!$AE$19,"F+",IF(L695&lt;'PlayerGrades+'!$AE$18,"E-",IF(L695&lt;'PlayerGrades+'!$AE$17,"E",IF(L695&lt;'PlayerGrades+'!$AE$16,"E+",IF(L695&lt;'PlayerGrades+'!$AE$15,"D-",IF(L695&lt;'PlayerGrades+'!$AE$14,"D",IF(L695&lt;'PlayerGrades+'!$AE$13,"D+",IF(L695&lt;'PlayerGrades+'!$AE$12,"C-",IF(L695&lt;'PlayerGrades+'!$AE$11,"C",IF(L695&lt;'PlayerGrades+'!$AE$10,"C+",IF(L695&lt;'PlayerGrades+'!$AE$9,"B-",IF(L695&lt;'PlayerGrades+'!$AE$8,"B",IF(L695&lt;'PlayerGrades+'!$AE$7,"B+",IF(L695&lt;'PlayerGrades+'!$AE$6,"A-",IF(L695&lt;'PlayerGrades+'!$AE$5,"A",IF(L695&lt;'PlayerGrades+'!$AE$4,"A+",IF(L695&lt;'PlayerGrades+'!$AE$3,"S-",IF(L695&lt;'PlayerGrades+'!$AE$2,"S","S+"))))))))))))))))))))</f>
        <v>A+</v>
      </c>
      <c r="N695" s="973">
        <f t="shared" si="6"/>
        <v>0.1816347124</v>
      </c>
      <c r="O695" s="973" t="str">
        <f>IF(N695&lt;'PlayerGrades+'!$AF$21,"F-",IF(N695&lt;'PlayerGrades+'!$AF$20,"F",IF(N695&lt;'PlayerGrades+'!$AF$19,"F+",IF(N695&lt;'PlayerGrades+'!$AF$18,"E-",IF(N695&lt;'PlayerGrades+'!$AF$17,"E",IF(N695&lt;'PlayerGrades+'!$AF$16,"E+",IF(N695&lt;'PlayerGrades+'!$AF$15,"D-",IF(N695&lt;'PlayerGrades+'!$AF$14,"D",IF(N695&lt;'PlayerGrades+'!$AF$13,"D+",IF(N695&lt;'PlayerGrades+'!$AF$12,"C-",IF(N695&lt;'PlayerGrades+'!$AF$11,"C",IF(N695&lt;'PlayerGrades+'!$AF$10,"C+",IF(N695&lt;'PlayerGrades+'!$AF$9,"B-",IF(N695&lt;'PlayerGrades+'!$AF$8,"B",IF(N695&lt;'PlayerGrades+'!$AF$7,"B+",IF(N695&lt;'PlayerGrades+'!$AF$6,"A-",IF(N695&lt;'PlayerGrades+'!$AF$5,"A",IF(N695&lt;'PlayerGrades+'!$AF$4,"A+",IF(N695&lt;'PlayerGrades+'!$AF$3,"S-",IF(N695&lt;'PlayerGrades+'!$AF$2,"S","S+"))))))))))))))))))))</f>
        <v>S+</v>
      </c>
      <c r="P695" s="973">
        <f t="shared" si="7"/>
        <v>0.06054490414</v>
      </c>
      <c r="Q695" s="973" t="str">
        <f>IF(P695&lt;'PlayerGrades+'!$AG$21,"F-",IF(P695&lt;'PlayerGrades+'!$AG$20,"F",IF(P695&lt;'PlayerGrades+'!$AG$19,"F+",IF(P695&lt;'PlayerGrades+'!$AG$18,"E-",IF(P695&lt;'PlayerGrades+'!$AG$17,"E",IF(P695&lt;'PlayerGrades+'!$AG$16,"E+",IF(P695&lt;'PlayerGrades+'!$AG$15,"D-",IF(P695&lt;'PlayerGrades+'!$AG$14,"D",IF(P695&lt;'PlayerGrades+'!$AG$13,"D+",IF(P695&lt;'PlayerGrades+'!$AG$12,"C-",IF(P695&lt;'PlayerGrades+'!$AG$11,"C",IF(P695&lt;'PlayerGrades+'!$AG$10,"C+",IF(P695&lt;'PlayerGrades+'!$AG$9,"B-",IF(P695&lt;'PlayerGrades+'!$AG$8,"B",IF(P695&lt;'PlayerGrades+'!$AG$7,"B+",IF(P695&lt;'PlayerGrades+'!$AG$6,"A-",IF(P695&lt;'PlayerGrades+'!$AG$5,"A",IF(P695&lt;'PlayerGrades+'!$AG$4,"A+",IF(P695&lt;'PlayerGrades+'!$AG$3,"S-",IF(P695&lt;'PlayerGrades+'!$AG$2,"S","S+"))))))))))))))))))))</f>
        <v>A</v>
      </c>
      <c r="R695" s="973">
        <f t="shared" si="8"/>
        <v>1.02926337</v>
      </c>
      <c r="S695" s="973" t="str">
        <f>IF(R695&lt;'PlayerGrades+'!$AH$21,"F-",IF(R695&lt;'PlayerGrades+'!$AH$20,"F",IF(R695&lt;'PlayerGrades+'!$AH$19,"F+",IF(R695&lt;'PlayerGrades+'!$AH$18,"E-",IF(R695&lt;'PlayerGrades+'!$AH$17,"E",IF(R695&lt;'PlayerGrades+'!$AH$16,"E+",IF(R695&lt;'PlayerGrades+'!$AH$15,"D-",IF(R695&lt;'PlayerGrades+'!$AH$14,"D",IF(R695&lt;'PlayerGrades+'!$AH$13,"D+",IF(R695&lt;'PlayerGrades+'!$AH$12,"C-",IF(R695&lt;'PlayerGrades+'!$AH$11,"C",IF(R695&lt;'PlayerGrades+'!$AH$10,"C+",IF(R695&lt;'PlayerGrades+'!$AH$9,"B-",IF(R695&lt;'PlayerGrades+'!$AH$8,"B",IF(R695&lt;'PlayerGrades+'!$AH$7,"B+",IF(R695&lt;'PlayerGrades+'!$AH$6,"A-",IF(R695&lt;'PlayerGrades+'!$AH$5,"A",IF(R695&lt;'PlayerGrades+'!$AH$4,"A+",IF(R695&lt;'PlayerGrades+'!$AH$3,"S-",IF(R695&lt;'PlayerGrades+'!$AH$2,"S","S+"))))))))))))))))))))</f>
        <v>S+</v>
      </c>
      <c r="T695" s="973">
        <f t="shared" si="9"/>
        <v>0.3027245207</v>
      </c>
      <c r="U695" s="973" t="str">
        <f>IF(T695&lt;'PlayerGrades+'!$AI$21,"F-",IF(T695&lt;'PlayerGrades+'!$AI$20,"F",IF(T695&lt;'PlayerGrades+'!$AI$19,"F+",IF(T695&lt;'PlayerGrades+'!$AI$18,"E-",IF(T695&lt;'PlayerGrades+'!$AI$17,"E",IF(T695&lt;'PlayerGrades+'!$AI$16,"E+",IF(T695&lt;'PlayerGrades+'!$AI$15,"D-",IF(T695&lt;'PlayerGrades+'!$AI$14,"D",IF(T695&lt;'PlayerGrades+'!$AI$13,"D+",IF(T695&lt;'PlayerGrades+'!$AI$12,"C-",IF(T695&lt;'PlayerGrades+'!$AI$11,"C",IF(T695&lt;'PlayerGrades+'!$AI$10,"C+",IF(T695&lt;'PlayerGrades+'!$AI$9,"B-",IF(T695&lt;'PlayerGrades+'!$AI$8,"B",IF(T695&lt;'PlayerGrades+'!$AI$7,"B+",IF(T695&lt;'PlayerGrades+'!$AI$6,"A-",IF(T695&lt;'PlayerGrades+'!$AI$5,"A",IF(T695&lt;'PlayerGrades+'!$AI$4,"A+",IF(T695&lt;'PlayerGrades+'!$AI$3,"S-",IF(T695&lt;'PlayerGrades+'!$AI$2,"S","S+"))))))))))))))))))))</f>
        <v>F-</v>
      </c>
      <c r="V695" s="941">
        <v>1.0</v>
      </c>
      <c r="W695" s="941">
        <v>0.0</v>
      </c>
      <c r="X695" s="941">
        <v>1.0</v>
      </c>
      <c r="Y695" s="941">
        <v>1.0</v>
      </c>
      <c r="Z695" s="941">
        <v>5.0</v>
      </c>
      <c r="AA695" s="941">
        <v>63.0</v>
      </c>
      <c r="AB695" s="941">
        <v>59.0</v>
      </c>
      <c r="AC695" s="941">
        <v>4.0</v>
      </c>
      <c r="AD695" s="941">
        <v>7.0</v>
      </c>
      <c r="AE695" s="941">
        <v>5.0</v>
      </c>
      <c r="AF695" s="941">
        <v>1.0</v>
      </c>
      <c r="AG695" s="941">
        <v>721.0</v>
      </c>
      <c r="AH695" s="941">
        <v>991.0</v>
      </c>
      <c r="AI695" s="941">
        <v>12.0</v>
      </c>
      <c r="AJ695" s="941">
        <v>74.0</v>
      </c>
      <c r="AK695" s="941">
        <v>0.0</v>
      </c>
      <c r="AL695" s="941">
        <v>1.0</v>
      </c>
      <c r="AM695" s="941">
        <v>0.0</v>
      </c>
      <c r="AN695" s="941">
        <v>0.0</v>
      </c>
      <c r="AO695" s="941">
        <v>0.0</v>
      </c>
      <c r="AP695" s="941">
        <v>1.0</v>
      </c>
      <c r="AQ695" s="941">
        <v>0.0</v>
      </c>
      <c r="AR695" s="941">
        <v>10.0</v>
      </c>
      <c r="AS695" s="941">
        <v>3.0</v>
      </c>
      <c r="AT695" s="941">
        <v>1.0</v>
      </c>
      <c r="AU695" s="941">
        <v>0.0</v>
      </c>
      <c r="AV695" s="941">
        <v>0.0</v>
      </c>
      <c r="AW695" s="941">
        <v>0.0</v>
      </c>
      <c r="AX695" s="941">
        <v>0.0</v>
      </c>
      <c r="AY695" s="941">
        <v>0.0</v>
      </c>
      <c r="AZ695" s="941">
        <v>0.0</v>
      </c>
      <c r="BA695" s="941">
        <v>0.0</v>
      </c>
      <c r="BB695" s="941">
        <v>1.0</v>
      </c>
      <c r="BC695" s="941">
        <v>0.0</v>
      </c>
      <c r="BD695" s="941">
        <v>10.0</v>
      </c>
      <c r="BE695" s="941">
        <v>5.0</v>
      </c>
      <c r="BF695" s="941">
        <v>0.0</v>
      </c>
      <c r="BG695" s="942">
        <v>0.0</v>
      </c>
    </row>
    <row r="696">
      <c r="A696" s="935" t="s">
        <v>147</v>
      </c>
      <c r="B696" s="421" t="str">
        <f>IF(C696&lt;'PlayerGrades+'!$Y$44,"F-",IF(C696&lt;'PlayerGrades+'!$Y$43,"F",IF(C696&lt;'PlayerGrades+'!$Y$42,"F+",IF(C696&lt;'PlayerGrades+'!$Y$41,"E-",IF(C696&lt;'PlayerGrades+'!$Y$40,"E",IF(C696&lt;'PlayerGrades+'!$Y$39,"E+",IF(C696&lt;'PlayerGrades+'!$Y$38,"D-",IF(C696&lt;'PlayerGrades+'!$Y$37,"D",IF(C696&lt;'PlayerGrades+'!$Y$36,"D+",IF(C696&lt;'PlayerGrades+'!$Y$35,"C-",IF(C696&lt;'PlayerGrades+'!$Y$34,"C",IF(C696&lt;'PlayerGrades+'!$Y$33,"C+",IF(C696&lt;'PlayerGrades+'!$Y$32,"B-",IF(C696&lt;'PlayerGrades+'!$Y$31,"B",IF(C696&lt;'PlayerGrades+'!$Y$30,"B+",IF(C696&lt;'PlayerGrades+'!$Y$29,"A-",IF(C696&lt;'PlayerGrades+'!$Y$28,"A",IF(C696&lt;'PlayerGrades+'!$Y$27,"A+",IF(C696&lt;'PlayerGrades+'!$Y$26,"S-",IF(C696&lt;'PlayerGrades+'!$Y$25,"S","S+"))))))))))))))))))))</f>
        <v>F+</v>
      </c>
      <c r="C696" s="972">
        <f>('PlayerGrades+'!$Y$47*(VLOOKUP(E696, 'PlayerGrades+'!$X$3:$Y$23, 2, FALSE)))+('PlayerGrades+'!$Y$48*(VLOOKUP(G696, 'PlayerGrades+'!$X$3:$Y$23, 2, FALSE)))+('PlayerGrades+'!$Y$49*(VLOOKUP(I696, 'PlayerGrades+'!$X$3:$Y$23, 2, FALSE)))+('PlayerGrades+'!$Y$50*(VLOOKUP(K696, 'PlayerGrades+'!$X$3:$Y$23, 2, FALSE)))+('PlayerGrades+'!$Y$51*(VLOOKUP(M696, 'PlayerGrades+'!$X$3:$Y$23, 2, FALSE)))+('PlayerGrades+'!$Y$52*(VLOOKUP(O696, 'PlayerGrades+'!$X$3:$Y$23, 2, FALSE)))+('PlayerGrades+'!$Y$53*(VLOOKUP(Q696, 'PlayerGrades+'!$X$3:$Y$23, 2, FALSE)))+('PlayerGrades+'!$Y$54*(VLOOKUP(S696, 'PlayerGrades+'!$X$3:$Y$23, 2, FALSE)))+('PlayerGrades+'!$Y$55*(VLOOKUP(U696, 'PlayerGrades+'!$X$3:$Y$23, 2, FALSE)))</f>
        <v>10.75</v>
      </c>
      <c r="D696" s="973">
        <f t="shared" si="1"/>
        <v>0</v>
      </c>
      <c r="E696" s="973" t="str">
        <f>IF(D696&lt;'PlayerGrades+'!$AA$21,"F-",IF(D696&lt;'PlayerGrades+'!$AA$20,"F",IF(D696&lt;'PlayerGrades+'!$AA$19,"F+",IF(D696&lt;'PlayerGrades+'!$AA$18,"E-",IF(D696&lt;'PlayerGrades+'!$AA$17,"E",IF(D696&lt;'PlayerGrades+'!$AA$16,"E+",IF(D696&lt;'PlayerGrades+'!$AA$15,"D-",IF(D696&lt;'PlayerGrades+'!$AA$14,"D",IF(D696&lt;'PlayerGrades+'!$AA$13,"D+",IF(D696&lt;'PlayerGrades+'!$AA$12,"C-",IF(D696&lt;'PlayerGrades+'!$AA$11,"C",IF(D696&lt;'PlayerGrades+'!$AA$10,"C+",IF(D696&lt;'PlayerGrades+'!$AA$9,"B-",IF(D696&lt;'PlayerGrades+'!$AA$8,"B",IF(D696&lt;'PlayerGrades+'!$AA$7,"B+",IF(D696&lt;'PlayerGrades+'!$AA$6,"A-",IF(D696&lt;'PlayerGrades+'!$AA$5,"A",IF(D696&lt;'PlayerGrades+'!$AA$4,"A+",IF(D696&lt;'PlayerGrades+'!$AA$3,"S-",IF(D696&lt;'PlayerGrades+'!$AA$2,"S","S+"))))))))))))))))))))</f>
        <v>F-</v>
      </c>
      <c r="F696" s="973">
        <f t="shared" si="2"/>
        <v>-0.8476286579</v>
      </c>
      <c r="G696" s="973" t="str">
        <f>IF(F696&lt;'PlayerGrades+'!$AB$21,"F-",IF(F696&lt;'PlayerGrades+'!$AB$20,"F",IF(F696&lt;'PlayerGrades+'!$AB$19,"F+",IF(F696&lt;'PlayerGrades+'!$AB$18,"E-",IF(F696&lt;'PlayerGrades+'!$AB$17,"E",IF(F696&lt;'PlayerGrades+'!$AB$16,"E+",IF(F696&lt;'PlayerGrades+'!$AB$15,"D-",IF(F696&lt;'PlayerGrades+'!$AB$14,"D",IF(F696&lt;'PlayerGrades+'!$AB$13,"D+",IF(F696&lt;'PlayerGrades+'!$AB$12,"C-",IF(F696&lt;'PlayerGrades+'!$AB$11,"C",IF(F696&lt;'PlayerGrades+'!$AB$10,"C+",IF(F696&lt;'PlayerGrades+'!$AB$9,"B-",IF(F696&lt;'PlayerGrades+'!$AB$8,"B",IF(F696&lt;'PlayerGrades+'!$AB$7,"B+",IF(F696&lt;'PlayerGrades+'!$AB$6,"A-",IF(F696&lt;'PlayerGrades+'!$AB$5,"A",IF(F696&lt;'PlayerGrades+'!$AB$4,"A+",IF(F696&lt;'PlayerGrades+'!$AB$3,"S-",IF(F696&lt;'PlayerGrades+'!$AB$2,"S","S+"))))))))))))))))))))</f>
        <v>E</v>
      </c>
      <c r="H696" s="973">
        <f t="shared" si="3"/>
        <v>0.2421796165</v>
      </c>
      <c r="I696" s="973" t="str">
        <f>IF(H696&lt;'PlayerGrades+'!$AC$21,"F-",IF(H696&lt;'PlayerGrades+'!$AC$20,"F",IF(H696&lt;'PlayerGrades+'!$AC$19,"F+",IF(H696&lt;'PlayerGrades+'!$AC$18,"E-",IF(H696&lt;'PlayerGrades+'!$AC$17,"E",IF(H696&lt;'PlayerGrades+'!$AC$16,"E+",IF(H696&lt;'PlayerGrades+'!$AC$15,"D-",IF(H696&lt;'PlayerGrades+'!$AC$14,"D",IF(H696&lt;'PlayerGrades+'!$AC$13,"D+",IF(H696&lt;'PlayerGrades+'!$AC$12,"C-",IF(H696&lt;'PlayerGrades+'!$AC$11,"C",IF(H696&lt;'PlayerGrades+'!$AC$10,"C+",IF(H696&lt;'PlayerGrades+'!$AC$9,"B-",IF(H696&lt;'PlayerGrades+'!$AC$8,"B",IF(H696&lt;'PlayerGrades+'!$AC$7,"B+",IF(H696&lt;'PlayerGrades+'!$AC$6,"A-",IF(H696&lt;'PlayerGrades+'!$AC$5,"A",IF(H696&lt;'PlayerGrades+'!$AC$4,"A+",IF(H696&lt;'PlayerGrades+'!$AC$3,"S-",IF(H696&lt;'PlayerGrades+'!$AC$2,"S","S+"))))))))))))))))))))</f>
        <v>S</v>
      </c>
      <c r="J696" s="973">
        <f t="shared" si="4"/>
        <v>0</v>
      </c>
      <c r="K696" s="973" t="str">
        <f>IF(J696&lt;'PlayerGrades+'!$AD$21,"F-",IF(J696&lt;'PlayerGrades+'!$AD$20,"F",IF(J696&lt;'PlayerGrades+'!$AD$19,"F+",IF(J696&lt;'PlayerGrades+'!$AD$18,"E-",IF(J696&lt;'PlayerGrades+'!$AD$17,"E",IF(J696&lt;'PlayerGrades+'!$AD$16,"E+",IF(J696&lt;'PlayerGrades+'!$AD$15,"D-",IF(J696&lt;'PlayerGrades+'!$AD$14,"D",IF(J696&lt;'PlayerGrades+'!$AD$13,"D+",IF(J696&lt;'PlayerGrades+'!$AD$12,"C-",IF(J696&lt;'PlayerGrades+'!$AD$11,"C",IF(J696&lt;'PlayerGrades+'!$AD$10,"C+",IF(J696&lt;'PlayerGrades+'!$AD$9,"B-",IF(J696&lt;'PlayerGrades+'!$AD$8,"B",IF(J696&lt;'PlayerGrades+'!$AD$7,"B+",IF(J696&lt;'PlayerGrades+'!$AD$6,"A-",IF(J696&lt;'PlayerGrades+'!$AD$5,"A",IF(J696&lt;'PlayerGrades+'!$AD$4,"A+",IF(J696&lt;'PlayerGrades+'!$AD$3,"S-",IF(J696&lt;'PlayerGrades+'!$AD$2,"S","S+"))))))))))))))))))))</f>
        <v>F-</v>
      </c>
      <c r="L696" s="974">
        <f t="shared" si="5"/>
        <v>0.2421796165</v>
      </c>
      <c r="M696" s="975" t="str">
        <f>IF(L696&lt;'PlayerGrades+'!$AE$21,"F-",IF(L696&lt;'PlayerGrades+'!$AE$20,"F",IF(L696&lt;'PlayerGrades+'!$AE$19,"F+",IF(L696&lt;'PlayerGrades+'!$AE$18,"E-",IF(L696&lt;'PlayerGrades+'!$AE$17,"E",IF(L696&lt;'PlayerGrades+'!$AE$16,"E+",IF(L696&lt;'PlayerGrades+'!$AE$15,"D-",IF(L696&lt;'PlayerGrades+'!$AE$14,"D",IF(L696&lt;'PlayerGrades+'!$AE$13,"D+",IF(L696&lt;'PlayerGrades+'!$AE$12,"C-",IF(L696&lt;'PlayerGrades+'!$AE$11,"C",IF(L696&lt;'PlayerGrades+'!$AE$10,"C+",IF(L696&lt;'PlayerGrades+'!$AE$9,"B-",IF(L696&lt;'PlayerGrades+'!$AE$8,"B",IF(L696&lt;'PlayerGrades+'!$AE$7,"B+",IF(L696&lt;'PlayerGrades+'!$AE$6,"A-",IF(L696&lt;'PlayerGrades+'!$AE$5,"A",IF(L696&lt;'PlayerGrades+'!$AE$4,"A+",IF(L696&lt;'PlayerGrades+'!$AE$3,"S-",IF(L696&lt;'PlayerGrades+'!$AE$2,"S","S+"))))))))))))))))))))</f>
        <v>F</v>
      </c>
      <c r="N696" s="973">
        <f t="shared" si="6"/>
        <v>0</v>
      </c>
      <c r="O696" s="973" t="str">
        <f>IF(N696&lt;'PlayerGrades+'!$AF$21,"F-",IF(N696&lt;'PlayerGrades+'!$AF$20,"F",IF(N696&lt;'PlayerGrades+'!$AF$19,"F+",IF(N696&lt;'PlayerGrades+'!$AF$18,"E-",IF(N696&lt;'PlayerGrades+'!$AF$17,"E",IF(N696&lt;'PlayerGrades+'!$AF$16,"E+",IF(N696&lt;'PlayerGrades+'!$AF$15,"D-",IF(N696&lt;'PlayerGrades+'!$AF$14,"D",IF(N696&lt;'PlayerGrades+'!$AF$13,"D+",IF(N696&lt;'PlayerGrades+'!$AF$12,"C-",IF(N696&lt;'PlayerGrades+'!$AF$11,"C",IF(N696&lt;'PlayerGrades+'!$AF$10,"C+",IF(N696&lt;'PlayerGrades+'!$AF$9,"B-",IF(N696&lt;'PlayerGrades+'!$AF$8,"B",IF(N696&lt;'PlayerGrades+'!$AF$7,"B+",IF(N696&lt;'PlayerGrades+'!$AF$6,"A-",IF(N696&lt;'PlayerGrades+'!$AF$5,"A",IF(N696&lt;'PlayerGrades+'!$AF$4,"A+",IF(N696&lt;'PlayerGrades+'!$AF$3,"S-",IF(N696&lt;'PlayerGrades+'!$AF$2,"S","S+"))))))))))))))))))))</f>
        <v>F-</v>
      </c>
      <c r="P696" s="973">
        <f t="shared" si="7"/>
        <v>0</v>
      </c>
      <c r="Q696" s="973" t="str">
        <f>IF(P696&lt;'PlayerGrades+'!$AG$21,"F-",IF(P696&lt;'PlayerGrades+'!$AG$20,"F",IF(P696&lt;'PlayerGrades+'!$AG$19,"F+",IF(P696&lt;'PlayerGrades+'!$AG$18,"E-",IF(P696&lt;'PlayerGrades+'!$AG$17,"E",IF(P696&lt;'PlayerGrades+'!$AG$16,"E+",IF(P696&lt;'PlayerGrades+'!$AG$15,"D-",IF(P696&lt;'PlayerGrades+'!$AG$14,"D",IF(P696&lt;'PlayerGrades+'!$AG$13,"D+",IF(P696&lt;'PlayerGrades+'!$AG$12,"C-",IF(P696&lt;'PlayerGrades+'!$AG$11,"C",IF(P696&lt;'PlayerGrades+'!$AG$10,"C+",IF(P696&lt;'PlayerGrades+'!$AG$9,"B-",IF(P696&lt;'PlayerGrades+'!$AG$8,"B",IF(P696&lt;'PlayerGrades+'!$AG$7,"B+",IF(P696&lt;'PlayerGrades+'!$AG$6,"A-",IF(P696&lt;'PlayerGrades+'!$AG$5,"A",IF(P696&lt;'PlayerGrades+'!$AG$4,"A+",IF(P696&lt;'PlayerGrades+'!$AG$3,"S-",IF(P696&lt;'PlayerGrades+'!$AG$2,"S","S+"))))))))))))))))))))</f>
        <v>F</v>
      </c>
      <c r="R696" s="973">
        <f t="shared" si="8"/>
        <v>0.3632694248</v>
      </c>
      <c r="S696" s="973" t="str">
        <f>IF(R696&lt;'PlayerGrades+'!$AH$21,"F-",IF(R696&lt;'PlayerGrades+'!$AH$20,"F",IF(R696&lt;'PlayerGrades+'!$AH$19,"F+",IF(R696&lt;'PlayerGrades+'!$AH$18,"E-",IF(R696&lt;'PlayerGrades+'!$AH$17,"E",IF(R696&lt;'PlayerGrades+'!$AH$16,"E+",IF(R696&lt;'PlayerGrades+'!$AH$15,"D-",IF(R696&lt;'PlayerGrades+'!$AH$14,"D",IF(R696&lt;'PlayerGrades+'!$AH$13,"D+",IF(R696&lt;'PlayerGrades+'!$AH$12,"C-",IF(R696&lt;'PlayerGrades+'!$AH$11,"C",IF(R696&lt;'PlayerGrades+'!$AH$10,"C+",IF(R696&lt;'PlayerGrades+'!$AH$9,"B-",IF(R696&lt;'PlayerGrades+'!$AH$8,"B",IF(R696&lt;'PlayerGrades+'!$AH$7,"B+",IF(R696&lt;'PlayerGrades+'!$AH$6,"A-",IF(R696&lt;'PlayerGrades+'!$AH$5,"A",IF(R696&lt;'PlayerGrades+'!$AH$4,"A+",IF(R696&lt;'PlayerGrades+'!$AH$3,"S-",IF(R696&lt;'PlayerGrades+'!$AH$2,"S","S+"))))))))))))))))))))</f>
        <v>F</v>
      </c>
      <c r="T696" s="973">
        <f t="shared" si="9"/>
        <v>3.423814329</v>
      </c>
      <c r="U696" s="973" t="str">
        <f>IF(T696&lt;'PlayerGrades+'!$AI$21,"F-",IF(T696&lt;'PlayerGrades+'!$AI$20,"F",IF(T696&lt;'PlayerGrades+'!$AI$19,"F+",IF(T696&lt;'PlayerGrades+'!$AI$18,"E-",IF(T696&lt;'PlayerGrades+'!$AI$17,"E",IF(T696&lt;'PlayerGrades+'!$AI$16,"E+",IF(T696&lt;'PlayerGrades+'!$AI$15,"D-",IF(T696&lt;'PlayerGrades+'!$AI$14,"D",IF(T696&lt;'PlayerGrades+'!$AI$13,"D+",IF(T696&lt;'PlayerGrades+'!$AI$12,"C-",IF(T696&lt;'PlayerGrades+'!$AI$11,"C",IF(T696&lt;'PlayerGrades+'!$AI$10,"C+",IF(T696&lt;'PlayerGrades+'!$AI$9,"B-",IF(T696&lt;'PlayerGrades+'!$AI$8,"B",IF(T696&lt;'PlayerGrades+'!$AI$7,"B+",IF(T696&lt;'PlayerGrades+'!$AI$6,"A-",IF(T696&lt;'PlayerGrades+'!$AI$5,"A",IF(T696&lt;'PlayerGrades+'!$AI$4,"A+",IF(T696&lt;'PlayerGrades+'!$AI$3,"S-",IF(T696&lt;'PlayerGrades+'!$AI$2,"S","S+"))))))))))))))))))))</f>
        <v>S+</v>
      </c>
      <c r="V696" s="941">
        <v>1.0</v>
      </c>
      <c r="W696" s="941">
        <v>0.0</v>
      </c>
      <c r="X696" s="941">
        <v>1.0</v>
      </c>
      <c r="Y696" s="941">
        <v>0.0</v>
      </c>
      <c r="Z696" s="941">
        <v>0.0</v>
      </c>
      <c r="AA696" s="941">
        <v>47.0</v>
      </c>
      <c r="AB696" s="941">
        <v>61.0</v>
      </c>
      <c r="AC696" s="941">
        <v>-14.0</v>
      </c>
      <c r="AD696" s="941">
        <v>2.0</v>
      </c>
      <c r="AE696" s="941">
        <v>3.0</v>
      </c>
      <c r="AF696" s="941">
        <v>1.0</v>
      </c>
      <c r="AG696" s="941">
        <v>716.0</v>
      </c>
      <c r="AH696" s="941">
        <v>991.0</v>
      </c>
      <c r="AI696" s="941">
        <v>11.0</v>
      </c>
      <c r="AJ696" s="941">
        <v>4.0</v>
      </c>
      <c r="AK696" s="941">
        <v>0.0</v>
      </c>
      <c r="AL696" s="941">
        <v>0.0</v>
      </c>
      <c r="AM696" s="941">
        <v>0.0</v>
      </c>
      <c r="AN696" s="941">
        <v>0.0</v>
      </c>
      <c r="AO696" s="941">
        <v>0.0</v>
      </c>
      <c r="AP696" s="941">
        <v>0.0</v>
      </c>
      <c r="AQ696" s="941">
        <v>0.0</v>
      </c>
      <c r="AR696" s="941">
        <v>4.0</v>
      </c>
      <c r="AS696" s="941">
        <v>0.0</v>
      </c>
      <c r="AT696" s="941">
        <v>0.0</v>
      </c>
      <c r="AU696" s="941">
        <v>0.0</v>
      </c>
      <c r="AV696" s="941">
        <v>0.0</v>
      </c>
      <c r="AW696" s="941">
        <v>0.0</v>
      </c>
      <c r="AX696" s="941">
        <v>0.0</v>
      </c>
      <c r="AY696" s="941">
        <v>0.0</v>
      </c>
      <c r="AZ696" s="941">
        <v>0.0</v>
      </c>
      <c r="BA696" s="941">
        <v>0.0</v>
      </c>
      <c r="BB696" s="941">
        <v>4.0</v>
      </c>
      <c r="BC696" s="941">
        <v>0.0</v>
      </c>
      <c r="BD696" s="941">
        <v>4.0</v>
      </c>
      <c r="BE696" s="941">
        <v>7.0</v>
      </c>
      <c r="BF696" s="941">
        <v>3.0</v>
      </c>
      <c r="BG696" s="942">
        <v>0.0</v>
      </c>
    </row>
    <row r="697">
      <c r="A697" s="943" t="s">
        <v>136</v>
      </c>
      <c r="B697" s="421" t="str">
        <f>IF(C697&lt;'PlayerGrades+'!$Y$44,"F-",IF(C697&lt;'PlayerGrades+'!$Y$43,"F",IF(C697&lt;'PlayerGrades+'!$Y$42,"F+",IF(C697&lt;'PlayerGrades+'!$Y$41,"E-",IF(C697&lt;'PlayerGrades+'!$Y$40,"E",IF(C697&lt;'PlayerGrades+'!$Y$39,"E+",IF(C697&lt;'PlayerGrades+'!$Y$38,"D-",IF(C697&lt;'PlayerGrades+'!$Y$37,"D",IF(C697&lt;'PlayerGrades+'!$Y$36,"D+",IF(C697&lt;'PlayerGrades+'!$Y$35,"C-",IF(C697&lt;'PlayerGrades+'!$Y$34,"C",IF(C697&lt;'PlayerGrades+'!$Y$33,"C+",IF(C697&lt;'PlayerGrades+'!$Y$32,"B-",IF(C697&lt;'PlayerGrades+'!$Y$31,"B",IF(C697&lt;'PlayerGrades+'!$Y$30,"B+",IF(C697&lt;'PlayerGrades+'!$Y$29,"A-",IF(C697&lt;'PlayerGrades+'!$Y$28,"A",IF(C697&lt;'PlayerGrades+'!$Y$27,"A+",IF(C697&lt;'PlayerGrades+'!$Y$26,"S-",IF(C697&lt;'PlayerGrades+'!$Y$25,"S","S+"))))))))))))))))))))</f>
        <v>C+</v>
      </c>
      <c r="C697" s="972">
        <f>('PlayerGrades+'!$Y$47*(VLOOKUP(E697, 'PlayerGrades+'!$X$3:$Y$23, 2, FALSE)))+('PlayerGrades+'!$Y$48*(VLOOKUP(G697, 'PlayerGrades+'!$X$3:$Y$23, 2, FALSE)))+('PlayerGrades+'!$Y$49*(VLOOKUP(I697, 'PlayerGrades+'!$X$3:$Y$23, 2, FALSE)))+('PlayerGrades+'!$Y$50*(VLOOKUP(K697, 'PlayerGrades+'!$X$3:$Y$23, 2, FALSE)))+('PlayerGrades+'!$Y$51*(VLOOKUP(M697, 'PlayerGrades+'!$X$3:$Y$23, 2, FALSE)))+('PlayerGrades+'!$Y$52*(VLOOKUP(O697, 'PlayerGrades+'!$X$3:$Y$23, 2, FALSE)))+('PlayerGrades+'!$Y$53*(VLOOKUP(Q697, 'PlayerGrades+'!$X$3:$Y$23, 2, FALSE)))+('PlayerGrades+'!$Y$54*(VLOOKUP(S697, 'PlayerGrades+'!$X$3:$Y$23, 2, FALSE)))+('PlayerGrades+'!$Y$55*(VLOOKUP(U697, 'PlayerGrades+'!$X$3:$Y$23, 2, FALSE)))</f>
        <v>21.5</v>
      </c>
      <c r="D697" s="973">
        <f t="shared" si="1"/>
        <v>0</v>
      </c>
      <c r="E697" s="973" t="str">
        <f>IF(D697&lt;'PlayerGrades+'!$AA$21,"F-",IF(D697&lt;'PlayerGrades+'!$AA$20,"F",IF(D697&lt;'PlayerGrades+'!$AA$19,"F+",IF(D697&lt;'PlayerGrades+'!$AA$18,"E-",IF(D697&lt;'PlayerGrades+'!$AA$17,"E",IF(D697&lt;'PlayerGrades+'!$AA$16,"E+",IF(D697&lt;'PlayerGrades+'!$AA$15,"D-",IF(D697&lt;'PlayerGrades+'!$AA$14,"D",IF(D697&lt;'PlayerGrades+'!$AA$13,"D+",IF(D697&lt;'PlayerGrades+'!$AA$12,"C-",IF(D697&lt;'PlayerGrades+'!$AA$11,"C",IF(D697&lt;'PlayerGrades+'!$AA$10,"C+",IF(D697&lt;'PlayerGrades+'!$AA$9,"B-",IF(D697&lt;'PlayerGrades+'!$AA$8,"B",IF(D697&lt;'PlayerGrades+'!$AA$7,"B+",IF(D697&lt;'PlayerGrades+'!$AA$6,"A-",IF(D697&lt;'PlayerGrades+'!$AA$5,"A",IF(D697&lt;'PlayerGrades+'!$AA$4,"A+",IF(D697&lt;'PlayerGrades+'!$AA$3,"S-",IF(D697&lt;'PlayerGrades+'!$AA$2,"S","S+"))))))))))))))))))))</f>
        <v>F-</v>
      </c>
      <c r="F697" s="973">
        <f t="shared" si="2"/>
        <v>-0.1816347124</v>
      </c>
      <c r="G697" s="973" t="str">
        <f>IF(F697&lt;'PlayerGrades+'!$AB$21,"F-",IF(F697&lt;'PlayerGrades+'!$AB$20,"F",IF(F697&lt;'PlayerGrades+'!$AB$19,"F+",IF(F697&lt;'PlayerGrades+'!$AB$18,"E-",IF(F697&lt;'PlayerGrades+'!$AB$17,"E",IF(F697&lt;'PlayerGrades+'!$AB$16,"E+",IF(F697&lt;'PlayerGrades+'!$AB$15,"D-",IF(F697&lt;'PlayerGrades+'!$AB$14,"D",IF(F697&lt;'PlayerGrades+'!$AB$13,"D+",IF(F697&lt;'PlayerGrades+'!$AB$12,"C-",IF(F697&lt;'PlayerGrades+'!$AB$11,"C",IF(F697&lt;'PlayerGrades+'!$AB$10,"C+",IF(F697&lt;'PlayerGrades+'!$AB$9,"B-",IF(F697&lt;'PlayerGrades+'!$AB$8,"B",IF(F697&lt;'PlayerGrades+'!$AB$7,"B+",IF(F697&lt;'PlayerGrades+'!$AB$6,"A-",IF(F697&lt;'PlayerGrades+'!$AB$5,"A",IF(F697&lt;'PlayerGrades+'!$AB$4,"A+",IF(F697&lt;'PlayerGrades+'!$AB$3,"S-",IF(F697&lt;'PlayerGrades+'!$AB$2,"S","S+"))))))))))))))))))))</f>
        <v>C+</v>
      </c>
      <c r="H697" s="973">
        <f t="shared" si="3"/>
        <v>0.1816347124</v>
      </c>
      <c r="I697" s="973" t="str">
        <f>IF(H697&lt;'PlayerGrades+'!$AC$21,"F-",IF(H697&lt;'PlayerGrades+'!$AC$20,"F",IF(H697&lt;'PlayerGrades+'!$AC$19,"F+",IF(H697&lt;'PlayerGrades+'!$AC$18,"E-",IF(H697&lt;'PlayerGrades+'!$AC$17,"E",IF(H697&lt;'PlayerGrades+'!$AC$16,"E+",IF(H697&lt;'PlayerGrades+'!$AC$15,"D-",IF(H697&lt;'PlayerGrades+'!$AC$14,"D",IF(H697&lt;'PlayerGrades+'!$AC$13,"D+",IF(H697&lt;'PlayerGrades+'!$AC$12,"C-",IF(H697&lt;'PlayerGrades+'!$AC$11,"C",IF(H697&lt;'PlayerGrades+'!$AC$10,"C+",IF(H697&lt;'PlayerGrades+'!$AC$9,"B-",IF(H697&lt;'PlayerGrades+'!$AC$8,"B",IF(H697&lt;'PlayerGrades+'!$AC$7,"B+",IF(H697&lt;'PlayerGrades+'!$AC$6,"A-",IF(H697&lt;'PlayerGrades+'!$AC$5,"A",IF(H697&lt;'PlayerGrades+'!$AC$4,"A+",IF(H697&lt;'PlayerGrades+'!$AC$3,"S-",IF(H697&lt;'PlayerGrades+'!$AC$2,"S","S+"))))))))))))))))))))</f>
        <v>S-</v>
      </c>
      <c r="J697" s="973">
        <f t="shared" si="4"/>
        <v>0</v>
      </c>
      <c r="K697" s="973" t="str">
        <f>IF(J697&lt;'PlayerGrades+'!$AD$21,"F-",IF(J697&lt;'PlayerGrades+'!$AD$20,"F",IF(J697&lt;'PlayerGrades+'!$AD$19,"F+",IF(J697&lt;'PlayerGrades+'!$AD$18,"E-",IF(J697&lt;'PlayerGrades+'!$AD$17,"E",IF(J697&lt;'PlayerGrades+'!$AD$16,"E+",IF(J697&lt;'PlayerGrades+'!$AD$15,"D-",IF(J697&lt;'PlayerGrades+'!$AD$14,"D",IF(J697&lt;'PlayerGrades+'!$AD$13,"D+",IF(J697&lt;'PlayerGrades+'!$AD$12,"C-",IF(J697&lt;'PlayerGrades+'!$AD$11,"C",IF(J697&lt;'PlayerGrades+'!$AD$10,"C+",IF(J697&lt;'PlayerGrades+'!$AD$9,"B-",IF(J697&lt;'PlayerGrades+'!$AD$8,"B",IF(J697&lt;'PlayerGrades+'!$AD$7,"B+",IF(J697&lt;'PlayerGrades+'!$AD$6,"A-",IF(J697&lt;'PlayerGrades+'!$AD$5,"A",IF(J697&lt;'PlayerGrades+'!$AD$4,"A+",IF(J697&lt;'PlayerGrades+'!$AD$3,"S-",IF(J697&lt;'PlayerGrades+'!$AD$2,"S","S+"))))))))))))))))))))</f>
        <v>F-</v>
      </c>
      <c r="L697" s="974">
        <f t="shared" si="5"/>
        <v>0.7870837538</v>
      </c>
      <c r="M697" s="975" t="str">
        <f>IF(L697&lt;'PlayerGrades+'!$AE$21,"F-",IF(L697&lt;'PlayerGrades+'!$AE$20,"F",IF(L697&lt;'PlayerGrades+'!$AE$19,"F+",IF(L697&lt;'PlayerGrades+'!$AE$18,"E-",IF(L697&lt;'PlayerGrades+'!$AE$17,"E",IF(L697&lt;'PlayerGrades+'!$AE$16,"E+",IF(L697&lt;'PlayerGrades+'!$AE$15,"D-",IF(L697&lt;'PlayerGrades+'!$AE$14,"D",IF(L697&lt;'PlayerGrades+'!$AE$13,"D+",IF(L697&lt;'PlayerGrades+'!$AE$12,"C-",IF(L697&lt;'PlayerGrades+'!$AE$11,"C",IF(L697&lt;'PlayerGrades+'!$AE$10,"C+",IF(L697&lt;'PlayerGrades+'!$AE$9,"B-",IF(L697&lt;'PlayerGrades+'!$AE$8,"B",IF(L697&lt;'PlayerGrades+'!$AE$7,"B+",IF(L697&lt;'PlayerGrades+'!$AE$6,"A-",IF(L697&lt;'PlayerGrades+'!$AE$5,"A",IF(L697&lt;'PlayerGrades+'!$AE$4,"A+",IF(L697&lt;'PlayerGrades+'!$AE$3,"S-",IF(L697&lt;'PlayerGrades+'!$AE$2,"S","S+"))))))))))))))))))))</f>
        <v>S+</v>
      </c>
      <c r="N697" s="973">
        <f t="shared" si="6"/>
        <v>0.06054490414</v>
      </c>
      <c r="O697" s="973" t="str">
        <f>IF(N697&lt;'PlayerGrades+'!$AF$21,"F-",IF(N697&lt;'PlayerGrades+'!$AF$20,"F",IF(N697&lt;'PlayerGrades+'!$AF$19,"F+",IF(N697&lt;'PlayerGrades+'!$AF$18,"E-",IF(N697&lt;'PlayerGrades+'!$AF$17,"E",IF(N697&lt;'PlayerGrades+'!$AF$16,"E+",IF(N697&lt;'PlayerGrades+'!$AF$15,"D-",IF(N697&lt;'PlayerGrades+'!$AF$14,"D",IF(N697&lt;'PlayerGrades+'!$AF$13,"D+",IF(N697&lt;'PlayerGrades+'!$AF$12,"C-",IF(N697&lt;'PlayerGrades+'!$AF$11,"C",IF(N697&lt;'PlayerGrades+'!$AF$10,"C+",IF(N697&lt;'PlayerGrades+'!$AF$9,"B-",IF(N697&lt;'PlayerGrades+'!$AF$8,"B",IF(N697&lt;'PlayerGrades+'!$AF$7,"B+",IF(N697&lt;'PlayerGrades+'!$AF$6,"A-",IF(N697&lt;'PlayerGrades+'!$AF$5,"A",IF(N697&lt;'PlayerGrades+'!$AF$4,"A+",IF(N697&lt;'PlayerGrades+'!$AF$3,"S-",IF(N697&lt;'PlayerGrades+'!$AF$2,"S","S+"))))))))))))))))))))</f>
        <v>D+</v>
      </c>
      <c r="P697" s="973">
        <f t="shared" si="7"/>
        <v>0</v>
      </c>
      <c r="Q697" s="973" t="str">
        <f>IF(P697&lt;'PlayerGrades+'!$AG$21,"F-",IF(P697&lt;'PlayerGrades+'!$AG$20,"F",IF(P697&lt;'PlayerGrades+'!$AG$19,"F+",IF(P697&lt;'PlayerGrades+'!$AG$18,"E-",IF(P697&lt;'PlayerGrades+'!$AG$17,"E",IF(P697&lt;'PlayerGrades+'!$AG$16,"E+",IF(P697&lt;'PlayerGrades+'!$AG$15,"D-",IF(P697&lt;'PlayerGrades+'!$AG$14,"D",IF(P697&lt;'PlayerGrades+'!$AG$13,"D+",IF(P697&lt;'PlayerGrades+'!$AG$12,"C-",IF(P697&lt;'PlayerGrades+'!$AG$11,"C",IF(P697&lt;'PlayerGrades+'!$AG$10,"C+",IF(P697&lt;'PlayerGrades+'!$AG$9,"B-",IF(P697&lt;'PlayerGrades+'!$AG$8,"B",IF(P697&lt;'PlayerGrades+'!$AG$7,"B+",IF(P697&lt;'PlayerGrades+'!$AG$6,"A-",IF(P697&lt;'PlayerGrades+'!$AG$5,"A",IF(P697&lt;'PlayerGrades+'!$AG$4,"A+",IF(P697&lt;'PlayerGrades+'!$AG$3,"S-",IF(P697&lt;'PlayerGrades+'!$AG$2,"S","S+"))))))))))))))))))))</f>
        <v>F</v>
      </c>
      <c r="R697" s="973">
        <f t="shared" si="8"/>
        <v>0.6054490414</v>
      </c>
      <c r="S697" s="973" t="str">
        <f>IF(R697&lt;'PlayerGrades+'!$AH$21,"F-",IF(R697&lt;'PlayerGrades+'!$AH$20,"F",IF(R697&lt;'PlayerGrades+'!$AH$19,"F+",IF(R697&lt;'PlayerGrades+'!$AH$18,"E-",IF(R697&lt;'PlayerGrades+'!$AH$17,"E",IF(R697&lt;'PlayerGrades+'!$AH$16,"E+",IF(R697&lt;'PlayerGrades+'!$AH$15,"D-",IF(R697&lt;'PlayerGrades+'!$AH$14,"D",IF(R697&lt;'PlayerGrades+'!$AH$13,"D+",IF(R697&lt;'PlayerGrades+'!$AH$12,"C-",IF(R697&lt;'PlayerGrades+'!$AH$11,"C",IF(R697&lt;'PlayerGrades+'!$AH$10,"C+",IF(R697&lt;'PlayerGrades+'!$AH$9,"B-",IF(R697&lt;'PlayerGrades+'!$AH$8,"B",IF(R697&lt;'PlayerGrades+'!$AH$7,"B+",IF(R697&lt;'PlayerGrades+'!$AH$6,"A-",IF(R697&lt;'PlayerGrades+'!$AH$5,"A",IF(R697&lt;'PlayerGrades+'!$AH$4,"A+",IF(R697&lt;'PlayerGrades+'!$AH$3,"S-",IF(R697&lt;'PlayerGrades+'!$AH$2,"S","S+"))))))))))))))))))))</f>
        <v>A-</v>
      </c>
      <c r="T697" s="973">
        <f t="shared" si="9"/>
        <v>1.484359233</v>
      </c>
      <c r="U697" s="973" t="str">
        <f>IF(T697&lt;'PlayerGrades+'!$AI$21,"F-",IF(T697&lt;'PlayerGrades+'!$AI$20,"F",IF(T697&lt;'PlayerGrades+'!$AI$19,"F+",IF(T697&lt;'PlayerGrades+'!$AI$18,"E-",IF(T697&lt;'PlayerGrades+'!$AI$17,"E",IF(T697&lt;'PlayerGrades+'!$AI$16,"E+",IF(T697&lt;'PlayerGrades+'!$AI$15,"D-",IF(T697&lt;'PlayerGrades+'!$AI$14,"D",IF(T697&lt;'PlayerGrades+'!$AI$13,"D+",IF(T697&lt;'PlayerGrades+'!$AI$12,"C-",IF(T697&lt;'PlayerGrades+'!$AI$11,"C",IF(T697&lt;'PlayerGrades+'!$AI$10,"C+",IF(T697&lt;'PlayerGrades+'!$AI$9,"B-",IF(T697&lt;'PlayerGrades+'!$AI$8,"B",IF(T697&lt;'PlayerGrades+'!$AI$7,"B+",IF(T697&lt;'PlayerGrades+'!$AI$6,"A-",IF(T697&lt;'PlayerGrades+'!$AI$5,"A",IF(T697&lt;'PlayerGrades+'!$AI$4,"A+",IF(T697&lt;'PlayerGrades+'!$AI$3,"S-",IF(T697&lt;'PlayerGrades+'!$AI$2,"S","S+"))))))))))))))))))))</f>
        <v>A-</v>
      </c>
      <c r="V697" s="944">
        <v>1.0</v>
      </c>
      <c r="W697" s="944">
        <v>0.0</v>
      </c>
      <c r="X697" s="944">
        <v>1.0</v>
      </c>
      <c r="Y697" s="944">
        <v>0.0</v>
      </c>
      <c r="Z697" s="944">
        <v>0.0</v>
      </c>
      <c r="AA697" s="944">
        <v>62.0</v>
      </c>
      <c r="AB697" s="944">
        <v>65.0</v>
      </c>
      <c r="AC697" s="944">
        <v>-3.0</v>
      </c>
      <c r="AD697" s="944">
        <v>2.0</v>
      </c>
      <c r="AE697" s="944">
        <v>3.0</v>
      </c>
      <c r="AF697" s="944">
        <v>0.0</v>
      </c>
      <c r="AG697" s="944">
        <v>704.0</v>
      </c>
      <c r="AH697" s="944">
        <v>991.0</v>
      </c>
      <c r="AI697" s="944">
        <v>10.0</v>
      </c>
      <c r="AJ697" s="944">
        <v>5.0</v>
      </c>
      <c r="AK697" s="944">
        <v>0.0</v>
      </c>
      <c r="AL697" s="944">
        <v>0.0</v>
      </c>
      <c r="AM697" s="944">
        <v>0.0</v>
      </c>
      <c r="AN697" s="944">
        <v>0.0</v>
      </c>
      <c r="AO697" s="944">
        <v>0.0</v>
      </c>
      <c r="AP697" s="944">
        <v>0.0</v>
      </c>
      <c r="AQ697" s="944">
        <v>0.0</v>
      </c>
      <c r="AR697" s="944">
        <v>13.0</v>
      </c>
      <c r="AS697" s="944">
        <v>1.0</v>
      </c>
      <c r="AT697" s="944">
        <v>0.0</v>
      </c>
      <c r="AU697" s="944">
        <v>0.0</v>
      </c>
      <c r="AV697" s="944">
        <v>0.0</v>
      </c>
      <c r="AW697" s="944">
        <v>0.0</v>
      </c>
      <c r="AX697" s="944">
        <v>0.0</v>
      </c>
      <c r="AY697" s="944">
        <v>0.0</v>
      </c>
      <c r="AZ697" s="944">
        <v>0.0</v>
      </c>
      <c r="BA697" s="944">
        <v>0.0</v>
      </c>
      <c r="BB697" s="944">
        <v>3.0</v>
      </c>
      <c r="BC697" s="944">
        <v>0.0</v>
      </c>
      <c r="BD697" s="944">
        <v>8.0</v>
      </c>
      <c r="BE697" s="944">
        <v>8.0</v>
      </c>
      <c r="BF697" s="944">
        <v>1.0</v>
      </c>
      <c r="BG697" s="945">
        <v>0.0</v>
      </c>
    </row>
    <row r="698">
      <c r="A698" s="1" t="s">
        <v>419</v>
      </c>
      <c r="B698" s="421" t="str">
        <f>IF(C698&lt;'PlayerGrades+'!$Y$44,"F-",IF(C698&lt;'PlayerGrades+'!$Y$43,"F",IF(C698&lt;'PlayerGrades+'!$Y$42,"F+",IF(C698&lt;'PlayerGrades+'!$Y$41,"E-",IF(C698&lt;'PlayerGrades+'!$Y$40,"E",IF(C698&lt;'PlayerGrades+'!$Y$39,"E+",IF(C698&lt;'PlayerGrades+'!$Y$38,"D-",IF(C698&lt;'PlayerGrades+'!$Y$37,"D",IF(C698&lt;'PlayerGrades+'!$Y$36,"D+",IF(C698&lt;'PlayerGrades+'!$Y$35,"C-",IF(C698&lt;'PlayerGrades+'!$Y$34,"C",IF(C698&lt;'PlayerGrades+'!$Y$33,"C+",IF(C698&lt;'PlayerGrades+'!$Y$32,"B-",IF(C698&lt;'PlayerGrades+'!$Y$31,"B",IF(C698&lt;'PlayerGrades+'!$Y$30,"B+",IF(C698&lt;'PlayerGrades+'!$Y$29,"A-",IF(C698&lt;'PlayerGrades+'!$Y$28,"A",IF(C698&lt;'PlayerGrades+'!$Y$27,"A+",IF(C698&lt;'PlayerGrades+'!$Y$26,"S-",IF(C698&lt;'PlayerGrades+'!$Y$25,"S","S+"))))))))))))))))))))</f>
        <v>A+</v>
      </c>
      <c r="C698" s="972">
        <f>('PlayerGrades+'!$Y$47*(VLOOKUP(E698, 'PlayerGrades+'!$X$3:$Y$23, 2, FALSE)))+('PlayerGrades+'!$Y$48*(VLOOKUP(G698, 'PlayerGrades+'!$X$3:$Y$23, 2, FALSE)))+('PlayerGrades+'!$Y$49*(VLOOKUP(I698, 'PlayerGrades+'!$X$3:$Y$23, 2, FALSE)))+('PlayerGrades+'!$Y$50*(VLOOKUP(K698, 'PlayerGrades+'!$X$3:$Y$23, 2, FALSE)))+('PlayerGrades+'!$Y$51*(VLOOKUP(M698, 'PlayerGrades+'!$X$3:$Y$23, 2, FALSE)))+('PlayerGrades+'!$Y$52*(VLOOKUP(O698, 'PlayerGrades+'!$X$3:$Y$23, 2, FALSE)))+('PlayerGrades+'!$Y$53*(VLOOKUP(Q698, 'PlayerGrades+'!$X$3:$Y$23, 2, FALSE)))+('PlayerGrades+'!$Y$54*(VLOOKUP(S698, 'PlayerGrades+'!$X$3:$Y$23, 2, FALSE)))+('PlayerGrades+'!$Y$55*(VLOOKUP(U698, 'PlayerGrades+'!$X$3:$Y$23, 2, FALSE)))</f>
        <v>29.85</v>
      </c>
      <c r="D698" s="973">
        <f t="shared" si="1"/>
        <v>0.08759124088</v>
      </c>
      <c r="E698" s="973" t="str">
        <f>IF(D698&lt;'PlayerGrades+'!$AA$21,"F-",IF(D698&lt;'PlayerGrades+'!$AA$20,"F",IF(D698&lt;'PlayerGrades+'!$AA$19,"F+",IF(D698&lt;'PlayerGrades+'!$AA$18,"E-",IF(D698&lt;'PlayerGrades+'!$AA$17,"E",IF(D698&lt;'PlayerGrades+'!$AA$16,"E+",IF(D698&lt;'PlayerGrades+'!$AA$15,"D-",IF(D698&lt;'PlayerGrades+'!$AA$14,"D",IF(D698&lt;'PlayerGrades+'!$AA$13,"D+",IF(D698&lt;'PlayerGrades+'!$AA$12,"C-",IF(D698&lt;'PlayerGrades+'!$AA$11,"C",IF(D698&lt;'PlayerGrades+'!$AA$10,"C+",IF(D698&lt;'PlayerGrades+'!$AA$9,"B-",IF(D698&lt;'PlayerGrades+'!$AA$8,"B",IF(D698&lt;'PlayerGrades+'!$AA$7,"B+",IF(D698&lt;'PlayerGrades+'!$AA$6,"A-",IF(D698&lt;'PlayerGrades+'!$AA$5,"A",IF(D698&lt;'PlayerGrades+'!$AA$4,"A+",IF(D698&lt;'PlayerGrades+'!$AA$3,"S-",IF(D698&lt;'PlayerGrades+'!$AA$2,"S","S+"))))))))))))))))))))</f>
        <v>B</v>
      </c>
      <c r="F698" s="973">
        <f t="shared" si="2"/>
        <v>0.7445255474</v>
      </c>
      <c r="G698" s="973" t="str">
        <f>IF(F698&lt;'PlayerGrades+'!$AB$21,"F-",IF(F698&lt;'PlayerGrades+'!$AB$20,"F",IF(F698&lt;'PlayerGrades+'!$AB$19,"F+",IF(F698&lt;'PlayerGrades+'!$AB$18,"E-",IF(F698&lt;'PlayerGrades+'!$AB$17,"E",IF(F698&lt;'PlayerGrades+'!$AB$16,"E+",IF(F698&lt;'PlayerGrades+'!$AB$15,"D-",IF(F698&lt;'PlayerGrades+'!$AB$14,"D",IF(F698&lt;'PlayerGrades+'!$AB$13,"D+",IF(F698&lt;'PlayerGrades+'!$AB$12,"C-",IF(F698&lt;'PlayerGrades+'!$AB$11,"C",IF(F698&lt;'PlayerGrades+'!$AB$10,"C+",IF(F698&lt;'PlayerGrades+'!$AB$9,"B-",IF(F698&lt;'PlayerGrades+'!$AB$8,"B",IF(F698&lt;'PlayerGrades+'!$AB$7,"B+",IF(F698&lt;'PlayerGrades+'!$AB$6,"A-",IF(F698&lt;'PlayerGrades+'!$AB$5,"A",IF(F698&lt;'PlayerGrades+'!$AB$4,"A+",IF(F698&lt;'PlayerGrades+'!$AB$3,"S-",IF(F698&lt;'PlayerGrades+'!$AB$2,"S","S+"))))))))))))))))))))</f>
        <v>S</v>
      </c>
      <c r="H698" s="973">
        <f t="shared" si="3"/>
        <v>0.08759124088</v>
      </c>
      <c r="I698" s="973" t="str">
        <f>IF(H698&lt;'PlayerGrades+'!$AC$21,"F-",IF(H698&lt;'PlayerGrades+'!$AC$20,"F",IF(H698&lt;'PlayerGrades+'!$AC$19,"F+",IF(H698&lt;'PlayerGrades+'!$AC$18,"E-",IF(H698&lt;'PlayerGrades+'!$AC$17,"E",IF(H698&lt;'PlayerGrades+'!$AC$16,"E+",IF(H698&lt;'PlayerGrades+'!$AC$15,"D-",IF(H698&lt;'PlayerGrades+'!$AC$14,"D",IF(H698&lt;'PlayerGrades+'!$AC$13,"D+",IF(H698&lt;'PlayerGrades+'!$AC$12,"C-",IF(H698&lt;'PlayerGrades+'!$AC$11,"C",IF(H698&lt;'PlayerGrades+'!$AC$10,"C+",IF(H698&lt;'PlayerGrades+'!$AC$9,"B-",IF(H698&lt;'PlayerGrades+'!$AC$8,"B",IF(H698&lt;'PlayerGrades+'!$AC$7,"B+",IF(H698&lt;'PlayerGrades+'!$AC$6,"A-",IF(H698&lt;'PlayerGrades+'!$AC$5,"A",IF(H698&lt;'PlayerGrades+'!$AC$4,"A+",IF(H698&lt;'PlayerGrades+'!$AC$3,"S-",IF(H698&lt;'PlayerGrades+'!$AC$2,"S","S+"))))))))))))))))))))</f>
        <v>D-</v>
      </c>
      <c r="J698" s="973">
        <f t="shared" si="4"/>
        <v>0.1313868613</v>
      </c>
      <c r="K698" s="973" t="str">
        <f>IF(J698&lt;'PlayerGrades+'!$AD$21,"F-",IF(J698&lt;'PlayerGrades+'!$AD$20,"F",IF(J698&lt;'PlayerGrades+'!$AD$19,"F+",IF(J698&lt;'PlayerGrades+'!$AD$18,"E-",IF(J698&lt;'PlayerGrades+'!$AD$17,"E",IF(J698&lt;'PlayerGrades+'!$AD$16,"E+",IF(J698&lt;'PlayerGrades+'!$AD$15,"D-",IF(J698&lt;'PlayerGrades+'!$AD$14,"D",IF(J698&lt;'PlayerGrades+'!$AD$13,"D+",IF(J698&lt;'PlayerGrades+'!$AD$12,"C-",IF(J698&lt;'PlayerGrades+'!$AD$11,"C",IF(J698&lt;'PlayerGrades+'!$AD$10,"C+",IF(J698&lt;'PlayerGrades+'!$AD$9,"B-",IF(J698&lt;'PlayerGrades+'!$AD$8,"B",IF(J698&lt;'PlayerGrades+'!$AD$7,"B+",IF(J698&lt;'PlayerGrades+'!$AD$6,"A-",IF(J698&lt;'PlayerGrades+'!$AD$5,"A",IF(J698&lt;'PlayerGrades+'!$AD$4,"A+",IF(J698&lt;'PlayerGrades+'!$AD$3,"S-",IF(J698&lt;'PlayerGrades+'!$AD$2,"S","S+"))))))))))))))))))))</f>
        <v>S+</v>
      </c>
      <c r="L698" s="974">
        <f t="shared" si="5"/>
        <v>0.8102189781</v>
      </c>
      <c r="M698" s="975" t="str">
        <f>IF(L698&lt;'PlayerGrades+'!$AE$21,"F-",IF(L698&lt;'PlayerGrades+'!$AE$20,"F",IF(L698&lt;'PlayerGrades+'!$AE$19,"F+",IF(L698&lt;'PlayerGrades+'!$AE$18,"E-",IF(L698&lt;'PlayerGrades+'!$AE$17,"E",IF(L698&lt;'PlayerGrades+'!$AE$16,"E+",IF(L698&lt;'PlayerGrades+'!$AE$15,"D-",IF(L698&lt;'PlayerGrades+'!$AE$14,"D",IF(L698&lt;'PlayerGrades+'!$AE$13,"D+",IF(L698&lt;'PlayerGrades+'!$AE$12,"C-",IF(L698&lt;'PlayerGrades+'!$AE$11,"C",IF(L698&lt;'PlayerGrades+'!$AE$10,"C+",IF(L698&lt;'PlayerGrades+'!$AE$9,"B-",IF(L698&lt;'PlayerGrades+'!$AE$8,"B",IF(L698&lt;'PlayerGrades+'!$AE$7,"B+",IF(L698&lt;'PlayerGrades+'!$AE$6,"A-",IF(L698&lt;'PlayerGrades+'!$AE$5,"A",IF(L698&lt;'PlayerGrades+'!$AE$4,"A+",IF(L698&lt;'PlayerGrades+'!$AE$3,"S-",IF(L698&lt;'PlayerGrades+'!$AE$2,"S","S+"))))))))))))))))))))</f>
        <v>S+</v>
      </c>
      <c r="N698" s="973">
        <f t="shared" si="6"/>
        <v>0.1094890511</v>
      </c>
      <c r="O698" s="973" t="str">
        <f>IF(N698&lt;'PlayerGrades+'!$AF$21,"F-",IF(N698&lt;'PlayerGrades+'!$AF$20,"F",IF(N698&lt;'PlayerGrades+'!$AF$19,"F+",IF(N698&lt;'PlayerGrades+'!$AF$18,"E-",IF(N698&lt;'PlayerGrades+'!$AF$17,"E",IF(N698&lt;'PlayerGrades+'!$AF$16,"E+",IF(N698&lt;'PlayerGrades+'!$AF$15,"D-",IF(N698&lt;'PlayerGrades+'!$AF$14,"D",IF(N698&lt;'PlayerGrades+'!$AF$13,"D+",IF(N698&lt;'PlayerGrades+'!$AF$12,"C-",IF(N698&lt;'PlayerGrades+'!$AF$11,"C",IF(N698&lt;'PlayerGrades+'!$AF$10,"C+",IF(N698&lt;'PlayerGrades+'!$AF$9,"B-",IF(N698&lt;'PlayerGrades+'!$AF$8,"B",IF(N698&lt;'PlayerGrades+'!$AF$7,"B+",IF(N698&lt;'PlayerGrades+'!$AF$6,"A-",IF(N698&lt;'PlayerGrades+'!$AF$5,"A",IF(N698&lt;'PlayerGrades+'!$AF$4,"A+",IF(N698&lt;'PlayerGrades+'!$AF$3,"S-",IF(N698&lt;'PlayerGrades+'!$AF$2,"S","S+"))))))))))))))))))))</f>
        <v>S-</v>
      </c>
      <c r="P698" s="973">
        <f t="shared" si="7"/>
        <v>0.1313868613</v>
      </c>
      <c r="Q698" s="973" t="str">
        <f>IF(P698&lt;'PlayerGrades+'!$AG$21,"F-",IF(P698&lt;'PlayerGrades+'!$AG$20,"F",IF(P698&lt;'PlayerGrades+'!$AG$19,"F+",IF(P698&lt;'PlayerGrades+'!$AG$18,"E-",IF(P698&lt;'PlayerGrades+'!$AG$17,"E",IF(P698&lt;'PlayerGrades+'!$AG$16,"E+",IF(P698&lt;'PlayerGrades+'!$AG$15,"D-",IF(P698&lt;'PlayerGrades+'!$AG$14,"D",IF(P698&lt;'PlayerGrades+'!$AG$13,"D+",IF(P698&lt;'PlayerGrades+'!$AG$12,"C-",IF(P698&lt;'PlayerGrades+'!$AG$11,"C",IF(P698&lt;'PlayerGrades+'!$AG$10,"C+",IF(P698&lt;'PlayerGrades+'!$AG$9,"B-",IF(P698&lt;'PlayerGrades+'!$AG$8,"B",IF(P698&lt;'PlayerGrades+'!$AG$7,"B+",IF(P698&lt;'PlayerGrades+'!$AG$6,"A-",IF(P698&lt;'PlayerGrades+'!$AG$5,"A",IF(P698&lt;'PlayerGrades+'!$AG$4,"A+",IF(P698&lt;'PlayerGrades+'!$AG$3,"S-",IF(P698&lt;'PlayerGrades+'!$AG$2,"S","S+"))))))))))))))))))))</f>
        <v>S+</v>
      </c>
      <c r="R698" s="973">
        <f t="shared" si="8"/>
        <v>0.5255474453</v>
      </c>
      <c r="S698" s="973" t="str">
        <f>IF(R698&lt;'PlayerGrades+'!$AH$21,"F-",IF(R698&lt;'PlayerGrades+'!$AH$20,"F",IF(R698&lt;'PlayerGrades+'!$AH$19,"F+",IF(R698&lt;'PlayerGrades+'!$AH$18,"E-",IF(R698&lt;'PlayerGrades+'!$AH$17,"E",IF(R698&lt;'PlayerGrades+'!$AH$16,"E+",IF(R698&lt;'PlayerGrades+'!$AH$15,"D-",IF(R698&lt;'PlayerGrades+'!$AH$14,"D",IF(R698&lt;'PlayerGrades+'!$AH$13,"D+",IF(R698&lt;'PlayerGrades+'!$AH$12,"C-",IF(R698&lt;'PlayerGrades+'!$AH$11,"C",IF(R698&lt;'PlayerGrades+'!$AH$10,"C+",IF(R698&lt;'PlayerGrades+'!$AH$9,"B-",IF(R698&lt;'PlayerGrades+'!$AH$8,"B",IF(R698&lt;'PlayerGrades+'!$AH$7,"B+",IF(R698&lt;'PlayerGrades+'!$AH$6,"A-",IF(R698&lt;'PlayerGrades+'!$AH$5,"A",IF(R698&lt;'PlayerGrades+'!$AH$4,"A+",IF(R698&lt;'PlayerGrades+'!$AH$3,"S-",IF(R698&lt;'PlayerGrades+'!$AH$2,"S","S+"))))))))))))))))))))</f>
        <v>C</v>
      </c>
      <c r="T698" s="973">
        <f t="shared" si="9"/>
        <v>2.437956204</v>
      </c>
      <c r="U698" s="973" t="str">
        <f>IF(T698&lt;'PlayerGrades+'!$AI$21,"F-",IF(T698&lt;'PlayerGrades+'!$AI$20,"F",IF(T698&lt;'PlayerGrades+'!$AI$19,"F+",IF(T698&lt;'PlayerGrades+'!$AI$18,"E-",IF(T698&lt;'PlayerGrades+'!$AI$17,"E",IF(T698&lt;'PlayerGrades+'!$AI$16,"E+",IF(T698&lt;'PlayerGrades+'!$AI$15,"D-",IF(T698&lt;'PlayerGrades+'!$AI$14,"D",IF(T698&lt;'PlayerGrades+'!$AI$13,"D+",IF(T698&lt;'PlayerGrades+'!$AI$12,"C-",IF(T698&lt;'PlayerGrades+'!$AI$11,"C",IF(T698&lt;'PlayerGrades+'!$AI$10,"C+",IF(T698&lt;'PlayerGrades+'!$AI$9,"B-",IF(T698&lt;'PlayerGrades+'!$AI$8,"B",IF(T698&lt;'PlayerGrades+'!$AI$7,"B+",IF(T698&lt;'PlayerGrades+'!$AI$6,"A-",IF(T698&lt;'PlayerGrades+'!$AI$5,"A",IF(T698&lt;'PlayerGrades+'!$AI$4,"A+",IF(T698&lt;'PlayerGrades+'!$AI$3,"S-",IF(T698&lt;'PlayerGrades+'!$AI$2,"S","S+"))))))))))))))))))))</f>
        <v>S+</v>
      </c>
      <c r="V698" s="941">
        <v>1.0</v>
      </c>
      <c r="W698" s="941">
        <v>1.0</v>
      </c>
      <c r="X698" s="941">
        <v>0.0</v>
      </c>
      <c r="Y698" s="941">
        <v>2.0</v>
      </c>
      <c r="Z698" s="941">
        <v>2.0</v>
      </c>
      <c r="AA698" s="941">
        <v>200.0</v>
      </c>
      <c r="AB698" s="941">
        <v>166.0</v>
      </c>
      <c r="AC698" s="941">
        <v>34.0</v>
      </c>
      <c r="AD698" s="941">
        <v>3.0</v>
      </c>
      <c r="AE698" s="941">
        <v>8.0</v>
      </c>
      <c r="AF698" s="941">
        <v>2.0</v>
      </c>
      <c r="AG698" s="941">
        <v>2132.0</v>
      </c>
      <c r="AH698" s="941">
        <v>2740.0</v>
      </c>
      <c r="AI698" s="941">
        <v>12.0</v>
      </c>
      <c r="AJ698" s="941">
        <v>78.0</v>
      </c>
      <c r="AK698" s="941">
        <v>0.0</v>
      </c>
      <c r="AL698" s="941">
        <v>6.0</v>
      </c>
      <c r="AM698" s="941">
        <v>0.0</v>
      </c>
      <c r="AN698" s="941">
        <v>0.0</v>
      </c>
      <c r="AO698" s="941">
        <v>0.0</v>
      </c>
      <c r="AP698" s="941">
        <v>6.0</v>
      </c>
      <c r="AQ698" s="941">
        <v>0.0</v>
      </c>
      <c r="AR698" s="941">
        <v>37.0</v>
      </c>
      <c r="AS698" s="941">
        <v>5.0</v>
      </c>
      <c r="AT698" s="941">
        <v>2.0</v>
      </c>
      <c r="AU698" s="941">
        <v>1.0</v>
      </c>
      <c r="AV698" s="941">
        <v>0.0</v>
      </c>
      <c r="AW698" s="941">
        <v>0.0</v>
      </c>
      <c r="AX698" s="941">
        <v>0.0</v>
      </c>
      <c r="AY698" s="941">
        <v>0.0</v>
      </c>
      <c r="AZ698" s="941">
        <v>0.0</v>
      </c>
      <c r="BA698" s="941">
        <v>0.0</v>
      </c>
      <c r="BB698" s="941">
        <v>4.0</v>
      </c>
      <c r="BC698" s="941">
        <v>0.0</v>
      </c>
      <c r="BD698" s="941">
        <v>21.0</v>
      </c>
      <c r="BE698" s="941">
        <v>20.0</v>
      </c>
      <c r="BF698" s="941">
        <v>2.0</v>
      </c>
      <c r="BG698" s="941">
        <v>1.0</v>
      </c>
    </row>
    <row r="699">
      <c r="A699" s="1" t="s">
        <v>123</v>
      </c>
      <c r="B699" s="421" t="str">
        <f>IF(C699&lt;'PlayerGrades+'!$Y$44,"F-",IF(C699&lt;'PlayerGrades+'!$Y$43,"F",IF(C699&lt;'PlayerGrades+'!$Y$42,"F+",IF(C699&lt;'PlayerGrades+'!$Y$41,"E-",IF(C699&lt;'PlayerGrades+'!$Y$40,"E",IF(C699&lt;'PlayerGrades+'!$Y$39,"E+",IF(C699&lt;'PlayerGrades+'!$Y$38,"D-",IF(C699&lt;'PlayerGrades+'!$Y$37,"D",IF(C699&lt;'PlayerGrades+'!$Y$36,"D+",IF(C699&lt;'PlayerGrades+'!$Y$35,"C-",IF(C699&lt;'PlayerGrades+'!$Y$34,"C",IF(C699&lt;'PlayerGrades+'!$Y$33,"C+",IF(C699&lt;'PlayerGrades+'!$Y$32,"B-",IF(C699&lt;'PlayerGrades+'!$Y$31,"B",IF(C699&lt;'PlayerGrades+'!$Y$30,"B+",IF(C699&lt;'PlayerGrades+'!$Y$29,"A-",IF(C699&lt;'PlayerGrades+'!$Y$28,"A",IF(C699&lt;'PlayerGrades+'!$Y$27,"A+",IF(C699&lt;'PlayerGrades+'!$Y$26,"S-",IF(C699&lt;'PlayerGrades+'!$Y$25,"S","S+"))))))))))))))))))))</f>
        <v>E-</v>
      </c>
      <c r="C699" s="972">
        <f>('PlayerGrades+'!$Y$47*(VLOOKUP(E699, 'PlayerGrades+'!$X$3:$Y$23, 2, FALSE)))+('PlayerGrades+'!$Y$48*(VLOOKUP(G699, 'PlayerGrades+'!$X$3:$Y$23, 2, FALSE)))+('PlayerGrades+'!$Y$49*(VLOOKUP(I699, 'PlayerGrades+'!$X$3:$Y$23, 2, FALSE)))+('PlayerGrades+'!$Y$50*(VLOOKUP(K699, 'PlayerGrades+'!$X$3:$Y$23, 2, FALSE)))+('PlayerGrades+'!$Y$51*(VLOOKUP(M699, 'PlayerGrades+'!$X$3:$Y$23, 2, FALSE)))+('PlayerGrades+'!$Y$52*(VLOOKUP(O699, 'PlayerGrades+'!$X$3:$Y$23, 2, FALSE)))+('PlayerGrades+'!$Y$53*(VLOOKUP(Q699, 'PlayerGrades+'!$X$3:$Y$23, 2, FALSE)))+('PlayerGrades+'!$Y$54*(VLOOKUP(S699, 'PlayerGrades+'!$X$3:$Y$23, 2, FALSE)))+('PlayerGrades+'!$Y$55*(VLOOKUP(U699, 'PlayerGrades+'!$X$3:$Y$23, 2, FALSE)))</f>
        <v>11.5</v>
      </c>
      <c r="D699" s="973">
        <f t="shared" si="1"/>
        <v>0.4598540146</v>
      </c>
      <c r="E699" s="973" t="str">
        <f>IF(D699&lt;'PlayerGrades+'!$AA$21,"F-",IF(D699&lt;'PlayerGrades+'!$AA$20,"F",IF(D699&lt;'PlayerGrades+'!$AA$19,"F+",IF(D699&lt;'PlayerGrades+'!$AA$18,"E-",IF(D699&lt;'PlayerGrades+'!$AA$17,"E",IF(D699&lt;'PlayerGrades+'!$AA$16,"E+",IF(D699&lt;'PlayerGrades+'!$AA$15,"D-",IF(D699&lt;'PlayerGrades+'!$AA$14,"D",IF(D699&lt;'PlayerGrades+'!$AA$13,"D+",IF(D699&lt;'PlayerGrades+'!$AA$12,"C-",IF(D699&lt;'PlayerGrades+'!$AA$11,"C",IF(D699&lt;'PlayerGrades+'!$AA$10,"C+",IF(D699&lt;'PlayerGrades+'!$AA$9,"B-",IF(D699&lt;'PlayerGrades+'!$AA$8,"B",IF(D699&lt;'PlayerGrades+'!$AA$7,"B+",IF(D699&lt;'PlayerGrades+'!$AA$6,"A-",IF(D699&lt;'PlayerGrades+'!$AA$5,"A",IF(D699&lt;'PlayerGrades+'!$AA$4,"A+",IF(D699&lt;'PlayerGrades+'!$AA$3,"S-",IF(D699&lt;'PlayerGrades+'!$AA$2,"S","S+"))))))))))))))))))))</f>
        <v>A+</v>
      </c>
      <c r="F699" s="973">
        <f t="shared" si="2"/>
        <v>-0.1313868613</v>
      </c>
      <c r="G699" s="973" t="str">
        <f>IF(F699&lt;'PlayerGrades+'!$AB$21,"F-",IF(F699&lt;'PlayerGrades+'!$AB$20,"F",IF(F699&lt;'PlayerGrades+'!$AB$19,"F+",IF(F699&lt;'PlayerGrades+'!$AB$18,"E-",IF(F699&lt;'PlayerGrades+'!$AB$17,"E",IF(F699&lt;'PlayerGrades+'!$AB$16,"E+",IF(F699&lt;'PlayerGrades+'!$AB$15,"D-",IF(F699&lt;'PlayerGrades+'!$AB$14,"D",IF(F699&lt;'PlayerGrades+'!$AB$13,"D+",IF(F699&lt;'PlayerGrades+'!$AB$12,"C-",IF(F699&lt;'PlayerGrades+'!$AB$11,"C",IF(F699&lt;'PlayerGrades+'!$AB$10,"C+",IF(F699&lt;'PlayerGrades+'!$AB$9,"B-",IF(F699&lt;'PlayerGrades+'!$AB$8,"B",IF(F699&lt;'PlayerGrades+'!$AB$7,"B+",IF(F699&lt;'PlayerGrades+'!$AB$6,"A-",IF(F699&lt;'PlayerGrades+'!$AB$5,"A",IF(F699&lt;'PlayerGrades+'!$AB$4,"A+",IF(F699&lt;'PlayerGrades+'!$AB$3,"S-",IF(F699&lt;'PlayerGrades+'!$AB$2,"S","S+"))))))))))))))))))))</f>
        <v>C+</v>
      </c>
      <c r="H699" s="973">
        <f t="shared" si="3"/>
        <v>0.04379562044</v>
      </c>
      <c r="I699" s="973" t="str">
        <f>IF(H699&lt;'PlayerGrades+'!$AC$21,"F-",IF(H699&lt;'PlayerGrades+'!$AC$20,"F",IF(H699&lt;'PlayerGrades+'!$AC$19,"F+",IF(H699&lt;'PlayerGrades+'!$AC$18,"E-",IF(H699&lt;'PlayerGrades+'!$AC$17,"E",IF(H699&lt;'PlayerGrades+'!$AC$16,"E+",IF(H699&lt;'PlayerGrades+'!$AC$15,"D-",IF(H699&lt;'PlayerGrades+'!$AC$14,"D",IF(H699&lt;'PlayerGrades+'!$AC$13,"D+",IF(H699&lt;'PlayerGrades+'!$AC$12,"C-",IF(H699&lt;'PlayerGrades+'!$AC$11,"C",IF(H699&lt;'PlayerGrades+'!$AC$10,"C+",IF(H699&lt;'PlayerGrades+'!$AC$9,"B-",IF(H699&lt;'PlayerGrades+'!$AC$8,"B",IF(H699&lt;'PlayerGrades+'!$AC$7,"B+",IF(H699&lt;'PlayerGrades+'!$AC$6,"A-",IF(H699&lt;'PlayerGrades+'!$AC$5,"A",IF(H699&lt;'PlayerGrades+'!$AC$4,"A+",IF(H699&lt;'PlayerGrades+'!$AC$3,"S-",IF(H699&lt;'PlayerGrades+'!$AC$2,"S","S+"))))))))))))))))))))</f>
        <v>F</v>
      </c>
      <c r="J699" s="973">
        <f t="shared" si="4"/>
        <v>0.04379562044</v>
      </c>
      <c r="K699" s="973" t="str">
        <f>IF(J699&lt;'PlayerGrades+'!$AD$21,"F-",IF(J699&lt;'PlayerGrades+'!$AD$20,"F",IF(J699&lt;'PlayerGrades+'!$AD$19,"F+",IF(J699&lt;'PlayerGrades+'!$AD$18,"E-",IF(J699&lt;'PlayerGrades+'!$AD$17,"E",IF(J699&lt;'PlayerGrades+'!$AD$16,"E+",IF(J699&lt;'PlayerGrades+'!$AD$15,"D-",IF(J699&lt;'PlayerGrades+'!$AD$14,"D",IF(J699&lt;'PlayerGrades+'!$AD$13,"D+",IF(J699&lt;'PlayerGrades+'!$AD$12,"C-",IF(J699&lt;'PlayerGrades+'!$AD$11,"C",IF(J699&lt;'PlayerGrades+'!$AD$10,"C+",IF(J699&lt;'PlayerGrades+'!$AD$9,"B-",IF(J699&lt;'PlayerGrades+'!$AD$8,"B",IF(J699&lt;'PlayerGrades+'!$AD$7,"B+",IF(J699&lt;'PlayerGrades+'!$AD$6,"A-",IF(J699&lt;'PlayerGrades+'!$AD$5,"A",IF(J699&lt;'PlayerGrades+'!$AD$4,"A+",IF(J699&lt;'PlayerGrades+'!$AD$3,"S-",IF(J699&lt;'PlayerGrades+'!$AD$2,"S","S+"))))))))))))))))))))</f>
        <v>B-</v>
      </c>
      <c r="L699" s="974">
        <f t="shared" si="5"/>
        <v>0.197080292</v>
      </c>
      <c r="M699" s="975" t="str">
        <f>IF(L699&lt;'PlayerGrades+'!$AE$21,"F-",IF(L699&lt;'PlayerGrades+'!$AE$20,"F",IF(L699&lt;'PlayerGrades+'!$AE$19,"F+",IF(L699&lt;'PlayerGrades+'!$AE$18,"E-",IF(L699&lt;'PlayerGrades+'!$AE$17,"E",IF(L699&lt;'PlayerGrades+'!$AE$16,"E+",IF(L699&lt;'PlayerGrades+'!$AE$15,"D-",IF(L699&lt;'PlayerGrades+'!$AE$14,"D",IF(L699&lt;'PlayerGrades+'!$AE$13,"D+",IF(L699&lt;'PlayerGrades+'!$AE$12,"C-",IF(L699&lt;'PlayerGrades+'!$AE$11,"C",IF(L699&lt;'PlayerGrades+'!$AE$10,"C+",IF(L699&lt;'PlayerGrades+'!$AE$9,"B-",IF(L699&lt;'PlayerGrades+'!$AE$8,"B",IF(L699&lt;'PlayerGrades+'!$AE$7,"B+",IF(L699&lt;'PlayerGrades+'!$AE$6,"A-",IF(L699&lt;'PlayerGrades+'!$AE$5,"A",IF(L699&lt;'PlayerGrades+'!$AE$4,"A+",IF(L699&lt;'PlayerGrades+'!$AE$3,"S-",IF(L699&lt;'PlayerGrades+'!$AE$2,"S","S+"))))))))))))))))))))</f>
        <v>F</v>
      </c>
      <c r="N699" s="973">
        <f t="shared" si="6"/>
        <v>0.02189781022</v>
      </c>
      <c r="O699" s="973" t="str">
        <f>IF(N699&lt;'PlayerGrades+'!$AF$21,"F-",IF(N699&lt;'PlayerGrades+'!$AF$20,"F",IF(N699&lt;'PlayerGrades+'!$AF$19,"F+",IF(N699&lt;'PlayerGrades+'!$AF$18,"E-",IF(N699&lt;'PlayerGrades+'!$AF$17,"E",IF(N699&lt;'PlayerGrades+'!$AF$16,"E+",IF(N699&lt;'PlayerGrades+'!$AF$15,"D-",IF(N699&lt;'PlayerGrades+'!$AF$14,"D",IF(N699&lt;'PlayerGrades+'!$AF$13,"D+",IF(N699&lt;'PlayerGrades+'!$AF$12,"C-",IF(N699&lt;'PlayerGrades+'!$AF$11,"C",IF(N699&lt;'PlayerGrades+'!$AF$10,"C+",IF(N699&lt;'PlayerGrades+'!$AF$9,"B-",IF(N699&lt;'PlayerGrades+'!$AF$8,"B",IF(N699&lt;'PlayerGrades+'!$AF$7,"B+",IF(N699&lt;'PlayerGrades+'!$AF$6,"A-",IF(N699&lt;'PlayerGrades+'!$AF$5,"A",IF(N699&lt;'PlayerGrades+'!$AF$4,"A+",IF(N699&lt;'PlayerGrades+'!$AF$3,"S-",IF(N699&lt;'PlayerGrades+'!$AF$2,"S","S+"))))))))))))))))))))</f>
        <v>F-</v>
      </c>
      <c r="P699" s="973">
        <f t="shared" si="7"/>
        <v>0</v>
      </c>
      <c r="Q699" s="973" t="str">
        <f>IF(P699&lt;'PlayerGrades+'!$AG$21,"F-",IF(P699&lt;'PlayerGrades+'!$AG$20,"F",IF(P699&lt;'PlayerGrades+'!$AG$19,"F+",IF(P699&lt;'PlayerGrades+'!$AG$18,"E-",IF(P699&lt;'PlayerGrades+'!$AG$17,"E",IF(P699&lt;'PlayerGrades+'!$AG$16,"E+",IF(P699&lt;'PlayerGrades+'!$AG$15,"D-",IF(P699&lt;'PlayerGrades+'!$AG$14,"D",IF(P699&lt;'PlayerGrades+'!$AG$13,"D+",IF(P699&lt;'PlayerGrades+'!$AG$12,"C-",IF(P699&lt;'PlayerGrades+'!$AG$11,"C",IF(P699&lt;'PlayerGrades+'!$AG$10,"C+",IF(P699&lt;'PlayerGrades+'!$AG$9,"B-",IF(P699&lt;'PlayerGrades+'!$AG$8,"B",IF(P699&lt;'PlayerGrades+'!$AG$7,"B+",IF(P699&lt;'PlayerGrades+'!$AG$6,"A-",IF(P699&lt;'PlayerGrades+'!$AG$5,"A",IF(P699&lt;'PlayerGrades+'!$AG$4,"A+",IF(P699&lt;'PlayerGrades+'!$AG$3,"S-",IF(P699&lt;'PlayerGrades+'!$AG$2,"S","S+"))))))))))))))))))))</f>
        <v>F</v>
      </c>
      <c r="R699" s="973">
        <f t="shared" si="8"/>
        <v>0.3722627737</v>
      </c>
      <c r="S699" s="973" t="str">
        <f>IF(R699&lt;'PlayerGrades+'!$AH$21,"F-",IF(R699&lt;'PlayerGrades+'!$AH$20,"F",IF(R699&lt;'PlayerGrades+'!$AH$19,"F+",IF(R699&lt;'PlayerGrades+'!$AH$18,"E-",IF(R699&lt;'PlayerGrades+'!$AH$17,"E",IF(R699&lt;'PlayerGrades+'!$AH$16,"E+",IF(R699&lt;'PlayerGrades+'!$AH$15,"D-",IF(R699&lt;'PlayerGrades+'!$AH$14,"D",IF(R699&lt;'PlayerGrades+'!$AH$13,"D+",IF(R699&lt;'PlayerGrades+'!$AH$12,"C-",IF(R699&lt;'PlayerGrades+'!$AH$11,"C",IF(R699&lt;'PlayerGrades+'!$AH$10,"C+",IF(R699&lt;'PlayerGrades+'!$AH$9,"B-",IF(R699&lt;'PlayerGrades+'!$AH$8,"B",IF(R699&lt;'PlayerGrades+'!$AH$7,"B+",IF(R699&lt;'PlayerGrades+'!$AH$6,"A-",IF(R699&lt;'PlayerGrades+'!$AH$5,"A",IF(R699&lt;'PlayerGrades+'!$AH$4,"A+",IF(R699&lt;'PlayerGrades+'!$AH$3,"S-",IF(R699&lt;'PlayerGrades+'!$AH$2,"S","S+"))))))))))))))))))))</f>
        <v>F</v>
      </c>
      <c r="T699" s="973">
        <f t="shared" si="9"/>
        <v>0.3065693431</v>
      </c>
      <c r="U699" s="973" t="str">
        <f>IF(T699&lt;'PlayerGrades+'!$AI$21,"F-",IF(T699&lt;'PlayerGrades+'!$AI$20,"F",IF(T699&lt;'PlayerGrades+'!$AI$19,"F+",IF(T699&lt;'PlayerGrades+'!$AI$18,"E-",IF(T699&lt;'PlayerGrades+'!$AI$17,"E",IF(T699&lt;'PlayerGrades+'!$AI$16,"E+",IF(T699&lt;'PlayerGrades+'!$AI$15,"D-",IF(T699&lt;'PlayerGrades+'!$AI$14,"D",IF(T699&lt;'PlayerGrades+'!$AI$13,"D+",IF(T699&lt;'PlayerGrades+'!$AI$12,"C-",IF(T699&lt;'PlayerGrades+'!$AI$11,"C",IF(T699&lt;'PlayerGrades+'!$AI$10,"C+",IF(T699&lt;'PlayerGrades+'!$AI$9,"B-",IF(T699&lt;'PlayerGrades+'!$AI$8,"B",IF(T699&lt;'PlayerGrades+'!$AI$7,"B+",IF(T699&lt;'PlayerGrades+'!$AI$6,"A-",IF(T699&lt;'PlayerGrades+'!$AI$5,"A",IF(T699&lt;'PlayerGrades+'!$AI$4,"A+",IF(T699&lt;'PlayerGrades+'!$AI$3,"S-",IF(T699&lt;'PlayerGrades+'!$AI$2,"S","S+"))))))))))))))))))))</f>
        <v>F-</v>
      </c>
      <c r="V699" s="941">
        <v>1.0</v>
      </c>
      <c r="W699" s="941">
        <v>1.0</v>
      </c>
      <c r="X699" s="941">
        <v>0.0</v>
      </c>
      <c r="Y699" s="941">
        <v>2.0</v>
      </c>
      <c r="Z699" s="941">
        <v>19.0</v>
      </c>
      <c r="AA699" s="941">
        <v>102.0</v>
      </c>
      <c r="AB699" s="941">
        <v>108.0</v>
      </c>
      <c r="AC699" s="941">
        <v>-6.0</v>
      </c>
      <c r="AD699" s="941">
        <v>5.0</v>
      </c>
      <c r="AE699" s="941">
        <v>6.0</v>
      </c>
      <c r="AF699" s="941">
        <v>1.0</v>
      </c>
      <c r="AG699" s="941">
        <v>2306.0</v>
      </c>
      <c r="AH699" s="941">
        <v>2740.0</v>
      </c>
      <c r="AI699" s="941">
        <v>21.0</v>
      </c>
      <c r="AJ699" s="941">
        <v>1123.0</v>
      </c>
      <c r="AK699" s="941">
        <v>0.0</v>
      </c>
      <c r="AL699" s="941">
        <v>2.0</v>
      </c>
      <c r="AM699" s="941">
        <v>0.0</v>
      </c>
      <c r="AN699" s="941">
        <v>0.0</v>
      </c>
      <c r="AO699" s="941">
        <v>0.0</v>
      </c>
      <c r="AP699" s="941">
        <v>0.0</v>
      </c>
      <c r="AQ699" s="941">
        <v>0.0</v>
      </c>
      <c r="AR699" s="941">
        <v>9.0</v>
      </c>
      <c r="AS699" s="941">
        <v>1.0</v>
      </c>
      <c r="AT699" s="941">
        <v>1.0</v>
      </c>
      <c r="AU699" s="941">
        <v>0.0</v>
      </c>
      <c r="AV699" s="941">
        <v>0.0</v>
      </c>
      <c r="AW699" s="941">
        <v>0.0</v>
      </c>
      <c r="AX699" s="941">
        <v>0.0</v>
      </c>
      <c r="AY699" s="941">
        <v>0.0</v>
      </c>
      <c r="AZ699" s="941">
        <v>0.0</v>
      </c>
      <c r="BA699" s="941">
        <v>0.0</v>
      </c>
      <c r="BB699" s="941">
        <v>2.0</v>
      </c>
      <c r="BC699" s="941">
        <v>0.0</v>
      </c>
      <c r="BD699" s="941">
        <v>12.0</v>
      </c>
      <c r="BE699" s="941">
        <v>14.0</v>
      </c>
      <c r="BF699" s="941">
        <v>0.0</v>
      </c>
      <c r="BG699" s="941">
        <v>1.0</v>
      </c>
    </row>
    <row r="700">
      <c r="A700" s="1" t="s">
        <v>145</v>
      </c>
      <c r="B700" s="421" t="str">
        <f>IF(C700&lt;'PlayerGrades+'!$Y$44,"F-",IF(C700&lt;'PlayerGrades+'!$Y$43,"F",IF(C700&lt;'PlayerGrades+'!$Y$42,"F+",IF(C700&lt;'PlayerGrades+'!$Y$41,"E-",IF(C700&lt;'PlayerGrades+'!$Y$40,"E",IF(C700&lt;'PlayerGrades+'!$Y$39,"E+",IF(C700&lt;'PlayerGrades+'!$Y$38,"D-",IF(C700&lt;'PlayerGrades+'!$Y$37,"D",IF(C700&lt;'PlayerGrades+'!$Y$36,"D+",IF(C700&lt;'PlayerGrades+'!$Y$35,"C-",IF(C700&lt;'PlayerGrades+'!$Y$34,"C",IF(C700&lt;'PlayerGrades+'!$Y$33,"C+",IF(C700&lt;'PlayerGrades+'!$Y$32,"B-",IF(C700&lt;'PlayerGrades+'!$Y$31,"B",IF(C700&lt;'PlayerGrades+'!$Y$30,"B+",IF(C700&lt;'PlayerGrades+'!$Y$29,"A-",IF(C700&lt;'PlayerGrades+'!$Y$28,"A",IF(C700&lt;'PlayerGrades+'!$Y$27,"A+",IF(C700&lt;'PlayerGrades+'!$Y$26,"S-",IF(C700&lt;'PlayerGrades+'!$Y$25,"S","S+"))))))))))))))))))))</f>
        <v>B+</v>
      </c>
      <c r="C700" s="972">
        <f>('PlayerGrades+'!$Y$47*(VLOOKUP(E700, 'PlayerGrades+'!$X$3:$Y$23, 2, FALSE)))+('PlayerGrades+'!$Y$48*(VLOOKUP(G700, 'PlayerGrades+'!$X$3:$Y$23, 2, FALSE)))+('PlayerGrades+'!$Y$49*(VLOOKUP(I700, 'PlayerGrades+'!$X$3:$Y$23, 2, FALSE)))+('PlayerGrades+'!$Y$50*(VLOOKUP(K700, 'PlayerGrades+'!$X$3:$Y$23, 2, FALSE)))+('PlayerGrades+'!$Y$51*(VLOOKUP(M700, 'PlayerGrades+'!$X$3:$Y$23, 2, FALSE)))+('PlayerGrades+'!$Y$52*(VLOOKUP(O700, 'PlayerGrades+'!$X$3:$Y$23, 2, FALSE)))+('PlayerGrades+'!$Y$53*(VLOOKUP(Q700, 'PlayerGrades+'!$X$3:$Y$23, 2, FALSE)))+('PlayerGrades+'!$Y$54*(VLOOKUP(S700, 'PlayerGrades+'!$X$3:$Y$23, 2, FALSE)))+('PlayerGrades+'!$Y$55*(VLOOKUP(U700, 'PlayerGrades+'!$X$3:$Y$23, 2, FALSE)))</f>
        <v>24.25</v>
      </c>
      <c r="D700" s="973">
        <f t="shared" si="1"/>
        <v>0.04379562044</v>
      </c>
      <c r="E700" s="973" t="str">
        <f>IF(D700&lt;'PlayerGrades+'!$AA$21,"F-",IF(D700&lt;'PlayerGrades+'!$AA$20,"F",IF(D700&lt;'PlayerGrades+'!$AA$19,"F+",IF(D700&lt;'PlayerGrades+'!$AA$18,"E-",IF(D700&lt;'PlayerGrades+'!$AA$17,"E",IF(D700&lt;'PlayerGrades+'!$AA$16,"E+",IF(D700&lt;'PlayerGrades+'!$AA$15,"D-",IF(D700&lt;'PlayerGrades+'!$AA$14,"D",IF(D700&lt;'PlayerGrades+'!$AA$13,"D+",IF(D700&lt;'PlayerGrades+'!$AA$12,"C-",IF(D700&lt;'PlayerGrades+'!$AA$11,"C",IF(D700&lt;'PlayerGrades+'!$AA$10,"C+",IF(D700&lt;'PlayerGrades+'!$AA$9,"B-",IF(D700&lt;'PlayerGrades+'!$AA$8,"B",IF(D700&lt;'PlayerGrades+'!$AA$7,"B+",IF(D700&lt;'PlayerGrades+'!$AA$6,"A-",IF(D700&lt;'PlayerGrades+'!$AA$5,"A",IF(D700&lt;'PlayerGrades+'!$AA$4,"A+",IF(D700&lt;'PlayerGrades+'!$AA$3,"S-",IF(D700&lt;'PlayerGrades+'!$AA$2,"S","S+"))))))))))))))))))))</f>
        <v>C</v>
      </c>
      <c r="F700" s="973">
        <f t="shared" si="2"/>
        <v>0</v>
      </c>
      <c r="G700" s="973" t="str">
        <f>IF(F700&lt;'PlayerGrades+'!$AB$21,"F-",IF(F700&lt;'PlayerGrades+'!$AB$20,"F",IF(F700&lt;'PlayerGrades+'!$AB$19,"F+",IF(F700&lt;'PlayerGrades+'!$AB$18,"E-",IF(F700&lt;'PlayerGrades+'!$AB$17,"E",IF(F700&lt;'PlayerGrades+'!$AB$16,"E+",IF(F700&lt;'PlayerGrades+'!$AB$15,"D-",IF(F700&lt;'PlayerGrades+'!$AB$14,"D",IF(F700&lt;'PlayerGrades+'!$AB$13,"D+",IF(F700&lt;'PlayerGrades+'!$AB$12,"C-",IF(F700&lt;'PlayerGrades+'!$AB$11,"C",IF(F700&lt;'PlayerGrades+'!$AB$10,"C+",IF(F700&lt;'PlayerGrades+'!$AB$9,"B-",IF(F700&lt;'PlayerGrades+'!$AB$8,"B",IF(F700&lt;'PlayerGrades+'!$AB$7,"B+",IF(F700&lt;'PlayerGrades+'!$AB$6,"A-",IF(F700&lt;'PlayerGrades+'!$AB$5,"A",IF(F700&lt;'PlayerGrades+'!$AB$4,"A+",IF(F700&lt;'PlayerGrades+'!$AB$3,"S-",IF(F700&lt;'PlayerGrades+'!$AB$2,"S","S+"))))))))))))))))))))</f>
        <v>B</v>
      </c>
      <c r="H700" s="973">
        <f t="shared" si="3"/>
        <v>0.06569343066</v>
      </c>
      <c r="I700" s="973" t="str">
        <f>IF(H700&lt;'PlayerGrades+'!$AC$21,"F-",IF(H700&lt;'PlayerGrades+'!$AC$20,"F",IF(H700&lt;'PlayerGrades+'!$AC$19,"F+",IF(H700&lt;'PlayerGrades+'!$AC$18,"E-",IF(H700&lt;'PlayerGrades+'!$AC$17,"E",IF(H700&lt;'PlayerGrades+'!$AC$16,"E+",IF(H700&lt;'PlayerGrades+'!$AC$15,"D-",IF(H700&lt;'PlayerGrades+'!$AC$14,"D",IF(H700&lt;'PlayerGrades+'!$AC$13,"D+",IF(H700&lt;'PlayerGrades+'!$AC$12,"C-",IF(H700&lt;'PlayerGrades+'!$AC$11,"C",IF(H700&lt;'PlayerGrades+'!$AC$10,"C+",IF(H700&lt;'PlayerGrades+'!$AC$9,"B-",IF(H700&lt;'PlayerGrades+'!$AC$8,"B",IF(H700&lt;'PlayerGrades+'!$AC$7,"B+",IF(H700&lt;'PlayerGrades+'!$AC$6,"A-",IF(H700&lt;'PlayerGrades+'!$AC$5,"A",IF(H700&lt;'PlayerGrades+'!$AC$4,"A+",IF(H700&lt;'PlayerGrades+'!$AC$3,"S-",IF(H700&lt;'PlayerGrades+'!$AC$2,"S","S+"))))))))))))))))))))</f>
        <v>E</v>
      </c>
      <c r="J700" s="973">
        <f t="shared" si="4"/>
        <v>0.02189781022</v>
      </c>
      <c r="K700" s="973" t="str">
        <f>IF(J700&lt;'PlayerGrades+'!$AD$21,"F-",IF(J700&lt;'PlayerGrades+'!$AD$20,"F",IF(J700&lt;'PlayerGrades+'!$AD$19,"F+",IF(J700&lt;'PlayerGrades+'!$AD$18,"E-",IF(J700&lt;'PlayerGrades+'!$AD$17,"E",IF(J700&lt;'PlayerGrades+'!$AD$16,"E+",IF(J700&lt;'PlayerGrades+'!$AD$15,"D-",IF(J700&lt;'PlayerGrades+'!$AD$14,"D",IF(J700&lt;'PlayerGrades+'!$AD$13,"D+",IF(J700&lt;'PlayerGrades+'!$AD$12,"C-",IF(J700&lt;'PlayerGrades+'!$AD$11,"C",IF(J700&lt;'PlayerGrades+'!$AD$10,"C+",IF(J700&lt;'PlayerGrades+'!$AD$9,"B-",IF(J700&lt;'PlayerGrades+'!$AD$8,"B",IF(J700&lt;'PlayerGrades+'!$AD$7,"B+",IF(J700&lt;'PlayerGrades+'!$AD$6,"A-",IF(J700&lt;'PlayerGrades+'!$AD$5,"A",IF(J700&lt;'PlayerGrades+'!$AD$4,"A+",IF(J700&lt;'PlayerGrades+'!$AD$3,"S-",IF(J700&lt;'PlayerGrades+'!$AD$2,"S","S+"))))))))))))))))))))</f>
        <v>D-</v>
      </c>
      <c r="L700" s="974">
        <f t="shared" si="5"/>
        <v>0.5912408759</v>
      </c>
      <c r="M700" s="975" t="str">
        <f>IF(L700&lt;'PlayerGrades+'!$AE$21,"F-",IF(L700&lt;'PlayerGrades+'!$AE$20,"F",IF(L700&lt;'PlayerGrades+'!$AE$19,"F+",IF(L700&lt;'PlayerGrades+'!$AE$18,"E-",IF(L700&lt;'PlayerGrades+'!$AE$17,"E",IF(L700&lt;'PlayerGrades+'!$AE$16,"E+",IF(L700&lt;'PlayerGrades+'!$AE$15,"D-",IF(L700&lt;'PlayerGrades+'!$AE$14,"D",IF(L700&lt;'PlayerGrades+'!$AE$13,"D+",IF(L700&lt;'PlayerGrades+'!$AE$12,"C-",IF(L700&lt;'PlayerGrades+'!$AE$11,"C",IF(L700&lt;'PlayerGrades+'!$AE$10,"C+",IF(L700&lt;'PlayerGrades+'!$AE$9,"B-",IF(L700&lt;'PlayerGrades+'!$AE$8,"B",IF(L700&lt;'PlayerGrades+'!$AE$7,"B+",IF(L700&lt;'PlayerGrades+'!$AE$6,"A-",IF(L700&lt;'PlayerGrades+'!$AE$5,"A",IF(L700&lt;'PlayerGrades+'!$AE$4,"A+",IF(L700&lt;'PlayerGrades+'!$AE$3,"S-",IF(L700&lt;'PlayerGrades+'!$AE$2,"S","S+"))))))))))))))))))))</f>
        <v>A+</v>
      </c>
      <c r="N700" s="973">
        <f t="shared" si="6"/>
        <v>0.06569343066</v>
      </c>
      <c r="O700" s="973" t="str">
        <f>IF(N700&lt;'PlayerGrades+'!$AF$21,"F-",IF(N700&lt;'PlayerGrades+'!$AF$20,"F",IF(N700&lt;'PlayerGrades+'!$AF$19,"F+",IF(N700&lt;'PlayerGrades+'!$AF$18,"E-",IF(N700&lt;'PlayerGrades+'!$AF$17,"E",IF(N700&lt;'PlayerGrades+'!$AF$16,"E+",IF(N700&lt;'PlayerGrades+'!$AF$15,"D-",IF(N700&lt;'PlayerGrades+'!$AF$14,"D",IF(N700&lt;'PlayerGrades+'!$AF$13,"D+",IF(N700&lt;'PlayerGrades+'!$AF$12,"C-",IF(N700&lt;'PlayerGrades+'!$AF$11,"C",IF(N700&lt;'PlayerGrades+'!$AF$10,"C+",IF(N700&lt;'PlayerGrades+'!$AF$9,"B-",IF(N700&lt;'PlayerGrades+'!$AF$8,"B",IF(N700&lt;'PlayerGrades+'!$AF$7,"B+",IF(N700&lt;'PlayerGrades+'!$AF$6,"A-",IF(N700&lt;'PlayerGrades+'!$AF$5,"A",IF(N700&lt;'PlayerGrades+'!$AF$4,"A+",IF(N700&lt;'PlayerGrades+'!$AF$3,"S-",IF(N700&lt;'PlayerGrades+'!$AF$2,"S","S+"))))))))))))))))))))</f>
        <v>C-</v>
      </c>
      <c r="P700" s="973">
        <f t="shared" si="7"/>
        <v>0.02189781022</v>
      </c>
      <c r="Q700" s="973" t="str">
        <f>IF(P700&lt;'PlayerGrades+'!$AG$21,"F-",IF(P700&lt;'PlayerGrades+'!$AG$20,"F",IF(P700&lt;'PlayerGrades+'!$AG$19,"F+",IF(P700&lt;'PlayerGrades+'!$AG$18,"E-",IF(P700&lt;'PlayerGrades+'!$AG$17,"E",IF(P700&lt;'PlayerGrades+'!$AG$16,"E+",IF(P700&lt;'PlayerGrades+'!$AG$15,"D-",IF(P700&lt;'PlayerGrades+'!$AG$14,"D",IF(P700&lt;'PlayerGrades+'!$AG$13,"D+",IF(P700&lt;'PlayerGrades+'!$AG$12,"C-",IF(P700&lt;'PlayerGrades+'!$AG$11,"C",IF(P700&lt;'PlayerGrades+'!$AG$10,"C+",IF(P700&lt;'PlayerGrades+'!$AG$9,"B-",IF(P700&lt;'PlayerGrades+'!$AG$8,"B",IF(P700&lt;'PlayerGrades+'!$AG$7,"B+",IF(P700&lt;'PlayerGrades+'!$AG$6,"A-",IF(P700&lt;'PlayerGrades+'!$AG$5,"A",IF(P700&lt;'PlayerGrades+'!$AG$4,"A+",IF(P700&lt;'PlayerGrades+'!$AG$3,"S-",IF(P700&lt;'PlayerGrades+'!$AG$2,"S","S+"))))))))))))))))))))</f>
        <v>C+</v>
      </c>
      <c r="R700" s="973">
        <f t="shared" si="8"/>
        <v>0.8540145985</v>
      </c>
      <c r="S700" s="973" t="str">
        <f>IF(R700&lt;'PlayerGrades+'!$AH$21,"F-",IF(R700&lt;'PlayerGrades+'!$AH$20,"F",IF(R700&lt;'PlayerGrades+'!$AH$19,"F+",IF(R700&lt;'PlayerGrades+'!$AH$18,"E-",IF(R700&lt;'PlayerGrades+'!$AH$17,"E",IF(R700&lt;'PlayerGrades+'!$AH$16,"E+",IF(R700&lt;'PlayerGrades+'!$AH$15,"D-",IF(R700&lt;'PlayerGrades+'!$AH$14,"D",IF(R700&lt;'PlayerGrades+'!$AH$13,"D+",IF(R700&lt;'PlayerGrades+'!$AH$12,"C-",IF(R700&lt;'PlayerGrades+'!$AH$11,"C",IF(R700&lt;'PlayerGrades+'!$AH$10,"C+",IF(R700&lt;'PlayerGrades+'!$AH$9,"B-",IF(R700&lt;'PlayerGrades+'!$AH$8,"B",IF(R700&lt;'PlayerGrades+'!$AH$7,"B+",IF(R700&lt;'PlayerGrades+'!$AH$6,"A-",IF(R700&lt;'PlayerGrades+'!$AH$5,"A",IF(R700&lt;'PlayerGrades+'!$AH$4,"A+",IF(R700&lt;'PlayerGrades+'!$AH$3,"S-",IF(R700&lt;'PlayerGrades+'!$AH$2,"S","S+"))))))))))))))))))))</f>
        <v>S+</v>
      </c>
      <c r="T700" s="973">
        <f t="shared" si="9"/>
        <v>2.503649635</v>
      </c>
      <c r="U700" s="973" t="str">
        <f>IF(T700&lt;'PlayerGrades+'!$AI$21,"F-",IF(T700&lt;'PlayerGrades+'!$AI$20,"F",IF(T700&lt;'PlayerGrades+'!$AI$19,"F+",IF(T700&lt;'PlayerGrades+'!$AI$18,"E-",IF(T700&lt;'PlayerGrades+'!$AI$17,"E",IF(T700&lt;'PlayerGrades+'!$AI$16,"E+",IF(T700&lt;'PlayerGrades+'!$AI$15,"D-",IF(T700&lt;'PlayerGrades+'!$AI$14,"D",IF(T700&lt;'PlayerGrades+'!$AI$13,"D+",IF(T700&lt;'PlayerGrades+'!$AI$12,"C-",IF(T700&lt;'PlayerGrades+'!$AI$11,"C",IF(T700&lt;'PlayerGrades+'!$AI$10,"C+",IF(T700&lt;'PlayerGrades+'!$AI$9,"B-",IF(T700&lt;'PlayerGrades+'!$AI$8,"B",IF(T700&lt;'PlayerGrades+'!$AI$7,"B+",IF(T700&lt;'PlayerGrades+'!$AI$6,"A-",IF(T700&lt;'PlayerGrades+'!$AI$5,"A",IF(T700&lt;'PlayerGrades+'!$AI$4,"A+",IF(T700&lt;'PlayerGrades+'!$AI$3,"S-",IF(T700&lt;'PlayerGrades+'!$AI$2,"S","S+"))))))))))))))))))))</f>
        <v>S+</v>
      </c>
      <c r="V700" s="941">
        <v>1.0</v>
      </c>
      <c r="W700" s="941">
        <v>1.0</v>
      </c>
      <c r="X700" s="941">
        <v>0.0</v>
      </c>
      <c r="Y700" s="941">
        <v>1.0</v>
      </c>
      <c r="Z700" s="941">
        <v>1.0</v>
      </c>
      <c r="AA700" s="941">
        <v>171.0</v>
      </c>
      <c r="AB700" s="941">
        <v>171.0</v>
      </c>
      <c r="AC700" s="941">
        <v>0.0</v>
      </c>
      <c r="AD700" s="941">
        <v>21.0</v>
      </c>
      <c r="AE700" s="941">
        <v>5.0</v>
      </c>
      <c r="AF700" s="941">
        <v>4.0</v>
      </c>
      <c r="AG700" s="941">
        <v>2119.0</v>
      </c>
      <c r="AH700" s="941">
        <v>2740.0</v>
      </c>
      <c r="AI700" s="941">
        <v>12.0</v>
      </c>
      <c r="AJ700" s="941">
        <v>24.0</v>
      </c>
      <c r="AK700" s="941">
        <v>0.0</v>
      </c>
      <c r="AL700" s="941">
        <v>1.0</v>
      </c>
      <c r="AM700" s="941">
        <v>0.0</v>
      </c>
      <c r="AN700" s="941">
        <v>0.0</v>
      </c>
      <c r="AO700" s="941">
        <v>0.0</v>
      </c>
      <c r="AP700" s="941">
        <v>1.0</v>
      </c>
      <c r="AQ700" s="941">
        <v>0.0</v>
      </c>
      <c r="AR700" s="941">
        <v>27.0</v>
      </c>
      <c r="AS700" s="941">
        <v>3.0</v>
      </c>
      <c r="AT700" s="941">
        <v>0.0</v>
      </c>
      <c r="AU700" s="941">
        <v>0.0</v>
      </c>
      <c r="AV700" s="941">
        <v>0.0</v>
      </c>
      <c r="AW700" s="941">
        <v>0.0</v>
      </c>
      <c r="AX700" s="941">
        <v>0.0</v>
      </c>
      <c r="AY700" s="941">
        <v>0.0</v>
      </c>
      <c r="AZ700" s="941">
        <v>0.0</v>
      </c>
      <c r="BA700" s="941">
        <v>0.0</v>
      </c>
      <c r="BB700" s="941">
        <v>3.0</v>
      </c>
      <c r="BC700" s="941">
        <v>0.0</v>
      </c>
      <c r="BD700" s="941">
        <v>18.0</v>
      </c>
      <c r="BE700" s="941">
        <v>23.0</v>
      </c>
      <c r="BF700" s="941">
        <v>2.0</v>
      </c>
      <c r="BG700" s="941">
        <v>1.0</v>
      </c>
    </row>
    <row r="701">
      <c r="A701" s="1" t="s">
        <v>159</v>
      </c>
      <c r="B701" s="421" t="str">
        <f>IF(C701&lt;'PlayerGrades+'!$Y$44,"F-",IF(C701&lt;'PlayerGrades+'!$Y$43,"F",IF(C701&lt;'PlayerGrades+'!$Y$42,"F+",IF(C701&lt;'PlayerGrades+'!$Y$41,"E-",IF(C701&lt;'PlayerGrades+'!$Y$40,"E",IF(C701&lt;'PlayerGrades+'!$Y$39,"E+",IF(C701&lt;'PlayerGrades+'!$Y$38,"D-",IF(C701&lt;'PlayerGrades+'!$Y$37,"D",IF(C701&lt;'PlayerGrades+'!$Y$36,"D+",IF(C701&lt;'PlayerGrades+'!$Y$35,"C-",IF(C701&lt;'PlayerGrades+'!$Y$34,"C",IF(C701&lt;'PlayerGrades+'!$Y$33,"C+",IF(C701&lt;'PlayerGrades+'!$Y$32,"B-",IF(C701&lt;'PlayerGrades+'!$Y$31,"B",IF(C701&lt;'PlayerGrades+'!$Y$30,"B+",IF(C701&lt;'PlayerGrades+'!$Y$29,"A-",IF(C701&lt;'PlayerGrades+'!$Y$28,"A",IF(C701&lt;'PlayerGrades+'!$Y$27,"A+",IF(C701&lt;'PlayerGrades+'!$Y$26,"S-",IF(C701&lt;'PlayerGrades+'!$Y$25,"S","S+"))))))))))))))))))))</f>
        <v>F</v>
      </c>
      <c r="C701" s="972">
        <f>('PlayerGrades+'!$Y$47*(VLOOKUP(E701, 'PlayerGrades+'!$X$3:$Y$23, 2, FALSE)))+('PlayerGrades+'!$Y$48*(VLOOKUP(G701, 'PlayerGrades+'!$X$3:$Y$23, 2, FALSE)))+('PlayerGrades+'!$Y$49*(VLOOKUP(I701, 'PlayerGrades+'!$X$3:$Y$23, 2, FALSE)))+('PlayerGrades+'!$Y$50*(VLOOKUP(K701, 'PlayerGrades+'!$X$3:$Y$23, 2, FALSE)))+('PlayerGrades+'!$Y$51*(VLOOKUP(M701, 'PlayerGrades+'!$X$3:$Y$23, 2, FALSE)))+('PlayerGrades+'!$Y$52*(VLOOKUP(O701, 'PlayerGrades+'!$X$3:$Y$23, 2, FALSE)))+('PlayerGrades+'!$Y$53*(VLOOKUP(Q701, 'PlayerGrades+'!$X$3:$Y$23, 2, FALSE)))+('PlayerGrades+'!$Y$54*(VLOOKUP(S701, 'PlayerGrades+'!$X$3:$Y$23, 2, FALSE)))+('PlayerGrades+'!$Y$55*(VLOOKUP(U701, 'PlayerGrades+'!$X$3:$Y$23, 2, FALSE)))</f>
        <v>8.85</v>
      </c>
      <c r="D701" s="973">
        <f t="shared" si="1"/>
        <v>0.1094890511</v>
      </c>
      <c r="E701" s="973" t="str">
        <f>IF(D701&lt;'PlayerGrades+'!$AA$21,"F-",IF(D701&lt;'PlayerGrades+'!$AA$20,"F",IF(D701&lt;'PlayerGrades+'!$AA$19,"F+",IF(D701&lt;'PlayerGrades+'!$AA$18,"E-",IF(D701&lt;'PlayerGrades+'!$AA$17,"E",IF(D701&lt;'PlayerGrades+'!$AA$16,"E+",IF(D701&lt;'PlayerGrades+'!$AA$15,"D-",IF(D701&lt;'PlayerGrades+'!$AA$14,"D",IF(D701&lt;'PlayerGrades+'!$AA$13,"D+",IF(D701&lt;'PlayerGrades+'!$AA$12,"C-",IF(D701&lt;'PlayerGrades+'!$AA$11,"C",IF(D701&lt;'PlayerGrades+'!$AA$10,"C+",IF(D701&lt;'PlayerGrades+'!$AA$9,"B-",IF(D701&lt;'PlayerGrades+'!$AA$8,"B",IF(D701&lt;'PlayerGrades+'!$AA$7,"B+",IF(D701&lt;'PlayerGrades+'!$AA$6,"A-",IF(D701&lt;'PlayerGrades+'!$AA$5,"A",IF(D701&lt;'PlayerGrades+'!$AA$4,"A+",IF(D701&lt;'PlayerGrades+'!$AA$3,"S-",IF(D701&lt;'PlayerGrades+'!$AA$2,"S","S+"))))))))))))))))))))</f>
        <v>B</v>
      </c>
      <c r="F701" s="973">
        <f t="shared" si="2"/>
        <v>-1.072992701</v>
      </c>
      <c r="G701" s="973" t="str">
        <f>IF(F701&lt;'PlayerGrades+'!$AB$21,"F-",IF(F701&lt;'PlayerGrades+'!$AB$20,"F",IF(F701&lt;'PlayerGrades+'!$AB$19,"F+",IF(F701&lt;'PlayerGrades+'!$AB$18,"E-",IF(F701&lt;'PlayerGrades+'!$AB$17,"E",IF(F701&lt;'PlayerGrades+'!$AB$16,"E+",IF(F701&lt;'PlayerGrades+'!$AB$15,"D-",IF(F701&lt;'PlayerGrades+'!$AB$14,"D",IF(F701&lt;'PlayerGrades+'!$AB$13,"D+",IF(F701&lt;'PlayerGrades+'!$AB$12,"C-",IF(F701&lt;'PlayerGrades+'!$AB$11,"C",IF(F701&lt;'PlayerGrades+'!$AB$10,"C+",IF(F701&lt;'PlayerGrades+'!$AB$9,"B-",IF(F701&lt;'PlayerGrades+'!$AB$8,"B",IF(F701&lt;'PlayerGrades+'!$AB$7,"B+",IF(F701&lt;'PlayerGrades+'!$AB$6,"A-",IF(F701&lt;'PlayerGrades+'!$AB$5,"A",IF(F701&lt;'PlayerGrades+'!$AB$4,"A+",IF(F701&lt;'PlayerGrades+'!$AB$3,"S-",IF(F701&lt;'PlayerGrades+'!$AB$2,"S","S+"))))))))))))))))))))</f>
        <v>F</v>
      </c>
      <c r="H701" s="973">
        <f t="shared" si="3"/>
        <v>0.06569343066</v>
      </c>
      <c r="I701" s="973" t="str">
        <f>IF(H701&lt;'PlayerGrades+'!$AC$21,"F-",IF(H701&lt;'PlayerGrades+'!$AC$20,"F",IF(H701&lt;'PlayerGrades+'!$AC$19,"F+",IF(H701&lt;'PlayerGrades+'!$AC$18,"E-",IF(H701&lt;'PlayerGrades+'!$AC$17,"E",IF(H701&lt;'PlayerGrades+'!$AC$16,"E+",IF(H701&lt;'PlayerGrades+'!$AC$15,"D-",IF(H701&lt;'PlayerGrades+'!$AC$14,"D",IF(H701&lt;'PlayerGrades+'!$AC$13,"D+",IF(H701&lt;'PlayerGrades+'!$AC$12,"C-",IF(H701&lt;'PlayerGrades+'!$AC$11,"C",IF(H701&lt;'PlayerGrades+'!$AC$10,"C+",IF(H701&lt;'PlayerGrades+'!$AC$9,"B-",IF(H701&lt;'PlayerGrades+'!$AC$8,"B",IF(H701&lt;'PlayerGrades+'!$AC$7,"B+",IF(H701&lt;'PlayerGrades+'!$AC$6,"A-",IF(H701&lt;'PlayerGrades+'!$AC$5,"A",IF(H701&lt;'PlayerGrades+'!$AC$4,"A+",IF(H701&lt;'PlayerGrades+'!$AC$3,"S-",IF(H701&lt;'PlayerGrades+'!$AC$2,"S","S+"))))))))))))))))))))</f>
        <v>E</v>
      </c>
      <c r="J701" s="973">
        <f t="shared" si="4"/>
        <v>0</v>
      </c>
      <c r="K701" s="973" t="str">
        <f>IF(J701&lt;'PlayerGrades+'!$AD$21,"F-",IF(J701&lt;'PlayerGrades+'!$AD$20,"F",IF(J701&lt;'PlayerGrades+'!$AD$19,"F+",IF(J701&lt;'PlayerGrades+'!$AD$18,"E-",IF(J701&lt;'PlayerGrades+'!$AD$17,"E",IF(J701&lt;'PlayerGrades+'!$AD$16,"E+",IF(J701&lt;'PlayerGrades+'!$AD$15,"D-",IF(J701&lt;'PlayerGrades+'!$AD$14,"D",IF(J701&lt;'PlayerGrades+'!$AD$13,"D+",IF(J701&lt;'PlayerGrades+'!$AD$12,"C-",IF(J701&lt;'PlayerGrades+'!$AD$11,"C",IF(J701&lt;'PlayerGrades+'!$AD$10,"C+",IF(J701&lt;'PlayerGrades+'!$AD$9,"B-",IF(J701&lt;'PlayerGrades+'!$AD$8,"B",IF(J701&lt;'PlayerGrades+'!$AD$7,"B+",IF(J701&lt;'PlayerGrades+'!$AD$6,"A-",IF(J701&lt;'PlayerGrades+'!$AD$5,"A",IF(J701&lt;'PlayerGrades+'!$AD$4,"A+",IF(J701&lt;'PlayerGrades+'!$AD$3,"S-",IF(J701&lt;'PlayerGrades+'!$AD$2,"S","S+"))))))))))))))))))))</f>
        <v>F-</v>
      </c>
      <c r="L701" s="974">
        <f t="shared" si="5"/>
        <v>0.2189781022</v>
      </c>
      <c r="M701" s="975" t="str">
        <f>IF(L701&lt;'PlayerGrades+'!$AE$21,"F-",IF(L701&lt;'PlayerGrades+'!$AE$20,"F",IF(L701&lt;'PlayerGrades+'!$AE$19,"F+",IF(L701&lt;'PlayerGrades+'!$AE$18,"E-",IF(L701&lt;'PlayerGrades+'!$AE$17,"E",IF(L701&lt;'PlayerGrades+'!$AE$16,"E+",IF(L701&lt;'PlayerGrades+'!$AE$15,"D-",IF(L701&lt;'PlayerGrades+'!$AE$14,"D",IF(L701&lt;'PlayerGrades+'!$AE$13,"D+",IF(L701&lt;'PlayerGrades+'!$AE$12,"C-",IF(L701&lt;'PlayerGrades+'!$AE$11,"C",IF(L701&lt;'PlayerGrades+'!$AE$10,"C+",IF(L701&lt;'PlayerGrades+'!$AE$9,"B-",IF(L701&lt;'PlayerGrades+'!$AE$8,"B",IF(L701&lt;'PlayerGrades+'!$AE$7,"B+",IF(L701&lt;'PlayerGrades+'!$AE$6,"A-",IF(L701&lt;'PlayerGrades+'!$AE$5,"A",IF(L701&lt;'PlayerGrades+'!$AE$4,"A+",IF(L701&lt;'PlayerGrades+'!$AE$3,"S-",IF(L701&lt;'PlayerGrades+'!$AE$2,"S","S+"))))))))))))))))))))</f>
        <v>F</v>
      </c>
      <c r="N701" s="973">
        <f t="shared" si="6"/>
        <v>0.04379562044</v>
      </c>
      <c r="O701" s="973" t="str">
        <f>IF(N701&lt;'PlayerGrades+'!$AF$21,"F-",IF(N701&lt;'PlayerGrades+'!$AF$20,"F",IF(N701&lt;'PlayerGrades+'!$AF$19,"F+",IF(N701&lt;'PlayerGrades+'!$AF$18,"E-",IF(N701&lt;'PlayerGrades+'!$AF$17,"E",IF(N701&lt;'PlayerGrades+'!$AF$16,"E+",IF(N701&lt;'PlayerGrades+'!$AF$15,"D-",IF(N701&lt;'PlayerGrades+'!$AF$14,"D",IF(N701&lt;'PlayerGrades+'!$AF$13,"D+",IF(N701&lt;'PlayerGrades+'!$AF$12,"C-",IF(N701&lt;'PlayerGrades+'!$AF$11,"C",IF(N701&lt;'PlayerGrades+'!$AF$10,"C+",IF(N701&lt;'PlayerGrades+'!$AF$9,"B-",IF(N701&lt;'PlayerGrades+'!$AF$8,"B",IF(N701&lt;'PlayerGrades+'!$AF$7,"B+",IF(N701&lt;'PlayerGrades+'!$AF$6,"A-",IF(N701&lt;'PlayerGrades+'!$AF$5,"A",IF(N701&lt;'PlayerGrades+'!$AF$4,"A+",IF(N701&lt;'PlayerGrades+'!$AF$3,"S-",IF(N701&lt;'PlayerGrades+'!$AF$2,"S","S+"))))))))))))))))))))</f>
        <v>E+</v>
      </c>
      <c r="P701" s="973">
        <f t="shared" si="7"/>
        <v>0</v>
      </c>
      <c r="Q701" s="973" t="str">
        <f>IF(P701&lt;'PlayerGrades+'!$AG$21,"F-",IF(P701&lt;'PlayerGrades+'!$AG$20,"F",IF(P701&lt;'PlayerGrades+'!$AG$19,"F+",IF(P701&lt;'PlayerGrades+'!$AG$18,"E-",IF(P701&lt;'PlayerGrades+'!$AG$17,"E",IF(P701&lt;'PlayerGrades+'!$AG$16,"E+",IF(P701&lt;'PlayerGrades+'!$AG$15,"D-",IF(P701&lt;'PlayerGrades+'!$AG$14,"D",IF(P701&lt;'PlayerGrades+'!$AG$13,"D+",IF(P701&lt;'PlayerGrades+'!$AG$12,"C-",IF(P701&lt;'PlayerGrades+'!$AG$11,"C",IF(P701&lt;'PlayerGrades+'!$AG$10,"C+",IF(P701&lt;'PlayerGrades+'!$AG$9,"B-",IF(P701&lt;'PlayerGrades+'!$AG$8,"B",IF(P701&lt;'PlayerGrades+'!$AG$7,"B+",IF(P701&lt;'PlayerGrades+'!$AG$6,"A-",IF(P701&lt;'PlayerGrades+'!$AG$5,"A",IF(P701&lt;'PlayerGrades+'!$AG$4,"A+",IF(P701&lt;'PlayerGrades+'!$AG$3,"S-",IF(P701&lt;'PlayerGrades+'!$AG$2,"S","S+"))))))))))))))))))))</f>
        <v>F</v>
      </c>
      <c r="R701" s="973">
        <f t="shared" si="8"/>
        <v>0.2189781022</v>
      </c>
      <c r="S701" s="973" t="str">
        <f>IF(R701&lt;'PlayerGrades+'!$AH$21,"F-",IF(R701&lt;'PlayerGrades+'!$AH$20,"F",IF(R701&lt;'PlayerGrades+'!$AH$19,"F+",IF(R701&lt;'PlayerGrades+'!$AH$18,"E-",IF(R701&lt;'PlayerGrades+'!$AH$17,"E",IF(R701&lt;'PlayerGrades+'!$AH$16,"E+",IF(R701&lt;'PlayerGrades+'!$AH$15,"D-",IF(R701&lt;'PlayerGrades+'!$AH$14,"D",IF(R701&lt;'PlayerGrades+'!$AH$13,"D+",IF(R701&lt;'PlayerGrades+'!$AH$12,"C-",IF(R701&lt;'PlayerGrades+'!$AH$11,"C",IF(R701&lt;'PlayerGrades+'!$AH$10,"C+",IF(R701&lt;'PlayerGrades+'!$AH$9,"B-",IF(R701&lt;'PlayerGrades+'!$AH$8,"B",IF(R701&lt;'PlayerGrades+'!$AH$7,"B+",IF(R701&lt;'PlayerGrades+'!$AH$6,"A-",IF(R701&lt;'PlayerGrades+'!$AH$5,"A",IF(R701&lt;'PlayerGrades+'!$AH$4,"A+",IF(R701&lt;'PlayerGrades+'!$AH$3,"S-",IF(R701&lt;'PlayerGrades+'!$AH$2,"S","S+"))))))))))))))))))))</f>
        <v>F-</v>
      </c>
      <c r="T701" s="973">
        <f t="shared" si="9"/>
        <v>0.4379562044</v>
      </c>
      <c r="U701" s="973" t="str">
        <f>IF(T701&lt;'PlayerGrades+'!$AI$21,"F-",IF(T701&lt;'PlayerGrades+'!$AI$20,"F",IF(T701&lt;'PlayerGrades+'!$AI$19,"F+",IF(T701&lt;'PlayerGrades+'!$AI$18,"E-",IF(T701&lt;'PlayerGrades+'!$AI$17,"E",IF(T701&lt;'PlayerGrades+'!$AI$16,"E+",IF(T701&lt;'PlayerGrades+'!$AI$15,"D-",IF(T701&lt;'PlayerGrades+'!$AI$14,"D",IF(T701&lt;'PlayerGrades+'!$AI$13,"D+",IF(T701&lt;'PlayerGrades+'!$AI$12,"C-",IF(T701&lt;'PlayerGrades+'!$AI$11,"C",IF(T701&lt;'PlayerGrades+'!$AI$10,"C+",IF(T701&lt;'PlayerGrades+'!$AI$9,"B-",IF(T701&lt;'PlayerGrades+'!$AI$8,"B",IF(T701&lt;'PlayerGrades+'!$AI$7,"B+",IF(T701&lt;'PlayerGrades+'!$AI$6,"A-",IF(T701&lt;'PlayerGrades+'!$AI$5,"A",IF(T701&lt;'PlayerGrades+'!$AI$4,"A+",IF(T701&lt;'PlayerGrades+'!$AI$3,"S-",IF(T701&lt;'PlayerGrades+'!$AI$2,"S","S+"))))))))))))))))))))</f>
        <v>F-</v>
      </c>
      <c r="V701" s="941">
        <v>1.0</v>
      </c>
      <c r="W701" s="941">
        <v>1.0</v>
      </c>
      <c r="X701" s="941">
        <v>0.0</v>
      </c>
      <c r="Y701" s="941">
        <v>0.0</v>
      </c>
      <c r="Z701" s="941">
        <v>5.0</v>
      </c>
      <c r="AA701" s="941">
        <v>131.0</v>
      </c>
      <c r="AB701" s="941">
        <v>180.0</v>
      </c>
      <c r="AC701" s="941">
        <v>-49.0</v>
      </c>
      <c r="AD701" s="941">
        <v>7.0</v>
      </c>
      <c r="AE701" s="941">
        <v>4.0</v>
      </c>
      <c r="AF701" s="941">
        <v>1.0</v>
      </c>
      <c r="AG701" s="941">
        <v>2097.0</v>
      </c>
      <c r="AH701" s="941">
        <v>2740.0</v>
      </c>
      <c r="AI701" s="941">
        <v>11.0</v>
      </c>
      <c r="AJ701" s="941">
        <v>287.0</v>
      </c>
      <c r="AK701" s="941">
        <v>0.0</v>
      </c>
      <c r="AL701" s="941">
        <v>0.0</v>
      </c>
      <c r="AM701" s="941">
        <v>0.0</v>
      </c>
      <c r="AN701" s="941">
        <v>0.0</v>
      </c>
      <c r="AO701" s="941">
        <v>0.0</v>
      </c>
      <c r="AP701" s="941">
        <v>0.0</v>
      </c>
      <c r="AQ701" s="941">
        <v>0.0</v>
      </c>
      <c r="AR701" s="941">
        <v>10.0</v>
      </c>
      <c r="AS701" s="941">
        <v>2.0</v>
      </c>
      <c r="AT701" s="941">
        <v>0.0</v>
      </c>
      <c r="AU701" s="941">
        <v>0.0</v>
      </c>
      <c r="AV701" s="941">
        <v>0.0</v>
      </c>
      <c r="AW701" s="941">
        <v>0.0</v>
      </c>
      <c r="AX701" s="941">
        <v>0.0</v>
      </c>
      <c r="AY701" s="941">
        <v>0.0</v>
      </c>
      <c r="AZ701" s="941">
        <v>0.0</v>
      </c>
      <c r="BA701" s="941">
        <v>0.0</v>
      </c>
      <c r="BB701" s="941">
        <v>3.0</v>
      </c>
      <c r="BC701" s="941">
        <v>0.0</v>
      </c>
      <c r="BD701" s="941">
        <v>3.0</v>
      </c>
      <c r="BE701" s="941">
        <v>20.0</v>
      </c>
      <c r="BF701" s="941">
        <v>0.0</v>
      </c>
      <c r="BG701" s="941">
        <v>1.0</v>
      </c>
    </row>
    <row r="702">
      <c r="A702" s="1" t="s">
        <v>132</v>
      </c>
      <c r="B702" s="421" t="str">
        <f>IF(C702&lt;'PlayerGrades+'!$Y$44,"F-",IF(C702&lt;'PlayerGrades+'!$Y$43,"F",IF(C702&lt;'PlayerGrades+'!$Y$42,"F+",IF(C702&lt;'PlayerGrades+'!$Y$41,"E-",IF(C702&lt;'PlayerGrades+'!$Y$40,"E",IF(C702&lt;'PlayerGrades+'!$Y$39,"E+",IF(C702&lt;'PlayerGrades+'!$Y$38,"D-",IF(C702&lt;'PlayerGrades+'!$Y$37,"D",IF(C702&lt;'PlayerGrades+'!$Y$36,"D+",IF(C702&lt;'PlayerGrades+'!$Y$35,"C-",IF(C702&lt;'PlayerGrades+'!$Y$34,"C",IF(C702&lt;'PlayerGrades+'!$Y$33,"C+",IF(C702&lt;'PlayerGrades+'!$Y$32,"B-",IF(C702&lt;'PlayerGrades+'!$Y$31,"B",IF(C702&lt;'PlayerGrades+'!$Y$30,"B+",IF(C702&lt;'PlayerGrades+'!$Y$29,"A-",IF(C702&lt;'PlayerGrades+'!$Y$28,"A",IF(C702&lt;'PlayerGrades+'!$Y$27,"A+",IF(C702&lt;'PlayerGrades+'!$Y$26,"S-",IF(C702&lt;'PlayerGrades+'!$Y$25,"S","S+"))))))))))))))))))))</f>
        <v>B-</v>
      </c>
      <c r="C702" s="972">
        <f>('PlayerGrades+'!$Y$47*(VLOOKUP(E702, 'PlayerGrades+'!$X$3:$Y$23, 2, FALSE)))+('PlayerGrades+'!$Y$48*(VLOOKUP(G702, 'PlayerGrades+'!$X$3:$Y$23, 2, FALSE)))+('PlayerGrades+'!$Y$49*(VLOOKUP(I702, 'PlayerGrades+'!$X$3:$Y$23, 2, FALSE)))+('PlayerGrades+'!$Y$50*(VLOOKUP(K702, 'PlayerGrades+'!$X$3:$Y$23, 2, FALSE)))+('PlayerGrades+'!$Y$51*(VLOOKUP(M702, 'PlayerGrades+'!$X$3:$Y$23, 2, FALSE)))+('PlayerGrades+'!$Y$52*(VLOOKUP(O702, 'PlayerGrades+'!$X$3:$Y$23, 2, FALSE)))+('PlayerGrades+'!$Y$53*(VLOOKUP(Q702, 'PlayerGrades+'!$X$3:$Y$23, 2, FALSE)))+('PlayerGrades+'!$Y$54*(VLOOKUP(S702, 'PlayerGrades+'!$X$3:$Y$23, 2, FALSE)))+('PlayerGrades+'!$Y$55*(VLOOKUP(U702, 'PlayerGrades+'!$X$3:$Y$23, 2, FALSE)))</f>
        <v>22.4</v>
      </c>
      <c r="D702" s="973">
        <f t="shared" si="1"/>
        <v>0.5693430657</v>
      </c>
      <c r="E702" s="973" t="str">
        <f>IF(D702&lt;'PlayerGrades+'!$AA$21,"F-",IF(D702&lt;'PlayerGrades+'!$AA$20,"F",IF(D702&lt;'PlayerGrades+'!$AA$19,"F+",IF(D702&lt;'PlayerGrades+'!$AA$18,"E-",IF(D702&lt;'PlayerGrades+'!$AA$17,"E",IF(D702&lt;'PlayerGrades+'!$AA$16,"E+",IF(D702&lt;'PlayerGrades+'!$AA$15,"D-",IF(D702&lt;'PlayerGrades+'!$AA$14,"D",IF(D702&lt;'PlayerGrades+'!$AA$13,"D+",IF(D702&lt;'PlayerGrades+'!$AA$12,"C-",IF(D702&lt;'PlayerGrades+'!$AA$11,"C",IF(D702&lt;'PlayerGrades+'!$AA$10,"C+",IF(D702&lt;'PlayerGrades+'!$AA$9,"B-",IF(D702&lt;'PlayerGrades+'!$AA$8,"B",IF(D702&lt;'PlayerGrades+'!$AA$7,"B+",IF(D702&lt;'PlayerGrades+'!$AA$6,"A-",IF(D702&lt;'PlayerGrades+'!$AA$5,"A",IF(D702&lt;'PlayerGrades+'!$AA$4,"A+",IF(D702&lt;'PlayerGrades+'!$AA$3,"S-",IF(D702&lt;'PlayerGrades+'!$AA$2,"S","S+"))))))))))))))))))))</f>
        <v>S-</v>
      </c>
      <c r="F702" s="973">
        <f t="shared" si="2"/>
        <v>0.8540145985</v>
      </c>
      <c r="G702" s="973" t="str">
        <f>IF(F702&lt;'PlayerGrades+'!$AB$21,"F-",IF(F702&lt;'PlayerGrades+'!$AB$20,"F",IF(F702&lt;'PlayerGrades+'!$AB$19,"F+",IF(F702&lt;'PlayerGrades+'!$AB$18,"E-",IF(F702&lt;'PlayerGrades+'!$AB$17,"E",IF(F702&lt;'PlayerGrades+'!$AB$16,"E+",IF(F702&lt;'PlayerGrades+'!$AB$15,"D-",IF(F702&lt;'PlayerGrades+'!$AB$14,"D",IF(F702&lt;'PlayerGrades+'!$AB$13,"D+",IF(F702&lt;'PlayerGrades+'!$AB$12,"C-",IF(F702&lt;'PlayerGrades+'!$AB$11,"C",IF(F702&lt;'PlayerGrades+'!$AB$10,"C+",IF(F702&lt;'PlayerGrades+'!$AB$9,"B-",IF(F702&lt;'PlayerGrades+'!$AB$8,"B",IF(F702&lt;'PlayerGrades+'!$AB$7,"B+",IF(F702&lt;'PlayerGrades+'!$AB$6,"A-",IF(F702&lt;'PlayerGrades+'!$AB$5,"A",IF(F702&lt;'PlayerGrades+'!$AB$4,"A+",IF(F702&lt;'PlayerGrades+'!$AB$3,"S-",IF(F702&lt;'PlayerGrades+'!$AB$2,"S","S+"))))))))))))))))))))</f>
        <v>S</v>
      </c>
      <c r="H702" s="973">
        <f t="shared" si="3"/>
        <v>0.08759124088</v>
      </c>
      <c r="I702" s="973" t="str">
        <f>IF(H702&lt;'PlayerGrades+'!$AC$21,"F-",IF(H702&lt;'PlayerGrades+'!$AC$20,"F",IF(H702&lt;'PlayerGrades+'!$AC$19,"F+",IF(H702&lt;'PlayerGrades+'!$AC$18,"E-",IF(H702&lt;'PlayerGrades+'!$AC$17,"E",IF(H702&lt;'PlayerGrades+'!$AC$16,"E+",IF(H702&lt;'PlayerGrades+'!$AC$15,"D-",IF(H702&lt;'PlayerGrades+'!$AC$14,"D",IF(H702&lt;'PlayerGrades+'!$AC$13,"D+",IF(H702&lt;'PlayerGrades+'!$AC$12,"C-",IF(H702&lt;'PlayerGrades+'!$AC$11,"C",IF(H702&lt;'PlayerGrades+'!$AC$10,"C+",IF(H702&lt;'PlayerGrades+'!$AC$9,"B-",IF(H702&lt;'PlayerGrades+'!$AC$8,"B",IF(H702&lt;'PlayerGrades+'!$AC$7,"B+",IF(H702&lt;'PlayerGrades+'!$AC$6,"A-",IF(H702&lt;'PlayerGrades+'!$AC$5,"A",IF(H702&lt;'PlayerGrades+'!$AC$4,"A+",IF(H702&lt;'PlayerGrades+'!$AC$3,"S-",IF(H702&lt;'PlayerGrades+'!$AC$2,"S","S+"))))))))))))))))))))</f>
        <v>D-</v>
      </c>
      <c r="J702" s="973">
        <f t="shared" si="4"/>
        <v>0.08759124088</v>
      </c>
      <c r="K702" s="973" t="str">
        <f>IF(J702&lt;'PlayerGrades+'!$AD$21,"F-",IF(J702&lt;'PlayerGrades+'!$AD$20,"F",IF(J702&lt;'PlayerGrades+'!$AD$19,"F+",IF(J702&lt;'PlayerGrades+'!$AD$18,"E-",IF(J702&lt;'PlayerGrades+'!$AD$17,"E",IF(J702&lt;'PlayerGrades+'!$AD$16,"E+",IF(J702&lt;'PlayerGrades+'!$AD$15,"D-",IF(J702&lt;'PlayerGrades+'!$AD$14,"D",IF(J702&lt;'PlayerGrades+'!$AD$13,"D+",IF(J702&lt;'PlayerGrades+'!$AD$12,"C-",IF(J702&lt;'PlayerGrades+'!$AD$11,"C",IF(J702&lt;'PlayerGrades+'!$AD$10,"C+",IF(J702&lt;'PlayerGrades+'!$AD$9,"B-",IF(J702&lt;'PlayerGrades+'!$AD$8,"B",IF(J702&lt;'PlayerGrades+'!$AD$7,"B+",IF(J702&lt;'PlayerGrades+'!$AD$6,"A-",IF(J702&lt;'PlayerGrades+'!$AD$5,"A",IF(J702&lt;'PlayerGrades+'!$AD$4,"A+",IF(J702&lt;'PlayerGrades+'!$AD$3,"S-",IF(J702&lt;'PlayerGrades+'!$AD$2,"S","S+"))))))))))))))))))))</f>
        <v>S-</v>
      </c>
      <c r="L702" s="974">
        <f t="shared" si="5"/>
        <v>0.3503649635</v>
      </c>
      <c r="M702" s="975" t="str">
        <f>IF(L702&lt;'PlayerGrades+'!$AE$21,"F-",IF(L702&lt;'PlayerGrades+'!$AE$20,"F",IF(L702&lt;'PlayerGrades+'!$AE$19,"F+",IF(L702&lt;'PlayerGrades+'!$AE$18,"E-",IF(L702&lt;'PlayerGrades+'!$AE$17,"E",IF(L702&lt;'PlayerGrades+'!$AE$16,"E+",IF(L702&lt;'PlayerGrades+'!$AE$15,"D-",IF(L702&lt;'PlayerGrades+'!$AE$14,"D",IF(L702&lt;'PlayerGrades+'!$AE$13,"D+",IF(L702&lt;'PlayerGrades+'!$AE$12,"C-",IF(L702&lt;'PlayerGrades+'!$AE$11,"C",IF(L702&lt;'PlayerGrades+'!$AE$10,"C+",IF(L702&lt;'PlayerGrades+'!$AE$9,"B-",IF(L702&lt;'PlayerGrades+'!$AE$8,"B",IF(L702&lt;'PlayerGrades+'!$AE$7,"B+",IF(L702&lt;'PlayerGrades+'!$AE$6,"A-",IF(L702&lt;'PlayerGrades+'!$AE$5,"A",IF(L702&lt;'PlayerGrades+'!$AE$4,"A+",IF(L702&lt;'PlayerGrades+'!$AE$3,"S-",IF(L702&lt;'PlayerGrades+'!$AE$2,"S","S+"))))))))))))))))))))</f>
        <v>D</v>
      </c>
      <c r="N702" s="973">
        <f t="shared" si="6"/>
        <v>0.02189781022</v>
      </c>
      <c r="O702" s="973" t="str">
        <f>IF(N702&lt;'PlayerGrades+'!$AF$21,"F-",IF(N702&lt;'PlayerGrades+'!$AF$20,"F",IF(N702&lt;'PlayerGrades+'!$AF$19,"F+",IF(N702&lt;'PlayerGrades+'!$AF$18,"E-",IF(N702&lt;'PlayerGrades+'!$AF$17,"E",IF(N702&lt;'PlayerGrades+'!$AF$16,"E+",IF(N702&lt;'PlayerGrades+'!$AF$15,"D-",IF(N702&lt;'PlayerGrades+'!$AF$14,"D",IF(N702&lt;'PlayerGrades+'!$AF$13,"D+",IF(N702&lt;'PlayerGrades+'!$AF$12,"C-",IF(N702&lt;'PlayerGrades+'!$AF$11,"C",IF(N702&lt;'PlayerGrades+'!$AF$10,"C+",IF(N702&lt;'PlayerGrades+'!$AF$9,"B-",IF(N702&lt;'PlayerGrades+'!$AF$8,"B",IF(N702&lt;'PlayerGrades+'!$AF$7,"B+",IF(N702&lt;'PlayerGrades+'!$AF$6,"A-",IF(N702&lt;'PlayerGrades+'!$AF$5,"A",IF(N702&lt;'PlayerGrades+'!$AF$4,"A+",IF(N702&lt;'PlayerGrades+'!$AF$3,"S-",IF(N702&lt;'PlayerGrades+'!$AF$2,"S","S+"))))))))))))))))))))</f>
        <v>F-</v>
      </c>
      <c r="P702" s="973">
        <f t="shared" si="7"/>
        <v>0.04379562044</v>
      </c>
      <c r="Q702" s="973" t="str">
        <f>IF(P702&lt;'PlayerGrades+'!$AG$21,"F-",IF(P702&lt;'PlayerGrades+'!$AG$20,"F",IF(P702&lt;'PlayerGrades+'!$AG$19,"F+",IF(P702&lt;'PlayerGrades+'!$AG$18,"E-",IF(P702&lt;'PlayerGrades+'!$AG$17,"E",IF(P702&lt;'PlayerGrades+'!$AG$16,"E+",IF(P702&lt;'PlayerGrades+'!$AG$15,"D-",IF(P702&lt;'PlayerGrades+'!$AG$14,"D",IF(P702&lt;'PlayerGrades+'!$AG$13,"D+",IF(P702&lt;'PlayerGrades+'!$AG$12,"C-",IF(P702&lt;'PlayerGrades+'!$AG$11,"C",IF(P702&lt;'PlayerGrades+'!$AG$10,"C+",IF(P702&lt;'PlayerGrades+'!$AG$9,"B-",IF(P702&lt;'PlayerGrades+'!$AG$8,"B",IF(P702&lt;'PlayerGrades+'!$AG$7,"B+",IF(P702&lt;'PlayerGrades+'!$AG$6,"A-",IF(P702&lt;'PlayerGrades+'!$AG$5,"A",IF(P702&lt;'PlayerGrades+'!$AG$4,"A+",IF(P702&lt;'PlayerGrades+'!$AG$3,"S-",IF(P702&lt;'PlayerGrades+'!$AG$2,"S","S+"))))))))))))))))))))</f>
        <v>A</v>
      </c>
      <c r="R702" s="973">
        <f t="shared" si="8"/>
        <v>0.5693430657</v>
      </c>
      <c r="S702" s="973" t="str">
        <f>IF(R702&lt;'PlayerGrades+'!$AH$21,"F-",IF(R702&lt;'PlayerGrades+'!$AH$20,"F",IF(R702&lt;'PlayerGrades+'!$AH$19,"F+",IF(R702&lt;'PlayerGrades+'!$AH$18,"E-",IF(R702&lt;'PlayerGrades+'!$AH$17,"E",IF(R702&lt;'PlayerGrades+'!$AH$16,"E+",IF(R702&lt;'PlayerGrades+'!$AH$15,"D-",IF(R702&lt;'PlayerGrades+'!$AH$14,"D",IF(R702&lt;'PlayerGrades+'!$AH$13,"D+",IF(R702&lt;'PlayerGrades+'!$AH$12,"C-",IF(R702&lt;'PlayerGrades+'!$AH$11,"C",IF(R702&lt;'PlayerGrades+'!$AH$10,"C+",IF(R702&lt;'PlayerGrades+'!$AH$9,"B-",IF(R702&lt;'PlayerGrades+'!$AH$8,"B",IF(R702&lt;'PlayerGrades+'!$AH$7,"B+",IF(R702&lt;'PlayerGrades+'!$AH$6,"A-",IF(R702&lt;'PlayerGrades+'!$AH$5,"A",IF(R702&lt;'PlayerGrades+'!$AH$4,"A+",IF(R702&lt;'PlayerGrades+'!$AH$3,"S-",IF(R702&lt;'PlayerGrades+'!$AH$2,"S","S+"))))))))))))))))))))</f>
        <v>B</v>
      </c>
      <c r="T702" s="973">
        <f t="shared" si="9"/>
        <v>1.437956204</v>
      </c>
      <c r="U702" s="973" t="str">
        <f>IF(T702&lt;'PlayerGrades+'!$AI$21,"F-",IF(T702&lt;'PlayerGrades+'!$AI$20,"F",IF(T702&lt;'PlayerGrades+'!$AI$19,"F+",IF(T702&lt;'PlayerGrades+'!$AI$18,"E-",IF(T702&lt;'PlayerGrades+'!$AI$17,"E",IF(T702&lt;'PlayerGrades+'!$AI$16,"E+",IF(T702&lt;'PlayerGrades+'!$AI$15,"D-",IF(T702&lt;'PlayerGrades+'!$AI$14,"D",IF(T702&lt;'PlayerGrades+'!$AI$13,"D+",IF(T702&lt;'PlayerGrades+'!$AI$12,"C-",IF(T702&lt;'PlayerGrades+'!$AI$11,"C",IF(T702&lt;'PlayerGrades+'!$AI$10,"C+",IF(T702&lt;'PlayerGrades+'!$AI$9,"B-",IF(T702&lt;'PlayerGrades+'!$AI$8,"B",IF(T702&lt;'PlayerGrades+'!$AI$7,"B+",IF(T702&lt;'PlayerGrades+'!$AI$6,"A-",IF(T702&lt;'PlayerGrades+'!$AI$5,"A",IF(T702&lt;'PlayerGrades+'!$AI$4,"A+",IF(T702&lt;'PlayerGrades+'!$AI$3,"S-",IF(T702&lt;'PlayerGrades+'!$AI$2,"S","S+"))))))))))))))))))))</f>
        <v>B+</v>
      </c>
      <c r="V702" s="941">
        <v>1.0</v>
      </c>
      <c r="W702" s="941">
        <v>0.0</v>
      </c>
      <c r="X702" s="941">
        <v>1.0</v>
      </c>
      <c r="Y702" s="941">
        <v>2.0</v>
      </c>
      <c r="Z702" s="941">
        <v>24.0</v>
      </c>
      <c r="AA702" s="941">
        <v>153.0</v>
      </c>
      <c r="AB702" s="941">
        <v>114.0</v>
      </c>
      <c r="AC702" s="941">
        <v>39.0</v>
      </c>
      <c r="AD702" s="941">
        <v>8.0</v>
      </c>
      <c r="AE702" s="941">
        <v>11.0</v>
      </c>
      <c r="AF702" s="941">
        <v>1.0</v>
      </c>
      <c r="AG702" s="941">
        <v>2289.0</v>
      </c>
      <c r="AH702" s="941">
        <v>2740.0</v>
      </c>
      <c r="AI702" s="941">
        <v>20.0</v>
      </c>
      <c r="AJ702" s="941">
        <v>705.0</v>
      </c>
      <c r="AK702" s="941">
        <v>0.0</v>
      </c>
      <c r="AL702" s="941">
        <v>4.0</v>
      </c>
      <c r="AM702" s="941">
        <v>1.0</v>
      </c>
      <c r="AN702" s="941">
        <v>0.0</v>
      </c>
      <c r="AO702" s="941">
        <v>0.0</v>
      </c>
      <c r="AP702" s="941">
        <v>2.0</v>
      </c>
      <c r="AQ702" s="941">
        <v>0.0</v>
      </c>
      <c r="AR702" s="941">
        <v>16.0</v>
      </c>
      <c r="AS702" s="941">
        <v>1.0</v>
      </c>
      <c r="AT702" s="941">
        <v>0.0</v>
      </c>
      <c r="AU702" s="941">
        <v>0.0</v>
      </c>
      <c r="AV702" s="941">
        <v>0.0</v>
      </c>
      <c r="AW702" s="941">
        <v>0.0</v>
      </c>
      <c r="AX702" s="941">
        <v>0.0</v>
      </c>
      <c r="AY702" s="941">
        <v>0.0</v>
      </c>
      <c r="AZ702" s="941">
        <v>0.0</v>
      </c>
      <c r="BA702" s="941">
        <v>0.0</v>
      </c>
      <c r="BB702" s="941">
        <v>4.0</v>
      </c>
      <c r="BC702" s="941">
        <v>0.0</v>
      </c>
      <c r="BD702" s="941">
        <v>18.0</v>
      </c>
      <c r="BE702" s="941">
        <v>20.0</v>
      </c>
      <c r="BF702" s="941">
        <v>1.0</v>
      </c>
      <c r="BG702" s="941">
        <v>0.0</v>
      </c>
    </row>
    <row r="703">
      <c r="A703" s="1" t="s">
        <v>136</v>
      </c>
      <c r="B703" s="421" t="str">
        <f>IF(C703&lt;'PlayerGrades+'!$Y$44,"F-",IF(C703&lt;'PlayerGrades+'!$Y$43,"F",IF(C703&lt;'PlayerGrades+'!$Y$42,"F+",IF(C703&lt;'PlayerGrades+'!$Y$41,"E-",IF(C703&lt;'PlayerGrades+'!$Y$40,"E",IF(C703&lt;'PlayerGrades+'!$Y$39,"E+",IF(C703&lt;'PlayerGrades+'!$Y$38,"D-",IF(C703&lt;'PlayerGrades+'!$Y$37,"D",IF(C703&lt;'PlayerGrades+'!$Y$36,"D+",IF(C703&lt;'PlayerGrades+'!$Y$35,"C-",IF(C703&lt;'PlayerGrades+'!$Y$34,"C",IF(C703&lt;'PlayerGrades+'!$Y$33,"C+",IF(C703&lt;'PlayerGrades+'!$Y$32,"B-",IF(C703&lt;'PlayerGrades+'!$Y$31,"B",IF(C703&lt;'PlayerGrades+'!$Y$30,"B+",IF(C703&lt;'PlayerGrades+'!$Y$29,"A-",IF(C703&lt;'PlayerGrades+'!$Y$28,"A",IF(C703&lt;'PlayerGrades+'!$Y$27,"A+",IF(C703&lt;'PlayerGrades+'!$Y$26,"S-",IF(C703&lt;'PlayerGrades+'!$Y$25,"S","S+"))))))))))))))))))))</f>
        <v>A</v>
      </c>
      <c r="C703" s="972">
        <f>('PlayerGrades+'!$Y$47*(VLOOKUP(E703, 'PlayerGrades+'!$X$3:$Y$23, 2, FALSE)))+('PlayerGrades+'!$Y$48*(VLOOKUP(G703, 'PlayerGrades+'!$X$3:$Y$23, 2, FALSE)))+('PlayerGrades+'!$Y$49*(VLOOKUP(I703, 'PlayerGrades+'!$X$3:$Y$23, 2, FALSE)))+('PlayerGrades+'!$Y$50*(VLOOKUP(K703, 'PlayerGrades+'!$X$3:$Y$23, 2, FALSE)))+('PlayerGrades+'!$Y$51*(VLOOKUP(M703, 'PlayerGrades+'!$X$3:$Y$23, 2, FALSE)))+('PlayerGrades+'!$Y$52*(VLOOKUP(O703, 'PlayerGrades+'!$X$3:$Y$23, 2, FALSE)))+('PlayerGrades+'!$Y$53*(VLOOKUP(Q703, 'PlayerGrades+'!$X$3:$Y$23, 2, FALSE)))+('PlayerGrades+'!$Y$54*(VLOOKUP(S703, 'PlayerGrades+'!$X$3:$Y$23, 2, FALSE)))+('PlayerGrades+'!$Y$55*(VLOOKUP(U703, 'PlayerGrades+'!$X$3:$Y$23, 2, FALSE)))</f>
        <v>25.15</v>
      </c>
      <c r="D703" s="973">
        <f t="shared" si="1"/>
        <v>0.02189781022</v>
      </c>
      <c r="E703" s="973" t="str">
        <f>IF(D703&lt;'PlayerGrades+'!$AA$21,"F-",IF(D703&lt;'PlayerGrades+'!$AA$20,"F",IF(D703&lt;'PlayerGrades+'!$AA$19,"F+",IF(D703&lt;'PlayerGrades+'!$AA$18,"E-",IF(D703&lt;'PlayerGrades+'!$AA$17,"E",IF(D703&lt;'PlayerGrades+'!$AA$16,"E+",IF(D703&lt;'PlayerGrades+'!$AA$15,"D-",IF(D703&lt;'PlayerGrades+'!$AA$14,"D",IF(D703&lt;'PlayerGrades+'!$AA$13,"D+",IF(D703&lt;'PlayerGrades+'!$AA$12,"C-",IF(D703&lt;'PlayerGrades+'!$AA$11,"C",IF(D703&lt;'PlayerGrades+'!$AA$10,"C+",IF(D703&lt;'PlayerGrades+'!$AA$9,"B-",IF(D703&lt;'PlayerGrades+'!$AA$8,"B",IF(D703&lt;'PlayerGrades+'!$AA$7,"B+",IF(D703&lt;'PlayerGrades+'!$AA$6,"A-",IF(D703&lt;'PlayerGrades+'!$AA$5,"A",IF(D703&lt;'PlayerGrades+'!$AA$4,"A+",IF(D703&lt;'PlayerGrades+'!$AA$3,"S-",IF(D703&lt;'PlayerGrades+'!$AA$2,"S","S+"))))))))))))))))))))</f>
        <v>E</v>
      </c>
      <c r="F703" s="973">
        <f t="shared" si="2"/>
        <v>-0.1313868613</v>
      </c>
      <c r="G703" s="973" t="str">
        <f>IF(F703&lt;'PlayerGrades+'!$AB$21,"F-",IF(F703&lt;'PlayerGrades+'!$AB$20,"F",IF(F703&lt;'PlayerGrades+'!$AB$19,"F+",IF(F703&lt;'PlayerGrades+'!$AB$18,"E-",IF(F703&lt;'PlayerGrades+'!$AB$17,"E",IF(F703&lt;'PlayerGrades+'!$AB$16,"E+",IF(F703&lt;'PlayerGrades+'!$AB$15,"D-",IF(F703&lt;'PlayerGrades+'!$AB$14,"D",IF(F703&lt;'PlayerGrades+'!$AB$13,"D+",IF(F703&lt;'PlayerGrades+'!$AB$12,"C-",IF(F703&lt;'PlayerGrades+'!$AB$11,"C",IF(F703&lt;'PlayerGrades+'!$AB$10,"C+",IF(F703&lt;'PlayerGrades+'!$AB$9,"B-",IF(F703&lt;'PlayerGrades+'!$AB$8,"B",IF(F703&lt;'PlayerGrades+'!$AB$7,"B+",IF(F703&lt;'PlayerGrades+'!$AB$6,"A-",IF(F703&lt;'PlayerGrades+'!$AB$5,"A",IF(F703&lt;'PlayerGrades+'!$AB$4,"A+",IF(F703&lt;'PlayerGrades+'!$AB$3,"S-",IF(F703&lt;'PlayerGrades+'!$AB$2,"S","S+"))))))))))))))))))))</f>
        <v>C+</v>
      </c>
      <c r="H703" s="973">
        <f t="shared" si="3"/>
        <v>0.2627737226</v>
      </c>
      <c r="I703" s="973" t="str">
        <f>IF(H703&lt;'PlayerGrades+'!$AC$21,"F-",IF(H703&lt;'PlayerGrades+'!$AC$20,"F",IF(H703&lt;'PlayerGrades+'!$AC$19,"F+",IF(H703&lt;'PlayerGrades+'!$AC$18,"E-",IF(H703&lt;'PlayerGrades+'!$AC$17,"E",IF(H703&lt;'PlayerGrades+'!$AC$16,"E+",IF(H703&lt;'PlayerGrades+'!$AC$15,"D-",IF(H703&lt;'PlayerGrades+'!$AC$14,"D",IF(H703&lt;'PlayerGrades+'!$AC$13,"D+",IF(H703&lt;'PlayerGrades+'!$AC$12,"C-",IF(H703&lt;'PlayerGrades+'!$AC$11,"C",IF(H703&lt;'PlayerGrades+'!$AC$10,"C+",IF(H703&lt;'PlayerGrades+'!$AC$9,"B-",IF(H703&lt;'PlayerGrades+'!$AC$8,"B",IF(H703&lt;'PlayerGrades+'!$AC$7,"B+",IF(H703&lt;'PlayerGrades+'!$AC$6,"A-",IF(H703&lt;'PlayerGrades+'!$AC$5,"A",IF(H703&lt;'PlayerGrades+'!$AC$4,"A+",IF(H703&lt;'PlayerGrades+'!$AC$3,"S-",IF(H703&lt;'PlayerGrades+'!$AC$2,"S","S+"))))))))))))))))))))</f>
        <v>S</v>
      </c>
      <c r="J703" s="973">
        <f t="shared" si="4"/>
        <v>0.02189781022</v>
      </c>
      <c r="K703" s="973" t="str">
        <f>IF(J703&lt;'PlayerGrades+'!$AD$21,"F-",IF(J703&lt;'PlayerGrades+'!$AD$20,"F",IF(J703&lt;'PlayerGrades+'!$AD$19,"F+",IF(J703&lt;'PlayerGrades+'!$AD$18,"E-",IF(J703&lt;'PlayerGrades+'!$AD$17,"E",IF(J703&lt;'PlayerGrades+'!$AD$16,"E+",IF(J703&lt;'PlayerGrades+'!$AD$15,"D-",IF(J703&lt;'PlayerGrades+'!$AD$14,"D",IF(J703&lt;'PlayerGrades+'!$AD$13,"D+",IF(J703&lt;'PlayerGrades+'!$AD$12,"C-",IF(J703&lt;'PlayerGrades+'!$AD$11,"C",IF(J703&lt;'PlayerGrades+'!$AD$10,"C+",IF(J703&lt;'PlayerGrades+'!$AD$9,"B-",IF(J703&lt;'PlayerGrades+'!$AD$8,"B",IF(J703&lt;'PlayerGrades+'!$AD$7,"B+",IF(J703&lt;'PlayerGrades+'!$AD$6,"A-",IF(J703&lt;'PlayerGrades+'!$AD$5,"A",IF(J703&lt;'PlayerGrades+'!$AD$4,"A+",IF(J703&lt;'PlayerGrades+'!$AD$3,"S-",IF(J703&lt;'PlayerGrades+'!$AD$2,"S","S+"))))))))))))))))))))</f>
        <v>D-</v>
      </c>
      <c r="L703" s="974">
        <f t="shared" si="5"/>
        <v>0.7445255474</v>
      </c>
      <c r="M703" s="975" t="str">
        <f>IF(L703&lt;'PlayerGrades+'!$AE$21,"F-",IF(L703&lt;'PlayerGrades+'!$AE$20,"F",IF(L703&lt;'PlayerGrades+'!$AE$19,"F+",IF(L703&lt;'PlayerGrades+'!$AE$18,"E-",IF(L703&lt;'PlayerGrades+'!$AE$17,"E",IF(L703&lt;'PlayerGrades+'!$AE$16,"E+",IF(L703&lt;'PlayerGrades+'!$AE$15,"D-",IF(L703&lt;'PlayerGrades+'!$AE$14,"D",IF(L703&lt;'PlayerGrades+'!$AE$13,"D+",IF(L703&lt;'PlayerGrades+'!$AE$12,"C-",IF(L703&lt;'PlayerGrades+'!$AE$11,"C",IF(L703&lt;'PlayerGrades+'!$AE$10,"C+",IF(L703&lt;'PlayerGrades+'!$AE$9,"B-",IF(L703&lt;'PlayerGrades+'!$AE$8,"B",IF(L703&lt;'PlayerGrades+'!$AE$7,"B+",IF(L703&lt;'PlayerGrades+'!$AE$6,"A-",IF(L703&lt;'PlayerGrades+'!$AE$5,"A",IF(L703&lt;'PlayerGrades+'!$AE$4,"A+",IF(L703&lt;'PlayerGrades+'!$AE$3,"S-",IF(L703&lt;'PlayerGrades+'!$AE$2,"S","S+"))))))))))))))))))))</f>
        <v>S+</v>
      </c>
      <c r="N703" s="973">
        <f t="shared" si="6"/>
        <v>0.08759124088</v>
      </c>
      <c r="O703" s="973" t="str">
        <f>IF(N703&lt;'PlayerGrades+'!$AF$21,"F-",IF(N703&lt;'PlayerGrades+'!$AF$20,"F",IF(N703&lt;'PlayerGrades+'!$AF$19,"F+",IF(N703&lt;'PlayerGrades+'!$AF$18,"E-",IF(N703&lt;'PlayerGrades+'!$AF$17,"E",IF(N703&lt;'PlayerGrades+'!$AF$16,"E+",IF(N703&lt;'PlayerGrades+'!$AF$15,"D-",IF(N703&lt;'PlayerGrades+'!$AF$14,"D",IF(N703&lt;'PlayerGrades+'!$AF$13,"D+",IF(N703&lt;'PlayerGrades+'!$AF$12,"C-",IF(N703&lt;'PlayerGrades+'!$AF$11,"C",IF(N703&lt;'PlayerGrades+'!$AF$10,"C+",IF(N703&lt;'PlayerGrades+'!$AF$9,"B-",IF(N703&lt;'PlayerGrades+'!$AF$8,"B",IF(N703&lt;'PlayerGrades+'!$AF$7,"B+",IF(N703&lt;'PlayerGrades+'!$AF$6,"A-",IF(N703&lt;'PlayerGrades+'!$AF$5,"A",IF(N703&lt;'PlayerGrades+'!$AF$4,"A+",IF(N703&lt;'PlayerGrades+'!$AF$3,"S-",IF(N703&lt;'PlayerGrades+'!$AF$2,"S","S+"))))))))))))))))))))</f>
        <v>B+</v>
      </c>
      <c r="P703" s="973">
        <f t="shared" si="7"/>
        <v>0</v>
      </c>
      <c r="Q703" s="973" t="str">
        <f>IF(P703&lt;'PlayerGrades+'!$AG$21,"F-",IF(P703&lt;'PlayerGrades+'!$AG$20,"F",IF(P703&lt;'PlayerGrades+'!$AG$19,"F+",IF(P703&lt;'PlayerGrades+'!$AG$18,"E-",IF(P703&lt;'PlayerGrades+'!$AG$17,"E",IF(P703&lt;'PlayerGrades+'!$AG$16,"E+",IF(P703&lt;'PlayerGrades+'!$AG$15,"D-",IF(P703&lt;'PlayerGrades+'!$AG$14,"D",IF(P703&lt;'PlayerGrades+'!$AG$13,"D+",IF(P703&lt;'PlayerGrades+'!$AG$12,"C-",IF(P703&lt;'PlayerGrades+'!$AG$11,"C",IF(P703&lt;'PlayerGrades+'!$AG$10,"C+",IF(P703&lt;'PlayerGrades+'!$AG$9,"B-",IF(P703&lt;'PlayerGrades+'!$AG$8,"B",IF(P703&lt;'PlayerGrades+'!$AG$7,"B+",IF(P703&lt;'PlayerGrades+'!$AG$6,"A-",IF(P703&lt;'PlayerGrades+'!$AG$5,"A",IF(P703&lt;'PlayerGrades+'!$AG$4,"A+",IF(P703&lt;'PlayerGrades+'!$AG$3,"S-",IF(P703&lt;'PlayerGrades+'!$AG$2,"S","S+"))))))))))))))))))))</f>
        <v>F</v>
      </c>
      <c r="R703" s="973">
        <f t="shared" si="8"/>
        <v>0.6350364964</v>
      </c>
      <c r="S703" s="973" t="str">
        <f>IF(R703&lt;'PlayerGrades+'!$AH$21,"F-",IF(R703&lt;'PlayerGrades+'!$AH$20,"F",IF(R703&lt;'PlayerGrades+'!$AH$19,"F+",IF(R703&lt;'PlayerGrades+'!$AH$18,"E-",IF(R703&lt;'PlayerGrades+'!$AH$17,"E",IF(R703&lt;'PlayerGrades+'!$AH$16,"E+",IF(R703&lt;'PlayerGrades+'!$AH$15,"D-",IF(R703&lt;'PlayerGrades+'!$AH$14,"D",IF(R703&lt;'PlayerGrades+'!$AH$13,"D+",IF(R703&lt;'PlayerGrades+'!$AH$12,"C-",IF(R703&lt;'PlayerGrades+'!$AH$11,"C",IF(R703&lt;'PlayerGrades+'!$AH$10,"C+",IF(R703&lt;'PlayerGrades+'!$AH$9,"B-",IF(R703&lt;'PlayerGrades+'!$AH$8,"B",IF(R703&lt;'PlayerGrades+'!$AH$7,"B+",IF(R703&lt;'PlayerGrades+'!$AH$6,"A-",IF(R703&lt;'PlayerGrades+'!$AH$5,"A",IF(R703&lt;'PlayerGrades+'!$AH$4,"A+",IF(R703&lt;'PlayerGrades+'!$AH$3,"S-",IF(R703&lt;'PlayerGrades+'!$AH$2,"S","S+"))))))))))))))))))))</f>
        <v>A</v>
      </c>
      <c r="T703" s="973">
        <f t="shared" si="9"/>
        <v>1.459854015</v>
      </c>
      <c r="U703" s="973" t="str">
        <f>IF(T703&lt;'PlayerGrades+'!$AI$21,"F-",IF(T703&lt;'PlayerGrades+'!$AI$20,"F",IF(T703&lt;'PlayerGrades+'!$AI$19,"F+",IF(T703&lt;'PlayerGrades+'!$AI$18,"E-",IF(T703&lt;'PlayerGrades+'!$AI$17,"E",IF(T703&lt;'PlayerGrades+'!$AI$16,"E+",IF(T703&lt;'PlayerGrades+'!$AI$15,"D-",IF(T703&lt;'PlayerGrades+'!$AI$14,"D",IF(T703&lt;'PlayerGrades+'!$AI$13,"D+",IF(T703&lt;'PlayerGrades+'!$AI$12,"C-",IF(T703&lt;'PlayerGrades+'!$AI$11,"C",IF(T703&lt;'PlayerGrades+'!$AI$10,"C+",IF(T703&lt;'PlayerGrades+'!$AI$9,"B-",IF(T703&lt;'PlayerGrades+'!$AI$8,"B",IF(T703&lt;'PlayerGrades+'!$AI$7,"B+",IF(T703&lt;'PlayerGrades+'!$AI$6,"A-",IF(T703&lt;'PlayerGrades+'!$AI$5,"A",IF(T703&lt;'PlayerGrades+'!$AI$4,"A+",IF(T703&lt;'PlayerGrades+'!$AI$3,"S-",IF(T703&lt;'PlayerGrades+'!$AI$2,"S","S+"))))))))))))))))))))</f>
        <v>A-</v>
      </c>
      <c r="V703" s="941">
        <v>1.0</v>
      </c>
      <c r="W703" s="941">
        <v>0.0</v>
      </c>
      <c r="X703" s="941">
        <v>1.0</v>
      </c>
      <c r="Y703" s="941">
        <v>1.0</v>
      </c>
      <c r="Z703" s="941">
        <v>0.0</v>
      </c>
      <c r="AA703" s="941">
        <v>195.0</v>
      </c>
      <c r="AB703" s="941">
        <v>201.0</v>
      </c>
      <c r="AC703" s="941">
        <v>-6.0</v>
      </c>
      <c r="AD703" s="941">
        <v>10.0</v>
      </c>
      <c r="AE703" s="941">
        <v>5.0</v>
      </c>
      <c r="AF703" s="941">
        <v>3.0</v>
      </c>
      <c r="AG703" s="941">
        <v>2034.0</v>
      </c>
      <c r="AH703" s="941">
        <v>2740.0</v>
      </c>
      <c r="AI703" s="941">
        <v>10.0</v>
      </c>
      <c r="AJ703" s="941">
        <v>27.0</v>
      </c>
      <c r="AK703" s="941">
        <v>0.0</v>
      </c>
      <c r="AL703" s="941">
        <v>1.0</v>
      </c>
      <c r="AM703" s="941">
        <v>0.0</v>
      </c>
      <c r="AN703" s="941">
        <v>0.0</v>
      </c>
      <c r="AO703" s="941">
        <v>0.0</v>
      </c>
      <c r="AP703" s="941">
        <v>0.0</v>
      </c>
      <c r="AQ703" s="941">
        <v>0.0</v>
      </c>
      <c r="AR703" s="941">
        <v>34.0</v>
      </c>
      <c r="AS703" s="941">
        <v>4.0</v>
      </c>
      <c r="AT703" s="941">
        <v>0.0</v>
      </c>
      <c r="AU703" s="941">
        <v>0.0</v>
      </c>
      <c r="AV703" s="941">
        <v>0.0</v>
      </c>
      <c r="AW703" s="941">
        <v>0.0</v>
      </c>
      <c r="AX703" s="941">
        <v>0.0</v>
      </c>
      <c r="AY703" s="941">
        <v>0.0</v>
      </c>
      <c r="AZ703" s="941">
        <v>0.0</v>
      </c>
      <c r="BA703" s="941">
        <v>0.0</v>
      </c>
      <c r="BB703" s="941">
        <v>12.0</v>
      </c>
      <c r="BC703" s="941">
        <v>4.0</v>
      </c>
      <c r="BD703" s="941">
        <v>19.0</v>
      </c>
      <c r="BE703" s="941">
        <v>21.0</v>
      </c>
      <c r="BF703" s="941">
        <v>1.0</v>
      </c>
      <c r="BG703" s="941">
        <v>0.0</v>
      </c>
    </row>
    <row r="704">
      <c r="A704" s="1" t="s">
        <v>114</v>
      </c>
      <c r="B704" s="421" t="str">
        <f>IF(C704&lt;'PlayerGrades+'!$Y$44,"F-",IF(C704&lt;'PlayerGrades+'!$Y$43,"F",IF(C704&lt;'PlayerGrades+'!$Y$42,"F+",IF(C704&lt;'PlayerGrades+'!$Y$41,"E-",IF(C704&lt;'PlayerGrades+'!$Y$40,"E",IF(C704&lt;'PlayerGrades+'!$Y$39,"E+",IF(C704&lt;'PlayerGrades+'!$Y$38,"D-",IF(C704&lt;'PlayerGrades+'!$Y$37,"D",IF(C704&lt;'PlayerGrades+'!$Y$36,"D+",IF(C704&lt;'PlayerGrades+'!$Y$35,"C-",IF(C704&lt;'PlayerGrades+'!$Y$34,"C",IF(C704&lt;'PlayerGrades+'!$Y$33,"C+",IF(C704&lt;'PlayerGrades+'!$Y$32,"B-",IF(C704&lt;'PlayerGrades+'!$Y$31,"B",IF(C704&lt;'PlayerGrades+'!$Y$30,"B+",IF(C704&lt;'PlayerGrades+'!$Y$29,"A-",IF(C704&lt;'PlayerGrades+'!$Y$28,"A",IF(C704&lt;'PlayerGrades+'!$Y$27,"A+",IF(C704&lt;'PlayerGrades+'!$Y$26,"S-",IF(C704&lt;'PlayerGrades+'!$Y$25,"S","S+"))))))))))))))))))))</f>
        <v>B</v>
      </c>
      <c r="C704" s="972">
        <f>('PlayerGrades+'!$Y$47*(VLOOKUP(E704, 'PlayerGrades+'!$X$3:$Y$23, 2, FALSE)))+('PlayerGrades+'!$Y$48*(VLOOKUP(G704, 'PlayerGrades+'!$X$3:$Y$23, 2, FALSE)))+('PlayerGrades+'!$Y$49*(VLOOKUP(I704, 'PlayerGrades+'!$X$3:$Y$23, 2, FALSE)))+('PlayerGrades+'!$Y$50*(VLOOKUP(K704, 'PlayerGrades+'!$X$3:$Y$23, 2, FALSE)))+('PlayerGrades+'!$Y$51*(VLOOKUP(M704, 'PlayerGrades+'!$X$3:$Y$23, 2, FALSE)))+('PlayerGrades+'!$Y$52*(VLOOKUP(O704, 'PlayerGrades+'!$X$3:$Y$23, 2, FALSE)))+('PlayerGrades+'!$Y$53*(VLOOKUP(Q704, 'PlayerGrades+'!$X$3:$Y$23, 2, FALSE)))+('PlayerGrades+'!$Y$54*(VLOOKUP(S704, 'PlayerGrades+'!$X$3:$Y$23, 2, FALSE)))+('PlayerGrades+'!$Y$55*(VLOOKUP(U704, 'PlayerGrades+'!$X$3:$Y$23, 2, FALSE)))</f>
        <v>23.35</v>
      </c>
      <c r="D704" s="973">
        <f t="shared" si="1"/>
        <v>0.04379562044</v>
      </c>
      <c r="E704" s="973" t="str">
        <f>IF(D704&lt;'PlayerGrades+'!$AA$21,"F-",IF(D704&lt;'PlayerGrades+'!$AA$20,"F",IF(D704&lt;'PlayerGrades+'!$AA$19,"F+",IF(D704&lt;'PlayerGrades+'!$AA$18,"E-",IF(D704&lt;'PlayerGrades+'!$AA$17,"E",IF(D704&lt;'PlayerGrades+'!$AA$16,"E+",IF(D704&lt;'PlayerGrades+'!$AA$15,"D-",IF(D704&lt;'PlayerGrades+'!$AA$14,"D",IF(D704&lt;'PlayerGrades+'!$AA$13,"D+",IF(D704&lt;'PlayerGrades+'!$AA$12,"C-",IF(D704&lt;'PlayerGrades+'!$AA$11,"C",IF(D704&lt;'PlayerGrades+'!$AA$10,"C+",IF(D704&lt;'PlayerGrades+'!$AA$9,"B-",IF(D704&lt;'PlayerGrades+'!$AA$8,"B",IF(D704&lt;'PlayerGrades+'!$AA$7,"B+",IF(D704&lt;'PlayerGrades+'!$AA$6,"A-",IF(D704&lt;'PlayerGrades+'!$AA$5,"A",IF(D704&lt;'PlayerGrades+'!$AA$4,"A+",IF(D704&lt;'PlayerGrades+'!$AA$3,"S-",IF(D704&lt;'PlayerGrades+'!$AA$2,"S","S+"))))))))))))))))))))</f>
        <v>C</v>
      </c>
      <c r="F704" s="973">
        <f t="shared" si="2"/>
        <v>-0.1313868613</v>
      </c>
      <c r="G704" s="973" t="str">
        <f>IF(F704&lt;'PlayerGrades+'!$AB$21,"F-",IF(F704&lt;'PlayerGrades+'!$AB$20,"F",IF(F704&lt;'PlayerGrades+'!$AB$19,"F+",IF(F704&lt;'PlayerGrades+'!$AB$18,"E-",IF(F704&lt;'PlayerGrades+'!$AB$17,"E",IF(F704&lt;'PlayerGrades+'!$AB$16,"E+",IF(F704&lt;'PlayerGrades+'!$AB$15,"D-",IF(F704&lt;'PlayerGrades+'!$AB$14,"D",IF(F704&lt;'PlayerGrades+'!$AB$13,"D+",IF(F704&lt;'PlayerGrades+'!$AB$12,"C-",IF(F704&lt;'PlayerGrades+'!$AB$11,"C",IF(F704&lt;'PlayerGrades+'!$AB$10,"C+",IF(F704&lt;'PlayerGrades+'!$AB$9,"B-",IF(F704&lt;'PlayerGrades+'!$AB$8,"B",IF(F704&lt;'PlayerGrades+'!$AB$7,"B+",IF(F704&lt;'PlayerGrades+'!$AB$6,"A-",IF(F704&lt;'PlayerGrades+'!$AB$5,"A",IF(F704&lt;'PlayerGrades+'!$AB$4,"A+",IF(F704&lt;'PlayerGrades+'!$AB$3,"S-",IF(F704&lt;'PlayerGrades+'!$AB$2,"S","S+"))))))))))))))))))))</f>
        <v>C+</v>
      </c>
      <c r="H704" s="973">
        <f t="shared" si="3"/>
        <v>0.08759124088</v>
      </c>
      <c r="I704" s="973" t="str">
        <f>IF(H704&lt;'PlayerGrades+'!$AC$21,"F-",IF(H704&lt;'PlayerGrades+'!$AC$20,"F",IF(H704&lt;'PlayerGrades+'!$AC$19,"F+",IF(H704&lt;'PlayerGrades+'!$AC$18,"E-",IF(H704&lt;'PlayerGrades+'!$AC$17,"E",IF(H704&lt;'PlayerGrades+'!$AC$16,"E+",IF(H704&lt;'PlayerGrades+'!$AC$15,"D-",IF(H704&lt;'PlayerGrades+'!$AC$14,"D",IF(H704&lt;'PlayerGrades+'!$AC$13,"D+",IF(H704&lt;'PlayerGrades+'!$AC$12,"C-",IF(H704&lt;'PlayerGrades+'!$AC$11,"C",IF(H704&lt;'PlayerGrades+'!$AC$10,"C+",IF(H704&lt;'PlayerGrades+'!$AC$9,"B-",IF(H704&lt;'PlayerGrades+'!$AC$8,"B",IF(H704&lt;'PlayerGrades+'!$AC$7,"B+",IF(H704&lt;'PlayerGrades+'!$AC$6,"A-",IF(H704&lt;'PlayerGrades+'!$AC$5,"A",IF(H704&lt;'PlayerGrades+'!$AC$4,"A+",IF(H704&lt;'PlayerGrades+'!$AC$3,"S-",IF(H704&lt;'PlayerGrades+'!$AC$2,"S","S+"))))))))))))))))))))</f>
        <v>D-</v>
      </c>
      <c r="J704" s="973">
        <f t="shared" si="4"/>
        <v>0.04379562044</v>
      </c>
      <c r="K704" s="973" t="str">
        <f>IF(J704&lt;'PlayerGrades+'!$AD$21,"F-",IF(J704&lt;'PlayerGrades+'!$AD$20,"F",IF(J704&lt;'PlayerGrades+'!$AD$19,"F+",IF(J704&lt;'PlayerGrades+'!$AD$18,"E-",IF(J704&lt;'PlayerGrades+'!$AD$17,"E",IF(J704&lt;'PlayerGrades+'!$AD$16,"E+",IF(J704&lt;'PlayerGrades+'!$AD$15,"D-",IF(J704&lt;'PlayerGrades+'!$AD$14,"D",IF(J704&lt;'PlayerGrades+'!$AD$13,"D+",IF(J704&lt;'PlayerGrades+'!$AD$12,"C-",IF(J704&lt;'PlayerGrades+'!$AD$11,"C",IF(J704&lt;'PlayerGrades+'!$AD$10,"C+",IF(J704&lt;'PlayerGrades+'!$AD$9,"B-",IF(J704&lt;'PlayerGrades+'!$AD$8,"B",IF(J704&lt;'PlayerGrades+'!$AD$7,"B+",IF(J704&lt;'PlayerGrades+'!$AD$6,"A-",IF(J704&lt;'PlayerGrades+'!$AD$5,"A",IF(J704&lt;'PlayerGrades+'!$AD$4,"A+",IF(J704&lt;'PlayerGrades+'!$AD$3,"S-",IF(J704&lt;'PlayerGrades+'!$AD$2,"S","S+"))))))))))))))))))))</f>
        <v>B-</v>
      </c>
      <c r="L704" s="974">
        <f t="shared" si="5"/>
        <v>0.4598540146</v>
      </c>
      <c r="M704" s="975" t="str">
        <f>IF(L704&lt;'PlayerGrades+'!$AE$21,"F-",IF(L704&lt;'PlayerGrades+'!$AE$20,"F",IF(L704&lt;'PlayerGrades+'!$AE$19,"F+",IF(L704&lt;'PlayerGrades+'!$AE$18,"E-",IF(L704&lt;'PlayerGrades+'!$AE$17,"E",IF(L704&lt;'PlayerGrades+'!$AE$16,"E+",IF(L704&lt;'PlayerGrades+'!$AE$15,"D-",IF(L704&lt;'PlayerGrades+'!$AE$14,"D",IF(L704&lt;'PlayerGrades+'!$AE$13,"D+",IF(L704&lt;'PlayerGrades+'!$AE$12,"C-",IF(L704&lt;'PlayerGrades+'!$AE$11,"C",IF(L704&lt;'PlayerGrades+'!$AE$10,"C+",IF(L704&lt;'PlayerGrades+'!$AE$9,"B-",IF(L704&lt;'PlayerGrades+'!$AE$8,"B",IF(L704&lt;'PlayerGrades+'!$AE$7,"B+",IF(L704&lt;'PlayerGrades+'!$AE$6,"A-",IF(L704&lt;'PlayerGrades+'!$AE$5,"A",IF(L704&lt;'PlayerGrades+'!$AE$4,"A+",IF(L704&lt;'PlayerGrades+'!$AE$3,"S-",IF(L704&lt;'PlayerGrades+'!$AE$2,"S","S+"))))))))))))))))))))</f>
        <v>B+</v>
      </c>
      <c r="N704" s="973">
        <f t="shared" si="6"/>
        <v>0.1094890511</v>
      </c>
      <c r="O704" s="973" t="str">
        <f>IF(N704&lt;'PlayerGrades+'!$AF$21,"F-",IF(N704&lt;'PlayerGrades+'!$AF$20,"F",IF(N704&lt;'PlayerGrades+'!$AF$19,"F+",IF(N704&lt;'PlayerGrades+'!$AF$18,"E-",IF(N704&lt;'PlayerGrades+'!$AF$17,"E",IF(N704&lt;'PlayerGrades+'!$AF$16,"E+",IF(N704&lt;'PlayerGrades+'!$AF$15,"D-",IF(N704&lt;'PlayerGrades+'!$AF$14,"D",IF(N704&lt;'PlayerGrades+'!$AF$13,"D+",IF(N704&lt;'PlayerGrades+'!$AF$12,"C-",IF(N704&lt;'PlayerGrades+'!$AF$11,"C",IF(N704&lt;'PlayerGrades+'!$AF$10,"C+",IF(N704&lt;'PlayerGrades+'!$AF$9,"B-",IF(N704&lt;'PlayerGrades+'!$AF$8,"B",IF(N704&lt;'PlayerGrades+'!$AF$7,"B+",IF(N704&lt;'PlayerGrades+'!$AF$6,"A-",IF(N704&lt;'PlayerGrades+'!$AF$5,"A",IF(N704&lt;'PlayerGrades+'!$AF$4,"A+",IF(N704&lt;'PlayerGrades+'!$AF$3,"S-",IF(N704&lt;'PlayerGrades+'!$AF$2,"S","S+"))))))))))))))))))))</f>
        <v>S-</v>
      </c>
      <c r="P704" s="973">
        <f t="shared" si="7"/>
        <v>0.04379562044</v>
      </c>
      <c r="Q704" s="973" t="str">
        <f>IF(P704&lt;'PlayerGrades+'!$AG$21,"F-",IF(P704&lt;'PlayerGrades+'!$AG$20,"F",IF(P704&lt;'PlayerGrades+'!$AG$19,"F+",IF(P704&lt;'PlayerGrades+'!$AG$18,"E-",IF(P704&lt;'PlayerGrades+'!$AG$17,"E",IF(P704&lt;'PlayerGrades+'!$AG$16,"E+",IF(P704&lt;'PlayerGrades+'!$AG$15,"D-",IF(P704&lt;'PlayerGrades+'!$AG$14,"D",IF(P704&lt;'PlayerGrades+'!$AG$13,"D+",IF(P704&lt;'PlayerGrades+'!$AG$12,"C-",IF(P704&lt;'PlayerGrades+'!$AG$11,"C",IF(P704&lt;'PlayerGrades+'!$AG$10,"C+",IF(P704&lt;'PlayerGrades+'!$AG$9,"B-",IF(P704&lt;'PlayerGrades+'!$AG$8,"B",IF(P704&lt;'PlayerGrades+'!$AG$7,"B+",IF(P704&lt;'PlayerGrades+'!$AG$6,"A-",IF(P704&lt;'PlayerGrades+'!$AG$5,"A",IF(P704&lt;'PlayerGrades+'!$AG$4,"A+",IF(P704&lt;'PlayerGrades+'!$AG$3,"S-",IF(P704&lt;'PlayerGrades+'!$AG$2,"S","S+"))))))))))))))))))))</f>
        <v>A</v>
      </c>
      <c r="R704" s="973">
        <f t="shared" si="8"/>
        <v>0.5474452555</v>
      </c>
      <c r="S704" s="973" t="str">
        <f>IF(R704&lt;'PlayerGrades+'!$AH$21,"F-",IF(R704&lt;'PlayerGrades+'!$AH$20,"F",IF(R704&lt;'PlayerGrades+'!$AH$19,"F+",IF(R704&lt;'PlayerGrades+'!$AH$18,"E-",IF(R704&lt;'PlayerGrades+'!$AH$17,"E",IF(R704&lt;'PlayerGrades+'!$AH$16,"E+",IF(R704&lt;'PlayerGrades+'!$AH$15,"D-",IF(R704&lt;'PlayerGrades+'!$AH$14,"D",IF(R704&lt;'PlayerGrades+'!$AH$13,"D+",IF(R704&lt;'PlayerGrades+'!$AH$12,"C-",IF(R704&lt;'PlayerGrades+'!$AH$11,"C",IF(R704&lt;'PlayerGrades+'!$AH$10,"C+",IF(R704&lt;'PlayerGrades+'!$AH$9,"B-",IF(R704&lt;'PlayerGrades+'!$AH$8,"B",IF(R704&lt;'PlayerGrades+'!$AH$7,"B+",IF(R704&lt;'PlayerGrades+'!$AH$6,"A-",IF(R704&lt;'PlayerGrades+'!$AH$5,"A",IF(R704&lt;'PlayerGrades+'!$AH$4,"A+",IF(R704&lt;'PlayerGrades+'!$AH$3,"S-",IF(R704&lt;'PlayerGrades+'!$AH$2,"S","S+"))))))))))))))))))))</f>
        <v>B-</v>
      </c>
      <c r="T704" s="973">
        <f t="shared" si="9"/>
        <v>0.3941605839</v>
      </c>
      <c r="U704" s="973" t="str">
        <f>IF(T704&lt;'PlayerGrades+'!$AI$21,"F-",IF(T704&lt;'PlayerGrades+'!$AI$20,"F",IF(T704&lt;'PlayerGrades+'!$AI$19,"F+",IF(T704&lt;'PlayerGrades+'!$AI$18,"E-",IF(T704&lt;'PlayerGrades+'!$AI$17,"E",IF(T704&lt;'PlayerGrades+'!$AI$16,"E+",IF(T704&lt;'PlayerGrades+'!$AI$15,"D-",IF(T704&lt;'PlayerGrades+'!$AI$14,"D",IF(T704&lt;'PlayerGrades+'!$AI$13,"D+",IF(T704&lt;'PlayerGrades+'!$AI$12,"C-",IF(T704&lt;'PlayerGrades+'!$AI$11,"C",IF(T704&lt;'PlayerGrades+'!$AI$10,"C+",IF(T704&lt;'PlayerGrades+'!$AI$9,"B-",IF(T704&lt;'PlayerGrades+'!$AI$8,"B",IF(T704&lt;'PlayerGrades+'!$AI$7,"B+",IF(T704&lt;'PlayerGrades+'!$AI$6,"A-",IF(T704&lt;'PlayerGrades+'!$AI$5,"A",IF(T704&lt;'PlayerGrades+'!$AI$4,"A+",IF(T704&lt;'PlayerGrades+'!$AI$3,"S-",IF(T704&lt;'PlayerGrades+'!$AI$2,"S","S+"))))))))))))))))))))</f>
        <v>F-</v>
      </c>
      <c r="V704" s="941">
        <v>1.0</v>
      </c>
      <c r="W704" s="941">
        <v>0.0</v>
      </c>
      <c r="X704" s="941">
        <v>1.0</v>
      </c>
      <c r="Y704" s="941">
        <v>0.0</v>
      </c>
      <c r="Z704" s="941">
        <v>2.0</v>
      </c>
      <c r="AA704" s="941">
        <v>147.0</v>
      </c>
      <c r="AB704" s="941">
        <v>153.0</v>
      </c>
      <c r="AC704" s="941">
        <v>-6.0</v>
      </c>
      <c r="AD704" s="941">
        <v>12.0</v>
      </c>
      <c r="AE704" s="941">
        <v>6.0</v>
      </c>
      <c r="AF704" s="941">
        <v>0.0</v>
      </c>
      <c r="AG704" s="941">
        <v>2173.0</v>
      </c>
      <c r="AH704" s="941">
        <v>2740.0</v>
      </c>
      <c r="AI704" s="941">
        <v>14.0</v>
      </c>
      <c r="AJ704" s="941">
        <v>36.0</v>
      </c>
      <c r="AK704" s="941">
        <v>0.0</v>
      </c>
      <c r="AL704" s="941">
        <v>2.0</v>
      </c>
      <c r="AM704" s="941">
        <v>0.0</v>
      </c>
      <c r="AN704" s="941">
        <v>0.0</v>
      </c>
      <c r="AO704" s="941">
        <v>0.0</v>
      </c>
      <c r="AP704" s="941">
        <v>2.0</v>
      </c>
      <c r="AQ704" s="941">
        <v>0.0</v>
      </c>
      <c r="AR704" s="941">
        <v>21.0</v>
      </c>
      <c r="AS704" s="941">
        <v>5.0</v>
      </c>
      <c r="AT704" s="941">
        <v>1.0</v>
      </c>
      <c r="AU704" s="941">
        <v>0.0</v>
      </c>
      <c r="AV704" s="941">
        <v>0.0</v>
      </c>
      <c r="AW704" s="941">
        <v>0.0</v>
      </c>
      <c r="AX704" s="941">
        <v>0.0</v>
      </c>
      <c r="AY704" s="941">
        <v>0.0</v>
      </c>
      <c r="AZ704" s="941">
        <v>0.0</v>
      </c>
      <c r="BA704" s="941">
        <v>0.0</v>
      </c>
      <c r="BB704" s="941">
        <v>4.0</v>
      </c>
      <c r="BC704" s="941">
        <v>0.0</v>
      </c>
      <c r="BD704" s="941">
        <v>13.0</v>
      </c>
      <c r="BE704" s="941">
        <v>18.0</v>
      </c>
      <c r="BF704" s="941">
        <v>0.0</v>
      </c>
      <c r="BG704" s="941">
        <v>0.0</v>
      </c>
    </row>
    <row r="705">
      <c r="A705" s="1" t="s">
        <v>147</v>
      </c>
      <c r="B705" s="421" t="str">
        <f>IF(C705&lt;'PlayerGrades+'!$Y$44,"F-",IF(C705&lt;'PlayerGrades+'!$Y$43,"F",IF(C705&lt;'PlayerGrades+'!$Y$42,"F+",IF(C705&lt;'PlayerGrades+'!$Y$41,"E-",IF(C705&lt;'PlayerGrades+'!$Y$40,"E",IF(C705&lt;'PlayerGrades+'!$Y$39,"E+",IF(C705&lt;'PlayerGrades+'!$Y$38,"D-",IF(C705&lt;'PlayerGrades+'!$Y$37,"D",IF(C705&lt;'PlayerGrades+'!$Y$36,"D+",IF(C705&lt;'PlayerGrades+'!$Y$35,"C-",IF(C705&lt;'PlayerGrades+'!$Y$34,"C",IF(C705&lt;'PlayerGrades+'!$Y$33,"C+",IF(C705&lt;'PlayerGrades+'!$Y$32,"B-",IF(C705&lt;'PlayerGrades+'!$Y$31,"B",IF(C705&lt;'PlayerGrades+'!$Y$30,"B+",IF(C705&lt;'PlayerGrades+'!$Y$29,"A-",IF(C705&lt;'PlayerGrades+'!$Y$28,"A",IF(C705&lt;'PlayerGrades+'!$Y$27,"A+",IF(C705&lt;'PlayerGrades+'!$Y$26,"S-",IF(C705&lt;'PlayerGrades+'!$Y$25,"S","S+"))))))))))))))))))))</f>
        <v>D</v>
      </c>
      <c r="C705" s="972">
        <f>('PlayerGrades+'!$Y$47*(VLOOKUP(E705, 'PlayerGrades+'!$X$3:$Y$23, 2, FALSE)))+('PlayerGrades+'!$Y$48*(VLOOKUP(G705, 'PlayerGrades+'!$X$3:$Y$23, 2, FALSE)))+('PlayerGrades+'!$Y$49*(VLOOKUP(I705, 'PlayerGrades+'!$X$3:$Y$23, 2, FALSE)))+('PlayerGrades+'!$Y$50*(VLOOKUP(K705, 'PlayerGrades+'!$X$3:$Y$23, 2, FALSE)))+('PlayerGrades+'!$Y$51*(VLOOKUP(M705, 'PlayerGrades+'!$X$3:$Y$23, 2, FALSE)))+('PlayerGrades+'!$Y$52*(VLOOKUP(O705, 'PlayerGrades+'!$X$3:$Y$23, 2, FALSE)))+('PlayerGrades+'!$Y$53*(VLOOKUP(Q705, 'PlayerGrades+'!$X$3:$Y$23, 2, FALSE)))+('PlayerGrades+'!$Y$54*(VLOOKUP(S705, 'PlayerGrades+'!$X$3:$Y$23, 2, FALSE)))+('PlayerGrades+'!$Y$55*(VLOOKUP(U705, 'PlayerGrades+'!$X$3:$Y$23, 2, FALSE)))</f>
        <v>15.55</v>
      </c>
      <c r="D705" s="973">
        <f t="shared" si="1"/>
        <v>0</v>
      </c>
      <c r="E705" s="973" t="str">
        <f>IF(D705&lt;'PlayerGrades+'!$AA$21,"F-",IF(D705&lt;'PlayerGrades+'!$AA$20,"F",IF(D705&lt;'PlayerGrades+'!$AA$19,"F+",IF(D705&lt;'PlayerGrades+'!$AA$18,"E-",IF(D705&lt;'PlayerGrades+'!$AA$17,"E",IF(D705&lt;'PlayerGrades+'!$AA$16,"E+",IF(D705&lt;'PlayerGrades+'!$AA$15,"D-",IF(D705&lt;'PlayerGrades+'!$AA$14,"D",IF(D705&lt;'PlayerGrades+'!$AA$13,"D+",IF(D705&lt;'PlayerGrades+'!$AA$12,"C-",IF(D705&lt;'PlayerGrades+'!$AA$11,"C",IF(D705&lt;'PlayerGrades+'!$AA$10,"C+",IF(D705&lt;'PlayerGrades+'!$AA$9,"B-",IF(D705&lt;'PlayerGrades+'!$AA$8,"B",IF(D705&lt;'PlayerGrades+'!$AA$7,"B+",IF(D705&lt;'PlayerGrades+'!$AA$6,"A-",IF(D705&lt;'PlayerGrades+'!$AA$5,"A",IF(D705&lt;'PlayerGrades+'!$AA$4,"A+",IF(D705&lt;'PlayerGrades+'!$AA$3,"S-",IF(D705&lt;'PlayerGrades+'!$AA$2,"S","S+"))))))))))))))))))))</f>
        <v>F-</v>
      </c>
      <c r="F705" s="973">
        <f t="shared" si="2"/>
        <v>-0.8540145985</v>
      </c>
      <c r="G705" s="973" t="str">
        <f>IF(F705&lt;'PlayerGrades+'!$AB$21,"F-",IF(F705&lt;'PlayerGrades+'!$AB$20,"F",IF(F705&lt;'PlayerGrades+'!$AB$19,"F+",IF(F705&lt;'PlayerGrades+'!$AB$18,"E-",IF(F705&lt;'PlayerGrades+'!$AB$17,"E",IF(F705&lt;'PlayerGrades+'!$AB$16,"E+",IF(F705&lt;'PlayerGrades+'!$AB$15,"D-",IF(F705&lt;'PlayerGrades+'!$AB$14,"D",IF(F705&lt;'PlayerGrades+'!$AB$13,"D+",IF(F705&lt;'PlayerGrades+'!$AB$12,"C-",IF(F705&lt;'PlayerGrades+'!$AB$11,"C",IF(F705&lt;'PlayerGrades+'!$AB$10,"C+",IF(F705&lt;'PlayerGrades+'!$AB$9,"B-",IF(F705&lt;'PlayerGrades+'!$AB$8,"B",IF(F705&lt;'PlayerGrades+'!$AB$7,"B+",IF(F705&lt;'PlayerGrades+'!$AB$6,"A-",IF(F705&lt;'PlayerGrades+'!$AB$5,"A",IF(F705&lt;'PlayerGrades+'!$AB$4,"A+",IF(F705&lt;'PlayerGrades+'!$AB$3,"S-",IF(F705&lt;'PlayerGrades+'!$AB$2,"S","S+"))))))))))))))))))))</f>
        <v>E</v>
      </c>
      <c r="H705" s="973">
        <f t="shared" si="3"/>
        <v>0.1751824818</v>
      </c>
      <c r="I705" s="973" t="str">
        <f>IF(H705&lt;'PlayerGrades+'!$AC$21,"F-",IF(H705&lt;'PlayerGrades+'!$AC$20,"F",IF(H705&lt;'PlayerGrades+'!$AC$19,"F+",IF(H705&lt;'PlayerGrades+'!$AC$18,"E-",IF(H705&lt;'PlayerGrades+'!$AC$17,"E",IF(H705&lt;'PlayerGrades+'!$AC$16,"E+",IF(H705&lt;'PlayerGrades+'!$AC$15,"D-",IF(H705&lt;'PlayerGrades+'!$AC$14,"D",IF(H705&lt;'PlayerGrades+'!$AC$13,"D+",IF(H705&lt;'PlayerGrades+'!$AC$12,"C-",IF(H705&lt;'PlayerGrades+'!$AC$11,"C",IF(H705&lt;'PlayerGrades+'!$AC$10,"C+",IF(H705&lt;'PlayerGrades+'!$AC$9,"B-",IF(H705&lt;'PlayerGrades+'!$AC$8,"B",IF(H705&lt;'PlayerGrades+'!$AC$7,"B+",IF(H705&lt;'PlayerGrades+'!$AC$6,"A-",IF(H705&lt;'PlayerGrades+'!$AC$5,"A",IF(H705&lt;'PlayerGrades+'!$AC$4,"A+",IF(H705&lt;'PlayerGrades+'!$AC$3,"S-",IF(H705&lt;'PlayerGrades+'!$AC$2,"S","S+"))))))))))))))))))))</f>
        <v>S-</v>
      </c>
      <c r="J705" s="973">
        <f t="shared" si="4"/>
        <v>0</v>
      </c>
      <c r="K705" s="973" t="str">
        <f>IF(J705&lt;'PlayerGrades+'!$AD$21,"F-",IF(J705&lt;'PlayerGrades+'!$AD$20,"F",IF(J705&lt;'PlayerGrades+'!$AD$19,"F+",IF(J705&lt;'PlayerGrades+'!$AD$18,"E-",IF(J705&lt;'PlayerGrades+'!$AD$17,"E",IF(J705&lt;'PlayerGrades+'!$AD$16,"E+",IF(J705&lt;'PlayerGrades+'!$AD$15,"D-",IF(J705&lt;'PlayerGrades+'!$AD$14,"D",IF(J705&lt;'PlayerGrades+'!$AD$13,"D+",IF(J705&lt;'PlayerGrades+'!$AD$12,"C-",IF(J705&lt;'PlayerGrades+'!$AD$11,"C",IF(J705&lt;'PlayerGrades+'!$AD$10,"C+",IF(J705&lt;'PlayerGrades+'!$AD$9,"B-",IF(J705&lt;'PlayerGrades+'!$AD$8,"B",IF(J705&lt;'PlayerGrades+'!$AD$7,"B+",IF(J705&lt;'PlayerGrades+'!$AD$6,"A-",IF(J705&lt;'PlayerGrades+'!$AD$5,"A",IF(J705&lt;'PlayerGrades+'!$AD$4,"A+",IF(J705&lt;'PlayerGrades+'!$AD$3,"S-",IF(J705&lt;'PlayerGrades+'!$AD$2,"S","S+"))))))))))))))))))))</f>
        <v>F-</v>
      </c>
      <c r="L705" s="974">
        <f t="shared" si="5"/>
        <v>0.2627737226</v>
      </c>
      <c r="M705" s="975" t="str">
        <f>IF(L705&lt;'PlayerGrades+'!$AE$21,"F-",IF(L705&lt;'PlayerGrades+'!$AE$20,"F",IF(L705&lt;'PlayerGrades+'!$AE$19,"F+",IF(L705&lt;'PlayerGrades+'!$AE$18,"E-",IF(L705&lt;'PlayerGrades+'!$AE$17,"E",IF(L705&lt;'PlayerGrades+'!$AE$16,"E+",IF(L705&lt;'PlayerGrades+'!$AE$15,"D-",IF(L705&lt;'PlayerGrades+'!$AE$14,"D",IF(L705&lt;'PlayerGrades+'!$AE$13,"D+",IF(L705&lt;'PlayerGrades+'!$AE$12,"C-",IF(L705&lt;'PlayerGrades+'!$AE$11,"C",IF(L705&lt;'PlayerGrades+'!$AE$10,"C+",IF(L705&lt;'PlayerGrades+'!$AE$9,"B-",IF(L705&lt;'PlayerGrades+'!$AE$8,"B",IF(L705&lt;'PlayerGrades+'!$AE$7,"B+",IF(L705&lt;'PlayerGrades+'!$AE$6,"A-",IF(L705&lt;'PlayerGrades+'!$AE$5,"A",IF(L705&lt;'PlayerGrades+'!$AE$4,"A+",IF(L705&lt;'PlayerGrades+'!$AE$3,"S-",IF(L705&lt;'PlayerGrades+'!$AE$2,"S","S+"))))))))))))))))))))</f>
        <v>F</v>
      </c>
      <c r="N705" s="973">
        <f t="shared" si="6"/>
        <v>0.04379562044</v>
      </c>
      <c r="O705" s="973" t="str">
        <f>IF(N705&lt;'PlayerGrades+'!$AF$21,"F-",IF(N705&lt;'PlayerGrades+'!$AF$20,"F",IF(N705&lt;'PlayerGrades+'!$AF$19,"F+",IF(N705&lt;'PlayerGrades+'!$AF$18,"E-",IF(N705&lt;'PlayerGrades+'!$AF$17,"E",IF(N705&lt;'PlayerGrades+'!$AF$16,"E+",IF(N705&lt;'PlayerGrades+'!$AF$15,"D-",IF(N705&lt;'PlayerGrades+'!$AF$14,"D",IF(N705&lt;'PlayerGrades+'!$AF$13,"D+",IF(N705&lt;'PlayerGrades+'!$AF$12,"C-",IF(N705&lt;'PlayerGrades+'!$AF$11,"C",IF(N705&lt;'PlayerGrades+'!$AF$10,"C+",IF(N705&lt;'PlayerGrades+'!$AF$9,"B-",IF(N705&lt;'PlayerGrades+'!$AF$8,"B",IF(N705&lt;'PlayerGrades+'!$AF$7,"B+",IF(N705&lt;'PlayerGrades+'!$AF$6,"A-",IF(N705&lt;'PlayerGrades+'!$AF$5,"A",IF(N705&lt;'PlayerGrades+'!$AF$4,"A+",IF(N705&lt;'PlayerGrades+'!$AF$3,"S-",IF(N705&lt;'PlayerGrades+'!$AF$2,"S","S+"))))))))))))))))))))</f>
        <v>E+</v>
      </c>
      <c r="P705" s="973">
        <f t="shared" si="7"/>
        <v>0</v>
      </c>
      <c r="Q705" s="973" t="str">
        <f>IF(P705&lt;'PlayerGrades+'!$AG$21,"F-",IF(P705&lt;'PlayerGrades+'!$AG$20,"F",IF(P705&lt;'PlayerGrades+'!$AG$19,"F+",IF(P705&lt;'PlayerGrades+'!$AG$18,"E-",IF(P705&lt;'PlayerGrades+'!$AG$17,"E",IF(P705&lt;'PlayerGrades+'!$AG$16,"E+",IF(P705&lt;'PlayerGrades+'!$AG$15,"D-",IF(P705&lt;'PlayerGrades+'!$AG$14,"D",IF(P705&lt;'PlayerGrades+'!$AG$13,"D+",IF(P705&lt;'PlayerGrades+'!$AG$12,"C-",IF(P705&lt;'PlayerGrades+'!$AG$11,"C",IF(P705&lt;'PlayerGrades+'!$AG$10,"C+",IF(P705&lt;'PlayerGrades+'!$AG$9,"B-",IF(P705&lt;'PlayerGrades+'!$AG$8,"B",IF(P705&lt;'PlayerGrades+'!$AG$7,"B+",IF(P705&lt;'PlayerGrades+'!$AG$6,"A-",IF(P705&lt;'PlayerGrades+'!$AG$5,"A",IF(P705&lt;'PlayerGrades+'!$AG$4,"A+",IF(P705&lt;'PlayerGrades+'!$AG$3,"S-",IF(P705&lt;'PlayerGrades+'!$AG$2,"S","S+"))))))))))))))))))))</f>
        <v>F</v>
      </c>
      <c r="R705" s="973">
        <f t="shared" si="8"/>
        <v>0.6131386861</v>
      </c>
      <c r="S705" s="973" t="str">
        <f>IF(R705&lt;'PlayerGrades+'!$AH$21,"F-",IF(R705&lt;'PlayerGrades+'!$AH$20,"F",IF(R705&lt;'PlayerGrades+'!$AH$19,"F+",IF(R705&lt;'PlayerGrades+'!$AH$18,"E-",IF(R705&lt;'PlayerGrades+'!$AH$17,"E",IF(R705&lt;'PlayerGrades+'!$AH$16,"E+",IF(R705&lt;'PlayerGrades+'!$AH$15,"D-",IF(R705&lt;'PlayerGrades+'!$AH$14,"D",IF(R705&lt;'PlayerGrades+'!$AH$13,"D+",IF(R705&lt;'PlayerGrades+'!$AH$12,"C-",IF(R705&lt;'PlayerGrades+'!$AH$11,"C",IF(R705&lt;'PlayerGrades+'!$AH$10,"C+",IF(R705&lt;'PlayerGrades+'!$AH$9,"B-",IF(R705&lt;'PlayerGrades+'!$AH$8,"B",IF(R705&lt;'PlayerGrades+'!$AH$7,"B+",IF(R705&lt;'PlayerGrades+'!$AH$6,"A-",IF(R705&lt;'PlayerGrades+'!$AH$5,"A",IF(R705&lt;'PlayerGrades+'!$AH$4,"A+",IF(R705&lt;'PlayerGrades+'!$AH$3,"S-",IF(R705&lt;'PlayerGrades+'!$AH$2,"S","S+"))))))))))))))))))))</f>
        <v>A-</v>
      </c>
      <c r="T705" s="973">
        <f t="shared" si="9"/>
        <v>2.525547445</v>
      </c>
      <c r="U705" s="973" t="str">
        <f>IF(T705&lt;'PlayerGrades+'!$AI$21,"F-",IF(T705&lt;'PlayerGrades+'!$AI$20,"F",IF(T705&lt;'PlayerGrades+'!$AI$19,"F+",IF(T705&lt;'PlayerGrades+'!$AI$18,"E-",IF(T705&lt;'PlayerGrades+'!$AI$17,"E",IF(T705&lt;'PlayerGrades+'!$AI$16,"E+",IF(T705&lt;'PlayerGrades+'!$AI$15,"D-",IF(T705&lt;'PlayerGrades+'!$AI$14,"D",IF(T705&lt;'PlayerGrades+'!$AI$13,"D+",IF(T705&lt;'PlayerGrades+'!$AI$12,"C-",IF(T705&lt;'PlayerGrades+'!$AI$11,"C",IF(T705&lt;'PlayerGrades+'!$AI$10,"C+",IF(T705&lt;'PlayerGrades+'!$AI$9,"B-",IF(T705&lt;'PlayerGrades+'!$AI$8,"B",IF(T705&lt;'PlayerGrades+'!$AI$7,"B+",IF(T705&lt;'PlayerGrades+'!$AI$6,"A-",IF(T705&lt;'PlayerGrades+'!$AI$5,"A",IF(T705&lt;'PlayerGrades+'!$AI$4,"A+",IF(T705&lt;'PlayerGrades+'!$AI$3,"S-",IF(T705&lt;'PlayerGrades+'!$AI$2,"S","S+"))))))))))))))))))))</f>
        <v>S+</v>
      </c>
      <c r="V705" s="941">
        <v>1.0</v>
      </c>
      <c r="W705" s="941">
        <v>0.0</v>
      </c>
      <c r="X705" s="941">
        <v>1.0</v>
      </c>
      <c r="Y705" s="941">
        <v>0.0</v>
      </c>
      <c r="Z705" s="941">
        <v>0.0</v>
      </c>
      <c r="AA705" s="941">
        <v>115.0</v>
      </c>
      <c r="AB705" s="941">
        <v>154.0</v>
      </c>
      <c r="AC705" s="941">
        <v>-39.0</v>
      </c>
      <c r="AD705" s="941">
        <v>13.0</v>
      </c>
      <c r="AE705" s="941">
        <v>4.0</v>
      </c>
      <c r="AF705" s="941">
        <v>6.0</v>
      </c>
      <c r="AG705" s="941">
        <v>2180.0</v>
      </c>
      <c r="AH705" s="941">
        <v>2740.0</v>
      </c>
      <c r="AI705" s="941">
        <v>14.0</v>
      </c>
      <c r="AJ705" s="941">
        <v>181.0</v>
      </c>
      <c r="AK705" s="941">
        <v>0.0</v>
      </c>
      <c r="AL705" s="941">
        <v>0.0</v>
      </c>
      <c r="AM705" s="941">
        <v>0.0</v>
      </c>
      <c r="AN705" s="941">
        <v>0.0</v>
      </c>
      <c r="AO705" s="941">
        <v>0.0</v>
      </c>
      <c r="AP705" s="941">
        <v>0.0</v>
      </c>
      <c r="AQ705" s="941">
        <v>0.0</v>
      </c>
      <c r="AR705" s="941">
        <v>12.0</v>
      </c>
      <c r="AS705" s="941">
        <v>2.0</v>
      </c>
      <c r="AT705" s="941">
        <v>1.0</v>
      </c>
      <c r="AU705" s="941">
        <v>0.0</v>
      </c>
      <c r="AV705" s="941">
        <v>0.0</v>
      </c>
      <c r="AW705" s="941">
        <v>0.0</v>
      </c>
      <c r="AX705" s="941">
        <v>0.0</v>
      </c>
      <c r="AY705" s="941">
        <v>0.0</v>
      </c>
      <c r="AZ705" s="941">
        <v>0.0</v>
      </c>
      <c r="BA705" s="941">
        <v>0.0</v>
      </c>
      <c r="BB705" s="941">
        <v>8.0</v>
      </c>
      <c r="BC705" s="941">
        <v>0.0</v>
      </c>
      <c r="BD705" s="941">
        <v>15.0</v>
      </c>
      <c r="BE705" s="941">
        <v>24.0</v>
      </c>
      <c r="BF705" s="941">
        <v>2.0</v>
      </c>
      <c r="BG705" s="941">
        <v>0.0</v>
      </c>
    </row>
    <row r="706" hidden="1">
      <c r="B706" s="421"/>
      <c r="C706" s="972"/>
      <c r="D706" s="973"/>
      <c r="E706" s="973"/>
      <c r="F706" s="973"/>
      <c r="G706" s="973"/>
      <c r="H706" s="973"/>
      <c r="I706" s="973"/>
      <c r="J706" s="973"/>
      <c r="K706" s="973"/>
      <c r="L706" s="974"/>
      <c r="M706" s="975"/>
      <c r="N706" s="973"/>
      <c r="O706" s="973"/>
      <c r="P706" s="973"/>
      <c r="Q706" s="973"/>
      <c r="R706" s="973"/>
      <c r="S706" s="973"/>
      <c r="T706" s="973"/>
      <c r="U706" s="973"/>
    </row>
    <row r="707" hidden="1">
      <c r="B707" s="421"/>
      <c r="C707" s="972"/>
      <c r="D707" s="973"/>
      <c r="E707" s="973"/>
      <c r="F707" s="973"/>
      <c r="G707" s="973"/>
      <c r="H707" s="973"/>
      <c r="I707" s="973"/>
      <c r="J707" s="973"/>
      <c r="K707" s="973"/>
      <c r="L707" s="974"/>
      <c r="M707" s="975"/>
      <c r="N707" s="973"/>
      <c r="O707" s="973"/>
      <c r="P707" s="973"/>
      <c r="Q707" s="973"/>
      <c r="R707" s="973"/>
      <c r="S707" s="973"/>
      <c r="T707" s="973"/>
      <c r="U707" s="973"/>
    </row>
    <row r="708" hidden="1">
      <c r="B708" s="421"/>
      <c r="C708" s="972"/>
      <c r="D708" s="973"/>
      <c r="E708" s="973"/>
      <c r="F708" s="973"/>
      <c r="G708" s="973"/>
      <c r="H708" s="973"/>
      <c r="I708" s="973"/>
      <c r="J708" s="973"/>
      <c r="K708" s="973"/>
      <c r="L708" s="974"/>
      <c r="M708" s="975"/>
      <c r="N708" s="973"/>
      <c r="O708" s="973"/>
      <c r="P708" s="973"/>
      <c r="Q708" s="973"/>
      <c r="R708" s="973"/>
      <c r="S708" s="973"/>
      <c r="T708" s="973"/>
      <c r="U708" s="973"/>
    </row>
    <row r="709" hidden="1">
      <c r="B709" s="421"/>
      <c r="C709" s="972"/>
      <c r="D709" s="973"/>
      <c r="E709" s="973"/>
      <c r="F709" s="973"/>
      <c r="G709" s="973"/>
      <c r="H709" s="973"/>
      <c r="I709" s="973"/>
      <c r="J709" s="973"/>
      <c r="K709" s="973"/>
      <c r="L709" s="974"/>
      <c r="M709" s="975"/>
      <c r="N709" s="973"/>
      <c r="O709" s="973"/>
      <c r="P709" s="973"/>
      <c r="Q709" s="973"/>
      <c r="R709" s="973"/>
      <c r="S709" s="973"/>
      <c r="T709" s="973"/>
      <c r="U709" s="973"/>
    </row>
    <row r="710" hidden="1">
      <c r="B710" s="421"/>
      <c r="C710" s="972"/>
      <c r="D710" s="973"/>
      <c r="E710" s="973"/>
      <c r="F710" s="973"/>
      <c r="G710" s="973"/>
      <c r="H710" s="973"/>
      <c r="I710" s="973"/>
      <c r="J710" s="973"/>
      <c r="K710" s="973"/>
      <c r="L710" s="974"/>
      <c r="M710" s="975"/>
      <c r="N710" s="973"/>
      <c r="O710" s="973"/>
      <c r="P710" s="973"/>
      <c r="Q710" s="973"/>
      <c r="R710" s="973"/>
      <c r="S710" s="973"/>
      <c r="T710" s="973"/>
      <c r="U710" s="973"/>
    </row>
    <row r="711" hidden="1">
      <c r="B711" s="421"/>
      <c r="C711" s="972"/>
      <c r="D711" s="973"/>
      <c r="E711" s="973"/>
      <c r="F711" s="973"/>
      <c r="G711" s="973"/>
      <c r="H711" s="973"/>
      <c r="I711" s="973"/>
      <c r="J711" s="973"/>
      <c r="K711" s="973"/>
      <c r="L711" s="974"/>
      <c r="M711" s="975"/>
      <c r="N711" s="973"/>
      <c r="O711" s="973"/>
      <c r="P711" s="973"/>
      <c r="Q711" s="973"/>
      <c r="R711" s="973"/>
      <c r="S711" s="973"/>
      <c r="T711" s="973"/>
      <c r="U711" s="973"/>
    </row>
    <row r="712" hidden="1">
      <c r="B712" s="421"/>
      <c r="C712" s="972"/>
      <c r="D712" s="973"/>
      <c r="E712" s="973"/>
      <c r="F712" s="973"/>
      <c r="G712" s="973"/>
      <c r="H712" s="973"/>
      <c r="I712" s="973"/>
      <c r="J712" s="973"/>
      <c r="K712" s="973"/>
      <c r="L712" s="974"/>
      <c r="M712" s="975"/>
      <c r="N712" s="973"/>
      <c r="O712" s="973"/>
      <c r="P712" s="973"/>
      <c r="Q712" s="973"/>
      <c r="R712" s="973"/>
      <c r="S712" s="973"/>
      <c r="T712" s="973"/>
      <c r="U712" s="973"/>
    </row>
    <row r="713" hidden="1">
      <c r="B713" s="421"/>
      <c r="C713" s="972"/>
      <c r="D713" s="973"/>
      <c r="E713" s="973"/>
      <c r="F713" s="973"/>
      <c r="G713" s="973"/>
      <c r="H713" s="973"/>
      <c r="I713" s="973"/>
      <c r="J713" s="973"/>
      <c r="K713" s="973"/>
      <c r="L713" s="974"/>
      <c r="M713" s="975"/>
      <c r="N713" s="973"/>
      <c r="O713" s="973"/>
      <c r="P713" s="973"/>
      <c r="Q713" s="973"/>
      <c r="R713" s="973"/>
      <c r="S713" s="973"/>
      <c r="T713" s="973"/>
      <c r="U713" s="973"/>
    </row>
    <row r="714" hidden="1">
      <c r="B714" s="421"/>
      <c r="C714" s="972"/>
      <c r="D714" s="973"/>
      <c r="E714" s="973"/>
      <c r="F714" s="973"/>
      <c r="G714" s="973"/>
      <c r="H714" s="973"/>
      <c r="I714" s="973"/>
      <c r="J714" s="973"/>
      <c r="K714" s="973"/>
      <c r="L714" s="974"/>
      <c r="M714" s="975"/>
      <c r="N714" s="973"/>
      <c r="O714" s="973"/>
      <c r="P714" s="973"/>
      <c r="Q714" s="973"/>
      <c r="R714" s="973"/>
      <c r="S714" s="973"/>
      <c r="T714" s="973"/>
      <c r="U714" s="973"/>
    </row>
    <row r="715" hidden="1">
      <c r="B715" s="421"/>
      <c r="C715" s="972"/>
      <c r="D715" s="973"/>
      <c r="E715" s="973"/>
      <c r="F715" s="973"/>
      <c r="G715" s="973"/>
      <c r="H715" s="973"/>
      <c r="I715" s="973"/>
      <c r="J715" s="973"/>
      <c r="K715" s="973"/>
      <c r="L715" s="974"/>
      <c r="M715" s="975"/>
      <c r="N715" s="973"/>
      <c r="O715" s="973"/>
      <c r="P715" s="973"/>
      <c r="Q715" s="973"/>
      <c r="R715" s="973"/>
      <c r="S715" s="973"/>
      <c r="T715" s="973"/>
      <c r="U715" s="973"/>
    </row>
    <row r="716" hidden="1">
      <c r="B716" s="421"/>
      <c r="C716" s="972"/>
      <c r="D716" s="973"/>
      <c r="E716" s="973"/>
      <c r="F716" s="973"/>
      <c r="G716" s="973"/>
      <c r="H716" s="973"/>
      <c r="I716" s="973"/>
      <c r="J716" s="973"/>
      <c r="K716" s="973"/>
      <c r="L716" s="974"/>
      <c r="M716" s="975"/>
      <c r="N716" s="973"/>
      <c r="O716" s="973"/>
      <c r="P716" s="973"/>
      <c r="Q716" s="973"/>
      <c r="R716" s="973"/>
      <c r="S716" s="973"/>
      <c r="T716" s="973"/>
      <c r="U716" s="973"/>
    </row>
    <row r="717" hidden="1">
      <c r="B717" s="421"/>
      <c r="C717" s="972"/>
      <c r="D717" s="973"/>
      <c r="E717" s="973"/>
      <c r="F717" s="973"/>
      <c r="G717" s="973"/>
      <c r="H717" s="973"/>
      <c r="I717" s="973"/>
      <c r="J717" s="973"/>
      <c r="K717" s="973"/>
      <c r="L717" s="974"/>
      <c r="M717" s="975"/>
      <c r="N717" s="973"/>
      <c r="O717" s="973"/>
      <c r="P717" s="973"/>
      <c r="Q717" s="973"/>
      <c r="R717" s="973"/>
      <c r="S717" s="973"/>
      <c r="T717" s="973"/>
      <c r="U717" s="973"/>
    </row>
    <row r="718" hidden="1">
      <c r="B718" s="421"/>
      <c r="C718" s="972"/>
      <c r="D718" s="973"/>
      <c r="E718" s="973"/>
      <c r="F718" s="973"/>
      <c r="G718" s="973"/>
      <c r="H718" s="973"/>
      <c r="I718" s="973"/>
      <c r="J718" s="973"/>
      <c r="K718" s="973"/>
      <c r="L718" s="974"/>
      <c r="M718" s="975"/>
      <c r="N718" s="973"/>
      <c r="O718" s="973"/>
      <c r="P718" s="973"/>
      <c r="Q718" s="973"/>
      <c r="R718" s="973"/>
      <c r="S718" s="973"/>
      <c r="T718" s="973"/>
      <c r="U718" s="973"/>
    </row>
    <row r="719" hidden="1">
      <c r="B719" s="421"/>
      <c r="C719" s="972"/>
      <c r="D719" s="973"/>
      <c r="E719" s="973"/>
      <c r="F719" s="973"/>
      <c r="G719" s="973"/>
      <c r="H719" s="973"/>
      <c r="I719" s="973"/>
      <c r="J719" s="973"/>
      <c r="K719" s="973"/>
      <c r="L719" s="974"/>
      <c r="M719" s="975"/>
      <c r="N719" s="973"/>
      <c r="O719" s="973"/>
      <c r="P719" s="973"/>
      <c r="Q719" s="973"/>
      <c r="R719" s="973"/>
      <c r="S719" s="973"/>
      <c r="T719" s="973"/>
      <c r="U719" s="973"/>
    </row>
    <row r="720" hidden="1">
      <c r="B720" s="421"/>
      <c r="C720" s="972"/>
      <c r="D720" s="973"/>
      <c r="E720" s="973"/>
      <c r="F720" s="973"/>
      <c r="G720" s="973"/>
      <c r="H720" s="973"/>
      <c r="I720" s="973"/>
      <c r="J720" s="973"/>
      <c r="K720" s="973"/>
      <c r="L720" s="974"/>
      <c r="M720" s="975"/>
      <c r="N720" s="973"/>
      <c r="O720" s="973"/>
      <c r="P720" s="973"/>
      <c r="Q720" s="973"/>
      <c r="R720" s="973"/>
      <c r="S720" s="973"/>
      <c r="T720" s="973"/>
      <c r="U720" s="973"/>
    </row>
    <row r="721" hidden="1">
      <c r="B721" s="421"/>
      <c r="C721" s="972"/>
      <c r="D721" s="973"/>
      <c r="E721" s="973"/>
      <c r="F721" s="973"/>
      <c r="G721" s="973"/>
      <c r="H721" s="973"/>
      <c r="I721" s="973"/>
      <c r="J721" s="973"/>
      <c r="K721" s="973"/>
      <c r="L721" s="974"/>
      <c r="M721" s="975"/>
      <c r="N721" s="973"/>
      <c r="O721" s="973"/>
      <c r="P721" s="973"/>
      <c r="Q721" s="973"/>
      <c r="R721" s="973"/>
      <c r="S721" s="973"/>
      <c r="T721" s="973"/>
      <c r="U721" s="973"/>
    </row>
    <row r="722" hidden="1">
      <c r="B722" s="421"/>
      <c r="C722" s="972"/>
      <c r="D722" s="973"/>
      <c r="E722" s="973"/>
      <c r="F722" s="973"/>
      <c r="G722" s="973"/>
      <c r="H722" s="973"/>
      <c r="I722" s="973"/>
      <c r="J722" s="973"/>
      <c r="K722" s="973"/>
      <c r="L722" s="974"/>
      <c r="M722" s="975"/>
      <c r="N722" s="973"/>
      <c r="O722" s="973"/>
      <c r="P722" s="973"/>
      <c r="Q722" s="973"/>
      <c r="R722" s="973"/>
      <c r="S722" s="973"/>
      <c r="T722" s="973"/>
      <c r="U722" s="973"/>
    </row>
    <row r="723" hidden="1">
      <c r="B723" s="421"/>
      <c r="C723" s="972"/>
      <c r="D723" s="973"/>
      <c r="E723" s="973"/>
      <c r="F723" s="973"/>
      <c r="G723" s="973"/>
      <c r="H723" s="973"/>
      <c r="I723" s="973"/>
      <c r="J723" s="973"/>
      <c r="K723" s="973"/>
      <c r="L723" s="974"/>
      <c r="M723" s="975"/>
      <c r="N723" s="973"/>
      <c r="O723" s="973"/>
      <c r="P723" s="973"/>
      <c r="Q723" s="973"/>
      <c r="R723" s="973"/>
      <c r="S723" s="973"/>
      <c r="T723" s="973"/>
      <c r="U723" s="973"/>
    </row>
    <row r="724" hidden="1">
      <c r="B724" s="421"/>
      <c r="C724" s="972"/>
      <c r="D724" s="973"/>
      <c r="E724" s="973"/>
      <c r="F724" s="973"/>
      <c r="G724" s="973"/>
      <c r="H724" s="973"/>
      <c r="I724" s="973"/>
      <c r="J724" s="973"/>
      <c r="K724" s="973"/>
      <c r="L724" s="974"/>
      <c r="M724" s="975"/>
      <c r="N724" s="973"/>
      <c r="O724" s="973"/>
      <c r="P724" s="973"/>
      <c r="Q724" s="973"/>
      <c r="R724" s="973"/>
      <c r="S724" s="973"/>
      <c r="T724" s="973"/>
      <c r="U724" s="973"/>
    </row>
    <row r="725" hidden="1">
      <c r="B725" s="421"/>
      <c r="C725" s="972"/>
      <c r="D725" s="973"/>
      <c r="E725" s="973"/>
      <c r="F725" s="973"/>
      <c r="G725" s="973"/>
      <c r="H725" s="973"/>
      <c r="I725" s="973"/>
      <c r="J725" s="973"/>
      <c r="K725" s="973"/>
      <c r="L725" s="974"/>
      <c r="M725" s="975"/>
      <c r="N725" s="973"/>
      <c r="O725" s="973"/>
      <c r="P725" s="973"/>
      <c r="Q725" s="973"/>
      <c r="R725" s="973"/>
      <c r="S725" s="973"/>
      <c r="T725" s="973"/>
      <c r="U725" s="973"/>
    </row>
    <row r="726" hidden="1">
      <c r="B726" s="421"/>
      <c r="C726" s="972"/>
      <c r="D726" s="973"/>
      <c r="E726" s="973"/>
      <c r="F726" s="973"/>
      <c r="G726" s="973"/>
      <c r="H726" s="973"/>
      <c r="I726" s="973"/>
      <c r="J726" s="973"/>
      <c r="K726" s="973"/>
      <c r="L726" s="974"/>
      <c r="M726" s="975"/>
      <c r="N726" s="973"/>
      <c r="O726" s="973"/>
      <c r="P726" s="973"/>
      <c r="Q726" s="973"/>
      <c r="R726" s="973"/>
      <c r="S726" s="973"/>
      <c r="T726" s="973"/>
      <c r="U726" s="973"/>
    </row>
    <row r="727" hidden="1">
      <c r="B727" s="421"/>
      <c r="C727" s="972"/>
      <c r="D727" s="973"/>
      <c r="E727" s="973"/>
      <c r="F727" s="973"/>
      <c r="G727" s="973"/>
      <c r="H727" s="973"/>
      <c r="I727" s="973"/>
      <c r="J727" s="973"/>
      <c r="K727" s="973"/>
      <c r="L727" s="974"/>
      <c r="M727" s="975"/>
      <c r="N727" s="973"/>
      <c r="O727" s="973"/>
      <c r="P727" s="973"/>
      <c r="Q727" s="973"/>
      <c r="R727" s="973"/>
      <c r="S727" s="973"/>
      <c r="T727" s="973"/>
      <c r="U727" s="973"/>
    </row>
    <row r="728" hidden="1">
      <c r="B728" s="421"/>
      <c r="C728" s="972"/>
      <c r="D728" s="973"/>
      <c r="E728" s="973"/>
      <c r="F728" s="973"/>
      <c r="G728" s="973"/>
      <c r="H728" s="973"/>
      <c r="I728" s="973"/>
      <c r="J728" s="973"/>
      <c r="K728" s="973"/>
      <c r="L728" s="974"/>
      <c r="M728" s="975"/>
      <c r="N728" s="973"/>
      <c r="O728" s="973"/>
      <c r="P728" s="973"/>
      <c r="Q728" s="973"/>
      <c r="R728" s="973"/>
      <c r="S728" s="973"/>
      <c r="T728" s="973"/>
      <c r="U728" s="973"/>
    </row>
    <row r="729" hidden="1">
      <c r="B729" s="421"/>
      <c r="C729" s="972"/>
      <c r="D729" s="973"/>
      <c r="E729" s="973"/>
      <c r="F729" s="973"/>
      <c r="G729" s="973"/>
      <c r="H729" s="973"/>
      <c r="I729" s="973"/>
      <c r="J729" s="973"/>
      <c r="K729" s="973"/>
      <c r="L729" s="974"/>
      <c r="M729" s="975"/>
      <c r="N729" s="973"/>
      <c r="O729" s="973"/>
      <c r="P729" s="973"/>
      <c r="Q729" s="973"/>
      <c r="R729" s="973"/>
      <c r="S729" s="973"/>
      <c r="T729" s="973"/>
      <c r="U729" s="973"/>
    </row>
    <row r="730" hidden="1">
      <c r="B730" s="421"/>
      <c r="C730" s="972"/>
      <c r="D730" s="973"/>
      <c r="E730" s="973"/>
      <c r="F730" s="973"/>
      <c r="G730" s="973"/>
      <c r="H730" s="973"/>
      <c r="I730" s="973"/>
      <c r="J730" s="973"/>
      <c r="K730" s="973"/>
      <c r="L730" s="974"/>
      <c r="M730" s="975"/>
      <c r="N730" s="973"/>
      <c r="O730" s="973"/>
      <c r="P730" s="973"/>
      <c r="Q730" s="973"/>
      <c r="R730" s="973"/>
      <c r="S730" s="973"/>
      <c r="T730" s="973"/>
      <c r="U730" s="973"/>
    </row>
    <row r="731" hidden="1">
      <c r="B731" s="421"/>
      <c r="C731" s="972"/>
      <c r="D731" s="973"/>
      <c r="E731" s="973"/>
      <c r="F731" s="973"/>
      <c r="G731" s="973"/>
      <c r="H731" s="973"/>
      <c r="I731" s="973"/>
      <c r="J731" s="973"/>
      <c r="K731" s="973"/>
      <c r="L731" s="974"/>
      <c r="M731" s="975"/>
      <c r="N731" s="973"/>
      <c r="O731" s="973"/>
      <c r="P731" s="973"/>
      <c r="Q731" s="973"/>
      <c r="R731" s="973"/>
      <c r="S731" s="973"/>
      <c r="T731" s="973"/>
      <c r="U731" s="973"/>
    </row>
    <row r="732" hidden="1">
      <c r="B732" s="421"/>
      <c r="C732" s="972"/>
      <c r="D732" s="973"/>
      <c r="E732" s="973"/>
      <c r="F732" s="973"/>
      <c r="G732" s="973"/>
      <c r="H732" s="973"/>
      <c r="I732" s="973"/>
      <c r="J732" s="973"/>
      <c r="K732" s="973"/>
      <c r="L732" s="974"/>
      <c r="M732" s="975"/>
      <c r="N732" s="973"/>
      <c r="O732" s="973"/>
      <c r="P732" s="973"/>
      <c r="Q732" s="973"/>
      <c r="R732" s="973"/>
      <c r="S732" s="973"/>
      <c r="T732" s="973"/>
      <c r="U732" s="973"/>
    </row>
    <row r="733" hidden="1">
      <c r="B733" s="421"/>
      <c r="C733" s="972"/>
      <c r="D733" s="973"/>
      <c r="E733" s="973"/>
      <c r="F733" s="973"/>
      <c r="G733" s="973"/>
      <c r="H733" s="973"/>
      <c r="I733" s="973"/>
      <c r="J733" s="973"/>
      <c r="K733" s="973"/>
      <c r="L733" s="974"/>
      <c r="M733" s="975"/>
      <c r="N733" s="973"/>
      <c r="O733" s="973"/>
      <c r="P733" s="973"/>
      <c r="Q733" s="973"/>
      <c r="R733" s="973"/>
      <c r="S733" s="973"/>
      <c r="T733" s="973"/>
      <c r="U733" s="973"/>
    </row>
    <row r="734" hidden="1">
      <c r="B734" s="421"/>
      <c r="C734" s="972"/>
      <c r="D734" s="973"/>
      <c r="E734" s="973"/>
      <c r="F734" s="973"/>
      <c r="G734" s="973"/>
      <c r="H734" s="973"/>
      <c r="I734" s="973"/>
      <c r="J734" s="973"/>
      <c r="K734" s="973"/>
      <c r="L734" s="974"/>
      <c r="M734" s="975"/>
      <c r="N734" s="973"/>
      <c r="O734" s="973"/>
      <c r="P734" s="973"/>
      <c r="Q734" s="973"/>
      <c r="R734" s="973"/>
      <c r="S734" s="973"/>
      <c r="T734" s="973"/>
      <c r="U734" s="973"/>
    </row>
    <row r="735" hidden="1">
      <c r="B735" s="421"/>
      <c r="C735" s="972"/>
      <c r="D735" s="973"/>
      <c r="E735" s="973"/>
      <c r="F735" s="973"/>
      <c r="G735" s="973"/>
      <c r="H735" s="973"/>
      <c r="I735" s="973"/>
      <c r="J735" s="973"/>
      <c r="K735" s="973"/>
      <c r="L735" s="974"/>
      <c r="M735" s="975"/>
      <c r="N735" s="973"/>
      <c r="O735" s="973"/>
      <c r="P735" s="973"/>
      <c r="Q735" s="973"/>
      <c r="R735" s="973"/>
      <c r="S735" s="973"/>
      <c r="T735" s="973"/>
      <c r="U735" s="973"/>
    </row>
    <row r="736" hidden="1">
      <c r="B736" s="421"/>
      <c r="C736" s="972"/>
      <c r="D736" s="973"/>
      <c r="E736" s="973"/>
      <c r="F736" s="973"/>
      <c r="G736" s="973"/>
      <c r="H736" s="973"/>
      <c r="I736" s="973"/>
      <c r="J736" s="973"/>
      <c r="K736" s="973"/>
      <c r="L736" s="974"/>
      <c r="M736" s="975"/>
      <c r="N736" s="973"/>
      <c r="O736" s="973"/>
      <c r="P736" s="973"/>
      <c r="Q736" s="973"/>
      <c r="R736" s="973"/>
      <c r="S736" s="973"/>
      <c r="T736" s="973"/>
      <c r="U736" s="973"/>
    </row>
    <row r="737" hidden="1">
      <c r="B737" s="421"/>
      <c r="C737" s="972"/>
      <c r="D737" s="973"/>
      <c r="E737" s="973"/>
      <c r="F737" s="973"/>
      <c r="G737" s="973"/>
      <c r="H737" s="973"/>
      <c r="I737" s="973"/>
      <c r="J737" s="973"/>
      <c r="K737" s="973"/>
      <c r="L737" s="974"/>
      <c r="M737" s="975"/>
      <c r="N737" s="973"/>
      <c r="O737" s="973"/>
      <c r="P737" s="973"/>
      <c r="Q737" s="973"/>
      <c r="R737" s="973"/>
      <c r="S737" s="973"/>
      <c r="T737" s="973"/>
      <c r="U737" s="973"/>
    </row>
    <row r="738" hidden="1">
      <c r="B738" s="421"/>
      <c r="C738" s="972"/>
      <c r="D738" s="973"/>
      <c r="E738" s="973"/>
      <c r="F738" s="973"/>
      <c r="G738" s="973"/>
      <c r="H738" s="973"/>
      <c r="I738" s="973"/>
      <c r="J738" s="973"/>
      <c r="K738" s="973"/>
      <c r="L738" s="974"/>
      <c r="M738" s="975"/>
      <c r="N738" s="973"/>
      <c r="O738" s="973"/>
      <c r="P738" s="973"/>
      <c r="Q738" s="973"/>
      <c r="R738" s="973"/>
      <c r="S738" s="973"/>
      <c r="T738" s="973"/>
      <c r="U738" s="973"/>
    </row>
    <row r="739" hidden="1">
      <c r="B739" s="421"/>
      <c r="C739" s="972"/>
      <c r="D739" s="973"/>
      <c r="E739" s="973"/>
      <c r="F739" s="973"/>
      <c r="G739" s="973"/>
      <c r="H739" s="973"/>
      <c r="I739" s="973"/>
      <c r="J739" s="973"/>
      <c r="K739" s="973"/>
      <c r="L739" s="974"/>
      <c r="M739" s="975"/>
      <c r="N739" s="973"/>
      <c r="O739" s="973"/>
      <c r="P739" s="973"/>
      <c r="Q739" s="973"/>
      <c r="R739" s="973"/>
      <c r="S739" s="973"/>
      <c r="T739" s="973"/>
      <c r="U739" s="973"/>
    </row>
    <row r="740" hidden="1">
      <c r="B740" s="421"/>
      <c r="C740" s="972"/>
      <c r="D740" s="973"/>
      <c r="E740" s="973"/>
      <c r="F740" s="973"/>
      <c r="G740" s="973"/>
      <c r="H740" s="973"/>
      <c r="I740" s="973"/>
      <c r="J740" s="973"/>
      <c r="K740" s="973"/>
      <c r="L740" s="974"/>
      <c r="M740" s="975"/>
      <c r="N740" s="973"/>
      <c r="O740" s="973"/>
      <c r="P740" s="973"/>
      <c r="Q740" s="973"/>
      <c r="R740" s="973"/>
      <c r="S740" s="973"/>
      <c r="T740" s="973"/>
      <c r="U740" s="973"/>
    </row>
    <row r="741" hidden="1">
      <c r="B741" s="421"/>
      <c r="C741" s="972"/>
      <c r="D741" s="973"/>
      <c r="E741" s="973"/>
      <c r="F741" s="973"/>
      <c r="G741" s="973"/>
      <c r="H741" s="973"/>
      <c r="I741" s="973"/>
      <c r="J741" s="973"/>
      <c r="K741" s="973"/>
      <c r="L741" s="974"/>
      <c r="M741" s="975"/>
      <c r="N741" s="973"/>
      <c r="O741" s="973"/>
      <c r="P741" s="973"/>
      <c r="Q741" s="973"/>
      <c r="R741" s="973"/>
      <c r="S741" s="973"/>
      <c r="T741" s="973"/>
      <c r="U741" s="973"/>
    </row>
    <row r="742" hidden="1">
      <c r="B742" s="421"/>
      <c r="C742" s="972"/>
      <c r="D742" s="973"/>
      <c r="E742" s="973"/>
      <c r="F742" s="973"/>
      <c r="G742" s="973"/>
      <c r="H742" s="973"/>
      <c r="I742" s="973"/>
      <c r="J742" s="973"/>
      <c r="K742" s="973"/>
      <c r="L742" s="974"/>
      <c r="M742" s="975"/>
      <c r="N742" s="973"/>
      <c r="O742" s="973"/>
      <c r="P742" s="973"/>
      <c r="Q742" s="973"/>
      <c r="R742" s="973"/>
      <c r="S742" s="973"/>
      <c r="T742" s="973"/>
      <c r="U742" s="973"/>
    </row>
    <row r="743" hidden="1">
      <c r="B743" s="421"/>
      <c r="C743" s="972"/>
      <c r="D743" s="973"/>
      <c r="E743" s="973"/>
      <c r="F743" s="973"/>
      <c r="G743" s="973"/>
      <c r="H743" s="973"/>
      <c r="I743" s="973"/>
      <c r="J743" s="973"/>
      <c r="K743" s="973"/>
      <c r="L743" s="974"/>
      <c r="M743" s="975"/>
      <c r="N743" s="973"/>
      <c r="O743" s="973"/>
      <c r="P743" s="973"/>
      <c r="Q743" s="973"/>
      <c r="R743" s="973"/>
      <c r="S743" s="973"/>
      <c r="T743" s="973"/>
      <c r="U743" s="973"/>
    </row>
    <row r="744" hidden="1">
      <c r="B744" s="421"/>
      <c r="C744" s="972"/>
      <c r="D744" s="973"/>
      <c r="E744" s="973"/>
      <c r="F744" s="973"/>
      <c r="G744" s="973"/>
      <c r="H744" s="973"/>
      <c r="I744" s="973"/>
      <c r="J744" s="973"/>
      <c r="K744" s="973"/>
      <c r="L744" s="974"/>
      <c r="M744" s="975"/>
      <c r="N744" s="973"/>
      <c r="O744" s="973"/>
      <c r="P744" s="973"/>
      <c r="Q744" s="973"/>
      <c r="R744" s="973"/>
      <c r="S744" s="973"/>
      <c r="T744" s="973"/>
      <c r="U744" s="973"/>
    </row>
    <row r="745" hidden="1">
      <c r="B745" s="421"/>
      <c r="C745" s="972"/>
      <c r="D745" s="973"/>
      <c r="E745" s="973"/>
      <c r="F745" s="973"/>
      <c r="G745" s="973"/>
      <c r="H745" s="973"/>
      <c r="I745" s="973"/>
      <c r="J745" s="973"/>
      <c r="K745" s="973"/>
      <c r="L745" s="974"/>
      <c r="M745" s="975"/>
      <c r="N745" s="973"/>
      <c r="O745" s="973"/>
      <c r="P745" s="973"/>
      <c r="Q745" s="973"/>
      <c r="R745" s="973"/>
      <c r="S745" s="973"/>
      <c r="T745" s="973"/>
      <c r="U745" s="973"/>
    </row>
    <row r="746" hidden="1">
      <c r="B746" s="421"/>
      <c r="C746" s="972"/>
      <c r="D746" s="973"/>
      <c r="E746" s="973"/>
      <c r="F746" s="973"/>
      <c r="G746" s="973"/>
      <c r="H746" s="973"/>
      <c r="I746" s="973"/>
      <c r="J746" s="973"/>
      <c r="K746" s="973"/>
      <c r="L746" s="974"/>
      <c r="M746" s="975"/>
      <c r="N746" s="973"/>
      <c r="O746" s="973"/>
      <c r="P746" s="973"/>
      <c r="Q746" s="973"/>
      <c r="R746" s="973"/>
      <c r="S746" s="973"/>
      <c r="T746" s="973"/>
      <c r="U746" s="973"/>
    </row>
    <row r="747" hidden="1">
      <c r="B747" s="421"/>
      <c r="C747" s="972"/>
      <c r="D747" s="973"/>
      <c r="E747" s="973"/>
      <c r="F747" s="973"/>
      <c r="G747" s="973"/>
      <c r="H747" s="973"/>
      <c r="I747" s="973"/>
      <c r="J747" s="973"/>
      <c r="K747" s="973"/>
      <c r="L747" s="974"/>
      <c r="M747" s="975"/>
      <c r="N747" s="973"/>
      <c r="O747" s="973"/>
      <c r="P747" s="973"/>
      <c r="Q747" s="973"/>
      <c r="R747" s="973"/>
      <c r="S747" s="973"/>
      <c r="T747" s="973"/>
      <c r="U747" s="973"/>
    </row>
    <row r="748" hidden="1">
      <c r="B748" s="421"/>
      <c r="C748" s="972"/>
      <c r="D748" s="973"/>
      <c r="E748" s="973"/>
      <c r="F748" s="973"/>
      <c r="G748" s="973"/>
      <c r="H748" s="973"/>
      <c r="I748" s="973"/>
      <c r="J748" s="973"/>
      <c r="K748" s="973"/>
      <c r="L748" s="974"/>
      <c r="M748" s="975"/>
      <c r="N748" s="973"/>
      <c r="O748" s="973"/>
      <c r="P748" s="973"/>
      <c r="Q748" s="973"/>
      <c r="R748" s="973"/>
      <c r="S748" s="973"/>
      <c r="T748" s="973"/>
      <c r="U748" s="973"/>
    </row>
    <row r="749" hidden="1">
      <c r="B749" s="421"/>
      <c r="C749" s="972"/>
      <c r="D749" s="973"/>
      <c r="E749" s="973"/>
      <c r="F749" s="973"/>
      <c r="G749" s="973"/>
      <c r="H749" s="973"/>
      <c r="I749" s="973"/>
      <c r="J749" s="973"/>
      <c r="K749" s="973"/>
      <c r="L749" s="974"/>
      <c r="M749" s="975"/>
      <c r="N749" s="973"/>
      <c r="O749" s="973"/>
      <c r="P749" s="973"/>
      <c r="Q749" s="973"/>
      <c r="R749" s="973"/>
      <c r="S749" s="973"/>
      <c r="T749" s="973"/>
      <c r="U749" s="973"/>
    </row>
    <row r="750" hidden="1">
      <c r="B750" s="421"/>
      <c r="C750" s="972"/>
      <c r="D750" s="973"/>
      <c r="E750" s="973"/>
      <c r="F750" s="973"/>
      <c r="G750" s="973"/>
      <c r="H750" s="973"/>
      <c r="I750" s="973"/>
      <c r="J750" s="973"/>
      <c r="K750" s="973"/>
      <c r="L750" s="974"/>
      <c r="M750" s="975"/>
      <c r="N750" s="973"/>
      <c r="O750" s="973"/>
      <c r="P750" s="973"/>
      <c r="Q750" s="973"/>
      <c r="R750" s="973"/>
      <c r="S750" s="973"/>
      <c r="T750" s="973"/>
      <c r="U750" s="973"/>
    </row>
    <row r="751" hidden="1">
      <c r="B751" s="421"/>
      <c r="C751" s="972"/>
      <c r="D751" s="973"/>
      <c r="E751" s="973"/>
      <c r="F751" s="973"/>
      <c r="G751" s="973"/>
      <c r="H751" s="973"/>
      <c r="I751" s="973"/>
      <c r="J751" s="973"/>
      <c r="K751" s="973"/>
      <c r="L751" s="974"/>
      <c r="M751" s="975"/>
      <c r="N751" s="973"/>
      <c r="O751" s="973"/>
      <c r="P751" s="973"/>
      <c r="Q751" s="973"/>
      <c r="R751" s="973"/>
      <c r="S751" s="973"/>
      <c r="T751" s="973"/>
      <c r="U751" s="973"/>
    </row>
    <row r="752" hidden="1">
      <c r="B752" s="421"/>
      <c r="C752" s="972"/>
      <c r="D752" s="973"/>
      <c r="E752" s="973"/>
      <c r="F752" s="973"/>
      <c r="G752" s="973"/>
      <c r="H752" s="973"/>
      <c r="I752" s="973"/>
      <c r="J752" s="973"/>
      <c r="K752" s="973"/>
      <c r="L752" s="974"/>
      <c r="M752" s="975"/>
      <c r="N752" s="973"/>
      <c r="O752" s="973"/>
      <c r="P752" s="973"/>
      <c r="Q752" s="973"/>
      <c r="R752" s="973"/>
      <c r="S752" s="973"/>
      <c r="T752" s="973"/>
      <c r="U752" s="973"/>
    </row>
    <row r="753" hidden="1">
      <c r="B753" s="421"/>
      <c r="C753" s="972"/>
      <c r="D753" s="973"/>
      <c r="E753" s="973"/>
      <c r="F753" s="973"/>
      <c r="G753" s="973"/>
      <c r="H753" s="973"/>
      <c r="I753" s="973"/>
      <c r="J753" s="973"/>
      <c r="K753" s="973"/>
      <c r="L753" s="974"/>
      <c r="M753" s="975"/>
      <c r="N753" s="973"/>
      <c r="O753" s="973"/>
      <c r="P753" s="973"/>
      <c r="Q753" s="973"/>
      <c r="R753" s="973"/>
      <c r="S753" s="973"/>
      <c r="T753" s="973"/>
      <c r="U753" s="973"/>
    </row>
    <row r="754" hidden="1">
      <c r="B754" s="421"/>
      <c r="C754" s="972"/>
      <c r="D754" s="973"/>
      <c r="E754" s="973"/>
      <c r="F754" s="973"/>
      <c r="G754" s="973"/>
      <c r="H754" s="973"/>
      <c r="I754" s="973"/>
      <c r="J754" s="973"/>
      <c r="K754" s="973"/>
      <c r="L754" s="974"/>
      <c r="M754" s="975"/>
      <c r="N754" s="973"/>
      <c r="O754" s="973"/>
      <c r="P754" s="973"/>
      <c r="Q754" s="973"/>
      <c r="R754" s="973"/>
      <c r="S754" s="973"/>
      <c r="T754" s="973"/>
      <c r="U754" s="973"/>
    </row>
    <row r="755" hidden="1">
      <c r="B755" s="421"/>
      <c r="C755" s="972"/>
      <c r="D755" s="973"/>
      <c r="E755" s="973"/>
      <c r="F755" s="973"/>
      <c r="G755" s="973"/>
      <c r="H755" s="973"/>
      <c r="I755" s="973"/>
      <c r="J755" s="973"/>
      <c r="K755" s="973"/>
      <c r="L755" s="974"/>
      <c r="M755" s="975"/>
      <c r="N755" s="973"/>
      <c r="O755" s="973"/>
      <c r="P755" s="973"/>
      <c r="Q755" s="973"/>
      <c r="R755" s="973"/>
      <c r="S755" s="973"/>
      <c r="T755" s="973"/>
      <c r="U755" s="973"/>
    </row>
    <row r="756" hidden="1">
      <c r="B756" s="421"/>
      <c r="C756" s="972"/>
      <c r="D756" s="973"/>
      <c r="E756" s="973"/>
      <c r="F756" s="973"/>
      <c r="G756" s="973"/>
      <c r="H756" s="973"/>
      <c r="I756" s="973"/>
      <c r="J756" s="973"/>
      <c r="K756" s="973"/>
      <c r="L756" s="974"/>
      <c r="M756" s="975"/>
      <c r="N756" s="973"/>
      <c r="O756" s="973"/>
      <c r="P756" s="973"/>
      <c r="Q756" s="973"/>
      <c r="R756" s="973"/>
      <c r="S756" s="973"/>
      <c r="T756" s="973"/>
      <c r="U756" s="973"/>
    </row>
    <row r="757" hidden="1">
      <c r="B757" s="421"/>
      <c r="C757" s="972"/>
      <c r="D757" s="973"/>
      <c r="E757" s="973"/>
      <c r="F757" s="973"/>
      <c r="G757" s="973"/>
      <c r="H757" s="973"/>
      <c r="I757" s="973"/>
      <c r="J757" s="973"/>
      <c r="K757" s="973"/>
      <c r="L757" s="974"/>
      <c r="M757" s="975"/>
      <c r="N757" s="973"/>
      <c r="O757" s="973"/>
      <c r="P757" s="973"/>
      <c r="Q757" s="973"/>
      <c r="R757" s="973"/>
      <c r="S757" s="973"/>
      <c r="T757" s="973"/>
      <c r="U757" s="973"/>
    </row>
    <row r="758" hidden="1">
      <c r="B758" s="421"/>
      <c r="C758" s="972"/>
      <c r="D758" s="973"/>
      <c r="E758" s="973"/>
      <c r="F758" s="973"/>
      <c r="G758" s="973"/>
      <c r="H758" s="973"/>
      <c r="I758" s="973"/>
      <c r="J758" s="973"/>
      <c r="K758" s="973"/>
      <c r="L758" s="974"/>
      <c r="M758" s="975"/>
      <c r="N758" s="973"/>
      <c r="O758" s="973"/>
      <c r="P758" s="973"/>
      <c r="Q758" s="973"/>
      <c r="R758" s="973"/>
      <c r="S758" s="973"/>
      <c r="T758" s="973"/>
      <c r="U758" s="973"/>
    </row>
    <row r="759" hidden="1">
      <c r="B759" s="421"/>
      <c r="C759" s="972"/>
      <c r="D759" s="973"/>
      <c r="E759" s="973"/>
      <c r="F759" s="973"/>
      <c r="G759" s="973"/>
      <c r="H759" s="973"/>
      <c r="I759" s="973"/>
      <c r="J759" s="973"/>
      <c r="K759" s="973"/>
      <c r="L759" s="974"/>
      <c r="M759" s="975"/>
      <c r="N759" s="973"/>
      <c r="O759" s="973"/>
      <c r="P759" s="973"/>
      <c r="Q759" s="973"/>
      <c r="R759" s="973"/>
      <c r="S759" s="973"/>
      <c r="T759" s="973"/>
      <c r="U759" s="973"/>
    </row>
    <row r="760" hidden="1">
      <c r="B760" s="421"/>
      <c r="C760" s="972"/>
      <c r="D760" s="973"/>
      <c r="E760" s="973"/>
      <c r="F760" s="973"/>
      <c r="G760" s="973"/>
      <c r="H760" s="973"/>
      <c r="I760" s="973"/>
      <c r="J760" s="973"/>
      <c r="K760" s="973"/>
      <c r="L760" s="974"/>
      <c r="M760" s="975"/>
      <c r="N760" s="973"/>
      <c r="O760" s="973"/>
      <c r="P760" s="973"/>
      <c r="Q760" s="973"/>
      <c r="R760" s="973"/>
      <c r="S760" s="973"/>
      <c r="T760" s="973"/>
      <c r="U760" s="973"/>
    </row>
    <row r="761" hidden="1">
      <c r="B761" s="390"/>
      <c r="C761" s="991"/>
      <c r="D761" s="865"/>
      <c r="E761" s="865"/>
      <c r="F761" s="865"/>
      <c r="G761" s="865"/>
      <c r="H761" s="865"/>
      <c r="I761" s="865"/>
      <c r="J761" s="865"/>
      <c r="K761" s="865"/>
      <c r="L761" s="865"/>
      <c r="M761" s="865"/>
      <c r="N761" s="865"/>
      <c r="O761" s="865"/>
      <c r="P761" s="865"/>
      <c r="Q761" s="865"/>
      <c r="R761" s="865"/>
      <c r="S761" s="865"/>
      <c r="T761" s="865"/>
      <c r="U761" s="865"/>
    </row>
    <row r="762" hidden="1">
      <c r="B762" s="390"/>
      <c r="C762" s="991"/>
      <c r="D762" s="865"/>
      <c r="E762" s="865"/>
      <c r="F762" s="865"/>
      <c r="G762" s="865"/>
      <c r="H762" s="865"/>
      <c r="I762" s="865"/>
      <c r="J762" s="865"/>
      <c r="K762" s="865"/>
      <c r="L762" s="865"/>
      <c r="M762" s="865"/>
      <c r="N762" s="865"/>
      <c r="O762" s="865"/>
      <c r="P762" s="865"/>
      <c r="Q762" s="865"/>
      <c r="R762" s="865"/>
      <c r="S762" s="865"/>
      <c r="T762" s="865"/>
      <c r="U762" s="865"/>
    </row>
    <row r="763" hidden="1">
      <c r="B763" s="390"/>
      <c r="C763" s="991"/>
      <c r="D763" s="865"/>
      <c r="E763" s="865"/>
      <c r="F763" s="865"/>
      <c r="G763" s="865"/>
      <c r="H763" s="865"/>
      <c r="I763" s="865"/>
      <c r="J763" s="865"/>
      <c r="K763" s="865"/>
      <c r="L763" s="865"/>
      <c r="M763" s="865"/>
      <c r="N763" s="865"/>
      <c r="O763" s="865"/>
      <c r="P763" s="865"/>
      <c r="Q763" s="865"/>
      <c r="R763" s="865"/>
      <c r="S763" s="865"/>
      <c r="T763" s="865"/>
      <c r="U763" s="865"/>
    </row>
    <row r="764" hidden="1">
      <c r="B764" s="390"/>
      <c r="C764" s="991"/>
      <c r="D764" s="865"/>
      <c r="E764" s="865"/>
      <c r="F764" s="865"/>
      <c r="G764" s="865"/>
      <c r="H764" s="865"/>
      <c r="I764" s="865"/>
      <c r="J764" s="865"/>
      <c r="K764" s="865"/>
      <c r="L764" s="865"/>
      <c r="M764" s="865"/>
      <c r="N764" s="865"/>
      <c r="O764" s="865"/>
      <c r="P764" s="865"/>
      <c r="Q764" s="865"/>
      <c r="R764" s="865"/>
      <c r="S764" s="865"/>
      <c r="T764" s="865"/>
      <c r="U764" s="865"/>
    </row>
    <row r="765" hidden="1">
      <c r="B765" s="390"/>
      <c r="C765" s="991"/>
      <c r="D765" s="865"/>
      <c r="E765" s="865"/>
      <c r="F765" s="865"/>
      <c r="G765" s="865"/>
      <c r="H765" s="865"/>
      <c r="I765" s="865"/>
      <c r="J765" s="865"/>
      <c r="K765" s="865"/>
      <c r="L765" s="865"/>
      <c r="M765" s="865"/>
      <c r="N765" s="865"/>
      <c r="O765" s="865"/>
      <c r="P765" s="865"/>
      <c r="Q765" s="865"/>
      <c r="R765" s="865"/>
      <c r="S765" s="865"/>
      <c r="T765" s="865"/>
      <c r="U765" s="865"/>
    </row>
    <row r="766" hidden="1">
      <c r="B766" s="390"/>
      <c r="C766" s="991"/>
      <c r="D766" s="865"/>
      <c r="E766" s="865"/>
      <c r="F766" s="865"/>
      <c r="G766" s="865"/>
      <c r="H766" s="865"/>
      <c r="I766" s="865"/>
      <c r="J766" s="865"/>
      <c r="K766" s="865"/>
      <c r="L766" s="865"/>
      <c r="M766" s="865"/>
      <c r="N766" s="865"/>
      <c r="O766" s="865"/>
      <c r="P766" s="865"/>
      <c r="Q766" s="865"/>
      <c r="R766" s="865"/>
      <c r="S766" s="865"/>
      <c r="T766" s="865"/>
      <c r="U766" s="865"/>
    </row>
    <row r="767" hidden="1">
      <c r="B767" s="390"/>
      <c r="C767" s="991"/>
      <c r="D767" s="865"/>
      <c r="E767" s="865"/>
      <c r="F767" s="865"/>
      <c r="G767" s="865"/>
      <c r="H767" s="865"/>
      <c r="I767" s="865"/>
      <c r="J767" s="865"/>
      <c r="K767" s="865"/>
      <c r="L767" s="865"/>
      <c r="M767" s="865"/>
      <c r="N767" s="865"/>
      <c r="O767" s="865"/>
      <c r="P767" s="865"/>
      <c r="Q767" s="865"/>
      <c r="R767" s="865"/>
      <c r="S767" s="865"/>
      <c r="T767" s="865"/>
      <c r="U767" s="865"/>
    </row>
    <row r="768" hidden="1">
      <c r="B768" s="390"/>
      <c r="C768" s="991"/>
      <c r="D768" s="865"/>
      <c r="E768" s="865"/>
      <c r="F768" s="865"/>
      <c r="G768" s="865"/>
      <c r="H768" s="865"/>
      <c r="I768" s="865"/>
      <c r="J768" s="865"/>
      <c r="K768" s="865"/>
      <c r="L768" s="865"/>
      <c r="M768" s="865"/>
      <c r="N768" s="865"/>
      <c r="O768" s="865"/>
      <c r="P768" s="865"/>
      <c r="Q768" s="865"/>
      <c r="R768" s="865"/>
      <c r="S768" s="865"/>
      <c r="T768" s="865"/>
      <c r="U768" s="865"/>
    </row>
    <row r="769" hidden="1">
      <c r="B769" s="390"/>
      <c r="C769" s="991"/>
      <c r="D769" s="865"/>
      <c r="E769" s="865"/>
      <c r="F769" s="865"/>
      <c r="G769" s="865"/>
      <c r="H769" s="865"/>
      <c r="I769" s="865"/>
      <c r="J769" s="865"/>
      <c r="K769" s="865"/>
      <c r="L769" s="865"/>
      <c r="M769" s="865"/>
      <c r="N769" s="865"/>
      <c r="O769" s="865"/>
      <c r="P769" s="865"/>
      <c r="Q769" s="865"/>
      <c r="R769" s="865"/>
      <c r="S769" s="865"/>
      <c r="T769" s="865"/>
      <c r="U769" s="865"/>
    </row>
    <row r="770" hidden="1">
      <c r="B770" s="390"/>
      <c r="C770" s="991"/>
      <c r="D770" s="865"/>
      <c r="E770" s="865"/>
      <c r="F770" s="865"/>
      <c r="G770" s="865"/>
      <c r="H770" s="865"/>
      <c r="I770" s="865"/>
      <c r="J770" s="865"/>
      <c r="K770" s="865"/>
      <c r="L770" s="865"/>
      <c r="M770" s="865"/>
      <c r="N770" s="865"/>
      <c r="O770" s="865"/>
      <c r="P770" s="865"/>
      <c r="Q770" s="865"/>
      <c r="R770" s="865"/>
      <c r="S770" s="865"/>
      <c r="T770" s="865"/>
      <c r="U770" s="865"/>
    </row>
    <row r="771" hidden="1">
      <c r="B771" s="390"/>
      <c r="C771" s="991"/>
      <c r="D771" s="865"/>
      <c r="E771" s="865"/>
      <c r="F771" s="865"/>
      <c r="G771" s="865"/>
      <c r="H771" s="865"/>
      <c r="I771" s="865"/>
      <c r="J771" s="865"/>
      <c r="K771" s="865"/>
      <c r="L771" s="865"/>
      <c r="M771" s="865"/>
      <c r="N771" s="865"/>
      <c r="O771" s="865"/>
      <c r="P771" s="865"/>
      <c r="Q771" s="865"/>
      <c r="R771" s="865"/>
      <c r="S771" s="865"/>
      <c r="T771" s="865"/>
      <c r="U771" s="865"/>
    </row>
    <row r="772" hidden="1">
      <c r="B772" s="390"/>
      <c r="C772" s="991"/>
      <c r="D772" s="865"/>
      <c r="E772" s="865"/>
      <c r="F772" s="865"/>
      <c r="G772" s="865"/>
      <c r="H772" s="865"/>
      <c r="I772" s="865"/>
      <c r="J772" s="865"/>
      <c r="K772" s="865"/>
      <c r="L772" s="865"/>
      <c r="M772" s="865"/>
      <c r="N772" s="865"/>
      <c r="O772" s="865"/>
      <c r="P772" s="865"/>
      <c r="Q772" s="865"/>
      <c r="R772" s="865"/>
      <c r="S772" s="865"/>
      <c r="T772" s="865"/>
      <c r="U772" s="865"/>
    </row>
    <row r="773" hidden="1">
      <c r="B773" s="390"/>
      <c r="C773" s="991"/>
      <c r="D773" s="865"/>
      <c r="E773" s="865"/>
      <c r="F773" s="865"/>
      <c r="G773" s="865"/>
      <c r="H773" s="865"/>
      <c r="I773" s="865"/>
      <c r="J773" s="865"/>
      <c r="K773" s="865"/>
      <c r="L773" s="865"/>
      <c r="M773" s="865"/>
      <c r="N773" s="865"/>
      <c r="O773" s="865"/>
      <c r="P773" s="865"/>
      <c r="Q773" s="865"/>
      <c r="R773" s="865"/>
      <c r="S773" s="865"/>
      <c r="T773" s="865"/>
      <c r="U773" s="865"/>
    </row>
    <row r="774" hidden="1">
      <c r="B774" s="390"/>
      <c r="C774" s="991"/>
      <c r="D774" s="865"/>
      <c r="E774" s="865"/>
      <c r="F774" s="865"/>
      <c r="G774" s="865"/>
      <c r="H774" s="865"/>
      <c r="I774" s="865"/>
      <c r="J774" s="865"/>
      <c r="K774" s="865"/>
      <c r="L774" s="865"/>
      <c r="M774" s="865"/>
      <c r="N774" s="865"/>
      <c r="O774" s="865"/>
      <c r="P774" s="865"/>
      <c r="Q774" s="865"/>
      <c r="R774" s="865"/>
      <c r="S774" s="865"/>
      <c r="T774" s="865"/>
      <c r="U774" s="865"/>
    </row>
    <row r="775" hidden="1">
      <c r="B775" s="390"/>
      <c r="C775" s="991"/>
      <c r="D775" s="865"/>
      <c r="E775" s="865"/>
      <c r="F775" s="865"/>
      <c r="G775" s="865"/>
      <c r="H775" s="865"/>
      <c r="I775" s="865"/>
      <c r="J775" s="865"/>
      <c r="K775" s="865"/>
      <c r="L775" s="865"/>
      <c r="M775" s="865"/>
      <c r="N775" s="865"/>
      <c r="O775" s="865"/>
      <c r="P775" s="865"/>
      <c r="Q775" s="865"/>
      <c r="R775" s="865"/>
      <c r="S775" s="865"/>
      <c r="T775" s="865"/>
      <c r="U775" s="865"/>
    </row>
    <row r="776" hidden="1">
      <c r="B776" s="390"/>
      <c r="C776" s="991"/>
      <c r="D776" s="865"/>
      <c r="E776" s="865"/>
      <c r="F776" s="865"/>
      <c r="G776" s="865"/>
      <c r="H776" s="865"/>
      <c r="I776" s="865"/>
      <c r="J776" s="865"/>
      <c r="K776" s="865"/>
      <c r="L776" s="865"/>
      <c r="M776" s="865"/>
      <c r="N776" s="865"/>
      <c r="O776" s="865"/>
      <c r="P776" s="865"/>
      <c r="Q776" s="865"/>
      <c r="R776" s="865"/>
      <c r="S776" s="865"/>
      <c r="T776" s="865"/>
      <c r="U776" s="865"/>
    </row>
    <row r="777" hidden="1">
      <c r="B777" s="390"/>
      <c r="C777" s="991"/>
      <c r="D777" s="865"/>
      <c r="E777" s="865"/>
      <c r="F777" s="865"/>
      <c r="G777" s="865"/>
      <c r="H777" s="865"/>
      <c r="I777" s="865"/>
      <c r="J777" s="865"/>
      <c r="K777" s="865"/>
      <c r="L777" s="865"/>
      <c r="M777" s="865"/>
      <c r="N777" s="865"/>
      <c r="O777" s="865"/>
      <c r="P777" s="865"/>
      <c r="Q777" s="865"/>
      <c r="R777" s="865"/>
      <c r="S777" s="865"/>
      <c r="T777" s="865"/>
      <c r="U777" s="865"/>
    </row>
    <row r="778" hidden="1">
      <c r="B778" s="390"/>
      <c r="C778" s="991"/>
      <c r="D778" s="865"/>
      <c r="E778" s="865"/>
      <c r="F778" s="865"/>
      <c r="G778" s="865"/>
      <c r="H778" s="865"/>
      <c r="I778" s="865"/>
      <c r="J778" s="865"/>
      <c r="K778" s="865"/>
      <c r="L778" s="865"/>
      <c r="M778" s="865"/>
      <c r="N778" s="865"/>
      <c r="O778" s="865"/>
      <c r="P778" s="865"/>
      <c r="Q778" s="865"/>
      <c r="R778" s="865"/>
      <c r="S778" s="865"/>
      <c r="T778" s="865"/>
      <c r="U778" s="865"/>
    </row>
    <row r="779" hidden="1">
      <c r="B779" s="390"/>
      <c r="C779" s="991"/>
      <c r="D779" s="865"/>
      <c r="E779" s="865"/>
      <c r="F779" s="865"/>
      <c r="G779" s="865"/>
      <c r="H779" s="865"/>
      <c r="I779" s="865"/>
      <c r="J779" s="865"/>
      <c r="K779" s="865"/>
      <c r="L779" s="865"/>
      <c r="M779" s="865"/>
      <c r="N779" s="865"/>
      <c r="O779" s="865"/>
      <c r="P779" s="865"/>
      <c r="Q779" s="865"/>
      <c r="R779" s="865"/>
      <c r="S779" s="865"/>
      <c r="T779" s="865"/>
      <c r="U779" s="865"/>
    </row>
    <row r="780" hidden="1">
      <c r="B780" s="390"/>
      <c r="C780" s="991"/>
      <c r="D780" s="865"/>
      <c r="E780" s="865"/>
      <c r="F780" s="865"/>
      <c r="G780" s="865"/>
      <c r="H780" s="865"/>
      <c r="I780" s="865"/>
      <c r="J780" s="865"/>
      <c r="K780" s="865"/>
      <c r="L780" s="865"/>
      <c r="M780" s="865"/>
      <c r="N780" s="865"/>
      <c r="O780" s="865"/>
      <c r="P780" s="865"/>
      <c r="Q780" s="865"/>
      <c r="R780" s="865"/>
      <c r="S780" s="865"/>
      <c r="T780" s="865"/>
      <c r="U780" s="865"/>
    </row>
    <row r="781" hidden="1">
      <c r="B781" s="390"/>
      <c r="C781" s="991"/>
      <c r="D781" s="865"/>
      <c r="E781" s="865"/>
      <c r="F781" s="865"/>
      <c r="G781" s="865"/>
      <c r="H781" s="865"/>
      <c r="I781" s="865"/>
      <c r="J781" s="865"/>
      <c r="K781" s="865"/>
      <c r="L781" s="865"/>
      <c r="M781" s="865"/>
      <c r="N781" s="865"/>
      <c r="O781" s="865"/>
      <c r="P781" s="865"/>
      <c r="Q781" s="865"/>
      <c r="R781" s="865"/>
      <c r="S781" s="865"/>
      <c r="T781" s="865"/>
      <c r="U781" s="865"/>
    </row>
    <row r="782" hidden="1">
      <c r="B782" s="390"/>
      <c r="C782" s="991"/>
      <c r="D782" s="865"/>
      <c r="E782" s="865"/>
      <c r="F782" s="865"/>
      <c r="G782" s="865"/>
      <c r="H782" s="865"/>
      <c r="I782" s="865"/>
      <c r="J782" s="865"/>
      <c r="K782" s="865"/>
      <c r="L782" s="865"/>
      <c r="M782" s="865"/>
      <c r="N782" s="865"/>
      <c r="O782" s="865"/>
      <c r="P782" s="865"/>
      <c r="Q782" s="865"/>
      <c r="R782" s="865"/>
      <c r="S782" s="865"/>
      <c r="T782" s="865"/>
      <c r="U782" s="865"/>
    </row>
    <row r="783" hidden="1">
      <c r="B783" s="390"/>
      <c r="C783" s="991"/>
      <c r="D783" s="865"/>
      <c r="E783" s="865"/>
      <c r="F783" s="865"/>
      <c r="G783" s="865"/>
      <c r="H783" s="865"/>
      <c r="I783" s="865"/>
      <c r="J783" s="865"/>
      <c r="K783" s="865"/>
      <c r="L783" s="865"/>
      <c r="M783" s="865"/>
      <c r="N783" s="865"/>
      <c r="O783" s="865"/>
      <c r="P783" s="865"/>
      <c r="Q783" s="865"/>
      <c r="R783" s="865"/>
      <c r="S783" s="865"/>
      <c r="T783" s="865"/>
      <c r="U783" s="865"/>
    </row>
    <row r="784" hidden="1">
      <c r="B784" s="390"/>
      <c r="C784" s="991"/>
      <c r="D784" s="865"/>
      <c r="E784" s="865"/>
      <c r="F784" s="865"/>
      <c r="G784" s="865"/>
      <c r="H784" s="865"/>
      <c r="I784" s="865"/>
      <c r="J784" s="865"/>
      <c r="K784" s="865"/>
      <c r="L784" s="865"/>
      <c r="M784" s="865"/>
      <c r="N784" s="865"/>
      <c r="O784" s="865"/>
      <c r="P784" s="865"/>
      <c r="Q784" s="865"/>
      <c r="R784" s="865"/>
      <c r="S784" s="865"/>
      <c r="T784" s="865"/>
      <c r="U784" s="865"/>
    </row>
    <row r="785" hidden="1">
      <c r="B785" s="390"/>
      <c r="C785" s="991"/>
      <c r="D785" s="865"/>
      <c r="E785" s="865"/>
      <c r="F785" s="865"/>
      <c r="G785" s="865"/>
      <c r="H785" s="865"/>
      <c r="I785" s="865"/>
      <c r="J785" s="865"/>
      <c r="K785" s="865"/>
      <c r="L785" s="865"/>
      <c r="M785" s="865"/>
      <c r="N785" s="865"/>
      <c r="O785" s="865"/>
      <c r="P785" s="865"/>
      <c r="Q785" s="865"/>
      <c r="R785" s="865"/>
      <c r="S785" s="865"/>
      <c r="T785" s="865"/>
      <c r="U785" s="865"/>
    </row>
    <row r="786" hidden="1">
      <c r="B786" s="390"/>
      <c r="C786" s="991"/>
      <c r="D786" s="865"/>
      <c r="E786" s="865"/>
      <c r="F786" s="865"/>
      <c r="G786" s="865"/>
      <c r="H786" s="865"/>
      <c r="I786" s="865"/>
      <c r="J786" s="865"/>
      <c r="K786" s="865"/>
      <c r="L786" s="865"/>
      <c r="M786" s="865"/>
      <c r="N786" s="865"/>
      <c r="O786" s="865"/>
      <c r="P786" s="865"/>
      <c r="Q786" s="865"/>
      <c r="R786" s="865"/>
      <c r="S786" s="865"/>
      <c r="T786" s="865"/>
      <c r="U786" s="865"/>
    </row>
    <row r="787" hidden="1">
      <c r="B787" s="390"/>
      <c r="C787" s="991"/>
      <c r="D787" s="865"/>
      <c r="E787" s="865"/>
      <c r="F787" s="865"/>
      <c r="G787" s="865"/>
      <c r="H787" s="865"/>
      <c r="I787" s="865"/>
      <c r="J787" s="865"/>
      <c r="K787" s="865"/>
      <c r="L787" s="865"/>
      <c r="M787" s="865"/>
      <c r="N787" s="865"/>
      <c r="O787" s="865"/>
      <c r="P787" s="865"/>
      <c r="Q787" s="865"/>
      <c r="R787" s="865"/>
      <c r="S787" s="865"/>
      <c r="T787" s="865"/>
      <c r="U787" s="865"/>
    </row>
    <row r="788" hidden="1">
      <c r="B788" s="390"/>
      <c r="C788" s="991"/>
      <c r="D788" s="865"/>
      <c r="E788" s="865"/>
      <c r="F788" s="865"/>
      <c r="G788" s="865"/>
      <c r="H788" s="865"/>
      <c r="I788" s="865"/>
      <c r="J788" s="865"/>
      <c r="K788" s="865"/>
      <c r="L788" s="865"/>
      <c r="M788" s="865"/>
      <c r="N788" s="865"/>
      <c r="O788" s="865"/>
      <c r="P788" s="865"/>
      <c r="Q788" s="865"/>
      <c r="R788" s="865"/>
      <c r="S788" s="865"/>
      <c r="T788" s="865"/>
      <c r="U788" s="865"/>
    </row>
    <row r="789" hidden="1">
      <c r="B789" s="390"/>
      <c r="C789" s="991"/>
      <c r="D789" s="865"/>
      <c r="E789" s="865"/>
      <c r="F789" s="865"/>
      <c r="G789" s="865"/>
      <c r="H789" s="865"/>
      <c r="I789" s="865"/>
      <c r="J789" s="865"/>
      <c r="K789" s="865"/>
      <c r="L789" s="865"/>
      <c r="M789" s="865"/>
      <c r="N789" s="865"/>
      <c r="O789" s="865"/>
      <c r="P789" s="865"/>
      <c r="Q789" s="865"/>
      <c r="R789" s="865"/>
      <c r="S789" s="865"/>
      <c r="T789" s="865"/>
      <c r="U789" s="865"/>
    </row>
    <row r="790" hidden="1">
      <c r="B790" s="390"/>
      <c r="C790" s="991"/>
      <c r="D790" s="865"/>
      <c r="E790" s="865"/>
      <c r="F790" s="865"/>
      <c r="G790" s="865"/>
      <c r="H790" s="865"/>
      <c r="I790" s="865"/>
      <c r="J790" s="865"/>
      <c r="K790" s="865"/>
      <c r="L790" s="865"/>
      <c r="M790" s="865"/>
      <c r="N790" s="865"/>
      <c r="O790" s="865"/>
      <c r="P790" s="865"/>
      <c r="Q790" s="865"/>
      <c r="R790" s="865"/>
      <c r="S790" s="865"/>
      <c r="T790" s="865"/>
      <c r="U790" s="865"/>
    </row>
    <row r="791" hidden="1">
      <c r="B791" s="390"/>
      <c r="C791" s="991"/>
      <c r="D791" s="865"/>
      <c r="E791" s="865"/>
      <c r="F791" s="865"/>
      <c r="G791" s="865"/>
      <c r="H791" s="865"/>
      <c r="I791" s="865"/>
      <c r="J791" s="865"/>
      <c r="K791" s="865"/>
      <c r="L791" s="865"/>
      <c r="M791" s="865"/>
      <c r="N791" s="865"/>
      <c r="O791" s="865"/>
      <c r="P791" s="865"/>
      <c r="Q791" s="865"/>
      <c r="R791" s="865"/>
      <c r="S791" s="865"/>
      <c r="T791" s="865"/>
      <c r="U791" s="865"/>
    </row>
    <row r="792" hidden="1">
      <c r="B792" s="390"/>
      <c r="C792" s="991"/>
      <c r="D792" s="865"/>
      <c r="E792" s="865"/>
      <c r="F792" s="865"/>
      <c r="G792" s="865"/>
      <c r="H792" s="865"/>
      <c r="I792" s="865"/>
      <c r="J792" s="865"/>
      <c r="K792" s="865"/>
      <c r="L792" s="865"/>
      <c r="M792" s="865"/>
      <c r="N792" s="865"/>
      <c r="O792" s="865"/>
      <c r="P792" s="865"/>
      <c r="Q792" s="865"/>
      <c r="R792" s="865"/>
      <c r="S792" s="865"/>
      <c r="T792" s="865"/>
      <c r="U792" s="865"/>
    </row>
    <row r="793" hidden="1">
      <c r="B793" s="390"/>
      <c r="C793" s="991"/>
      <c r="D793" s="865"/>
      <c r="E793" s="865"/>
      <c r="F793" s="865"/>
      <c r="G793" s="865"/>
      <c r="H793" s="865"/>
      <c r="I793" s="865"/>
      <c r="J793" s="865"/>
      <c r="K793" s="865"/>
      <c r="L793" s="865"/>
      <c r="M793" s="865"/>
      <c r="N793" s="865"/>
      <c r="O793" s="865"/>
      <c r="P793" s="865"/>
      <c r="Q793" s="865"/>
      <c r="R793" s="865"/>
      <c r="S793" s="865"/>
      <c r="T793" s="865"/>
      <c r="U793" s="865"/>
    </row>
    <row r="794" hidden="1">
      <c r="B794" s="390"/>
      <c r="C794" s="991"/>
      <c r="D794" s="865"/>
      <c r="E794" s="865"/>
      <c r="F794" s="865"/>
      <c r="G794" s="865"/>
      <c r="H794" s="865"/>
      <c r="I794" s="865"/>
      <c r="J794" s="865"/>
      <c r="K794" s="865"/>
      <c r="L794" s="865"/>
      <c r="M794" s="865"/>
      <c r="N794" s="865"/>
      <c r="O794" s="865"/>
      <c r="P794" s="865"/>
      <c r="Q794" s="865"/>
      <c r="R794" s="865"/>
      <c r="S794" s="865"/>
      <c r="T794" s="865"/>
      <c r="U794" s="865"/>
    </row>
    <row r="795" hidden="1">
      <c r="B795" s="390"/>
      <c r="C795" s="991"/>
      <c r="D795" s="865"/>
      <c r="E795" s="865"/>
      <c r="F795" s="865"/>
      <c r="G795" s="865"/>
      <c r="H795" s="865"/>
      <c r="I795" s="865"/>
      <c r="J795" s="865"/>
      <c r="K795" s="865"/>
      <c r="L795" s="865"/>
      <c r="M795" s="865"/>
      <c r="N795" s="865"/>
      <c r="O795" s="865"/>
      <c r="P795" s="865"/>
      <c r="Q795" s="865"/>
      <c r="R795" s="865"/>
      <c r="S795" s="865"/>
      <c r="T795" s="865"/>
      <c r="U795" s="865"/>
    </row>
    <row r="796" hidden="1">
      <c r="B796" s="390"/>
      <c r="C796" s="991"/>
      <c r="D796" s="865"/>
      <c r="E796" s="865"/>
      <c r="F796" s="865"/>
      <c r="G796" s="865"/>
      <c r="H796" s="865"/>
      <c r="I796" s="865"/>
      <c r="J796" s="865"/>
      <c r="K796" s="865"/>
      <c r="L796" s="865"/>
      <c r="M796" s="865"/>
      <c r="N796" s="865"/>
      <c r="O796" s="865"/>
      <c r="P796" s="865"/>
      <c r="Q796" s="865"/>
      <c r="R796" s="865"/>
      <c r="S796" s="865"/>
      <c r="T796" s="865"/>
      <c r="U796" s="865"/>
    </row>
    <row r="797" hidden="1">
      <c r="B797" s="390"/>
      <c r="C797" s="991"/>
      <c r="D797" s="865"/>
      <c r="E797" s="865"/>
      <c r="F797" s="865"/>
      <c r="G797" s="865"/>
      <c r="H797" s="865"/>
      <c r="I797" s="865"/>
      <c r="J797" s="865"/>
      <c r="K797" s="865"/>
      <c r="L797" s="865"/>
      <c r="M797" s="865"/>
      <c r="N797" s="865"/>
      <c r="O797" s="865"/>
      <c r="P797" s="865"/>
      <c r="Q797" s="865"/>
      <c r="R797" s="865"/>
      <c r="S797" s="865"/>
      <c r="T797" s="865"/>
      <c r="U797" s="865"/>
    </row>
    <row r="798" hidden="1">
      <c r="B798" s="390"/>
      <c r="C798" s="991"/>
      <c r="D798" s="865"/>
      <c r="E798" s="865"/>
      <c r="F798" s="865"/>
      <c r="G798" s="865"/>
      <c r="H798" s="865"/>
      <c r="I798" s="865"/>
      <c r="J798" s="865"/>
      <c r="K798" s="865"/>
      <c r="L798" s="865"/>
      <c r="M798" s="865"/>
      <c r="N798" s="865"/>
      <c r="O798" s="865"/>
      <c r="P798" s="865"/>
      <c r="Q798" s="865"/>
      <c r="R798" s="865"/>
      <c r="S798" s="865"/>
      <c r="T798" s="865"/>
      <c r="U798" s="865"/>
    </row>
    <row r="799" hidden="1">
      <c r="B799" s="390"/>
      <c r="C799" s="991"/>
      <c r="D799" s="865"/>
      <c r="E799" s="865"/>
      <c r="F799" s="865"/>
      <c r="G799" s="865"/>
      <c r="H799" s="865"/>
      <c r="I799" s="865"/>
      <c r="J799" s="865"/>
      <c r="K799" s="865"/>
      <c r="L799" s="865"/>
      <c r="M799" s="865"/>
      <c r="N799" s="865"/>
      <c r="O799" s="865"/>
      <c r="P799" s="865"/>
      <c r="Q799" s="865"/>
      <c r="R799" s="865"/>
      <c r="S799" s="865"/>
      <c r="T799" s="865"/>
      <c r="U799" s="865"/>
    </row>
    <row r="800" hidden="1">
      <c r="B800" s="390"/>
      <c r="C800" s="991"/>
      <c r="D800" s="865"/>
      <c r="E800" s="865"/>
      <c r="F800" s="865"/>
      <c r="G800" s="865"/>
      <c r="H800" s="865"/>
      <c r="I800" s="865"/>
      <c r="J800" s="865"/>
      <c r="K800" s="865"/>
      <c r="L800" s="865"/>
      <c r="M800" s="865"/>
      <c r="N800" s="865"/>
      <c r="O800" s="865"/>
      <c r="P800" s="865"/>
      <c r="Q800" s="865"/>
      <c r="R800" s="865"/>
      <c r="S800" s="865"/>
      <c r="T800" s="865"/>
      <c r="U800" s="865"/>
    </row>
    <row r="801" hidden="1">
      <c r="B801" s="390"/>
      <c r="C801" s="991"/>
      <c r="D801" s="865"/>
      <c r="E801" s="865"/>
      <c r="F801" s="865"/>
      <c r="G801" s="865"/>
      <c r="H801" s="865"/>
      <c r="I801" s="865"/>
      <c r="J801" s="865"/>
      <c r="K801" s="865"/>
      <c r="L801" s="865"/>
      <c r="M801" s="865"/>
      <c r="N801" s="865"/>
      <c r="O801" s="865"/>
      <c r="P801" s="865"/>
      <c r="Q801" s="865"/>
      <c r="R801" s="865"/>
      <c r="S801" s="865"/>
      <c r="T801" s="865"/>
      <c r="U801" s="865"/>
    </row>
    <row r="802" hidden="1">
      <c r="B802" s="390"/>
      <c r="C802" s="991"/>
      <c r="D802" s="865"/>
      <c r="E802" s="865"/>
      <c r="F802" s="865"/>
      <c r="G802" s="865"/>
      <c r="H802" s="865"/>
      <c r="I802" s="865"/>
      <c r="J802" s="865"/>
      <c r="K802" s="865"/>
      <c r="L802" s="865"/>
      <c r="M802" s="865"/>
      <c r="N802" s="865"/>
      <c r="O802" s="865"/>
      <c r="P802" s="865"/>
      <c r="Q802" s="865"/>
      <c r="R802" s="865"/>
      <c r="S802" s="865"/>
      <c r="T802" s="865"/>
      <c r="U802" s="865"/>
    </row>
    <row r="803" hidden="1">
      <c r="B803" s="390"/>
      <c r="C803" s="991"/>
      <c r="D803" s="865"/>
      <c r="E803" s="865"/>
      <c r="F803" s="865"/>
      <c r="G803" s="865"/>
      <c r="H803" s="865"/>
      <c r="I803" s="865"/>
      <c r="J803" s="865"/>
      <c r="K803" s="865"/>
      <c r="L803" s="865"/>
      <c r="M803" s="865"/>
      <c r="N803" s="865"/>
      <c r="O803" s="865"/>
      <c r="P803" s="865"/>
      <c r="Q803" s="865"/>
      <c r="R803" s="865"/>
      <c r="S803" s="865"/>
      <c r="T803" s="865"/>
      <c r="U803" s="865"/>
    </row>
    <row r="804" hidden="1">
      <c r="B804" s="390"/>
      <c r="C804" s="991"/>
      <c r="D804" s="865"/>
      <c r="E804" s="865"/>
      <c r="F804" s="865"/>
      <c r="G804" s="865"/>
      <c r="H804" s="865"/>
      <c r="I804" s="865"/>
      <c r="J804" s="865"/>
      <c r="K804" s="865"/>
      <c r="L804" s="865"/>
      <c r="M804" s="865"/>
      <c r="N804" s="865"/>
      <c r="O804" s="865"/>
      <c r="P804" s="865"/>
      <c r="Q804" s="865"/>
      <c r="R804" s="865"/>
      <c r="S804" s="865"/>
      <c r="T804" s="865"/>
      <c r="U804" s="865"/>
    </row>
    <row r="805" hidden="1">
      <c r="B805" s="390"/>
      <c r="C805" s="991"/>
      <c r="D805" s="865"/>
      <c r="E805" s="865"/>
      <c r="F805" s="865"/>
      <c r="G805" s="865"/>
      <c r="H805" s="865"/>
      <c r="I805" s="865"/>
      <c r="J805" s="865"/>
      <c r="K805" s="865"/>
      <c r="L805" s="865"/>
      <c r="M805" s="865"/>
      <c r="N805" s="865"/>
      <c r="O805" s="865"/>
      <c r="P805" s="865"/>
      <c r="Q805" s="865"/>
      <c r="R805" s="865"/>
      <c r="S805" s="865"/>
      <c r="T805" s="865"/>
      <c r="U805" s="865"/>
    </row>
    <row r="806" hidden="1">
      <c r="B806" s="390"/>
      <c r="C806" s="991"/>
      <c r="D806" s="865"/>
      <c r="E806" s="865"/>
      <c r="F806" s="865"/>
      <c r="G806" s="865"/>
      <c r="H806" s="865"/>
      <c r="I806" s="865"/>
      <c r="J806" s="865"/>
      <c r="K806" s="865"/>
      <c r="L806" s="865"/>
      <c r="M806" s="865"/>
      <c r="N806" s="865"/>
      <c r="O806" s="865"/>
      <c r="P806" s="865"/>
      <c r="Q806" s="865"/>
      <c r="R806" s="865"/>
      <c r="S806" s="865"/>
      <c r="T806" s="865"/>
      <c r="U806" s="865"/>
    </row>
    <row r="807" hidden="1">
      <c r="B807" s="390"/>
      <c r="C807" s="991"/>
      <c r="D807" s="865"/>
      <c r="E807" s="865"/>
      <c r="F807" s="865"/>
      <c r="G807" s="865"/>
      <c r="H807" s="865"/>
      <c r="I807" s="865"/>
      <c r="J807" s="865"/>
      <c r="K807" s="865"/>
      <c r="L807" s="865"/>
      <c r="M807" s="865"/>
      <c r="N807" s="865"/>
      <c r="O807" s="865"/>
      <c r="P807" s="865"/>
      <c r="Q807" s="865"/>
      <c r="R807" s="865"/>
      <c r="S807" s="865"/>
      <c r="T807" s="865"/>
      <c r="U807" s="865"/>
    </row>
    <row r="808" hidden="1">
      <c r="B808" s="390"/>
      <c r="C808" s="991"/>
      <c r="D808" s="865"/>
      <c r="E808" s="865"/>
      <c r="F808" s="865"/>
      <c r="G808" s="865"/>
      <c r="H808" s="865"/>
      <c r="I808" s="865"/>
      <c r="J808" s="865"/>
      <c r="K808" s="865"/>
      <c r="L808" s="865"/>
      <c r="M808" s="865"/>
      <c r="N808" s="865"/>
      <c r="O808" s="865"/>
      <c r="P808" s="865"/>
      <c r="Q808" s="865"/>
      <c r="R808" s="865"/>
      <c r="S808" s="865"/>
      <c r="T808" s="865"/>
      <c r="U808" s="865"/>
    </row>
    <row r="809" hidden="1">
      <c r="B809" s="390"/>
      <c r="C809" s="991"/>
      <c r="D809" s="865"/>
      <c r="E809" s="865"/>
      <c r="F809" s="865"/>
      <c r="G809" s="865"/>
      <c r="H809" s="865"/>
      <c r="I809" s="865"/>
      <c r="J809" s="865"/>
      <c r="K809" s="865"/>
      <c r="L809" s="865"/>
      <c r="M809" s="865"/>
      <c r="N809" s="865"/>
      <c r="O809" s="865"/>
      <c r="P809" s="865"/>
      <c r="Q809" s="865"/>
      <c r="R809" s="865"/>
      <c r="S809" s="865"/>
      <c r="T809" s="865"/>
      <c r="U809" s="865"/>
    </row>
    <row r="810" hidden="1">
      <c r="B810" s="390"/>
      <c r="C810" s="991"/>
      <c r="D810" s="865"/>
      <c r="E810" s="865"/>
      <c r="F810" s="865"/>
      <c r="G810" s="865"/>
      <c r="H810" s="865"/>
      <c r="I810" s="865"/>
      <c r="J810" s="865"/>
      <c r="K810" s="865"/>
      <c r="L810" s="865"/>
      <c r="M810" s="865"/>
      <c r="N810" s="865"/>
      <c r="O810" s="865"/>
      <c r="P810" s="865"/>
      <c r="Q810" s="865"/>
      <c r="R810" s="865"/>
      <c r="S810" s="865"/>
      <c r="T810" s="865"/>
      <c r="U810" s="865"/>
    </row>
    <row r="811" hidden="1">
      <c r="B811" s="390"/>
      <c r="C811" s="991"/>
      <c r="D811" s="865"/>
      <c r="E811" s="865"/>
      <c r="F811" s="865"/>
      <c r="G811" s="865"/>
      <c r="H811" s="865"/>
      <c r="I811" s="865"/>
      <c r="J811" s="865"/>
      <c r="K811" s="865"/>
      <c r="L811" s="865"/>
      <c r="M811" s="865"/>
      <c r="N811" s="865"/>
      <c r="O811" s="865"/>
      <c r="P811" s="865"/>
      <c r="Q811" s="865"/>
      <c r="R811" s="865"/>
      <c r="S811" s="865"/>
      <c r="T811" s="865"/>
      <c r="U811" s="865"/>
    </row>
    <row r="812" hidden="1">
      <c r="B812" s="390"/>
      <c r="C812" s="991"/>
      <c r="D812" s="865"/>
      <c r="E812" s="865"/>
      <c r="F812" s="865"/>
      <c r="G812" s="865"/>
      <c r="H812" s="865"/>
      <c r="I812" s="865"/>
      <c r="J812" s="865"/>
      <c r="K812" s="865"/>
      <c r="L812" s="865"/>
      <c r="M812" s="865"/>
      <c r="N812" s="865"/>
      <c r="O812" s="865"/>
      <c r="P812" s="865"/>
      <c r="Q812" s="865"/>
      <c r="R812" s="865"/>
      <c r="S812" s="865"/>
      <c r="T812" s="865"/>
      <c r="U812" s="865"/>
    </row>
    <row r="813" hidden="1">
      <c r="B813" s="390"/>
      <c r="C813" s="991"/>
      <c r="D813" s="865"/>
      <c r="E813" s="865"/>
      <c r="F813" s="865"/>
      <c r="G813" s="865"/>
      <c r="H813" s="865"/>
      <c r="I813" s="865"/>
      <c r="J813" s="865"/>
      <c r="K813" s="865"/>
      <c r="L813" s="865"/>
      <c r="M813" s="865"/>
      <c r="N813" s="865"/>
      <c r="O813" s="865"/>
      <c r="P813" s="865"/>
      <c r="Q813" s="865"/>
      <c r="R813" s="865"/>
      <c r="S813" s="865"/>
      <c r="T813" s="865"/>
      <c r="U813" s="865"/>
    </row>
    <row r="814" hidden="1">
      <c r="B814" s="390"/>
      <c r="C814" s="991"/>
      <c r="D814" s="865"/>
      <c r="E814" s="865"/>
      <c r="F814" s="865"/>
      <c r="G814" s="865"/>
      <c r="H814" s="865"/>
      <c r="I814" s="865"/>
      <c r="J814" s="865"/>
      <c r="K814" s="865"/>
      <c r="L814" s="865"/>
      <c r="M814" s="865"/>
      <c r="N814" s="865"/>
      <c r="O814" s="865"/>
      <c r="P814" s="865"/>
      <c r="Q814" s="865"/>
      <c r="R814" s="865"/>
      <c r="S814" s="865"/>
      <c r="T814" s="865"/>
      <c r="U814" s="865"/>
    </row>
    <row r="815" hidden="1">
      <c r="B815" s="390"/>
      <c r="C815" s="991"/>
      <c r="D815" s="865"/>
      <c r="E815" s="865"/>
      <c r="F815" s="865"/>
      <c r="G815" s="865"/>
      <c r="H815" s="865"/>
      <c r="I815" s="865"/>
      <c r="J815" s="865"/>
      <c r="K815" s="865"/>
      <c r="L815" s="865"/>
      <c r="M815" s="865"/>
      <c r="N815" s="865"/>
      <c r="O815" s="865"/>
      <c r="P815" s="865"/>
      <c r="Q815" s="865"/>
      <c r="R815" s="865"/>
      <c r="S815" s="865"/>
      <c r="T815" s="865"/>
      <c r="U815" s="865"/>
    </row>
    <row r="816" hidden="1">
      <c r="B816" s="390"/>
      <c r="C816" s="991"/>
      <c r="D816" s="865"/>
      <c r="E816" s="865"/>
      <c r="F816" s="865"/>
      <c r="G816" s="865"/>
      <c r="H816" s="865"/>
      <c r="I816" s="865"/>
      <c r="J816" s="865"/>
      <c r="K816" s="865"/>
      <c r="L816" s="865"/>
      <c r="M816" s="865"/>
      <c r="N816" s="865"/>
      <c r="O816" s="865"/>
      <c r="P816" s="865"/>
      <c r="Q816" s="865"/>
      <c r="R816" s="865"/>
      <c r="S816" s="865"/>
      <c r="T816" s="865"/>
      <c r="U816" s="865"/>
    </row>
    <row r="817" hidden="1">
      <c r="B817" s="390"/>
      <c r="C817" s="991"/>
      <c r="D817" s="865"/>
      <c r="E817" s="865"/>
      <c r="F817" s="865"/>
      <c r="G817" s="865"/>
      <c r="H817" s="865"/>
      <c r="I817" s="865"/>
      <c r="J817" s="865"/>
      <c r="K817" s="865"/>
      <c r="L817" s="865"/>
      <c r="M817" s="865"/>
      <c r="N817" s="865"/>
      <c r="O817" s="865"/>
      <c r="P817" s="865"/>
      <c r="Q817" s="865"/>
      <c r="R817" s="865"/>
      <c r="S817" s="865"/>
      <c r="T817" s="865"/>
      <c r="U817" s="865"/>
    </row>
    <row r="818" hidden="1">
      <c r="B818" s="390"/>
      <c r="C818" s="991"/>
      <c r="D818" s="865"/>
      <c r="E818" s="865"/>
      <c r="F818" s="865"/>
      <c r="G818" s="865"/>
      <c r="H818" s="865"/>
      <c r="I818" s="865"/>
      <c r="J818" s="865"/>
      <c r="K818" s="865"/>
      <c r="L818" s="865"/>
      <c r="M818" s="865"/>
      <c r="N818" s="865"/>
      <c r="O818" s="865"/>
      <c r="P818" s="865"/>
      <c r="Q818" s="865"/>
      <c r="R818" s="865"/>
      <c r="S818" s="865"/>
      <c r="T818" s="865"/>
      <c r="U818" s="865"/>
    </row>
    <row r="819" hidden="1">
      <c r="B819" s="390"/>
      <c r="C819" s="991"/>
      <c r="D819" s="865"/>
      <c r="E819" s="865"/>
      <c r="F819" s="865"/>
      <c r="G819" s="865"/>
      <c r="H819" s="865"/>
      <c r="I819" s="865"/>
      <c r="J819" s="865"/>
      <c r="K819" s="865"/>
      <c r="L819" s="865"/>
      <c r="M819" s="865"/>
      <c r="N819" s="865"/>
      <c r="O819" s="865"/>
      <c r="P819" s="865"/>
      <c r="Q819" s="865"/>
      <c r="R819" s="865"/>
      <c r="S819" s="865"/>
      <c r="T819" s="865"/>
      <c r="U819" s="865"/>
    </row>
    <row r="820" hidden="1">
      <c r="B820" s="390"/>
      <c r="C820" s="991"/>
      <c r="D820" s="865"/>
      <c r="E820" s="865"/>
      <c r="F820" s="865"/>
      <c r="G820" s="865"/>
      <c r="H820" s="865"/>
      <c r="I820" s="865"/>
      <c r="J820" s="865"/>
      <c r="K820" s="865"/>
      <c r="L820" s="865"/>
      <c r="M820" s="865"/>
      <c r="N820" s="865"/>
      <c r="O820" s="865"/>
      <c r="P820" s="865"/>
      <c r="Q820" s="865"/>
      <c r="R820" s="865"/>
      <c r="S820" s="865"/>
      <c r="T820" s="865"/>
      <c r="U820" s="865"/>
    </row>
    <row r="821" hidden="1">
      <c r="B821" s="390"/>
      <c r="C821" s="991"/>
      <c r="D821" s="865"/>
      <c r="E821" s="865"/>
      <c r="F821" s="865"/>
      <c r="G821" s="865"/>
      <c r="H821" s="865"/>
      <c r="I821" s="865"/>
      <c r="J821" s="865"/>
      <c r="K821" s="865"/>
      <c r="L821" s="865"/>
      <c r="M821" s="865"/>
      <c r="N821" s="865"/>
      <c r="O821" s="865"/>
      <c r="P821" s="865"/>
      <c r="Q821" s="865"/>
      <c r="R821" s="865"/>
      <c r="S821" s="865"/>
      <c r="T821" s="865"/>
      <c r="U821" s="865"/>
    </row>
    <row r="822" hidden="1">
      <c r="B822" s="390"/>
      <c r="C822" s="991"/>
      <c r="D822" s="865"/>
      <c r="E822" s="865"/>
      <c r="F822" s="865"/>
      <c r="G822" s="865"/>
      <c r="H822" s="865"/>
      <c r="I822" s="865"/>
      <c r="J822" s="865"/>
      <c r="K822" s="865"/>
      <c r="L822" s="865"/>
      <c r="M822" s="865"/>
      <c r="N822" s="865"/>
      <c r="O822" s="865"/>
      <c r="P822" s="865"/>
      <c r="Q822" s="865"/>
      <c r="R822" s="865"/>
      <c r="S822" s="865"/>
      <c r="T822" s="865"/>
      <c r="U822" s="865"/>
    </row>
    <row r="823" hidden="1">
      <c r="B823" s="390"/>
      <c r="C823" s="991"/>
      <c r="D823" s="865"/>
      <c r="E823" s="865"/>
      <c r="F823" s="865"/>
      <c r="G823" s="865"/>
      <c r="H823" s="865"/>
      <c r="I823" s="865"/>
      <c r="J823" s="865"/>
      <c r="K823" s="865"/>
      <c r="L823" s="865"/>
      <c r="M823" s="865"/>
      <c r="N823" s="865"/>
      <c r="O823" s="865"/>
      <c r="P823" s="865"/>
      <c r="Q823" s="865"/>
      <c r="R823" s="865"/>
      <c r="S823" s="865"/>
      <c r="T823" s="865"/>
      <c r="U823" s="865"/>
    </row>
    <row r="824" hidden="1">
      <c r="B824" s="390"/>
      <c r="C824" s="991"/>
      <c r="D824" s="865"/>
      <c r="E824" s="865"/>
      <c r="F824" s="865"/>
      <c r="G824" s="865"/>
      <c r="H824" s="865"/>
      <c r="I824" s="865"/>
      <c r="J824" s="865"/>
      <c r="K824" s="865"/>
      <c r="L824" s="865"/>
      <c r="M824" s="865"/>
      <c r="N824" s="865"/>
      <c r="O824" s="865"/>
      <c r="P824" s="865"/>
      <c r="Q824" s="865"/>
      <c r="R824" s="865"/>
      <c r="S824" s="865"/>
      <c r="T824" s="865"/>
      <c r="U824" s="865"/>
    </row>
    <row r="825" hidden="1">
      <c r="B825" s="390"/>
      <c r="C825" s="991"/>
      <c r="D825" s="865"/>
      <c r="E825" s="865"/>
      <c r="F825" s="865"/>
      <c r="G825" s="865"/>
      <c r="H825" s="865"/>
      <c r="I825" s="865"/>
      <c r="J825" s="865"/>
      <c r="K825" s="865"/>
      <c r="L825" s="865"/>
      <c r="M825" s="865"/>
      <c r="N825" s="865"/>
      <c r="O825" s="865"/>
      <c r="P825" s="865"/>
      <c r="Q825" s="865"/>
      <c r="R825" s="865"/>
      <c r="S825" s="865"/>
      <c r="T825" s="865"/>
      <c r="U825" s="865"/>
    </row>
    <row r="826" hidden="1">
      <c r="B826" s="390"/>
      <c r="C826" s="991"/>
      <c r="D826" s="865"/>
      <c r="E826" s="865"/>
      <c r="F826" s="865"/>
      <c r="G826" s="865"/>
      <c r="H826" s="865"/>
      <c r="I826" s="865"/>
      <c r="J826" s="865"/>
      <c r="K826" s="865"/>
      <c r="L826" s="865"/>
      <c r="M826" s="865"/>
      <c r="N826" s="865"/>
      <c r="O826" s="865"/>
      <c r="P826" s="865"/>
      <c r="Q826" s="865"/>
      <c r="R826" s="865"/>
      <c r="S826" s="865"/>
      <c r="T826" s="865"/>
      <c r="U826" s="865"/>
    </row>
    <row r="827" hidden="1">
      <c r="B827" s="390"/>
      <c r="C827" s="991"/>
      <c r="D827" s="865"/>
      <c r="E827" s="865"/>
      <c r="F827" s="865"/>
      <c r="G827" s="865"/>
      <c r="H827" s="865"/>
      <c r="I827" s="865"/>
      <c r="J827" s="865"/>
      <c r="K827" s="865"/>
      <c r="L827" s="865"/>
      <c r="M827" s="865"/>
      <c r="N827" s="865"/>
      <c r="O827" s="865"/>
      <c r="P827" s="865"/>
      <c r="Q827" s="865"/>
      <c r="R827" s="865"/>
      <c r="S827" s="865"/>
      <c r="T827" s="865"/>
      <c r="U827" s="865"/>
    </row>
    <row r="828" hidden="1">
      <c r="B828" s="390"/>
      <c r="C828" s="991"/>
      <c r="D828" s="865"/>
      <c r="E828" s="865"/>
      <c r="F828" s="865"/>
      <c r="G828" s="865"/>
      <c r="H828" s="865"/>
      <c r="I828" s="865"/>
      <c r="J828" s="865"/>
      <c r="K828" s="865"/>
      <c r="L828" s="865"/>
      <c r="M828" s="865"/>
      <c r="N828" s="865"/>
      <c r="O828" s="865"/>
      <c r="P828" s="865"/>
      <c r="Q828" s="865"/>
      <c r="R828" s="865"/>
      <c r="S828" s="865"/>
      <c r="T828" s="865"/>
      <c r="U828" s="865"/>
    </row>
    <row r="829" hidden="1">
      <c r="B829" s="390"/>
      <c r="C829" s="991"/>
      <c r="D829" s="865"/>
      <c r="E829" s="865"/>
      <c r="F829" s="865"/>
      <c r="G829" s="865"/>
      <c r="H829" s="865"/>
      <c r="I829" s="865"/>
      <c r="J829" s="865"/>
      <c r="K829" s="865"/>
      <c r="L829" s="865"/>
      <c r="M829" s="865"/>
      <c r="N829" s="865"/>
      <c r="O829" s="865"/>
      <c r="P829" s="865"/>
      <c r="Q829" s="865"/>
      <c r="R829" s="865"/>
      <c r="S829" s="865"/>
      <c r="T829" s="865"/>
      <c r="U829" s="865"/>
    </row>
    <row r="830" hidden="1">
      <c r="B830" s="390"/>
      <c r="C830" s="991"/>
      <c r="D830" s="865"/>
      <c r="E830" s="865"/>
      <c r="F830" s="865"/>
      <c r="G830" s="865"/>
      <c r="H830" s="865"/>
      <c r="I830" s="865"/>
      <c r="J830" s="865"/>
      <c r="K830" s="865"/>
      <c r="L830" s="865"/>
      <c r="M830" s="865"/>
      <c r="N830" s="865"/>
      <c r="O830" s="865"/>
      <c r="P830" s="865"/>
      <c r="Q830" s="865"/>
      <c r="R830" s="865"/>
      <c r="S830" s="865"/>
      <c r="T830" s="865"/>
      <c r="U830" s="865"/>
    </row>
    <row r="831" hidden="1">
      <c r="B831" s="390"/>
      <c r="C831" s="991"/>
      <c r="D831" s="865"/>
      <c r="E831" s="865"/>
      <c r="F831" s="865"/>
      <c r="G831" s="865"/>
      <c r="H831" s="865"/>
      <c r="I831" s="865"/>
      <c r="J831" s="865"/>
      <c r="K831" s="865"/>
      <c r="L831" s="865"/>
      <c r="M831" s="865"/>
      <c r="N831" s="865"/>
      <c r="O831" s="865"/>
      <c r="P831" s="865"/>
      <c r="Q831" s="865"/>
      <c r="R831" s="865"/>
      <c r="S831" s="865"/>
      <c r="T831" s="865"/>
      <c r="U831" s="865"/>
    </row>
    <row r="832" hidden="1">
      <c r="B832" s="390"/>
      <c r="C832" s="991"/>
      <c r="D832" s="865"/>
      <c r="E832" s="865"/>
      <c r="F832" s="865"/>
      <c r="G832" s="865"/>
      <c r="H832" s="865"/>
      <c r="I832" s="865"/>
      <c r="J832" s="865"/>
      <c r="K832" s="865"/>
      <c r="L832" s="865"/>
      <c r="M832" s="865"/>
      <c r="N832" s="865"/>
      <c r="O832" s="865"/>
      <c r="P832" s="865"/>
      <c r="Q832" s="865"/>
      <c r="R832" s="865"/>
      <c r="S832" s="865"/>
      <c r="T832" s="865"/>
      <c r="U832" s="865"/>
    </row>
    <row r="833" hidden="1">
      <c r="B833" s="390"/>
      <c r="C833" s="991"/>
      <c r="D833" s="865"/>
      <c r="E833" s="865"/>
      <c r="F833" s="865"/>
      <c r="G833" s="865"/>
      <c r="H833" s="865"/>
      <c r="I833" s="865"/>
      <c r="J833" s="865"/>
      <c r="K833" s="865"/>
      <c r="L833" s="865"/>
      <c r="M833" s="865"/>
      <c r="N833" s="865"/>
      <c r="O833" s="865"/>
      <c r="P833" s="865"/>
      <c r="Q833" s="865"/>
      <c r="R833" s="865"/>
      <c r="S833" s="865"/>
      <c r="T833" s="865"/>
      <c r="U833" s="865"/>
    </row>
    <row r="834" hidden="1">
      <c r="B834" s="390"/>
      <c r="C834" s="991"/>
      <c r="D834" s="865"/>
      <c r="E834" s="865"/>
      <c r="F834" s="865"/>
      <c r="G834" s="865"/>
      <c r="H834" s="865"/>
      <c r="I834" s="865"/>
      <c r="J834" s="865"/>
      <c r="K834" s="865"/>
      <c r="L834" s="865"/>
      <c r="M834" s="865"/>
      <c r="N834" s="865"/>
      <c r="O834" s="865"/>
      <c r="P834" s="865"/>
      <c r="Q834" s="865"/>
      <c r="R834" s="865"/>
      <c r="S834" s="865"/>
      <c r="T834" s="865"/>
      <c r="U834" s="865"/>
    </row>
    <row r="835" hidden="1">
      <c r="B835" s="390"/>
      <c r="C835" s="991"/>
      <c r="D835" s="865"/>
      <c r="E835" s="865"/>
      <c r="F835" s="865"/>
      <c r="G835" s="865"/>
      <c r="H835" s="865"/>
      <c r="I835" s="865"/>
      <c r="J835" s="865"/>
      <c r="K835" s="865"/>
      <c r="L835" s="865"/>
      <c r="M835" s="865"/>
      <c r="N835" s="865"/>
      <c r="O835" s="865"/>
      <c r="P835" s="865"/>
      <c r="Q835" s="865"/>
      <c r="R835" s="865"/>
      <c r="S835" s="865"/>
      <c r="T835" s="865"/>
      <c r="U835" s="865"/>
    </row>
    <row r="836" hidden="1">
      <c r="B836" s="390"/>
      <c r="C836" s="991"/>
      <c r="D836" s="865"/>
      <c r="E836" s="865"/>
      <c r="F836" s="865"/>
      <c r="G836" s="865"/>
      <c r="H836" s="865"/>
      <c r="I836" s="865"/>
      <c r="J836" s="865"/>
      <c r="K836" s="865"/>
      <c r="L836" s="865"/>
      <c r="M836" s="865"/>
      <c r="N836" s="865"/>
      <c r="O836" s="865"/>
      <c r="P836" s="865"/>
      <c r="Q836" s="865"/>
      <c r="R836" s="865"/>
      <c r="S836" s="865"/>
      <c r="T836" s="865"/>
      <c r="U836" s="865"/>
    </row>
    <row r="837" hidden="1">
      <c r="B837" s="390"/>
      <c r="C837" s="991"/>
      <c r="D837" s="865"/>
      <c r="E837" s="865"/>
      <c r="F837" s="865"/>
      <c r="G837" s="865"/>
      <c r="H837" s="865"/>
      <c r="I837" s="865"/>
      <c r="J837" s="865"/>
      <c r="K837" s="865"/>
      <c r="L837" s="865"/>
      <c r="M837" s="865"/>
      <c r="N837" s="865"/>
      <c r="O837" s="865"/>
      <c r="P837" s="865"/>
      <c r="Q837" s="865"/>
      <c r="R837" s="865"/>
      <c r="S837" s="865"/>
      <c r="T837" s="865"/>
      <c r="U837" s="865"/>
    </row>
    <row r="838" hidden="1">
      <c r="B838" s="390"/>
      <c r="C838" s="991"/>
      <c r="D838" s="865"/>
      <c r="E838" s="865"/>
      <c r="F838" s="865"/>
      <c r="G838" s="865"/>
      <c r="H838" s="865"/>
      <c r="I838" s="865"/>
      <c r="J838" s="865"/>
      <c r="K838" s="865"/>
      <c r="L838" s="865"/>
      <c r="M838" s="865"/>
      <c r="N838" s="865"/>
      <c r="O838" s="865"/>
      <c r="P838" s="865"/>
      <c r="Q838" s="865"/>
      <c r="R838" s="865"/>
      <c r="S838" s="865"/>
      <c r="T838" s="865"/>
      <c r="U838" s="865"/>
    </row>
    <row r="839" hidden="1">
      <c r="B839" s="390"/>
      <c r="C839" s="991"/>
      <c r="D839" s="865"/>
      <c r="E839" s="865"/>
      <c r="F839" s="865"/>
      <c r="G839" s="865"/>
      <c r="H839" s="865"/>
      <c r="I839" s="865"/>
      <c r="J839" s="865"/>
      <c r="K839" s="865"/>
      <c r="L839" s="865"/>
      <c r="M839" s="865"/>
      <c r="N839" s="865"/>
      <c r="O839" s="865"/>
      <c r="P839" s="865"/>
      <c r="Q839" s="865"/>
      <c r="R839" s="865"/>
      <c r="S839" s="865"/>
      <c r="T839" s="865"/>
      <c r="U839" s="865"/>
    </row>
    <row r="840" hidden="1">
      <c r="B840" s="390"/>
      <c r="C840" s="991"/>
      <c r="D840" s="865"/>
      <c r="E840" s="865"/>
      <c r="F840" s="865"/>
      <c r="G840" s="865"/>
      <c r="H840" s="865"/>
      <c r="I840" s="865"/>
      <c r="J840" s="865"/>
      <c r="K840" s="865"/>
      <c r="L840" s="865"/>
      <c r="M840" s="865"/>
      <c r="N840" s="865"/>
      <c r="O840" s="865"/>
      <c r="P840" s="865"/>
      <c r="Q840" s="865"/>
      <c r="R840" s="865"/>
      <c r="S840" s="865"/>
      <c r="T840" s="865"/>
      <c r="U840" s="865"/>
    </row>
    <row r="841" hidden="1">
      <c r="B841" s="390"/>
      <c r="C841" s="991"/>
      <c r="D841" s="865"/>
      <c r="E841" s="865"/>
      <c r="F841" s="865"/>
      <c r="G841" s="865"/>
      <c r="H841" s="865"/>
      <c r="I841" s="865"/>
      <c r="J841" s="865"/>
      <c r="K841" s="865"/>
      <c r="L841" s="865"/>
      <c r="M841" s="865"/>
      <c r="N841" s="865"/>
      <c r="O841" s="865"/>
      <c r="P841" s="865"/>
      <c r="Q841" s="865"/>
      <c r="R841" s="865"/>
      <c r="S841" s="865"/>
      <c r="T841" s="865"/>
      <c r="U841" s="865"/>
    </row>
    <row r="842" hidden="1">
      <c r="B842" s="390"/>
      <c r="C842" s="991"/>
      <c r="D842" s="865"/>
      <c r="E842" s="865"/>
      <c r="F842" s="865"/>
      <c r="G842" s="865"/>
      <c r="H842" s="865"/>
      <c r="I842" s="865"/>
      <c r="J842" s="865"/>
      <c r="K842" s="865"/>
      <c r="L842" s="865"/>
      <c r="M842" s="865"/>
      <c r="N842" s="865"/>
      <c r="O842" s="865"/>
      <c r="P842" s="865"/>
      <c r="Q842" s="865"/>
      <c r="R842" s="865"/>
      <c r="S842" s="865"/>
      <c r="T842" s="865"/>
      <c r="U842" s="865"/>
    </row>
    <row r="843" hidden="1">
      <c r="B843" s="390"/>
      <c r="C843" s="991"/>
      <c r="D843" s="865"/>
      <c r="E843" s="865"/>
      <c r="F843" s="865"/>
      <c r="G843" s="865"/>
      <c r="H843" s="865"/>
      <c r="I843" s="865"/>
      <c r="J843" s="865"/>
      <c r="K843" s="865"/>
      <c r="L843" s="865"/>
      <c r="M843" s="865"/>
      <c r="N843" s="865"/>
      <c r="O843" s="865"/>
      <c r="P843" s="865"/>
      <c r="Q843" s="865"/>
      <c r="R843" s="865"/>
      <c r="S843" s="865"/>
      <c r="T843" s="865"/>
      <c r="U843" s="865"/>
    </row>
    <row r="844" hidden="1">
      <c r="B844" s="390"/>
      <c r="C844" s="991"/>
      <c r="D844" s="865"/>
      <c r="E844" s="865"/>
      <c r="F844" s="865"/>
      <c r="G844" s="865"/>
      <c r="H844" s="865"/>
      <c r="I844" s="865"/>
      <c r="J844" s="865"/>
      <c r="K844" s="865"/>
      <c r="L844" s="865"/>
      <c r="M844" s="865"/>
      <c r="N844" s="865"/>
      <c r="O844" s="865"/>
      <c r="P844" s="865"/>
      <c r="Q844" s="865"/>
      <c r="R844" s="865"/>
      <c r="S844" s="865"/>
      <c r="T844" s="865"/>
      <c r="U844" s="865"/>
    </row>
    <row r="845" hidden="1">
      <c r="B845" s="390"/>
      <c r="C845" s="991"/>
      <c r="D845" s="865"/>
      <c r="E845" s="865"/>
      <c r="F845" s="865"/>
      <c r="G845" s="865"/>
      <c r="H845" s="865"/>
      <c r="I845" s="865"/>
      <c r="J845" s="865"/>
      <c r="K845" s="865"/>
      <c r="L845" s="865"/>
      <c r="M845" s="865"/>
      <c r="N845" s="865"/>
      <c r="O845" s="865"/>
      <c r="P845" s="865"/>
      <c r="Q845" s="865"/>
      <c r="R845" s="865"/>
      <c r="S845" s="865"/>
      <c r="T845" s="865"/>
      <c r="U845" s="865"/>
    </row>
    <row r="846" hidden="1">
      <c r="B846" s="390"/>
      <c r="C846" s="991"/>
      <c r="D846" s="865"/>
      <c r="E846" s="865"/>
      <c r="F846" s="865"/>
      <c r="G846" s="865"/>
      <c r="H846" s="865"/>
      <c r="I846" s="865"/>
      <c r="J846" s="865"/>
      <c r="K846" s="865"/>
      <c r="L846" s="865"/>
      <c r="M846" s="865"/>
      <c r="N846" s="865"/>
      <c r="O846" s="865"/>
      <c r="P846" s="865"/>
      <c r="Q846" s="865"/>
      <c r="R846" s="865"/>
      <c r="S846" s="865"/>
      <c r="T846" s="865"/>
      <c r="U846" s="865"/>
    </row>
    <row r="847" hidden="1">
      <c r="B847" s="390"/>
      <c r="C847" s="991"/>
      <c r="D847" s="865"/>
      <c r="E847" s="865"/>
      <c r="F847" s="865"/>
      <c r="G847" s="865"/>
      <c r="H847" s="865"/>
      <c r="I847" s="865"/>
      <c r="J847" s="865"/>
      <c r="K847" s="865"/>
      <c r="L847" s="865"/>
      <c r="M847" s="865"/>
      <c r="N847" s="865"/>
      <c r="O847" s="865"/>
      <c r="P847" s="865"/>
      <c r="Q847" s="865"/>
      <c r="R847" s="865"/>
      <c r="S847" s="865"/>
      <c r="T847" s="865"/>
      <c r="U847" s="865"/>
    </row>
    <row r="848" hidden="1">
      <c r="B848" s="390"/>
      <c r="C848" s="991"/>
      <c r="D848" s="865"/>
      <c r="E848" s="865"/>
      <c r="F848" s="865"/>
      <c r="G848" s="865"/>
      <c r="H848" s="865"/>
      <c r="I848" s="865"/>
      <c r="J848" s="865"/>
      <c r="K848" s="865"/>
      <c r="L848" s="865"/>
      <c r="M848" s="865"/>
      <c r="N848" s="865"/>
      <c r="O848" s="865"/>
      <c r="P848" s="865"/>
      <c r="Q848" s="865"/>
      <c r="R848" s="865"/>
      <c r="S848" s="865"/>
      <c r="T848" s="865"/>
      <c r="U848" s="865"/>
    </row>
    <row r="849" hidden="1">
      <c r="B849" s="390"/>
      <c r="C849" s="991"/>
      <c r="D849" s="865"/>
      <c r="E849" s="865"/>
      <c r="F849" s="865"/>
      <c r="G849" s="865"/>
      <c r="H849" s="865"/>
      <c r="I849" s="865"/>
      <c r="J849" s="865"/>
      <c r="K849" s="865"/>
      <c r="L849" s="865"/>
      <c r="M849" s="865"/>
      <c r="N849" s="865"/>
      <c r="O849" s="865"/>
      <c r="P849" s="865"/>
      <c r="Q849" s="865"/>
      <c r="R849" s="865"/>
      <c r="S849" s="865"/>
      <c r="T849" s="865"/>
      <c r="U849" s="865"/>
    </row>
    <row r="850" hidden="1">
      <c r="B850" s="390"/>
      <c r="C850" s="991"/>
      <c r="D850" s="865"/>
      <c r="E850" s="865"/>
      <c r="F850" s="865"/>
      <c r="G850" s="865"/>
      <c r="H850" s="865"/>
      <c r="I850" s="865"/>
      <c r="J850" s="865"/>
      <c r="K850" s="865"/>
      <c r="L850" s="865"/>
      <c r="M850" s="865"/>
      <c r="N850" s="865"/>
      <c r="O850" s="865"/>
      <c r="P850" s="865"/>
      <c r="Q850" s="865"/>
      <c r="R850" s="865"/>
      <c r="S850" s="865"/>
      <c r="T850" s="865"/>
      <c r="U850" s="865"/>
    </row>
    <row r="851" hidden="1">
      <c r="B851" s="390"/>
      <c r="C851" s="991"/>
      <c r="D851" s="865"/>
      <c r="E851" s="865"/>
      <c r="F851" s="865"/>
      <c r="G851" s="865"/>
      <c r="H851" s="865"/>
      <c r="I851" s="865"/>
      <c r="J851" s="865"/>
      <c r="K851" s="865"/>
      <c r="L851" s="865"/>
      <c r="M851" s="865"/>
      <c r="N851" s="865"/>
      <c r="O851" s="865"/>
      <c r="P851" s="865"/>
      <c r="Q851" s="865"/>
      <c r="R851" s="865"/>
      <c r="S851" s="865"/>
      <c r="T851" s="865"/>
      <c r="U851" s="865"/>
    </row>
    <row r="852" hidden="1">
      <c r="B852" s="390"/>
      <c r="C852" s="991"/>
      <c r="D852" s="865"/>
      <c r="E852" s="865"/>
      <c r="F852" s="865"/>
      <c r="G852" s="865"/>
      <c r="H852" s="865"/>
      <c r="I852" s="865"/>
      <c r="J852" s="865"/>
      <c r="K852" s="865"/>
      <c r="L852" s="865"/>
      <c r="M852" s="865"/>
      <c r="N852" s="865"/>
      <c r="O852" s="865"/>
      <c r="P852" s="865"/>
      <c r="Q852" s="865"/>
      <c r="R852" s="865"/>
      <c r="S852" s="865"/>
      <c r="T852" s="865"/>
      <c r="U852" s="865"/>
    </row>
    <row r="853" hidden="1">
      <c r="B853" s="390"/>
      <c r="C853" s="991"/>
      <c r="D853" s="865"/>
      <c r="E853" s="865"/>
      <c r="F853" s="865"/>
      <c r="G853" s="865"/>
      <c r="H853" s="865"/>
      <c r="I853" s="865"/>
      <c r="J853" s="865"/>
      <c r="K853" s="865"/>
      <c r="L853" s="865"/>
      <c r="M853" s="865"/>
      <c r="N853" s="865"/>
      <c r="O853" s="865"/>
      <c r="P853" s="865"/>
      <c r="Q853" s="865"/>
      <c r="R853" s="865"/>
      <c r="S853" s="865"/>
      <c r="T853" s="865"/>
      <c r="U853" s="865"/>
    </row>
    <row r="854" hidden="1">
      <c r="B854" s="390"/>
      <c r="C854" s="991"/>
      <c r="D854" s="865"/>
      <c r="E854" s="865"/>
      <c r="F854" s="865"/>
      <c r="G854" s="865"/>
      <c r="H854" s="865"/>
      <c r="I854" s="865"/>
      <c r="J854" s="865"/>
      <c r="K854" s="865"/>
      <c r="L854" s="865"/>
      <c r="M854" s="865"/>
      <c r="N854" s="865"/>
      <c r="O854" s="865"/>
      <c r="P854" s="865"/>
      <c r="Q854" s="865"/>
      <c r="R854" s="865"/>
      <c r="S854" s="865"/>
      <c r="T854" s="865"/>
      <c r="U854" s="865"/>
    </row>
    <row r="855" hidden="1">
      <c r="B855" s="390"/>
      <c r="C855" s="991"/>
      <c r="D855" s="865"/>
      <c r="E855" s="865"/>
      <c r="F855" s="865"/>
      <c r="G855" s="865"/>
      <c r="H855" s="865"/>
      <c r="I855" s="865"/>
      <c r="J855" s="865"/>
      <c r="K855" s="865"/>
      <c r="L855" s="865"/>
      <c r="M855" s="865"/>
      <c r="N855" s="865"/>
      <c r="O855" s="865"/>
      <c r="P855" s="865"/>
      <c r="Q855" s="865"/>
      <c r="R855" s="865"/>
      <c r="S855" s="865"/>
      <c r="T855" s="865"/>
      <c r="U855" s="865"/>
    </row>
    <row r="856" hidden="1">
      <c r="B856" s="390"/>
      <c r="C856" s="991"/>
      <c r="D856" s="865"/>
      <c r="E856" s="865"/>
      <c r="F856" s="865"/>
      <c r="G856" s="865"/>
      <c r="H856" s="865"/>
      <c r="I856" s="865"/>
      <c r="J856" s="865"/>
      <c r="K856" s="865"/>
      <c r="L856" s="865"/>
      <c r="M856" s="865"/>
      <c r="N856" s="865"/>
      <c r="O856" s="865"/>
      <c r="P856" s="865"/>
      <c r="Q856" s="865"/>
      <c r="R856" s="865"/>
      <c r="S856" s="865"/>
      <c r="T856" s="865"/>
      <c r="U856" s="865"/>
    </row>
    <row r="857" hidden="1">
      <c r="B857" s="390"/>
      <c r="C857" s="991"/>
      <c r="D857" s="865"/>
      <c r="E857" s="865"/>
      <c r="F857" s="865"/>
      <c r="G857" s="865"/>
      <c r="H857" s="865"/>
      <c r="I857" s="865"/>
      <c r="J857" s="865"/>
      <c r="K857" s="865"/>
      <c r="L857" s="865"/>
      <c r="M857" s="865"/>
      <c r="N857" s="865"/>
      <c r="O857" s="865"/>
      <c r="P857" s="865"/>
      <c r="Q857" s="865"/>
      <c r="R857" s="865"/>
      <c r="S857" s="865"/>
      <c r="T857" s="865"/>
      <c r="U857" s="865"/>
    </row>
    <row r="858" hidden="1">
      <c r="B858" s="390"/>
      <c r="C858" s="991"/>
      <c r="D858" s="865"/>
      <c r="E858" s="865"/>
      <c r="F858" s="865"/>
      <c r="G858" s="865"/>
      <c r="H858" s="865"/>
      <c r="I858" s="865"/>
      <c r="J858" s="865"/>
      <c r="K858" s="865"/>
      <c r="L858" s="865"/>
      <c r="M858" s="865"/>
      <c r="N858" s="865"/>
      <c r="O858" s="865"/>
      <c r="P858" s="865"/>
      <c r="Q858" s="865"/>
      <c r="R858" s="865"/>
      <c r="S858" s="865"/>
      <c r="T858" s="865"/>
      <c r="U858" s="865"/>
    </row>
    <row r="859" hidden="1">
      <c r="B859" s="390"/>
      <c r="C859" s="991"/>
      <c r="D859" s="865"/>
      <c r="E859" s="865"/>
      <c r="F859" s="865"/>
      <c r="G859" s="865"/>
      <c r="H859" s="865"/>
      <c r="I859" s="865"/>
      <c r="J859" s="865"/>
      <c r="K859" s="865"/>
      <c r="L859" s="865"/>
      <c r="M859" s="865"/>
      <c r="N859" s="865"/>
      <c r="O859" s="865"/>
      <c r="P859" s="865"/>
      <c r="Q859" s="865"/>
      <c r="R859" s="865"/>
      <c r="S859" s="865"/>
      <c r="T859" s="865"/>
      <c r="U859" s="865"/>
    </row>
    <row r="860" hidden="1">
      <c r="B860" s="390"/>
      <c r="C860" s="991"/>
      <c r="D860" s="865"/>
      <c r="E860" s="865"/>
      <c r="F860" s="865"/>
      <c r="G860" s="865"/>
      <c r="H860" s="865"/>
      <c r="I860" s="865"/>
      <c r="J860" s="865"/>
      <c r="K860" s="865"/>
      <c r="L860" s="865"/>
      <c r="M860" s="865"/>
      <c r="N860" s="865"/>
      <c r="O860" s="865"/>
      <c r="P860" s="865"/>
      <c r="Q860" s="865"/>
      <c r="R860" s="865"/>
      <c r="S860" s="865"/>
      <c r="T860" s="865"/>
      <c r="U860" s="865"/>
    </row>
    <row r="861" hidden="1">
      <c r="B861" s="390"/>
      <c r="C861" s="991"/>
      <c r="D861" s="865"/>
      <c r="E861" s="865"/>
      <c r="F861" s="865"/>
      <c r="G861" s="865"/>
      <c r="H861" s="865"/>
      <c r="I861" s="865"/>
      <c r="J861" s="865"/>
      <c r="K861" s="865"/>
      <c r="L861" s="865"/>
      <c r="M861" s="865"/>
      <c r="N861" s="865"/>
      <c r="O861" s="865"/>
      <c r="P861" s="865"/>
      <c r="Q861" s="865"/>
      <c r="R861" s="865"/>
      <c r="S861" s="865"/>
      <c r="T861" s="865"/>
      <c r="U861" s="865"/>
    </row>
    <row r="862" hidden="1">
      <c r="B862" s="390"/>
      <c r="C862" s="991"/>
      <c r="D862" s="865"/>
      <c r="E862" s="865"/>
      <c r="F862" s="865"/>
      <c r="G862" s="865"/>
      <c r="H862" s="865"/>
      <c r="I862" s="865"/>
      <c r="J862" s="865"/>
      <c r="K862" s="865"/>
      <c r="L862" s="865"/>
      <c r="M862" s="865"/>
      <c r="N862" s="865"/>
      <c r="O862" s="865"/>
      <c r="P862" s="865"/>
      <c r="Q862" s="865"/>
      <c r="R862" s="865"/>
      <c r="S862" s="865"/>
      <c r="T862" s="865"/>
      <c r="U862" s="865"/>
    </row>
    <row r="863" hidden="1">
      <c r="B863" s="390"/>
      <c r="C863" s="991"/>
      <c r="D863" s="865"/>
      <c r="E863" s="865"/>
      <c r="F863" s="865"/>
      <c r="G863" s="865"/>
      <c r="H863" s="865"/>
      <c r="I863" s="865"/>
      <c r="J863" s="865"/>
      <c r="K863" s="865"/>
      <c r="L863" s="865"/>
      <c r="M863" s="865"/>
      <c r="N863" s="865"/>
      <c r="O863" s="865"/>
      <c r="P863" s="865"/>
      <c r="Q863" s="865"/>
      <c r="R863" s="865"/>
      <c r="S863" s="865"/>
      <c r="T863" s="865"/>
      <c r="U863" s="865"/>
    </row>
    <row r="864" hidden="1">
      <c r="B864" s="390"/>
      <c r="C864" s="991"/>
      <c r="D864" s="865"/>
      <c r="E864" s="865"/>
      <c r="F864" s="865"/>
      <c r="G864" s="865"/>
      <c r="H864" s="865"/>
      <c r="I864" s="865"/>
      <c r="J864" s="865"/>
      <c r="K864" s="865"/>
      <c r="L864" s="865"/>
      <c r="M864" s="865"/>
      <c r="N864" s="865"/>
      <c r="O864" s="865"/>
      <c r="P864" s="865"/>
      <c r="Q864" s="865"/>
      <c r="R864" s="865"/>
      <c r="S864" s="865"/>
      <c r="T864" s="865"/>
      <c r="U864" s="865"/>
    </row>
    <row r="865" hidden="1">
      <c r="B865" s="390"/>
      <c r="C865" s="991"/>
      <c r="D865" s="865"/>
      <c r="E865" s="865"/>
      <c r="F865" s="865"/>
      <c r="G865" s="865"/>
      <c r="H865" s="865"/>
      <c r="I865" s="865"/>
      <c r="J865" s="865"/>
      <c r="K865" s="865"/>
      <c r="L865" s="865"/>
      <c r="M865" s="865"/>
      <c r="N865" s="865"/>
      <c r="O865" s="865"/>
      <c r="P865" s="865"/>
      <c r="Q865" s="865"/>
      <c r="R865" s="865"/>
      <c r="S865" s="865"/>
      <c r="T865" s="865"/>
      <c r="U865" s="865"/>
    </row>
    <row r="866" hidden="1">
      <c r="B866" s="390"/>
      <c r="C866" s="991"/>
      <c r="D866" s="865"/>
      <c r="E866" s="865"/>
      <c r="F866" s="865"/>
      <c r="G866" s="865"/>
      <c r="H866" s="865"/>
      <c r="I866" s="865"/>
      <c r="J866" s="865"/>
      <c r="K866" s="865"/>
      <c r="L866" s="865"/>
      <c r="M866" s="865"/>
      <c r="N866" s="865"/>
      <c r="O866" s="865"/>
      <c r="P866" s="865"/>
      <c r="Q866" s="865"/>
      <c r="R866" s="865"/>
      <c r="S866" s="865"/>
      <c r="T866" s="865"/>
      <c r="U866" s="865"/>
    </row>
    <row r="867" hidden="1">
      <c r="B867" s="390"/>
      <c r="C867" s="991"/>
      <c r="D867" s="865"/>
      <c r="E867" s="865"/>
      <c r="F867" s="865"/>
      <c r="G867" s="865"/>
      <c r="H867" s="865"/>
      <c r="I867" s="865"/>
      <c r="J867" s="865"/>
      <c r="K867" s="865"/>
      <c r="L867" s="865"/>
      <c r="M867" s="865"/>
      <c r="N867" s="865"/>
      <c r="O867" s="865"/>
      <c r="P867" s="865"/>
      <c r="Q867" s="865"/>
      <c r="R867" s="865"/>
      <c r="S867" s="865"/>
      <c r="T867" s="865"/>
      <c r="U867" s="865"/>
    </row>
    <row r="868" hidden="1">
      <c r="B868" s="390"/>
      <c r="C868" s="991"/>
      <c r="D868" s="865"/>
      <c r="E868" s="865"/>
      <c r="F868" s="865"/>
      <c r="G868" s="865"/>
      <c r="H868" s="865"/>
      <c r="I868" s="865"/>
      <c r="J868" s="865"/>
      <c r="K868" s="865"/>
      <c r="L868" s="865"/>
      <c r="M868" s="865"/>
      <c r="N868" s="865"/>
      <c r="O868" s="865"/>
      <c r="P868" s="865"/>
      <c r="Q868" s="865"/>
      <c r="R868" s="865"/>
      <c r="S868" s="865"/>
      <c r="T868" s="865"/>
      <c r="U868" s="865"/>
    </row>
    <row r="869" hidden="1">
      <c r="B869" s="390"/>
      <c r="C869" s="991"/>
      <c r="D869" s="865"/>
      <c r="E869" s="865"/>
      <c r="F869" s="865"/>
      <c r="G869" s="865"/>
      <c r="H869" s="865"/>
      <c r="I869" s="865"/>
      <c r="J869" s="865"/>
      <c r="K869" s="865"/>
      <c r="L869" s="865"/>
      <c r="M869" s="865"/>
      <c r="N869" s="865"/>
      <c r="O869" s="865"/>
      <c r="P869" s="865"/>
      <c r="Q869" s="865"/>
      <c r="R869" s="865"/>
      <c r="S869" s="865"/>
      <c r="T869" s="865"/>
      <c r="U869" s="865"/>
    </row>
    <row r="870" hidden="1">
      <c r="B870" s="390"/>
      <c r="C870" s="991"/>
      <c r="D870" s="865"/>
      <c r="E870" s="865"/>
      <c r="F870" s="865"/>
      <c r="G870" s="865"/>
      <c r="H870" s="865"/>
      <c r="I870" s="865"/>
      <c r="J870" s="865"/>
      <c r="K870" s="865"/>
      <c r="L870" s="865"/>
      <c r="M870" s="865"/>
      <c r="N870" s="865"/>
      <c r="O870" s="865"/>
      <c r="P870" s="865"/>
      <c r="Q870" s="865"/>
      <c r="R870" s="865"/>
      <c r="S870" s="865"/>
      <c r="T870" s="865"/>
      <c r="U870" s="865"/>
    </row>
    <row r="871" hidden="1">
      <c r="B871" s="390"/>
      <c r="C871" s="991"/>
      <c r="D871" s="865"/>
      <c r="E871" s="865"/>
      <c r="F871" s="865"/>
      <c r="G871" s="865"/>
      <c r="H871" s="865"/>
      <c r="I871" s="865"/>
      <c r="J871" s="865"/>
      <c r="K871" s="865"/>
      <c r="L871" s="865"/>
      <c r="M871" s="865"/>
      <c r="N871" s="865"/>
      <c r="O871" s="865"/>
      <c r="P871" s="865"/>
      <c r="Q871" s="865"/>
      <c r="R871" s="865"/>
      <c r="S871" s="865"/>
      <c r="T871" s="865"/>
      <c r="U871" s="865"/>
    </row>
    <row r="872" hidden="1">
      <c r="B872" s="390"/>
      <c r="C872" s="991"/>
      <c r="D872" s="865"/>
      <c r="E872" s="865"/>
      <c r="F872" s="865"/>
      <c r="G872" s="865"/>
      <c r="H872" s="865"/>
      <c r="I872" s="865"/>
      <c r="J872" s="865"/>
      <c r="K872" s="865"/>
      <c r="L872" s="865"/>
      <c r="M872" s="865"/>
      <c r="N872" s="865"/>
      <c r="O872" s="865"/>
      <c r="P872" s="865"/>
      <c r="Q872" s="865"/>
      <c r="R872" s="865"/>
      <c r="S872" s="865"/>
      <c r="T872" s="865"/>
      <c r="U872" s="865"/>
    </row>
    <row r="873" hidden="1">
      <c r="B873" s="390"/>
      <c r="C873" s="991"/>
      <c r="D873" s="865"/>
      <c r="E873" s="865"/>
      <c r="F873" s="865"/>
      <c r="G873" s="865"/>
      <c r="H873" s="865"/>
      <c r="I873" s="865"/>
      <c r="J873" s="865"/>
      <c r="K873" s="865"/>
      <c r="L873" s="865"/>
      <c r="M873" s="865"/>
      <c r="N873" s="865"/>
      <c r="O873" s="865"/>
      <c r="P873" s="865"/>
      <c r="Q873" s="865"/>
      <c r="R873" s="865"/>
      <c r="S873" s="865"/>
      <c r="T873" s="865"/>
      <c r="U873" s="865"/>
    </row>
    <row r="874" hidden="1">
      <c r="B874" s="390"/>
      <c r="C874" s="991"/>
      <c r="D874" s="865"/>
      <c r="E874" s="865"/>
      <c r="F874" s="865"/>
      <c r="G874" s="865"/>
      <c r="H874" s="865"/>
      <c r="I874" s="865"/>
      <c r="J874" s="865"/>
      <c r="K874" s="865"/>
      <c r="L874" s="865"/>
      <c r="M874" s="865"/>
      <c r="N874" s="865"/>
      <c r="O874" s="865"/>
      <c r="P874" s="865"/>
      <c r="Q874" s="865"/>
      <c r="R874" s="865"/>
      <c r="S874" s="865"/>
      <c r="T874" s="865"/>
      <c r="U874" s="865"/>
    </row>
    <row r="875" hidden="1">
      <c r="B875" s="390"/>
      <c r="C875" s="991"/>
      <c r="D875" s="865"/>
      <c r="E875" s="865"/>
      <c r="F875" s="865"/>
      <c r="G875" s="865"/>
      <c r="H875" s="865"/>
      <c r="I875" s="865"/>
      <c r="J875" s="865"/>
      <c r="K875" s="865"/>
      <c r="L875" s="865"/>
      <c r="M875" s="865"/>
      <c r="N875" s="865"/>
      <c r="O875" s="865"/>
      <c r="P875" s="865"/>
      <c r="Q875" s="865"/>
      <c r="R875" s="865"/>
      <c r="S875" s="865"/>
      <c r="T875" s="865"/>
      <c r="U875" s="865"/>
    </row>
    <row r="876" hidden="1">
      <c r="B876" s="390"/>
      <c r="C876" s="991"/>
      <c r="D876" s="865"/>
      <c r="E876" s="865"/>
      <c r="F876" s="865"/>
      <c r="G876" s="865"/>
      <c r="H876" s="865"/>
      <c r="I876" s="865"/>
      <c r="J876" s="865"/>
      <c r="K876" s="865"/>
      <c r="L876" s="865"/>
      <c r="M876" s="865"/>
      <c r="N876" s="865"/>
      <c r="O876" s="865"/>
      <c r="P876" s="865"/>
      <c r="Q876" s="865"/>
      <c r="R876" s="865"/>
      <c r="S876" s="865"/>
      <c r="T876" s="865"/>
      <c r="U876" s="865"/>
    </row>
    <row r="877" hidden="1">
      <c r="B877" s="390"/>
      <c r="C877" s="991"/>
      <c r="D877" s="865"/>
      <c r="E877" s="865"/>
      <c r="F877" s="865"/>
      <c r="G877" s="865"/>
      <c r="H877" s="865"/>
      <c r="I877" s="865"/>
      <c r="J877" s="865"/>
      <c r="K877" s="865"/>
      <c r="L877" s="865"/>
      <c r="M877" s="865"/>
      <c r="N877" s="865"/>
      <c r="O877" s="865"/>
      <c r="P877" s="865"/>
      <c r="Q877" s="865"/>
      <c r="R877" s="865"/>
      <c r="S877" s="865"/>
      <c r="T877" s="865"/>
      <c r="U877" s="865"/>
    </row>
    <row r="878" hidden="1">
      <c r="B878" s="390"/>
      <c r="C878" s="991"/>
      <c r="D878" s="865"/>
      <c r="E878" s="865"/>
      <c r="F878" s="865"/>
      <c r="G878" s="865"/>
      <c r="H878" s="865"/>
      <c r="I878" s="865"/>
      <c r="J878" s="865"/>
      <c r="K878" s="865"/>
      <c r="L878" s="865"/>
      <c r="M878" s="865"/>
      <c r="N878" s="865"/>
      <c r="O878" s="865"/>
      <c r="P878" s="865"/>
      <c r="Q878" s="865"/>
      <c r="R878" s="865"/>
      <c r="S878" s="865"/>
      <c r="T878" s="865"/>
      <c r="U878" s="865"/>
    </row>
    <row r="879" hidden="1">
      <c r="B879" s="390"/>
      <c r="C879" s="991"/>
      <c r="D879" s="865"/>
      <c r="E879" s="865"/>
      <c r="F879" s="865"/>
      <c r="G879" s="865"/>
      <c r="H879" s="865"/>
      <c r="I879" s="865"/>
      <c r="J879" s="865"/>
      <c r="K879" s="865"/>
      <c r="L879" s="865"/>
      <c r="M879" s="865"/>
      <c r="N879" s="865"/>
      <c r="O879" s="865"/>
      <c r="P879" s="865"/>
      <c r="Q879" s="865"/>
      <c r="R879" s="865"/>
      <c r="S879" s="865"/>
      <c r="T879" s="865"/>
      <c r="U879" s="865"/>
    </row>
    <row r="880" hidden="1">
      <c r="B880" s="390"/>
      <c r="C880" s="991"/>
      <c r="D880" s="865"/>
      <c r="E880" s="865"/>
      <c r="F880" s="865"/>
      <c r="G880" s="865"/>
      <c r="H880" s="865"/>
      <c r="I880" s="865"/>
      <c r="J880" s="865"/>
      <c r="K880" s="865"/>
      <c r="L880" s="865"/>
      <c r="M880" s="865"/>
      <c r="N880" s="865"/>
      <c r="O880" s="865"/>
      <c r="P880" s="865"/>
      <c r="Q880" s="865"/>
      <c r="R880" s="865"/>
      <c r="S880" s="865"/>
      <c r="T880" s="865"/>
      <c r="U880" s="865"/>
    </row>
    <row r="881" hidden="1">
      <c r="B881" s="390"/>
      <c r="C881" s="991"/>
      <c r="D881" s="865"/>
      <c r="E881" s="865"/>
      <c r="F881" s="865"/>
      <c r="G881" s="865"/>
      <c r="H881" s="865"/>
      <c r="I881" s="865"/>
      <c r="J881" s="865"/>
      <c r="K881" s="865"/>
      <c r="L881" s="865"/>
      <c r="M881" s="865"/>
      <c r="N881" s="865"/>
      <c r="O881" s="865"/>
      <c r="P881" s="865"/>
      <c r="Q881" s="865"/>
      <c r="R881" s="865"/>
      <c r="S881" s="865"/>
      <c r="T881" s="865"/>
      <c r="U881" s="865"/>
    </row>
    <row r="882" hidden="1">
      <c r="B882" s="390"/>
      <c r="C882" s="991"/>
      <c r="D882" s="865"/>
      <c r="E882" s="865"/>
      <c r="F882" s="865"/>
      <c r="G882" s="865"/>
      <c r="H882" s="865"/>
      <c r="I882" s="865"/>
      <c r="J882" s="865"/>
      <c r="K882" s="865"/>
      <c r="L882" s="865"/>
      <c r="M882" s="865"/>
      <c r="N882" s="865"/>
      <c r="O882" s="865"/>
      <c r="P882" s="865"/>
      <c r="Q882" s="865"/>
      <c r="R882" s="865"/>
      <c r="S882" s="865"/>
      <c r="T882" s="865"/>
      <c r="U882" s="865"/>
    </row>
    <row r="883" hidden="1">
      <c r="B883" s="390"/>
      <c r="C883" s="991"/>
      <c r="D883" s="865"/>
      <c r="E883" s="865"/>
      <c r="F883" s="865"/>
      <c r="G883" s="865"/>
      <c r="H883" s="865"/>
      <c r="I883" s="865"/>
      <c r="J883" s="865"/>
      <c r="K883" s="865"/>
      <c r="L883" s="865"/>
      <c r="M883" s="865"/>
      <c r="N883" s="865"/>
      <c r="O883" s="865"/>
      <c r="P883" s="865"/>
      <c r="Q883" s="865"/>
      <c r="R883" s="865"/>
      <c r="S883" s="865"/>
      <c r="T883" s="865"/>
      <c r="U883" s="865"/>
    </row>
    <row r="884" hidden="1">
      <c r="B884" s="390"/>
      <c r="C884" s="991"/>
      <c r="D884" s="865"/>
      <c r="E884" s="865"/>
      <c r="F884" s="865"/>
      <c r="G884" s="865"/>
      <c r="H884" s="865"/>
      <c r="I884" s="865"/>
      <c r="J884" s="865"/>
      <c r="K884" s="865"/>
      <c r="L884" s="865"/>
      <c r="M884" s="865"/>
      <c r="N884" s="865"/>
      <c r="O884" s="865"/>
      <c r="P884" s="865"/>
      <c r="Q884" s="865"/>
      <c r="R884" s="865"/>
      <c r="S884" s="865"/>
      <c r="T884" s="865"/>
      <c r="U884" s="865"/>
    </row>
    <row r="885" hidden="1">
      <c r="B885" s="390"/>
      <c r="C885" s="991"/>
      <c r="D885" s="865"/>
      <c r="E885" s="865"/>
      <c r="F885" s="865"/>
      <c r="G885" s="865"/>
      <c r="H885" s="865"/>
      <c r="I885" s="865"/>
      <c r="J885" s="865"/>
      <c r="K885" s="865"/>
      <c r="L885" s="865"/>
      <c r="M885" s="865"/>
      <c r="N885" s="865"/>
      <c r="O885" s="865"/>
      <c r="P885" s="865"/>
      <c r="Q885" s="865"/>
      <c r="R885" s="865"/>
      <c r="S885" s="865"/>
      <c r="T885" s="865"/>
      <c r="U885" s="865"/>
    </row>
    <row r="886" hidden="1">
      <c r="B886" s="390"/>
      <c r="C886" s="991"/>
      <c r="D886" s="865"/>
      <c r="E886" s="865"/>
      <c r="F886" s="865"/>
      <c r="G886" s="865"/>
      <c r="H886" s="865"/>
      <c r="I886" s="865"/>
      <c r="J886" s="865"/>
      <c r="K886" s="865"/>
      <c r="L886" s="865"/>
      <c r="M886" s="865"/>
      <c r="N886" s="865"/>
      <c r="O886" s="865"/>
      <c r="P886" s="865"/>
      <c r="Q886" s="865"/>
      <c r="R886" s="865"/>
      <c r="S886" s="865"/>
      <c r="T886" s="865"/>
      <c r="U886" s="865"/>
    </row>
    <row r="887" hidden="1">
      <c r="B887" s="390"/>
      <c r="C887" s="991"/>
      <c r="D887" s="865"/>
      <c r="E887" s="865"/>
      <c r="F887" s="865"/>
      <c r="G887" s="865"/>
      <c r="H887" s="865"/>
      <c r="I887" s="865"/>
      <c r="J887" s="865"/>
      <c r="K887" s="865"/>
      <c r="L887" s="865"/>
      <c r="M887" s="865"/>
      <c r="N887" s="865"/>
      <c r="O887" s="865"/>
      <c r="P887" s="865"/>
      <c r="Q887" s="865"/>
      <c r="R887" s="865"/>
      <c r="S887" s="865"/>
      <c r="T887" s="865"/>
      <c r="U887" s="865"/>
    </row>
    <row r="888" hidden="1">
      <c r="B888" s="390"/>
      <c r="C888" s="991"/>
      <c r="D888" s="865"/>
      <c r="E888" s="865"/>
      <c r="F888" s="865"/>
      <c r="G888" s="865"/>
      <c r="H888" s="865"/>
      <c r="I888" s="865"/>
      <c r="J888" s="865"/>
      <c r="K888" s="865"/>
      <c r="L888" s="865"/>
      <c r="M888" s="865"/>
      <c r="N888" s="865"/>
      <c r="O888" s="865"/>
      <c r="P888" s="865"/>
      <c r="Q888" s="865"/>
      <c r="R888" s="865"/>
      <c r="S888" s="865"/>
      <c r="T888" s="865"/>
      <c r="U888" s="865"/>
    </row>
    <row r="889" hidden="1">
      <c r="B889" s="390"/>
      <c r="C889" s="991"/>
      <c r="D889" s="865"/>
      <c r="E889" s="865"/>
      <c r="F889" s="865"/>
      <c r="G889" s="865"/>
      <c r="H889" s="865"/>
      <c r="I889" s="865"/>
      <c r="J889" s="865"/>
      <c r="K889" s="865"/>
      <c r="L889" s="865"/>
      <c r="M889" s="865"/>
      <c r="N889" s="865"/>
      <c r="O889" s="865"/>
      <c r="P889" s="865"/>
      <c r="Q889" s="865"/>
      <c r="R889" s="865"/>
      <c r="S889" s="865"/>
      <c r="T889" s="865"/>
      <c r="U889" s="865"/>
    </row>
    <row r="890" hidden="1">
      <c r="B890" s="390"/>
      <c r="C890" s="991"/>
      <c r="D890" s="865"/>
      <c r="E890" s="865"/>
      <c r="F890" s="865"/>
      <c r="G890" s="865"/>
      <c r="H890" s="865"/>
      <c r="I890" s="865"/>
      <c r="J890" s="865"/>
      <c r="K890" s="865"/>
      <c r="L890" s="865"/>
      <c r="M890" s="865"/>
      <c r="N890" s="865"/>
      <c r="O890" s="865"/>
      <c r="P890" s="865"/>
      <c r="Q890" s="865"/>
      <c r="R890" s="865"/>
      <c r="S890" s="865"/>
      <c r="T890" s="865"/>
      <c r="U890" s="865"/>
    </row>
    <row r="891" hidden="1">
      <c r="B891" s="390"/>
      <c r="C891" s="991"/>
      <c r="D891" s="865"/>
      <c r="E891" s="865"/>
      <c r="F891" s="865"/>
      <c r="G891" s="865"/>
      <c r="H891" s="865"/>
      <c r="I891" s="865"/>
      <c r="J891" s="865"/>
      <c r="K891" s="865"/>
      <c r="L891" s="865"/>
      <c r="M891" s="865"/>
      <c r="N891" s="865"/>
      <c r="O891" s="865"/>
      <c r="P891" s="865"/>
      <c r="Q891" s="865"/>
      <c r="R891" s="865"/>
      <c r="S891" s="865"/>
      <c r="T891" s="865"/>
      <c r="U891" s="865"/>
    </row>
    <row r="892" hidden="1">
      <c r="B892" s="390"/>
      <c r="C892" s="991"/>
      <c r="D892" s="865"/>
      <c r="E892" s="865"/>
      <c r="F892" s="865"/>
      <c r="G892" s="865"/>
      <c r="H892" s="865"/>
      <c r="I892" s="865"/>
      <c r="J892" s="865"/>
      <c r="K892" s="865"/>
      <c r="L892" s="865"/>
      <c r="M892" s="865"/>
      <c r="N892" s="865"/>
      <c r="O892" s="865"/>
      <c r="P892" s="865"/>
      <c r="Q892" s="865"/>
      <c r="R892" s="865"/>
      <c r="S892" s="865"/>
      <c r="T892" s="865"/>
      <c r="U892" s="865"/>
    </row>
    <row r="893" hidden="1">
      <c r="B893" s="390"/>
      <c r="C893" s="991"/>
      <c r="D893" s="865"/>
      <c r="E893" s="865"/>
      <c r="F893" s="865"/>
      <c r="G893" s="865"/>
      <c r="H893" s="865"/>
      <c r="I893" s="865"/>
      <c r="J893" s="865"/>
      <c r="K893" s="865"/>
      <c r="L893" s="865"/>
      <c r="M893" s="865"/>
      <c r="N893" s="865"/>
      <c r="O893" s="865"/>
      <c r="P893" s="865"/>
      <c r="Q893" s="865"/>
      <c r="R893" s="865"/>
      <c r="S893" s="865"/>
      <c r="T893" s="865"/>
      <c r="U893" s="865"/>
    </row>
    <row r="894" hidden="1">
      <c r="B894" s="390"/>
      <c r="C894" s="991"/>
      <c r="D894" s="865"/>
      <c r="E894" s="865"/>
      <c r="F894" s="865"/>
      <c r="G894" s="865"/>
      <c r="H894" s="865"/>
      <c r="I894" s="865"/>
      <c r="J894" s="865"/>
      <c r="K894" s="865"/>
      <c r="L894" s="865"/>
      <c r="M894" s="865"/>
      <c r="N894" s="865"/>
      <c r="O894" s="865"/>
      <c r="P894" s="865"/>
      <c r="Q894" s="865"/>
      <c r="R894" s="865"/>
      <c r="S894" s="865"/>
      <c r="T894" s="865"/>
      <c r="U894" s="865"/>
    </row>
    <row r="895" hidden="1">
      <c r="B895" s="390"/>
      <c r="C895" s="991"/>
      <c r="D895" s="865"/>
      <c r="E895" s="865"/>
      <c r="F895" s="865"/>
      <c r="G895" s="865"/>
      <c r="H895" s="865"/>
      <c r="I895" s="865"/>
      <c r="J895" s="865"/>
      <c r="K895" s="865"/>
      <c r="L895" s="865"/>
      <c r="M895" s="865"/>
      <c r="N895" s="865"/>
      <c r="O895" s="865"/>
      <c r="P895" s="865"/>
      <c r="Q895" s="865"/>
      <c r="R895" s="865"/>
      <c r="S895" s="865"/>
      <c r="T895" s="865"/>
      <c r="U895" s="865"/>
    </row>
    <row r="896" hidden="1">
      <c r="B896" s="390"/>
      <c r="C896" s="991"/>
      <c r="D896" s="865"/>
      <c r="E896" s="865"/>
      <c r="F896" s="865"/>
      <c r="G896" s="865"/>
      <c r="H896" s="865"/>
      <c r="I896" s="865"/>
      <c r="J896" s="865"/>
      <c r="K896" s="865"/>
      <c r="L896" s="865"/>
      <c r="M896" s="865"/>
      <c r="N896" s="865"/>
      <c r="O896" s="865"/>
      <c r="P896" s="865"/>
      <c r="Q896" s="865"/>
      <c r="R896" s="865"/>
      <c r="S896" s="865"/>
      <c r="T896" s="865"/>
      <c r="U896" s="865"/>
    </row>
    <row r="897" hidden="1">
      <c r="B897" s="390"/>
      <c r="C897" s="991"/>
      <c r="D897" s="865"/>
      <c r="E897" s="865"/>
      <c r="F897" s="865"/>
      <c r="G897" s="865"/>
      <c r="H897" s="865"/>
      <c r="I897" s="865"/>
      <c r="J897" s="865"/>
      <c r="K897" s="865"/>
      <c r="L897" s="865"/>
      <c r="M897" s="865"/>
      <c r="N897" s="865"/>
      <c r="O897" s="865"/>
      <c r="P897" s="865"/>
      <c r="Q897" s="865"/>
      <c r="R897" s="865"/>
      <c r="S897" s="865"/>
      <c r="T897" s="865"/>
      <c r="U897" s="865"/>
    </row>
    <row r="898" hidden="1">
      <c r="B898" s="390"/>
      <c r="C898" s="991"/>
      <c r="D898" s="865"/>
      <c r="E898" s="865"/>
      <c r="F898" s="865"/>
      <c r="G898" s="865"/>
      <c r="H898" s="865"/>
      <c r="I898" s="865"/>
      <c r="J898" s="865"/>
      <c r="K898" s="865"/>
      <c r="L898" s="865"/>
      <c r="M898" s="865"/>
      <c r="N898" s="865"/>
      <c r="O898" s="865"/>
      <c r="P898" s="865"/>
      <c r="Q898" s="865"/>
      <c r="R898" s="865"/>
      <c r="S898" s="865"/>
      <c r="T898" s="865"/>
      <c r="U898" s="865"/>
    </row>
    <row r="899" hidden="1">
      <c r="B899" s="390"/>
      <c r="C899" s="991"/>
      <c r="D899" s="865"/>
      <c r="E899" s="865"/>
      <c r="F899" s="865"/>
      <c r="G899" s="865"/>
      <c r="H899" s="865"/>
      <c r="I899" s="865"/>
      <c r="J899" s="865"/>
      <c r="K899" s="865"/>
      <c r="L899" s="865"/>
      <c r="M899" s="865"/>
      <c r="N899" s="865"/>
      <c r="O899" s="865"/>
      <c r="P899" s="865"/>
      <c r="Q899" s="865"/>
      <c r="R899" s="865"/>
      <c r="S899" s="865"/>
      <c r="T899" s="865"/>
      <c r="U899" s="865"/>
    </row>
    <row r="900" hidden="1">
      <c r="B900" s="390"/>
      <c r="C900" s="991"/>
      <c r="D900" s="865"/>
      <c r="E900" s="865"/>
      <c r="F900" s="865"/>
      <c r="G900" s="865"/>
      <c r="H900" s="865"/>
      <c r="I900" s="865"/>
      <c r="J900" s="865"/>
      <c r="K900" s="865"/>
      <c r="L900" s="865"/>
      <c r="M900" s="865"/>
      <c r="N900" s="865"/>
      <c r="O900" s="865"/>
      <c r="P900" s="865"/>
      <c r="Q900" s="865"/>
      <c r="R900" s="865"/>
      <c r="S900" s="865"/>
      <c r="T900" s="865"/>
      <c r="U900" s="865"/>
    </row>
    <row r="901" hidden="1">
      <c r="B901" s="390"/>
      <c r="C901" s="991"/>
      <c r="D901" s="865"/>
      <c r="E901" s="865"/>
      <c r="F901" s="865"/>
      <c r="G901" s="865"/>
      <c r="H901" s="865"/>
      <c r="I901" s="865"/>
      <c r="J901" s="865"/>
      <c r="K901" s="865"/>
      <c r="L901" s="865"/>
      <c r="M901" s="865"/>
      <c r="N901" s="865"/>
      <c r="O901" s="865"/>
      <c r="P901" s="865"/>
      <c r="Q901" s="865"/>
      <c r="R901" s="865"/>
      <c r="S901" s="865"/>
      <c r="T901" s="865"/>
      <c r="U901" s="865"/>
    </row>
    <row r="902" hidden="1">
      <c r="B902" s="390"/>
      <c r="C902" s="991"/>
      <c r="D902" s="865"/>
      <c r="E902" s="865"/>
      <c r="F902" s="865"/>
      <c r="G902" s="865"/>
      <c r="H902" s="865"/>
      <c r="I902" s="865"/>
      <c r="J902" s="865"/>
      <c r="K902" s="865"/>
      <c r="L902" s="865"/>
      <c r="M902" s="865"/>
      <c r="N902" s="865"/>
      <c r="O902" s="865"/>
      <c r="P902" s="865"/>
      <c r="Q902" s="865"/>
      <c r="R902" s="865"/>
      <c r="S902" s="865"/>
      <c r="T902" s="865"/>
      <c r="U902" s="865"/>
    </row>
    <row r="903" hidden="1">
      <c r="B903" s="390"/>
      <c r="C903" s="991"/>
      <c r="D903" s="865"/>
      <c r="E903" s="865"/>
      <c r="F903" s="865"/>
      <c r="G903" s="865"/>
      <c r="H903" s="865"/>
      <c r="I903" s="865"/>
      <c r="J903" s="865"/>
      <c r="K903" s="865"/>
      <c r="L903" s="865"/>
      <c r="M903" s="865"/>
      <c r="N903" s="865"/>
      <c r="O903" s="865"/>
      <c r="P903" s="865"/>
      <c r="Q903" s="865"/>
      <c r="R903" s="865"/>
      <c r="S903" s="865"/>
      <c r="T903" s="865"/>
      <c r="U903" s="865"/>
    </row>
    <row r="904" hidden="1">
      <c r="B904" s="390"/>
      <c r="C904" s="991"/>
      <c r="D904" s="865"/>
      <c r="E904" s="865"/>
      <c r="F904" s="865"/>
      <c r="G904" s="865"/>
      <c r="H904" s="865"/>
      <c r="I904" s="865"/>
      <c r="J904" s="865"/>
      <c r="K904" s="865"/>
      <c r="L904" s="865"/>
      <c r="M904" s="865"/>
      <c r="N904" s="865"/>
      <c r="O904" s="865"/>
      <c r="P904" s="865"/>
      <c r="Q904" s="865"/>
      <c r="R904" s="865"/>
      <c r="S904" s="865"/>
      <c r="T904" s="865"/>
      <c r="U904" s="865"/>
    </row>
    <row r="905" hidden="1">
      <c r="B905" s="390"/>
      <c r="C905" s="991"/>
      <c r="D905" s="865"/>
      <c r="E905" s="865"/>
      <c r="F905" s="865"/>
      <c r="G905" s="865"/>
      <c r="H905" s="865"/>
      <c r="I905" s="865"/>
      <c r="J905" s="865"/>
      <c r="K905" s="865"/>
      <c r="L905" s="865"/>
      <c r="M905" s="865"/>
      <c r="N905" s="865"/>
      <c r="O905" s="865"/>
      <c r="P905" s="865"/>
      <c r="Q905" s="865"/>
      <c r="R905" s="865"/>
      <c r="S905" s="865"/>
      <c r="T905" s="865"/>
      <c r="U905" s="865"/>
    </row>
    <row r="906" hidden="1">
      <c r="B906" s="390"/>
      <c r="C906" s="991"/>
      <c r="D906" s="865"/>
      <c r="E906" s="865"/>
      <c r="F906" s="865"/>
      <c r="G906" s="865"/>
      <c r="H906" s="865"/>
      <c r="I906" s="865"/>
      <c r="J906" s="865"/>
      <c r="K906" s="865"/>
      <c r="L906" s="865"/>
      <c r="M906" s="865"/>
      <c r="N906" s="865"/>
      <c r="O906" s="865"/>
      <c r="P906" s="865"/>
      <c r="Q906" s="865"/>
      <c r="R906" s="865"/>
      <c r="S906" s="865"/>
      <c r="T906" s="865"/>
      <c r="U906" s="865"/>
    </row>
    <row r="907" hidden="1">
      <c r="B907" s="390"/>
      <c r="C907" s="991"/>
      <c r="D907" s="865"/>
      <c r="E907" s="865"/>
      <c r="F907" s="865"/>
      <c r="G907" s="865"/>
      <c r="H907" s="865"/>
      <c r="I907" s="865"/>
      <c r="J907" s="865"/>
      <c r="K907" s="865"/>
      <c r="L907" s="865"/>
      <c r="M907" s="865"/>
      <c r="N907" s="865"/>
      <c r="O907" s="865"/>
      <c r="P907" s="865"/>
      <c r="Q907" s="865"/>
      <c r="R907" s="865"/>
      <c r="S907" s="865"/>
      <c r="T907" s="865"/>
      <c r="U907" s="865"/>
    </row>
    <row r="908" hidden="1">
      <c r="B908" s="390"/>
      <c r="C908" s="991"/>
      <c r="D908" s="865"/>
      <c r="E908" s="865"/>
      <c r="F908" s="865"/>
      <c r="G908" s="865"/>
      <c r="H908" s="865"/>
      <c r="I908" s="865"/>
      <c r="J908" s="865"/>
      <c r="K908" s="865"/>
      <c r="L908" s="865"/>
      <c r="M908" s="865"/>
      <c r="N908" s="865"/>
      <c r="O908" s="865"/>
      <c r="P908" s="865"/>
      <c r="Q908" s="865"/>
      <c r="R908" s="865"/>
      <c r="S908" s="865"/>
      <c r="T908" s="865"/>
      <c r="U908" s="865"/>
    </row>
    <row r="909" hidden="1">
      <c r="B909" s="390"/>
      <c r="C909" s="991"/>
      <c r="D909" s="865"/>
      <c r="E909" s="865"/>
      <c r="F909" s="865"/>
      <c r="G909" s="865"/>
      <c r="H909" s="865"/>
      <c r="I909" s="865"/>
      <c r="J909" s="865"/>
      <c r="K909" s="865"/>
      <c r="L909" s="865"/>
      <c r="M909" s="865"/>
      <c r="N909" s="865"/>
      <c r="O909" s="865"/>
      <c r="P909" s="865"/>
      <c r="Q909" s="865"/>
      <c r="R909" s="865"/>
      <c r="S909" s="865"/>
      <c r="T909" s="865"/>
      <c r="U909" s="865"/>
    </row>
    <row r="910" hidden="1">
      <c r="B910" s="390"/>
      <c r="C910" s="991"/>
      <c r="D910" s="865"/>
      <c r="E910" s="865"/>
      <c r="F910" s="865"/>
      <c r="G910" s="865"/>
      <c r="H910" s="865"/>
      <c r="I910" s="865"/>
      <c r="J910" s="865"/>
      <c r="K910" s="865"/>
      <c r="L910" s="865"/>
      <c r="M910" s="865"/>
      <c r="N910" s="865"/>
      <c r="O910" s="865"/>
      <c r="P910" s="865"/>
      <c r="Q910" s="865"/>
      <c r="R910" s="865"/>
      <c r="S910" s="865"/>
      <c r="T910" s="865"/>
      <c r="U910" s="865"/>
    </row>
    <row r="911" hidden="1">
      <c r="B911" s="390"/>
      <c r="C911" s="991"/>
      <c r="D911" s="865"/>
      <c r="E911" s="865"/>
      <c r="F911" s="865"/>
      <c r="G911" s="865"/>
      <c r="H911" s="865"/>
      <c r="I911" s="865"/>
      <c r="J911" s="865"/>
      <c r="K911" s="865"/>
      <c r="L911" s="865"/>
      <c r="M911" s="865"/>
      <c r="N911" s="865"/>
      <c r="O911" s="865"/>
      <c r="P911" s="865"/>
      <c r="Q911" s="865"/>
      <c r="R911" s="865"/>
      <c r="S911" s="865"/>
      <c r="T911" s="865"/>
      <c r="U911" s="865"/>
    </row>
    <row r="912" hidden="1">
      <c r="B912" s="390"/>
      <c r="C912" s="991"/>
      <c r="D912" s="865"/>
      <c r="E912" s="865"/>
      <c r="F912" s="865"/>
      <c r="G912" s="865"/>
      <c r="H912" s="865"/>
      <c r="I912" s="865"/>
      <c r="J912" s="865"/>
      <c r="K912" s="865"/>
      <c r="L912" s="865"/>
      <c r="M912" s="865"/>
      <c r="N912" s="865"/>
      <c r="O912" s="865"/>
      <c r="P912" s="865"/>
      <c r="Q912" s="865"/>
      <c r="R912" s="865"/>
      <c r="S912" s="865"/>
      <c r="T912" s="865"/>
      <c r="U912" s="865"/>
    </row>
    <row r="913" hidden="1">
      <c r="B913" s="390"/>
      <c r="C913" s="991"/>
      <c r="D913" s="865"/>
      <c r="E913" s="865"/>
      <c r="F913" s="865"/>
      <c r="G913" s="865"/>
      <c r="H913" s="865"/>
      <c r="I913" s="865"/>
      <c r="J913" s="865"/>
      <c r="K913" s="865"/>
      <c r="L913" s="865"/>
      <c r="M913" s="865"/>
      <c r="N913" s="865"/>
      <c r="O913" s="865"/>
      <c r="P913" s="865"/>
      <c r="Q913" s="865"/>
      <c r="R913" s="865"/>
      <c r="S913" s="865"/>
      <c r="T913" s="865"/>
      <c r="U913" s="865"/>
    </row>
    <row r="914" hidden="1">
      <c r="B914" s="390"/>
      <c r="C914" s="991"/>
      <c r="D914" s="865"/>
      <c r="E914" s="865"/>
      <c r="F914" s="865"/>
      <c r="G914" s="865"/>
      <c r="H914" s="865"/>
      <c r="I914" s="865"/>
      <c r="J914" s="865"/>
      <c r="K914" s="865"/>
      <c r="L914" s="865"/>
      <c r="M914" s="865"/>
      <c r="N914" s="865"/>
      <c r="O914" s="865"/>
      <c r="P914" s="865"/>
      <c r="Q914" s="865"/>
      <c r="R914" s="865"/>
      <c r="S914" s="865"/>
      <c r="T914" s="865"/>
      <c r="U914" s="865"/>
    </row>
    <row r="915" hidden="1">
      <c r="B915" s="390"/>
      <c r="C915" s="991"/>
      <c r="D915" s="865"/>
      <c r="E915" s="865"/>
      <c r="F915" s="865"/>
      <c r="G915" s="865"/>
      <c r="H915" s="865"/>
      <c r="I915" s="865"/>
      <c r="J915" s="865"/>
      <c r="K915" s="865"/>
      <c r="L915" s="865"/>
      <c r="M915" s="865"/>
      <c r="N915" s="865"/>
      <c r="O915" s="865"/>
      <c r="P915" s="865"/>
      <c r="Q915" s="865"/>
      <c r="R915" s="865"/>
      <c r="S915" s="865"/>
      <c r="T915" s="865"/>
      <c r="U915" s="865"/>
    </row>
    <row r="916" hidden="1">
      <c r="B916" s="390"/>
      <c r="C916" s="991"/>
      <c r="D916" s="865"/>
      <c r="E916" s="865"/>
      <c r="F916" s="865"/>
      <c r="G916" s="865"/>
      <c r="H916" s="865"/>
      <c r="I916" s="865"/>
      <c r="J916" s="865"/>
      <c r="K916" s="865"/>
      <c r="L916" s="865"/>
      <c r="M916" s="865"/>
      <c r="N916" s="865"/>
      <c r="O916" s="865"/>
      <c r="P916" s="865"/>
      <c r="Q916" s="865"/>
      <c r="R916" s="865"/>
      <c r="S916" s="865"/>
      <c r="T916" s="865"/>
      <c r="U916" s="865"/>
    </row>
    <row r="917" hidden="1">
      <c r="B917" s="390"/>
      <c r="C917" s="991"/>
      <c r="D917" s="865"/>
      <c r="E917" s="865"/>
      <c r="F917" s="865"/>
      <c r="G917" s="865"/>
      <c r="H917" s="865"/>
      <c r="I917" s="865"/>
      <c r="J917" s="865"/>
      <c r="K917" s="865"/>
      <c r="L917" s="865"/>
      <c r="M917" s="865"/>
      <c r="N917" s="865"/>
      <c r="O917" s="865"/>
      <c r="P917" s="865"/>
      <c r="Q917" s="865"/>
      <c r="R917" s="865"/>
      <c r="S917" s="865"/>
      <c r="T917" s="865"/>
      <c r="U917" s="865"/>
    </row>
    <row r="918" hidden="1">
      <c r="B918" s="390"/>
      <c r="C918" s="991"/>
      <c r="D918" s="865"/>
      <c r="E918" s="865"/>
      <c r="F918" s="865"/>
      <c r="G918" s="865"/>
      <c r="H918" s="865"/>
      <c r="I918" s="865"/>
      <c r="J918" s="865"/>
      <c r="K918" s="865"/>
      <c r="L918" s="865"/>
      <c r="M918" s="865"/>
      <c r="N918" s="865"/>
      <c r="O918" s="865"/>
      <c r="P918" s="865"/>
      <c r="Q918" s="865"/>
      <c r="R918" s="865"/>
      <c r="S918" s="865"/>
      <c r="T918" s="865"/>
      <c r="U918" s="865"/>
    </row>
    <row r="919" hidden="1">
      <c r="B919" s="390"/>
      <c r="C919" s="991"/>
      <c r="D919" s="865"/>
      <c r="E919" s="865"/>
      <c r="F919" s="865"/>
      <c r="G919" s="865"/>
      <c r="H919" s="865"/>
      <c r="I919" s="865"/>
      <c r="J919" s="865"/>
      <c r="K919" s="865"/>
      <c r="L919" s="865"/>
      <c r="M919" s="865"/>
      <c r="N919" s="865"/>
      <c r="O919" s="865"/>
      <c r="P919" s="865"/>
      <c r="Q919" s="865"/>
      <c r="R919" s="865"/>
      <c r="S919" s="865"/>
      <c r="T919" s="865"/>
      <c r="U919" s="865"/>
    </row>
    <row r="920" hidden="1">
      <c r="B920" s="390"/>
      <c r="C920" s="991"/>
      <c r="D920" s="865"/>
      <c r="E920" s="865"/>
      <c r="F920" s="865"/>
      <c r="G920" s="865"/>
      <c r="H920" s="865"/>
      <c r="I920" s="865"/>
      <c r="J920" s="865"/>
      <c r="K920" s="865"/>
      <c r="L920" s="865"/>
      <c r="M920" s="865"/>
      <c r="N920" s="865"/>
      <c r="O920" s="865"/>
      <c r="P920" s="865"/>
      <c r="Q920" s="865"/>
      <c r="R920" s="865"/>
      <c r="S920" s="865"/>
      <c r="T920" s="865"/>
      <c r="U920" s="865"/>
    </row>
    <row r="921" hidden="1">
      <c r="B921" s="390"/>
      <c r="C921" s="991"/>
      <c r="D921" s="865"/>
      <c r="E921" s="865"/>
      <c r="F921" s="865"/>
      <c r="G921" s="865"/>
      <c r="H921" s="865"/>
      <c r="I921" s="865"/>
      <c r="J921" s="865"/>
      <c r="K921" s="865"/>
      <c r="L921" s="865"/>
      <c r="M921" s="865"/>
      <c r="N921" s="865"/>
      <c r="O921" s="865"/>
      <c r="P921" s="865"/>
      <c r="Q921" s="865"/>
      <c r="R921" s="865"/>
      <c r="S921" s="865"/>
      <c r="T921" s="865"/>
      <c r="U921" s="865"/>
    </row>
    <row r="922" hidden="1">
      <c r="B922" s="390"/>
      <c r="C922" s="991"/>
      <c r="D922" s="865"/>
      <c r="E922" s="865"/>
      <c r="F922" s="865"/>
      <c r="G922" s="865"/>
      <c r="H922" s="865"/>
      <c r="I922" s="865"/>
      <c r="J922" s="865"/>
      <c r="K922" s="865"/>
      <c r="L922" s="865"/>
      <c r="M922" s="865"/>
      <c r="N922" s="865"/>
      <c r="O922" s="865"/>
      <c r="P922" s="865"/>
      <c r="Q922" s="865"/>
      <c r="R922" s="865"/>
      <c r="S922" s="865"/>
      <c r="T922" s="865"/>
      <c r="U922" s="865"/>
    </row>
    <row r="923" hidden="1">
      <c r="B923" s="390"/>
      <c r="C923" s="991"/>
      <c r="D923" s="865"/>
      <c r="E923" s="865"/>
      <c r="F923" s="865"/>
      <c r="G923" s="865"/>
      <c r="H923" s="865"/>
      <c r="I923" s="865"/>
      <c r="J923" s="865"/>
      <c r="K923" s="865"/>
      <c r="L923" s="865"/>
      <c r="M923" s="865"/>
      <c r="N923" s="865"/>
      <c r="O923" s="865"/>
      <c r="P923" s="865"/>
      <c r="Q923" s="865"/>
      <c r="R923" s="865"/>
      <c r="S923" s="865"/>
      <c r="T923" s="865"/>
      <c r="U923" s="865"/>
    </row>
    <row r="924" hidden="1">
      <c r="B924" s="390"/>
      <c r="C924" s="991"/>
      <c r="D924" s="865"/>
      <c r="E924" s="865"/>
      <c r="F924" s="865"/>
      <c r="G924" s="865"/>
      <c r="H924" s="865"/>
      <c r="I924" s="865"/>
      <c r="J924" s="865"/>
      <c r="K924" s="865"/>
      <c r="L924" s="865"/>
      <c r="M924" s="865"/>
      <c r="N924" s="865"/>
      <c r="O924" s="865"/>
      <c r="P924" s="865"/>
      <c r="Q924" s="865"/>
      <c r="R924" s="865"/>
      <c r="S924" s="865"/>
      <c r="T924" s="865"/>
      <c r="U924" s="865"/>
    </row>
    <row r="925" hidden="1">
      <c r="B925" s="390"/>
      <c r="C925" s="991"/>
      <c r="D925" s="865"/>
      <c r="E925" s="865"/>
      <c r="F925" s="865"/>
      <c r="G925" s="865"/>
      <c r="H925" s="865"/>
      <c r="I925" s="865"/>
      <c r="J925" s="865"/>
      <c r="K925" s="865"/>
      <c r="L925" s="865"/>
      <c r="M925" s="865"/>
      <c r="N925" s="865"/>
      <c r="O925" s="865"/>
      <c r="P925" s="865"/>
      <c r="Q925" s="865"/>
      <c r="R925" s="865"/>
      <c r="S925" s="865"/>
      <c r="T925" s="865"/>
      <c r="U925" s="865"/>
    </row>
    <row r="926" hidden="1">
      <c r="B926" s="390"/>
      <c r="C926" s="991"/>
      <c r="D926" s="865"/>
      <c r="E926" s="865"/>
      <c r="F926" s="865"/>
      <c r="G926" s="865"/>
      <c r="H926" s="865"/>
      <c r="I926" s="865"/>
      <c r="J926" s="865"/>
      <c r="K926" s="865"/>
      <c r="L926" s="865"/>
      <c r="M926" s="865"/>
      <c r="N926" s="865"/>
      <c r="O926" s="865"/>
      <c r="P926" s="865"/>
      <c r="Q926" s="865"/>
      <c r="R926" s="865"/>
      <c r="S926" s="865"/>
      <c r="T926" s="865"/>
      <c r="U926" s="865"/>
    </row>
    <row r="927" hidden="1">
      <c r="B927" s="390"/>
      <c r="C927" s="991"/>
      <c r="D927" s="865"/>
      <c r="E927" s="865"/>
      <c r="F927" s="865"/>
      <c r="G927" s="865"/>
      <c r="H927" s="865"/>
      <c r="I927" s="865"/>
      <c r="J927" s="865"/>
      <c r="K927" s="865"/>
      <c r="L927" s="865"/>
      <c r="M927" s="865"/>
      <c r="N927" s="865"/>
      <c r="O927" s="865"/>
      <c r="P927" s="865"/>
      <c r="Q927" s="865"/>
      <c r="R927" s="865"/>
      <c r="S927" s="865"/>
      <c r="T927" s="865"/>
      <c r="U927" s="865"/>
    </row>
    <row r="928" hidden="1">
      <c r="B928" s="390"/>
      <c r="C928" s="991"/>
      <c r="D928" s="865"/>
      <c r="E928" s="865"/>
      <c r="F928" s="865"/>
      <c r="G928" s="865"/>
      <c r="H928" s="865"/>
      <c r="I928" s="865"/>
      <c r="J928" s="865"/>
      <c r="K928" s="865"/>
      <c r="L928" s="865"/>
      <c r="M928" s="865"/>
      <c r="N928" s="865"/>
      <c r="O928" s="865"/>
      <c r="P928" s="865"/>
      <c r="Q928" s="865"/>
      <c r="R928" s="865"/>
      <c r="S928" s="865"/>
      <c r="T928" s="865"/>
      <c r="U928" s="865"/>
    </row>
    <row r="929" hidden="1">
      <c r="B929" s="390"/>
      <c r="C929" s="991"/>
      <c r="D929" s="865"/>
      <c r="E929" s="865"/>
      <c r="F929" s="865"/>
      <c r="G929" s="865"/>
      <c r="H929" s="865"/>
      <c r="I929" s="865"/>
      <c r="J929" s="865"/>
      <c r="K929" s="865"/>
      <c r="L929" s="865"/>
      <c r="M929" s="865"/>
      <c r="N929" s="865"/>
      <c r="O929" s="865"/>
      <c r="P929" s="865"/>
      <c r="Q929" s="865"/>
      <c r="R929" s="865"/>
      <c r="S929" s="865"/>
      <c r="T929" s="865"/>
      <c r="U929" s="865"/>
    </row>
    <row r="930" hidden="1">
      <c r="B930" s="390"/>
      <c r="C930" s="991"/>
      <c r="D930" s="865"/>
      <c r="E930" s="865"/>
      <c r="F930" s="865"/>
      <c r="G930" s="865"/>
      <c r="H930" s="865"/>
      <c r="I930" s="865"/>
      <c r="J930" s="865"/>
      <c r="K930" s="865"/>
      <c r="L930" s="865"/>
      <c r="M930" s="865"/>
      <c r="N930" s="865"/>
      <c r="O930" s="865"/>
      <c r="P930" s="865"/>
      <c r="Q930" s="865"/>
      <c r="R930" s="865"/>
      <c r="S930" s="865"/>
      <c r="T930" s="865"/>
      <c r="U930" s="865"/>
    </row>
    <row r="931" hidden="1">
      <c r="B931" s="390"/>
      <c r="C931" s="991"/>
      <c r="D931" s="865"/>
      <c r="E931" s="865"/>
      <c r="F931" s="865"/>
      <c r="G931" s="865"/>
      <c r="H931" s="865"/>
      <c r="I931" s="865"/>
      <c r="J931" s="865"/>
      <c r="K931" s="865"/>
      <c r="L931" s="865"/>
      <c r="M931" s="865"/>
      <c r="N931" s="865"/>
      <c r="O931" s="865"/>
      <c r="P931" s="865"/>
      <c r="Q931" s="865"/>
      <c r="R931" s="865"/>
      <c r="S931" s="865"/>
      <c r="T931" s="865"/>
      <c r="U931" s="865"/>
    </row>
    <row r="932" hidden="1">
      <c r="B932" s="390"/>
      <c r="C932" s="991"/>
      <c r="D932" s="865"/>
      <c r="E932" s="865"/>
      <c r="F932" s="865"/>
      <c r="G932" s="865"/>
      <c r="H932" s="865"/>
      <c r="I932" s="865"/>
      <c r="J932" s="865"/>
      <c r="K932" s="865"/>
      <c r="L932" s="865"/>
      <c r="M932" s="865"/>
      <c r="N932" s="865"/>
      <c r="O932" s="865"/>
      <c r="P932" s="865"/>
      <c r="Q932" s="865"/>
      <c r="R932" s="865"/>
      <c r="S932" s="865"/>
      <c r="T932" s="865"/>
      <c r="U932" s="865"/>
    </row>
    <row r="933" hidden="1">
      <c r="B933" s="390"/>
      <c r="C933" s="991"/>
      <c r="D933" s="865"/>
      <c r="E933" s="865"/>
      <c r="F933" s="865"/>
      <c r="G933" s="865"/>
      <c r="H933" s="865"/>
      <c r="I933" s="865"/>
      <c r="J933" s="865"/>
      <c r="K933" s="865"/>
      <c r="L933" s="865"/>
      <c r="M933" s="865"/>
      <c r="N933" s="865"/>
      <c r="O933" s="865"/>
      <c r="P933" s="865"/>
      <c r="Q933" s="865"/>
      <c r="R933" s="865"/>
      <c r="S933" s="865"/>
      <c r="T933" s="865"/>
      <c r="U933" s="865"/>
    </row>
    <row r="934" hidden="1">
      <c r="B934" s="390"/>
      <c r="C934" s="991"/>
      <c r="D934" s="865"/>
      <c r="E934" s="865"/>
      <c r="F934" s="865"/>
      <c r="G934" s="865"/>
      <c r="H934" s="865"/>
      <c r="I934" s="865"/>
      <c r="J934" s="865"/>
      <c r="K934" s="865"/>
      <c r="L934" s="865"/>
      <c r="M934" s="865"/>
      <c r="N934" s="865"/>
      <c r="O934" s="865"/>
      <c r="P934" s="865"/>
      <c r="Q934" s="865"/>
      <c r="R934" s="865"/>
      <c r="S934" s="865"/>
      <c r="T934" s="865"/>
      <c r="U934" s="865"/>
    </row>
    <row r="935" hidden="1">
      <c r="B935" s="390"/>
      <c r="C935" s="991"/>
      <c r="D935" s="865"/>
      <c r="E935" s="865"/>
      <c r="F935" s="865"/>
      <c r="G935" s="865"/>
      <c r="H935" s="865"/>
      <c r="I935" s="865"/>
      <c r="J935" s="865"/>
      <c r="K935" s="865"/>
      <c r="L935" s="865"/>
      <c r="M935" s="865"/>
      <c r="N935" s="865"/>
      <c r="O935" s="865"/>
      <c r="P935" s="865"/>
      <c r="Q935" s="865"/>
      <c r="R935" s="865"/>
      <c r="S935" s="865"/>
      <c r="T935" s="865"/>
      <c r="U935" s="865"/>
    </row>
    <row r="936" hidden="1">
      <c r="B936" s="390"/>
      <c r="C936" s="991"/>
      <c r="D936" s="865"/>
      <c r="E936" s="865"/>
      <c r="F936" s="865"/>
      <c r="G936" s="865"/>
      <c r="H936" s="865"/>
      <c r="I936" s="865"/>
      <c r="J936" s="865"/>
      <c r="K936" s="865"/>
      <c r="L936" s="865"/>
      <c r="M936" s="865"/>
      <c r="N936" s="865"/>
      <c r="O936" s="865"/>
      <c r="P936" s="865"/>
      <c r="Q936" s="865"/>
      <c r="R936" s="865"/>
      <c r="S936" s="865"/>
      <c r="T936" s="865"/>
      <c r="U936" s="865"/>
    </row>
    <row r="937" hidden="1">
      <c r="B937" s="390"/>
      <c r="C937" s="991"/>
      <c r="D937" s="865"/>
      <c r="E937" s="865"/>
      <c r="F937" s="865"/>
      <c r="G937" s="865"/>
      <c r="H937" s="865"/>
      <c r="I937" s="865"/>
      <c r="J937" s="865"/>
      <c r="K937" s="865"/>
      <c r="L937" s="865"/>
      <c r="M937" s="865"/>
      <c r="N937" s="865"/>
      <c r="O937" s="865"/>
      <c r="P937" s="865"/>
      <c r="Q937" s="865"/>
      <c r="R937" s="865"/>
      <c r="S937" s="865"/>
      <c r="T937" s="865"/>
      <c r="U937" s="865"/>
    </row>
    <row r="938" hidden="1">
      <c r="B938" s="390"/>
      <c r="C938" s="991"/>
      <c r="D938" s="865"/>
      <c r="E938" s="865"/>
      <c r="F938" s="865"/>
      <c r="G938" s="865"/>
      <c r="H938" s="865"/>
      <c r="I938" s="865"/>
      <c r="J938" s="865"/>
      <c r="K938" s="865"/>
      <c r="L938" s="865"/>
      <c r="M938" s="865"/>
      <c r="N938" s="865"/>
      <c r="O938" s="865"/>
      <c r="P938" s="865"/>
      <c r="Q938" s="865"/>
      <c r="R938" s="865"/>
      <c r="S938" s="865"/>
      <c r="T938" s="865"/>
      <c r="U938" s="865"/>
    </row>
    <row r="939" hidden="1">
      <c r="B939" s="390"/>
      <c r="C939" s="991"/>
      <c r="D939" s="865"/>
      <c r="E939" s="865"/>
      <c r="F939" s="865"/>
      <c r="G939" s="865"/>
      <c r="H939" s="865"/>
      <c r="I939" s="865"/>
      <c r="J939" s="865"/>
      <c r="K939" s="865"/>
      <c r="L939" s="865"/>
      <c r="M939" s="865"/>
      <c r="N939" s="865"/>
      <c r="O939" s="865"/>
      <c r="P939" s="865"/>
      <c r="Q939" s="865"/>
      <c r="R939" s="865"/>
      <c r="S939" s="865"/>
      <c r="T939" s="865"/>
      <c r="U939" s="865"/>
    </row>
    <row r="940" hidden="1">
      <c r="B940" s="390"/>
      <c r="C940" s="991"/>
      <c r="D940" s="865"/>
      <c r="E940" s="865"/>
      <c r="F940" s="865"/>
      <c r="G940" s="865"/>
      <c r="H940" s="865"/>
      <c r="I940" s="865"/>
      <c r="J940" s="865"/>
      <c r="K940" s="865"/>
      <c r="L940" s="865"/>
      <c r="M940" s="865"/>
      <c r="N940" s="865"/>
      <c r="O940" s="865"/>
      <c r="P940" s="865"/>
      <c r="Q940" s="865"/>
      <c r="R940" s="865"/>
      <c r="S940" s="865"/>
      <c r="T940" s="865"/>
      <c r="U940" s="865"/>
    </row>
    <row r="941" hidden="1">
      <c r="B941" s="390"/>
      <c r="C941" s="991"/>
      <c r="D941" s="865"/>
      <c r="E941" s="865"/>
      <c r="F941" s="865"/>
      <c r="G941" s="865"/>
      <c r="H941" s="865"/>
      <c r="I941" s="865"/>
      <c r="J941" s="865"/>
      <c r="K941" s="865"/>
      <c r="L941" s="865"/>
      <c r="M941" s="865"/>
      <c r="N941" s="865"/>
      <c r="O941" s="865"/>
      <c r="P941" s="865"/>
      <c r="Q941" s="865"/>
      <c r="R941" s="865"/>
      <c r="S941" s="865"/>
      <c r="T941" s="865"/>
      <c r="U941" s="865"/>
    </row>
    <row r="942" hidden="1">
      <c r="B942" s="390"/>
      <c r="C942" s="991"/>
      <c r="D942" s="865"/>
      <c r="E942" s="865"/>
      <c r="F942" s="865"/>
      <c r="G942" s="865"/>
      <c r="H942" s="865"/>
      <c r="I942" s="865"/>
      <c r="J942" s="865"/>
      <c r="K942" s="865"/>
      <c r="L942" s="865"/>
      <c r="M942" s="865"/>
      <c r="N942" s="865"/>
      <c r="O942" s="865"/>
      <c r="P942" s="865"/>
      <c r="Q942" s="865"/>
      <c r="R942" s="865"/>
      <c r="S942" s="865"/>
      <c r="T942" s="865"/>
      <c r="U942" s="865"/>
    </row>
    <row r="943" hidden="1">
      <c r="B943" s="390"/>
      <c r="C943" s="991"/>
      <c r="D943" s="865"/>
      <c r="E943" s="865"/>
      <c r="F943" s="865"/>
      <c r="G943" s="865"/>
      <c r="H943" s="865"/>
      <c r="I943" s="865"/>
      <c r="J943" s="865"/>
      <c r="K943" s="865"/>
      <c r="L943" s="865"/>
      <c r="M943" s="865"/>
      <c r="N943" s="865"/>
      <c r="O943" s="865"/>
      <c r="P943" s="865"/>
      <c r="Q943" s="865"/>
      <c r="R943" s="865"/>
      <c r="S943" s="865"/>
      <c r="T943" s="865"/>
      <c r="U943" s="865"/>
    </row>
    <row r="944" hidden="1">
      <c r="B944" s="390"/>
      <c r="C944" s="991"/>
      <c r="D944" s="865"/>
      <c r="E944" s="865"/>
      <c r="F944" s="865"/>
      <c r="G944" s="865"/>
      <c r="H944" s="865"/>
      <c r="I944" s="865"/>
      <c r="J944" s="865"/>
      <c r="K944" s="865"/>
      <c r="L944" s="865"/>
      <c r="M944" s="865"/>
      <c r="N944" s="865"/>
      <c r="O944" s="865"/>
      <c r="P944" s="865"/>
      <c r="Q944" s="865"/>
      <c r="R944" s="865"/>
      <c r="S944" s="865"/>
      <c r="T944" s="865"/>
      <c r="U944" s="865"/>
    </row>
    <row r="945" hidden="1">
      <c r="B945" s="390"/>
      <c r="C945" s="991"/>
      <c r="D945" s="865"/>
      <c r="E945" s="865"/>
      <c r="F945" s="865"/>
      <c r="G945" s="865"/>
      <c r="H945" s="865"/>
      <c r="I945" s="865"/>
      <c r="J945" s="865"/>
      <c r="K945" s="865"/>
      <c r="L945" s="865"/>
      <c r="M945" s="865"/>
      <c r="N945" s="865"/>
      <c r="O945" s="865"/>
      <c r="P945" s="865"/>
      <c r="Q945" s="865"/>
      <c r="R945" s="865"/>
      <c r="S945" s="865"/>
      <c r="T945" s="865"/>
      <c r="U945" s="865"/>
    </row>
    <row r="946" hidden="1">
      <c r="B946" s="390"/>
      <c r="C946" s="991"/>
      <c r="D946" s="865"/>
      <c r="E946" s="865"/>
      <c r="F946" s="865"/>
      <c r="G946" s="865"/>
      <c r="H946" s="865"/>
      <c r="I946" s="865"/>
      <c r="J946" s="865"/>
      <c r="K946" s="865"/>
      <c r="L946" s="865"/>
      <c r="M946" s="865"/>
      <c r="N946" s="865"/>
      <c r="O946" s="865"/>
      <c r="P946" s="865"/>
      <c r="Q946" s="865"/>
      <c r="R946" s="865"/>
      <c r="S946" s="865"/>
      <c r="T946" s="865"/>
      <c r="U946" s="865"/>
    </row>
    <row r="947" hidden="1">
      <c r="B947" s="390"/>
      <c r="C947" s="991"/>
      <c r="D947" s="865"/>
      <c r="E947" s="865"/>
      <c r="F947" s="865"/>
      <c r="G947" s="865"/>
      <c r="H947" s="865"/>
      <c r="I947" s="865"/>
      <c r="J947" s="865"/>
      <c r="K947" s="865"/>
      <c r="L947" s="865"/>
      <c r="M947" s="865"/>
      <c r="N947" s="865"/>
      <c r="O947" s="865"/>
      <c r="P947" s="865"/>
      <c r="Q947" s="865"/>
      <c r="R947" s="865"/>
      <c r="S947" s="865"/>
      <c r="T947" s="865"/>
      <c r="U947" s="865"/>
    </row>
    <row r="948" hidden="1">
      <c r="B948" s="390"/>
      <c r="C948" s="991"/>
      <c r="D948" s="865"/>
      <c r="E948" s="865"/>
      <c r="F948" s="865"/>
      <c r="G948" s="865"/>
      <c r="H948" s="865"/>
      <c r="I948" s="865"/>
      <c r="J948" s="865"/>
      <c r="K948" s="865"/>
      <c r="L948" s="865"/>
      <c r="M948" s="865"/>
      <c r="N948" s="865"/>
      <c r="O948" s="865"/>
      <c r="P948" s="865"/>
      <c r="Q948" s="865"/>
      <c r="R948" s="865"/>
      <c r="S948" s="865"/>
      <c r="T948" s="865"/>
      <c r="U948" s="865"/>
    </row>
    <row r="949" hidden="1">
      <c r="B949" s="390"/>
      <c r="C949" s="991"/>
      <c r="D949" s="865"/>
      <c r="E949" s="865"/>
      <c r="F949" s="865"/>
      <c r="G949" s="865"/>
      <c r="H949" s="865"/>
      <c r="I949" s="865"/>
      <c r="J949" s="865"/>
      <c r="K949" s="865"/>
      <c r="L949" s="865"/>
      <c r="M949" s="865"/>
      <c r="N949" s="865"/>
      <c r="O949" s="865"/>
      <c r="P949" s="865"/>
      <c r="Q949" s="865"/>
      <c r="R949" s="865"/>
      <c r="S949" s="865"/>
      <c r="T949" s="865"/>
      <c r="U949" s="865"/>
    </row>
    <row r="950" hidden="1">
      <c r="B950" s="390"/>
      <c r="C950" s="991"/>
      <c r="D950" s="865"/>
      <c r="E950" s="865"/>
      <c r="F950" s="865"/>
      <c r="G950" s="865"/>
      <c r="H950" s="865"/>
      <c r="I950" s="865"/>
      <c r="J950" s="865"/>
      <c r="K950" s="865"/>
      <c r="L950" s="865"/>
      <c r="M950" s="865"/>
      <c r="N950" s="865"/>
      <c r="O950" s="865"/>
      <c r="P950" s="865"/>
      <c r="Q950" s="865"/>
      <c r="R950" s="865"/>
      <c r="S950" s="865"/>
      <c r="T950" s="865"/>
      <c r="U950" s="865"/>
    </row>
    <row r="951" hidden="1">
      <c r="B951" s="390"/>
      <c r="C951" s="991"/>
      <c r="D951" s="865"/>
      <c r="E951" s="865"/>
      <c r="F951" s="865"/>
      <c r="G951" s="865"/>
      <c r="H951" s="865"/>
      <c r="I951" s="865"/>
      <c r="J951" s="865"/>
      <c r="K951" s="865"/>
      <c r="L951" s="865"/>
      <c r="M951" s="865"/>
      <c r="N951" s="865"/>
      <c r="O951" s="865"/>
      <c r="P951" s="865"/>
      <c r="Q951" s="865"/>
      <c r="R951" s="865"/>
      <c r="S951" s="865"/>
      <c r="T951" s="865"/>
      <c r="U951" s="865"/>
    </row>
    <row r="952" hidden="1">
      <c r="B952" s="390"/>
      <c r="C952" s="991"/>
      <c r="D952" s="865"/>
      <c r="E952" s="865"/>
      <c r="F952" s="865"/>
      <c r="G952" s="865"/>
      <c r="H952" s="865"/>
      <c r="I952" s="865"/>
      <c r="J952" s="865"/>
      <c r="K952" s="865"/>
      <c r="L952" s="865"/>
      <c r="M952" s="865"/>
      <c r="N952" s="865"/>
      <c r="O952" s="865"/>
      <c r="P952" s="865"/>
      <c r="Q952" s="865"/>
      <c r="R952" s="865"/>
      <c r="S952" s="865"/>
      <c r="T952" s="865"/>
      <c r="U952" s="865"/>
    </row>
    <row r="953" hidden="1">
      <c r="B953" s="390"/>
      <c r="C953" s="991"/>
      <c r="D953" s="865"/>
      <c r="E953" s="865"/>
      <c r="F953" s="865"/>
      <c r="G953" s="865"/>
      <c r="H953" s="865"/>
      <c r="I953" s="865"/>
      <c r="J953" s="865"/>
      <c r="K953" s="865"/>
      <c r="L953" s="865"/>
      <c r="M953" s="865"/>
      <c r="N953" s="865"/>
      <c r="O953" s="865"/>
      <c r="P953" s="865"/>
      <c r="Q953" s="865"/>
      <c r="R953" s="865"/>
      <c r="S953" s="865"/>
      <c r="T953" s="865"/>
      <c r="U953" s="865"/>
    </row>
    <row r="954" hidden="1">
      <c r="B954" s="390"/>
      <c r="C954" s="991"/>
      <c r="D954" s="865"/>
      <c r="E954" s="865"/>
      <c r="F954" s="865"/>
      <c r="G954" s="865"/>
      <c r="H954" s="865"/>
      <c r="I954" s="865"/>
      <c r="J954" s="865"/>
      <c r="K954" s="865"/>
      <c r="L954" s="865"/>
      <c r="M954" s="865"/>
      <c r="N954" s="865"/>
      <c r="O954" s="865"/>
      <c r="P954" s="865"/>
      <c r="Q954" s="865"/>
      <c r="R954" s="865"/>
      <c r="S954" s="865"/>
      <c r="T954" s="865"/>
      <c r="U954" s="865"/>
    </row>
    <row r="955" hidden="1">
      <c r="B955" s="390"/>
      <c r="C955" s="991"/>
      <c r="D955" s="865"/>
      <c r="E955" s="865"/>
      <c r="F955" s="865"/>
      <c r="G955" s="865"/>
      <c r="H955" s="865"/>
      <c r="I955" s="865"/>
      <c r="J955" s="865"/>
      <c r="K955" s="865"/>
      <c r="L955" s="865"/>
      <c r="M955" s="865"/>
      <c r="N955" s="865"/>
      <c r="O955" s="865"/>
      <c r="P955" s="865"/>
      <c r="Q955" s="865"/>
      <c r="R955" s="865"/>
      <c r="S955" s="865"/>
      <c r="T955" s="865"/>
      <c r="U955" s="865"/>
    </row>
    <row r="956" hidden="1">
      <c r="B956" s="390"/>
      <c r="C956" s="991"/>
      <c r="D956" s="865"/>
      <c r="E956" s="865"/>
      <c r="F956" s="865"/>
      <c r="G956" s="865"/>
      <c r="H956" s="865"/>
      <c r="I956" s="865"/>
      <c r="J956" s="865"/>
      <c r="K956" s="865"/>
      <c r="L956" s="865"/>
      <c r="M956" s="865"/>
      <c r="N956" s="865"/>
      <c r="O956" s="865"/>
      <c r="P956" s="865"/>
      <c r="Q956" s="865"/>
      <c r="R956" s="865"/>
      <c r="S956" s="865"/>
      <c r="T956" s="865"/>
      <c r="U956" s="865"/>
    </row>
    <row r="957" hidden="1">
      <c r="B957" s="390"/>
      <c r="C957" s="991"/>
      <c r="D957" s="865"/>
      <c r="E957" s="865"/>
      <c r="F957" s="865"/>
      <c r="G957" s="865"/>
      <c r="H957" s="865"/>
      <c r="I957" s="865"/>
      <c r="J957" s="865"/>
      <c r="K957" s="865"/>
      <c r="L957" s="865"/>
      <c r="M957" s="865"/>
      <c r="N957" s="865"/>
      <c r="O957" s="865"/>
      <c r="P957" s="865"/>
      <c r="Q957" s="865"/>
      <c r="R957" s="865"/>
      <c r="S957" s="865"/>
      <c r="T957" s="865"/>
      <c r="U957" s="865"/>
    </row>
    <row r="958" hidden="1">
      <c r="B958" s="390"/>
      <c r="C958" s="991"/>
      <c r="D958" s="865"/>
      <c r="E958" s="865"/>
      <c r="F958" s="865"/>
      <c r="G958" s="865"/>
      <c r="H958" s="865"/>
      <c r="I958" s="865"/>
      <c r="J958" s="865"/>
      <c r="K958" s="865"/>
      <c r="L958" s="865"/>
      <c r="M958" s="865"/>
      <c r="N958" s="865"/>
      <c r="O958" s="865"/>
      <c r="P958" s="865"/>
      <c r="Q958" s="865"/>
      <c r="R958" s="865"/>
      <c r="S958" s="865"/>
      <c r="T958" s="865"/>
      <c r="U958" s="865"/>
    </row>
    <row r="959" hidden="1">
      <c r="B959" s="390"/>
      <c r="C959" s="991"/>
      <c r="D959" s="865"/>
      <c r="E959" s="865"/>
      <c r="F959" s="865"/>
      <c r="G959" s="865"/>
      <c r="H959" s="865"/>
      <c r="I959" s="865"/>
      <c r="J959" s="865"/>
      <c r="K959" s="865"/>
      <c r="L959" s="865"/>
      <c r="M959" s="865"/>
      <c r="N959" s="865"/>
      <c r="O959" s="865"/>
      <c r="P959" s="865"/>
      <c r="Q959" s="865"/>
      <c r="R959" s="865"/>
      <c r="S959" s="865"/>
      <c r="T959" s="865"/>
      <c r="U959" s="865"/>
    </row>
    <row r="960" hidden="1">
      <c r="B960" s="390"/>
      <c r="C960" s="991"/>
      <c r="D960" s="865"/>
      <c r="E960" s="865"/>
      <c r="F960" s="865"/>
      <c r="G960" s="865"/>
      <c r="H960" s="865"/>
      <c r="I960" s="865"/>
      <c r="J960" s="865"/>
      <c r="K960" s="865"/>
      <c r="L960" s="865"/>
      <c r="M960" s="865"/>
      <c r="N960" s="865"/>
      <c r="O960" s="865"/>
      <c r="P960" s="865"/>
      <c r="Q960" s="865"/>
      <c r="R960" s="865"/>
      <c r="S960" s="865"/>
      <c r="T960" s="865"/>
      <c r="U960" s="865"/>
    </row>
    <row r="961" hidden="1">
      <c r="B961" s="390"/>
      <c r="C961" s="991"/>
      <c r="D961" s="865"/>
      <c r="E961" s="865"/>
      <c r="F961" s="865"/>
      <c r="G961" s="865"/>
      <c r="H961" s="865"/>
      <c r="I961" s="865"/>
      <c r="J961" s="865"/>
      <c r="K961" s="865"/>
      <c r="L961" s="865"/>
      <c r="M961" s="865"/>
      <c r="N961" s="865"/>
      <c r="O961" s="865"/>
      <c r="P961" s="865"/>
      <c r="Q961" s="865"/>
      <c r="R961" s="865"/>
      <c r="S961" s="865"/>
      <c r="T961" s="865"/>
      <c r="U961" s="865"/>
    </row>
    <row r="962" hidden="1">
      <c r="B962" s="390"/>
      <c r="C962" s="991"/>
      <c r="D962" s="865"/>
      <c r="E962" s="865"/>
      <c r="F962" s="865"/>
      <c r="G962" s="865"/>
      <c r="H962" s="865"/>
      <c r="I962" s="865"/>
      <c r="J962" s="865"/>
      <c r="K962" s="865"/>
      <c r="L962" s="865"/>
      <c r="M962" s="865"/>
      <c r="N962" s="865"/>
      <c r="O962" s="865"/>
      <c r="P962" s="865"/>
      <c r="Q962" s="865"/>
      <c r="R962" s="865"/>
      <c r="S962" s="865"/>
      <c r="T962" s="865"/>
      <c r="U962" s="865"/>
    </row>
    <row r="963" hidden="1">
      <c r="B963" s="390"/>
      <c r="C963" s="991"/>
      <c r="D963" s="865"/>
      <c r="E963" s="865"/>
      <c r="F963" s="865"/>
      <c r="G963" s="865"/>
      <c r="H963" s="865"/>
      <c r="I963" s="865"/>
      <c r="J963" s="865"/>
      <c r="K963" s="865"/>
      <c r="L963" s="865"/>
      <c r="M963" s="865"/>
      <c r="N963" s="865"/>
      <c r="O963" s="865"/>
      <c r="P963" s="865"/>
      <c r="Q963" s="865"/>
      <c r="R963" s="865"/>
      <c r="S963" s="865"/>
      <c r="T963" s="865"/>
      <c r="U963" s="865"/>
    </row>
    <row r="964" hidden="1">
      <c r="B964" s="390"/>
      <c r="C964" s="991"/>
      <c r="D964" s="865"/>
      <c r="E964" s="865"/>
      <c r="F964" s="865"/>
      <c r="G964" s="865"/>
      <c r="H964" s="865"/>
      <c r="I964" s="865"/>
      <c r="J964" s="865"/>
      <c r="K964" s="865"/>
      <c r="L964" s="865"/>
      <c r="M964" s="865"/>
      <c r="N964" s="865"/>
      <c r="O964" s="865"/>
      <c r="P964" s="865"/>
      <c r="Q964" s="865"/>
      <c r="R964" s="865"/>
      <c r="S964" s="865"/>
      <c r="T964" s="865"/>
      <c r="U964" s="865"/>
    </row>
    <row r="965" hidden="1">
      <c r="B965" s="390"/>
      <c r="C965" s="991"/>
      <c r="D965" s="865"/>
      <c r="E965" s="865"/>
      <c r="F965" s="865"/>
      <c r="G965" s="865"/>
      <c r="H965" s="865"/>
      <c r="I965" s="865"/>
      <c r="J965" s="865"/>
      <c r="K965" s="865"/>
      <c r="L965" s="865"/>
      <c r="M965" s="865"/>
      <c r="N965" s="865"/>
      <c r="O965" s="865"/>
      <c r="P965" s="865"/>
      <c r="Q965" s="865"/>
      <c r="R965" s="865"/>
      <c r="S965" s="865"/>
      <c r="T965" s="865"/>
      <c r="U965" s="865"/>
    </row>
    <row r="966" hidden="1">
      <c r="B966" s="390"/>
      <c r="C966" s="991"/>
      <c r="D966" s="865"/>
      <c r="E966" s="865"/>
      <c r="F966" s="865"/>
      <c r="G966" s="865"/>
      <c r="H966" s="865"/>
      <c r="I966" s="865"/>
      <c r="J966" s="865"/>
      <c r="K966" s="865"/>
      <c r="L966" s="865"/>
      <c r="M966" s="865"/>
      <c r="N966" s="865"/>
      <c r="O966" s="865"/>
      <c r="P966" s="865"/>
      <c r="Q966" s="865"/>
      <c r="R966" s="865"/>
      <c r="S966" s="865"/>
      <c r="T966" s="865"/>
      <c r="U966" s="865"/>
    </row>
    <row r="967" hidden="1">
      <c r="B967" s="390"/>
      <c r="C967" s="991"/>
      <c r="D967" s="865"/>
      <c r="E967" s="865"/>
      <c r="F967" s="865"/>
      <c r="G967" s="865"/>
      <c r="H967" s="865"/>
      <c r="I967" s="865"/>
      <c r="J967" s="865"/>
      <c r="K967" s="865"/>
      <c r="L967" s="865"/>
      <c r="M967" s="865"/>
      <c r="N967" s="865"/>
      <c r="O967" s="865"/>
      <c r="P967" s="865"/>
      <c r="Q967" s="865"/>
      <c r="R967" s="865"/>
      <c r="S967" s="865"/>
      <c r="T967" s="865"/>
      <c r="U967" s="865"/>
    </row>
    <row r="968" hidden="1">
      <c r="B968" s="390"/>
      <c r="C968" s="991"/>
      <c r="D968" s="865"/>
      <c r="E968" s="865"/>
      <c r="F968" s="865"/>
      <c r="G968" s="865"/>
      <c r="H968" s="865"/>
      <c r="I968" s="865"/>
      <c r="J968" s="865"/>
      <c r="K968" s="865"/>
      <c r="L968" s="865"/>
      <c r="M968" s="865"/>
      <c r="N968" s="865"/>
      <c r="O968" s="865"/>
      <c r="P968" s="865"/>
      <c r="Q968" s="865"/>
      <c r="R968" s="865"/>
      <c r="S968" s="865"/>
      <c r="T968" s="865"/>
      <c r="U968" s="865"/>
    </row>
    <row r="969" hidden="1">
      <c r="B969" s="390"/>
      <c r="C969" s="991"/>
      <c r="D969" s="865"/>
      <c r="E969" s="865"/>
      <c r="F969" s="865"/>
      <c r="G969" s="865"/>
      <c r="H969" s="865"/>
      <c r="I969" s="865"/>
      <c r="J969" s="865"/>
      <c r="K969" s="865"/>
      <c r="L969" s="865"/>
      <c r="M969" s="865"/>
      <c r="N969" s="865"/>
      <c r="O969" s="865"/>
      <c r="P969" s="865"/>
      <c r="Q969" s="865"/>
      <c r="R969" s="865"/>
      <c r="S969" s="865"/>
      <c r="T969" s="865"/>
      <c r="U969" s="865"/>
    </row>
    <row r="970" hidden="1">
      <c r="B970" s="390"/>
      <c r="C970" s="991"/>
      <c r="D970" s="865"/>
      <c r="E970" s="865"/>
      <c r="F970" s="865"/>
      <c r="G970" s="865"/>
      <c r="H970" s="865"/>
      <c r="I970" s="865"/>
      <c r="J970" s="865"/>
      <c r="K970" s="865"/>
      <c r="L970" s="865"/>
      <c r="M970" s="865"/>
      <c r="N970" s="865"/>
      <c r="O970" s="865"/>
      <c r="P970" s="865"/>
      <c r="Q970" s="865"/>
      <c r="R970" s="865"/>
      <c r="S970" s="865"/>
      <c r="T970" s="865"/>
      <c r="U970" s="865"/>
    </row>
    <row r="971" hidden="1">
      <c r="B971" s="390"/>
      <c r="C971" s="991"/>
      <c r="D971" s="865"/>
      <c r="E971" s="865"/>
      <c r="F971" s="865"/>
      <c r="G971" s="865"/>
      <c r="H971" s="865"/>
      <c r="I971" s="865"/>
      <c r="J971" s="865"/>
      <c r="K971" s="865"/>
      <c r="L971" s="865"/>
      <c r="M971" s="865"/>
      <c r="N971" s="865"/>
      <c r="O971" s="865"/>
      <c r="P971" s="865"/>
      <c r="Q971" s="865"/>
      <c r="R971" s="865"/>
      <c r="S971" s="865"/>
      <c r="T971" s="865"/>
      <c r="U971" s="865"/>
    </row>
    <row r="972" hidden="1">
      <c r="B972" s="390"/>
      <c r="C972" s="991"/>
      <c r="D972" s="865"/>
      <c r="E972" s="865"/>
      <c r="F972" s="865"/>
      <c r="G972" s="865"/>
      <c r="H972" s="865"/>
      <c r="I972" s="865"/>
      <c r="J972" s="865"/>
      <c r="K972" s="865"/>
      <c r="L972" s="865"/>
      <c r="M972" s="865"/>
      <c r="N972" s="865"/>
      <c r="O972" s="865"/>
      <c r="P972" s="865"/>
      <c r="Q972" s="865"/>
      <c r="R972" s="865"/>
      <c r="S972" s="865"/>
      <c r="T972" s="865"/>
      <c r="U972" s="865"/>
    </row>
    <row r="973" hidden="1">
      <c r="B973" s="390"/>
      <c r="C973" s="991"/>
      <c r="D973" s="865"/>
      <c r="E973" s="865"/>
      <c r="F973" s="865"/>
      <c r="G973" s="865"/>
      <c r="H973" s="865"/>
      <c r="I973" s="865"/>
      <c r="J973" s="865"/>
      <c r="K973" s="865"/>
      <c r="L973" s="865"/>
      <c r="M973" s="865"/>
      <c r="N973" s="865"/>
      <c r="O973" s="865"/>
      <c r="P973" s="865"/>
      <c r="Q973" s="865"/>
      <c r="R973" s="865"/>
      <c r="S973" s="865"/>
      <c r="T973" s="865"/>
      <c r="U973" s="865"/>
    </row>
    <row r="974" hidden="1">
      <c r="B974" s="390"/>
      <c r="C974" s="991"/>
      <c r="D974" s="865"/>
      <c r="E974" s="865"/>
      <c r="F974" s="865"/>
      <c r="G974" s="865"/>
      <c r="H974" s="865"/>
      <c r="I974" s="865"/>
      <c r="J974" s="865"/>
      <c r="K974" s="865"/>
      <c r="L974" s="865"/>
      <c r="M974" s="865"/>
      <c r="N974" s="865"/>
      <c r="O974" s="865"/>
      <c r="P974" s="865"/>
      <c r="Q974" s="865"/>
      <c r="R974" s="865"/>
      <c r="S974" s="865"/>
      <c r="T974" s="865"/>
      <c r="U974" s="865"/>
    </row>
    <row r="975" hidden="1">
      <c r="B975" s="390"/>
      <c r="C975" s="991"/>
      <c r="D975" s="865"/>
      <c r="E975" s="865"/>
      <c r="F975" s="865"/>
      <c r="G975" s="865"/>
      <c r="H975" s="865"/>
      <c r="I975" s="865"/>
      <c r="J975" s="865"/>
      <c r="K975" s="865"/>
      <c r="L975" s="865"/>
      <c r="M975" s="865"/>
      <c r="N975" s="865"/>
      <c r="O975" s="865"/>
      <c r="P975" s="865"/>
      <c r="Q975" s="865"/>
      <c r="R975" s="865"/>
      <c r="S975" s="865"/>
      <c r="T975" s="865"/>
      <c r="U975" s="865"/>
    </row>
    <row r="976" hidden="1">
      <c r="B976" s="390"/>
      <c r="C976" s="991"/>
      <c r="D976" s="865"/>
      <c r="E976" s="865"/>
      <c r="F976" s="865"/>
      <c r="G976" s="865"/>
      <c r="H976" s="865"/>
      <c r="I976" s="865"/>
      <c r="J976" s="865"/>
      <c r="K976" s="865"/>
      <c r="L976" s="865"/>
      <c r="M976" s="865"/>
      <c r="N976" s="865"/>
      <c r="O976" s="865"/>
      <c r="P976" s="865"/>
      <c r="Q976" s="865"/>
      <c r="R976" s="865"/>
      <c r="S976" s="865"/>
      <c r="T976" s="865"/>
      <c r="U976" s="865"/>
    </row>
    <row r="977" hidden="1">
      <c r="B977" s="390"/>
      <c r="C977" s="991"/>
      <c r="D977" s="865"/>
      <c r="E977" s="865"/>
      <c r="F977" s="865"/>
      <c r="G977" s="865"/>
      <c r="H977" s="865"/>
      <c r="I977" s="865"/>
      <c r="J977" s="865"/>
      <c r="K977" s="865"/>
      <c r="L977" s="865"/>
      <c r="M977" s="865"/>
      <c r="N977" s="865"/>
      <c r="O977" s="865"/>
      <c r="P977" s="865"/>
      <c r="Q977" s="865"/>
      <c r="R977" s="865"/>
      <c r="S977" s="865"/>
      <c r="T977" s="865"/>
      <c r="U977" s="865"/>
    </row>
    <row r="978" hidden="1">
      <c r="B978" s="390"/>
      <c r="C978" s="991"/>
      <c r="D978" s="865"/>
      <c r="E978" s="865"/>
      <c r="F978" s="865"/>
      <c r="G978" s="865"/>
      <c r="H978" s="865"/>
      <c r="I978" s="865"/>
      <c r="J978" s="865"/>
      <c r="K978" s="865"/>
      <c r="L978" s="865"/>
      <c r="M978" s="865"/>
      <c r="N978" s="865"/>
      <c r="O978" s="865"/>
      <c r="P978" s="865"/>
      <c r="Q978" s="865"/>
      <c r="R978" s="865"/>
      <c r="S978" s="865"/>
      <c r="T978" s="865"/>
      <c r="U978" s="865"/>
    </row>
    <row r="979" hidden="1">
      <c r="B979" s="390"/>
      <c r="C979" s="991"/>
      <c r="D979" s="865"/>
      <c r="E979" s="865"/>
      <c r="F979" s="865"/>
      <c r="G979" s="865"/>
      <c r="H979" s="865"/>
      <c r="I979" s="865"/>
      <c r="J979" s="865"/>
      <c r="K979" s="865"/>
      <c r="L979" s="865"/>
      <c r="M979" s="865"/>
      <c r="N979" s="865"/>
      <c r="O979" s="865"/>
      <c r="P979" s="865"/>
      <c r="Q979" s="865"/>
      <c r="R979" s="865"/>
      <c r="S979" s="865"/>
      <c r="T979" s="865"/>
      <c r="U979" s="865"/>
    </row>
    <row r="980" hidden="1">
      <c r="B980" s="390"/>
      <c r="C980" s="991"/>
      <c r="D980" s="865"/>
      <c r="E980" s="865"/>
      <c r="F980" s="865"/>
      <c r="G980" s="865"/>
      <c r="H980" s="865"/>
      <c r="I980" s="865"/>
      <c r="J980" s="865"/>
      <c r="K980" s="865"/>
      <c r="L980" s="865"/>
      <c r="M980" s="865"/>
      <c r="N980" s="865"/>
      <c r="O980" s="865"/>
      <c r="P980" s="865"/>
      <c r="Q980" s="865"/>
      <c r="R980" s="865"/>
      <c r="S980" s="865"/>
      <c r="T980" s="865"/>
      <c r="U980" s="865"/>
    </row>
    <row r="981" hidden="1">
      <c r="B981" s="390"/>
      <c r="C981" s="991"/>
      <c r="D981" s="865"/>
      <c r="E981" s="865"/>
      <c r="F981" s="865"/>
      <c r="G981" s="865"/>
      <c r="H981" s="865"/>
      <c r="I981" s="865"/>
      <c r="J981" s="865"/>
      <c r="K981" s="865"/>
      <c r="L981" s="865"/>
      <c r="M981" s="865"/>
      <c r="N981" s="865"/>
      <c r="O981" s="865"/>
      <c r="P981" s="865"/>
      <c r="Q981" s="865"/>
      <c r="R981" s="865"/>
      <c r="S981" s="865"/>
      <c r="T981" s="865"/>
      <c r="U981" s="865"/>
    </row>
    <row r="982" hidden="1">
      <c r="B982" s="390"/>
      <c r="C982" s="991"/>
      <c r="D982" s="865"/>
      <c r="E982" s="865"/>
      <c r="F982" s="865"/>
      <c r="G982" s="865"/>
      <c r="H982" s="865"/>
      <c r="I982" s="865"/>
      <c r="J982" s="865"/>
      <c r="K982" s="865"/>
      <c r="L982" s="865"/>
      <c r="M982" s="865"/>
      <c r="N982" s="865"/>
      <c r="O982" s="865"/>
      <c r="P982" s="865"/>
      <c r="Q982" s="865"/>
      <c r="R982" s="865"/>
      <c r="S982" s="865"/>
      <c r="T982" s="865"/>
      <c r="U982" s="865"/>
    </row>
    <row r="983" hidden="1">
      <c r="B983" s="390"/>
      <c r="C983" s="991"/>
      <c r="D983" s="865"/>
      <c r="E983" s="865"/>
      <c r="F983" s="865"/>
      <c r="G983" s="865"/>
      <c r="H983" s="865"/>
      <c r="I983" s="865"/>
      <c r="J983" s="865"/>
      <c r="K983" s="865"/>
      <c r="L983" s="865"/>
      <c r="M983" s="865"/>
      <c r="N983" s="865"/>
      <c r="O983" s="865"/>
      <c r="P983" s="865"/>
      <c r="Q983" s="865"/>
      <c r="R983" s="865"/>
      <c r="S983" s="865"/>
      <c r="T983" s="865"/>
      <c r="U983" s="865"/>
    </row>
    <row r="984" hidden="1">
      <c r="B984" s="390"/>
      <c r="C984" s="991"/>
      <c r="D984" s="865"/>
      <c r="E984" s="865"/>
      <c r="F984" s="865"/>
      <c r="G984" s="865"/>
      <c r="H984" s="865"/>
      <c r="I984" s="865"/>
      <c r="J984" s="865"/>
      <c r="K984" s="865"/>
      <c r="L984" s="865"/>
      <c r="M984" s="865"/>
      <c r="N984" s="865"/>
      <c r="O984" s="865"/>
      <c r="P984" s="865"/>
      <c r="Q984" s="865"/>
      <c r="R984" s="865"/>
      <c r="S984" s="865"/>
      <c r="T984" s="865"/>
      <c r="U984" s="865"/>
    </row>
    <row r="985" hidden="1">
      <c r="B985" s="390"/>
      <c r="C985" s="991"/>
      <c r="D985" s="865"/>
      <c r="E985" s="865"/>
      <c r="F985" s="865"/>
      <c r="G985" s="865"/>
      <c r="H985" s="865"/>
      <c r="I985" s="865"/>
      <c r="J985" s="865"/>
      <c r="K985" s="865"/>
      <c r="L985" s="865"/>
      <c r="M985" s="865"/>
      <c r="N985" s="865"/>
      <c r="O985" s="865"/>
      <c r="P985" s="865"/>
      <c r="Q985" s="865"/>
      <c r="R985" s="865"/>
      <c r="S985" s="865"/>
      <c r="T985" s="865"/>
      <c r="U985" s="865"/>
    </row>
    <row r="986" hidden="1">
      <c r="B986" s="390"/>
      <c r="C986" s="991"/>
      <c r="D986" s="865"/>
      <c r="E986" s="865"/>
      <c r="F986" s="865"/>
      <c r="G986" s="865"/>
      <c r="H986" s="865"/>
      <c r="I986" s="865"/>
      <c r="J986" s="865"/>
      <c r="K986" s="865"/>
      <c r="L986" s="865"/>
      <c r="M986" s="865"/>
      <c r="N986" s="865"/>
      <c r="O986" s="865"/>
      <c r="P986" s="865"/>
      <c r="Q986" s="865"/>
      <c r="R986" s="865"/>
      <c r="S986" s="865"/>
      <c r="T986" s="865"/>
      <c r="U986" s="865"/>
    </row>
    <row r="987" hidden="1">
      <c r="B987" s="390"/>
      <c r="C987" s="991"/>
      <c r="D987" s="865"/>
      <c r="E987" s="865"/>
      <c r="F987" s="865"/>
      <c r="G987" s="865"/>
      <c r="H987" s="865"/>
      <c r="I987" s="865"/>
      <c r="J987" s="865"/>
      <c r="K987" s="865"/>
      <c r="L987" s="865"/>
      <c r="M987" s="865"/>
      <c r="N987" s="865"/>
      <c r="O987" s="865"/>
      <c r="P987" s="865"/>
      <c r="Q987" s="865"/>
      <c r="R987" s="865"/>
      <c r="S987" s="865"/>
      <c r="T987" s="865"/>
      <c r="U987" s="865"/>
    </row>
    <row r="988" hidden="1">
      <c r="B988" s="390"/>
      <c r="C988" s="991"/>
      <c r="D988" s="865"/>
      <c r="E988" s="865"/>
      <c r="F988" s="865"/>
      <c r="G988" s="865"/>
      <c r="H988" s="865"/>
      <c r="I988" s="865"/>
      <c r="J988" s="865"/>
      <c r="K988" s="865"/>
      <c r="L988" s="865"/>
      <c r="M988" s="865"/>
      <c r="N988" s="865"/>
      <c r="O988" s="865"/>
      <c r="P988" s="865"/>
      <c r="Q988" s="865"/>
      <c r="R988" s="865"/>
      <c r="S988" s="865"/>
      <c r="T988" s="865"/>
      <c r="U988" s="865"/>
    </row>
    <row r="989" hidden="1">
      <c r="B989" s="390"/>
      <c r="C989" s="991"/>
      <c r="D989" s="865"/>
      <c r="E989" s="865"/>
      <c r="F989" s="865"/>
      <c r="G989" s="865"/>
      <c r="H989" s="865"/>
      <c r="I989" s="865"/>
      <c r="J989" s="865"/>
      <c r="K989" s="865"/>
      <c r="L989" s="865"/>
      <c r="M989" s="865"/>
      <c r="N989" s="865"/>
      <c r="O989" s="865"/>
      <c r="P989" s="865"/>
      <c r="Q989" s="865"/>
      <c r="R989" s="865"/>
      <c r="S989" s="865"/>
      <c r="T989" s="865"/>
      <c r="U989" s="865"/>
    </row>
    <row r="990" hidden="1">
      <c r="B990" s="390"/>
      <c r="C990" s="991"/>
      <c r="D990" s="865"/>
      <c r="E990" s="865"/>
      <c r="F990" s="865"/>
      <c r="G990" s="865"/>
      <c r="H990" s="865"/>
      <c r="I990" s="865"/>
      <c r="J990" s="865"/>
      <c r="K990" s="865"/>
      <c r="L990" s="865"/>
      <c r="M990" s="865"/>
      <c r="N990" s="865"/>
      <c r="O990" s="865"/>
      <c r="P990" s="865"/>
      <c r="Q990" s="865"/>
      <c r="R990" s="865"/>
      <c r="S990" s="865"/>
      <c r="T990" s="865"/>
      <c r="U990" s="865"/>
    </row>
    <row r="991" hidden="1">
      <c r="B991" s="390"/>
      <c r="C991" s="991"/>
      <c r="D991" s="865"/>
      <c r="E991" s="865"/>
      <c r="F991" s="865"/>
      <c r="G991" s="865"/>
      <c r="H991" s="865"/>
      <c r="I991" s="865"/>
      <c r="J991" s="865"/>
      <c r="K991" s="865"/>
      <c r="L991" s="865"/>
      <c r="M991" s="865"/>
      <c r="N991" s="865"/>
      <c r="O991" s="865"/>
      <c r="P991" s="865"/>
      <c r="Q991" s="865"/>
      <c r="R991" s="865"/>
      <c r="S991" s="865"/>
      <c r="T991" s="865"/>
      <c r="U991" s="865"/>
    </row>
    <row r="992" hidden="1">
      <c r="B992" s="390"/>
      <c r="C992" s="991"/>
      <c r="D992" s="865"/>
      <c r="E992" s="865"/>
      <c r="F992" s="865"/>
      <c r="G992" s="865"/>
      <c r="H992" s="865"/>
      <c r="I992" s="865"/>
      <c r="J992" s="865"/>
      <c r="K992" s="865"/>
      <c r="L992" s="865"/>
      <c r="M992" s="865"/>
      <c r="N992" s="865"/>
      <c r="O992" s="865"/>
      <c r="P992" s="865"/>
      <c r="Q992" s="865"/>
      <c r="R992" s="865"/>
      <c r="S992" s="865"/>
      <c r="T992" s="865"/>
      <c r="U992" s="865"/>
    </row>
    <row r="993" hidden="1">
      <c r="B993" s="390"/>
      <c r="C993" s="991"/>
      <c r="D993" s="865"/>
      <c r="E993" s="865"/>
      <c r="F993" s="865"/>
      <c r="G993" s="865"/>
      <c r="H993" s="865"/>
      <c r="I993" s="865"/>
      <c r="J993" s="865"/>
      <c r="K993" s="865"/>
      <c r="L993" s="865"/>
      <c r="M993" s="865"/>
      <c r="N993" s="865"/>
      <c r="O993" s="865"/>
      <c r="P993" s="865"/>
      <c r="Q993" s="865"/>
      <c r="R993" s="865"/>
      <c r="S993" s="865"/>
      <c r="T993" s="865"/>
      <c r="U993" s="865"/>
    </row>
    <row r="994" hidden="1">
      <c r="B994" s="390"/>
      <c r="C994" s="991"/>
      <c r="D994" s="865"/>
      <c r="E994" s="865"/>
      <c r="F994" s="865"/>
      <c r="G994" s="865"/>
      <c r="H994" s="865"/>
      <c r="I994" s="865"/>
      <c r="J994" s="865"/>
      <c r="K994" s="865"/>
      <c r="L994" s="865"/>
      <c r="M994" s="865"/>
      <c r="N994" s="865"/>
      <c r="O994" s="865"/>
      <c r="P994" s="865"/>
      <c r="Q994" s="865"/>
      <c r="R994" s="865"/>
      <c r="S994" s="865"/>
      <c r="T994" s="865"/>
      <c r="U994" s="865"/>
    </row>
    <row r="995" hidden="1">
      <c r="B995" s="390"/>
      <c r="C995" s="991"/>
      <c r="D995" s="865"/>
      <c r="E995" s="865"/>
      <c r="F995" s="865"/>
      <c r="G995" s="865"/>
      <c r="H995" s="865"/>
      <c r="I995" s="865"/>
      <c r="J995" s="865"/>
      <c r="K995" s="865"/>
      <c r="L995" s="865"/>
      <c r="M995" s="865"/>
      <c r="N995" s="865"/>
      <c r="O995" s="865"/>
      <c r="P995" s="865"/>
      <c r="Q995" s="865"/>
      <c r="R995" s="865"/>
      <c r="S995" s="865"/>
      <c r="T995" s="865"/>
      <c r="U995" s="865"/>
    </row>
    <row r="996" hidden="1">
      <c r="B996" s="390"/>
      <c r="C996" s="991"/>
      <c r="D996" s="865"/>
      <c r="E996" s="865"/>
      <c r="F996" s="865"/>
      <c r="G996" s="865"/>
      <c r="H996" s="865"/>
      <c r="I996" s="865"/>
      <c r="J996" s="865"/>
      <c r="K996" s="865"/>
      <c r="L996" s="865"/>
      <c r="M996" s="865"/>
      <c r="N996" s="865"/>
      <c r="O996" s="865"/>
      <c r="P996" s="865"/>
      <c r="Q996" s="865"/>
      <c r="R996" s="865"/>
      <c r="S996" s="865"/>
      <c r="T996" s="865"/>
      <c r="U996" s="865"/>
    </row>
    <row r="997" hidden="1">
      <c r="B997" s="390"/>
      <c r="C997" s="991"/>
      <c r="D997" s="865"/>
      <c r="E997" s="865"/>
      <c r="F997" s="865"/>
      <c r="G997" s="865"/>
      <c r="H997" s="865"/>
      <c r="I997" s="865"/>
      <c r="J997" s="865"/>
      <c r="K997" s="865"/>
      <c r="L997" s="865"/>
      <c r="M997" s="865"/>
      <c r="N997" s="865"/>
      <c r="O997" s="865"/>
      <c r="P997" s="865"/>
      <c r="Q997" s="865"/>
      <c r="R997" s="865"/>
      <c r="S997" s="865"/>
      <c r="T997" s="865"/>
      <c r="U997" s="865"/>
    </row>
    <row r="998" hidden="1">
      <c r="B998" s="390"/>
      <c r="C998" s="991"/>
      <c r="D998" s="865"/>
      <c r="E998" s="865"/>
      <c r="F998" s="865"/>
      <c r="G998" s="865"/>
      <c r="H998" s="865"/>
      <c r="I998" s="865"/>
      <c r="J998" s="865"/>
      <c r="K998" s="865"/>
      <c r="L998" s="865"/>
      <c r="M998" s="865"/>
      <c r="N998" s="865"/>
      <c r="O998" s="865"/>
      <c r="P998" s="865"/>
      <c r="Q998" s="865"/>
      <c r="R998" s="865"/>
      <c r="S998" s="865"/>
      <c r="T998" s="865"/>
      <c r="U998" s="865"/>
    </row>
    <row r="999" hidden="1">
      <c r="B999" s="390"/>
      <c r="C999" s="991"/>
      <c r="D999" s="865"/>
      <c r="E999" s="865"/>
      <c r="F999" s="865"/>
      <c r="G999" s="865"/>
      <c r="H999" s="865"/>
      <c r="I999" s="865"/>
      <c r="J999" s="865"/>
      <c r="K999" s="865"/>
      <c r="L999" s="865"/>
      <c r="M999" s="865"/>
      <c r="N999" s="865"/>
      <c r="O999" s="865"/>
      <c r="P999" s="865"/>
      <c r="Q999" s="865"/>
      <c r="R999" s="865"/>
      <c r="S999" s="865"/>
      <c r="T999" s="865"/>
      <c r="U999" s="865"/>
    </row>
    <row r="1000" hidden="1">
      <c r="B1000" s="390"/>
      <c r="C1000" s="991"/>
      <c r="D1000" s="865"/>
      <c r="E1000" s="865"/>
      <c r="F1000" s="865"/>
      <c r="G1000" s="865"/>
      <c r="H1000" s="865"/>
      <c r="I1000" s="865"/>
      <c r="J1000" s="865"/>
      <c r="K1000" s="865"/>
      <c r="L1000" s="865"/>
      <c r="M1000" s="865"/>
      <c r="N1000" s="865"/>
      <c r="O1000" s="865"/>
      <c r="P1000" s="865"/>
      <c r="Q1000" s="865"/>
      <c r="R1000" s="865"/>
      <c r="S1000" s="865"/>
      <c r="T1000" s="865"/>
      <c r="U1000" s="865"/>
    </row>
    <row r="1001" hidden="1">
      <c r="B1001" s="390"/>
      <c r="C1001" s="991"/>
      <c r="D1001" s="865"/>
      <c r="E1001" s="865"/>
      <c r="F1001" s="865"/>
      <c r="G1001" s="865"/>
      <c r="H1001" s="865"/>
      <c r="I1001" s="865"/>
      <c r="J1001" s="865"/>
      <c r="K1001" s="865"/>
      <c r="L1001" s="865"/>
      <c r="M1001" s="865"/>
      <c r="N1001" s="865"/>
      <c r="O1001" s="865"/>
      <c r="P1001" s="865"/>
      <c r="Q1001" s="865"/>
      <c r="R1001" s="865"/>
      <c r="S1001" s="865"/>
      <c r="T1001" s="865"/>
      <c r="U1001" s="865"/>
    </row>
    <row r="1002" hidden="1">
      <c r="B1002" s="390"/>
      <c r="C1002" s="991"/>
      <c r="D1002" s="865"/>
      <c r="E1002" s="865"/>
      <c r="F1002" s="865"/>
      <c r="G1002" s="865"/>
      <c r="H1002" s="865"/>
      <c r="I1002" s="865"/>
      <c r="J1002" s="865"/>
      <c r="K1002" s="865"/>
      <c r="L1002" s="865"/>
      <c r="M1002" s="865"/>
      <c r="N1002" s="865"/>
      <c r="O1002" s="865"/>
      <c r="P1002" s="865"/>
      <c r="Q1002" s="865"/>
      <c r="R1002" s="865"/>
      <c r="S1002" s="865"/>
      <c r="T1002" s="865"/>
      <c r="U1002" s="865"/>
    </row>
    <row r="1003" hidden="1">
      <c r="B1003" s="390"/>
      <c r="C1003" s="991"/>
      <c r="D1003" s="865"/>
      <c r="E1003" s="865"/>
      <c r="F1003" s="865"/>
      <c r="G1003" s="865"/>
      <c r="H1003" s="865"/>
      <c r="I1003" s="865"/>
      <c r="J1003" s="865"/>
      <c r="K1003" s="865"/>
      <c r="L1003" s="865"/>
      <c r="M1003" s="865"/>
      <c r="N1003" s="865"/>
      <c r="O1003" s="865"/>
      <c r="P1003" s="865"/>
      <c r="Q1003" s="865"/>
      <c r="R1003" s="865"/>
      <c r="S1003" s="865"/>
      <c r="T1003" s="865"/>
      <c r="U1003" s="865"/>
    </row>
    <row r="1004" hidden="1">
      <c r="B1004" s="390"/>
      <c r="C1004" s="991"/>
      <c r="D1004" s="865"/>
      <c r="E1004" s="865"/>
      <c r="F1004" s="865"/>
      <c r="G1004" s="865"/>
      <c r="H1004" s="865"/>
      <c r="I1004" s="865"/>
      <c r="J1004" s="865"/>
      <c r="K1004" s="865"/>
      <c r="L1004" s="865"/>
      <c r="M1004" s="865"/>
      <c r="N1004" s="865"/>
      <c r="O1004" s="865"/>
      <c r="P1004" s="865"/>
      <c r="Q1004" s="865"/>
      <c r="R1004" s="865"/>
      <c r="S1004" s="865"/>
      <c r="T1004" s="865"/>
      <c r="U1004" s="865"/>
    </row>
    <row r="1005" hidden="1">
      <c r="B1005" s="390"/>
      <c r="C1005" s="991"/>
      <c r="D1005" s="865"/>
      <c r="E1005" s="865"/>
      <c r="F1005" s="865"/>
      <c r="G1005" s="865"/>
      <c r="H1005" s="865"/>
      <c r="I1005" s="865"/>
      <c r="J1005" s="865"/>
      <c r="K1005" s="865"/>
      <c r="L1005" s="865"/>
      <c r="M1005" s="865"/>
      <c r="N1005" s="865"/>
      <c r="O1005" s="865"/>
      <c r="P1005" s="865"/>
      <c r="Q1005" s="865"/>
      <c r="R1005" s="865"/>
      <c r="S1005" s="865"/>
      <c r="T1005" s="865"/>
      <c r="U1005" s="865"/>
    </row>
    <row r="1006" hidden="1">
      <c r="B1006" s="390"/>
      <c r="C1006" s="991"/>
      <c r="D1006" s="865"/>
      <c r="E1006" s="865"/>
      <c r="F1006" s="865"/>
      <c r="G1006" s="865"/>
      <c r="H1006" s="865"/>
      <c r="I1006" s="865"/>
      <c r="J1006" s="865"/>
      <c r="K1006" s="865"/>
      <c r="L1006" s="865"/>
      <c r="M1006" s="865"/>
      <c r="N1006" s="865"/>
      <c r="O1006" s="865"/>
      <c r="P1006" s="865"/>
      <c r="Q1006" s="865"/>
      <c r="R1006" s="865"/>
      <c r="S1006" s="865"/>
      <c r="T1006" s="865"/>
      <c r="U1006" s="865"/>
    </row>
    <row r="1007" hidden="1">
      <c r="B1007" s="390"/>
      <c r="C1007" s="991"/>
      <c r="D1007" s="865"/>
      <c r="E1007" s="865"/>
      <c r="F1007" s="865"/>
      <c r="G1007" s="865"/>
      <c r="H1007" s="865"/>
      <c r="I1007" s="865"/>
      <c r="J1007" s="865"/>
      <c r="K1007" s="865"/>
      <c r="L1007" s="865"/>
      <c r="M1007" s="865"/>
      <c r="N1007" s="865"/>
      <c r="O1007" s="865"/>
      <c r="P1007" s="865"/>
      <c r="Q1007" s="865"/>
      <c r="R1007" s="865"/>
      <c r="S1007" s="865"/>
      <c r="T1007" s="865"/>
      <c r="U1007" s="865"/>
    </row>
    <row r="1008" hidden="1">
      <c r="B1008" s="390"/>
      <c r="C1008" s="991"/>
      <c r="D1008" s="865"/>
      <c r="E1008" s="865"/>
      <c r="F1008" s="865"/>
      <c r="G1008" s="865"/>
      <c r="H1008" s="865"/>
      <c r="I1008" s="865"/>
      <c r="J1008" s="865"/>
      <c r="K1008" s="865"/>
      <c r="L1008" s="865"/>
      <c r="M1008" s="865"/>
      <c r="N1008" s="865"/>
      <c r="O1008" s="865"/>
      <c r="P1008" s="865"/>
      <c r="Q1008" s="865"/>
      <c r="R1008" s="865"/>
      <c r="S1008" s="865"/>
      <c r="T1008" s="865"/>
      <c r="U1008" s="865"/>
    </row>
    <row r="1009" hidden="1">
      <c r="B1009" s="390"/>
      <c r="C1009" s="991"/>
      <c r="D1009" s="865"/>
      <c r="E1009" s="865"/>
      <c r="F1009" s="865"/>
      <c r="G1009" s="865"/>
      <c r="H1009" s="865"/>
      <c r="I1009" s="865"/>
      <c r="J1009" s="865"/>
      <c r="K1009" s="865"/>
      <c r="L1009" s="865"/>
      <c r="M1009" s="865"/>
      <c r="N1009" s="865"/>
      <c r="O1009" s="865"/>
      <c r="P1009" s="865"/>
      <c r="Q1009" s="865"/>
      <c r="R1009" s="865"/>
      <c r="S1009" s="865"/>
      <c r="T1009" s="865"/>
      <c r="U1009" s="865"/>
    </row>
    <row r="1010" hidden="1">
      <c r="B1010" s="390"/>
      <c r="C1010" s="991"/>
      <c r="D1010" s="865"/>
      <c r="E1010" s="865"/>
      <c r="F1010" s="865"/>
      <c r="G1010" s="865"/>
      <c r="H1010" s="865"/>
      <c r="I1010" s="865"/>
      <c r="J1010" s="865"/>
      <c r="K1010" s="865"/>
      <c r="L1010" s="865"/>
      <c r="M1010" s="865"/>
      <c r="N1010" s="865"/>
      <c r="O1010" s="865"/>
      <c r="P1010" s="865"/>
      <c r="Q1010" s="865"/>
      <c r="R1010" s="865"/>
      <c r="S1010" s="865"/>
      <c r="T1010" s="865"/>
      <c r="U1010" s="865"/>
    </row>
    <row r="1011" hidden="1">
      <c r="B1011" s="390"/>
      <c r="C1011" s="991"/>
      <c r="D1011" s="865"/>
      <c r="E1011" s="865"/>
      <c r="F1011" s="865"/>
      <c r="G1011" s="865"/>
      <c r="H1011" s="865"/>
      <c r="I1011" s="865"/>
      <c r="J1011" s="865"/>
      <c r="K1011" s="865"/>
      <c r="L1011" s="865"/>
      <c r="M1011" s="865"/>
      <c r="N1011" s="865"/>
      <c r="O1011" s="865"/>
      <c r="P1011" s="865"/>
      <c r="Q1011" s="865"/>
      <c r="R1011" s="865"/>
      <c r="S1011" s="865"/>
      <c r="T1011" s="865"/>
      <c r="U1011" s="865"/>
    </row>
    <row r="1012" hidden="1">
      <c r="B1012" s="390"/>
      <c r="C1012" s="991"/>
      <c r="D1012" s="865"/>
      <c r="E1012" s="865"/>
      <c r="F1012" s="865"/>
      <c r="G1012" s="865"/>
      <c r="H1012" s="865"/>
      <c r="I1012" s="865"/>
      <c r="J1012" s="865"/>
      <c r="K1012" s="865"/>
      <c r="L1012" s="865"/>
      <c r="M1012" s="865"/>
      <c r="N1012" s="865"/>
      <c r="O1012" s="865"/>
      <c r="P1012" s="865"/>
      <c r="Q1012" s="865"/>
      <c r="R1012" s="865"/>
      <c r="S1012" s="865"/>
      <c r="T1012" s="865"/>
      <c r="U1012" s="865"/>
    </row>
    <row r="1013" hidden="1">
      <c r="B1013" s="390"/>
      <c r="C1013" s="991"/>
      <c r="D1013" s="865"/>
      <c r="E1013" s="865"/>
      <c r="F1013" s="865"/>
      <c r="G1013" s="865"/>
      <c r="H1013" s="865"/>
      <c r="I1013" s="865"/>
      <c r="J1013" s="865"/>
      <c r="K1013" s="865"/>
      <c r="L1013" s="865"/>
      <c r="M1013" s="865"/>
      <c r="N1013" s="865"/>
      <c r="O1013" s="865"/>
      <c r="P1013" s="865"/>
      <c r="Q1013" s="865"/>
      <c r="R1013" s="865"/>
      <c r="S1013" s="865"/>
      <c r="T1013" s="865"/>
      <c r="U1013" s="865"/>
    </row>
    <row r="1014" hidden="1">
      <c r="B1014" s="390"/>
      <c r="C1014" s="991"/>
      <c r="D1014" s="865"/>
      <c r="E1014" s="865"/>
      <c r="F1014" s="865"/>
      <c r="G1014" s="865"/>
      <c r="H1014" s="865"/>
      <c r="I1014" s="865"/>
      <c r="J1014" s="865"/>
      <c r="K1014" s="865"/>
      <c r="L1014" s="865"/>
      <c r="M1014" s="865"/>
      <c r="N1014" s="865"/>
      <c r="O1014" s="865"/>
      <c r="P1014" s="865"/>
      <c r="Q1014" s="865"/>
      <c r="R1014" s="865"/>
      <c r="S1014" s="865"/>
      <c r="T1014" s="865"/>
      <c r="U1014" s="865"/>
    </row>
    <row r="1015" hidden="1">
      <c r="B1015" s="390"/>
      <c r="C1015" s="991"/>
      <c r="D1015" s="865"/>
      <c r="E1015" s="865"/>
      <c r="F1015" s="865"/>
      <c r="G1015" s="865"/>
      <c r="H1015" s="865"/>
      <c r="I1015" s="865"/>
      <c r="J1015" s="865"/>
      <c r="K1015" s="865"/>
      <c r="L1015" s="865"/>
      <c r="M1015" s="865"/>
      <c r="N1015" s="865"/>
      <c r="O1015" s="865"/>
      <c r="P1015" s="865"/>
      <c r="Q1015" s="865"/>
      <c r="R1015" s="865"/>
      <c r="S1015" s="865"/>
      <c r="T1015" s="865"/>
      <c r="U1015" s="865"/>
    </row>
    <row r="1016" hidden="1">
      <c r="B1016" s="390"/>
      <c r="C1016" s="991"/>
      <c r="D1016" s="865"/>
      <c r="E1016" s="865"/>
      <c r="F1016" s="865"/>
      <c r="G1016" s="865"/>
      <c r="H1016" s="865"/>
      <c r="I1016" s="865"/>
      <c r="J1016" s="865"/>
      <c r="K1016" s="865"/>
      <c r="L1016" s="865"/>
      <c r="M1016" s="865"/>
      <c r="N1016" s="865"/>
      <c r="O1016" s="865"/>
      <c r="P1016" s="865"/>
      <c r="Q1016" s="865"/>
      <c r="R1016" s="865"/>
      <c r="S1016" s="865"/>
      <c r="T1016" s="865"/>
      <c r="U1016" s="865"/>
    </row>
    <row r="1017" hidden="1">
      <c r="B1017" s="390"/>
      <c r="C1017" s="991"/>
      <c r="D1017" s="865"/>
      <c r="E1017" s="865"/>
      <c r="F1017" s="865"/>
      <c r="G1017" s="865"/>
      <c r="H1017" s="865"/>
      <c r="I1017" s="865"/>
      <c r="J1017" s="865"/>
      <c r="K1017" s="865"/>
      <c r="L1017" s="865"/>
      <c r="M1017" s="865"/>
      <c r="N1017" s="865"/>
      <c r="O1017" s="865"/>
      <c r="P1017" s="865"/>
      <c r="Q1017" s="865"/>
      <c r="R1017" s="865"/>
      <c r="S1017" s="865"/>
      <c r="T1017" s="865"/>
      <c r="U1017" s="865"/>
    </row>
    <row r="1018" hidden="1">
      <c r="B1018" s="390"/>
      <c r="C1018" s="991"/>
      <c r="D1018" s="865"/>
      <c r="E1018" s="865"/>
      <c r="F1018" s="865"/>
      <c r="G1018" s="865"/>
      <c r="H1018" s="865"/>
      <c r="I1018" s="865"/>
      <c r="J1018" s="865"/>
      <c r="K1018" s="865"/>
      <c r="L1018" s="865"/>
      <c r="M1018" s="865"/>
      <c r="N1018" s="865"/>
      <c r="O1018" s="865"/>
      <c r="P1018" s="865"/>
      <c r="Q1018" s="865"/>
      <c r="R1018" s="865"/>
      <c r="S1018" s="865"/>
      <c r="T1018" s="865"/>
      <c r="U1018" s="865"/>
    </row>
    <row r="1019" hidden="1">
      <c r="B1019" s="390"/>
      <c r="C1019" s="991"/>
      <c r="D1019" s="865"/>
      <c r="E1019" s="865"/>
      <c r="F1019" s="865"/>
      <c r="G1019" s="865"/>
      <c r="H1019" s="865"/>
      <c r="I1019" s="865"/>
      <c r="J1019" s="865"/>
      <c r="K1019" s="865"/>
      <c r="L1019" s="865"/>
      <c r="M1019" s="865"/>
      <c r="N1019" s="865"/>
      <c r="O1019" s="865"/>
      <c r="P1019" s="865"/>
      <c r="Q1019" s="865"/>
      <c r="R1019" s="865"/>
      <c r="S1019" s="865"/>
      <c r="T1019" s="865"/>
      <c r="U1019" s="865"/>
    </row>
    <row r="1020" hidden="1">
      <c r="B1020" s="390"/>
      <c r="C1020" s="991"/>
      <c r="D1020" s="865"/>
      <c r="E1020" s="865"/>
      <c r="F1020" s="865"/>
      <c r="G1020" s="865"/>
      <c r="H1020" s="865"/>
      <c r="I1020" s="865"/>
      <c r="J1020" s="865"/>
      <c r="K1020" s="865"/>
      <c r="L1020" s="865"/>
      <c r="M1020" s="865"/>
      <c r="N1020" s="865"/>
      <c r="O1020" s="865"/>
      <c r="P1020" s="865"/>
      <c r="Q1020" s="865"/>
      <c r="R1020" s="865"/>
      <c r="S1020" s="865"/>
      <c r="T1020" s="865"/>
      <c r="U1020" s="865"/>
    </row>
    <row r="1021" hidden="1">
      <c r="B1021" s="390"/>
      <c r="C1021" s="991"/>
      <c r="D1021" s="865"/>
      <c r="E1021" s="865"/>
      <c r="F1021" s="865"/>
      <c r="G1021" s="865"/>
      <c r="H1021" s="865"/>
      <c r="I1021" s="865"/>
      <c r="J1021" s="865"/>
      <c r="K1021" s="865"/>
      <c r="L1021" s="865"/>
      <c r="M1021" s="865"/>
      <c r="N1021" s="865"/>
      <c r="O1021" s="865"/>
      <c r="P1021" s="865"/>
      <c r="Q1021" s="865"/>
      <c r="R1021" s="865"/>
      <c r="S1021" s="865"/>
      <c r="T1021" s="865"/>
      <c r="U1021" s="865"/>
    </row>
    <row r="1022" hidden="1">
      <c r="B1022" s="390"/>
      <c r="C1022" s="991"/>
      <c r="D1022" s="865"/>
      <c r="E1022" s="865"/>
      <c r="F1022" s="865"/>
      <c r="G1022" s="865"/>
      <c r="H1022" s="865"/>
      <c r="I1022" s="865"/>
      <c r="J1022" s="865"/>
      <c r="K1022" s="865"/>
      <c r="L1022" s="865"/>
      <c r="M1022" s="865"/>
      <c r="N1022" s="865"/>
      <c r="O1022" s="865"/>
      <c r="P1022" s="865"/>
      <c r="Q1022" s="865"/>
      <c r="R1022" s="865"/>
      <c r="S1022" s="865"/>
      <c r="T1022" s="865"/>
      <c r="U1022" s="865"/>
    </row>
    <row r="1023" hidden="1">
      <c r="B1023" s="390"/>
      <c r="C1023" s="991"/>
      <c r="D1023" s="865"/>
      <c r="E1023" s="865"/>
      <c r="F1023" s="865"/>
      <c r="G1023" s="865"/>
      <c r="H1023" s="865"/>
      <c r="I1023" s="865"/>
      <c r="J1023" s="865"/>
      <c r="K1023" s="865"/>
      <c r="L1023" s="865"/>
      <c r="M1023" s="865"/>
      <c r="N1023" s="865"/>
      <c r="O1023" s="865"/>
      <c r="P1023" s="865"/>
      <c r="Q1023" s="865"/>
      <c r="R1023" s="865"/>
      <c r="S1023" s="865"/>
      <c r="T1023" s="865"/>
      <c r="U1023" s="865"/>
    </row>
    <row r="1024" hidden="1">
      <c r="B1024" s="390"/>
      <c r="C1024" s="991"/>
      <c r="D1024" s="865"/>
      <c r="E1024" s="865"/>
      <c r="F1024" s="865"/>
      <c r="G1024" s="865"/>
      <c r="H1024" s="865"/>
      <c r="I1024" s="865"/>
      <c r="J1024" s="865"/>
      <c r="K1024" s="865"/>
      <c r="L1024" s="865"/>
      <c r="M1024" s="865"/>
      <c r="N1024" s="865"/>
      <c r="O1024" s="865"/>
      <c r="P1024" s="865"/>
      <c r="Q1024" s="865"/>
      <c r="R1024" s="865"/>
      <c r="S1024" s="865"/>
      <c r="T1024" s="865"/>
      <c r="U1024" s="865"/>
    </row>
    <row r="1025" hidden="1">
      <c r="B1025" s="390"/>
      <c r="C1025" s="991"/>
      <c r="D1025" s="865"/>
      <c r="E1025" s="865"/>
      <c r="F1025" s="865"/>
      <c r="G1025" s="865"/>
      <c r="H1025" s="865"/>
      <c r="I1025" s="865"/>
      <c r="J1025" s="865"/>
      <c r="K1025" s="865"/>
      <c r="L1025" s="865"/>
      <c r="M1025" s="865"/>
      <c r="N1025" s="865"/>
      <c r="O1025" s="865"/>
      <c r="P1025" s="865"/>
      <c r="Q1025" s="865"/>
      <c r="R1025" s="865"/>
      <c r="S1025" s="865"/>
      <c r="T1025" s="865"/>
      <c r="U1025" s="865"/>
    </row>
    <row r="1026" hidden="1">
      <c r="B1026" s="390"/>
      <c r="C1026" s="991"/>
      <c r="D1026" s="865"/>
      <c r="E1026" s="865"/>
      <c r="F1026" s="865"/>
      <c r="G1026" s="865"/>
      <c r="H1026" s="865"/>
      <c r="I1026" s="865"/>
      <c r="J1026" s="865"/>
      <c r="K1026" s="865"/>
      <c r="L1026" s="865"/>
      <c r="M1026" s="865"/>
      <c r="N1026" s="865"/>
      <c r="O1026" s="865"/>
      <c r="P1026" s="865"/>
      <c r="Q1026" s="865"/>
      <c r="R1026" s="865"/>
      <c r="S1026" s="865"/>
      <c r="T1026" s="865"/>
      <c r="U1026" s="865"/>
    </row>
    <row r="1027" hidden="1">
      <c r="B1027" s="390"/>
      <c r="C1027" s="991"/>
      <c r="D1027" s="865"/>
      <c r="E1027" s="865"/>
      <c r="F1027" s="865"/>
      <c r="G1027" s="865"/>
      <c r="H1027" s="865"/>
      <c r="I1027" s="865"/>
      <c r="J1027" s="865"/>
      <c r="K1027" s="865"/>
      <c r="L1027" s="865"/>
      <c r="M1027" s="865"/>
      <c r="N1027" s="865"/>
      <c r="O1027" s="865"/>
      <c r="P1027" s="865"/>
      <c r="Q1027" s="865"/>
      <c r="R1027" s="865"/>
      <c r="S1027" s="865"/>
      <c r="T1027" s="865"/>
      <c r="U1027" s="865"/>
    </row>
    <row r="1028" hidden="1">
      <c r="B1028" s="390"/>
      <c r="C1028" s="991"/>
      <c r="D1028" s="865"/>
      <c r="E1028" s="865"/>
      <c r="F1028" s="865"/>
      <c r="G1028" s="865"/>
      <c r="H1028" s="865"/>
      <c r="I1028" s="865"/>
      <c r="J1028" s="865"/>
      <c r="K1028" s="865"/>
      <c r="L1028" s="865"/>
      <c r="M1028" s="865"/>
      <c r="N1028" s="865"/>
      <c r="O1028" s="865"/>
      <c r="P1028" s="865"/>
      <c r="Q1028" s="865"/>
      <c r="R1028" s="865"/>
      <c r="S1028" s="865"/>
      <c r="T1028" s="865"/>
      <c r="U1028" s="865"/>
    </row>
    <row r="1029" hidden="1">
      <c r="B1029" s="390"/>
      <c r="C1029" s="991"/>
      <c r="D1029" s="865"/>
      <c r="E1029" s="865"/>
      <c r="F1029" s="865"/>
      <c r="G1029" s="865"/>
      <c r="H1029" s="865"/>
      <c r="I1029" s="865"/>
      <c r="J1029" s="865"/>
      <c r="K1029" s="865"/>
      <c r="L1029" s="865"/>
      <c r="M1029" s="865"/>
      <c r="N1029" s="865"/>
      <c r="O1029" s="865"/>
      <c r="P1029" s="865"/>
      <c r="Q1029" s="865"/>
      <c r="R1029" s="865"/>
      <c r="S1029" s="865"/>
      <c r="T1029" s="865"/>
      <c r="U1029" s="865"/>
    </row>
    <row r="1030" hidden="1">
      <c r="B1030" s="390"/>
      <c r="C1030" s="991"/>
      <c r="D1030" s="865"/>
      <c r="E1030" s="865"/>
      <c r="F1030" s="865"/>
      <c r="G1030" s="865"/>
      <c r="H1030" s="865"/>
      <c r="I1030" s="865"/>
      <c r="J1030" s="865"/>
      <c r="K1030" s="865"/>
      <c r="L1030" s="865"/>
      <c r="M1030" s="865"/>
      <c r="N1030" s="865"/>
      <c r="O1030" s="865"/>
      <c r="P1030" s="865"/>
      <c r="Q1030" s="865"/>
      <c r="R1030" s="865"/>
      <c r="S1030" s="865"/>
      <c r="T1030" s="865"/>
      <c r="U1030" s="865"/>
    </row>
    <row r="1031" hidden="1">
      <c r="B1031" s="390"/>
      <c r="C1031" s="991"/>
      <c r="D1031" s="865"/>
      <c r="E1031" s="865"/>
      <c r="F1031" s="865"/>
      <c r="G1031" s="865"/>
      <c r="H1031" s="865"/>
      <c r="I1031" s="865"/>
      <c r="J1031" s="865"/>
      <c r="K1031" s="865"/>
      <c r="L1031" s="865"/>
      <c r="M1031" s="865"/>
      <c r="N1031" s="865"/>
      <c r="O1031" s="865"/>
      <c r="P1031" s="865"/>
      <c r="Q1031" s="865"/>
      <c r="R1031" s="865"/>
      <c r="S1031" s="865"/>
      <c r="T1031" s="865"/>
      <c r="U1031" s="865"/>
    </row>
    <row r="1032" hidden="1">
      <c r="B1032" s="390"/>
      <c r="C1032" s="991"/>
      <c r="D1032" s="865"/>
      <c r="E1032" s="865"/>
      <c r="F1032" s="865"/>
      <c r="G1032" s="865"/>
      <c r="H1032" s="865"/>
      <c r="I1032" s="865"/>
      <c r="J1032" s="865"/>
      <c r="K1032" s="865"/>
      <c r="L1032" s="865"/>
      <c r="M1032" s="865"/>
      <c r="N1032" s="865"/>
      <c r="O1032" s="865"/>
      <c r="P1032" s="865"/>
      <c r="Q1032" s="865"/>
      <c r="R1032" s="865"/>
      <c r="S1032" s="865"/>
      <c r="T1032" s="865"/>
      <c r="U1032" s="865"/>
    </row>
    <row r="1033" hidden="1">
      <c r="B1033" s="390"/>
      <c r="C1033" s="991"/>
      <c r="D1033" s="865"/>
      <c r="E1033" s="865"/>
      <c r="F1033" s="865"/>
      <c r="G1033" s="865"/>
      <c r="H1033" s="865"/>
      <c r="I1033" s="865"/>
      <c r="J1033" s="865"/>
      <c r="K1033" s="865"/>
      <c r="L1033" s="865"/>
      <c r="M1033" s="865"/>
      <c r="N1033" s="865"/>
      <c r="O1033" s="865"/>
      <c r="P1033" s="865"/>
      <c r="Q1033" s="865"/>
      <c r="R1033" s="865"/>
      <c r="S1033" s="865"/>
      <c r="T1033" s="865"/>
      <c r="U1033" s="865"/>
    </row>
    <row r="1034" hidden="1">
      <c r="B1034" s="390"/>
      <c r="C1034" s="991"/>
      <c r="D1034" s="865"/>
      <c r="E1034" s="865"/>
      <c r="F1034" s="865"/>
      <c r="G1034" s="865"/>
      <c r="H1034" s="865"/>
      <c r="I1034" s="865"/>
      <c r="J1034" s="865"/>
      <c r="K1034" s="865"/>
      <c r="L1034" s="865"/>
      <c r="M1034" s="865"/>
      <c r="N1034" s="865"/>
      <c r="O1034" s="865"/>
      <c r="P1034" s="865"/>
      <c r="Q1034" s="865"/>
      <c r="R1034" s="865"/>
      <c r="S1034" s="865"/>
      <c r="T1034" s="865"/>
      <c r="U1034" s="865"/>
    </row>
    <row r="1035" hidden="1">
      <c r="B1035" s="390"/>
      <c r="C1035" s="991"/>
      <c r="D1035" s="865"/>
      <c r="E1035" s="865"/>
      <c r="F1035" s="865"/>
      <c r="G1035" s="865"/>
      <c r="H1035" s="865"/>
      <c r="I1035" s="865"/>
      <c r="J1035" s="865"/>
      <c r="K1035" s="865"/>
      <c r="L1035" s="865"/>
      <c r="M1035" s="865"/>
      <c r="N1035" s="865"/>
      <c r="O1035" s="865"/>
      <c r="P1035" s="865"/>
      <c r="Q1035" s="865"/>
      <c r="R1035" s="865"/>
      <c r="S1035" s="865"/>
      <c r="T1035" s="865"/>
      <c r="U1035" s="865"/>
    </row>
    <row r="1036" hidden="1">
      <c r="B1036" s="390"/>
      <c r="C1036" s="991"/>
      <c r="D1036" s="865"/>
      <c r="E1036" s="865"/>
      <c r="F1036" s="865"/>
      <c r="G1036" s="865"/>
      <c r="H1036" s="865"/>
      <c r="I1036" s="865"/>
      <c r="J1036" s="865"/>
      <c r="K1036" s="865"/>
      <c r="L1036" s="865"/>
      <c r="M1036" s="865"/>
      <c r="N1036" s="865"/>
      <c r="O1036" s="865"/>
      <c r="P1036" s="865"/>
      <c r="Q1036" s="865"/>
      <c r="R1036" s="865"/>
      <c r="S1036" s="865"/>
      <c r="T1036" s="865"/>
      <c r="U1036" s="865"/>
    </row>
    <row r="1037" hidden="1">
      <c r="B1037" s="390"/>
      <c r="C1037" s="991"/>
      <c r="D1037" s="865"/>
      <c r="E1037" s="865"/>
      <c r="F1037" s="865"/>
      <c r="G1037" s="865"/>
      <c r="H1037" s="865"/>
      <c r="I1037" s="865"/>
      <c r="J1037" s="865"/>
      <c r="K1037" s="865"/>
      <c r="L1037" s="865"/>
      <c r="M1037" s="865"/>
      <c r="N1037" s="865"/>
      <c r="O1037" s="865"/>
      <c r="P1037" s="865"/>
      <c r="Q1037" s="865"/>
      <c r="R1037" s="865"/>
      <c r="S1037" s="865"/>
      <c r="T1037" s="865"/>
      <c r="U1037" s="865"/>
    </row>
    <row r="1038" hidden="1">
      <c r="B1038" s="390"/>
      <c r="C1038" s="991"/>
      <c r="D1038" s="865"/>
      <c r="E1038" s="865"/>
      <c r="F1038" s="865"/>
      <c r="G1038" s="865"/>
      <c r="H1038" s="865"/>
      <c r="I1038" s="865"/>
      <c r="J1038" s="865"/>
      <c r="K1038" s="865"/>
      <c r="L1038" s="865"/>
      <c r="M1038" s="865"/>
      <c r="N1038" s="865"/>
      <c r="O1038" s="865"/>
      <c r="P1038" s="865"/>
      <c r="Q1038" s="865"/>
      <c r="R1038" s="865"/>
      <c r="S1038" s="865"/>
      <c r="T1038" s="865"/>
      <c r="U1038" s="865"/>
    </row>
    <row r="1039" hidden="1">
      <c r="B1039" s="390"/>
      <c r="C1039" s="991"/>
      <c r="D1039" s="865"/>
      <c r="E1039" s="865"/>
      <c r="F1039" s="865"/>
      <c r="G1039" s="865"/>
      <c r="H1039" s="865"/>
      <c r="I1039" s="865"/>
      <c r="J1039" s="865"/>
      <c r="K1039" s="865"/>
      <c r="L1039" s="865"/>
      <c r="M1039" s="865"/>
      <c r="N1039" s="865"/>
      <c r="O1039" s="865"/>
      <c r="P1039" s="865"/>
      <c r="Q1039" s="865"/>
      <c r="R1039" s="865"/>
      <c r="S1039" s="865"/>
      <c r="T1039" s="865"/>
      <c r="U1039" s="865"/>
    </row>
    <row r="1040" hidden="1">
      <c r="B1040" s="390"/>
      <c r="C1040" s="991"/>
      <c r="D1040" s="865"/>
      <c r="E1040" s="865"/>
      <c r="F1040" s="865"/>
      <c r="G1040" s="865"/>
      <c r="H1040" s="865"/>
      <c r="I1040" s="865"/>
      <c r="J1040" s="865"/>
      <c r="K1040" s="865"/>
      <c r="L1040" s="865"/>
      <c r="M1040" s="865"/>
      <c r="N1040" s="865"/>
      <c r="O1040" s="865"/>
      <c r="P1040" s="865"/>
      <c r="Q1040" s="865"/>
      <c r="R1040" s="865"/>
      <c r="S1040" s="865"/>
      <c r="T1040" s="865"/>
      <c r="U1040" s="865"/>
    </row>
    <row r="1041" hidden="1">
      <c r="B1041" s="390"/>
      <c r="C1041" s="991"/>
      <c r="D1041" s="865"/>
      <c r="E1041" s="865"/>
      <c r="F1041" s="865"/>
      <c r="G1041" s="865"/>
      <c r="H1041" s="865"/>
      <c r="I1041" s="865"/>
      <c r="J1041" s="865"/>
      <c r="K1041" s="865"/>
      <c r="L1041" s="865"/>
      <c r="M1041" s="865"/>
      <c r="N1041" s="865"/>
      <c r="O1041" s="865"/>
      <c r="P1041" s="865"/>
      <c r="Q1041" s="865"/>
      <c r="R1041" s="865"/>
      <c r="S1041" s="865"/>
      <c r="T1041" s="865"/>
      <c r="U1041" s="865"/>
    </row>
    <row r="1042" hidden="1">
      <c r="B1042" s="390"/>
      <c r="C1042" s="991"/>
      <c r="D1042" s="865"/>
      <c r="E1042" s="865"/>
      <c r="F1042" s="865"/>
      <c r="G1042" s="865"/>
      <c r="H1042" s="865"/>
      <c r="I1042" s="865"/>
      <c r="J1042" s="865"/>
      <c r="K1042" s="865"/>
      <c r="L1042" s="865"/>
      <c r="M1042" s="865"/>
      <c r="N1042" s="865"/>
      <c r="O1042" s="865"/>
      <c r="P1042" s="865"/>
      <c r="Q1042" s="865"/>
      <c r="R1042" s="865"/>
      <c r="S1042" s="865"/>
      <c r="T1042" s="865"/>
      <c r="U1042" s="865"/>
    </row>
    <row r="1043" hidden="1">
      <c r="B1043" s="390"/>
      <c r="C1043" s="991"/>
      <c r="D1043" s="865"/>
      <c r="E1043" s="865"/>
      <c r="F1043" s="865"/>
      <c r="G1043" s="865"/>
      <c r="H1043" s="865"/>
      <c r="I1043" s="865"/>
      <c r="J1043" s="865"/>
      <c r="K1043" s="865"/>
      <c r="L1043" s="865"/>
      <c r="M1043" s="865"/>
      <c r="N1043" s="865"/>
      <c r="O1043" s="865"/>
      <c r="P1043" s="865"/>
      <c r="Q1043" s="865"/>
      <c r="R1043" s="865"/>
      <c r="S1043" s="865"/>
      <c r="T1043" s="865"/>
      <c r="U1043" s="865"/>
    </row>
    <row r="1044" hidden="1">
      <c r="B1044" s="390"/>
      <c r="C1044" s="991"/>
      <c r="D1044" s="865"/>
      <c r="E1044" s="865"/>
      <c r="F1044" s="865"/>
      <c r="G1044" s="865"/>
      <c r="H1044" s="865"/>
      <c r="I1044" s="865"/>
      <c r="J1044" s="865"/>
      <c r="K1044" s="865"/>
      <c r="L1044" s="865"/>
      <c r="M1044" s="865"/>
      <c r="N1044" s="865"/>
      <c r="O1044" s="865"/>
      <c r="P1044" s="865"/>
      <c r="Q1044" s="865"/>
      <c r="R1044" s="865"/>
      <c r="S1044" s="865"/>
      <c r="T1044" s="865"/>
      <c r="U1044" s="865"/>
    </row>
    <row r="1045" hidden="1">
      <c r="B1045" s="390"/>
      <c r="C1045" s="991"/>
      <c r="D1045" s="865"/>
      <c r="E1045" s="865"/>
      <c r="F1045" s="865"/>
      <c r="G1045" s="865"/>
      <c r="H1045" s="865"/>
      <c r="I1045" s="865"/>
      <c r="J1045" s="865"/>
      <c r="K1045" s="865"/>
      <c r="L1045" s="865"/>
      <c r="M1045" s="865"/>
      <c r="N1045" s="865"/>
      <c r="O1045" s="865"/>
      <c r="P1045" s="865"/>
      <c r="Q1045" s="865"/>
      <c r="R1045" s="865"/>
      <c r="S1045" s="865"/>
      <c r="T1045" s="865"/>
      <c r="U1045" s="865"/>
    </row>
    <row r="1046" hidden="1">
      <c r="B1046" s="390"/>
      <c r="C1046" s="991"/>
      <c r="D1046" s="865"/>
      <c r="E1046" s="865"/>
      <c r="F1046" s="865"/>
      <c r="G1046" s="865"/>
      <c r="H1046" s="865"/>
      <c r="I1046" s="865"/>
      <c r="J1046" s="865"/>
      <c r="K1046" s="865"/>
      <c r="L1046" s="865"/>
      <c r="M1046" s="865"/>
      <c r="N1046" s="865"/>
      <c r="O1046" s="865"/>
      <c r="P1046" s="865"/>
      <c r="Q1046" s="865"/>
      <c r="R1046" s="865"/>
      <c r="S1046" s="865"/>
      <c r="T1046" s="865"/>
      <c r="U1046" s="865"/>
    </row>
    <row r="1047" hidden="1">
      <c r="B1047" s="390"/>
      <c r="C1047" s="991"/>
      <c r="D1047" s="865"/>
      <c r="E1047" s="865"/>
      <c r="F1047" s="865"/>
      <c r="G1047" s="865"/>
      <c r="H1047" s="865"/>
      <c r="I1047" s="865"/>
      <c r="J1047" s="865"/>
      <c r="K1047" s="865"/>
      <c r="L1047" s="865"/>
      <c r="M1047" s="865"/>
      <c r="N1047" s="865"/>
      <c r="O1047" s="865"/>
      <c r="P1047" s="865"/>
      <c r="Q1047" s="865"/>
      <c r="R1047" s="865"/>
      <c r="S1047" s="865"/>
      <c r="T1047" s="865"/>
      <c r="U1047" s="865"/>
    </row>
    <row r="1048" hidden="1">
      <c r="B1048" s="390"/>
      <c r="C1048" s="991"/>
      <c r="D1048" s="865"/>
      <c r="E1048" s="865"/>
      <c r="F1048" s="865"/>
      <c r="G1048" s="865"/>
      <c r="H1048" s="865"/>
      <c r="I1048" s="865"/>
      <c r="J1048" s="865"/>
      <c r="K1048" s="865"/>
      <c r="L1048" s="865"/>
      <c r="M1048" s="865"/>
      <c r="N1048" s="865"/>
      <c r="O1048" s="865"/>
      <c r="P1048" s="865"/>
      <c r="Q1048" s="865"/>
      <c r="R1048" s="865"/>
      <c r="S1048" s="865"/>
      <c r="T1048" s="865"/>
      <c r="U1048" s="865"/>
    </row>
    <row r="1049" hidden="1">
      <c r="B1049" s="390"/>
      <c r="C1049" s="991"/>
      <c r="D1049" s="865"/>
      <c r="E1049" s="865"/>
      <c r="F1049" s="865"/>
      <c r="G1049" s="865"/>
      <c r="H1049" s="865"/>
      <c r="I1049" s="865"/>
      <c r="J1049" s="865"/>
      <c r="K1049" s="865"/>
      <c r="L1049" s="865"/>
      <c r="M1049" s="865"/>
      <c r="N1049" s="865"/>
      <c r="O1049" s="865"/>
      <c r="P1049" s="865"/>
      <c r="Q1049" s="865"/>
      <c r="R1049" s="865"/>
      <c r="S1049" s="865"/>
      <c r="T1049" s="865"/>
      <c r="U1049" s="865"/>
    </row>
    <row r="1050" hidden="1">
      <c r="B1050" s="390"/>
      <c r="C1050" s="991"/>
      <c r="D1050" s="865"/>
      <c r="E1050" s="865"/>
      <c r="F1050" s="865"/>
      <c r="G1050" s="865"/>
      <c r="H1050" s="865"/>
      <c r="I1050" s="865"/>
      <c r="J1050" s="865"/>
      <c r="K1050" s="865"/>
      <c r="L1050" s="865"/>
      <c r="M1050" s="865"/>
      <c r="N1050" s="865"/>
      <c r="O1050" s="865"/>
      <c r="P1050" s="865"/>
      <c r="Q1050" s="865"/>
      <c r="R1050" s="865"/>
      <c r="S1050" s="865"/>
      <c r="T1050" s="865"/>
      <c r="U1050" s="865"/>
    </row>
    <row r="1051" hidden="1">
      <c r="B1051" s="390"/>
      <c r="C1051" s="991"/>
      <c r="D1051" s="865"/>
      <c r="E1051" s="865"/>
      <c r="F1051" s="865"/>
      <c r="G1051" s="865"/>
      <c r="H1051" s="865"/>
      <c r="I1051" s="865"/>
      <c r="J1051" s="865"/>
      <c r="K1051" s="865"/>
      <c r="L1051" s="865"/>
      <c r="M1051" s="865"/>
      <c r="N1051" s="865"/>
      <c r="O1051" s="865"/>
      <c r="P1051" s="865"/>
      <c r="Q1051" s="865"/>
      <c r="R1051" s="865"/>
      <c r="S1051" s="865"/>
      <c r="T1051" s="865"/>
      <c r="U1051" s="865"/>
    </row>
    <row r="1052" hidden="1">
      <c r="B1052" s="390"/>
      <c r="C1052" s="991"/>
      <c r="D1052" s="865"/>
      <c r="E1052" s="865"/>
      <c r="F1052" s="865"/>
      <c r="G1052" s="865"/>
      <c r="H1052" s="865"/>
      <c r="I1052" s="865"/>
      <c r="J1052" s="865"/>
      <c r="K1052" s="865"/>
      <c r="L1052" s="865"/>
      <c r="M1052" s="865"/>
      <c r="N1052" s="865"/>
      <c r="O1052" s="865"/>
      <c r="P1052" s="865"/>
      <c r="Q1052" s="865"/>
      <c r="R1052" s="865"/>
      <c r="S1052" s="865"/>
      <c r="T1052" s="865"/>
      <c r="U1052" s="865"/>
    </row>
    <row r="1053" hidden="1">
      <c r="B1053" s="390"/>
      <c r="C1053" s="991"/>
      <c r="D1053" s="865"/>
      <c r="E1053" s="865"/>
      <c r="F1053" s="865"/>
      <c r="G1053" s="865"/>
      <c r="H1053" s="865"/>
      <c r="I1053" s="865"/>
      <c r="J1053" s="865"/>
      <c r="K1053" s="865"/>
      <c r="L1053" s="865"/>
      <c r="M1053" s="865"/>
      <c r="N1053" s="865"/>
      <c r="O1053" s="865"/>
      <c r="P1053" s="865"/>
      <c r="Q1053" s="865"/>
      <c r="R1053" s="865"/>
      <c r="S1053" s="865"/>
      <c r="T1053" s="865"/>
      <c r="U1053" s="865"/>
    </row>
    <row r="1054" hidden="1">
      <c r="B1054" s="390"/>
      <c r="C1054" s="991"/>
      <c r="D1054" s="865"/>
      <c r="E1054" s="865"/>
      <c r="F1054" s="865"/>
      <c r="G1054" s="865"/>
      <c r="H1054" s="865"/>
      <c r="I1054" s="865"/>
      <c r="J1054" s="865"/>
      <c r="K1054" s="865"/>
      <c r="L1054" s="865"/>
      <c r="M1054" s="865"/>
      <c r="N1054" s="865"/>
      <c r="O1054" s="865"/>
      <c r="P1054" s="865"/>
      <c r="Q1054" s="865"/>
      <c r="R1054" s="865"/>
      <c r="S1054" s="865"/>
      <c r="T1054" s="865"/>
      <c r="U1054" s="865"/>
    </row>
    <row r="1055" hidden="1">
      <c r="B1055" s="390"/>
      <c r="C1055" s="991"/>
      <c r="D1055" s="865"/>
      <c r="E1055" s="865"/>
      <c r="F1055" s="865"/>
      <c r="G1055" s="865"/>
      <c r="H1055" s="865"/>
      <c r="I1055" s="865"/>
      <c r="J1055" s="865"/>
      <c r="K1055" s="865"/>
      <c r="L1055" s="865"/>
      <c r="M1055" s="865"/>
      <c r="N1055" s="865"/>
      <c r="O1055" s="865"/>
      <c r="P1055" s="865"/>
      <c r="Q1055" s="865"/>
      <c r="R1055" s="865"/>
      <c r="S1055" s="865"/>
      <c r="T1055" s="865"/>
      <c r="U1055" s="865"/>
    </row>
    <row r="1056" hidden="1">
      <c r="B1056" s="390"/>
      <c r="C1056" s="991"/>
      <c r="D1056" s="865"/>
      <c r="E1056" s="865"/>
      <c r="F1056" s="865"/>
      <c r="G1056" s="865"/>
      <c r="H1056" s="865"/>
      <c r="I1056" s="865"/>
      <c r="J1056" s="865"/>
      <c r="K1056" s="865"/>
      <c r="L1056" s="865"/>
      <c r="M1056" s="865"/>
      <c r="N1056" s="865"/>
      <c r="O1056" s="865"/>
      <c r="P1056" s="865"/>
      <c r="Q1056" s="865"/>
      <c r="R1056" s="865"/>
      <c r="S1056" s="865"/>
      <c r="T1056" s="865"/>
      <c r="U1056" s="865"/>
    </row>
    <row r="1057" hidden="1">
      <c r="B1057" s="390"/>
      <c r="C1057" s="991"/>
      <c r="D1057" s="865"/>
      <c r="E1057" s="865"/>
      <c r="F1057" s="865"/>
      <c r="G1057" s="865"/>
      <c r="H1057" s="865"/>
      <c r="I1057" s="865"/>
      <c r="J1057" s="865"/>
      <c r="K1057" s="865"/>
      <c r="L1057" s="865"/>
      <c r="M1057" s="865"/>
      <c r="N1057" s="865"/>
      <c r="O1057" s="865"/>
      <c r="P1057" s="865"/>
      <c r="Q1057" s="865"/>
      <c r="R1057" s="865"/>
      <c r="S1057" s="865"/>
      <c r="T1057" s="865"/>
      <c r="U1057" s="865"/>
    </row>
    <row r="1058" hidden="1">
      <c r="B1058" s="390"/>
      <c r="C1058" s="991"/>
      <c r="D1058" s="865"/>
      <c r="E1058" s="865"/>
      <c r="F1058" s="865"/>
      <c r="G1058" s="865"/>
      <c r="H1058" s="865"/>
      <c r="I1058" s="865"/>
      <c r="J1058" s="865"/>
      <c r="K1058" s="865"/>
      <c r="L1058" s="865"/>
      <c r="M1058" s="865"/>
      <c r="N1058" s="865"/>
      <c r="O1058" s="865"/>
      <c r="P1058" s="865"/>
      <c r="Q1058" s="865"/>
      <c r="R1058" s="865"/>
      <c r="S1058" s="865"/>
      <c r="T1058" s="865"/>
      <c r="U1058" s="865"/>
    </row>
    <row r="1059" hidden="1">
      <c r="B1059" s="390"/>
      <c r="C1059" s="991"/>
      <c r="D1059" s="865"/>
      <c r="E1059" s="865"/>
      <c r="F1059" s="865"/>
      <c r="G1059" s="865"/>
      <c r="H1059" s="865"/>
      <c r="I1059" s="865"/>
      <c r="J1059" s="865"/>
      <c r="K1059" s="865"/>
      <c r="L1059" s="865"/>
      <c r="M1059" s="865"/>
      <c r="N1059" s="865"/>
      <c r="O1059" s="865"/>
      <c r="P1059" s="865"/>
      <c r="Q1059" s="865"/>
      <c r="R1059" s="865"/>
      <c r="S1059" s="865"/>
      <c r="T1059" s="865"/>
      <c r="U1059" s="865"/>
    </row>
    <row r="1060" hidden="1">
      <c r="B1060" s="390"/>
      <c r="C1060" s="991"/>
      <c r="D1060" s="865"/>
      <c r="E1060" s="865"/>
      <c r="F1060" s="865"/>
      <c r="G1060" s="865"/>
      <c r="H1060" s="865"/>
      <c r="I1060" s="865"/>
      <c r="J1060" s="865"/>
      <c r="K1060" s="865"/>
      <c r="L1060" s="865"/>
      <c r="M1060" s="865"/>
      <c r="N1060" s="865"/>
      <c r="O1060" s="865"/>
      <c r="P1060" s="865"/>
      <c r="Q1060" s="865"/>
      <c r="R1060" s="865"/>
      <c r="S1060" s="865"/>
      <c r="T1060" s="865"/>
      <c r="U1060" s="865"/>
    </row>
    <row r="1061" hidden="1">
      <c r="B1061" s="390"/>
      <c r="C1061" s="991"/>
      <c r="D1061" s="865"/>
      <c r="E1061" s="865"/>
      <c r="F1061" s="865"/>
      <c r="G1061" s="865"/>
      <c r="H1061" s="865"/>
      <c r="I1061" s="865"/>
      <c r="J1061" s="865"/>
      <c r="K1061" s="865"/>
      <c r="L1061" s="865"/>
      <c r="M1061" s="865"/>
      <c r="N1061" s="865"/>
      <c r="O1061" s="865"/>
      <c r="P1061" s="865"/>
      <c r="Q1061" s="865"/>
      <c r="R1061" s="865"/>
      <c r="S1061" s="865"/>
      <c r="T1061" s="865"/>
      <c r="U1061" s="865"/>
    </row>
    <row r="1062" hidden="1">
      <c r="B1062" s="390"/>
      <c r="C1062" s="991"/>
      <c r="D1062" s="865"/>
      <c r="E1062" s="865"/>
      <c r="F1062" s="865"/>
      <c r="G1062" s="865"/>
      <c r="H1062" s="865"/>
      <c r="I1062" s="865"/>
      <c r="J1062" s="865"/>
      <c r="K1062" s="865"/>
      <c r="L1062" s="865"/>
      <c r="M1062" s="865"/>
      <c r="N1062" s="865"/>
      <c r="O1062" s="865"/>
      <c r="P1062" s="865"/>
      <c r="Q1062" s="865"/>
      <c r="R1062" s="865"/>
      <c r="S1062" s="865"/>
      <c r="T1062" s="865"/>
      <c r="U1062" s="865"/>
    </row>
    <row r="1063" hidden="1">
      <c r="B1063" s="390"/>
      <c r="C1063" s="991"/>
      <c r="D1063" s="865"/>
      <c r="E1063" s="865"/>
      <c r="F1063" s="865"/>
      <c r="G1063" s="865"/>
      <c r="H1063" s="865"/>
      <c r="I1063" s="865"/>
      <c r="J1063" s="865"/>
      <c r="K1063" s="865"/>
      <c r="L1063" s="865"/>
      <c r="M1063" s="865"/>
      <c r="N1063" s="865"/>
      <c r="O1063" s="865"/>
      <c r="P1063" s="865"/>
      <c r="Q1063" s="865"/>
      <c r="R1063" s="865"/>
      <c r="S1063" s="865"/>
      <c r="T1063" s="865"/>
      <c r="U1063" s="865"/>
    </row>
    <row r="1064" hidden="1">
      <c r="B1064" s="390"/>
      <c r="C1064" s="991"/>
      <c r="D1064" s="865"/>
      <c r="E1064" s="865"/>
      <c r="F1064" s="865"/>
      <c r="G1064" s="865"/>
      <c r="H1064" s="865"/>
      <c r="I1064" s="865"/>
      <c r="J1064" s="865"/>
      <c r="K1064" s="865"/>
      <c r="L1064" s="865"/>
      <c r="M1064" s="865"/>
      <c r="N1064" s="865"/>
      <c r="O1064" s="865"/>
      <c r="P1064" s="865"/>
      <c r="Q1064" s="865"/>
      <c r="R1064" s="865"/>
      <c r="S1064" s="865"/>
      <c r="T1064" s="865"/>
      <c r="U1064" s="865"/>
    </row>
    <row r="1065" hidden="1">
      <c r="B1065" s="390"/>
      <c r="C1065" s="991"/>
      <c r="D1065" s="865"/>
      <c r="E1065" s="865"/>
      <c r="F1065" s="865"/>
      <c r="G1065" s="865"/>
      <c r="H1065" s="865"/>
      <c r="I1065" s="865"/>
      <c r="J1065" s="865"/>
      <c r="K1065" s="865"/>
      <c r="L1065" s="865"/>
      <c r="M1065" s="865"/>
      <c r="N1065" s="865"/>
      <c r="O1065" s="865"/>
      <c r="P1065" s="865"/>
      <c r="Q1065" s="865"/>
      <c r="R1065" s="865"/>
      <c r="S1065" s="865"/>
      <c r="T1065" s="865"/>
      <c r="U1065" s="865"/>
    </row>
    <row r="1066" hidden="1">
      <c r="B1066" s="390"/>
      <c r="C1066" s="991"/>
      <c r="D1066" s="865"/>
      <c r="E1066" s="865"/>
      <c r="F1066" s="865"/>
      <c r="G1066" s="865"/>
      <c r="H1066" s="865"/>
      <c r="I1066" s="865"/>
      <c r="J1066" s="865"/>
      <c r="K1066" s="865"/>
      <c r="L1066" s="865"/>
      <c r="M1066" s="865"/>
      <c r="N1066" s="865"/>
      <c r="O1066" s="865"/>
      <c r="P1066" s="865"/>
      <c r="Q1066" s="865"/>
      <c r="R1066" s="865"/>
      <c r="S1066" s="865"/>
      <c r="T1066" s="865"/>
      <c r="U1066" s="865"/>
    </row>
    <row r="1067" hidden="1">
      <c r="B1067" s="390"/>
      <c r="C1067" s="991"/>
      <c r="D1067" s="865"/>
      <c r="E1067" s="865"/>
      <c r="F1067" s="865"/>
      <c r="G1067" s="865"/>
      <c r="H1067" s="865"/>
      <c r="I1067" s="865"/>
      <c r="J1067" s="865"/>
      <c r="K1067" s="865"/>
      <c r="L1067" s="865"/>
      <c r="M1067" s="865"/>
      <c r="N1067" s="865"/>
      <c r="O1067" s="865"/>
      <c r="P1067" s="865"/>
      <c r="Q1067" s="865"/>
      <c r="R1067" s="865"/>
      <c r="S1067" s="865"/>
      <c r="T1067" s="865"/>
      <c r="U1067" s="865"/>
    </row>
    <row r="1068" hidden="1">
      <c r="B1068" s="390"/>
      <c r="C1068" s="991"/>
      <c r="D1068" s="865"/>
      <c r="E1068" s="865"/>
      <c r="F1068" s="865"/>
      <c r="G1068" s="865"/>
      <c r="H1068" s="865"/>
      <c r="I1068" s="865"/>
      <c r="J1068" s="865"/>
      <c r="K1068" s="865"/>
      <c r="L1068" s="865"/>
      <c r="M1068" s="865"/>
      <c r="N1068" s="865"/>
      <c r="O1068" s="865"/>
      <c r="P1068" s="865"/>
      <c r="Q1068" s="865"/>
      <c r="R1068" s="865"/>
      <c r="S1068" s="865"/>
      <c r="T1068" s="865"/>
      <c r="U1068" s="865"/>
    </row>
    <row r="1069" hidden="1">
      <c r="B1069" s="390"/>
      <c r="C1069" s="991"/>
      <c r="D1069" s="865"/>
      <c r="E1069" s="865"/>
      <c r="F1069" s="865"/>
      <c r="G1069" s="865"/>
      <c r="H1069" s="865"/>
      <c r="I1069" s="865"/>
      <c r="J1069" s="865"/>
      <c r="K1069" s="865"/>
      <c r="L1069" s="865"/>
      <c r="M1069" s="865"/>
      <c r="N1069" s="865"/>
      <c r="O1069" s="865"/>
      <c r="P1069" s="865"/>
      <c r="Q1069" s="865"/>
      <c r="R1069" s="865"/>
      <c r="S1069" s="865"/>
      <c r="T1069" s="865"/>
      <c r="U1069" s="865"/>
    </row>
    <row r="1070" hidden="1">
      <c r="B1070" s="390"/>
      <c r="C1070" s="991"/>
      <c r="D1070" s="865"/>
      <c r="E1070" s="865"/>
      <c r="F1070" s="865"/>
      <c r="G1070" s="865"/>
      <c r="H1070" s="865"/>
      <c r="I1070" s="865"/>
      <c r="J1070" s="865"/>
      <c r="K1070" s="865"/>
      <c r="L1070" s="865"/>
      <c r="M1070" s="865"/>
      <c r="N1070" s="865"/>
      <c r="O1070" s="865"/>
      <c r="P1070" s="865"/>
      <c r="Q1070" s="865"/>
      <c r="R1070" s="865"/>
      <c r="S1070" s="865"/>
      <c r="T1070" s="865"/>
      <c r="U1070" s="865"/>
    </row>
    <row r="1071" hidden="1">
      <c r="B1071" s="390"/>
      <c r="C1071" s="991"/>
      <c r="D1071" s="865"/>
      <c r="E1071" s="865"/>
      <c r="F1071" s="865"/>
      <c r="G1071" s="865"/>
      <c r="H1071" s="865"/>
      <c r="I1071" s="865"/>
      <c r="J1071" s="865"/>
      <c r="K1071" s="865"/>
      <c r="L1071" s="865"/>
      <c r="M1071" s="865"/>
      <c r="N1071" s="865"/>
      <c r="O1071" s="865"/>
      <c r="P1071" s="865"/>
      <c r="Q1071" s="865"/>
      <c r="R1071" s="865"/>
      <c r="S1071" s="865"/>
      <c r="T1071" s="865"/>
      <c r="U1071" s="865"/>
    </row>
    <row r="1072" hidden="1">
      <c r="B1072" s="390"/>
      <c r="C1072" s="991"/>
      <c r="D1072" s="865"/>
      <c r="E1072" s="865"/>
      <c r="F1072" s="865"/>
      <c r="G1072" s="865"/>
      <c r="H1072" s="865"/>
      <c r="I1072" s="865"/>
      <c r="J1072" s="865"/>
      <c r="K1072" s="865"/>
      <c r="L1072" s="865"/>
      <c r="M1072" s="865"/>
      <c r="N1072" s="865"/>
      <c r="O1072" s="865"/>
      <c r="P1072" s="865"/>
      <c r="Q1072" s="865"/>
      <c r="R1072" s="865"/>
      <c r="S1072" s="865"/>
      <c r="T1072" s="865"/>
      <c r="U1072" s="865"/>
    </row>
    <row r="1073" hidden="1">
      <c r="B1073" s="390"/>
      <c r="C1073" s="991"/>
      <c r="D1073" s="865"/>
      <c r="E1073" s="865"/>
      <c r="F1073" s="865"/>
      <c r="G1073" s="865"/>
      <c r="H1073" s="865"/>
      <c r="I1073" s="865"/>
      <c r="J1073" s="865"/>
      <c r="K1073" s="865"/>
      <c r="L1073" s="865"/>
      <c r="M1073" s="865"/>
      <c r="N1073" s="865"/>
      <c r="O1073" s="865"/>
      <c r="P1073" s="865"/>
      <c r="Q1073" s="865"/>
      <c r="R1073" s="865"/>
      <c r="S1073" s="865"/>
      <c r="T1073" s="865"/>
      <c r="U1073" s="865"/>
    </row>
    <row r="1074" hidden="1">
      <c r="B1074" s="390"/>
      <c r="C1074" s="991"/>
      <c r="D1074" s="865"/>
      <c r="E1074" s="865"/>
      <c r="F1074" s="865"/>
      <c r="G1074" s="865"/>
      <c r="H1074" s="865"/>
      <c r="I1074" s="865"/>
      <c r="J1074" s="865"/>
      <c r="K1074" s="865"/>
      <c r="L1074" s="865"/>
      <c r="M1074" s="865"/>
      <c r="N1074" s="865"/>
      <c r="O1074" s="865"/>
      <c r="P1074" s="865"/>
      <c r="Q1074" s="865"/>
      <c r="R1074" s="865"/>
      <c r="S1074" s="865"/>
      <c r="T1074" s="865"/>
      <c r="U1074" s="865"/>
    </row>
    <row r="1075" hidden="1">
      <c r="B1075" s="390"/>
      <c r="C1075" s="991"/>
      <c r="D1075" s="865"/>
      <c r="E1075" s="865"/>
      <c r="F1075" s="865"/>
      <c r="G1075" s="865"/>
      <c r="H1075" s="865"/>
      <c r="I1075" s="865"/>
      <c r="J1075" s="865"/>
      <c r="K1075" s="865"/>
      <c r="L1075" s="865"/>
      <c r="M1075" s="865"/>
      <c r="N1075" s="865"/>
      <c r="O1075" s="865"/>
      <c r="P1075" s="865"/>
      <c r="Q1075" s="865"/>
      <c r="R1075" s="865"/>
      <c r="S1075" s="865"/>
      <c r="T1075" s="865"/>
      <c r="U1075" s="865"/>
    </row>
    <row r="1076" hidden="1">
      <c r="B1076" s="390"/>
      <c r="C1076" s="991"/>
      <c r="D1076" s="865"/>
      <c r="E1076" s="865"/>
      <c r="F1076" s="865"/>
      <c r="G1076" s="865"/>
      <c r="H1076" s="865"/>
      <c r="I1076" s="865"/>
      <c r="J1076" s="865"/>
      <c r="K1076" s="865"/>
      <c r="L1076" s="865"/>
      <c r="M1076" s="865"/>
      <c r="N1076" s="865"/>
      <c r="O1076" s="865"/>
      <c r="P1076" s="865"/>
      <c r="Q1076" s="865"/>
      <c r="R1076" s="865"/>
      <c r="S1076" s="865"/>
      <c r="T1076" s="865"/>
      <c r="U1076" s="865"/>
    </row>
    <row r="1077" hidden="1">
      <c r="B1077" s="390"/>
      <c r="C1077" s="991"/>
      <c r="D1077" s="865"/>
      <c r="E1077" s="865"/>
      <c r="F1077" s="865"/>
      <c r="G1077" s="865"/>
      <c r="H1077" s="865"/>
      <c r="I1077" s="865"/>
      <c r="J1077" s="865"/>
      <c r="K1077" s="865"/>
      <c r="L1077" s="865"/>
      <c r="M1077" s="865"/>
      <c r="N1077" s="865"/>
      <c r="O1077" s="865"/>
      <c r="P1077" s="865"/>
      <c r="Q1077" s="865"/>
      <c r="R1077" s="865"/>
      <c r="S1077" s="865"/>
      <c r="T1077" s="865"/>
      <c r="U1077" s="865"/>
    </row>
    <row r="1078" hidden="1">
      <c r="B1078" s="390"/>
      <c r="C1078" s="991"/>
      <c r="D1078" s="865"/>
      <c r="E1078" s="865"/>
      <c r="F1078" s="865"/>
      <c r="G1078" s="865"/>
      <c r="H1078" s="865"/>
      <c r="I1078" s="865"/>
      <c r="J1078" s="865"/>
      <c r="K1078" s="865"/>
      <c r="L1078" s="865"/>
      <c r="M1078" s="865"/>
      <c r="N1078" s="865"/>
      <c r="O1078" s="865"/>
      <c r="P1078" s="865"/>
      <c r="Q1078" s="865"/>
      <c r="R1078" s="865"/>
      <c r="S1078" s="865"/>
      <c r="T1078" s="865"/>
      <c r="U1078" s="865"/>
    </row>
    <row r="1079" hidden="1">
      <c r="B1079" s="390"/>
      <c r="C1079" s="991"/>
      <c r="D1079" s="865"/>
      <c r="E1079" s="865"/>
      <c r="F1079" s="865"/>
      <c r="G1079" s="865"/>
      <c r="H1079" s="865"/>
      <c r="I1079" s="865"/>
      <c r="J1079" s="865"/>
      <c r="K1079" s="865"/>
      <c r="L1079" s="865"/>
      <c r="M1079" s="865"/>
      <c r="N1079" s="865"/>
      <c r="O1079" s="865"/>
      <c r="P1079" s="865"/>
      <c r="Q1079" s="865"/>
      <c r="R1079" s="865"/>
      <c r="S1079" s="865"/>
      <c r="T1079" s="865"/>
      <c r="U1079" s="865"/>
    </row>
    <row r="1080" hidden="1">
      <c r="B1080" s="390"/>
      <c r="C1080" s="991"/>
      <c r="D1080" s="865"/>
      <c r="E1080" s="865"/>
      <c r="F1080" s="865"/>
      <c r="G1080" s="865"/>
      <c r="H1080" s="865"/>
      <c r="I1080" s="865"/>
      <c r="J1080" s="865"/>
      <c r="K1080" s="865"/>
      <c r="L1080" s="865"/>
      <c r="M1080" s="865"/>
      <c r="N1080" s="865"/>
      <c r="O1080" s="865"/>
      <c r="P1080" s="865"/>
      <c r="Q1080" s="865"/>
      <c r="R1080" s="865"/>
      <c r="S1080" s="865"/>
      <c r="T1080" s="865"/>
      <c r="U1080" s="865"/>
    </row>
    <row r="1081" hidden="1">
      <c r="B1081" s="390"/>
      <c r="C1081" s="991"/>
      <c r="D1081" s="865"/>
      <c r="E1081" s="865"/>
      <c r="F1081" s="865"/>
      <c r="G1081" s="865"/>
      <c r="H1081" s="865"/>
      <c r="I1081" s="865"/>
      <c r="J1081" s="865"/>
      <c r="K1081" s="865"/>
      <c r="L1081" s="865"/>
      <c r="M1081" s="865"/>
      <c r="N1081" s="865"/>
      <c r="O1081" s="865"/>
      <c r="P1081" s="865"/>
      <c r="Q1081" s="865"/>
      <c r="R1081" s="865"/>
      <c r="S1081" s="865"/>
      <c r="T1081" s="865"/>
      <c r="U1081" s="865"/>
    </row>
    <row r="1082" hidden="1">
      <c r="B1082" s="390"/>
      <c r="C1082" s="991"/>
      <c r="D1082" s="865"/>
      <c r="E1082" s="865"/>
      <c r="F1082" s="865"/>
      <c r="G1082" s="865"/>
      <c r="H1082" s="865"/>
      <c r="I1082" s="865"/>
      <c r="J1082" s="865"/>
      <c r="K1082" s="865"/>
      <c r="L1082" s="865"/>
      <c r="M1082" s="865"/>
      <c r="N1082" s="865"/>
      <c r="O1082" s="865"/>
      <c r="P1082" s="865"/>
      <c r="Q1082" s="865"/>
      <c r="R1082" s="865"/>
      <c r="S1082" s="865"/>
      <c r="T1082" s="865"/>
      <c r="U1082" s="865"/>
    </row>
    <row r="1083" hidden="1">
      <c r="B1083" s="390"/>
      <c r="C1083" s="991"/>
      <c r="D1083" s="865"/>
      <c r="E1083" s="865"/>
      <c r="F1083" s="865"/>
      <c r="G1083" s="865"/>
      <c r="H1083" s="865"/>
      <c r="I1083" s="865"/>
      <c r="J1083" s="865"/>
      <c r="K1083" s="865"/>
      <c r="L1083" s="865"/>
      <c r="M1083" s="865"/>
      <c r="N1083" s="865"/>
      <c r="O1083" s="865"/>
      <c r="P1083" s="865"/>
      <c r="Q1083" s="865"/>
      <c r="R1083" s="865"/>
      <c r="S1083" s="865"/>
      <c r="T1083" s="865"/>
      <c r="U1083" s="865"/>
    </row>
    <row r="1084" hidden="1">
      <c r="B1084" s="390"/>
      <c r="C1084" s="991"/>
      <c r="D1084" s="865"/>
      <c r="E1084" s="865"/>
      <c r="F1084" s="865"/>
      <c r="G1084" s="865"/>
      <c r="H1084" s="865"/>
      <c r="I1084" s="865"/>
      <c r="J1084" s="865"/>
      <c r="K1084" s="865"/>
      <c r="L1084" s="865"/>
      <c r="M1084" s="865"/>
      <c r="N1084" s="865"/>
      <c r="O1084" s="865"/>
      <c r="P1084" s="865"/>
      <c r="Q1084" s="865"/>
      <c r="R1084" s="865"/>
      <c r="S1084" s="865"/>
      <c r="T1084" s="865"/>
      <c r="U1084" s="865"/>
    </row>
    <row r="1085" hidden="1">
      <c r="B1085" s="390"/>
      <c r="C1085" s="991"/>
      <c r="D1085" s="865"/>
      <c r="E1085" s="865"/>
      <c r="F1085" s="865"/>
      <c r="G1085" s="865"/>
      <c r="H1085" s="865"/>
      <c r="I1085" s="865"/>
      <c r="J1085" s="865"/>
      <c r="K1085" s="865"/>
      <c r="L1085" s="865"/>
      <c r="M1085" s="865"/>
      <c r="N1085" s="865"/>
      <c r="O1085" s="865"/>
      <c r="P1085" s="865"/>
      <c r="Q1085" s="865"/>
      <c r="R1085" s="865"/>
      <c r="S1085" s="865"/>
      <c r="T1085" s="865"/>
      <c r="U1085" s="865"/>
    </row>
    <row r="1086" hidden="1">
      <c r="B1086" s="390"/>
      <c r="C1086" s="991"/>
      <c r="D1086" s="865"/>
      <c r="E1086" s="865"/>
      <c r="F1086" s="865"/>
      <c r="G1086" s="865"/>
      <c r="H1086" s="865"/>
      <c r="I1086" s="865"/>
      <c r="J1086" s="865"/>
      <c r="K1086" s="865"/>
      <c r="L1086" s="865"/>
      <c r="M1086" s="865"/>
      <c r="N1086" s="865"/>
      <c r="O1086" s="865"/>
      <c r="P1086" s="865"/>
      <c r="Q1086" s="865"/>
      <c r="R1086" s="865"/>
      <c r="S1086" s="865"/>
      <c r="T1086" s="865"/>
      <c r="U1086" s="865"/>
    </row>
    <row r="1087" hidden="1">
      <c r="B1087" s="390"/>
      <c r="C1087" s="991"/>
      <c r="D1087" s="865"/>
      <c r="E1087" s="865"/>
      <c r="F1087" s="865"/>
      <c r="G1087" s="865"/>
      <c r="H1087" s="865"/>
      <c r="I1087" s="865"/>
      <c r="J1087" s="865"/>
      <c r="K1087" s="865"/>
      <c r="L1087" s="865"/>
      <c r="M1087" s="865"/>
      <c r="N1087" s="865"/>
      <c r="O1087" s="865"/>
      <c r="P1087" s="865"/>
      <c r="Q1087" s="865"/>
      <c r="R1087" s="865"/>
      <c r="S1087" s="865"/>
      <c r="T1087" s="865"/>
      <c r="U1087" s="865"/>
    </row>
    <row r="1088" hidden="1">
      <c r="B1088" s="390"/>
      <c r="C1088" s="991"/>
      <c r="D1088" s="865"/>
      <c r="E1088" s="865"/>
      <c r="F1088" s="865"/>
      <c r="G1088" s="865"/>
      <c r="H1088" s="865"/>
      <c r="I1088" s="865"/>
      <c r="J1088" s="865"/>
      <c r="K1088" s="865"/>
      <c r="L1088" s="865"/>
      <c r="M1088" s="865"/>
      <c r="N1088" s="865"/>
      <c r="O1088" s="865"/>
      <c r="P1088" s="865"/>
      <c r="Q1088" s="865"/>
      <c r="R1088" s="865"/>
      <c r="S1088" s="865"/>
      <c r="T1088" s="865"/>
      <c r="U1088" s="865"/>
    </row>
    <row r="1089" hidden="1">
      <c r="B1089" s="390"/>
      <c r="C1089" s="991"/>
      <c r="D1089" s="865"/>
      <c r="E1089" s="865"/>
      <c r="F1089" s="865"/>
      <c r="G1089" s="865"/>
      <c r="H1089" s="865"/>
      <c r="I1089" s="865"/>
      <c r="J1089" s="865"/>
      <c r="K1089" s="865"/>
      <c r="L1089" s="865"/>
      <c r="M1089" s="865"/>
      <c r="N1089" s="865"/>
      <c r="O1089" s="865"/>
      <c r="P1089" s="865"/>
      <c r="Q1089" s="865"/>
      <c r="R1089" s="865"/>
      <c r="S1089" s="865"/>
      <c r="T1089" s="865"/>
      <c r="U1089" s="865"/>
    </row>
    <row r="1090" hidden="1">
      <c r="B1090" s="390"/>
      <c r="C1090" s="991"/>
      <c r="D1090" s="865"/>
      <c r="E1090" s="865"/>
      <c r="F1090" s="865"/>
      <c r="G1090" s="865"/>
      <c r="H1090" s="865"/>
      <c r="I1090" s="865"/>
      <c r="J1090" s="865"/>
      <c r="K1090" s="865"/>
      <c r="L1090" s="865"/>
      <c r="M1090" s="865"/>
      <c r="N1090" s="865"/>
      <c r="O1090" s="865"/>
      <c r="P1090" s="865"/>
      <c r="Q1090" s="865"/>
      <c r="R1090" s="865"/>
      <c r="S1090" s="865"/>
      <c r="T1090" s="865"/>
      <c r="U1090" s="865"/>
    </row>
    <row r="1091" hidden="1">
      <c r="B1091" s="390"/>
      <c r="C1091" s="991"/>
      <c r="D1091" s="865"/>
      <c r="E1091" s="865"/>
      <c r="F1091" s="865"/>
      <c r="G1091" s="865"/>
      <c r="H1091" s="865"/>
      <c r="I1091" s="865"/>
      <c r="J1091" s="865"/>
      <c r="K1091" s="865"/>
      <c r="L1091" s="865"/>
      <c r="M1091" s="865"/>
      <c r="N1091" s="865"/>
      <c r="O1091" s="865"/>
      <c r="P1091" s="865"/>
      <c r="Q1091" s="865"/>
      <c r="R1091" s="865"/>
      <c r="S1091" s="865"/>
      <c r="T1091" s="865"/>
      <c r="U1091" s="865"/>
    </row>
    <row r="1092" hidden="1">
      <c r="B1092" s="390"/>
      <c r="C1092" s="991"/>
      <c r="D1092" s="865"/>
      <c r="E1092" s="865"/>
      <c r="F1092" s="865"/>
      <c r="G1092" s="865"/>
      <c r="H1092" s="865"/>
      <c r="I1092" s="865"/>
      <c r="J1092" s="865"/>
      <c r="K1092" s="865"/>
      <c r="L1092" s="865"/>
      <c r="M1092" s="865"/>
      <c r="N1092" s="865"/>
      <c r="O1092" s="865"/>
      <c r="P1092" s="865"/>
      <c r="Q1092" s="865"/>
      <c r="R1092" s="865"/>
      <c r="S1092" s="865"/>
      <c r="T1092" s="865"/>
      <c r="U1092" s="865"/>
    </row>
    <row r="1093" hidden="1">
      <c r="B1093" s="390"/>
      <c r="C1093" s="991"/>
      <c r="D1093" s="865"/>
      <c r="E1093" s="865"/>
      <c r="F1093" s="865"/>
      <c r="G1093" s="865"/>
      <c r="H1093" s="865"/>
      <c r="I1093" s="865"/>
      <c r="J1093" s="865"/>
      <c r="K1093" s="865"/>
      <c r="L1093" s="865"/>
      <c r="M1093" s="865"/>
      <c r="N1093" s="865"/>
      <c r="O1093" s="865"/>
      <c r="P1093" s="865"/>
      <c r="Q1093" s="865"/>
      <c r="R1093" s="865"/>
      <c r="S1093" s="865"/>
      <c r="T1093" s="865"/>
      <c r="U1093" s="865"/>
    </row>
    <row r="1094" hidden="1">
      <c r="B1094" s="390"/>
      <c r="C1094" s="991"/>
      <c r="D1094" s="865"/>
      <c r="E1094" s="865"/>
      <c r="F1094" s="865"/>
      <c r="G1094" s="865"/>
      <c r="H1094" s="865"/>
      <c r="I1094" s="865"/>
      <c r="J1094" s="865"/>
      <c r="K1094" s="865"/>
      <c r="L1094" s="865"/>
      <c r="M1094" s="865"/>
      <c r="N1094" s="865"/>
      <c r="O1094" s="865"/>
      <c r="P1094" s="865"/>
      <c r="Q1094" s="865"/>
      <c r="R1094" s="865"/>
      <c r="S1094" s="865"/>
      <c r="T1094" s="865"/>
      <c r="U1094" s="865"/>
    </row>
    <row r="1095" hidden="1">
      <c r="B1095" s="390"/>
      <c r="C1095" s="991"/>
      <c r="D1095" s="865"/>
      <c r="E1095" s="865"/>
      <c r="F1095" s="865"/>
      <c r="G1095" s="865"/>
      <c r="H1095" s="865"/>
      <c r="I1095" s="865"/>
      <c r="J1095" s="865"/>
      <c r="K1095" s="865"/>
      <c r="L1095" s="865"/>
      <c r="M1095" s="865"/>
      <c r="N1095" s="865"/>
      <c r="O1095" s="865"/>
      <c r="P1095" s="865"/>
      <c r="Q1095" s="865"/>
      <c r="R1095" s="865"/>
      <c r="S1095" s="865"/>
      <c r="T1095" s="865"/>
      <c r="U1095" s="865"/>
    </row>
    <row r="1096" hidden="1">
      <c r="B1096" s="390"/>
      <c r="C1096" s="991"/>
      <c r="D1096" s="865"/>
      <c r="E1096" s="865"/>
      <c r="F1096" s="865"/>
      <c r="G1096" s="865"/>
      <c r="H1096" s="865"/>
      <c r="I1096" s="865"/>
      <c r="J1096" s="865"/>
      <c r="K1096" s="865"/>
      <c r="L1096" s="865"/>
      <c r="M1096" s="865"/>
      <c r="N1096" s="865"/>
      <c r="O1096" s="865"/>
      <c r="P1096" s="865"/>
      <c r="Q1096" s="865"/>
      <c r="R1096" s="865"/>
      <c r="S1096" s="865"/>
      <c r="T1096" s="865"/>
      <c r="U1096" s="865"/>
    </row>
    <row r="1097" hidden="1">
      <c r="B1097" s="390"/>
      <c r="C1097" s="991"/>
      <c r="D1097" s="865"/>
      <c r="E1097" s="865"/>
      <c r="F1097" s="865"/>
      <c r="G1097" s="865"/>
      <c r="H1097" s="865"/>
      <c r="I1097" s="865"/>
      <c r="J1097" s="865"/>
      <c r="K1097" s="865"/>
      <c r="L1097" s="865"/>
      <c r="M1097" s="865"/>
      <c r="N1097" s="865"/>
      <c r="O1097" s="865"/>
      <c r="P1097" s="865"/>
      <c r="Q1097" s="865"/>
      <c r="R1097" s="865"/>
      <c r="S1097" s="865"/>
      <c r="T1097" s="865"/>
      <c r="U1097" s="865"/>
    </row>
    <row r="1098" hidden="1">
      <c r="B1098" s="390"/>
      <c r="C1098" s="991"/>
      <c r="D1098" s="865"/>
      <c r="E1098" s="865"/>
      <c r="F1098" s="865"/>
      <c r="G1098" s="865"/>
      <c r="H1098" s="865"/>
      <c r="I1098" s="865"/>
      <c r="J1098" s="865"/>
      <c r="K1098" s="865"/>
      <c r="L1098" s="865"/>
      <c r="M1098" s="865"/>
      <c r="N1098" s="865"/>
      <c r="O1098" s="865"/>
      <c r="P1098" s="865"/>
      <c r="Q1098" s="865"/>
      <c r="R1098" s="865"/>
      <c r="S1098" s="865"/>
      <c r="T1098" s="865"/>
      <c r="U1098" s="865"/>
    </row>
    <row r="1099" hidden="1">
      <c r="B1099" s="390"/>
      <c r="C1099" s="991"/>
      <c r="D1099" s="865"/>
      <c r="E1099" s="865"/>
      <c r="F1099" s="865"/>
      <c r="G1099" s="865"/>
      <c r="H1099" s="865"/>
      <c r="I1099" s="865"/>
      <c r="J1099" s="865"/>
      <c r="K1099" s="865"/>
      <c r="L1099" s="865"/>
      <c r="M1099" s="865"/>
      <c r="N1099" s="865"/>
      <c r="O1099" s="865"/>
      <c r="P1099" s="865"/>
      <c r="Q1099" s="865"/>
      <c r="R1099" s="865"/>
      <c r="S1099" s="865"/>
      <c r="T1099" s="865"/>
      <c r="U1099" s="865"/>
    </row>
    <row r="1100" hidden="1">
      <c r="B1100" s="390"/>
      <c r="C1100" s="991"/>
      <c r="D1100" s="865"/>
      <c r="E1100" s="865"/>
      <c r="F1100" s="865"/>
      <c r="G1100" s="865"/>
      <c r="H1100" s="865"/>
      <c r="I1100" s="865"/>
      <c r="J1100" s="865"/>
      <c r="K1100" s="865"/>
      <c r="L1100" s="865"/>
      <c r="M1100" s="865"/>
      <c r="N1100" s="865"/>
      <c r="O1100" s="865"/>
      <c r="P1100" s="865"/>
      <c r="Q1100" s="865"/>
      <c r="R1100" s="865"/>
      <c r="S1100" s="865"/>
      <c r="T1100" s="865"/>
      <c r="U1100" s="865"/>
    </row>
    <row r="1101" hidden="1">
      <c r="B1101" s="390"/>
      <c r="C1101" s="991"/>
      <c r="D1101" s="865"/>
      <c r="E1101" s="865"/>
      <c r="F1101" s="865"/>
      <c r="G1101" s="865"/>
      <c r="H1101" s="865"/>
      <c r="I1101" s="865"/>
      <c r="J1101" s="865"/>
      <c r="K1101" s="865"/>
      <c r="L1101" s="865"/>
      <c r="M1101" s="865"/>
      <c r="N1101" s="865"/>
      <c r="O1101" s="865"/>
      <c r="P1101" s="865"/>
      <c r="Q1101" s="865"/>
      <c r="R1101" s="865"/>
      <c r="S1101" s="865"/>
      <c r="T1101" s="865"/>
      <c r="U1101" s="865"/>
    </row>
    <row r="1102" hidden="1">
      <c r="B1102" s="390"/>
      <c r="C1102" s="991"/>
      <c r="D1102" s="865"/>
      <c r="E1102" s="865"/>
      <c r="F1102" s="865"/>
      <c r="G1102" s="865"/>
      <c r="H1102" s="865"/>
      <c r="I1102" s="865"/>
      <c r="J1102" s="865"/>
      <c r="K1102" s="865"/>
      <c r="L1102" s="865"/>
      <c r="M1102" s="865"/>
      <c r="N1102" s="865"/>
      <c r="O1102" s="865"/>
      <c r="P1102" s="865"/>
      <c r="Q1102" s="865"/>
      <c r="R1102" s="865"/>
      <c r="S1102" s="865"/>
      <c r="T1102" s="865"/>
      <c r="U1102" s="865"/>
    </row>
    <row r="1103" hidden="1">
      <c r="B1103" s="390"/>
      <c r="C1103" s="991"/>
      <c r="D1103" s="865"/>
      <c r="E1103" s="865"/>
      <c r="F1103" s="865"/>
      <c r="G1103" s="865"/>
      <c r="H1103" s="865"/>
      <c r="I1103" s="865"/>
      <c r="J1103" s="865"/>
      <c r="K1103" s="865"/>
      <c r="L1103" s="865"/>
      <c r="M1103" s="865"/>
      <c r="N1103" s="865"/>
      <c r="O1103" s="865"/>
      <c r="P1103" s="865"/>
      <c r="Q1103" s="865"/>
      <c r="R1103" s="865"/>
      <c r="S1103" s="865"/>
      <c r="T1103" s="865"/>
      <c r="U1103" s="865"/>
    </row>
    <row r="1104" hidden="1">
      <c r="B1104" s="390"/>
      <c r="C1104" s="991"/>
      <c r="D1104" s="865"/>
      <c r="E1104" s="865"/>
      <c r="F1104" s="865"/>
      <c r="G1104" s="865"/>
      <c r="H1104" s="865"/>
      <c r="I1104" s="865"/>
      <c r="J1104" s="865"/>
      <c r="K1104" s="865"/>
      <c r="L1104" s="865"/>
      <c r="M1104" s="865"/>
      <c r="N1104" s="865"/>
      <c r="O1104" s="865"/>
      <c r="P1104" s="865"/>
      <c r="Q1104" s="865"/>
      <c r="R1104" s="865"/>
      <c r="S1104" s="865"/>
      <c r="T1104" s="865"/>
      <c r="U1104" s="865"/>
    </row>
    <row r="1105" hidden="1">
      <c r="B1105" s="390"/>
      <c r="C1105" s="991"/>
      <c r="D1105" s="865"/>
      <c r="E1105" s="865"/>
      <c r="F1105" s="865"/>
      <c r="G1105" s="865"/>
      <c r="H1105" s="865"/>
      <c r="I1105" s="865"/>
      <c r="J1105" s="865"/>
      <c r="K1105" s="865"/>
      <c r="L1105" s="865"/>
      <c r="M1105" s="865"/>
      <c r="N1105" s="865"/>
      <c r="O1105" s="865"/>
      <c r="P1105" s="865"/>
      <c r="Q1105" s="865"/>
      <c r="R1105" s="865"/>
      <c r="S1105" s="865"/>
      <c r="T1105" s="865"/>
      <c r="U1105" s="865"/>
    </row>
    <row r="1106" hidden="1">
      <c r="B1106" s="390"/>
      <c r="C1106" s="991"/>
      <c r="D1106" s="865"/>
      <c r="E1106" s="865"/>
      <c r="F1106" s="865"/>
      <c r="G1106" s="865"/>
      <c r="H1106" s="865"/>
      <c r="I1106" s="865"/>
      <c r="J1106" s="865"/>
      <c r="K1106" s="865"/>
      <c r="L1106" s="865"/>
      <c r="M1106" s="865"/>
      <c r="N1106" s="865"/>
      <c r="O1106" s="865"/>
      <c r="P1106" s="865"/>
      <c r="Q1106" s="865"/>
      <c r="R1106" s="865"/>
      <c r="S1106" s="865"/>
      <c r="T1106" s="865"/>
      <c r="U1106" s="865"/>
    </row>
    <row r="1107" hidden="1">
      <c r="B1107" s="390"/>
      <c r="C1107" s="991"/>
      <c r="D1107" s="865"/>
      <c r="E1107" s="865"/>
      <c r="F1107" s="865"/>
      <c r="G1107" s="865"/>
      <c r="H1107" s="865"/>
      <c r="I1107" s="865"/>
      <c r="J1107" s="865"/>
      <c r="K1107" s="865"/>
      <c r="L1107" s="865"/>
      <c r="M1107" s="865"/>
      <c r="N1107" s="865"/>
      <c r="O1107" s="865"/>
      <c r="P1107" s="865"/>
      <c r="Q1107" s="865"/>
      <c r="R1107" s="865"/>
      <c r="S1107" s="865"/>
      <c r="T1107" s="865"/>
      <c r="U1107" s="865"/>
    </row>
    <row r="1108" hidden="1">
      <c r="B1108" s="390"/>
      <c r="C1108" s="991"/>
      <c r="D1108" s="865"/>
      <c r="E1108" s="865"/>
      <c r="F1108" s="865"/>
      <c r="G1108" s="865"/>
      <c r="H1108" s="865"/>
      <c r="I1108" s="865"/>
      <c r="J1108" s="865"/>
      <c r="K1108" s="865"/>
      <c r="L1108" s="865"/>
      <c r="M1108" s="865"/>
      <c r="N1108" s="865"/>
      <c r="O1108" s="865"/>
      <c r="P1108" s="865"/>
      <c r="Q1108" s="865"/>
      <c r="R1108" s="865"/>
      <c r="S1108" s="865"/>
      <c r="T1108" s="865"/>
      <c r="U1108" s="865"/>
    </row>
    <row r="1109" hidden="1">
      <c r="B1109" s="390"/>
      <c r="C1109" s="991"/>
      <c r="D1109" s="865"/>
      <c r="E1109" s="865"/>
      <c r="F1109" s="865"/>
      <c r="G1109" s="865"/>
      <c r="H1109" s="865"/>
      <c r="I1109" s="865"/>
      <c r="J1109" s="865"/>
      <c r="K1109" s="865"/>
      <c r="L1109" s="865"/>
      <c r="M1109" s="865"/>
      <c r="N1109" s="865"/>
      <c r="O1109" s="865"/>
      <c r="P1109" s="865"/>
      <c r="Q1109" s="865"/>
      <c r="R1109" s="865"/>
      <c r="S1109" s="865"/>
      <c r="T1109" s="865"/>
      <c r="U1109" s="865"/>
    </row>
    <row r="1110" hidden="1">
      <c r="B1110" s="390"/>
      <c r="C1110" s="991"/>
      <c r="D1110" s="865"/>
      <c r="E1110" s="865"/>
      <c r="F1110" s="865"/>
      <c r="G1110" s="865"/>
      <c r="H1110" s="865"/>
      <c r="I1110" s="865"/>
      <c r="J1110" s="865"/>
      <c r="K1110" s="865"/>
      <c r="L1110" s="865"/>
      <c r="M1110" s="865"/>
      <c r="N1110" s="865"/>
      <c r="O1110" s="865"/>
      <c r="P1110" s="865"/>
      <c r="Q1110" s="865"/>
      <c r="R1110" s="865"/>
      <c r="S1110" s="865"/>
      <c r="T1110" s="865"/>
      <c r="U1110" s="865"/>
    </row>
    <row r="1111" hidden="1">
      <c r="B1111" s="390"/>
      <c r="C1111" s="991"/>
      <c r="D1111" s="865"/>
      <c r="E1111" s="865"/>
      <c r="F1111" s="865"/>
      <c r="G1111" s="865"/>
      <c r="H1111" s="865"/>
      <c r="I1111" s="865"/>
      <c r="J1111" s="865"/>
      <c r="K1111" s="865"/>
      <c r="L1111" s="865"/>
      <c r="M1111" s="865"/>
      <c r="N1111" s="865"/>
      <c r="O1111" s="865"/>
      <c r="P1111" s="865"/>
      <c r="Q1111" s="865"/>
      <c r="R1111" s="865"/>
      <c r="S1111" s="865"/>
      <c r="T1111" s="865"/>
      <c r="U1111" s="865"/>
    </row>
    <row r="1112" hidden="1">
      <c r="B1112" s="390"/>
      <c r="C1112" s="991"/>
      <c r="D1112" s="865"/>
      <c r="E1112" s="865"/>
      <c r="F1112" s="865"/>
      <c r="G1112" s="865"/>
      <c r="H1112" s="865"/>
      <c r="I1112" s="865"/>
      <c r="J1112" s="865"/>
      <c r="K1112" s="865"/>
      <c r="L1112" s="865"/>
      <c r="M1112" s="865"/>
      <c r="N1112" s="865"/>
      <c r="O1112" s="865"/>
      <c r="P1112" s="865"/>
      <c r="Q1112" s="865"/>
      <c r="R1112" s="865"/>
      <c r="S1112" s="865"/>
      <c r="T1112" s="865"/>
      <c r="U1112" s="865"/>
    </row>
    <row r="1113" hidden="1">
      <c r="B1113" s="390"/>
      <c r="C1113" s="991"/>
      <c r="D1113" s="865"/>
      <c r="E1113" s="865"/>
      <c r="F1113" s="865"/>
      <c r="G1113" s="865"/>
      <c r="H1113" s="865"/>
      <c r="I1113" s="865"/>
      <c r="J1113" s="865"/>
      <c r="K1113" s="865"/>
      <c r="L1113" s="865"/>
      <c r="M1113" s="865"/>
      <c r="N1113" s="865"/>
      <c r="O1113" s="865"/>
      <c r="P1113" s="865"/>
      <c r="Q1113" s="865"/>
      <c r="R1113" s="865"/>
      <c r="S1113" s="865"/>
      <c r="T1113" s="865"/>
      <c r="U1113" s="865"/>
    </row>
    <row r="1114" hidden="1">
      <c r="B1114" s="390"/>
      <c r="C1114" s="991"/>
      <c r="D1114" s="865"/>
      <c r="E1114" s="865"/>
      <c r="F1114" s="865"/>
      <c r="G1114" s="865"/>
      <c r="H1114" s="865"/>
      <c r="I1114" s="865"/>
      <c r="J1114" s="865"/>
      <c r="K1114" s="865"/>
      <c r="L1114" s="865"/>
      <c r="M1114" s="865"/>
      <c r="N1114" s="865"/>
      <c r="O1114" s="865"/>
      <c r="P1114" s="865"/>
      <c r="Q1114" s="865"/>
      <c r="R1114" s="865"/>
      <c r="S1114" s="865"/>
      <c r="T1114" s="865"/>
      <c r="U1114" s="865"/>
    </row>
    <row r="1115" hidden="1">
      <c r="B1115" s="390"/>
      <c r="C1115" s="991"/>
      <c r="D1115" s="865"/>
      <c r="E1115" s="865"/>
      <c r="F1115" s="865"/>
      <c r="G1115" s="865"/>
      <c r="H1115" s="865"/>
      <c r="I1115" s="865"/>
      <c r="J1115" s="865"/>
      <c r="K1115" s="865"/>
      <c r="L1115" s="865"/>
      <c r="M1115" s="865"/>
      <c r="N1115" s="865"/>
      <c r="O1115" s="865"/>
      <c r="P1115" s="865"/>
      <c r="Q1115" s="865"/>
      <c r="R1115" s="865"/>
      <c r="S1115" s="865"/>
      <c r="T1115" s="865"/>
      <c r="U1115" s="865"/>
    </row>
    <row r="1116" hidden="1">
      <c r="B1116" s="390"/>
      <c r="C1116" s="991"/>
      <c r="D1116" s="865"/>
      <c r="E1116" s="865"/>
      <c r="F1116" s="865"/>
      <c r="G1116" s="865"/>
      <c r="H1116" s="865"/>
      <c r="I1116" s="865"/>
      <c r="J1116" s="865"/>
      <c r="K1116" s="865"/>
      <c r="L1116" s="865"/>
      <c r="M1116" s="865"/>
      <c r="N1116" s="865"/>
      <c r="O1116" s="865"/>
      <c r="P1116" s="865"/>
      <c r="Q1116" s="865"/>
      <c r="R1116" s="865"/>
      <c r="S1116" s="865"/>
      <c r="T1116" s="865"/>
      <c r="U1116" s="865"/>
    </row>
    <row r="1117" hidden="1">
      <c r="B1117" s="390"/>
      <c r="C1117" s="991"/>
      <c r="D1117" s="865"/>
      <c r="E1117" s="865"/>
      <c r="F1117" s="865"/>
      <c r="G1117" s="865"/>
      <c r="H1117" s="865"/>
      <c r="I1117" s="865"/>
      <c r="J1117" s="865"/>
      <c r="K1117" s="865"/>
      <c r="L1117" s="865"/>
      <c r="M1117" s="865"/>
      <c r="N1117" s="865"/>
      <c r="O1117" s="865"/>
      <c r="P1117" s="865"/>
      <c r="Q1117" s="865"/>
      <c r="R1117" s="865"/>
      <c r="S1117" s="865"/>
      <c r="T1117" s="865"/>
      <c r="U1117" s="865"/>
    </row>
    <row r="1118" hidden="1">
      <c r="B1118" s="390"/>
      <c r="C1118" s="991"/>
      <c r="D1118" s="865"/>
      <c r="E1118" s="865"/>
      <c r="F1118" s="865"/>
      <c r="G1118" s="865"/>
      <c r="H1118" s="865"/>
      <c r="I1118" s="865"/>
      <c r="J1118" s="865"/>
      <c r="K1118" s="865"/>
      <c r="L1118" s="865"/>
      <c r="M1118" s="865"/>
      <c r="N1118" s="865"/>
      <c r="O1118" s="865"/>
      <c r="P1118" s="865"/>
      <c r="Q1118" s="865"/>
      <c r="R1118" s="865"/>
      <c r="S1118" s="865"/>
      <c r="T1118" s="865"/>
      <c r="U1118" s="865"/>
    </row>
    <row r="1119" hidden="1">
      <c r="B1119" s="390"/>
      <c r="C1119" s="991"/>
      <c r="D1119" s="865"/>
      <c r="E1119" s="865"/>
      <c r="F1119" s="865"/>
      <c r="G1119" s="865"/>
      <c r="H1119" s="865"/>
      <c r="I1119" s="865"/>
      <c r="J1119" s="865"/>
      <c r="K1119" s="865"/>
      <c r="L1119" s="865"/>
      <c r="M1119" s="865"/>
      <c r="N1119" s="865"/>
      <c r="O1119" s="865"/>
      <c r="P1119" s="865"/>
      <c r="Q1119" s="865"/>
      <c r="R1119" s="865"/>
      <c r="S1119" s="865"/>
      <c r="T1119" s="865"/>
      <c r="U1119" s="865"/>
    </row>
    <row r="1120" hidden="1">
      <c r="B1120" s="390"/>
      <c r="C1120" s="991"/>
      <c r="D1120" s="865"/>
      <c r="E1120" s="865"/>
      <c r="F1120" s="865"/>
      <c r="G1120" s="865"/>
      <c r="H1120" s="865"/>
      <c r="I1120" s="865"/>
      <c r="J1120" s="865"/>
      <c r="K1120" s="865"/>
      <c r="L1120" s="865"/>
      <c r="M1120" s="865"/>
      <c r="N1120" s="865"/>
      <c r="O1120" s="865"/>
      <c r="P1120" s="865"/>
      <c r="Q1120" s="865"/>
      <c r="R1120" s="865"/>
      <c r="S1120" s="865"/>
      <c r="T1120" s="865"/>
      <c r="U1120" s="865"/>
    </row>
    <row r="1121" hidden="1">
      <c r="B1121" s="390"/>
      <c r="C1121" s="991"/>
      <c r="D1121" s="865"/>
      <c r="E1121" s="865"/>
      <c r="F1121" s="865"/>
      <c r="G1121" s="865"/>
      <c r="H1121" s="865"/>
      <c r="I1121" s="865"/>
      <c r="J1121" s="865"/>
      <c r="K1121" s="865"/>
      <c r="L1121" s="865"/>
      <c r="M1121" s="865"/>
      <c r="N1121" s="865"/>
      <c r="O1121" s="865"/>
      <c r="P1121" s="865"/>
      <c r="Q1121" s="865"/>
      <c r="R1121" s="865"/>
      <c r="S1121" s="865"/>
      <c r="T1121" s="865"/>
      <c r="U1121" s="865"/>
    </row>
    <row r="1122" hidden="1">
      <c r="B1122" s="390"/>
      <c r="C1122" s="991"/>
      <c r="D1122" s="865"/>
      <c r="E1122" s="865"/>
      <c r="F1122" s="865"/>
      <c r="G1122" s="865"/>
      <c r="H1122" s="865"/>
      <c r="I1122" s="865"/>
      <c r="J1122" s="865"/>
      <c r="K1122" s="865"/>
      <c r="L1122" s="865"/>
      <c r="M1122" s="865"/>
      <c r="N1122" s="865"/>
      <c r="O1122" s="865"/>
      <c r="P1122" s="865"/>
      <c r="Q1122" s="865"/>
      <c r="R1122" s="865"/>
      <c r="S1122" s="865"/>
      <c r="T1122" s="865"/>
      <c r="U1122" s="865"/>
    </row>
    <row r="1123" hidden="1">
      <c r="B1123" s="390"/>
      <c r="C1123" s="991"/>
      <c r="D1123" s="865"/>
      <c r="E1123" s="865"/>
      <c r="F1123" s="865"/>
      <c r="G1123" s="865"/>
      <c r="H1123" s="865"/>
      <c r="I1123" s="865"/>
      <c r="J1123" s="865"/>
      <c r="K1123" s="865"/>
      <c r="L1123" s="865"/>
      <c r="M1123" s="865"/>
      <c r="N1123" s="865"/>
      <c r="O1123" s="865"/>
      <c r="P1123" s="865"/>
      <c r="Q1123" s="865"/>
      <c r="R1123" s="865"/>
      <c r="S1123" s="865"/>
      <c r="T1123" s="865"/>
      <c r="U1123" s="865"/>
    </row>
    <row r="1124" hidden="1">
      <c r="B1124" s="390"/>
      <c r="C1124" s="991"/>
      <c r="D1124" s="865"/>
      <c r="E1124" s="865"/>
      <c r="F1124" s="865"/>
      <c r="G1124" s="865"/>
      <c r="H1124" s="865"/>
      <c r="I1124" s="865"/>
      <c r="J1124" s="865"/>
      <c r="K1124" s="865"/>
      <c r="L1124" s="865"/>
      <c r="M1124" s="865"/>
      <c r="N1124" s="865"/>
      <c r="O1124" s="865"/>
      <c r="P1124" s="865"/>
      <c r="Q1124" s="865"/>
      <c r="R1124" s="865"/>
      <c r="S1124" s="865"/>
      <c r="T1124" s="865"/>
      <c r="U1124" s="865"/>
    </row>
    <row r="1125" hidden="1">
      <c r="B1125" s="390"/>
      <c r="C1125" s="991"/>
      <c r="D1125" s="865"/>
      <c r="E1125" s="865"/>
      <c r="F1125" s="865"/>
      <c r="G1125" s="865"/>
      <c r="H1125" s="865"/>
      <c r="I1125" s="865"/>
      <c r="J1125" s="865"/>
      <c r="K1125" s="865"/>
      <c r="L1125" s="865"/>
      <c r="M1125" s="865"/>
      <c r="N1125" s="865"/>
      <c r="O1125" s="865"/>
      <c r="P1125" s="865"/>
      <c r="Q1125" s="865"/>
      <c r="R1125" s="865"/>
      <c r="S1125" s="865"/>
      <c r="T1125" s="865"/>
      <c r="U1125" s="865"/>
    </row>
    <row r="1126" hidden="1">
      <c r="B1126" s="390"/>
      <c r="C1126" s="991"/>
      <c r="D1126" s="865"/>
      <c r="E1126" s="865"/>
      <c r="F1126" s="865"/>
      <c r="G1126" s="865"/>
      <c r="H1126" s="865"/>
      <c r="I1126" s="865"/>
      <c r="J1126" s="865"/>
      <c r="K1126" s="865"/>
      <c r="L1126" s="865"/>
      <c r="M1126" s="865"/>
      <c r="N1126" s="865"/>
      <c r="O1126" s="865"/>
      <c r="P1126" s="865"/>
      <c r="Q1126" s="865"/>
      <c r="R1126" s="865"/>
      <c r="S1126" s="865"/>
      <c r="T1126" s="865"/>
      <c r="U1126" s="865"/>
    </row>
    <row r="1127" hidden="1">
      <c r="B1127" s="390"/>
      <c r="C1127" s="991"/>
      <c r="D1127" s="865"/>
      <c r="E1127" s="865"/>
      <c r="F1127" s="865"/>
      <c r="G1127" s="865"/>
      <c r="H1127" s="865"/>
      <c r="I1127" s="865"/>
      <c r="J1127" s="865"/>
      <c r="K1127" s="865"/>
      <c r="L1127" s="865"/>
      <c r="M1127" s="865"/>
      <c r="N1127" s="865"/>
      <c r="O1127" s="865"/>
      <c r="P1127" s="865"/>
      <c r="Q1127" s="865"/>
      <c r="R1127" s="865"/>
      <c r="S1127" s="865"/>
      <c r="T1127" s="865"/>
      <c r="U1127" s="865"/>
    </row>
    <row r="1128" hidden="1">
      <c r="B1128" s="390"/>
      <c r="C1128" s="991"/>
      <c r="D1128" s="865"/>
      <c r="E1128" s="865"/>
      <c r="F1128" s="865"/>
      <c r="G1128" s="865"/>
      <c r="H1128" s="865"/>
      <c r="I1128" s="865"/>
      <c r="J1128" s="865"/>
      <c r="K1128" s="865"/>
      <c r="L1128" s="865"/>
      <c r="M1128" s="865"/>
      <c r="N1128" s="865"/>
      <c r="O1128" s="865"/>
      <c r="P1128" s="865"/>
      <c r="Q1128" s="865"/>
      <c r="R1128" s="865"/>
      <c r="S1128" s="865"/>
      <c r="T1128" s="865"/>
      <c r="U1128" s="865"/>
    </row>
    <row r="1129" hidden="1">
      <c r="B1129" s="390"/>
      <c r="C1129" s="991"/>
      <c r="D1129" s="865"/>
      <c r="E1129" s="865"/>
      <c r="F1129" s="865"/>
      <c r="G1129" s="865"/>
      <c r="H1129" s="865"/>
      <c r="I1129" s="865"/>
      <c r="J1129" s="865"/>
      <c r="K1129" s="865"/>
      <c r="L1129" s="865"/>
      <c r="M1129" s="865"/>
      <c r="N1129" s="865"/>
      <c r="O1129" s="865"/>
      <c r="P1129" s="865"/>
      <c r="Q1129" s="865"/>
      <c r="R1129" s="865"/>
      <c r="S1129" s="865"/>
      <c r="T1129" s="865"/>
      <c r="U1129" s="865"/>
    </row>
    <row r="1130" hidden="1">
      <c r="B1130" s="390"/>
      <c r="C1130" s="991"/>
      <c r="D1130" s="865"/>
      <c r="E1130" s="865"/>
      <c r="F1130" s="865"/>
      <c r="G1130" s="865"/>
      <c r="H1130" s="865"/>
      <c r="I1130" s="865"/>
      <c r="J1130" s="865"/>
      <c r="K1130" s="865"/>
      <c r="L1130" s="865"/>
      <c r="M1130" s="865"/>
      <c r="N1130" s="865"/>
      <c r="O1130" s="865"/>
      <c r="P1130" s="865"/>
      <c r="Q1130" s="865"/>
      <c r="R1130" s="865"/>
      <c r="S1130" s="865"/>
      <c r="T1130" s="865"/>
      <c r="U1130" s="865"/>
    </row>
    <row r="1131" hidden="1">
      <c r="B1131" s="390"/>
      <c r="C1131" s="991"/>
      <c r="D1131" s="865"/>
      <c r="E1131" s="865"/>
      <c r="F1131" s="865"/>
      <c r="G1131" s="865"/>
      <c r="H1131" s="865"/>
      <c r="I1131" s="865"/>
      <c r="J1131" s="865"/>
      <c r="K1131" s="865"/>
      <c r="L1131" s="865"/>
      <c r="M1131" s="865"/>
      <c r="N1131" s="865"/>
      <c r="O1131" s="865"/>
      <c r="P1131" s="865"/>
      <c r="Q1131" s="865"/>
      <c r="R1131" s="865"/>
      <c r="S1131" s="865"/>
      <c r="T1131" s="865"/>
      <c r="U1131" s="865"/>
    </row>
    <row r="1132" hidden="1">
      <c r="B1132" s="390"/>
      <c r="C1132" s="991"/>
      <c r="D1132" s="865"/>
      <c r="E1132" s="865"/>
      <c r="F1132" s="865"/>
      <c r="G1132" s="865"/>
      <c r="H1132" s="865"/>
      <c r="I1132" s="865"/>
      <c r="J1132" s="865"/>
      <c r="K1132" s="865"/>
      <c r="L1132" s="865"/>
      <c r="M1132" s="865"/>
      <c r="N1132" s="865"/>
      <c r="O1132" s="865"/>
      <c r="P1132" s="865"/>
      <c r="Q1132" s="865"/>
      <c r="R1132" s="865"/>
      <c r="S1132" s="865"/>
      <c r="T1132" s="865"/>
      <c r="U1132" s="865"/>
    </row>
    <row r="1133" hidden="1">
      <c r="B1133" s="390"/>
      <c r="C1133" s="991"/>
      <c r="D1133" s="865"/>
      <c r="E1133" s="865"/>
      <c r="F1133" s="865"/>
      <c r="G1133" s="865"/>
      <c r="H1133" s="865"/>
      <c r="I1133" s="865"/>
      <c r="J1133" s="865"/>
      <c r="K1133" s="865"/>
      <c r="L1133" s="865"/>
      <c r="M1133" s="865"/>
      <c r="N1133" s="865"/>
      <c r="O1133" s="865"/>
      <c r="P1133" s="865"/>
      <c r="Q1133" s="865"/>
      <c r="R1133" s="865"/>
      <c r="S1133" s="865"/>
      <c r="T1133" s="865"/>
      <c r="U1133" s="865"/>
    </row>
    <row r="1134" hidden="1">
      <c r="B1134" s="390"/>
      <c r="C1134" s="991"/>
      <c r="D1134" s="865"/>
      <c r="E1134" s="865"/>
      <c r="F1134" s="865"/>
      <c r="G1134" s="865"/>
      <c r="H1134" s="865"/>
      <c r="I1134" s="865"/>
      <c r="J1134" s="865"/>
      <c r="K1134" s="865"/>
      <c r="L1134" s="865"/>
      <c r="M1134" s="865"/>
      <c r="N1134" s="865"/>
      <c r="O1134" s="865"/>
      <c r="P1134" s="865"/>
      <c r="Q1134" s="865"/>
      <c r="R1134" s="865"/>
      <c r="S1134" s="865"/>
      <c r="T1134" s="865"/>
      <c r="U1134" s="865"/>
    </row>
    <row r="1135" hidden="1">
      <c r="B1135" s="390"/>
      <c r="C1135" s="991"/>
      <c r="D1135" s="865"/>
      <c r="E1135" s="865"/>
      <c r="F1135" s="865"/>
      <c r="G1135" s="865"/>
      <c r="H1135" s="865"/>
      <c r="I1135" s="865"/>
      <c r="J1135" s="865"/>
      <c r="K1135" s="865"/>
      <c r="L1135" s="865"/>
      <c r="M1135" s="865"/>
      <c r="N1135" s="865"/>
      <c r="O1135" s="865"/>
      <c r="P1135" s="865"/>
      <c r="Q1135" s="865"/>
      <c r="R1135" s="865"/>
      <c r="S1135" s="865"/>
      <c r="T1135" s="865"/>
      <c r="U1135" s="865"/>
    </row>
    <row r="1136" hidden="1">
      <c r="B1136" s="390"/>
      <c r="C1136" s="991"/>
      <c r="D1136" s="865"/>
      <c r="E1136" s="865"/>
      <c r="F1136" s="865"/>
      <c r="G1136" s="865"/>
      <c r="H1136" s="865"/>
      <c r="I1136" s="865"/>
      <c r="J1136" s="865"/>
      <c r="K1136" s="865"/>
      <c r="L1136" s="865"/>
      <c r="M1136" s="865"/>
      <c r="N1136" s="865"/>
      <c r="O1136" s="865"/>
      <c r="P1136" s="865"/>
      <c r="Q1136" s="865"/>
      <c r="R1136" s="865"/>
      <c r="S1136" s="865"/>
      <c r="T1136" s="865"/>
      <c r="U1136" s="865"/>
    </row>
    <row r="1137" hidden="1">
      <c r="B1137" s="390"/>
      <c r="C1137" s="991"/>
      <c r="D1137" s="865"/>
      <c r="E1137" s="865"/>
      <c r="F1137" s="865"/>
      <c r="G1137" s="865"/>
      <c r="H1137" s="865"/>
      <c r="I1137" s="865"/>
      <c r="J1137" s="865"/>
      <c r="K1137" s="865"/>
      <c r="L1137" s="865"/>
      <c r="M1137" s="865"/>
      <c r="N1137" s="865"/>
      <c r="O1137" s="865"/>
      <c r="P1137" s="865"/>
      <c r="Q1137" s="865"/>
      <c r="R1137" s="865"/>
      <c r="S1137" s="865"/>
      <c r="T1137" s="865"/>
      <c r="U1137" s="865"/>
    </row>
    <row r="1138" hidden="1">
      <c r="B1138" s="390"/>
      <c r="C1138" s="991"/>
      <c r="D1138" s="865"/>
      <c r="E1138" s="865"/>
      <c r="F1138" s="865"/>
      <c r="G1138" s="865"/>
      <c r="H1138" s="865"/>
      <c r="I1138" s="865"/>
      <c r="J1138" s="865"/>
      <c r="K1138" s="865"/>
      <c r="L1138" s="865"/>
      <c r="M1138" s="865"/>
      <c r="N1138" s="865"/>
      <c r="O1138" s="865"/>
      <c r="P1138" s="865"/>
      <c r="Q1138" s="865"/>
      <c r="R1138" s="865"/>
      <c r="S1138" s="865"/>
      <c r="T1138" s="865"/>
      <c r="U1138" s="865"/>
    </row>
    <row r="1139" hidden="1">
      <c r="B1139" s="390"/>
      <c r="C1139" s="991"/>
      <c r="D1139" s="865"/>
      <c r="E1139" s="865"/>
      <c r="F1139" s="865"/>
      <c r="G1139" s="865"/>
      <c r="H1139" s="865"/>
      <c r="I1139" s="865"/>
      <c r="J1139" s="865"/>
      <c r="K1139" s="865"/>
      <c r="L1139" s="865"/>
      <c r="M1139" s="865"/>
      <c r="N1139" s="865"/>
      <c r="O1139" s="865"/>
      <c r="P1139" s="865"/>
      <c r="Q1139" s="865"/>
      <c r="R1139" s="865"/>
      <c r="S1139" s="865"/>
      <c r="T1139" s="865"/>
      <c r="U1139" s="865"/>
    </row>
    <row r="1140" hidden="1">
      <c r="B1140" s="390"/>
      <c r="C1140" s="991"/>
      <c r="D1140" s="865"/>
      <c r="E1140" s="865"/>
      <c r="F1140" s="865"/>
      <c r="G1140" s="865"/>
      <c r="H1140" s="865"/>
      <c r="I1140" s="865"/>
      <c r="J1140" s="865"/>
      <c r="K1140" s="865"/>
      <c r="L1140" s="865"/>
      <c r="M1140" s="865"/>
      <c r="N1140" s="865"/>
      <c r="O1140" s="865"/>
      <c r="P1140" s="865"/>
      <c r="Q1140" s="865"/>
      <c r="R1140" s="865"/>
      <c r="S1140" s="865"/>
      <c r="T1140" s="865"/>
      <c r="U1140" s="865"/>
    </row>
    <row r="1141" hidden="1">
      <c r="B1141" s="390"/>
      <c r="C1141" s="991"/>
      <c r="D1141" s="865"/>
      <c r="E1141" s="865"/>
      <c r="F1141" s="865"/>
      <c r="G1141" s="865"/>
      <c r="H1141" s="865"/>
      <c r="I1141" s="865"/>
      <c r="J1141" s="865"/>
      <c r="K1141" s="865"/>
      <c r="L1141" s="865"/>
      <c r="M1141" s="865"/>
      <c r="N1141" s="865"/>
      <c r="O1141" s="865"/>
      <c r="P1141" s="865"/>
      <c r="Q1141" s="865"/>
      <c r="R1141" s="865"/>
      <c r="S1141" s="865"/>
      <c r="T1141" s="865"/>
      <c r="U1141" s="865"/>
    </row>
    <row r="1142" hidden="1">
      <c r="B1142" s="390"/>
      <c r="C1142" s="991"/>
      <c r="D1142" s="865"/>
      <c r="E1142" s="865"/>
      <c r="F1142" s="865"/>
      <c r="G1142" s="865"/>
      <c r="H1142" s="865"/>
      <c r="I1142" s="865"/>
      <c r="J1142" s="865"/>
      <c r="K1142" s="865"/>
      <c r="L1142" s="865"/>
      <c r="M1142" s="865"/>
      <c r="N1142" s="865"/>
      <c r="O1142" s="865"/>
      <c r="P1142" s="865"/>
      <c r="Q1142" s="865"/>
      <c r="R1142" s="865"/>
      <c r="S1142" s="865"/>
      <c r="T1142" s="865"/>
      <c r="U1142" s="865"/>
    </row>
    <row r="1143" hidden="1">
      <c r="B1143" s="390"/>
      <c r="C1143" s="991"/>
      <c r="D1143" s="865"/>
      <c r="E1143" s="865"/>
      <c r="F1143" s="865"/>
      <c r="G1143" s="865"/>
      <c r="H1143" s="865"/>
      <c r="I1143" s="865"/>
      <c r="J1143" s="865"/>
      <c r="K1143" s="865"/>
      <c r="L1143" s="865"/>
      <c r="M1143" s="865"/>
      <c r="N1143" s="865"/>
      <c r="O1143" s="865"/>
      <c r="P1143" s="865"/>
      <c r="Q1143" s="865"/>
      <c r="R1143" s="865"/>
      <c r="S1143" s="865"/>
      <c r="T1143" s="865"/>
      <c r="U1143" s="865"/>
    </row>
    <row r="1144" hidden="1">
      <c r="B1144" s="390"/>
      <c r="C1144" s="991"/>
      <c r="D1144" s="865"/>
      <c r="E1144" s="865"/>
      <c r="F1144" s="865"/>
      <c r="G1144" s="865"/>
      <c r="H1144" s="865"/>
      <c r="I1144" s="865"/>
      <c r="J1144" s="865"/>
      <c r="K1144" s="865"/>
      <c r="L1144" s="865"/>
      <c r="M1144" s="865"/>
      <c r="N1144" s="865"/>
      <c r="O1144" s="865"/>
      <c r="P1144" s="865"/>
      <c r="Q1144" s="865"/>
      <c r="R1144" s="865"/>
      <c r="S1144" s="865"/>
      <c r="T1144" s="865"/>
      <c r="U1144" s="865"/>
    </row>
    <row r="1145" hidden="1">
      <c r="B1145" s="390"/>
      <c r="C1145" s="991"/>
      <c r="D1145" s="865"/>
      <c r="E1145" s="865"/>
      <c r="F1145" s="865"/>
      <c r="G1145" s="865"/>
      <c r="H1145" s="865"/>
      <c r="I1145" s="865"/>
      <c r="J1145" s="865"/>
      <c r="K1145" s="865"/>
      <c r="L1145" s="865"/>
      <c r="M1145" s="865"/>
      <c r="N1145" s="865"/>
      <c r="O1145" s="865"/>
      <c r="P1145" s="865"/>
      <c r="Q1145" s="865"/>
      <c r="R1145" s="865"/>
      <c r="S1145" s="865"/>
      <c r="T1145" s="865"/>
      <c r="U1145" s="865"/>
    </row>
    <row r="1146" hidden="1">
      <c r="B1146" s="390"/>
      <c r="C1146" s="991"/>
      <c r="D1146" s="865"/>
      <c r="E1146" s="865"/>
      <c r="F1146" s="865"/>
      <c r="G1146" s="865"/>
      <c r="H1146" s="865"/>
      <c r="I1146" s="865"/>
      <c r="J1146" s="865"/>
      <c r="K1146" s="865"/>
      <c r="L1146" s="865"/>
      <c r="M1146" s="865"/>
      <c r="N1146" s="865"/>
      <c r="O1146" s="865"/>
      <c r="P1146" s="865"/>
      <c r="Q1146" s="865"/>
      <c r="R1146" s="865"/>
      <c r="S1146" s="865"/>
      <c r="T1146" s="865"/>
      <c r="U1146" s="865"/>
    </row>
    <row r="1147" hidden="1">
      <c r="B1147" s="390"/>
      <c r="C1147" s="991"/>
      <c r="D1147" s="865"/>
      <c r="E1147" s="865"/>
      <c r="F1147" s="865"/>
      <c r="G1147" s="865"/>
      <c r="H1147" s="865"/>
      <c r="I1147" s="865"/>
      <c r="J1147" s="865"/>
      <c r="K1147" s="865"/>
      <c r="L1147" s="865"/>
      <c r="M1147" s="865"/>
      <c r="N1147" s="865"/>
      <c r="O1147" s="865"/>
      <c r="P1147" s="865"/>
      <c r="Q1147" s="865"/>
      <c r="R1147" s="865"/>
      <c r="S1147" s="865"/>
      <c r="T1147" s="865"/>
      <c r="U1147" s="865"/>
    </row>
    <row r="1148" hidden="1">
      <c r="B1148" s="390"/>
      <c r="C1148" s="991"/>
      <c r="D1148" s="865"/>
      <c r="E1148" s="865"/>
      <c r="F1148" s="865"/>
      <c r="G1148" s="865"/>
      <c r="H1148" s="865"/>
      <c r="I1148" s="865"/>
      <c r="J1148" s="865"/>
      <c r="K1148" s="865"/>
      <c r="L1148" s="865"/>
      <c r="M1148" s="865"/>
      <c r="N1148" s="865"/>
      <c r="O1148" s="865"/>
      <c r="P1148" s="865"/>
      <c r="Q1148" s="865"/>
      <c r="R1148" s="865"/>
      <c r="S1148" s="865"/>
      <c r="T1148" s="865"/>
      <c r="U1148" s="865"/>
    </row>
    <row r="1149" hidden="1">
      <c r="B1149" s="390"/>
      <c r="C1149" s="991"/>
      <c r="D1149" s="865"/>
      <c r="E1149" s="865"/>
      <c r="F1149" s="865"/>
      <c r="G1149" s="865"/>
      <c r="H1149" s="865"/>
      <c r="I1149" s="865"/>
      <c r="J1149" s="865"/>
      <c r="K1149" s="865"/>
      <c r="L1149" s="865"/>
      <c r="M1149" s="865"/>
      <c r="N1149" s="865"/>
      <c r="O1149" s="865"/>
      <c r="P1149" s="865"/>
      <c r="Q1149" s="865"/>
      <c r="R1149" s="865"/>
      <c r="S1149" s="865"/>
      <c r="T1149" s="865"/>
      <c r="U1149" s="865"/>
    </row>
    <row r="1150" hidden="1">
      <c r="B1150" s="390"/>
      <c r="C1150" s="991"/>
      <c r="D1150" s="865"/>
      <c r="E1150" s="865"/>
      <c r="F1150" s="865"/>
      <c r="G1150" s="865"/>
      <c r="H1150" s="865"/>
      <c r="I1150" s="865"/>
      <c r="J1150" s="865"/>
      <c r="K1150" s="865"/>
      <c r="L1150" s="865"/>
      <c r="M1150" s="865"/>
      <c r="N1150" s="865"/>
      <c r="O1150" s="865"/>
      <c r="P1150" s="865"/>
      <c r="Q1150" s="865"/>
      <c r="R1150" s="865"/>
      <c r="S1150" s="865"/>
      <c r="T1150" s="865"/>
      <c r="U1150" s="865"/>
    </row>
    <row r="1151" hidden="1">
      <c r="B1151" s="390"/>
      <c r="C1151" s="991"/>
      <c r="D1151" s="865"/>
      <c r="E1151" s="865"/>
      <c r="F1151" s="865"/>
      <c r="G1151" s="865"/>
      <c r="H1151" s="865"/>
      <c r="I1151" s="865"/>
      <c r="J1151" s="865"/>
      <c r="K1151" s="865"/>
      <c r="L1151" s="865"/>
      <c r="M1151" s="865"/>
      <c r="N1151" s="865"/>
      <c r="O1151" s="865"/>
      <c r="P1151" s="865"/>
      <c r="Q1151" s="865"/>
      <c r="R1151" s="865"/>
      <c r="S1151" s="865"/>
      <c r="T1151" s="865"/>
      <c r="U1151" s="865"/>
    </row>
    <row r="1152" hidden="1">
      <c r="B1152" s="390"/>
      <c r="C1152" s="991"/>
      <c r="D1152" s="865"/>
      <c r="E1152" s="865"/>
      <c r="F1152" s="865"/>
      <c r="G1152" s="865"/>
      <c r="H1152" s="865"/>
      <c r="I1152" s="865"/>
      <c r="J1152" s="865"/>
      <c r="K1152" s="865"/>
      <c r="L1152" s="865"/>
      <c r="M1152" s="865"/>
      <c r="N1152" s="865"/>
      <c r="O1152" s="865"/>
      <c r="P1152" s="865"/>
      <c r="Q1152" s="865"/>
      <c r="R1152" s="865"/>
      <c r="S1152" s="865"/>
      <c r="T1152" s="865"/>
      <c r="U1152" s="865"/>
    </row>
    <row r="1153" hidden="1">
      <c r="B1153" s="390"/>
      <c r="C1153" s="991"/>
      <c r="D1153" s="865"/>
      <c r="E1153" s="865"/>
      <c r="F1153" s="865"/>
      <c r="G1153" s="865"/>
      <c r="H1153" s="865"/>
      <c r="I1153" s="865"/>
      <c r="J1153" s="865"/>
      <c r="K1153" s="865"/>
      <c r="L1153" s="865"/>
      <c r="M1153" s="865"/>
      <c r="N1153" s="865"/>
      <c r="O1153" s="865"/>
      <c r="P1153" s="865"/>
      <c r="Q1153" s="865"/>
      <c r="R1153" s="865"/>
      <c r="S1153" s="865"/>
      <c r="T1153" s="865"/>
      <c r="U1153" s="865"/>
    </row>
    <row r="1154" hidden="1">
      <c r="B1154" s="390"/>
      <c r="C1154" s="991"/>
      <c r="D1154" s="865"/>
      <c r="E1154" s="865"/>
      <c r="F1154" s="865"/>
      <c r="G1154" s="865"/>
      <c r="H1154" s="865"/>
      <c r="I1154" s="865"/>
      <c r="J1154" s="865"/>
      <c r="K1154" s="865"/>
      <c r="L1154" s="865"/>
      <c r="M1154" s="865"/>
      <c r="N1154" s="865"/>
      <c r="O1154" s="865"/>
      <c r="P1154" s="865"/>
      <c r="Q1154" s="865"/>
      <c r="R1154" s="865"/>
      <c r="S1154" s="865"/>
      <c r="T1154" s="865"/>
      <c r="U1154" s="865"/>
    </row>
    <row r="1155" hidden="1">
      <c r="B1155" s="390"/>
      <c r="C1155" s="991"/>
      <c r="D1155" s="865"/>
      <c r="E1155" s="865"/>
      <c r="F1155" s="865"/>
      <c r="G1155" s="865"/>
      <c r="H1155" s="865"/>
      <c r="I1155" s="865"/>
      <c r="J1155" s="865"/>
      <c r="K1155" s="865"/>
      <c r="L1155" s="865"/>
      <c r="M1155" s="865"/>
      <c r="N1155" s="865"/>
      <c r="O1155" s="865"/>
      <c r="P1155" s="865"/>
      <c r="Q1155" s="865"/>
      <c r="R1155" s="865"/>
      <c r="S1155" s="865"/>
      <c r="T1155" s="865"/>
      <c r="U1155" s="865"/>
    </row>
    <row r="1156" hidden="1">
      <c r="B1156" s="390"/>
      <c r="C1156" s="991"/>
      <c r="D1156" s="865"/>
      <c r="E1156" s="865"/>
      <c r="F1156" s="865"/>
      <c r="G1156" s="865"/>
      <c r="H1156" s="865"/>
      <c r="I1156" s="865"/>
      <c r="J1156" s="865"/>
      <c r="K1156" s="865"/>
      <c r="L1156" s="865"/>
      <c r="M1156" s="865"/>
      <c r="N1156" s="865"/>
      <c r="O1156" s="865"/>
      <c r="P1156" s="865"/>
      <c r="Q1156" s="865"/>
      <c r="R1156" s="865"/>
      <c r="S1156" s="865"/>
      <c r="T1156" s="865"/>
      <c r="U1156" s="865"/>
    </row>
    <row r="1157" hidden="1">
      <c r="B1157" s="390"/>
      <c r="C1157" s="991"/>
      <c r="D1157" s="865"/>
      <c r="E1157" s="865"/>
      <c r="F1157" s="865"/>
      <c r="G1157" s="865"/>
      <c r="H1157" s="865"/>
      <c r="I1157" s="865"/>
      <c r="J1157" s="865"/>
      <c r="K1157" s="865"/>
      <c r="L1157" s="865"/>
      <c r="M1157" s="865"/>
      <c r="N1157" s="865"/>
      <c r="O1157" s="865"/>
      <c r="P1157" s="865"/>
      <c r="Q1157" s="865"/>
      <c r="R1157" s="865"/>
      <c r="S1157" s="865"/>
      <c r="T1157" s="865"/>
      <c r="U1157" s="865"/>
    </row>
    <row r="1158" hidden="1">
      <c r="B1158" s="390"/>
      <c r="C1158" s="991"/>
      <c r="D1158" s="865"/>
      <c r="E1158" s="865"/>
      <c r="F1158" s="865"/>
      <c r="G1158" s="865"/>
      <c r="H1158" s="865"/>
      <c r="I1158" s="865"/>
      <c r="J1158" s="865"/>
      <c r="K1158" s="865"/>
      <c r="L1158" s="865"/>
      <c r="M1158" s="865"/>
      <c r="N1158" s="865"/>
      <c r="O1158" s="865"/>
      <c r="P1158" s="865"/>
      <c r="Q1158" s="865"/>
      <c r="R1158" s="865"/>
      <c r="S1158" s="865"/>
      <c r="T1158" s="865"/>
      <c r="U1158" s="865"/>
    </row>
    <row r="1159" hidden="1">
      <c r="B1159" s="390"/>
      <c r="C1159" s="991"/>
      <c r="D1159" s="865"/>
      <c r="E1159" s="865"/>
      <c r="F1159" s="865"/>
      <c r="G1159" s="865"/>
      <c r="H1159" s="865"/>
      <c r="I1159" s="865"/>
      <c r="J1159" s="865"/>
      <c r="K1159" s="865"/>
      <c r="L1159" s="865"/>
      <c r="M1159" s="865"/>
      <c r="N1159" s="865"/>
      <c r="O1159" s="865"/>
      <c r="P1159" s="865"/>
      <c r="Q1159" s="865"/>
      <c r="R1159" s="865"/>
      <c r="S1159" s="865"/>
      <c r="T1159" s="865"/>
      <c r="U1159" s="865"/>
    </row>
    <row r="1160" hidden="1">
      <c r="B1160" s="390"/>
      <c r="C1160" s="991"/>
      <c r="D1160" s="865"/>
      <c r="E1160" s="865"/>
      <c r="F1160" s="865"/>
      <c r="G1160" s="865"/>
      <c r="H1160" s="865"/>
      <c r="I1160" s="865"/>
      <c r="J1160" s="865"/>
      <c r="K1160" s="865"/>
      <c r="L1160" s="865"/>
      <c r="M1160" s="865"/>
      <c r="N1160" s="865"/>
      <c r="O1160" s="865"/>
      <c r="P1160" s="865"/>
      <c r="Q1160" s="865"/>
      <c r="R1160" s="865"/>
      <c r="S1160" s="865"/>
      <c r="T1160" s="865"/>
      <c r="U1160" s="865"/>
    </row>
    <row r="1161" hidden="1">
      <c r="B1161" s="390"/>
      <c r="C1161" s="991"/>
      <c r="D1161" s="865"/>
      <c r="E1161" s="865"/>
      <c r="F1161" s="865"/>
      <c r="G1161" s="865"/>
      <c r="H1161" s="865"/>
      <c r="I1161" s="865"/>
      <c r="J1161" s="865"/>
      <c r="K1161" s="865"/>
      <c r="L1161" s="865"/>
      <c r="M1161" s="865"/>
      <c r="N1161" s="865"/>
      <c r="O1161" s="865"/>
      <c r="P1161" s="865"/>
      <c r="Q1161" s="865"/>
      <c r="R1161" s="865"/>
      <c r="S1161" s="865"/>
      <c r="T1161" s="865"/>
      <c r="U1161" s="865"/>
    </row>
    <row r="1162" hidden="1">
      <c r="B1162" s="390"/>
      <c r="C1162" s="991"/>
      <c r="D1162" s="865"/>
      <c r="E1162" s="865"/>
      <c r="F1162" s="865"/>
      <c r="G1162" s="865"/>
      <c r="H1162" s="865"/>
      <c r="I1162" s="865"/>
      <c r="J1162" s="865"/>
      <c r="K1162" s="865"/>
      <c r="L1162" s="865"/>
      <c r="M1162" s="865"/>
      <c r="N1162" s="865"/>
      <c r="O1162" s="865"/>
      <c r="P1162" s="865"/>
      <c r="Q1162" s="865"/>
      <c r="R1162" s="865"/>
      <c r="S1162" s="865"/>
      <c r="T1162" s="865"/>
      <c r="U1162" s="865"/>
    </row>
    <row r="1163" hidden="1">
      <c r="B1163" s="390"/>
      <c r="C1163" s="991"/>
      <c r="D1163" s="865"/>
      <c r="E1163" s="865"/>
      <c r="F1163" s="865"/>
      <c r="G1163" s="865"/>
      <c r="H1163" s="865"/>
      <c r="I1163" s="865"/>
      <c r="J1163" s="865"/>
      <c r="K1163" s="865"/>
      <c r="L1163" s="865"/>
      <c r="M1163" s="865"/>
      <c r="N1163" s="865"/>
      <c r="O1163" s="865"/>
      <c r="P1163" s="865"/>
      <c r="Q1163" s="865"/>
      <c r="R1163" s="865"/>
      <c r="S1163" s="865"/>
      <c r="T1163" s="865"/>
      <c r="U1163" s="865"/>
    </row>
    <row r="1164" hidden="1">
      <c r="B1164" s="390"/>
      <c r="C1164" s="991"/>
      <c r="D1164" s="865"/>
      <c r="E1164" s="865"/>
      <c r="F1164" s="865"/>
      <c r="G1164" s="865"/>
      <c r="H1164" s="865"/>
      <c r="I1164" s="865"/>
      <c r="J1164" s="865"/>
      <c r="K1164" s="865"/>
      <c r="L1164" s="865"/>
      <c r="M1164" s="865"/>
      <c r="N1164" s="865"/>
      <c r="O1164" s="865"/>
      <c r="P1164" s="865"/>
      <c r="Q1164" s="865"/>
      <c r="R1164" s="865"/>
      <c r="S1164" s="865"/>
      <c r="T1164" s="865"/>
      <c r="U1164" s="865"/>
    </row>
    <row r="1165" hidden="1">
      <c r="B1165" s="390"/>
      <c r="C1165" s="991"/>
      <c r="D1165" s="865"/>
      <c r="E1165" s="865"/>
      <c r="F1165" s="865"/>
      <c r="G1165" s="865"/>
      <c r="H1165" s="865"/>
      <c r="I1165" s="865"/>
      <c r="J1165" s="865"/>
      <c r="K1165" s="865"/>
      <c r="L1165" s="865"/>
      <c r="M1165" s="865"/>
      <c r="N1165" s="865"/>
      <c r="O1165" s="865"/>
      <c r="P1165" s="865"/>
      <c r="Q1165" s="865"/>
      <c r="R1165" s="865"/>
      <c r="S1165" s="865"/>
      <c r="T1165" s="865"/>
      <c r="U1165" s="865"/>
    </row>
    <row r="1166" hidden="1">
      <c r="B1166" s="390"/>
      <c r="C1166" s="991"/>
      <c r="D1166" s="865"/>
      <c r="E1166" s="865"/>
      <c r="F1166" s="865"/>
      <c r="G1166" s="865"/>
      <c r="H1166" s="865"/>
      <c r="I1166" s="865"/>
      <c r="J1166" s="865"/>
      <c r="K1166" s="865"/>
      <c r="L1166" s="865"/>
      <c r="M1166" s="865"/>
      <c r="N1166" s="865"/>
      <c r="O1166" s="865"/>
      <c r="P1166" s="865"/>
      <c r="Q1166" s="865"/>
      <c r="R1166" s="865"/>
      <c r="S1166" s="865"/>
      <c r="T1166" s="865"/>
      <c r="U1166" s="865"/>
    </row>
    <row r="1167" hidden="1">
      <c r="B1167" s="390"/>
      <c r="C1167" s="991"/>
      <c r="D1167" s="865"/>
      <c r="E1167" s="865"/>
      <c r="F1167" s="865"/>
      <c r="G1167" s="865"/>
      <c r="H1167" s="865"/>
      <c r="I1167" s="865"/>
      <c r="J1167" s="865"/>
      <c r="K1167" s="865"/>
      <c r="L1167" s="865"/>
      <c r="M1167" s="865"/>
      <c r="N1167" s="865"/>
      <c r="O1167" s="865"/>
      <c r="P1167" s="865"/>
      <c r="Q1167" s="865"/>
      <c r="R1167" s="865"/>
      <c r="S1167" s="865"/>
      <c r="T1167" s="865"/>
      <c r="U1167" s="865"/>
    </row>
    <row r="1168" hidden="1">
      <c r="B1168" s="390"/>
      <c r="C1168" s="991"/>
      <c r="D1168" s="865"/>
      <c r="E1168" s="865"/>
      <c r="F1168" s="865"/>
      <c r="G1168" s="865"/>
      <c r="H1168" s="865"/>
      <c r="I1168" s="865"/>
      <c r="J1168" s="865"/>
      <c r="K1168" s="865"/>
      <c r="L1168" s="865"/>
      <c r="M1168" s="865"/>
      <c r="N1168" s="865"/>
      <c r="O1168" s="865"/>
      <c r="P1168" s="865"/>
      <c r="Q1168" s="865"/>
      <c r="R1168" s="865"/>
      <c r="S1168" s="865"/>
      <c r="T1168" s="865"/>
      <c r="U1168" s="865"/>
    </row>
    <row r="1169" hidden="1">
      <c r="B1169" s="390"/>
      <c r="C1169" s="991"/>
      <c r="D1169" s="865"/>
      <c r="E1169" s="865"/>
      <c r="F1169" s="865"/>
      <c r="G1169" s="865"/>
      <c r="H1169" s="865"/>
      <c r="I1169" s="865"/>
      <c r="J1169" s="865"/>
      <c r="K1169" s="865"/>
      <c r="L1169" s="865"/>
      <c r="M1169" s="865"/>
      <c r="N1169" s="865"/>
      <c r="O1169" s="865"/>
      <c r="P1169" s="865"/>
      <c r="Q1169" s="865"/>
      <c r="R1169" s="865"/>
      <c r="S1169" s="865"/>
      <c r="T1169" s="865"/>
      <c r="U1169" s="865"/>
    </row>
    <row r="1170" hidden="1">
      <c r="B1170" s="390"/>
      <c r="C1170" s="991"/>
      <c r="D1170" s="865"/>
      <c r="E1170" s="865"/>
      <c r="F1170" s="865"/>
      <c r="G1170" s="865"/>
      <c r="H1170" s="865"/>
      <c r="I1170" s="865"/>
      <c r="J1170" s="865"/>
      <c r="K1170" s="865"/>
      <c r="L1170" s="865"/>
      <c r="M1170" s="865"/>
      <c r="N1170" s="865"/>
      <c r="O1170" s="865"/>
      <c r="P1170" s="865"/>
      <c r="Q1170" s="865"/>
      <c r="R1170" s="865"/>
      <c r="S1170" s="865"/>
      <c r="T1170" s="865"/>
      <c r="U1170" s="865"/>
    </row>
    <row r="1171" hidden="1">
      <c r="B1171" s="390"/>
      <c r="C1171" s="991"/>
      <c r="D1171" s="865"/>
      <c r="E1171" s="865"/>
      <c r="F1171" s="865"/>
      <c r="G1171" s="865"/>
      <c r="H1171" s="865"/>
      <c r="I1171" s="865"/>
      <c r="J1171" s="865"/>
      <c r="K1171" s="865"/>
      <c r="L1171" s="865"/>
      <c r="M1171" s="865"/>
      <c r="N1171" s="865"/>
      <c r="O1171" s="865"/>
      <c r="P1171" s="865"/>
      <c r="Q1171" s="865"/>
      <c r="R1171" s="865"/>
      <c r="S1171" s="865"/>
      <c r="T1171" s="865"/>
      <c r="U1171" s="865"/>
    </row>
    <row r="1172" hidden="1">
      <c r="B1172" s="390"/>
      <c r="C1172" s="991"/>
      <c r="D1172" s="865"/>
      <c r="E1172" s="865"/>
      <c r="F1172" s="865"/>
      <c r="G1172" s="865"/>
      <c r="H1172" s="865"/>
      <c r="I1172" s="865"/>
      <c r="J1172" s="865"/>
      <c r="K1172" s="865"/>
      <c r="L1172" s="865"/>
      <c r="M1172" s="865"/>
      <c r="N1172" s="865"/>
      <c r="O1172" s="865"/>
      <c r="P1172" s="865"/>
      <c r="Q1172" s="865"/>
      <c r="R1172" s="865"/>
      <c r="S1172" s="865"/>
      <c r="T1172" s="865"/>
      <c r="U1172" s="865"/>
    </row>
    <row r="1173" hidden="1">
      <c r="B1173" s="390"/>
      <c r="C1173" s="991"/>
      <c r="D1173" s="865"/>
      <c r="E1173" s="865"/>
      <c r="F1173" s="865"/>
      <c r="G1173" s="865"/>
      <c r="H1173" s="865"/>
      <c r="I1173" s="865"/>
      <c r="J1173" s="865"/>
      <c r="K1173" s="865"/>
      <c r="L1173" s="865"/>
      <c r="M1173" s="865"/>
      <c r="N1173" s="865"/>
      <c r="O1173" s="865"/>
      <c r="P1173" s="865"/>
      <c r="Q1173" s="865"/>
      <c r="R1173" s="865"/>
      <c r="S1173" s="865"/>
      <c r="T1173" s="865"/>
      <c r="U1173" s="865"/>
    </row>
    <row r="1174" hidden="1">
      <c r="B1174" s="390"/>
      <c r="C1174" s="991"/>
      <c r="D1174" s="865"/>
      <c r="E1174" s="865"/>
      <c r="F1174" s="865"/>
      <c r="G1174" s="865"/>
      <c r="H1174" s="865"/>
      <c r="I1174" s="865"/>
      <c r="J1174" s="865"/>
      <c r="K1174" s="865"/>
      <c r="L1174" s="865"/>
      <c r="M1174" s="865"/>
      <c r="N1174" s="865"/>
      <c r="O1174" s="865"/>
      <c r="P1174" s="865"/>
      <c r="Q1174" s="865"/>
      <c r="R1174" s="865"/>
      <c r="S1174" s="865"/>
      <c r="T1174" s="865"/>
      <c r="U1174" s="865"/>
    </row>
    <row r="1175" hidden="1">
      <c r="B1175" s="390"/>
      <c r="C1175" s="991"/>
      <c r="D1175" s="865"/>
      <c r="E1175" s="865"/>
      <c r="F1175" s="865"/>
      <c r="G1175" s="865"/>
      <c r="H1175" s="865"/>
      <c r="I1175" s="865"/>
      <c r="J1175" s="865"/>
      <c r="K1175" s="865"/>
      <c r="L1175" s="865"/>
      <c r="M1175" s="865"/>
      <c r="N1175" s="865"/>
      <c r="O1175" s="865"/>
      <c r="P1175" s="865"/>
      <c r="Q1175" s="865"/>
      <c r="R1175" s="865"/>
      <c r="S1175" s="865"/>
      <c r="T1175" s="865"/>
      <c r="U1175" s="865"/>
    </row>
    <row r="1176" hidden="1">
      <c r="B1176" s="390"/>
      <c r="C1176" s="991"/>
      <c r="D1176" s="865"/>
      <c r="E1176" s="865"/>
      <c r="F1176" s="865"/>
      <c r="G1176" s="865"/>
      <c r="H1176" s="865"/>
      <c r="I1176" s="865"/>
      <c r="J1176" s="865"/>
      <c r="K1176" s="865"/>
      <c r="L1176" s="865"/>
      <c r="M1176" s="865"/>
      <c r="N1176" s="865"/>
      <c r="O1176" s="865"/>
      <c r="P1176" s="865"/>
      <c r="Q1176" s="865"/>
      <c r="R1176" s="865"/>
      <c r="S1176" s="865"/>
      <c r="T1176" s="865"/>
      <c r="U1176" s="865"/>
    </row>
    <row r="1177" hidden="1">
      <c r="B1177" s="390"/>
      <c r="C1177" s="991"/>
      <c r="D1177" s="865"/>
      <c r="E1177" s="865"/>
      <c r="F1177" s="865"/>
      <c r="G1177" s="865"/>
      <c r="H1177" s="865"/>
      <c r="I1177" s="865"/>
      <c r="J1177" s="865"/>
      <c r="K1177" s="865"/>
      <c r="L1177" s="865"/>
      <c r="M1177" s="865"/>
      <c r="N1177" s="865"/>
      <c r="O1177" s="865"/>
      <c r="P1177" s="865"/>
      <c r="Q1177" s="865"/>
      <c r="R1177" s="865"/>
      <c r="S1177" s="865"/>
      <c r="T1177" s="865"/>
      <c r="U1177" s="865"/>
    </row>
  </sheetData>
  <conditionalFormatting sqref="BG1:BG1177">
    <cfRule type="cellIs" dxfId="14" priority="1" operator="equal">
      <formula>1</formula>
    </cfRule>
  </conditionalFormatting>
  <conditionalFormatting sqref="BG1:BG1177">
    <cfRule type="cellIs" dxfId="22" priority="2" operator="equal">
      <formula>0</formula>
    </cfRule>
  </conditionalFormatting>
  <conditionalFormatting sqref="B1:B1177">
    <cfRule type="cellIs" dxfId="13" priority="3" operator="equal">
      <formula>"S+"</formula>
    </cfRule>
  </conditionalFormatting>
  <conditionalFormatting sqref="B1:B1177">
    <cfRule type="cellIs" dxfId="7" priority="4" operator="equal">
      <formula>"S"</formula>
    </cfRule>
  </conditionalFormatting>
  <conditionalFormatting sqref="B1:B1177">
    <cfRule type="cellIs" dxfId="13" priority="5" operator="equal">
      <formula>"S-"</formula>
    </cfRule>
  </conditionalFormatting>
  <conditionalFormatting sqref="B1:B1177">
    <cfRule type="cellIs" dxfId="14" priority="6" operator="equal">
      <formula>"A+"</formula>
    </cfRule>
  </conditionalFormatting>
  <conditionalFormatting sqref="B1:B1177">
    <cfRule type="cellIs" dxfId="14" priority="7" operator="equal">
      <formula>"A"</formula>
    </cfRule>
  </conditionalFormatting>
  <conditionalFormatting sqref="B1:B1177">
    <cfRule type="cellIs" dxfId="14" priority="8" operator="equal">
      <formula>"A-"</formula>
    </cfRule>
  </conditionalFormatting>
  <conditionalFormatting sqref="B1:B1177">
    <cfRule type="cellIs" dxfId="9" priority="9" operator="equal">
      <formula>"B+"</formula>
    </cfRule>
  </conditionalFormatting>
  <conditionalFormatting sqref="B1:B1177">
    <cfRule type="cellIs" dxfId="9" priority="10" operator="equal">
      <formula>"B"</formula>
    </cfRule>
  </conditionalFormatting>
  <conditionalFormatting sqref="B1:B1177">
    <cfRule type="cellIs" dxfId="9" priority="11" operator="equal">
      <formula>"B-"</formula>
    </cfRule>
  </conditionalFormatting>
  <conditionalFormatting sqref="B1:B1177">
    <cfRule type="cellIs" dxfId="23" priority="12" operator="equal">
      <formula>"C+"</formula>
    </cfRule>
  </conditionalFormatting>
  <conditionalFormatting sqref="B1:B1177">
    <cfRule type="cellIs" dxfId="23" priority="13" operator="equal">
      <formula>"C"</formula>
    </cfRule>
  </conditionalFormatting>
  <conditionalFormatting sqref="B1:B1177">
    <cfRule type="cellIs" dxfId="23" priority="14" operator="equal">
      <formula>"C-"</formula>
    </cfRule>
  </conditionalFormatting>
  <conditionalFormatting sqref="B1:B1177">
    <cfRule type="cellIs" dxfId="10" priority="15" operator="equal">
      <formula>"D+"</formula>
    </cfRule>
  </conditionalFormatting>
  <conditionalFormatting sqref="B1:B1177">
    <cfRule type="cellIs" dxfId="10" priority="16" operator="equal">
      <formula>"D"</formula>
    </cfRule>
  </conditionalFormatting>
  <conditionalFormatting sqref="B1:B1177">
    <cfRule type="cellIs" dxfId="10" priority="17" operator="equal">
      <formula>"D-"</formula>
    </cfRule>
  </conditionalFormatting>
  <conditionalFormatting sqref="B1:B1177">
    <cfRule type="cellIs" dxfId="11" priority="18" operator="equal">
      <formula>"E+"</formula>
    </cfRule>
  </conditionalFormatting>
  <conditionalFormatting sqref="B1:B1177">
    <cfRule type="cellIs" dxfId="11" priority="19" operator="equal">
      <formula>"E"</formula>
    </cfRule>
  </conditionalFormatting>
  <conditionalFormatting sqref="B1:B1177">
    <cfRule type="cellIs" dxfId="11" priority="20" operator="equal">
      <formula>"E-"</formula>
    </cfRule>
  </conditionalFormatting>
  <conditionalFormatting sqref="B1:B1177">
    <cfRule type="cellIs" dxfId="18" priority="21" operator="equal">
      <formula>"F+"</formula>
    </cfRule>
  </conditionalFormatting>
  <conditionalFormatting sqref="B1:B1177">
    <cfRule type="cellIs" dxfId="18" priority="22" operator="equal">
      <formula>"F"</formula>
    </cfRule>
  </conditionalFormatting>
  <conditionalFormatting sqref="B1:B1177">
    <cfRule type="cellIs" dxfId="18" priority="23" operator="equal">
      <formula>"F-"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0.38"/>
    <col customWidth="1" min="3" max="3" width="14.5"/>
    <col customWidth="1" min="4" max="4" width="11.13"/>
    <col customWidth="1" min="5" max="5" width="8.63"/>
  </cols>
  <sheetData>
    <row r="1">
      <c r="A1" s="992" t="s">
        <v>554</v>
      </c>
      <c r="C1" s="993" t="str">
        <f>IFERROR(__xludf.DUMMYFUNCTION("QUERY('PlayerGrades+'!L1:Y50,""SELECT L,W ORDER BY W DESC"")"),"Players")</f>
        <v>Players</v>
      </c>
      <c r="D1" s="994" t="str">
        <f>IFERROR(__xludf.DUMMYFUNCTION("""COMPUTED_VALUE"""),"gAVGmath")</f>
        <v>gAVGmath</v>
      </c>
      <c r="E1" s="995" t="s">
        <v>327</v>
      </c>
    </row>
    <row r="2">
      <c r="A2" s="686" t="s">
        <v>434</v>
      </c>
      <c r="B2" s="996">
        <f>PERCENTILE('PlayerGrades+'!$W$2:$W$50,1)</f>
        <v>33.05</v>
      </c>
      <c r="C2" s="662" t="str">
        <f>IFERROR(__xludf.DUMMYFUNCTION("""COMPUTED_VALUE"""),"Itzreelz")</f>
        <v>Itzreelz</v>
      </c>
      <c r="D2" s="997">
        <f>IFERROR(__xludf.DUMMYFUNCTION("""COMPUTED_VALUE"""),33.05)</f>
        <v>33.05</v>
      </c>
      <c r="E2" s="390" t="str">
        <f t="shared" ref="E2:E39" si="1">IF(D2&lt;$B$21,"F-",IF(D2&lt;$B$20,"F",IF(D2&lt;$B$19,"F+",IF(D2&lt;$B$18,"E-",IF(D2&lt;$B$17,"E",IF(D2&lt;$B$16,"E+",IF(D2&lt;$B$15,"D-",IF(D2&lt;$B$14,"D",IF(D2&lt;$B$13,"D+",IF(D2&lt;$B$12,"C-",IF(D2&lt;$B$11,"C",IF(D2&lt;$B$10,"C+",IF(D2&lt;$B$9,"B-",IF(D2&lt;$B$8,"B",IF(D2&lt;$B$7,"B+",IF(D2&lt;$B$6,"A-",IF(D2&lt;$B$5,"A",IF(D2&lt;$B$4,"A+",IF(D2&lt;$B$3,"S-",IF(D2&lt;$B$2,"S","S+"))))))))))))))))))))</f>
        <v>S+</v>
      </c>
    </row>
    <row r="3">
      <c r="A3" s="686" t="s">
        <v>435</v>
      </c>
      <c r="B3" s="996">
        <f>PERCENTILE('PlayerGrades+'!$W$2:$W$50,0.95)</f>
        <v>31.4975</v>
      </c>
      <c r="C3" s="662" t="str">
        <f>IFERROR(__xludf.DUMMYFUNCTION("""COMPUTED_VALUE"""),"DlGITAL PAIN")</f>
        <v>DlGITAL PAIN</v>
      </c>
      <c r="D3" s="997">
        <f>IFERROR(__xludf.DUMMYFUNCTION("""COMPUTED_VALUE"""),32.05)</f>
        <v>32.05</v>
      </c>
      <c r="E3" s="390" t="str">
        <f t="shared" si="1"/>
        <v>S</v>
      </c>
    </row>
    <row r="4">
      <c r="A4" s="686" t="s">
        <v>436</v>
      </c>
      <c r="B4" s="996">
        <f>PERCENTILE('PlayerGrades+'!$W$2:$W$50,0.9)</f>
        <v>29.92</v>
      </c>
      <c r="C4" s="662" t="str">
        <f>IFERROR(__xludf.DUMMYFUNCTION("""COMPUTED_VALUE"""),"oDhmon")</f>
        <v>oDhmon</v>
      </c>
      <c r="D4" s="997">
        <f>IFERROR(__xludf.DUMMYFUNCTION("""COMPUTED_VALUE"""),31.4)</f>
        <v>31.4</v>
      </c>
      <c r="E4" s="390" t="str">
        <f t="shared" si="1"/>
        <v>S-</v>
      </c>
    </row>
    <row r="5">
      <c r="A5" s="998" t="s">
        <v>437</v>
      </c>
      <c r="B5" s="999">
        <f>PERCENTILE('PlayerGrades+'!$W$2:$W$50,0.85)</f>
        <v>28.1825</v>
      </c>
      <c r="C5" s="662" t="str">
        <f>IFERROR(__xludf.DUMMYFUNCTION("""COMPUTED_VALUE"""),"Solace VIII")</f>
        <v>Solace VIII</v>
      </c>
      <c r="D5" s="997">
        <f>IFERROR(__xludf.DUMMYFUNCTION("""COMPUTED_VALUE"""),30.549999999999997)</f>
        <v>30.55</v>
      </c>
      <c r="E5" s="390" t="str">
        <f t="shared" si="1"/>
        <v>S-</v>
      </c>
    </row>
    <row r="6">
      <c r="A6" s="1000" t="s">
        <v>439</v>
      </c>
      <c r="B6" s="999">
        <f>PERCENTILE('PlayerGrades+'!$W$2:$W$50,0.8)</f>
        <v>25.1</v>
      </c>
      <c r="C6" s="662" t="str">
        <f>IFERROR(__xludf.DUMMYFUNCTION("""COMPUTED_VALUE"""),"ixGingy")</f>
        <v>ixGingy</v>
      </c>
      <c r="D6" s="997">
        <f>IFERROR(__xludf.DUMMYFUNCTION("""COMPUTED_VALUE"""),29.65)</f>
        <v>29.65</v>
      </c>
      <c r="E6" s="390" t="str">
        <f t="shared" si="1"/>
        <v>A+</v>
      </c>
    </row>
    <row r="7">
      <c r="A7" s="1001" t="s">
        <v>440</v>
      </c>
      <c r="B7" s="999">
        <f>PERCENTILE('PlayerGrades+'!$W$2:$W$50,0.75)</f>
        <v>24.4</v>
      </c>
      <c r="C7" s="662" t="str">
        <f>IFERROR(__xludf.DUMMYFUNCTION("""COMPUTED_VALUE"""),"ASpence501")</f>
        <v>ASpence501</v>
      </c>
      <c r="D7" s="997">
        <f>IFERROR(__xludf.DUMMYFUNCTION("""COMPUTED_VALUE"""),28.65)</f>
        <v>28.65</v>
      </c>
      <c r="E7" s="390" t="str">
        <f t="shared" si="1"/>
        <v>A+</v>
      </c>
    </row>
    <row r="8">
      <c r="A8" s="1002" t="s">
        <v>441</v>
      </c>
      <c r="B8" s="1003">
        <f>PERCENTILE('PlayerGrades+'!$W$2:$W$50,0.7)</f>
        <v>23.485</v>
      </c>
      <c r="C8" s="662" t="str">
        <f>IFERROR(__xludf.DUMMYFUNCTION("""COMPUTED_VALUE"""),"InfiniteRainge")</f>
        <v>InfiniteRainge</v>
      </c>
      <c r="D8" s="997">
        <f>IFERROR(__xludf.DUMMYFUNCTION("""COMPUTED_VALUE"""),27.8)</f>
        <v>27.8</v>
      </c>
      <c r="E8" s="390" t="str">
        <f t="shared" si="1"/>
        <v>A</v>
      </c>
    </row>
    <row r="9">
      <c r="A9" s="1004" t="s">
        <v>443</v>
      </c>
      <c r="B9" s="1003">
        <f>PERCENTILE('PlayerGrades+'!$W$2:$W$50,0.65)</f>
        <v>22.425</v>
      </c>
      <c r="C9" s="662" t="str">
        <f>IFERROR(__xludf.DUMMYFUNCTION("""COMPUTED_VALUE"""),"yLuxe")</f>
        <v>yLuxe</v>
      </c>
      <c r="D9" s="997">
        <f>IFERROR(__xludf.DUMMYFUNCTION("""COMPUTED_VALUE"""),25.3)</f>
        <v>25.3</v>
      </c>
      <c r="E9" s="390" t="str">
        <f t="shared" si="1"/>
        <v>A</v>
      </c>
    </row>
    <row r="10">
      <c r="A10" s="1005" t="s">
        <v>444</v>
      </c>
      <c r="B10" s="1003">
        <f>PERCENTILE('PlayerGrades+'!$W$2:$W$50,0.6)</f>
        <v>21.69</v>
      </c>
      <c r="C10" s="662" t="str">
        <f>IFERROR(__xludf.DUMMYFUNCTION("""COMPUTED_VALUE"""),"Cell x2")</f>
        <v>Cell x2</v>
      </c>
      <c r="D10" s="997">
        <f>IFERROR(__xludf.DUMMYFUNCTION("""COMPUTED_VALUE"""),24.8)</f>
        <v>24.8</v>
      </c>
      <c r="E10" s="390" t="str">
        <f t="shared" si="1"/>
        <v>A-</v>
      </c>
    </row>
    <row r="11">
      <c r="A11" s="1006" t="s">
        <v>445</v>
      </c>
      <c r="B11" s="1007">
        <f>PERCENTILE('PlayerGrades+'!$W$2:$W$50,0.55)</f>
        <v>20.535</v>
      </c>
      <c r="C11" s="662" t="str">
        <f>IFERROR(__xludf.DUMMYFUNCTION("""COMPUTED_VALUE"""),"MysticalNovice")</f>
        <v>MysticalNovice</v>
      </c>
      <c r="D11" s="997">
        <f>IFERROR(__xludf.DUMMYFUNCTION("""COMPUTED_VALUE"""),24.65)</f>
        <v>24.65</v>
      </c>
      <c r="E11" s="390" t="str">
        <f t="shared" si="1"/>
        <v>A-</v>
      </c>
    </row>
    <row r="12">
      <c r="A12" s="1008" t="s">
        <v>447</v>
      </c>
      <c r="B12" s="1007">
        <f>PERCENTILE('PlayerGrades+'!$W$2:$W$50,0.5)</f>
        <v>19.45</v>
      </c>
      <c r="C12" s="662" t="str">
        <f>IFERROR(__xludf.DUMMYFUNCTION("""COMPUTED_VALUE"""),"GodSnipezX")</f>
        <v>GodSnipezX</v>
      </c>
      <c r="D12" s="997">
        <f>IFERROR(__xludf.DUMMYFUNCTION("""COMPUTED_VALUE"""),23.650000000000002)</f>
        <v>23.65</v>
      </c>
      <c r="E12" s="390" t="str">
        <f t="shared" si="1"/>
        <v>B+</v>
      </c>
    </row>
    <row r="13">
      <c r="A13" s="1009" t="s">
        <v>448</v>
      </c>
      <c r="B13" s="1007">
        <f>PERCENTILE('PlayerGrades+'!$W$2:$W$50,0.45)</f>
        <v>18.13</v>
      </c>
      <c r="C13" s="662" t="str">
        <f>IFERROR(__xludf.DUMMYFUNCTION("""COMPUTED_VALUE"""),"Beautytism")</f>
        <v>Beautytism</v>
      </c>
      <c r="D13" s="997">
        <f>IFERROR(__xludf.DUMMYFUNCTION("""COMPUTED_VALUE"""),23.55)</f>
        <v>23.55</v>
      </c>
      <c r="E13" s="390" t="str">
        <f t="shared" si="1"/>
        <v>B+</v>
      </c>
    </row>
    <row r="14">
      <c r="A14" s="1010" t="s">
        <v>449</v>
      </c>
      <c r="B14" s="1011">
        <f>PERCENTILE('PlayerGrades+'!$W$2:$W$50,0.4)</f>
        <v>17.17</v>
      </c>
      <c r="C14" s="662" t="str">
        <f>IFERROR(__xludf.DUMMYFUNCTION("""COMPUTED_VALUE"""),"oh zilly")</f>
        <v>oh zilly</v>
      </c>
      <c r="D14" s="997">
        <f>IFERROR(__xludf.DUMMYFUNCTION("""COMPUTED_VALUE"""),22.9)</f>
        <v>22.9</v>
      </c>
      <c r="E14" s="390" t="str">
        <f t="shared" si="1"/>
        <v>B</v>
      </c>
    </row>
    <row r="15">
      <c r="A15" s="1012" t="s">
        <v>451</v>
      </c>
      <c r="B15" s="1011">
        <f>PERCENTILE('PlayerGrades+'!$W$2:$W$50,0.35)</f>
        <v>15.4875</v>
      </c>
      <c r="C15" s="662" t="str">
        <f>IFERROR(__xludf.DUMMYFUNCTION("""COMPUTED_VALUE"""),"L0RNA SHORE")</f>
        <v>L0RNA SHORE</v>
      </c>
      <c r="D15" s="997">
        <f>IFERROR(__xludf.DUMMYFUNCTION("""COMPUTED_VALUE"""),22.400000000000002)</f>
        <v>22.4</v>
      </c>
      <c r="E15" s="390" t="str">
        <f t="shared" si="1"/>
        <v>B-</v>
      </c>
    </row>
    <row r="16">
      <c r="A16" s="1013" t="s">
        <v>452</v>
      </c>
      <c r="B16" s="1011">
        <f>PERCENTILE('PlayerGrades+'!$W$2:$W$50,0.3)</f>
        <v>13.715</v>
      </c>
      <c r="C16" s="662" t="str">
        <f>IFERROR(__xludf.DUMMYFUNCTION("""COMPUTED_VALUE"""),"Dhlyn")</f>
        <v>Dhlyn</v>
      </c>
      <c r="D16" s="997">
        <f>IFERROR(__xludf.DUMMYFUNCTION("""COMPUTED_VALUE"""),22.05)</f>
        <v>22.05</v>
      </c>
      <c r="E16" s="390" t="str">
        <f t="shared" si="1"/>
        <v>B-</v>
      </c>
    </row>
    <row r="17">
      <c r="A17" s="1014" t="s">
        <v>453</v>
      </c>
      <c r="B17" s="1015">
        <f>PERCENTILE('PlayerGrades+'!$W$2:$W$50,0.25)</f>
        <v>13.3875</v>
      </c>
      <c r="C17" s="662" t="str">
        <f>IFERROR(__xludf.DUMMYFUNCTION("""COMPUTED_VALUE"""),"SPANKTR0N")</f>
        <v>SPANKTR0N</v>
      </c>
      <c r="D17" s="997">
        <f>IFERROR(__xludf.DUMMYFUNCTION("""COMPUTED_VALUE"""),21.599999999999998)</f>
        <v>21.6</v>
      </c>
      <c r="E17" s="390" t="str">
        <f t="shared" si="1"/>
        <v>C+</v>
      </c>
    </row>
    <row r="18">
      <c r="A18" s="1016" t="s">
        <v>455</v>
      </c>
      <c r="B18" s="1015">
        <f>PERCENTILE('PlayerGrades+'!$W$2:$W$50,0.2)</f>
        <v>12.57</v>
      </c>
      <c r="C18" s="662" t="str">
        <f>IFERROR(__xludf.DUMMYFUNCTION("""COMPUTED_VALUE"""),"Hells Angel cx")</f>
        <v>Hells Angel cx</v>
      </c>
      <c r="D18" s="997">
        <f>IFERROR(__xludf.DUMMYFUNCTION("""COMPUTED_VALUE"""),20.599999999999998)</f>
        <v>20.6</v>
      </c>
      <c r="E18" s="390" t="str">
        <f t="shared" si="1"/>
        <v>C+</v>
      </c>
    </row>
    <row r="19">
      <c r="A19" s="1017" t="s">
        <v>456</v>
      </c>
      <c r="B19" s="1015">
        <f>PERCENTILE('PlayerGrades+'!$W$2:$W$50,0.15)</f>
        <v>10.8375</v>
      </c>
      <c r="C19" s="662" t="str">
        <f>IFERROR(__xludf.DUMMYFUNCTION("""COMPUTED_VALUE"""),"MealyKitten0")</f>
        <v>MealyKitten0</v>
      </c>
      <c r="D19" s="997">
        <f>IFERROR(__xludf.DUMMYFUNCTION("""COMPUTED_VALUE"""),20.5)</f>
        <v>20.5</v>
      </c>
      <c r="E19" s="390" t="str">
        <f t="shared" si="1"/>
        <v>C</v>
      </c>
    </row>
    <row r="20">
      <c r="A20" s="1018" t="s">
        <v>457</v>
      </c>
      <c r="B20" s="1019">
        <f>PERCENTILE('PlayerGrades+'!$W$2:$W$50,0.1)</f>
        <v>10.08</v>
      </c>
      <c r="C20" s="662" t="str">
        <f>IFERROR(__xludf.DUMMYFUNCTION("""COMPUTED_VALUE"""),"Mhurcy")</f>
        <v>Mhurcy</v>
      </c>
      <c r="D20" s="997">
        <f>IFERROR(__xludf.DUMMYFUNCTION("""COMPUTED_VALUE"""),19.950000000000003)</f>
        <v>19.95</v>
      </c>
      <c r="E20" s="390" t="str">
        <f t="shared" si="1"/>
        <v>C</v>
      </c>
    </row>
    <row r="21">
      <c r="A21" s="1018" t="s">
        <v>458</v>
      </c>
      <c r="B21" s="1019">
        <f>PERCENTILE('PlayerGrades+'!$W$2:$W$50,0.05)</f>
        <v>8.4375</v>
      </c>
      <c r="C21" s="662" t="str">
        <f>IFERROR(__xludf.DUMMYFUNCTION("""COMPUTED_VALUE"""),"Scullen cx")</f>
        <v>Scullen cx</v>
      </c>
      <c r="D21" s="997">
        <f>IFERROR(__xludf.DUMMYFUNCTION("""COMPUTED_VALUE"""),18.95)</f>
        <v>18.95</v>
      </c>
      <c r="E21" s="390" t="str">
        <f t="shared" si="1"/>
        <v>C-</v>
      </c>
    </row>
    <row r="22">
      <c r="A22" s="1018" t="s">
        <v>459</v>
      </c>
      <c r="B22" s="1019">
        <f>PERCENTILE('PlayerGrades+'!$W$2:$W$50,0)</f>
        <v>6.65</v>
      </c>
      <c r="C22" s="662" t="str">
        <f>IFERROR(__xludf.DUMMYFUNCTION("""COMPUTED_VALUE"""),"Lane Uppy")</f>
        <v>Lane Uppy</v>
      </c>
      <c r="D22" s="997">
        <f>IFERROR(__xludf.DUMMYFUNCTION("""COMPUTED_VALUE"""),18.549999999999997)</f>
        <v>18.55</v>
      </c>
      <c r="E22" s="390" t="str">
        <f t="shared" si="1"/>
        <v>C-</v>
      </c>
    </row>
    <row r="23">
      <c r="B23" s="997"/>
      <c r="C23" s="662" t="str">
        <f>IFERROR(__xludf.DUMMYFUNCTION("""COMPUTED_VALUE"""),"Dior Glori")</f>
        <v>Dior Glori</v>
      </c>
      <c r="D23" s="997">
        <f>IFERROR(__xludf.DUMMYFUNCTION("""COMPUTED_VALUE"""),17.35)</f>
        <v>17.35</v>
      </c>
      <c r="E23" s="390" t="str">
        <f t="shared" si="1"/>
        <v>D+</v>
      </c>
    </row>
    <row r="24">
      <c r="B24" s="997"/>
      <c r="C24" s="662" t="str">
        <f>IFERROR(__xludf.DUMMYFUNCTION("""COMPUTED_VALUE"""),"Mavbrid")</f>
        <v>Mavbrid</v>
      </c>
      <c r="D24" s="997">
        <f>IFERROR(__xludf.DUMMYFUNCTION("""COMPUTED_VALUE"""),17.25)</f>
        <v>17.25</v>
      </c>
      <c r="E24" s="390" t="str">
        <f t="shared" si="1"/>
        <v>D+</v>
      </c>
    </row>
    <row r="25">
      <c r="B25" s="997"/>
      <c r="C25" s="662" t="str">
        <f>IFERROR(__xludf.DUMMYFUNCTION("""COMPUTED_VALUE"""),"L1ght5aber")</f>
        <v>L1ght5aber</v>
      </c>
      <c r="D25" s="997">
        <f>IFERROR(__xludf.DUMMYFUNCTION("""COMPUTED_VALUE"""),16.849999999999998)</f>
        <v>16.85</v>
      </c>
      <c r="E25" s="390" t="str">
        <f t="shared" si="1"/>
        <v>D</v>
      </c>
    </row>
    <row r="26">
      <c r="B26" s="997"/>
      <c r="C26" s="662" t="str">
        <f>IFERROR(__xludf.DUMMYFUNCTION("""COMPUTED_VALUE"""),"EllisGotMyPills")</f>
        <v>EllisGotMyPills</v>
      </c>
      <c r="D26" s="997">
        <f>IFERROR(__xludf.DUMMYFUNCTION("""COMPUTED_VALUE"""),15.549999999999999)</f>
        <v>15.55</v>
      </c>
      <c r="E26" s="390" t="str">
        <f t="shared" si="1"/>
        <v>D</v>
      </c>
    </row>
    <row r="27">
      <c r="B27" s="997"/>
      <c r="C27" s="662" t="str">
        <f>IFERROR(__xludf.DUMMYFUNCTION("""COMPUTED_VALUE"""),"ActiveHate")</f>
        <v>ActiveHate</v>
      </c>
      <c r="D27" s="997">
        <f>IFERROR(__xludf.DUMMYFUNCTION("""COMPUTED_VALUE"""),14.3)</f>
        <v>14.3</v>
      </c>
      <c r="E27" s="390" t="str">
        <f t="shared" si="1"/>
        <v>D-</v>
      </c>
    </row>
    <row r="28">
      <c r="B28" s="997"/>
      <c r="C28" s="662" t="str">
        <f>IFERROR(__xludf.DUMMYFUNCTION("""COMPUTED_VALUE"""),"MoldyVolts")</f>
        <v>MoldyVolts</v>
      </c>
      <c r="D28" s="997">
        <f>IFERROR(__xludf.DUMMYFUNCTION("""COMPUTED_VALUE"""),13.650000000000002)</f>
        <v>13.65</v>
      </c>
      <c r="E28" s="390" t="str">
        <f t="shared" si="1"/>
        <v>E+</v>
      </c>
    </row>
    <row r="29">
      <c r="B29" s="997"/>
      <c r="C29" s="662" t="str">
        <f>IFERROR(__xludf.DUMMYFUNCTION("""COMPUTED_VALUE"""),"Finesse God24")</f>
        <v>Finesse God24</v>
      </c>
      <c r="D29" s="997">
        <f>IFERROR(__xludf.DUMMYFUNCTION("""COMPUTED_VALUE"""),13.65)</f>
        <v>13.65</v>
      </c>
      <c r="E29" s="390" t="str">
        <f t="shared" si="1"/>
        <v>E+</v>
      </c>
    </row>
    <row r="30">
      <c r="B30" s="997"/>
      <c r="C30" s="662" t="str">
        <f>IFERROR(__xludf.DUMMYFUNCTION("""COMPUTED_VALUE"""),"CaptainSev004")</f>
        <v>CaptainSev004</v>
      </c>
      <c r="D30" s="997">
        <f>IFERROR(__xludf.DUMMYFUNCTION("""COMPUTED_VALUE"""),13.3)</f>
        <v>13.3</v>
      </c>
      <c r="E30" s="390" t="str">
        <f t="shared" si="1"/>
        <v>E</v>
      </c>
    </row>
    <row r="31">
      <c r="B31" s="997"/>
      <c r="C31" s="662" t="str">
        <f>IFERROR(__xludf.DUMMYFUNCTION("""COMPUTED_VALUE"""),"Almighty Tycoon")</f>
        <v>Almighty Tycoon</v>
      </c>
      <c r="D31" s="997">
        <f>IFERROR(__xludf.DUMMYFUNCTION("""COMPUTED_VALUE"""),12.75)</f>
        <v>12.75</v>
      </c>
      <c r="E31" s="390" t="str">
        <f t="shared" si="1"/>
        <v>E</v>
      </c>
    </row>
    <row r="32">
      <c r="B32" s="997"/>
      <c r="C32" s="662" t="str">
        <f>IFERROR(__xludf.DUMMYFUNCTION("""COMPUTED_VALUE"""),"ADhillyy")</f>
        <v>ADhillyy</v>
      </c>
      <c r="D32" s="997">
        <f>IFERROR(__xludf.DUMMYFUNCTION("""COMPUTED_VALUE"""),12.45)</f>
        <v>12.45</v>
      </c>
      <c r="E32" s="390" t="str">
        <f t="shared" si="1"/>
        <v>E-</v>
      </c>
    </row>
    <row r="33">
      <c r="B33" s="997"/>
      <c r="C33" s="662" t="str">
        <f>IFERROR(__xludf.DUMMYFUNCTION("""COMPUTED_VALUE"""),"Luner Panda")</f>
        <v>Luner Panda</v>
      </c>
      <c r="D33" s="997">
        <f>IFERROR(__xludf.DUMMYFUNCTION("""COMPUTED_VALUE"""),10.950000000000001)</f>
        <v>10.95</v>
      </c>
      <c r="E33" s="390" t="str">
        <f t="shared" si="1"/>
        <v>E-</v>
      </c>
    </row>
    <row r="34">
      <c r="B34" s="997"/>
      <c r="C34" s="662" t="str">
        <f>IFERROR(__xludf.DUMMYFUNCTION("""COMPUTED_VALUE"""),"AwareMosquito")</f>
        <v>AwareMosquito</v>
      </c>
      <c r="D34" s="997">
        <f>IFERROR(__xludf.DUMMYFUNCTION("""COMPUTED_VALUE"""),10.7)</f>
        <v>10.7</v>
      </c>
      <c r="E34" s="390" t="str">
        <f t="shared" si="1"/>
        <v>F+</v>
      </c>
    </row>
    <row r="35">
      <c r="B35" s="997"/>
      <c r="C35" s="662" t="str">
        <f>IFERROR(__xludf.DUMMYFUNCTION("""COMPUTED_VALUE"""),"MuNgO PuNgO")</f>
        <v>MuNgO PuNgO</v>
      </c>
      <c r="D35" s="997">
        <f>IFERROR(__xludf.DUMMYFUNCTION("""COMPUTED_VALUE"""),10.350000000000001)</f>
        <v>10.35</v>
      </c>
      <c r="E35" s="390" t="str">
        <f t="shared" si="1"/>
        <v>F+</v>
      </c>
    </row>
    <row r="36">
      <c r="B36" s="997"/>
      <c r="C36" s="662" t="str">
        <f>IFERROR(__xludf.DUMMYFUNCTION("""COMPUTED_VALUE"""),"TommyWstSide")</f>
        <v>TommyWstSide</v>
      </c>
      <c r="D36" s="997">
        <f>IFERROR(__xludf.DUMMYFUNCTION("""COMPUTED_VALUE"""),9.450000000000001)</f>
        <v>9.45</v>
      </c>
      <c r="E36" s="390" t="str">
        <f t="shared" si="1"/>
        <v>F</v>
      </c>
    </row>
    <row r="37">
      <c r="B37" s="997"/>
      <c r="C37" s="662" t="str">
        <f>IFERROR(__xludf.DUMMYFUNCTION("""COMPUTED_VALUE"""),"Laser Wins")</f>
        <v>Laser Wins</v>
      </c>
      <c r="D37" s="997">
        <f>IFERROR(__xludf.DUMMYFUNCTION("""COMPUTED_VALUE"""),8.55)</f>
        <v>8.55</v>
      </c>
      <c r="E37" s="390" t="str">
        <f t="shared" si="1"/>
        <v>F</v>
      </c>
    </row>
    <row r="38">
      <c r="B38" s="997"/>
      <c r="C38" s="662" t="str">
        <f>IFERROR(__xludf.DUMMYFUNCTION("""COMPUTED_VALUE"""),"Doerstopper")</f>
        <v>Doerstopper</v>
      </c>
      <c r="D38" s="997">
        <f>IFERROR(__xludf.DUMMYFUNCTION("""COMPUTED_VALUE"""),7.800000000000001)</f>
        <v>7.8</v>
      </c>
      <c r="E38" s="390" t="str">
        <f t="shared" si="1"/>
        <v>F-</v>
      </c>
    </row>
    <row r="39">
      <c r="B39" s="997"/>
      <c r="C39" s="662"/>
      <c r="D39" s="997">
        <f>IFERROR(__xludf.DUMMYFUNCTION("""COMPUTED_VALUE"""),6.650000000000001)</f>
        <v>6.65</v>
      </c>
      <c r="E39" s="390" t="str">
        <f t="shared" si="1"/>
        <v>F-</v>
      </c>
    </row>
    <row r="40">
      <c r="B40" s="997"/>
      <c r="C40" s="662"/>
      <c r="D40" s="997"/>
      <c r="E40" s="390"/>
    </row>
    <row r="41">
      <c r="B41" s="997"/>
      <c r="C41" s="662"/>
      <c r="D41" s="997"/>
      <c r="E41" s="390"/>
    </row>
    <row r="42">
      <c r="B42" s="997"/>
      <c r="C42" s="662"/>
      <c r="D42" s="997"/>
      <c r="E42" s="390"/>
    </row>
    <row r="43">
      <c r="B43" s="997"/>
      <c r="C43" s="662"/>
      <c r="D43" s="997"/>
      <c r="E43" s="390"/>
    </row>
    <row r="44">
      <c r="B44" s="997"/>
      <c r="C44" s="662"/>
      <c r="D44" s="997"/>
      <c r="E44" s="390"/>
    </row>
    <row r="45">
      <c r="B45" s="997"/>
      <c r="C45" s="662"/>
      <c r="D45" s="997"/>
      <c r="E45" s="390"/>
    </row>
    <row r="46">
      <c r="B46" s="997"/>
      <c r="C46" s="662"/>
      <c r="D46" s="997"/>
      <c r="E46" s="390"/>
    </row>
    <row r="47">
      <c r="B47" s="997"/>
      <c r="C47" s="662"/>
      <c r="D47" s="997"/>
      <c r="E47" s="390"/>
    </row>
    <row r="48">
      <c r="B48" s="997"/>
      <c r="C48" s="662"/>
      <c r="D48" s="997"/>
      <c r="E48" s="390"/>
    </row>
    <row r="49">
      <c r="B49" s="997"/>
      <c r="C49" s="662"/>
      <c r="D49" s="997"/>
      <c r="E49" s="390"/>
    </row>
    <row r="50">
      <c r="B50" s="997"/>
      <c r="C50" s="662"/>
      <c r="D50" s="997"/>
      <c r="E50" s="390"/>
    </row>
    <row r="51">
      <c r="B51" s="997"/>
      <c r="D51" s="997"/>
      <c r="E51" s="390"/>
    </row>
    <row r="52">
      <c r="B52" s="997"/>
      <c r="D52" s="997"/>
      <c r="E52" s="390"/>
    </row>
  </sheetData>
  <mergeCells count="1">
    <mergeCell ref="A1:B1"/>
  </mergeCells>
  <conditionalFormatting sqref="E1:E52">
    <cfRule type="cellIs" dxfId="17" priority="1" operator="equal">
      <formula>"S+"</formula>
    </cfRule>
  </conditionalFormatting>
  <conditionalFormatting sqref="E1:E52">
    <cfRule type="cellIs" dxfId="17" priority="2" operator="equal">
      <formula>"S"</formula>
    </cfRule>
  </conditionalFormatting>
  <conditionalFormatting sqref="E1:E52">
    <cfRule type="cellIs" dxfId="17" priority="3" operator="equal">
      <formula>"S-"</formula>
    </cfRule>
  </conditionalFormatting>
  <conditionalFormatting sqref="E1:E52">
    <cfRule type="cellIs" dxfId="14" priority="4" operator="equal">
      <formula>"A+"</formula>
    </cfRule>
  </conditionalFormatting>
  <conditionalFormatting sqref="E1:E52">
    <cfRule type="cellIs" dxfId="14" priority="5" operator="equal">
      <formula>"A"</formula>
    </cfRule>
  </conditionalFormatting>
  <conditionalFormatting sqref="E1:E52">
    <cfRule type="cellIs" dxfId="14" priority="6" operator="equal">
      <formula>"A-"</formula>
    </cfRule>
  </conditionalFormatting>
  <conditionalFormatting sqref="E1:E52">
    <cfRule type="cellIs" dxfId="9" priority="7" operator="equal">
      <formula>"B+"</formula>
    </cfRule>
  </conditionalFormatting>
  <conditionalFormatting sqref="E1:E52">
    <cfRule type="cellIs" dxfId="9" priority="8" operator="equal">
      <formula>"B"</formula>
    </cfRule>
  </conditionalFormatting>
  <conditionalFormatting sqref="E1:E52">
    <cfRule type="cellIs" dxfId="9" priority="9" operator="equal">
      <formula>"B-"</formula>
    </cfRule>
  </conditionalFormatting>
  <conditionalFormatting sqref="E1:E52">
    <cfRule type="cellIs" dxfId="23" priority="10" operator="equal">
      <formula>"C+"</formula>
    </cfRule>
  </conditionalFormatting>
  <conditionalFormatting sqref="E1:E52">
    <cfRule type="cellIs" dxfId="23" priority="11" operator="equal">
      <formula>"C"</formula>
    </cfRule>
  </conditionalFormatting>
  <conditionalFormatting sqref="E1:E52">
    <cfRule type="cellIs" dxfId="23" priority="12" operator="equal">
      <formula>"C-"</formula>
    </cfRule>
  </conditionalFormatting>
  <conditionalFormatting sqref="E1:E52">
    <cfRule type="cellIs" dxfId="24" priority="13" operator="equal">
      <formula>"D+"</formula>
    </cfRule>
  </conditionalFormatting>
  <conditionalFormatting sqref="E1:E52">
    <cfRule type="cellIs" dxfId="24" priority="14" operator="equal">
      <formula>"D"</formula>
    </cfRule>
  </conditionalFormatting>
  <conditionalFormatting sqref="E1:E52">
    <cfRule type="cellIs" dxfId="24" priority="15" operator="equal">
      <formula>"D-"</formula>
    </cfRule>
  </conditionalFormatting>
  <conditionalFormatting sqref="E1:E52">
    <cfRule type="cellIs" dxfId="15" priority="16" operator="equal">
      <formula>"E+"</formula>
    </cfRule>
  </conditionalFormatting>
  <conditionalFormatting sqref="E1:E52">
    <cfRule type="cellIs" dxfId="15" priority="17" operator="equal">
      <formula>"E"</formula>
    </cfRule>
  </conditionalFormatting>
  <conditionalFormatting sqref="E1:E52">
    <cfRule type="cellIs" dxfId="15" priority="18" operator="equal">
      <formula>"E-"</formula>
    </cfRule>
  </conditionalFormatting>
  <conditionalFormatting sqref="E1:E52">
    <cfRule type="cellIs" dxfId="18" priority="19" operator="equal">
      <formula>"F+"</formula>
    </cfRule>
  </conditionalFormatting>
  <conditionalFormatting sqref="E1:E52">
    <cfRule type="cellIs" dxfId="18" priority="20" operator="equal">
      <formula>"F"</formula>
    </cfRule>
  </conditionalFormatting>
  <conditionalFormatting sqref="E1:E52">
    <cfRule type="cellIs" dxfId="18" priority="21" operator="equal">
      <formula>"F-"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3.88"/>
  </cols>
  <sheetData>
    <row r="1">
      <c r="A1" s="660" t="s">
        <v>555</v>
      </c>
    </row>
    <row r="3">
      <c r="A3" s="12" t="s">
        <v>421</v>
      </c>
      <c r="B3" s="660" t="s">
        <v>556</v>
      </c>
    </row>
    <row r="4">
      <c r="A4" s="905" t="s">
        <v>557</v>
      </c>
      <c r="B4" s="1020">
        <f>('Halo Reach Stats'!I2/('Halo Reach Stats'!P2/60))</f>
        <v>-755.0943396</v>
      </c>
    </row>
    <row r="5">
      <c r="A5" s="907" t="s">
        <v>558</v>
      </c>
      <c r="B5" s="1021">
        <f>('Halo Reach Stats'!I18/('Halo Reach Stats'!P18/60))</f>
        <v>101.2844037</v>
      </c>
    </row>
    <row r="6">
      <c r="A6" s="905" t="s">
        <v>559</v>
      </c>
      <c r="B6" s="1020">
        <f>('Halo Reach Stats'!I36/('Halo Reach Stats'!P36/60))</f>
        <v>43.51485149</v>
      </c>
    </row>
    <row r="7">
      <c r="A7" s="907" t="s">
        <v>123</v>
      </c>
      <c r="B7" s="1021" t="str">
        <f>('Halo Reach Stats'!I45/('Halo Reach Stats'!P45/60))</f>
        <v>#DIV/0!</v>
      </c>
    </row>
    <row r="8">
      <c r="A8" s="905" t="s">
        <v>560</v>
      </c>
      <c r="B8" s="1020">
        <f>('Halo Reach Stats'!I13/('Halo Reach Stats'!P13/60))</f>
        <v>-3.371159701</v>
      </c>
    </row>
    <row r="9">
      <c r="A9" s="907" t="s">
        <v>561</v>
      </c>
      <c r="B9" s="1021">
        <f>('Halo Reach Stats'!I33/('Halo Reach Stats'!P33/60))</f>
        <v>25.86915888</v>
      </c>
    </row>
    <row r="10">
      <c r="A10" s="905" t="s">
        <v>138</v>
      </c>
      <c r="B10" s="1020">
        <f>('Halo Reach Stats'!I38/('Halo Reach Stats'!P38/60))</f>
        <v>-195.1807229</v>
      </c>
    </row>
    <row r="11">
      <c r="A11" s="907" t="s">
        <v>562</v>
      </c>
      <c r="B11" s="1021">
        <f>('Halo Reach Stats'!I11/('Halo Reach Stats'!P11/60))</f>
        <v>-3.818995525</v>
      </c>
    </row>
    <row r="12">
      <c r="A12" s="905" t="s">
        <v>563</v>
      </c>
      <c r="B12" s="1020">
        <f>('Halo Reach Stats'!I7/('Halo Reach Stats'!P7/60))</f>
        <v>64.93150685</v>
      </c>
    </row>
    <row r="13">
      <c r="A13" s="907" t="s">
        <v>419</v>
      </c>
      <c r="B13" s="1021">
        <f>('Halo Reach Stats'!I16/('Halo Reach Stats'!P16/60))</f>
        <v>-8.158640227</v>
      </c>
    </row>
    <row r="14">
      <c r="A14" s="905" t="s">
        <v>564</v>
      </c>
      <c r="B14" s="1020">
        <f>('Halo Reach Stats'!I20/('Halo Reach Stats'!P20/60))</f>
        <v>2.149057169</v>
      </c>
    </row>
    <row r="15">
      <c r="A15" s="907" t="s">
        <v>565</v>
      </c>
      <c r="B15" s="1021">
        <f>('Halo Reach Stats'!I35/('Halo Reach Stats'!P35/60))</f>
        <v>-53.32173913</v>
      </c>
    </row>
    <row r="16">
      <c r="A16" s="905" t="s">
        <v>136</v>
      </c>
      <c r="B16" s="1020">
        <f>('Halo Reach Stats'!I30/('Halo Reach Stats'!P30/60))</f>
        <v>-99.68819599</v>
      </c>
    </row>
    <row r="17">
      <c r="A17" s="907" t="s">
        <v>566</v>
      </c>
      <c r="B17" s="1021">
        <f>('Halo Reach Stats'!I10/('Halo Reach Stats'!P10/60))</f>
        <v>0.7858024106</v>
      </c>
    </row>
    <row r="18">
      <c r="A18" s="905" t="s">
        <v>567</v>
      </c>
      <c r="B18" s="1020">
        <f>('Halo Reach Stats'!I6/('Halo Reach Stats'!P6/60))</f>
        <v>-12.98076923</v>
      </c>
    </row>
    <row r="19">
      <c r="A19" s="907" t="s">
        <v>568</v>
      </c>
      <c r="B19" s="1021">
        <f>('Halo Reach Stats'!I17/('Halo Reach Stats'!P17/60))</f>
        <v>-0.02630136986</v>
      </c>
    </row>
    <row r="20">
      <c r="A20" s="905" t="s">
        <v>569</v>
      </c>
      <c r="B20" s="1020">
        <f>('Halo Reach Stats'!I9/('Halo Reach Stats'!P9/60))</f>
        <v>-2.598870056</v>
      </c>
    </row>
    <row r="21">
      <c r="A21" s="907" t="s">
        <v>156</v>
      </c>
      <c r="B21" s="1021">
        <f>('Halo Reach Stats'!I3/('Halo Reach Stats'!P3/60))</f>
        <v>-294.8571429</v>
      </c>
    </row>
    <row r="22">
      <c r="A22" s="905" t="s">
        <v>570</v>
      </c>
      <c r="B22" s="1020">
        <f>('Halo Reach Stats'!I14/('Halo Reach Stats'!P14/60))</f>
        <v>0.8270328653</v>
      </c>
    </row>
    <row r="23">
      <c r="A23" s="907" t="s">
        <v>571</v>
      </c>
      <c r="B23" s="1021" t="str">
        <f>('Halo Reach Stats'!I44/('Halo Reach Stats'!P44/60))</f>
        <v>#DIV/0!</v>
      </c>
    </row>
    <row r="24">
      <c r="A24" s="905" t="s">
        <v>153</v>
      </c>
      <c r="B24" s="1020">
        <f>('Halo Reach Stats'!I12/('Halo Reach Stats'!P12/60))</f>
        <v>58.41509434</v>
      </c>
    </row>
    <row r="25">
      <c r="A25" s="907" t="s">
        <v>572</v>
      </c>
      <c r="B25" s="1021">
        <f>('Halo Reach Stats'!I29/('Halo Reach Stats'!P29/60))</f>
        <v>-16.201373</v>
      </c>
    </row>
    <row r="26">
      <c r="A26" s="905" t="s">
        <v>573</v>
      </c>
      <c r="B26" s="1020">
        <f>('Halo Reach Stats'!I26/('Halo Reach Stats'!P26/60))</f>
        <v>-7.742770824</v>
      </c>
    </row>
    <row r="27">
      <c r="A27" s="907" t="s">
        <v>574</v>
      </c>
      <c r="B27" s="1021">
        <f>('Halo Reach Stats'!I23/('Halo Reach Stats'!P23/60))</f>
        <v>-41.38888889</v>
      </c>
    </row>
    <row r="28">
      <c r="A28" s="905" t="s">
        <v>152</v>
      </c>
      <c r="B28" s="1020" t="str">
        <f>('Halo Reach Stats'!I42/('Halo Reach Stats'!P42/60))</f>
        <v>#DIV/0!</v>
      </c>
    </row>
    <row r="29">
      <c r="A29" s="907" t="s">
        <v>220</v>
      </c>
      <c r="B29" s="1021">
        <f>('Halo Reach Stats'!I15/('Halo Reach Stats'!P15/60))</f>
        <v>-157.1428571</v>
      </c>
    </row>
    <row r="30">
      <c r="A30" s="905" t="s">
        <v>147</v>
      </c>
      <c r="B30" s="1020">
        <f>('Halo Reach Stats'!I25/('Halo Reach Stats'!P25/60))</f>
        <v>-2.078708375</v>
      </c>
    </row>
    <row r="31">
      <c r="A31" s="907" t="s">
        <v>575</v>
      </c>
      <c r="B31" s="1021">
        <f>('Halo Reach Stats'!I31/('Halo Reach Stats'!P31/60))</f>
        <v>-281.0526316</v>
      </c>
    </row>
    <row r="32">
      <c r="A32" s="905" t="s">
        <v>576</v>
      </c>
      <c r="B32" s="1020">
        <f>('Halo Reach Stats'!I27/('Halo Reach Stats'!P27/60))</f>
        <v>0.245451215</v>
      </c>
    </row>
    <row r="33">
      <c r="A33" s="907" t="s">
        <v>577</v>
      </c>
      <c r="B33" s="1021">
        <f>('Halo Reach Stats'!I22/('Halo Reach Stats'!P22/60))</f>
        <v>0.7050796058</v>
      </c>
    </row>
    <row r="34">
      <c r="A34" s="905" t="s">
        <v>578</v>
      </c>
      <c r="B34" s="1020" t="str">
        <f>('Halo Reach Stats'!I41/('Halo Reach Stats'!P41/60))</f>
        <v>#DIV/0!</v>
      </c>
    </row>
    <row r="35">
      <c r="A35" s="907" t="s">
        <v>579</v>
      </c>
      <c r="B35" s="1021">
        <f>('Halo Reach Stats'!I21/('Halo Reach Stats'!P21/60))</f>
        <v>102.6666667</v>
      </c>
    </row>
    <row r="36">
      <c r="A36" s="905" t="s">
        <v>114</v>
      </c>
      <c r="B36" s="1020">
        <f>('Halo Reach Stats'!I24/('Halo Reach Stats'!P24/60))</f>
        <v>-36.13138686</v>
      </c>
    </row>
    <row r="37">
      <c r="A37" s="907" t="s">
        <v>142</v>
      </c>
      <c r="B37" s="1021">
        <f>('Halo Reach Stats'!I8/('Halo Reach Stats'!P8/60))</f>
        <v>-78.24324324</v>
      </c>
    </row>
    <row r="38">
      <c r="A38" s="905" t="s">
        <v>270</v>
      </c>
      <c r="B38" s="1020">
        <f>('Halo Reach Stats'!I37/('Halo Reach Stats'!P37/60))</f>
        <v>-70.18867925</v>
      </c>
    </row>
    <row r="39">
      <c r="A39" s="907" t="s">
        <v>159</v>
      </c>
      <c r="B39" s="1021">
        <f>('Halo Reach Stats'!I5/('Halo Reach Stats'!P5/60))</f>
        <v>-2.787610619</v>
      </c>
    </row>
    <row r="40">
      <c r="A40" s="905" t="s">
        <v>580</v>
      </c>
      <c r="B40" s="1020">
        <f>('Halo Reach Stats'!I4/('Halo Reach Stats'!P4/60))</f>
        <v>-80.50251256</v>
      </c>
    </row>
    <row r="41">
      <c r="A41" s="907" t="s">
        <v>166</v>
      </c>
      <c r="B41" s="1021">
        <f>('Halo Reach Stats'!I28/('Halo Reach Stats'!P28/60))</f>
        <v>-21.7877095</v>
      </c>
    </row>
    <row r="42">
      <c r="A42" s="905" t="s">
        <v>581</v>
      </c>
      <c r="B42" s="1020" t="str">
        <f>('Halo Reach Stats'!I40/('Halo Reach Stats'!P40/60))</f>
        <v>#DIV/0!</v>
      </c>
    </row>
    <row r="43">
      <c r="A43" s="907" t="s">
        <v>582</v>
      </c>
      <c r="B43" s="1021">
        <f>('Halo Reach Stats'!I19/('Halo Reach Stats'!P19/60))</f>
        <v>14.76614699</v>
      </c>
    </row>
    <row r="44">
      <c r="A44" s="905" t="s">
        <v>583</v>
      </c>
      <c r="B44" s="1020">
        <f>('Halo Reach Stats'!I34/('Halo Reach Stats'!P34/60))</f>
        <v>-21.61085973</v>
      </c>
    </row>
    <row r="45">
      <c r="A45" s="907" t="s">
        <v>584</v>
      </c>
      <c r="B45" s="1021">
        <f>('Halo Reach Stats'!I32/('Halo Reach Stats'!P32/60))</f>
        <v>-37.06666667</v>
      </c>
    </row>
    <row r="46">
      <c r="A46" s="905" t="s">
        <v>585</v>
      </c>
      <c r="B46" s="1020" t="str">
        <f>('Halo Reach Stats'!I43/('Halo Reach Stats'!P43/60))</f>
        <v>#DIV/0!</v>
      </c>
    </row>
    <row r="47">
      <c r="A47" s="907" t="s">
        <v>586</v>
      </c>
      <c r="B47" s="1022">
        <f>('Halo Reach Stats'!I39/('Halo Reach Stats'!P39/60))</f>
        <v>1.692840032</v>
      </c>
    </row>
  </sheetData>
  <autoFilter ref="$A$3:$Z$47">
    <sortState ref="A3:Z47">
      <sortCondition descending="1" ref="B3:B47"/>
    </sortState>
  </autoFil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5"/>
    <col customWidth="1" min="2" max="2" width="9.0"/>
    <col customWidth="1" hidden="1" min="3" max="3" width="9.0"/>
    <col customWidth="1" min="4" max="5" width="6.63"/>
    <col customWidth="1" min="6" max="6" width="6.88"/>
    <col customWidth="1" min="7" max="9" width="6.63"/>
    <col customWidth="1" min="10" max="10" width="8.5"/>
    <col customWidth="1" min="11" max="11" width="8.88"/>
    <col customWidth="1" min="12" max="12" width="9.5"/>
    <col customWidth="1" min="13" max="13" width="10.5"/>
    <col customWidth="1" min="14" max="14" width="10.38"/>
    <col customWidth="1" min="15" max="15" width="11.63"/>
    <col customWidth="1" min="16" max="16" width="12.88"/>
    <col customWidth="1" min="17" max="17" width="10.13"/>
    <col customWidth="1" min="18" max="18" width="9.0"/>
    <col customWidth="1" min="19" max="19" width="8.0"/>
    <col customWidth="1" min="20" max="20" width="10.0"/>
    <col customWidth="1" min="21" max="21" width="10.13"/>
    <col customWidth="1" min="22" max="22" width="11.88"/>
    <col customWidth="1" min="23" max="23" width="11.13"/>
    <col customWidth="1" min="24" max="24" width="8.25"/>
    <col customWidth="1" min="25" max="25" width="8.5"/>
    <col customWidth="1" min="26" max="26" width="9.13"/>
    <col customWidth="1" min="27" max="27" width="15.0"/>
    <col customWidth="1" min="28" max="28" width="7.5"/>
    <col customWidth="1" min="29" max="29" width="10.0"/>
    <col customWidth="1" min="30" max="30" width="10.13"/>
    <col customWidth="1" min="31" max="31" width="11.38"/>
    <col customWidth="1" min="32" max="32" width="12.13"/>
    <col customWidth="1" min="33" max="33" width="11.25"/>
    <col customWidth="1" min="34" max="34" width="11.13"/>
    <col customWidth="1" min="35" max="35" width="11.5"/>
    <col customWidth="1" min="36" max="36" width="10.75"/>
    <col customWidth="1" min="37" max="37" width="11.0"/>
    <col customWidth="1" min="38" max="38" width="9.38"/>
    <col customWidth="1" min="39" max="39" width="9.75"/>
  </cols>
  <sheetData>
    <row r="1">
      <c r="A1" s="1023" t="s">
        <v>394</v>
      </c>
      <c r="B1" s="1024" t="s">
        <v>587</v>
      </c>
      <c r="C1" s="1025" t="s">
        <v>588</v>
      </c>
      <c r="D1" s="1026" t="s">
        <v>20</v>
      </c>
      <c r="E1" s="1026" t="s">
        <v>21</v>
      </c>
      <c r="F1" s="1026" t="s">
        <v>22</v>
      </c>
      <c r="G1" s="1026" t="s">
        <v>23</v>
      </c>
      <c r="H1" s="1026" t="s">
        <v>24</v>
      </c>
      <c r="I1" s="1026" t="s">
        <v>25</v>
      </c>
      <c r="J1" s="1026" t="s">
        <v>26</v>
      </c>
      <c r="K1" s="1026" t="s">
        <v>27</v>
      </c>
      <c r="L1" s="1026" t="s">
        <v>28</v>
      </c>
      <c r="M1" s="1026" t="s">
        <v>29</v>
      </c>
      <c r="N1" s="1026" t="s">
        <v>30</v>
      </c>
      <c r="O1" s="1026" t="s">
        <v>31</v>
      </c>
      <c r="P1" s="1026" t="s">
        <v>32</v>
      </c>
      <c r="Q1" s="1026" t="s">
        <v>33</v>
      </c>
      <c r="R1" s="1026" t="s">
        <v>34</v>
      </c>
      <c r="S1" s="1026" t="s">
        <v>35</v>
      </c>
      <c r="T1" s="1026" t="s">
        <v>36</v>
      </c>
      <c r="U1" s="1026" t="s">
        <v>37</v>
      </c>
      <c r="V1" s="1026" t="s">
        <v>38</v>
      </c>
      <c r="W1" s="1026" t="s">
        <v>39</v>
      </c>
      <c r="X1" s="1026" t="s">
        <v>40</v>
      </c>
      <c r="Y1" s="1026" t="s">
        <v>41</v>
      </c>
      <c r="Z1" s="1026" t="s">
        <v>42</v>
      </c>
      <c r="AA1" s="1026" t="s">
        <v>43</v>
      </c>
      <c r="AB1" s="1026" t="s">
        <v>44</v>
      </c>
      <c r="AC1" s="1026" t="s">
        <v>45</v>
      </c>
      <c r="AD1" s="1026" t="s">
        <v>46</v>
      </c>
      <c r="AE1" s="1026" t="s">
        <v>47</v>
      </c>
      <c r="AF1" s="1026" t="s">
        <v>48</v>
      </c>
      <c r="AG1" s="1026" t="s">
        <v>49</v>
      </c>
      <c r="AH1" s="1026" t="s">
        <v>50</v>
      </c>
      <c r="AI1" s="1026" t="s">
        <v>51</v>
      </c>
      <c r="AJ1" s="1026" t="s">
        <v>52</v>
      </c>
      <c r="AK1" s="1026" t="s">
        <v>53</v>
      </c>
      <c r="AL1" s="1026" t="s">
        <v>54</v>
      </c>
      <c r="AM1" s="1027" t="s">
        <v>55</v>
      </c>
    </row>
    <row r="2">
      <c r="A2" s="663" t="str">
        <f>TotalAverages!A5</f>
        <v/>
      </c>
      <c r="B2" s="1028" t="str">
        <f>MassFormulaTesting!D13</f>
        <v>#DIV/0!</v>
      </c>
      <c r="C2" s="1029">
        <f>MassFormulaTesting!F13</f>
        <v>0.3</v>
      </c>
      <c r="D2" s="1030">
        <f>(IFERROR(TotalAverages!D5/MassFormulaTesting!$B$16,"")*0.68)+0.3</f>
        <v>0.3</v>
      </c>
      <c r="E2" s="1030">
        <f>(IFERROR(TotalAverages!E5/MassFormulaTesting!$B$18,"")*0.68)+0.3</f>
        <v>0.3</v>
      </c>
      <c r="F2" s="1030">
        <f>(IFERROR(TotalAverages!F5/MassFormulaTesting!$B$20,"")*0.68)+0.3</f>
        <v>0.3</v>
      </c>
      <c r="G2" s="1030">
        <f>(IFERROR(MassFormulaTesting!$C$22/TotalAverages!G5,"")*0.68)+0.3</f>
        <v>0.3</v>
      </c>
      <c r="H2" s="1030">
        <f>(((TotalAverages!H5+118)/(MassFormulaTesting!$B$24+118))*0.68)+0.3</f>
        <v>0.9376688742</v>
      </c>
      <c r="I2" s="1030">
        <f>(IFERROR(TotalAverages!I5/MassFormulaTesting!$B$26,"")*0.68)+0.3</f>
        <v>0.3</v>
      </c>
      <c r="J2" s="1030">
        <f>((0.98-IFERROR(TotalAverages!J5/MassFormulaTesting!$B$28,"")*0.68))</f>
        <v>0.98</v>
      </c>
      <c r="K2" s="1030">
        <f>(IFERROR(TotalAverages!K5/MassFormulaTesting!$B$30,"")*0.68)+0.3</f>
        <v>0.3</v>
      </c>
      <c r="L2" s="1030">
        <f>(IFERROR(TotalAverages!L5/MassFormulaTesting!$B$32,"")*0.68)+0.3</f>
        <v>0.3</v>
      </c>
      <c r="M2" s="1030">
        <f>(IFERROR(TotalAverages!M5/MassFormulaTesting!$B$34,"")*0.68)+0.3</f>
        <v>0.3</v>
      </c>
      <c r="N2" s="1030">
        <f>(IFERROR(TotalAverages!N5/MassFormulaTesting!$B$36,"")*0.68)+0.3</f>
        <v>0.3</v>
      </c>
      <c r="O2" s="1030">
        <f>(IFERROR(TotalAverages!O5/MassFormulaTesting!$B$38,"")*0.68)+0.3</f>
        <v>0.3</v>
      </c>
      <c r="P2" s="1030">
        <f>(IFERROR(TotalAverages!P5/MassFormulaTesting!$B$40,"")*0.68)+0.3</f>
        <v>0.3</v>
      </c>
      <c r="Q2" s="1030">
        <f>(IFERROR(TotalAverages!T5/MassFormulaTesting!$B$48,"")*0.68)+0.3</f>
        <v>0.3</v>
      </c>
      <c r="R2" s="1030">
        <f>(IFERROR(TotalAverages!U5/MassFormulaTesting!$B$50,"")*0.68)+0.3</f>
        <v>0.3</v>
      </c>
      <c r="S2" s="1030">
        <f>(IFERROR(TotalAverages!V5/MassFormulaTesting!$B$52,"")*0.68)+0.3</f>
        <v>0.3</v>
      </c>
      <c r="T2" s="1030">
        <f>(IFERROR(TotalAverages!W5/MassFormulaTesting!$B$54,"")*0.68)+0.3</f>
        <v>0.3</v>
      </c>
      <c r="U2" s="1030">
        <f>(IFERROR(TotalAverages!X5/MassFormulaTesting!$B$56,"")*0.68)+0.3</f>
        <v>0.3</v>
      </c>
      <c r="V2" s="1030">
        <f>(IFERROR(TotalAverages!Y5/MassFormulaTesting!$B$58,"")*0.68)+0.3</f>
        <v>0.3</v>
      </c>
      <c r="W2" s="1030">
        <f>(IFERROR(TotalAverages!Z5/MassFormulaTesting!$B$60,"")*0.68)+0.3</f>
        <v>0.3</v>
      </c>
      <c r="X2" s="1030">
        <f>(IFERROR(TotalAverages!AD5/MassFormulaTesting!$B$68,"")*0.68)+0.3</f>
        <v>0.3</v>
      </c>
      <c r="Y2" s="1030">
        <f>(IFERROR(TotalAverages!AG5/MassFormulaTesting!$B$74,"")*0.68)+0.3</f>
        <v>0.3</v>
      </c>
      <c r="Z2" s="1030">
        <f>(IFERROR(TotalAverages!AH5/MassFormulaTesting!$B$76,"")*0.68)+0.3</f>
        <v>0.3</v>
      </c>
      <c r="AA2" s="1030">
        <f>(IFERROR(TotalAverages!AJ5/MassFormulaTesting!$B$80,"")*0.68)+0.3</f>
        <v>0.3</v>
      </c>
      <c r="AB2" s="1030">
        <f>(IFERROR(TotalAverages!AK5/MassFormulaTesting!$B$82,"")*0.68)+0.3</f>
        <v>0.3</v>
      </c>
      <c r="AC2" s="1030">
        <f>(IFERROR(TotalAverages!AL5/MassFormulaTesting!$B$84,"")*0.68)+0.3</f>
        <v>0.3</v>
      </c>
      <c r="AD2" s="1030">
        <f>(IFERROR(TotalAverages!AM5/MassFormulaTesting!$B$86,"")*0.68)+0.3</f>
        <v>0.3</v>
      </c>
      <c r="AE2" s="1030">
        <f>(IFERROR(TotalAverages!AN5/MassFormulaTesting!$B$88,"")*0.68)+0.3</f>
        <v>0.3</v>
      </c>
      <c r="AF2" s="1030">
        <f>(IFERROR(TotalAverages!AO5/MassFormulaTesting!$B$90,"")*0.68)+0.3</f>
        <v>0.3</v>
      </c>
      <c r="AG2" s="1030">
        <f>(IFERROR(TotalAverages!AP5/MassFormulaTesting!$B$92,"")*0.68)+0.3</f>
        <v>0.3</v>
      </c>
      <c r="AH2" s="1030">
        <f>(IFERROR(TotalAverages!AQ5/MassFormulaTesting!$B$94,"")*0.68)+0.3</f>
        <v>0.3</v>
      </c>
      <c r="AI2" s="1030">
        <f>(IFERROR(TotalAverages!AR5/MassFormulaTesting!$B$96,"")*0.68)+0.3</f>
        <v>0.3</v>
      </c>
      <c r="AJ2" s="1030">
        <f>(IFERROR(TotalAverages!AS5/MassFormulaTesting!$B$98,"")*0.68)+0.3</f>
        <v>0.3</v>
      </c>
      <c r="AK2" s="1030">
        <f>(IFERROR(TotalAverages!AT5/MassFormulaTesting!$B$100,"")*0.68)+0.3</f>
        <v>0.3</v>
      </c>
      <c r="AL2" s="1030">
        <f>(IFERROR(TotalAverages!AU5/MassFormulaTesting!$B$102,"")*0.68)+0.3</f>
        <v>0.3</v>
      </c>
      <c r="AM2" s="1030">
        <f>(IFERROR(TotalAverages!AV5/MassFormulaTesting!$B$104,"")*0.68)+0.3</f>
        <v>0.3</v>
      </c>
    </row>
    <row r="3">
      <c r="B3" s="1028" t="str">
        <f>MassFormulaTesting!D14</f>
        <v>#DIV/0!</v>
      </c>
      <c r="C3" s="1029">
        <f>MassFormulaTesting!F14</f>
        <v>0.3</v>
      </c>
      <c r="D3" s="1030">
        <f>(IFERROR(TotalAverages!D6/MassFormulaTesting!$B$16,"")*0.68)+0.3</f>
        <v>0.5462904663</v>
      </c>
      <c r="E3" s="1030">
        <f>(IFERROR(TotalAverages!E6/MassFormulaTesting!$B$18,"")*0.68)+0.3</f>
        <v>0.7056784629</v>
      </c>
      <c r="F3" s="1030">
        <f>(IFERROR(TotalAverages!F6/MassFormulaTesting!$B$20,"")*0.68)+0.3</f>
        <v>-0.2311973576</v>
      </c>
      <c r="G3" s="1030">
        <f>(IFERROR(MassFormulaTesting!$C$22/TotalAverages!G6,"")*0.68)+0.3</f>
        <v>4.01875</v>
      </c>
      <c r="H3" s="1030">
        <f>(((TotalAverages!H6+118)/(MassFormulaTesting!$B$24+118))*0.68)+0.3</f>
        <v>0.9561967833</v>
      </c>
      <c r="I3" s="1030">
        <f>(IFERROR(TotalAverages!I6/MassFormulaTesting!$B$26,"")*0.68)+0.3</f>
        <v>0.4165714286</v>
      </c>
      <c r="J3" s="1030">
        <f>((0.98-IFERROR(TotalAverages!J6/MassFormulaTesting!$B$28,"")*0.68))</f>
        <v>0.6569249611</v>
      </c>
      <c r="K3" s="1030">
        <f>(IFERROR(TotalAverages!K6/MassFormulaTesting!$B$30,"")*0.68)+0.3</f>
        <v>0.6518612637</v>
      </c>
      <c r="L3" s="1030">
        <f>(IFERROR(TotalAverages!L6/MassFormulaTesting!$B$32,"")*0.68)+0.3</f>
        <v>0.4771345876</v>
      </c>
      <c r="M3" s="1030">
        <f>(IFERROR(TotalAverages!M6/MassFormulaTesting!$B$34,"")*0.68)+0.3</f>
        <v>0.3031476624</v>
      </c>
      <c r="N3" s="1030">
        <f>(IFERROR(TotalAverages!N6/MassFormulaTesting!$B$36,"")*0.68)+0.3</f>
        <v>0.3</v>
      </c>
      <c r="O3" s="1030">
        <f>(IFERROR(TotalAverages!O6/MassFormulaTesting!$B$38,"")*0.68)+0.3</f>
        <v>0.3242857143</v>
      </c>
      <c r="P3" s="1030">
        <f>(IFERROR(TotalAverages!P6/MassFormulaTesting!$B$40,"")*0.68)+0.3</f>
        <v>0.3</v>
      </c>
      <c r="Q3" s="1030">
        <f>(IFERROR(TotalAverages!T6/MassFormulaTesting!$B$48,"")*0.68)+0.3</f>
        <v>0.3</v>
      </c>
      <c r="R3" s="1030">
        <f>(IFERROR(TotalAverages!U6/MassFormulaTesting!$B$50,"")*0.68)+0.3</f>
        <v>0.4808261618</v>
      </c>
      <c r="S3" s="1030">
        <f>(IFERROR(TotalAverages!V6/MassFormulaTesting!$B$52,"")*0.68)+0.3</f>
        <v>0.4533834586</v>
      </c>
      <c r="T3" s="1030">
        <f>(IFERROR(TotalAverages!W6/MassFormulaTesting!$B$54,"")*0.68)+0.3</f>
        <v>0.3791534392</v>
      </c>
      <c r="U3" s="1030">
        <f>(IFERROR(TotalAverages!X6/MassFormulaTesting!$B$56,"")*0.68)+0.3</f>
        <v>0.3</v>
      </c>
      <c r="V3" s="1030">
        <f>(IFERROR(TotalAverages!Y6/MassFormulaTesting!$B$58,"")*0.68)+0.3</f>
        <v>0.3</v>
      </c>
      <c r="W3" s="1030">
        <f>(IFERROR(TotalAverages!Z6/MassFormulaTesting!$B$60,"")*0.68)+0.3</f>
        <v>0.3</v>
      </c>
      <c r="X3" s="1030">
        <f>(IFERROR(TotalAverages!AD6/MassFormulaTesting!$B$68,"")*0.68)+0.3</f>
        <v>0.3</v>
      </c>
      <c r="Y3" s="1030">
        <f>(IFERROR(TotalAverages!AG6/MassFormulaTesting!$B$74,"")*0.68)+0.3</f>
        <v>0.3</v>
      </c>
      <c r="Z3" s="1030">
        <f>(IFERROR(TotalAverages!AH6/MassFormulaTesting!$B$76,"")*0.68)+0.3</f>
        <v>0.3</v>
      </c>
      <c r="AA3" s="1030">
        <f>(IFERROR(TotalAverages!AJ6/MassFormulaTesting!$B$80,"")*0.68)+0.3</f>
        <v>0.3</v>
      </c>
      <c r="AB3" s="1030">
        <f>(IFERROR(TotalAverages!AK6/MassFormulaTesting!$B$82,"")*0.68)+0.3</f>
        <v>0.3</v>
      </c>
      <c r="AC3" s="1030">
        <f>(IFERROR(TotalAverages!AL6/MassFormulaTesting!$B$84,"")*0.68)+0.3</f>
        <v>0.3</v>
      </c>
      <c r="AD3" s="1030">
        <f>(IFERROR(TotalAverages!AM6/MassFormulaTesting!$B$86,"")*0.68)+0.3</f>
        <v>0.3</v>
      </c>
      <c r="AE3" s="1030">
        <f>(IFERROR(TotalAverages!AN6/MassFormulaTesting!$B$88,"")*0.68)+0.3</f>
        <v>0.3</v>
      </c>
      <c r="AF3" s="1030">
        <f>(IFERROR(TotalAverages!AO6/MassFormulaTesting!$B$90,"")*0.68)+0.3</f>
        <v>0.3</v>
      </c>
      <c r="AG3" s="1030">
        <f>(IFERROR(TotalAverages!AP6/MassFormulaTesting!$B$92,"")*0.68)+0.3</f>
        <v>0.3</v>
      </c>
      <c r="AH3" s="1030">
        <f>(IFERROR(TotalAverages!AQ6/MassFormulaTesting!$B$94,"")*0.68)+0.3</f>
        <v>0.3</v>
      </c>
      <c r="AI3" s="1030">
        <f>(IFERROR(TotalAverages!AR6/MassFormulaTesting!$B$96,"")*0.68)+0.3</f>
        <v>0.3</v>
      </c>
      <c r="AJ3" s="1030">
        <f>(IFERROR(TotalAverages!AS6/MassFormulaTesting!$B$98,"")*0.68)+0.3</f>
        <v>0.3</v>
      </c>
      <c r="AK3" s="1030">
        <f>(IFERROR(TotalAverages!AT6/MassFormulaTesting!$B$100,"")*0.68)+0.3</f>
        <v>0.3</v>
      </c>
      <c r="AL3" s="1030">
        <f>(IFERROR(TotalAverages!AU6/MassFormulaTesting!$B$102,"")*0.68)+0.3</f>
        <v>0.3</v>
      </c>
      <c r="AM3" s="1030">
        <f>(IFERROR(TotalAverages!AV6/MassFormulaTesting!$B$104,"")*0.68)+0.3</f>
        <v>0.3</v>
      </c>
    </row>
    <row r="4">
      <c r="B4" s="1028" t="str">
        <f>MassFormulaTesting!D15</f>
        <v>#DIV/0!</v>
      </c>
      <c r="C4" s="1029">
        <f>MassFormulaTesting!F15</f>
        <v>0.3</v>
      </c>
      <c r="D4" s="1030">
        <f>(IFERROR(TotalAverages!D7/MassFormulaTesting!$B$16,"")*0.68)+0.3</f>
        <v>0.7256213534</v>
      </c>
      <c r="E4" s="1030">
        <f>(IFERROR(TotalAverages!E7/MassFormulaTesting!$B$18,"")*0.68)+0.3</f>
        <v>0.7959486224</v>
      </c>
      <c r="F4" s="1030">
        <f>(IFERROR(TotalAverages!F7/MassFormulaTesting!$B$20,"")*0.68)+0.3</f>
        <v>0.2853552116</v>
      </c>
      <c r="G4" s="1030">
        <f>(IFERROR(MassFormulaTesting!$C$22/TotalAverages!G7,"")*0.68)+0.3</f>
        <v>2.383003953</v>
      </c>
      <c r="H4" s="1030">
        <f>(((TotalAverages!H7+118)/(MassFormulaTesting!$B$24+118))*0.68)+0.3</f>
        <v>0.9657346721</v>
      </c>
      <c r="I4" s="1030">
        <f>(IFERROR(TotalAverages!I7/MassFormulaTesting!$B$26,"")*0.68)+0.3</f>
        <v>0.4184516129</v>
      </c>
      <c r="J4" s="1030">
        <f>((0.98-IFERROR(TotalAverages!J7/MassFormulaTesting!$B$28,"")*0.68))</f>
        <v>0.5273470493</v>
      </c>
      <c r="K4" s="1030">
        <f>(IFERROR(TotalAverages!K7/MassFormulaTesting!$B$30,"")*0.68)+0.3</f>
        <v>0.7701457816</v>
      </c>
      <c r="L4" s="1030">
        <f>(IFERROR(TotalAverages!L7/MassFormulaTesting!$B$32,"")*0.68)+0.3</f>
        <v>0.5108472994</v>
      </c>
      <c r="M4" s="1030">
        <f>(IFERROR(TotalAverages!M7/MassFormulaTesting!$B$34,"")*0.68)+0.3</f>
        <v>0.3091789897</v>
      </c>
      <c r="N4" s="1030">
        <f>(IFERROR(TotalAverages!N7/MassFormulaTesting!$B$36,"")*0.68)+0.3</f>
        <v>0.3</v>
      </c>
      <c r="O4" s="1030">
        <f>(IFERROR(TotalAverages!O7/MassFormulaTesting!$B$38,"")*0.68)+0.3</f>
        <v>0.5358064516</v>
      </c>
      <c r="P4" s="1030">
        <f>(IFERROR(TotalAverages!P7/MassFormulaTesting!$B$40,"")*0.68)+0.3</f>
        <v>0.3</v>
      </c>
      <c r="Q4" s="1030">
        <f>(IFERROR(TotalAverages!T7/MassFormulaTesting!$B$48,"")*0.68)+0.3</f>
        <v>0.3</v>
      </c>
      <c r="R4" s="1030">
        <f>(IFERROR(TotalAverages!U7/MassFormulaTesting!$B$50,"")*0.68)+0.3</f>
        <v>0.6884959192</v>
      </c>
      <c r="S4" s="1030">
        <f>(IFERROR(TotalAverages!V7/MassFormulaTesting!$B$52,"")*0.68)+0.3</f>
        <v>0.6013242784</v>
      </c>
      <c r="T4" s="1030">
        <f>(IFERROR(TotalAverages!W7/MassFormulaTesting!$B$54,"")*0.68)+0.3</f>
        <v>0.5502270012</v>
      </c>
      <c r="U4" s="1030">
        <f>(IFERROR(TotalAverages!X7/MassFormulaTesting!$B$56,"")*0.68)+0.3</f>
        <v>0.5632258065</v>
      </c>
      <c r="V4" s="1030">
        <f>(IFERROR(TotalAverages!Y7/MassFormulaTesting!$B$58,"")*0.68)+0.3</f>
        <v>0.3658064516</v>
      </c>
      <c r="W4" s="1030">
        <f>(IFERROR(TotalAverages!Z7/MassFormulaTesting!$B$60,"")*0.68)+0.3</f>
        <v>0.5266666667</v>
      </c>
      <c r="X4" s="1030">
        <f>(IFERROR(TotalAverages!AD7/MassFormulaTesting!$B$68,"")*0.68)+0.3</f>
        <v>0.3</v>
      </c>
      <c r="Y4" s="1030">
        <f>(IFERROR(TotalAverages!AG7/MassFormulaTesting!$B$74,"")*0.68)+0.3</f>
        <v>0.3</v>
      </c>
      <c r="Z4" s="1030">
        <f>(IFERROR(TotalAverages!AH7/MassFormulaTesting!$B$76,"")*0.68)+0.3</f>
        <v>0.3</v>
      </c>
      <c r="AA4" s="1030">
        <f>(IFERROR(TotalAverages!AJ7/MassFormulaTesting!$B$80,"")*0.68)+0.3</f>
        <v>0.3</v>
      </c>
      <c r="AB4" s="1030">
        <f>(IFERROR(TotalAverages!AK7/MassFormulaTesting!$B$82,"")*0.68)+0.3</f>
        <v>0.3</v>
      </c>
      <c r="AC4" s="1030">
        <f>(IFERROR(TotalAverages!AL7/MassFormulaTesting!$B$84,"")*0.68)+0.3</f>
        <v>0.3</v>
      </c>
      <c r="AD4" s="1030">
        <f>(IFERROR(TotalAverages!AM7/MassFormulaTesting!$B$86,"")*0.68)+0.3</f>
        <v>0.3</v>
      </c>
      <c r="AE4" s="1030">
        <f>(IFERROR(TotalAverages!AN7/MassFormulaTesting!$B$88,"")*0.68)+0.3</f>
        <v>0.3</v>
      </c>
      <c r="AF4" s="1030">
        <f>(IFERROR(TotalAverages!AO7/MassFormulaTesting!$B$90,"")*0.68)+0.3</f>
        <v>0.3</v>
      </c>
      <c r="AG4" s="1030">
        <f>(IFERROR(TotalAverages!AP7/MassFormulaTesting!$B$92,"")*0.68)+0.3</f>
        <v>0.3</v>
      </c>
      <c r="AH4" s="1030">
        <f>(IFERROR(TotalAverages!AQ7/MassFormulaTesting!$B$94,"")*0.68)+0.3</f>
        <v>0.3</v>
      </c>
      <c r="AI4" s="1030">
        <f>(IFERROR(TotalAverages!AR7/MassFormulaTesting!$B$96,"")*0.68)+0.3</f>
        <v>0.3</v>
      </c>
      <c r="AJ4" s="1030">
        <f>(IFERROR(TotalAverages!AS7/MassFormulaTesting!$B$98,"")*0.68)+0.3</f>
        <v>0.3</v>
      </c>
      <c r="AK4" s="1030">
        <f>(IFERROR(TotalAverages!AT7/MassFormulaTesting!$B$100,"")*0.68)+0.3</f>
        <v>0.3</v>
      </c>
      <c r="AL4" s="1030">
        <f>(IFERROR(TotalAverages!AU7/MassFormulaTesting!$B$102,"")*0.68)+0.3</f>
        <v>0.3</v>
      </c>
      <c r="AM4" s="1030">
        <f>(IFERROR(TotalAverages!AV7/MassFormulaTesting!$B$104,"")*0.68)+0.3</f>
        <v>0.3</v>
      </c>
    </row>
    <row r="5">
      <c r="B5" s="1028" t="str">
        <f>MassFormulaTesting!D16</f>
        <v>#DIV/0!</v>
      </c>
      <c r="C5" s="1029">
        <f>MassFormulaTesting!F16</f>
        <v>0.3</v>
      </c>
      <c r="D5" s="1030">
        <f>(IFERROR(TotalAverages!D8/MassFormulaTesting!$B$16,"")*0.68)+0.3</f>
        <v>0.7446860707</v>
      </c>
      <c r="E5" s="1030">
        <f>(IFERROR(TotalAverages!E8/MassFormulaTesting!$B$18,"")*0.68)+0.3</f>
        <v>0.9783981763</v>
      </c>
      <c r="F5" s="1030">
        <f>(IFERROR(TotalAverages!F8/MassFormulaTesting!$B$20,"")*0.68)+0.3</f>
        <v>-0.4209768786</v>
      </c>
      <c r="G5" s="1030">
        <f>(IFERROR(MassFormulaTesting!$C$22/TotalAverages!G8,"")*0.68)+0.3</f>
        <v>2.479487179</v>
      </c>
      <c r="H5" s="1030">
        <f>(((TotalAverages!H8+118)/(MassFormulaTesting!$B$24+118))*0.68)+0.3</f>
        <v>0.9630675497</v>
      </c>
      <c r="I5" s="1030">
        <f>(IFERROR(TotalAverages!I8/MassFormulaTesting!$B$26,"")*0.68)+0.3</f>
        <v>0.4122</v>
      </c>
      <c r="J5" s="1030">
        <f>((0.98-IFERROR(TotalAverages!J8/MassFormulaTesting!$B$28,"")*0.68))</f>
        <v>0.4195738525</v>
      </c>
      <c r="K5" s="1030">
        <f>(IFERROR(TotalAverages!K8/MassFormulaTesting!$B$30,"")*0.68)+0.3</f>
        <v>0.8890673077</v>
      </c>
      <c r="L5" s="1030">
        <f>(IFERROR(TotalAverages!L8/MassFormulaTesting!$B$32,"")*0.68)+0.3</f>
        <v>0.4886483357</v>
      </c>
      <c r="M5" s="1030">
        <f>(IFERROR(TotalAverages!M8/MassFormulaTesting!$B$34,"")*0.68)+0.3</f>
        <v>0.3016682611</v>
      </c>
      <c r="N5" s="1030">
        <f>(IFERROR(TotalAverages!N8/MassFormulaTesting!$B$36,"")*0.68)+0.3</f>
        <v>0.3</v>
      </c>
      <c r="O5" s="1030">
        <f>(IFERROR(TotalAverages!O8/MassFormulaTesting!$B$38,"")*0.68)+0.3</f>
        <v>0.4615</v>
      </c>
      <c r="P5" s="1030">
        <f>(IFERROR(TotalAverages!P8/MassFormulaTesting!$B$40,"")*0.68)+0.3</f>
        <v>0.3</v>
      </c>
      <c r="Q5" s="1030">
        <f>(IFERROR(TotalAverages!T8/MassFormulaTesting!$B$48,"")*0.68)+0.3</f>
        <v>0.3</v>
      </c>
      <c r="R5" s="1030">
        <f>(IFERROR(TotalAverages!U8/MassFormulaTesting!$B$50,"")*0.68)+0.3</f>
        <v>0.6514698795</v>
      </c>
      <c r="S5" s="1030">
        <f>(IFERROR(TotalAverages!V8/MassFormulaTesting!$B$52,"")*0.68)+0.3</f>
        <v>0.606</v>
      </c>
      <c r="T5" s="1030">
        <f>(IFERROR(TotalAverages!W8/MassFormulaTesting!$B$54,"")*0.68)+0.3</f>
        <v>0.577037037</v>
      </c>
      <c r="U5" s="1030">
        <f>(IFERROR(TotalAverages!X8/MassFormulaTesting!$B$56,"")*0.68)+0.3</f>
        <v>0.3</v>
      </c>
      <c r="V5" s="1030">
        <f>(IFERROR(TotalAverages!Y8/MassFormulaTesting!$B$58,"")*0.68)+0.3</f>
        <v>0.3</v>
      </c>
      <c r="W5" s="1030">
        <f>(IFERROR(TotalAverages!Z8/MassFormulaTesting!$B$60,"")*0.68)+0.3</f>
        <v>0.3</v>
      </c>
      <c r="X5" s="1030">
        <f>(IFERROR(TotalAverages!AD8/MassFormulaTesting!$B$68,"")*0.68)+0.3</f>
        <v>0.3</v>
      </c>
      <c r="Y5" s="1030">
        <f>(IFERROR(TotalAverages!AG8/MassFormulaTesting!$B$74,"")*0.68)+0.3</f>
        <v>0.3</v>
      </c>
      <c r="Z5" s="1030">
        <f>(IFERROR(TotalAverages!AH8/MassFormulaTesting!$B$76,"")*0.68)+0.3</f>
        <v>0.3</v>
      </c>
      <c r="AA5" s="1030">
        <f>(IFERROR(TotalAverages!AJ8/MassFormulaTesting!$B$80,"")*0.68)+0.3</f>
        <v>0.3</v>
      </c>
      <c r="AB5" s="1030">
        <f>(IFERROR(TotalAverages!AK8/MassFormulaTesting!$B$82,"")*0.68)+0.3</f>
        <v>0.3</v>
      </c>
      <c r="AC5" s="1030">
        <f>(IFERROR(TotalAverages!AL8/MassFormulaTesting!$B$84,"")*0.68)+0.3</f>
        <v>0.3</v>
      </c>
      <c r="AD5" s="1030">
        <f>(IFERROR(TotalAverages!AM8/MassFormulaTesting!$B$86,"")*0.68)+0.3</f>
        <v>0.3</v>
      </c>
      <c r="AE5" s="1030">
        <f>(IFERROR(TotalAverages!AN8/MassFormulaTesting!$B$88,"")*0.68)+0.3</f>
        <v>0.3</v>
      </c>
      <c r="AF5" s="1030">
        <f>(IFERROR(TotalAverages!AO8/MassFormulaTesting!$B$90,"")*0.68)+0.3</f>
        <v>0.3</v>
      </c>
      <c r="AG5" s="1030">
        <f>(IFERROR(TotalAverages!AP8/MassFormulaTesting!$B$92,"")*0.68)+0.3</f>
        <v>0.3</v>
      </c>
      <c r="AH5" s="1030">
        <f>(IFERROR(TotalAverages!AQ8/MassFormulaTesting!$B$94,"")*0.68)+0.3</f>
        <v>0.3</v>
      </c>
      <c r="AI5" s="1030">
        <f>(IFERROR(TotalAverages!AR8/MassFormulaTesting!$B$96,"")*0.68)+0.3</f>
        <v>0.3</v>
      </c>
      <c r="AJ5" s="1030">
        <f>(IFERROR(TotalAverages!AS8/MassFormulaTesting!$B$98,"")*0.68)+0.3</f>
        <v>0.3</v>
      </c>
      <c r="AK5" s="1030">
        <f>(IFERROR(TotalAverages!AT8/MassFormulaTesting!$B$100,"")*0.68)+0.3</f>
        <v>0.3</v>
      </c>
      <c r="AL5" s="1030">
        <f>(IFERROR(TotalAverages!AU8/MassFormulaTesting!$B$102,"")*0.68)+0.3</f>
        <v>0.3</v>
      </c>
      <c r="AM5" s="1030">
        <f>(IFERROR(TotalAverages!AV8/MassFormulaTesting!$B$104,"")*0.68)+0.3</f>
        <v>0.3</v>
      </c>
    </row>
    <row r="6">
      <c r="B6" s="1028" t="str">
        <f>MassFormulaTesting!D17</f>
        <v>#DIV/0!</v>
      </c>
      <c r="C6" s="1029">
        <f>MassFormulaTesting!F17</f>
        <v>0.3</v>
      </c>
      <c r="D6" s="1030">
        <f>(IFERROR(TotalAverages!D9/MassFormulaTesting!$B$16,"")*0.68)+0.3</f>
        <v>0.6432515593</v>
      </c>
      <c r="E6" s="1030">
        <f>(IFERROR(TotalAverages!E9/MassFormulaTesting!$B$18,"")*0.68)+0.3</f>
        <v>0.7846636272</v>
      </c>
      <c r="F6" s="1030">
        <f>(IFERROR(TotalAverages!F9/MassFormulaTesting!$B$20,"")*0.68)+0.3</f>
        <v>-0.08480924855</v>
      </c>
      <c r="G6" s="1030">
        <f>(IFERROR(MassFormulaTesting!$C$22/TotalAverages!G9,"")*0.68)+0.3</f>
        <v>3.655263158</v>
      </c>
      <c r="H6" s="1030">
        <f>(((TotalAverages!H9+118)/(MassFormulaTesting!$B$24+118))*0.68)+0.3</f>
        <v>0.9628874172</v>
      </c>
      <c r="I6" s="1030">
        <f>(IFERROR(TotalAverages!I9/MassFormulaTesting!$B$26,"")*0.68)+0.3</f>
        <v>0.4496</v>
      </c>
      <c r="J6" s="1030">
        <f>((0.98-IFERROR(TotalAverages!J9/MassFormulaTesting!$B$28,"")*0.68))</f>
        <v>0.5034048937</v>
      </c>
      <c r="K6" s="1030">
        <f>(IFERROR(TotalAverages!K9/MassFormulaTesting!$B$30,"")*0.68)+0.3</f>
        <v>0.7858653846</v>
      </c>
      <c r="L6" s="1030">
        <f>(IFERROR(TotalAverages!L9/MassFormulaTesting!$B$32,"")*0.68)+0.3</f>
        <v>0.5255513748</v>
      </c>
      <c r="M6" s="1030">
        <f>(IFERROR(TotalAverages!M9/MassFormulaTesting!$B$34,"")*0.68)+0.3</f>
        <v>0.3083517976</v>
      </c>
      <c r="N6" s="1030">
        <f>(IFERROR(TotalAverages!N9/MassFormulaTesting!$B$36,"")*0.68)+0.3</f>
        <v>0.3</v>
      </c>
      <c r="O6" s="1030">
        <f>(IFERROR(TotalAverages!O9/MassFormulaTesting!$B$38,"")*0.68)+0.3</f>
        <v>0.3906666667</v>
      </c>
      <c r="P6" s="1030">
        <f>(IFERROR(TotalAverages!P9/MassFormulaTesting!$B$40,"")*0.68)+0.3</f>
        <v>0.3</v>
      </c>
      <c r="Q6" s="1030">
        <f>(IFERROR(TotalAverages!T9/MassFormulaTesting!$B$48,"")*0.68)+0.3</f>
        <v>0.3</v>
      </c>
      <c r="R6" s="1030">
        <f>(IFERROR(TotalAverages!U9/MassFormulaTesting!$B$50,"")*0.68)+0.3</f>
        <v>0.5130120482</v>
      </c>
      <c r="S6" s="1030">
        <f>(IFERROR(TotalAverages!V9/MassFormulaTesting!$B$52,"")*0.68)+0.3</f>
        <v>0.4574736842</v>
      </c>
      <c r="T6" s="1030">
        <f>(IFERROR(TotalAverages!W9/MassFormulaTesting!$B$54,"")*0.68)+0.3</f>
        <v>0.5216296296</v>
      </c>
      <c r="U6" s="1030">
        <f>(IFERROR(TotalAverages!X9/MassFormulaTesting!$B$56,"")*0.68)+0.3</f>
        <v>0.3906666667</v>
      </c>
      <c r="V6" s="1030">
        <f>(IFERROR(TotalAverages!Y9/MassFormulaTesting!$B$58,"")*0.68)+0.3</f>
        <v>0.436</v>
      </c>
      <c r="W6" s="1030">
        <f>(IFERROR(TotalAverages!Z9/MassFormulaTesting!$B$60,"")*0.68)+0.3</f>
        <v>0.3</v>
      </c>
      <c r="X6" s="1030">
        <f>(IFERROR(TotalAverages!AD9/MassFormulaTesting!$B$68,"")*0.68)+0.3</f>
        <v>0.3</v>
      </c>
      <c r="Y6" s="1030">
        <f>(IFERROR(TotalAverages!AG9/MassFormulaTesting!$B$74,"")*0.68)+0.3</f>
        <v>0.3</v>
      </c>
      <c r="Z6" s="1030">
        <f>(IFERROR(TotalAverages!AH9/MassFormulaTesting!$B$76,"")*0.68)+0.3</f>
        <v>0.3</v>
      </c>
      <c r="AA6" s="1030">
        <f>(IFERROR(TotalAverages!AJ9/MassFormulaTesting!$B$80,"")*0.68)+0.3</f>
        <v>0.3</v>
      </c>
      <c r="AB6" s="1030">
        <f>(IFERROR(TotalAverages!AK9/MassFormulaTesting!$B$82,"")*0.68)+0.3</f>
        <v>0.3</v>
      </c>
      <c r="AC6" s="1030">
        <f>(IFERROR(TotalAverages!AL9/MassFormulaTesting!$B$84,"")*0.68)+0.3</f>
        <v>0.3</v>
      </c>
      <c r="AD6" s="1030">
        <f>(IFERROR(TotalAverages!AM9/MassFormulaTesting!$B$86,"")*0.68)+0.3</f>
        <v>0.3</v>
      </c>
      <c r="AE6" s="1030">
        <f>(IFERROR(TotalAverages!AN9/MassFormulaTesting!$B$88,"")*0.68)+0.3</f>
        <v>0.3</v>
      </c>
      <c r="AF6" s="1030">
        <f>(IFERROR(TotalAverages!AO9/MassFormulaTesting!$B$90,"")*0.68)+0.3</f>
        <v>0.3</v>
      </c>
      <c r="AG6" s="1030">
        <f>(IFERROR(TotalAverages!AP9/MassFormulaTesting!$B$92,"")*0.68)+0.3</f>
        <v>0.3</v>
      </c>
      <c r="AH6" s="1030">
        <f>(IFERROR(TotalAverages!AQ9/MassFormulaTesting!$B$94,"")*0.68)+0.3</f>
        <v>0.3</v>
      </c>
      <c r="AI6" s="1030">
        <f>(IFERROR(TotalAverages!AR9/MassFormulaTesting!$B$96,"")*0.68)+0.3</f>
        <v>0.3</v>
      </c>
      <c r="AJ6" s="1030">
        <f>(IFERROR(TotalAverages!AS9/MassFormulaTesting!$B$98,"")*0.68)+0.3</f>
        <v>0.3</v>
      </c>
      <c r="AK6" s="1030">
        <f>(IFERROR(TotalAverages!AT9/MassFormulaTesting!$B$100,"")*0.68)+0.3</f>
        <v>0.3</v>
      </c>
      <c r="AL6" s="1030">
        <f>(IFERROR(TotalAverages!AU9/MassFormulaTesting!$B$102,"")*0.68)+0.3</f>
        <v>0.3</v>
      </c>
      <c r="AM6" s="1030">
        <f>(IFERROR(TotalAverages!AV9/MassFormulaTesting!$B$104,"")*0.68)+0.3</f>
        <v>0.3</v>
      </c>
    </row>
    <row r="7">
      <c r="B7" s="1028" t="str">
        <f>MassFormulaTesting!D18</f>
        <v>#DIV/0!</v>
      </c>
      <c r="C7" s="1029">
        <f>MassFormulaTesting!F18</f>
        <v>0.3</v>
      </c>
      <c r="D7" s="1030">
        <f>(IFERROR(TotalAverages!D10/MassFormulaTesting!$B$16,"")*0.68)+0.3</f>
        <v>0.6604989605</v>
      </c>
      <c r="E7" s="1030">
        <f>(IFERROR(TotalAverages!E10/MassFormulaTesting!$B$18,"")*0.68)+0.3</f>
        <v>0.8276975684</v>
      </c>
      <c r="F7" s="1030">
        <f>(IFERROR(TotalAverages!F10/MassFormulaTesting!$B$20,"")*0.68)+0.3</f>
        <v>-0.186416185</v>
      </c>
      <c r="G7" s="1030">
        <f>(IFERROR(MassFormulaTesting!$C$22/TotalAverages!G10,"")*0.68)+0.3</f>
        <v>4.687096774</v>
      </c>
      <c r="H7" s="1030">
        <f>(((TotalAverages!H10+118)/(MassFormulaTesting!$B$24+118))*0.68)+0.3</f>
        <v>0.9592847682</v>
      </c>
      <c r="I7" s="1030">
        <f>(IFERROR(TotalAverages!I10/MassFormulaTesting!$B$26,"")*0.68)+0.3</f>
        <v>0.3255</v>
      </c>
      <c r="J7" s="1030">
        <f>((0.98-IFERROR(TotalAverages!J10/MassFormulaTesting!$B$28,"")*0.68))</f>
        <v>0.5385890338</v>
      </c>
      <c r="K7" s="1030">
        <f>(IFERROR(TotalAverages!K10/MassFormulaTesting!$B$30,"")*0.68)+0.3</f>
        <v>0.7701201923</v>
      </c>
      <c r="L7" s="1030">
        <f>(IFERROR(TotalAverages!L10/MassFormulaTesting!$B$32,"")*0.68)+0.3</f>
        <v>0.4815629522</v>
      </c>
      <c r="M7" s="1030">
        <f>(IFERROR(TotalAverages!M10/MassFormulaTesting!$B$34,"")*0.68)+0.3</f>
        <v>0.3654713779</v>
      </c>
      <c r="N7" s="1030">
        <f>(IFERROR(TotalAverages!N10/MassFormulaTesting!$B$36,"")*0.68)+0.3</f>
        <v>0.3</v>
      </c>
      <c r="O7" s="1030">
        <f>(IFERROR(TotalAverages!O10/MassFormulaTesting!$B$38,"")*0.68)+0.3</f>
        <v>0.3425</v>
      </c>
      <c r="P7" s="1030">
        <f>(IFERROR(TotalAverages!P10/MassFormulaTesting!$B$40,"")*0.68)+0.3</f>
        <v>0.3</v>
      </c>
      <c r="Q7" s="1030">
        <f>(IFERROR(TotalAverages!T10/MassFormulaTesting!$B$48,"")*0.68)+0.3</f>
        <v>0.3</v>
      </c>
      <c r="R7" s="1030">
        <f>(IFERROR(TotalAverages!U10/MassFormulaTesting!$B$50,"")*0.68)+0.3</f>
        <v>0.5119879518</v>
      </c>
      <c r="S7" s="1030">
        <f>(IFERROR(TotalAverages!V10/MassFormulaTesting!$B$52,"")*0.68)+0.3</f>
        <v>0.4207894737</v>
      </c>
      <c r="T7" s="1030">
        <f>(IFERROR(TotalAverages!W10/MassFormulaTesting!$B$54,"")*0.68)+0.3</f>
        <v>0.3692592593</v>
      </c>
      <c r="U7" s="1030">
        <f>(IFERROR(TotalAverages!X10/MassFormulaTesting!$B$56,"")*0.68)+0.3</f>
        <v>0.3</v>
      </c>
      <c r="V7" s="1030">
        <f>(IFERROR(TotalAverages!Y10/MassFormulaTesting!$B$58,"")*0.68)+0.3</f>
        <v>0.3</v>
      </c>
      <c r="W7" s="1030">
        <f>(IFERROR(TotalAverages!Z10/MassFormulaTesting!$B$60,"")*0.68)+0.3</f>
        <v>0.3</v>
      </c>
      <c r="X7" s="1030">
        <f>(IFERROR(TotalAverages!AD10/MassFormulaTesting!$B$68,"")*0.68)+0.3</f>
        <v>0.3</v>
      </c>
      <c r="Y7" s="1030">
        <f>(IFERROR(TotalAverages!AG10/MassFormulaTesting!$B$74,"")*0.68)+0.3</f>
        <v>0.3</v>
      </c>
      <c r="Z7" s="1030">
        <f>(IFERROR(TotalAverages!AH10/MassFormulaTesting!$B$76,"")*0.68)+0.3</f>
        <v>0.3</v>
      </c>
      <c r="AA7" s="1030">
        <f>(IFERROR(TotalAverages!AJ10/MassFormulaTesting!$B$80,"")*0.68)+0.3</f>
        <v>0.3</v>
      </c>
      <c r="AB7" s="1030">
        <f>(IFERROR(TotalAverages!AK10/MassFormulaTesting!$B$82,"")*0.68)+0.3</f>
        <v>0.3</v>
      </c>
      <c r="AC7" s="1030">
        <f>(IFERROR(TotalAverages!AL10/MassFormulaTesting!$B$84,"")*0.68)+0.3</f>
        <v>0.3</v>
      </c>
      <c r="AD7" s="1030">
        <f>(IFERROR(TotalAverages!AM10/MassFormulaTesting!$B$86,"")*0.68)+0.3</f>
        <v>0.3</v>
      </c>
      <c r="AE7" s="1030">
        <f>(IFERROR(TotalAverages!AN10/MassFormulaTesting!$B$88,"")*0.68)+0.3</f>
        <v>0.3</v>
      </c>
      <c r="AF7" s="1030">
        <f>(IFERROR(TotalAverages!AO10/MassFormulaTesting!$B$90,"")*0.68)+0.3</f>
        <v>0.3</v>
      </c>
      <c r="AG7" s="1030">
        <f>(IFERROR(TotalAverages!AP10/MassFormulaTesting!$B$92,"")*0.68)+0.3</f>
        <v>0.3</v>
      </c>
      <c r="AH7" s="1030">
        <f>(IFERROR(TotalAverages!AQ10/MassFormulaTesting!$B$94,"")*0.68)+0.3</f>
        <v>0.3</v>
      </c>
      <c r="AI7" s="1030">
        <f>(IFERROR(TotalAverages!AR10/MassFormulaTesting!$B$96,"")*0.68)+0.3</f>
        <v>0.3</v>
      </c>
      <c r="AJ7" s="1030">
        <f>(IFERROR(TotalAverages!AS10/MassFormulaTesting!$B$98,"")*0.68)+0.3</f>
        <v>0.3</v>
      </c>
      <c r="AK7" s="1030">
        <f>(IFERROR(TotalAverages!AT10/MassFormulaTesting!$B$100,"")*0.68)+0.3</f>
        <v>0.3</v>
      </c>
      <c r="AL7" s="1030">
        <f>(IFERROR(TotalAverages!AU10/MassFormulaTesting!$B$102,"")*0.68)+0.3</f>
        <v>0.3</v>
      </c>
      <c r="AM7" s="1030">
        <f>(IFERROR(TotalAverages!AV10/MassFormulaTesting!$B$104,"")*0.68)+0.3</f>
        <v>0.3</v>
      </c>
    </row>
    <row r="8">
      <c r="B8" s="1028" t="str">
        <f>MassFormulaTesting!D19</f>
        <v>#DIV/0!</v>
      </c>
      <c r="C8" s="1029">
        <f>MassFormulaTesting!F19</f>
        <v>0.3</v>
      </c>
      <c r="D8" s="1030">
        <f>(IFERROR(TotalAverages!D11/MassFormulaTesting!$B$16,"")*0.68)+0.3</f>
        <v>0.6388690229</v>
      </c>
      <c r="E8" s="1030">
        <f>(IFERROR(TotalAverages!E11/MassFormulaTesting!$B$18,"")*0.68)+0.3</f>
        <v>0.6340448328</v>
      </c>
      <c r="F8" s="1030">
        <f>(IFERROR(TotalAverages!F11/MassFormulaTesting!$B$20,"")*0.68)+0.3</f>
        <v>0.5561791908</v>
      </c>
      <c r="G8" s="1030">
        <f>(IFERROR(MassFormulaTesting!$C$22/TotalAverages!G11,"")*0.68)+0.3</f>
        <v>2.628767123</v>
      </c>
      <c r="H8" s="1030">
        <f>(((TotalAverages!H11+118)/(MassFormulaTesting!$B$24+118))*0.68)+0.3</f>
        <v>0.9690119205</v>
      </c>
      <c r="I8" s="1030">
        <f>(IFERROR(TotalAverages!I11/MassFormulaTesting!$B$26,"")*0.68)+0.3</f>
        <v>0.7182</v>
      </c>
      <c r="J8" s="1030">
        <f>((0.98-IFERROR(TotalAverages!J11/MassFormulaTesting!$B$28,"")*0.68))</f>
        <v>0.5180396499</v>
      </c>
      <c r="K8" s="1030">
        <f>(IFERROR(TotalAverages!K11/MassFormulaTesting!$B$30,"")*0.68)+0.3</f>
        <v>0.7529278846</v>
      </c>
      <c r="L8" s="1030">
        <f>(IFERROR(TotalAverages!L11/MassFormulaTesting!$B$32,"")*0.68)+0.3</f>
        <v>0.6259276411</v>
      </c>
      <c r="M8" s="1030">
        <f>(IFERROR(TotalAverages!M11/MassFormulaTesting!$B$34,"")*0.68)+0.3</f>
        <v>0.3068933807</v>
      </c>
      <c r="N8" s="1030">
        <f>(IFERROR(TotalAverages!N11/MassFormulaTesting!$B$36,"")*0.68)+0.3</f>
        <v>0.3</v>
      </c>
      <c r="O8" s="1030">
        <f>(IFERROR(TotalAverages!O11/MassFormulaTesting!$B$38,"")*0.68)+0.3</f>
        <v>0.6145</v>
      </c>
      <c r="P8" s="1030">
        <f>(IFERROR(TotalAverages!P11/MassFormulaTesting!$B$40,"")*0.68)+0.3</f>
        <v>0.3</v>
      </c>
      <c r="Q8" s="1030">
        <f>(IFERROR(TotalAverages!T11/MassFormulaTesting!$B$48,"")*0.68)+0.3</f>
        <v>0.3</v>
      </c>
      <c r="R8" s="1030">
        <f>(IFERROR(TotalAverages!U11/MassFormulaTesting!$B$50,"")*0.68)+0.3</f>
        <v>0.5347228916</v>
      </c>
      <c r="S8" s="1030">
        <f>(IFERROR(TotalAverages!V11/MassFormulaTesting!$B$52,"")*0.68)+0.3</f>
        <v>0.4342105263</v>
      </c>
      <c r="T8" s="1030">
        <f>(IFERROR(TotalAverages!W11/MassFormulaTesting!$B$54,"")*0.68)+0.3</f>
        <v>0.4385185185</v>
      </c>
      <c r="U8" s="1030">
        <f>(IFERROR(TotalAverages!X11/MassFormulaTesting!$B$56,"")*0.68)+0.3</f>
        <v>0.436</v>
      </c>
      <c r="V8" s="1030">
        <f>(IFERROR(TotalAverages!Y11/MassFormulaTesting!$B$58,"")*0.68)+0.3</f>
        <v>0.504</v>
      </c>
      <c r="W8" s="1030">
        <f>(IFERROR(TotalAverages!Z11/MassFormulaTesting!$B$60,"")*0.68)+0.3</f>
        <v>0.3</v>
      </c>
      <c r="X8" s="1030">
        <f>(IFERROR(TotalAverages!AD11/MassFormulaTesting!$B$68,"")*0.68)+0.3</f>
        <v>0.3</v>
      </c>
      <c r="Y8" s="1030">
        <f>(IFERROR(TotalAverages!AG11/MassFormulaTesting!$B$74,"")*0.68)+0.3</f>
        <v>0.3</v>
      </c>
      <c r="Z8" s="1030">
        <f>(IFERROR(TotalAverages!AH11/MassFormulaTesting!$B$76,"")*0.68)+0.3</f>
        <v>0.3</v>
      </c>
      <c r="AA8" s="1030">
        <f>(IFERROR(TotalAverages!AJ11/MassFormulaTesting!$B$80,"")*0.68)+0.3</f>
        <v>0.3</v>
      </c>
      <c r="AB8" s="1030">
        <f>(IFERROR(TotalAverages!AK11/MassFormulaTesting!$B$82,"")*0.68)+0.3</f>
        <v>0.3</v>
      </c>
      <c r="AC8" s="1030">
        <f>(IFERROR(TotalAverages!AL11/MassFormulaTesting!$B$84,"")*0.68)+0.3</f>
        <v>0.3</v>
      </c>
      <c r="AD8" s="1030">
        <f>(IFERROR(TotalAverages!AM11/MassFormulaTesting!$B$86,"")*0.68)+0.3</f>
        <v>0.3</v>
      </c>
      <c r="AE8" s="1030">
        <f>(IFERROR(TotalAverages!AN11/MassFormulaTesting!$B$88,"")*0.68)+0.3</f>
        <v>0.3</v>
      </c>
      <c r="AF8" s="1030">
        <f>(IFERROR(TotalAverages!AO11/MassFormulaTesting!$B$90,"")*0.68)+0.3</f>
        <v>0.3</v>
      </c>
      <c r="AG8" s="1030">
        <f>(IFERROR(TotalAverages!AP11/MassFormulaTesting!$B$92,"")*0.68)+0.3</f>
        <v>0.3</v>
      </c>
      <c r="AH8" s="1030">
        <f>(IFERROR(TotalAverages!AQ11/MassFormulaTesting!$B$94,"")*0.68)+0.3</f>
        <v>0.3</v>
      </c>
      <c r="AI8" s="1030">
        <f>(IFERROR(TotalAverages!AR11/MassFormulaTesting!$B$96,"")*0.68)+0.3</f>
        <v>0.3</v>
      </c>
      <c r="AJ8" s="1030">
        <f>(IFERROR(TotalAverages!AS11/MassFormulaTesting!$B$98,"")*0.68)+0.3</f>
        <v>0.3</v>
      </c>
      <c r="AK8" s="1030">
        <f>(IFERROR(TotalAverages!AT11/MassFormulaTesting!$B$100,"")*0.68)+0.3</f>
        <v>0.3</v>
      </c>
      <c r="AL8" s="1030">
        <f>(IFERROR(TotalAverages!AU11/MassFormulaTesting!$B$102,"")*0.68)+0.3</f>
        <v>0.3</v>
      </c>
      <c r="AM8" s="1030">
        <f>(IFERROR(TotalAverages!AV11/MassFormulaTesting!$B$104,"")*0.68)+0.3</f>
        <v>0.3</v>
      </c>
    </row>
    <row r="9">
      <c r="B9" s="1028" t="str">
        <f>MassFormulaTesting!D20</f>
        <v>#DIV/0!</v>
      </c>
      <c r="C9" s="1029">
        <f>MassFormulaTesting!F20</f>
        <v>0.3</v>
      </c>
      <c r="D9" s="1030">
        <f>(IFERROR(TotalAverages!D12/MassFormulaTesting!$B$16,"")*0.68)+0.3</f>
        <v>0.6315819316</v>
      </c>
      <c r="E9" s="1030">
        <f>(IFERROR(TotalAverages!E12/MassFormulaTesting!$B$18,"")*0.68)+0.3</f>
        <v>0.769907433</v>
      </c>
      <c r="F9" s="1030">
        <f>(IFERROR(TotalAverages!F12/MassFormulaTesting!$B$20,"")*0.68)+0.3</f>
        <v>-0.07930635838</v>
      </c>
      <c r="G9" s="1030">
        <f>(IFERROR(MassFormulaTesting!$C$22/TotalAverages!G12,"")*0.68)+0.3</f>
        <v>3.828301887</v>
      </c>
      <c r="H9" s="1030">
        <f>(((TotalAverages!H12+118)/(MassFormulaTesting!$B$24+118))*0.68)+0.3</f>
        <v>0.9597760385</v>
      </c>
      <c r="I9" s="1030">
        <f>(IFERROR(TotalAverages!I12/MassFormulaTesting!$B$26,"")*0.68)+0.3</f>
        <v>0.4390909091</v>
      </c>
      <c r="J9" s="1030">
        <f>((0.98-IFERROR(TotalAverages!J12/MassFormulaTesting!$B$28,"")*0.68))</f>
        <v>0.5011768335</v>
      </c>
      <c r="K9" s="1030">
        <f>(IFERROR(TotalAverages!K12/MassFormulaTesting!$B$30,"")*0.68)+0.3</f>
        <v>0.7851398601</v>
      </c>
      <c r="L9" s="1030">
        <f>(IFERROR(TotalAverages!L12/MassFormulaTesting!$B$32,"")*0.68)+0.3</f>
        <v>0.5318852783</v>
      </c>
      <c r="M9" s="1030">
        <f>(IFERROR(TotalAverages!M12/MassFormulaTesting!$B$34,"")*0.68)+0.3</f>
        <v>0.3084700734</v>
      </c>
      <c r="N9" s="1030">
        <f>(IFERROR(TotalAverages!N12/MassFormulaTesting!$B$36,"")*0.68)+0.3</f>
        <v>0.3</v>
      </c>
      <c r="O9" s="1030">
        <f>(IFERROR(TotalAverages!O12/MassFormulaTesting!$B$38,"")*0.68)+0.3</f>
        <v>0.4081818182</v>
      </c>
      <c r="P9" s="1030">
        <f>(IFERROR(TotalAverages!P12/MassFormulaTesting!$B$40,"")*0.68)+0.3</f>
        <v>0.3</v>
      </c>
      <c r="Q9" s="1030">
        <f>(IFERROR(TotalAverages!T12/MassFormulaTesting!$B$48,"")*0.68)+0.3</f>
        <v>0.3</v>
      </c>
      <c r="R9" s="1030">
        <f>(IFERROR(TotalAverages!U12/MassFormulaTesting!$B$50,"")*0.68)+0.3</f>
        <v>0.5256736035</v>
      </c>
      <c r="S9" s="1030">
        <f>(IFERROR(TotalAverages!V12/MassFormulaTesting!$B$52,"")*0.68)+0.3</f>
        <v>0.4073684211</v>
      </c>
      <c r="T9" s="1030">
        <f>(IFERROR(TotalAverages!W12/MassFormulaTesting!$B$54,"")*0.68)+0.3</f>
        <v>0.3</v>
      </c>
      <c r="U9" s="1030">
        <f>(IFERROR(TotalAverages!X12/MassFormulaTesting!$B$56,"")*0.68)+0.3</f>
        <v>0.3</v>
      </c>
      <c r="V9" s="1030">
        <f>(IFERROR(TotalAverages!Y12/MassFormulaTesting!$B$58,"")*0.68)+0.3</f>
        <v>0.3</v>
      </c>
      <c r="W9" s="1030">
        <f>(IFERROR(TotalAverages!Z12/MassFormulaTesting!$B$60,"")*0.68)+0.3</f>
        <v>0.3</v>
      </c>
      <c r="X9" s="1030">
        <f>(IFERROR(TotalAverages!AD12/MassFormulaTesting!$B$68,"")*0.68)+0.3</f>
        <v>0.3</v>
      </c>
      <c r="Y9" s="1030">
        <f>(IFERROR(TotalAverages!AG12/MassFormulaTesting!$B$74,"")*0.68)+0.3</f>
        <v>0.3</v>
      </c>
      <c r="Z9" s="1030">
        <f>(IFERROR(TotalAverages!AH12/MassFormulaTesting!$B$76,"")*0.68)+0.3</f>
        <v>0.3</v>
      </c>
      <c r="AA9" s="1030">
        <f>(IFERROR(TotalAverages!AJ12/MassFormulaTesting!$B$80,"")*0.68)+0.3</f>
        <v>0.3</v>
      </c>
      <c r="AB9" s="1030">
        <f>(IFERROR(TotalAverages!AK12/MassFormulaTesting!$B$82,"")*0.68)+0.3</f>
        <v>0.3</v>
      </c>
      <c r="AC9" s="1030">
        <f>(IFERROR(TotalAverages!AL12/MassFormulaTesting!$B$84,"")*0.68)+0.3</f>
        <v>0.3</v>
      </c>
      <c r="AD9" s="1030">
        <f>(IFERROR(TotalAverages!AM12/MassFormulaTesting!$B$86,"")*0.68)+0.3</f>
        <v>0.3</v>
      </c>
      <c r="AE9" s="1030">
        <f>(IFERROR(TotalAverages!AN12/MassFormulaTesting!$B$88,"")*0.68)+0.3</f>
        <v>0.3</v>
      </c>
      <c r="AF9" s="1030">
        <f>(IFERROR(TotalAverages!AO12/MassFormulaTesting!$B$90,"")*0.68)+0.3</f>
        <v>0.3</v>
      </c>
      <c r="AG9" s="1030">
        <f>(IFERROR(TotalAverages!AP12/MassFormulaTesting!$B$92,"")*0.68)+0.3</f>
        <v>0.3</v>
      </c>
      <c r="AH9" s="1030">
        <f>(IFERROR(TotalAverages!AQ12/MassFormulaTesting!$B$94,"")*0.68)+0.3</f>
        <v>0.3</v>
      </c>
      <c r="AI9" s="1030">
        <f>(IFERROR(TotalAverages!AR12/MassFormulaTesting!$B$96,"")*0.68)+0.3</f>
        <v>0.3</v>
      </c>
      <c r="AJ9" s="1030">
        <f>(IFERROR(TotalAverages!AS12/MassFormulaTesting!$B$98,"")*0.68)+0.3</f>
        <v>0.3</v>
      </c>
      <c r="AK9" s="1030">
        <f>(IFERROR(TotalAverages!AT12/MassFormulaTesting!$B$100,"")*0.68)+0.3</f>
        <v>0.3</v>
      </c>
      <c r="AL9" s="1030">
        <f>(IFERROR(TotalAverages!AU12/MassFormulaTesting!$B$102,"")*0.68)+0.3</f>
        <v>0.3</v>
      </c>
      <c r="AM9" s="1030">
        <f>(IFERROR(TotalAverages!AV12/MassFormulaTesting!$B$104,"")*0.68)+0.3</f>
        <v>0.3</v>
      </c>
    </row>
    <row r="10">
      <c r="B10" s="1028" t="str">
        <f>MassFormulaTesting!D21</f>
        <v>#DIV/0!</v>
      </c>
      <c r="C10" s="1029">
        <f>MassFormulaTesting!F21</f>
        <v>0.3</v>
      </c>
      <c r="D10" s="1030">
        <f>(IFERROR(TotalAverages!D13/MassFormulaTesting!$B$16,"")*0.68)+0.3</f>
        <v>0.6138461538</v>
      </c>
      <c r="E10" s="1030">
        <f>(IFERROR(TotalAverages!E13/MassFormulaTesting!$B$18,"")*0.68)+0.3</f>
        <v>0.6893067571</v>
      </c>
      <c r="F10" s="1030">
        <f>(IFERROR(TotalAverages!F13/MassFormulaTesting!$B$20,"")*0.68)+0.3</f>
        <v>0.1852556692</v>
      </c>
      <c r="G10" s="1030">
        <f>(IFERROR(MassFormulaTesting!$C$22/TotalAverages!G13,"")*0.68)+0.3</f>
        <v>3.864516129</v>
      </c>
      <c r="H10" s="1030">
        <f>(((TotalAverages!H13+118)/(MassFormulaTesting!$B$24+118))*0.68)+0.3</f>
        <v>0.9626102904</v>
      </c>
      <c r="I10" s="1030">
        <f>(IFERROR(TotalAverages!I13/MassFormulaTesting!$B$26,"")*0.68)+0.3</f>
        <v>0.4255384615</v>
      </c>
      <c r="J10" s="1030">
        <f>((0.98-IFERROR(TotalAverages!J13/MassFormulaTesting!$B$28,"")*0.68))</f>
        <v>0.5969832525</v>
      </c>
      <c r="K10" s="1030">
        <f>(IFERROR(TotalAverages!K13/MassFormulaTesting!$B$30,"")*0.68)+0.3</f>
        <v>0.6966789941</v>
      </c>
      <c r="L10" s="1030">
        <f>(IFERROR(TotalAverages!L13/MassFormulaTesting!$B$32,"")*0.68)+0.3</f>
        <v>0.5248246688</v>
      </c>
      <c r="M10" s="1030">
        <f>(IFERROR(TotalAverages!M13/MassFormulaTesting!$B$34,"")*0.68)+0.3</f>
        <v>0.3771419415</v>
      </c>
      <c r="N10" s="1030">
        <f>(IFERROR(TotalAverages!N13/MassFormulaTesting!$B$36,"")*0.68)+0.3</f>
        <v>0.3</v>
      </c>
      <c r="O10" s="1030">
        <f>(IFERROR(TotalAverages!O13/MassFormulaTesting!$B$38,"")*0.68)+0.3</f>
        <v>0.4176923077</v>
      </c>
      <c r="P10" s="1030">
        <f>(IFERROR(TotalAverages!P13/MassFormulaTesting!$B$40,"")*0.68)+0.3</f>
        <v>0.3</v>
      </c>
      <c r="Q10" s="1030">
        <f>(IFERROR(TotalAverages!T13/MassFormulaTesting!$B$48,"")*0.68)+0.3</f>
        <v>0.3</v>
      </c>
      <c r="R10" s="1030">
        <f>(IFERROR(TotalAverages!U13/MassFormulaTesting!$B$50,"")*0.68)+0.3</f>
        <v>0.5495644115</v>
      </c>
      <c r="S10" s="1030">
        <f>(IFERROR(TotalAverages!V13/MassFormulaTesting!$B$52,"")*0.68)+0.3</f>
        <v>0.5147368421</v>
      </c>
      <c r="T10" s="1030">
        <f>(IFERROR(TotalAverages!W13/MassFormulaTesting!$B$54,"")*0.68)+0.3</f>
        <v>0.5131054131</v>
      </c>
      <c r="U10" s="1030">
        <f>(IFERROR(TotalAverages!X13/MassFormulaTesting!$B$56,"")*0.68)+0.3</f>
        <v>0.3</v>
      </c>
      <c r="V10" s="1030">
        <f>(IFERROR(TotalAverages!Y13/MassFormulaTesting!$B$58,"")*0.68)+0.3</f>
        <v>0.3</v>
      </c>
      <c r="W10" s="1030">
        <f>(IFERROR(TotalAverages!Z13/MassFormulaTesting!$B$60,"")*0.68)+0.3</f>
        <v>0.3</v>
      </c>
      <c r="X10" s="1030">
        <f>(IFERROR(TotalAverages!AD13/MassFormulaTesting!$B$68,"")*0.68)+0.3</f>
        <v>0.3</v>
      </c>
      <c r="Y10" s="1030">
        <f>(IFERROR(TotalAverages!AG13/MassFormulaTesting!$B$74,"")*0.68)+0.3</f>
        <v>0.3</v>
      </c>
      <c r="Z10" s="1030">
        <f>(IFERROR(TotalAverages!AH13/MassFormulaTesting!$B$76,"")*0.68)+0.3</f>
        <v>0.3</v>
      </c>
      <c r="AA10" s="1030">
        <f>(IFERROR(TotalAverages!AJ13/MassFormulaTesting!$B$80,"")*0.68)+0.3</f>
        <v>0.3</v>
      </c>
      <c r="AB10" s="1030">
        <f>(IFERROR(TotalAverages!AK13/MassFormulaTesting!$B$82,"")*0.68)+0.3</f>
        <v>0.3</v>
      </c>
      <c r="AC10" s="1030">
        <f>(IFERROR(TotalAverages!AL13/MassFormulaTesting!$B$84,"")*0.68)+0.3</f>
        <v>0.3</v>
      </c>
      <c r="AD10" s="1030">
        <f>(IFERROR(TotalAverages!AM13/MassFormulaTesting!$B$86,"")*0.68)+0.3</f>
        <v>0.3</v>
      </c>
      <c r="AE10" s="1030">
        <f>(IFERROR(TotalAverages!AN13/MassFormulaTesting!$B$88,"")*0.68)+0.3</f>
        <v>0.3</v>
      </c>
      <c r="AF10" s="1030">
        <f>(IFERROR(TotalAverages!AO13/MassFormulaTesting!$B$90,"")*0.68)+0.3</f>
        <v>0.3</v>
      </c>
      <c r="AG10" s="1030">
        <f>(IFERROR(TotalAverages!AP13/MassFormulaTesting!$B$92,"")*0.68)+0.3</f>
        <v>0.3</v>
      </c>
      <c r="AH10" s="1030">
        <f>(IFERROR(TotalAverages!AQ13/MassFormulaTesting!$B$94,"")*0.68)+0.3</f>
        <v>0.3</v>
      </c>
      <c r="AI10" s="1030">
        <f>(IFERROR(TotalAverages!AR13/MassFormulaTesting!$B$96,"")*0.68)+0.3</f>
        <v>0.3</v>
      </c>
      <c r="AJ10" s="1030">
        <f>(IFERROR(TotalAverages!AS13/MassFormulaTesting!$B$98,"")*0.68)+0.3</f>
        <v>0.3</v>
      </c>
      <c r="AK10" s="1030">
        <f>(IFERROR(TotalAverages!AT13/MassFormulaTesting!$B$100,"")*0.68)+0.3</f>
        <v>0.3</v>
      </c>
      <c r="AL10" s="1030">
        <f>(IFERROR(TotalAverages!AU13/MassFormulaTesting!$B$102,"")*0.68)+0.3</f>
        <v>0.3</v>
      </c>
      <c r="AM10" s="1030">
        <f>(IFERROR(TotalAverages!AV13/MassFormulaTesting!$B$104,"")*0.68)+0.3</f>
        <v>0.3</v>
      </c>
    </row>
    <row r="11">
      <c r="B11" s="1028" t="str">
        <f>MassFormulaTesting!D22</f>
        <v>#DIV/0!</v>
      </c>
      <c r="C11" s="1029">
        <f>MassFormulaTesting!F22</f>
        <v>0.3</v>
      </c>
      <c r="D11" s="1030">
        <f>(IFERROR(TotalAverages!D14/MassFormulaTesting!$B$16,"")*0.68)+0.3</f>
        <v>0.6073596674</v>
      </c>
      <c r="E11" s="1030">
        <f>(IFERROR(TotalAverages!E14/MassFormulaTesting!$B$18,"")*0.68)+0.3</f>
        <v>0.6158966565</v>
      </c>
      <c r="F11" s="1030">
        <f>(IFERROR(TotalAverages!F14/MassFormulaTesting!$B$20,"")*0.68)+0.3</f>
        <v>0.4754913295</v>
      </c>
      <c r="G11" s="1030">
        <f>(IFERROR(MassFormulaTesting!$C$22/TotalAverages!G14,"")*0.68)+0.3</f>
        <v>5.282758621</v>
      </c>
      <c r="H11" s="1030">
        <f>(((TotalAverages!H14+118)/(MassFormulaTesting!$B$24+118))*0.68)+0.3</f>
        <v>0.9761324503</v>
      </c>
      <c r="I11" s="1030">
        <f>(IFERROR(TotalAverages!I14/MassFormulaTesting!$B$26,"")*0.68)+0.3</f>
        <v>0.408</v>
      </c>
      <c r="J11" s="1030">
        <f>((0.98-IFERROR(TotalAverages!J14/MassFormulaTesting!$B$28,"")*0.68))</f>
        <v>0.4925629577</v>
      </c>
      <c r="K11" s="1030">
        <f>(IFERROR(TotalAverages!K14/MassFormulaTesting!$B$30,"")*0.68)+0.3</f>
        <v>0.7694626697</v>
      </c>
      <c r="L11" s="1030">
        <f>(IFERROR(TotalAverages!L14/MassFormulaTesting!$B$32,"")*0.68)+0.3</f>
        <v>0.6949059334</v>
      </c>
      <c r="M11" s="1030">
        <f>(IFERROR(TotalAverages!M14/MassFormulaTesting!$B$34,"")*0.68)+0.3</f>
        <v>0.6901990434</v>
      </c>
      <c r="N11" s="1030">
        <f>(IFERROR(TotalAverages!N14/MassFormulaTesting!$B$36,"")*0.68)+0.3</f>
        <v>0.3</v>
      </c>
      <c r="O11" s="1030">
        <f>(IFERROR(TotalAverages!O14/MassFormulaTesting!$B$38,"")*0.68)+0.3</f>
        <v>0.67</v>
      </c>
      <c r="P11" s="1030">
        <f>(IFERROR(TotalAverages!P14/MassFormulaTesting!$B$40,"")*0.68)+0.3</f>
        <v>0.98</v>
      </c>
      <c r="Q11" s="1030">
        <f>(IFERROR(TotalAverages!T14/MassFormulaTesting!$B$48,"")*0.68)+0.3</f>
        <v>0.3</v>
      </c>
      <c r="R11" s="1030">
        <f>(IFERROR(TotalAverages!U14/MassFormulaTesting!$B$50,"")*0.68)+0.3</f>
        <v>0.5530120482</v>
      </c>
      <c r="S11" s="1030">
        <f>(IFERROR(TotalAverages!V14/MassFormulaTesting!$B$52,"")*0.68)+0.3</f>
        <v>0.4957894737</v>
      </c>
      <c r="T11" s="1030">
        <f>(IFERROR(TotalAverages!W14/MassFormulaTesting!$B$54,"")*0.68)+0.3</f>
        <v>0.5607407407</v>
      </c>
      <c r="U11" s="1030">
        <f>(IFERROR(TotalAverages!X14/MassFormulaTesting!$B$56,"")*0.68)+0.3</f>
        <v>0.54</v>
      </c>
      <c r="V11" s="1030">
        <f>(IFERROR(TotalAverages!Y14/MassFormulaTesting!$B$58,"")*0.68)+0.3</f>
        <v>0.3</v>
      </c>
      <c r="W11" s="1030">
        <f>(IFERROR(TotalAverages!Z14/MassFormulaTesting!$B$60,"")*0.68)+0.3</f>
        <v>0.3</v>
      </c>
      <c r="X11" s="1030">
        <f>(IFERROR(TotalAverages!AD14/MassFormulaTesting!$B$68,"")*0.68)+0.3</f>
        <v>0.3</v>
      </c>
      <c r="Y11" s="1030">
        <f>(IFERROR(TotalAverages!AG14/MassFormulaTesting!$B$74,"")*0.68)+0.3</f>
        <v>0.3</v>
      </c>
      <c r="Z11" s="1030">
        <f>(IFERROR(TotalAverages!AH14/MassFormulaTesting!$B$76,"")*0.68)+0.3</f>
        <v>0.3</v>
      </c>
      <c r="AA11" s="1030">
        <f>(IFERROR(TotalAverages!AJ14/MassFormulaTesting!$B$80,"")*0.68)+0.3</f>
        <v>0.3</v>
      </c>
      <c r="AB11" s="1030">
        <f>(IFERROR(TotalAverages!AK14/MassFormulaTesting!$B$82,"")*0.68)+0.3</f>
        <v>0.3</v>
      </c>
      <c r="AC11" s="1030">
        <f>(IFERROR(TotalAverages!AL14/MassFormulaTesting!$B$84,"")*0.68)+0.3</f>
        <v>0.3</v>
      </c>
      <c r="AD11" s="1030">
        <f>(IFERROR(TotalAverages!AM14/MassFormulaTesting!$B$86,"")*0.68)+0.3</f>
        <v>0.3</v>
      </c>
      <c r="AE11" s="1030">
        <f>(IFERROR(TotalAverages!AN14/MassFormulaTesting!$B$88,"")*0.68)+0.3</f>
        <v>0.3</v>
      </c>
      <c r="AF11" s="1030">
        <f>(IFERROR(TotalAverages!AO14/MassFormulaTesting!$B$90,"")*0.68)+0.3</f>
        <v>0.3</v>
      </c>
      <c r="AG11" s="1030">
        <f>(IFERROR(TotalAverages!AP14/MassFormulaTesting!$B$92,"")*0.68)+0.3</f>
        <v>0.3</v>
      </c>
      <c r="AH11" s="1030">
        <f>(IFERROR(TotalAverages!AQ14/MassFormulaTesting!$B$94,"")*0.68)+0.3</f>
        <v>0.3</v>
      </c>
      <c r="AI11" s="1030">
        <f>(IFERROR(TotalAverages!AR14/MassFormulaTesting!$B$96,"")*0.68)+0.3</f>
        <v>0.3</v>
      </c>
      <c r="AJ11" s="1030">
        <f>(IFERROR(TotalAverages!AS14/MassFormulaTesting!$B$98,"")*0.68)+0.3</f>
        <v>0.3</v>
      </c>
      <c r="AK11" s="1030">
        <f>(IFERROR(TotalAverages!AT14/MassFormulaTesting!$B$100,"")*0.68)+0.3</f>
        <v>0.3</v>
      </c>
      <c r="AL11" s="1030">
        <f>(IFERROR(TotalAverages!AU14/MassFormulaTesting!$B$102,"")*0.68)+0.3</f>
        <v>0.3</v>
      </c>
      <c r="AM11" s="1030">
        <f>(IFERROR(TotalAverages!AV14/MassFormulaTesting!$B$104,"")*0.68)+0.3</f>
        <v>0.3</v>
      </c>
    </row>
    <row r="12">
      <c r="B12" s="1028" t="str">
        <f>MassFormulaTesting!D23</f>
        <v>#DIV/0!</v>
      </c>
      <c r="C12" s="1029">
        <f>MassFormulaTesting!F23</f>
        <v>0.3</v>
      </c>
      <c r="D12" s="1030">
        <f>(IFERROR(TotalAverages!D15/MassFormulaTesting!$B$16,"")*0.68)+0.3</f>
        <v>0.5684051084</v>
      </c>
      <c r="E12" s="1030">
        <f>(IFERROR(TotalAverages!E15/MassFormulaTesting!$B$18,"")*0.68)+0.3</f>
        <v>0.6555384281</v>
      </c>
      <c r="F12" s="1030">
        <f>(IFERROR(TotalAverages!F15/MassFormulaTesting!$B$20,"")*0.68)+0.3</f>
        <v>0.1023451693</v>
      </c>
      <c r="G12" s="1030">
        <f>(IFERROR(MassFormulaTesting!$C$22/TotalAverages!G15,"")*0.68)+0.3</f>
        <v>3.8</v>
      </c>
      <c r="H12" s="1030">
        <f>(((TotalAverages!H15+118)/(MassFormulaTesting!$B$24+118))*0.68)+0.3</f>
        <v>0.9643027436</v>
      </c>
      <c r="I12" s="1030">
        <f>(IFERROR(TotalAverages!I15/MassFormulaTesting!$B$26,"")*0.68)+0.3</f>
        <v>0.5331428571</v>
      </c>
      <c r="J12" s="1030">
        <f>((0.98-IFERROR(TotalAverages!J15/MassFormulaTesting!$B$28,"")*0.68))</f>
        <v>0.5866312862</v>
      </c>
      <c r="K12" s="1030">
        <f>(IFERROR(TotalAverages!K15/MassFormulaTesting!$B$30,"")*0.68)+0.3</f>
        <v>0.6991895604</v>
      </c>
      <c r="L12" s="1030">
        <f>(IFERROR(TotalAverages!L15/MassFormulaTesting!$B$32,"")*0.68)+0.3</f>
        <v>0.5530494108</v>
      </c>
      <c r="M12" s="1030">
        <f>(IFERROR(TotalAverages!M15/MassFormulaTesting!$B$34,"")*0.68)+0.3</f>
        <v>0.390427844</v>
      </c>
      <c r="N12" s="1030">
        <f>(IFERROR(TotalAverages!N15/MassFormulaTesting!$B$36,"")*0.68)+0.3</f>
        <v>0.3</v>
      </c>
      <c r="O12" s="1030">
        <f>(IFERROR(TotalAverages!O15/MassFormulaTesting!$B$38,"")*0.68)+0.3</f>
        <v>0.3971428571</v>
      </c>
      <c r="P12" s="1030">
        <f>(IFERROR(TotalAverages!P15/MassFormulaTesting!$B$40,"")*0.68)+0.3</f>
        <v>0.3</v>
      </c>
      <c r="Q12" s="1030">
        <f>(IFERROR(TotalAverages!T15/MassFormulaTesting!$B$48,"")*0.68)+0.3</f>
        <v>0.3</v>
      </c>
      <c r="R12" s="1030">
        <f>(IFERROR(TotalAverages!U15/MassFormulaTesting!$B$50,"")*0.68)+0.3</f>
        <v>0.487848537</v>
      </c>
      <c r="S12" s="1030">
        <f>(IFERROR(TotalAverages!V15/MassFormulaTesting!$B$52,"")*0.68)+0.3</f>
        <v>0.3996992481</v>
      </c>
      <c r="T12" s="1030">
        <f>(IFERROR(TotalAverages!W15/MassFormulaTesting!$B$54,"")*0.68)+0.3</f>
        <v>0.3395767196</v>
      </c>
      <c r="U12" s="1030">
        <f>(IFERROR(TotalAverages!X15/MassFormulaTesting!$B$56,"")*0.68)+0.3</f>
        <v>0.3</v>
      </c>
      <c r="V12" s="1030">
        <f>(IFERROR(TotalAverages!Y15/MassFormulaTesting!$B$58,"")*0.68)+0.3</f>
        <v>0.3</v>
      </c>
      <c r="W12" s="1030">
        <f>(IFERROR(TotalAverages!Z15/MassFormulaTesting!$B$60,"")*0.68)+0.3</f>
        <v>0.3</v>
      </c>
      <c r="X12" s="1030">
        <f>(IFERROR(TotalAverages!AD15/MassFormulaTesting!$B$68,"")*0.68)+0.3</f>
        <v>0.3</v>
      </c>
      <c r="Y12" s="1030">
        <f>(IFERROR(TotalAverages!AG15/MassFormulaTesting!$B$74,"")*0.68)+0.3</f>
        <v>0.3</v>
      </c>
      <c r="Z12" s="1030">
        <f>(IFERROR(TotalAverages!AH15/MassFormulaTesting!$B$76,"")*0.68)+0.3</f>
        <v>0.3</v>
      </c>
      <c r="AA12" s="1030">
        <f>(IFERROR(TotalAverages!AJ15/MassFormulaTesting!$B$80,"")*0.68)+0.3</f>
        <v>0.3</v>
      </c>
      <c r="AB12" s="1030">
        <f>(IFERROR(TotalAverages!AK15/MassFormulaTesting!$B$82,"")*0.68)+0.3</f>
        <v>0.3</v>
      </c>
      <c r="AC12" s="1030">
        <f>(IFERROR(TotalAverages!AL15/MassFormulaTesting!$B$84,"")*0.68)+0.3</f>
        <v>0.3</v>
      </c>
      <c r="AD12" s="1030">
        <f>(IFERROR(TotalAverages!AM15/MassFormulaTesting!$B$86,"")*0.68)+0.3</f>
        <v>0.3</v>
      </c>
      <c r="AE12" s="1030">
        <f>(IFERROR(TotalAverages!AN15/MassFormulaTesting!$B$88,"")*0.68)+0.3</f>
        <v>0.3</v>
      </c>
      <c r="AF12" s="1030">
        <f>(IFERROR(TotalAverages!AO15/MassFormulaTesting!$B$90,"")*0.68)+0.3</f>
        <v>0.3</v>
      </c>
      <c r="AG12" s="1030">
        <f>(IFERROR(TotalAverages!AP15/MassFormulaTesting!$B$92,"")*0.68)+0.3</f>
        <v>0.3</v>
      </c>
      <c r="AH12" s="1030">
        <f>(IFERROR(TotalAverages!AQ15/MassFormulaTesting!$B$94,"")*0.68)+0.3</f>
        <v>0.3</v>
      </c>
      <c r="AI12" s="1030">
        <f>(IFERROR(TotalAverages!AR15/MassFormulaTesting!$B$96,"")*0.68)+0.3</f>
        <v>0.3</v>
      </c>
      <c r="AJ12" s="1030">
        <f>(IFERROR(TotalAverages!AS15/MassFormulaTesting!$B$98,"")*0.68)+0.3</f>
        <v>0.3</v>
      </c>
      <c r="AK12" s="1030">
        <f>(IFERROR(TotalAverages!AT15/MassFormulaTesting!$B$100,"")*0.68)+0.3</f>
        <v>0.3</v>
      </c>
      <c r="AL12" s="1030">
        <f>(IFERROR(TotalAverages!AU15/MassFormulaTesting!$B$102,"")*0.68)+0.3</f>
        <v>0.3</v>
      </c>
      <c r="AM12" s="1030">
        <f>(IFERROR(TotalAverages!AV15/MassFormulaTesting!$B$104,"")*0.68)+0.3</f>
        <v>0.3</v>
      </c>
    </row>
    <row r="13">
      <c r="B13" s="1028" t="str">
        <f>MassFormulaTesting!D24</f>
        <v>#DIV/0!</v>
      </c>
      <c r="C13" s="1029">
        <f>MassFormulaTesting!F24</f>
        <v>0.3</v>
      </c>
      <c r="D13" s="1030">
        <f>(IFERROR(TotalAverages!D16/MassFormulaTesting!$B$16,"")*0.68)+0.3</f>
        <v>0.8067507209</v>
      </c>
      <c r="E13" s="1030">
        <f>(IFERROR(TotalAverages!E16/MassFormulaTesting!$B$18,"")*0.68)+0.3</f>
        <v>0.7639621532</v>
      </c>
      <c r="F13" s="1030">
        <f>(IFERROR(TotalAverages!F16/MassFormulaTesting!$B$20,"")*0.68)+0.3</f>
        <v>0.8397650569</v>
      </c>
      <c r="G13" s="1030">
        <f>(IFERROR(MassFormulaTesting!$C$22/TotalAverages!G16,"")*0.68)+0.3</f>
        <v>2.673873874</v>
      </c>
      <c r="H13" s="1030">
        <f>(((TotalAverages!H16+118)/(MassFormulaTesting!$B$24+118))*0.68)+0.3</f>
        <v>0.9742764367</v>
      </c>
      <c r="I13" s="1030">
        <f>(IFERROR(TotalAverages!I16/MassFormulaTesting!$B$26,"")*0.68)+0.3</f>
        <v>0.4710967742</v>
      </c>
      <c r="J13" s="1030">
        <f>((0.98-IFERROR(TotalAverages!J16/MassFormulaTesting!$B$28,"")*0.68))</f>
        <v>0.4342495492</v>
      </c>
      <c r="K13" s="1030">
        <f>(IFERROR(TotalAverages!K16/MassFormulaTesting!$B$30,"")*0.68)+0.3</f>
        <v>0.8399534739</v>
      </c>
      <c r="L13" s="1030">
        <f>(IFERROR(TotalAverages!L16/MassFormulaTesting!$B$32,"")*0.68)+0.3</f>
        <v>0.5748443117</v>
      </c>
      <c r="M13" s="1030">
        <f>(IFERROR(TotalAverages!M16/MassFormulaTesting!$B$34,"")*0.68)+0.3</f>
        <v>0.316144462</v>
      </c>
      <c r="N13" s="1030">
        <f>(IFERROR(TotalAverages!N16/MassFormulaTesting!$B$36,"")*0.68)+0.3</f>
        <v>0.3</v>
      </c>
      <c r="O13" s="1030">
        <f>(IFERROR(TotalAverages!O16/MassFormulaTesting!$B$38,"")*0.68)+0.3</f>
        <v>0.804516129</v>
      </c>
      <c r="P13" s="1030">
        <f>(IFERROR(TotalAverages!P16/MassFormulaTesting!$B$40,"")*0.68)+0.3</f>
        <v>0.4491612903</v>
      </c>
      <c r="Q13" s="1030">
        <f>(IFERROR(TotalAverages!T16/MassFormulaTesting!$B$48,"")*0.68)+0.3</f>
        <v>0.3</v>
      </c>
      <c r="R13" s="1030">
        <f>(IFERROR(TotalAverages!U16/MassFormulaTesting!$B$50,"")*0.68)+0.3</f>
        <v>0.8026661485</v>
      </c>
      <c r="S13" s="1030">
        <f>(IFERROR(TotalAverages!V16/MassFormulaTesting!$B$52,"")*0.68)+0.3</f>
        <v>0.6948387097</v>
      </c>
      <c r="T13" s="1030">
        <f>(IFERROR(TotalAverages!W16/MassFormulaTesting!$B$54,"")*0.68)+0.3</f>
        <v>0.7110872162</v>
      </c>
      <c r="U13" s="1030">
        <f>(IFERROR(TotalAverages!X16/MassFormulaTesting!$B$56,"")*0.68)+0.3</f>
        <v>0.7387096774</v>
      </c>
      <c r="V13" s="1030">
        <f>(IFERROR(TotalAverages!Y16/MassFormulaTesting!$B$58,"")*0.68)+0.3</f>
        <v>0.6948387097</v>
      </c>
      <c r="W13" s="1030">
        <f>(IFERROR(TotalAverages!Z16/MassFormulaTesting!$B$60,"")*0.68)+0.3</f>
        <v>0.98</v>
      </c>
      <c r="X13" s="1030">
        <f>(IFERROR(TotalAverages!AD16/MassFormulaTesting!$B$68,"")*0.68)+0.3</f>
        <v>0.98</v>
      </c>
      <c r="Y13" s="1030">
        <f>(IFERROR(TotalAverages!AG16/MassFormulaTesting!$B$74,"")*0.68)+0.3</f>
        <v>0.3</v>
      </c>
      <c r="Z13" s="1030">
        <f>(IFERROR(TotalAverages!AH16/MassFormulaTesting!$B$76,"")*0.68)+0.3</f>
        <v>0.3</v>
      </c>
      <c r="AA13" s="1030">
        <f>(IFERROR(TotalAverages!AJ16/MassFormulaTesting!$B$80,"")*0.68)+0.3</f>
        <v>0.3</v>
      </c>
      <c r="AB13" s="1030">
        <f>(IFERROR(TotalAverages!AK16/MassFormulaTesting!$B$82,"")*0.68)+0.3</f>
        <v>0.3</v>
      </c>
      <c r="AC13" s="1030">
        <f>(IFERROR(TotalAverages!AL16/MassFormulaTesting!$B$84,"")*0.68)+0.3</f>
        <v>0.3</v>
      </c>
      <c r="AD13" s="1030">
        <f>(IFERROR(TotalAverages!AM16/MassFormulaTesting!$B$86,"")*0.68)+0.3</f>
        <v>0.3</v>
      </c>
      <c r="AE13" s="1030">
        <f>(IFERROR(TotalAverages!AN16/MassFormulaTesting!$B$88,"")*0.68)+0.3</f>
        <v>0.3</v>
      </c>
      <c r="AF13" s="1030">
        <f>(IFERROR(TotalAverages!AO16/MassFormulaTesting!$B$90,"")*0.68)+0.3</f>
        <v>0.3</v>
      </c>
      <c r="AG13" s="1030">
        <f>(IFERROR(TotalAverages!AP16/MassFormulaTesting!$B$92,"")*0.68)+0.3</f>
        <v>0.3</v>
      </c>
      <c r="AH13" s="1030">
        <f>(IFERROR(TotalAverages!AQ16/MassFormulaTesting!$B$94,"")*0.68)+0.3</f>
        <v>0.3</v>
      </c>
      <c r="AI13" s="1030">
        <f>(IFERROR(TotalAverages!AR16/MassFormulaTesting!$B$96,"")*0.68)+0.3</f>
        <v>0.3</v>
      </c>
      <c r="AJ13" s="1030">
        <f>(IFERROR(TotalAverages!AS16/MassFormulaTesting!$B$98,"")*0.68)+0.3</f>
        <v>0.3</v>
      </c>
      <c r="AK13" s="1030">
        <f>(IFERROR(TotalAverages!AT16/MassFormulaTesting!$B$100,"")*0.68)+0.3</f>
        <v>0.3</v>
      </c>
      <c r="AL13" s="1030">
        <f>(IFERROR(TotalAverages!AU16/MassFormulaTesting!$B$102,"")*0.68)+0.3</f>
        <v>0.3</v>
      </c>
      <c r="AM13" s="1030">
        <f>(IFERROR(TotalAverages!AV16/MassFormulaTesting!$B$104,"")*0.68)+0.3</f>
        <v>0.3</v>
      </c>
    </row>
    <row r="14">
      <c r="B14" s="1028" t="str">
        <f>MassFormulaTesting!D25</f>
        <v>#DIV/0!</v>
      </c>
      <c r="C14" s="1029">
        <f>MassFormulaTesting!F25</f>
        <v>0.3</v>
      </c>
      <c r="D14" s="1030">
        <f>(IFERROR(TotalAverages!D17/MassFormulaTesting!$B$16,"")*0.68)+0.3</f>
        <v>0.5754400554</v>
      </c>
      <c r="E14" s="1030">
        <f>(IFERROR(TotalAverages!E17/MassFormulaTesting!$B$18,"")*0.68)+0.3</f>
        <v>0.7848817967</v>
      </c>
      <c r="F14" s="1030">
        <f>(IFERROR(TotalAverages!F17/MassFormulaTesting!$B$20,"")*0.68)+0.3</f>
        <v>-0.4314258189</v>
      </c>
      <c r="G14" s="1030">
        <f>(IFERROR(MassFormulaTesting!$C$22/TotalAverages!G17,"")*0.68)+0.3</f>
        <v>12.06923077</v>
      </c>
      <c r="H14" s="1030">
        <f>(((TotalAverages!H17+118)/(MassFormulaTesting!$B$24+118))*0.68)+0.3</f>
        <v>0.9580838852</v>
      </c>
      <c r="I14" s="1030">
        <f>(IFERROR(TotalAverages!I17/MassFormulaTesting!$B$26,"")*0.68)+0.3</f>
        <v>0.3623333333</v>
      </c>
      <c r="J14" s="1030">
        <f>((0.98-IFERROR(TotalAverages!J17/MassFormulaTesting!$B$28,"")*0.68))</f>
        <v>0.4411656843</v>
      </c>
      <c r="K14" s="1030">
        <f>(IFERROR(TotalAverages!K17/MassFormulaTesting!$B$30,"")*0.68)+0.3</f>
        <v>0.8355929487</v>
      </c>
      <c r="L14" s="1030">
        <f>(IFERROR(TotalAverages!L17/MassFormulaTesting!$B$32,"")*0.68)+0.3</f>
        <v>0.5903039074</v>
      </c>
      <c r="M14" s="1030">
        <f>(IFERROR(TotalAverages!M17/MassFormulaTesting!$B$34,"")*0.68)+0.3</f>
        <v>0.6790834748</v>
      </c>
      <c r="N14" s="1030">
        <f>(IFERROR(TotalAverages!N17/MassFormulaTesting!$B$36,"")*0.68)+0.3</f>
        <v>0.3</v>
      </c>
      <c r="O14" s="1030">
        <f>(IFERROR(TotalAverages!O17/MassFormulaTesting!$B$38,"")*0.68)+0.3</f>
        <v>0.3566666667</v>
      </c>
      <c r="P14" s="1030">
        <f>(IFERROR(TotalAverages!P17/MassFormulaTesting!$B$40,"")*0.68)+0.3</f>
        <v>0.3</v>
      </c>
      <c r="Q14" s="1030">
        <f>(IFERROR(TotalAverages!T17/MassFormulaTesting!$B$48,"")*0.68)+0.3</f>
        <v>0.98</v>
      </c>
      <c r="R14" s="1030">
        <f>(IFERROR(TotalAverages!U17/MassFormulaTesting!$B$50,"")*0.68)+0.3</f>
        <v>0.4324497992</v>
      </c>
      <c r="S14" s="1030">
        <f>(IFERROR(TotalAverages!V17/MassFormulaTesting!$B$52,"")*0.68)+0.3</f>
        <v>0.3357894737</v>
      </c>
      <c r="T14" s="1030">
        <f>(IFERROR(TotalAverages!W17/MassFormulaTesting!$B$54,"")*0.68)+0.3</f>
        <v>0.330781893</v>
      </c>
      <c r="U14" s="1030">
        <f>(IFERROR(TotalAverages!X17/MassFormulaTesting!$B$56,"")*0.68)+0.3</f>
        <v>0.3755555556</v>
      </c>
      <c r="V14" s="1030">
        <f>(IFERROR(TotalAverages!Y17/MassFormulaTesting!$B$58,"")*0.68)+0.3</f>
        <v>0.3</v>
      </c>
      <c r="W14" s="1030">
        <f>(IFERROR(TotalAverages!Z17/MassFormulaTesting!$B$60,"")*0.68)+0.3</f>
        <v>0.3</v>
      </c>
      <c r="X14" s="1030">
        <f>(IFERROR(TotalAverages!AD17/MassFormulaTesting!$B$68,"")*0.68)+0.3</f>
        <v>0.3</v>
      </c>
      <c r="Y14" s="1030">
        <f>(IFERROR(TotalAverages!AG17/MassFormulaTesting!$B$74,"")*0.68)+0.3</f>
        <v>0.3</v>
      </c>
      <c r="Z14" s="1030">
        <f>(IFERROR(TotalAverages!AH17/MassFormulaTesting!$B$76,"")*0.68)+0.3</f>
        <v>0.3</v>
      </c>
      <c r="AA14" s="1030">
        <f>(IFERROR(TotalAverages!AJ17/MassFormulaTesting!$B$80,"")*0.68)+0.3</f>
        <v>0.3</v>
      </c>
      <c r="AB14" s="1030">
        <f>(IFERROR(TotalAverages!AK17/MassFormulaTesting!$B$82,"")*0.68)+0.3</f>
        <v>0.3</v>
      </c>
      <c r="AC14" s="1030">
        <f>(IFERROR(TotalAverages!AL17/MassFormulaTesting!$B$84,"")*0.68)+0.3</f>
        <v>0.3</v>
      </c>
      <c r="AD14" s="1030">
        <f>(IFERROR(TotalAverages!AM17/MassFormulaTesting!$B$86,"")*0.68)+0.3</f>
        <v>0.3</v>
      </c>
      <c r="AE14" s="1030">
        <f>(IFERROR(TotalAverages!AN17/MassFormulaTesting!$B$88,"")*0.68)+0.3</f>
        <v>0.3</v>
      </c>
      <c r="AF14" s="1030">
        <f>(IFERROR(TotalAverages!AO17/MassFormulaTesting!$B$90,"")*0.68)+0.3</f>
        <v>0.3</v>
      </c>
      <c r="AG14" s="1030">
        <f>(IFERROR(TotalAverages!AP17/MassFormulaTesting!$B$92,"")*0.68)+0.3</f>
        <v>0.3</v>
      </c>
      <c r="AH14" s="1030">
        <f>(IFERROR(TotalAverages!AQ17/MassFormulaTesting!$B$94,"")*0.68)+0.3</f>
        <v>0.3</v>
      </c>
      <c r="AI14" s="1030">
        <f>(IFERROR(TotalAverages!AR17/MassFormulaTesting!$B$96,"")*0.68)+0.3</f>
        <v>0.3</v>
      </c>
      <c r="AJ14" s="1030">
        <f>(IFERROR(TotalAverages!AS17/MassFormulaTesting!$B$98,"")*0.68)+0.3</f>
        <v>0.3</v>
      </c>
      <c r="AK14" s="1030">
        <f>(IFERROR(TotalAverages!AT17/MassFormulaTesting!$B$100,"")*0.68)+0.3</f>
        <v>0.3</v>
      </c>
      <c r="AL14" s="1030">
        <f>(IFERROR(TotalAverages!AU17/MassFormulaTesting!$B$102,"")*0.68)+0.3</f>
        <v>0.3</v>
      </c>
      <c r="AM14" s="1030">
        <f>(IFERROR(TotalAverages!AV17/MassFormulaTesting!$B$104,"")*0.68)+0.3</f>
        <v>0.3</v>
      </c>
    </row>
    <row r="15">
      <c r="B15" s="1028" t="str">
        <f>MassFormulaTesting!D26</f>
        <v>#DIV/0!</v>
      </c>
      <c r="C15" s="1029">
        <f>MassFormulaTesting!F26</f>
        <v>0.3</v>
      </c>
      <c r="D15" s="1030">
        <f>(IFERROR(TotalAverages!D18/MassFormulaTesting!$B$16,"")*0.68)+0.3</f>
        <v>0.5624809425</v>
      </c>
      <c r="E15" s="1030">
        <f>(IFERROR(TotalAverages!E18/MassFormulaTesting!$B$18,"")*0.68)+0.3</f>
        <v>0.5307142857</v>
      </c>
      <c r="F15" s="1030">
        <f>(IFERROR(TotalAverages!F18/MassFormulaTesting!$B$20,"")*0.68)+0.3</f>
        <v>0.6218754014</v>
      </c>
      <c r="G15" s="1030">
        <f>(IFERROR(MassFormulaTesting!$C$22/TotalAverages!G18,"")*0.68)+0.3</f>
        <v>6.810638298</v>
      </c>
      <c r="H15" s="1030">
        <f>(((TotalAverages!H18+118)/(MassFormulaTesting!$B$24+118))*0.68)+0.3</f>
        <v>0.9742958057</v>
      </c>
      <c r="I15" s="1030">
        <f>(IFERROR(TotalAverages!I18/MassFormulaTesting!$B$26,"")*0.68)+0.3</f>
        <v>0.3736666667</v>
      </c>
      <c r="J15" s="1030">
        <f>((0.98-IFERROR(TotalAverages!J18/MassFormulaTesting!$B$28,"")*0.68))</f>
        <v>0.3355242008</v>
      </c>
      <c r="K15" s="1030">
        <f>(IFERROR(TotalAverages!K18/MassFormulaTesting!$B$30,"")*0.68)+0.3</f>
        <v>0.8777403846</v>
      </c>
      <c r="L15" s="1030">
        <f>(IFERROR(TotalAverages!L18/MassFormulaTesting!$B$32,"")*0.68)+0.3</f>
        <v>0.98</v>
      </c>
      <c r="M15" s="1030">
        <f>(IFERROR(TotalAverages!M18/MassFormulaTesting!$B$34,"")*0.68)+0.3</f>
        <v>0.98</v>
      </c>
      <c r="N15" s="1030">
        <f>(IFERROR(TotalAverages!N18/MassFormulaTesting!$B$36,"")*0.68)+0.3</f>
        <v>0.3</v>
      </c>
      <c r="O15" s="1030">
        <f>(IFERROR(TotalAverages!O18/MassFormulaTesting!$B$38,"")*0.68)+0.3</f>
        <v>0.64</v>
      </c>
      <c r="P15" s="1030">
        <f>(IFERROR(TotalAverages!P18/MassFormulaTesting!$B$40,"")*0.68)+0.3</f>
        <v>0.6853333333</v>
      </c>
      <c r="Q15" s="1030">
        <f>(IFERROR(TotalAverages!T18/MassFormulaTesting!$B$48,"")*0.68)+0.3</f>
        <v>0.3</v>
      </c>
      <c r="R15" s="1030">
        <f>(IFERROR(TotalAverages!U18/MassFormulaTesting!$B$50,"")*0.68)+0.3</f>
        <v>0.4570281124</v>
      </c>
      <c r="S15" s="1030">
        <f>(IFERROR(TotalAverages!V18/MassFormulaTesting!$B$52,"")*0.68)+0.3</f>
        <v>0.3894736842</v>
      </c>
      <c r="T15" s="1030">
        <f>(IFERROR(TotalAverages!W18/MassFormulaTesting!$B$54,"")*0.68)+0.3</f>
        <v>0.392345679</v>
      </c>
      <c r="U15" s="1030">
        <f>(IFERROR(TotalAverages!X18/MassFormulaTesting!$B$56,"")*0.68)+0.3</f>
        <v>0.3</v>
      </c>
      <c r="V15" s="1030">
        <f>(IFERROR(TotalAverages!Y18/MassFormulaTesting!$B$58,"")*0.68)+0.3</f>
        <v>0.3</v>
      </c>
      <c r="W15" s="1030">
        <f>(IFERROR(TotalAverages!Z18/MassFormulaTesting!$B$60,"")*0.68)+0.3</f>
        <v>0.3</v>
      </c>
      <c r="X15" s="1030">
        <f>(IFERROR(TotalAverages!AD18/MassFormulaTesting!$B$68,"")*0.68)+0.3</f>
        <v>0.3</v>
      </c>
      <c r="Y15" s="1030">
        <f>(IFERROR(TotalAverages!AG18/MassFormulaTesting!$B$74,"")*0.68)+0.3</f>
        <v>0.3</v>
      </c>
      <c r="Z15" s="1030">
        <f>(IFERROR(TotalAverages!AH18/MassFormulaTesting!$B$76,"")*0.68)+0.3</f>
        <v>0.3</v>
      </c>
      <c r="AA15" s="1030">
        <f>(IFERROR(TotalAverages!AJ18/MassFormulaTesting!$B$80,"")*0.68)+0.3</f>
        <v>0.3</v>
      </c>
      <c r="AB15" s="1030">
        <f>(IFERROR(TotalAverages!AK18/MassFormulaTesting!$B$82,"")*0.68)+0.3</f>
        <v>0.3</v>
      </c>
      <c r="AC15" s="1030">
        <f>(IFERROR(TotalAverages!AL18/MassFormulaTesting!$B$84,"")*0.68)+0.3</f>
        <v>0.3</v>
      </c>
      <c r="AD15" s="1030">
        <f>(IFERROR(TotalAverages!AM18/MassFormulaTesting!$B$86,"")*0.68)+0.3</f>
        <v>0.3</v>
      </c>
      <c r="AE15" s="1030">
        <f>(IFERROR(TotalAverages!AN18/MassFormulaTesting!$B$88,"")*0.68)+0.3</f>
        <v>0.3</v>
      </c>
      <c r="AF15" s="1030">
        <f>(IFERROR(TotalAverages!AO18/MassFormulaTesting!$B$90,"")*0.68)+0.3</f>
        <v>0.3</v>
      </c>
      <c r="AG15" s="1030">
        <f>(IFERROR(TotalAverages!AP18/MassFormulaTesting!$B$92,"")*0.68)+0.3</f>
        <v>0.3</v>
      </c>
      <c r="AH15" s="1030">
        <f>(IFERROR(TotalAverages!AQ18/MassFormulaTesting!$B$94,"")*0.68)+0.3</f>
        <v>0.3</v>
      </c>
      <c r="AI15" s="1030">
        <f>(IFERROR(TotalAverages!AR18/MassFormulaTesting!$B$96,"")*0.68)+0.3</f>
        <v>0.3</v>
      </c>
      <c r="AJ15" s="1030">
        <f>(IFERROR(TotalAverages!AS18/MassFormulaTesting!$B$98,"")*0.68)+0.3</f>
        <v>0.3</v>
      </c>
      <c r="AK15" s="1030">
        <f>(IFERROR(TotalAverages!AT18/MassFormulaTesting!$B$100,"")*0.68)+0.3</f>
        <v>0.3</v>
      </c>
      <c r="AL15" s="1030">
        <f>(IFERROR(TotalAverages!AU18/MassFormulaTesting!$B$102,"")*0.68)+0.3</f>
        <v>0.3</v>
      </c>
      <c r="AM15" s="1030">
        <f>(IFERROR(TotalAverages!AV18/MassFormulaTesting!$B$104,"")*0.68)+0.3</f>
        <v>0.3</v>
      </c>
    </row>
    <row r="16">
      <c r="B16" s="1028" t="str">
        <f>MassFormulaTesting!D27</f>
        <v>#DIV/0!</v>
      </c>
      <c r="C16" s="1029">
        <f>MassFormulaTesting!F27</f>
        <v>0.3</v>
      </c>
      <c r="D16" s="1030">
        <f>(IFERROR(TotalAverages!D19/MassFormulaTesting!$B$16,"")*0.68)+0.3</f>
        <v>0.5042827443</v>
      </c>
      <c r="E16" s="1030">
        <f>(IFERROR(TotalAverages!E19/MassFormulaTesting!$B$18,"")*0.68)+0.3</f>
        <v>0.5814387031</v>
      </c>
      <c r="F16" s="1030">
        <f>(IFERROR(TotalAverages!F19/MassFormulaTesting!$B$20,"")*0.68)+0.3</f>
        <v>0.1018304432</v>
      </c>
      <c r="G16" s="1030">
        <f>(IFERROR(MassFormulaTesting!$C$22/TotalAverages!G19,"")*0.68)+0.3</f>
        <v>7.1</v>
      </c>
      <c r="H16" s="1030">
        <f>(((TotalAverages!H19+118)/(MassFormulaTesting!$B$24+118))*0.68)+0.3</f>
        <v>0.954781457</v>
      </c>
      <c r="I16" s="1030">
        <f>(IFERROR(TotalAverages!I19/MassFormulaTesting!$B$26,"")*0.68)+0.3</f>
        <v>0.402</v>
      </c>
      <c r="J16" s="1030">
        <f>((0.98-IFERROR(TotalAverages!J19/MassFormulaTesting!$B$28,"")*0.68))</f>
        <v>0.7376460082</v>
      </c>
      <c r="K16" s="1030">
        <f>(IFERROR(TotalAverages!K19/MassFormulaTesting!$B$30,"")*0.68)+0.3</f>
        <v>0.561875</v>
      </c>
      <c r="L16" s="1030">
        <f>(IFERROR(TotalAverages!L19/MassFormulaTesting!$B$32,"")*0.68)+0.3</f>
        <v>0.4978002894</v>
      </c>
      <c r="M16" s="1030">
        <f>(IFERROR(TotalAverages!M19/MassFormulaTesting!$B$34,"")*0.68)+0.3</f>
        <v>0.3022033637</v>
      </c>
      <c r="N16" s="1030">
        <f>(IFERROR(TotalAverages!N19/MassFormulaTesting!$B$36,"")*0.68)+0.3</f>
        <v>0.3</v>
      </c>
      <c r="O16" s="1030">
        <f>(IFERROR(TotalAverages!O19/MassFormulaTesting!$B$38,"")*0.68)+0.3</f>
        <v>0.3</v>
      </c>
      <c r="P16" s="1030">
        <f>(IFERROR(TotalAverages!P19/MassFormulaTesting!$B$40,"")*0.68)+0.3</f>
        <v>0.3</v>
      </c>
      <c r="Q16" s="1030">
        <f>(IFERROR(TotalAverages!T19/MassFormulaTesting!$B$48,"")*0.68)+0.3</f>
        <v>0.3</v>
      </c>
      <c r="R16" s="1030">
        <f>(IFERROR(TotalAverages!U19/MassFormulaTesting!$B$50,"")*0.68)+0.3</f>
        <v>0.4515662651</v>
      </c>
      <c r="S16" s="1030">
        <f>(IFERROR(TotalAverages!V19/MassFormulaTesting!$B$52,"")*0.68)+0.3</f>
        <v>0.3715789474</v>
      </c>
      <c r="T16" s="1030">
        <f>(IFERROR(TotalAverages!W19/MassFormulaTesting!$B$54,"")*0.68)+0.3</f>
        <v>0.3</v>
      </c>
      <c r="U16" s="1030">
        <f>(IFERROR(TotalAverages!X19/MassFormulaTesting!$B$56,"")*0.68)+0.3</f>
        <v>0.3</v>
      </c>
      <c r="V16" s="1030">
        <f>(IFERROR(TotalAverages!Y19/MassFormulaTesting!$B$58,"")*0.68)+0.3</f>
        <v>0.3</v>
      </c>
      <c r="W16" s="1030">
        <f>(IFERROR(TotalAverages!Z19/MassFormulaTesting!$B$60,"")*0.68)+0.3</f>
        <v>0.3</v>
      </c>
      <c r="X16" s="1030">
        <f>(IFERROR(TotalAverages!AD19/MassFormulaTesting!$B$68,"")*0.68)+0.3</f>
        <v>0.3</v>
      </c>
      <c r="Y16" s="1030">
        <f>(IFERROR(TotalAverages!AG19/MassFormulaTesting!$B$74,"")*0.68)+0.3</f>
        <v>0.3</v>
      </c>
      <c r="Z16" s="1030">
        <f>(IFERROR(TotalAverages!AH19/MassFormulaTesting!$B$76,"")*0.68)+0.3</f>
        <v>0.3</v>
      </c>
      <c r="AA16" s="1030">
        <f>(IFERROR(TotalAverages!AJ19/MassFormulaTesting!$B$80,"")*0.68)+0.3</f>
        <v>0.3</v>
      </c>
      <c r="AB16" s="1030">
        <f>(IFERROR(TotalAverages!AK19/MassFormulaTesting!$B$82,"")*0.68)+0.3</f>
        <v>0.3</v>
      </c>
      <c r="AC16" s="1030">
        <f>(IFERROR(TotalAverages!AL19/MassFormulaTesting!$B$84,"")*0.68)+0.3</f>
        <v>0.3</v>
      </c>
      <c r="AD16" s="1030">
        <f>(IFERROR(TotalAverages!AM19/MassFormulaTesting!$B$86,"")*0.68)+0.3</f>
        <v>0.3</v>
      </c>
      <c r="AE16" s="1030">
        <f>(IFERROR(TotalAverages!AN19/MassFormulaTesting!$B$88,"")*0.68)+0.3</f>
        <v>0.3</v>
      </c>
      <c r="AF16" s="1030">
        <f>(IFERROR(TotalAverages!AO19/MassFormulaTesting!$B$90,"")*0.68)+0.3</f>
        <v>0.3</v>
      </c>
      <c r="AG16" s="1030">
        <f>(IFERROR(TotalAverages!AP19/MassFormulaTesting!$B$92,"")*0.68)+0.3</f>
        <v>0.3</v>
      </c>
      <c r="AH16" s="1030">
        <f>(IFERROR(TotalAverages!AQ19/MassFormulaTesting!$B$94,"")*0.68)+0.3</f>
        <v>0.3</v>
      </c>
      <c r="AI16" s="1030">
        <f>(IFERROR(TotalAverages!AR19/MassFormulaTesting!$B$96,"")*0.68)+0.3</f>
        <v>0.3</v>
      </c>
      <c r="AJ16" s="1030">
        <f>(IFERROR(TotalAverages!AS19/MassFormulaTesting!$B$98,"")*0.68)+0.3</f>
        <v>0.3</v>
      </c>
      <c r="AK16" s="1030">
        <f>(IFERROR(TotalAverages!AT19/MassFormulaTesting!$B$100,"")*0.68)+0.3</f>
        <v>0.3</v>
      </c>
      <c r="AL16" s="1030">
        <f>(IFERROR(TotalAverages!AU19/MassFormulaTesting!$B$102,"")*0.68)+0.3</f>
        <v>0.3</v>
      </c>
      <c r="AM16" s="1030">
        <f>(IFERROR(TotalAverages!AV19/MassFormulaTesting!$B$104,"")*0.68)+0.3</f>
        <v>0.3</v>
      </c>
    </row>
    <row r="17">
      <c r="B17" s="1028" t="str">
        <f>MassFormulaTesting!D28</f>
        <v>#DIV/0!</v>
      </c>
      <c r="C17" s="1029">
        <f>MassFormulaTesting!F28</f>
        <v>0.3</v>
      </c>
      <c r="D17" s="1030">
        <f>(IFERROR(TotalAverages!D20/MassFormulaTesting!$B$16,"")*0.68)+0.3</f>
        <v>0.6768852769</v>
      </c>
      <c r="E17" s="1030">
        <f>(IFERROR(TotalAverages!E20/MassFormulaTesting!$B$18,"")*0.68)+0.3</f>
        <v>0.7469252556</v>
      </c>
      <c r="F17" s="1030">
        <f>(IFERROR(TotalAverages!F20/MassFormulaTesting!$B$20,"")*0.68)+0.3</f>
        <v>0.2528323699</v>
      </c>
      <c r="G17" s="1030">
        <f>(IFERROR(MassFormulaTesting!$C$22/TotalAverages!G20,"")*0.68)+0.3</f>
        <v>3.390909091</v>
      </c>
      <c r="H17" s="1030">
        <f>(((TotalAverages!H20+118)/(MassFormulaTesting!$B$24+118))*0.68)+0.3</f>
        <v>0.9668994582</v>
      </c>
      <c r="I17" s="1030">
        <f>(IFERROR(TotalAverages!I20/MassFormulaTesting!$B$26,"")*0.68)+0.3</f>
        <v>0.3834545455</v>
      </c>
      <c r="J17" s="1030">
        <f>((0.98-IFERROR(TotalAverages!J20/MassFormulaTesting!$B$28,"")*0.68))</f>
        <v>0.5473665752</v>
      </c>
      <c r="K17" s="1030">
        <f>(IFERROR(TotalAverages!K20/MassFormulaTesting!$B$30,"")*0.68)+0.3</f>
        <v>0.7469055944</v>
      </c>
      <c r="L17" s="1030">
        <f>(IFERROR(TotalAverages!L20/MassFormulaTesting!$B$32,"")*0.68)+0.3</f>
        <v>0.5238337061</v>
      </c>
      <c r="M17" s="1030">
        <f>(IFERROR(TotalAverages!M20/MassFormulaTesting!$B$34,"")*0.68)+0.3</f>
        <v>0.3101011348</v>
      </c>
      <c r="N17" s="1030">
        <f>(IFERROR(TotalAverages!N20/MassFormulaTesting!$B$36,"")*0.68)+0.3</f>
        <v>0.3</v>
      </c>
      <c r="O17" s="1030">
        <f>(IFERROR(TotalAverages!O20/MassFormulaTesting!$B$38,"")*0.68)+0.3</f>
        <v>0.4854545455</v>
      </c>
      <c r="P17" s="1030">
        <f>(IFERROR(TotalAverages!P20/MassFormulaTesting!$B$40,"")*0.68)+0.3</f>
        <v>0.3</v>
      </c>
      <c r="Q17" s="1030">
        <f>(IFERROR(TotalAverages!T20/MassFormulaTesting!$B$48,"")*0.68)+0.3</f>
        <v>0.3</v>
      </c>
      <c r="R17" s="1030">
        <f>(IFERROR(TotalAverages!U20/MassFormulaTesting!$B$50,"")*0.68)+0.3</f>
        <v>0.6116976999</v>
      </c>
      <c r="S17" s="1030">
        <f>(IFERROR(TotalAverages!V20/MassFormulaTesting!$B$52,"")*0.68)+0.3</f>
        <v>0.5147368421</v>
      </c>
      <c r="T17" s="1030">
        <f>(IFERROR(TotalAverages!W20/MassFormulaTesting!$B$54,"")*0.68)+0.3</f>
        <v>0.5518518519</v>
      </c>
      <c r="U17" s="1030">
        <f>(IFERROR(TotalAverages!X20/MassFormulaTesting!$B$56,"")*0.68)+0.3</f>
        <v>0.4236363636</v>
      </c>
      <c r="V17" s="1030">
        <f>(IFERROR(TotalAverages!Y20/MassFormulaTesting!$B$58,"")*0.68)+0.3</f>
        <v>0.3</v>
      </c>
      <c r="W17" s="1030">
        <f>(IFERROR(TotalAverages!Z20/MassFormulaTesting!$B$60,"")*0.68)+0.3</f>
        <v>0.3</v>
      </c>
      <c r="X17" s="1030">
        <f>(IFERROR(TotalAverages!AD20/MassFormulaTesting!$B$68,"")*0.68)+0.3</f>
        <v>0.7790909091</v>
      </c>
      <c r="Y17" s="1030">
        <f>(IFERROR(TotalAverages!AG20/MassFormulaTesting!$B$74,"")*0.68)+0.3</f>
        <v>0.3</v>
      </c>
      <c r="Z17" s="1030">
        <f>(IFERROR(TotalAverages!AH20/MassFormulaTesting!$B$76,"")*0.68)+0.3</f>
        <v>0.3</v>
      </c>
      <c r="AA17" s="1030">
        <f>(IFERROR(TotalAverages!AJ20/MassFormulaTesting!$B$80,"")*0.68)+0.3</f>
        <v>0.3</v>
      </c>
      <c r="AB17" s="1030">
        <f>(IFERROR(TotalAverages!AK20/MassFormulaTesting!$B$82,"")*0.68)+0.3</f>
        <v>0.3</v>
      </c>
      <c r="AC17" s="1030">
        <f>(IFERROR(TotalAverages!AL20/MassFormulaTesting!$B$84,"")*0.68)+0.3</f>
        <v>0.3</v>
      </c>
      <c r="AD17" s="1030">
        <f>(IFERROR(TotalAverages!AM20/MassFormulaTesting!$B$86,"")*0.68)+0.3</f>
        <v>0.3</v>
      </c>
      <c r="AE17" s="1030">
        <f>(IFERROR(TotalAverages!AN20/MassFormulaTesting!$B$88,"")*0.68)+0.3</f>
        <v>0.3</v>
      </c>
      <c r="AF17" s="1030">
        <f>(IFERROR(TotalAverages!AO20/MassFormulaTesting!$B$90,"")*0.68)+0.3</f>
        <v>0.3</v>
      </c>
      <c r="AG17" s="1030">
        <f>(IFERROR(TotalAverages!AP20/MassFormulaTesting!$B$92,"")*0.68)+0.3</f>
        <v>0.3</v>
      </c>
      <c r="AH17" s="1030">
        <f>(IFERROR(TotalAverages!AQ20/MassFormulaTesting!$B$94,"")*0.68)+0.3</f>
        <v>0.3</v>
      </c>
      <c r="AI17" s="1030">
        <f>(IFERROR(TotalAverages!AR20/MassFormulaTesting!$B$96,"")*0.68)+0.3</f>
        <v>0.3</v>
      </c>
      <c r="AJ17" s="1030">
        <f>(IFERROR(TotalAverages!AS20/MassFormulaTesting!$B$98,"")*0.68)+0.3</f>
        <v>0.3</v>
      </c>
      <c r="AK17" s="1030">
        <f>(IFERROR(TotalAverages!AT20/MassFormulaTesting!$B$100,"")*0.68)+0.3</f>
        <v>0.3</v>
      </c>
      <c r="AL17" s="1030">
        <f>(IFERROR(TotalAverages!AU20/MassFormulaTesting!$B$102,"")*0.68)+0.3</f>
        <v>0.3</v>
      </c>
      <c r="AM17" s="1030">
        <f>(IFERROR(TotalAverages!AV20/MassFormulaTesting!$B$104,"")*0.68)+0.3</f>
        <v>0.3</v>
      </c>
    </row>
    <row r="18">
      <c r="B18" s="1028" t="str">
        <f>MassFormulaTesting!D29</f>
        <v>#DIV/0!</v>
      </c>
      <c r="C18" s="1029">
        <f>MassFormulaTesting!F29</f>
        <v>0.3</v>
      </c>
      <c r="D18" s="1030">
        <f>(IFERROR(TotalAverages!D21/MassFormulaTesting!$B$16,"")*0.68)+0.3</f>
        <v>0.5941247401</v>
      </c>
      <c r="E18" s="1030">
        <f>(IFERROR(TotalAverages!E21/MassFormulaTesting!$B$18,"")*0.68)+0.3</f>
        <v>0.6414080547</v>
      </c>
      <c r="F18" s="1030">
        <f>(IFERROR(TotalAverages!F21/MassFormulaTesting!$B$20,"")*0.68)+0.3</f>
        <v>0.2956763006</v>
      </c>
      <c r="G18" s="1030">
        <f>(IFERROR(MassFormulaTesting!$C$22/TotalAverages!G21,"")*0.68)+0.3</f>
        <v>3.734343434</v>
      </c>
      <c r="H18" s="1030">
        <f>(((TotalAverages!H21+118)/(MassFormulaTesting!$B$24+118))*0.68)+0.3</f>
        <v>0.9711735099</v>
      </c>
      <c r="I18" s="1030">
        <f>(IFERROR(TotalAverages!I21/MassFormulaTesting!$B$26,"")*0.68)+0.3</f>
        <v>0.5244</v>
      </c>
      <c r="J18" s="1030">
        <f>((0.98-IFERROR(TotalAverages!J21/MassFormulaTesting!$B$28,"")*0.68))</f>
        <v>0.5189687444</v>
      </c>
      <c r="K18" s="1030">
        <f>(IFERROR(TotalAverages!K21/MassFormulaTesting!$B$30,"")*0.68)+0.3</f>
        <v>0.7529278846</v>
      </c>
      <c r="L18" s="1030">
        <f>(IFERROR(TotalAverages!L21/MassFormulaTesting!$B$32,"")*0.68)+0.3</f>
        <v>0.6259276411</v>
      </c>
      <c r="M18" s="1030">
        <f>(IFERROR(TotalAverages!M21/MassFormulaTesting!$B$34,"")*0.68)+0.3</f>
        <v>0.5872241938</v>
      </c>
      <c r="N18" s="1030">
        <f>(IFERROR(TotalAverages!N21/MassFormulaTesting!$B$36,"")*0.68)+0.3</f>
        <v>0.3</v>
      </c>
      <c r="O18" s="1030">
        <f>(IFERROR(TotalAverages!O21/MassFormulaTesting!$B$38,"")*0.68)+0.3</f>
        <v>0.504</v>
      </c>
      <c r="P18" s="1030">
        <f>(IFERROR(TotalAverages!P21/MassFormulaTesting!$B$40,"")*0.68)+0.3</f>
        <v>0.6468</v>
      </c>
      <c r="Q18" s="1030">
        <f>(IFERROR(TotalAverages!T21/MassFormulaTesting!$B$48,"")*0.68)+0.3</f>
        <v>0.3</v>
      </c>
      <c r="R18" s="1030">
        <f>(IFERROR(TotalAverages!U21/MassFormulaTesting!$B$50,"")*0.68)+0.3</f>
        <v>0.5359518072</v>
      </c>
      <c r="S18" s="1030">
        <f>(IFERROR(TotalAverages!V21/MassFormulaTesting!$B$52,"")*0.68)+0.3</f>
        <v>0.4556842105</v>
      </c>
      <c r="T18" s="1030">
        <f>(IFERROR(TotalAverages!W21/MassFormulaTesting!$B$54,"")*0.68)+0.3</f>
        <v>0.4385185185</v>
      </c>
      <c r="U18" s="1030">
        <f>(IFERROR(TotalAverages!X21/MassFormulaTesting!$B$56,"")*0.68)+0.3</f>
        <v>0.3</v>
      </c>
      <c r="V18" s="1030">
        <f>(IFERROR(TotalAverages!Y21/MassFormulaTesting!$B$58,"")*0.68)+0.3</f>
        <v>0.3</v>
      </c>
      <c r="W18" s="1030">
        <f>(IFERROR(TotalAverages!Z21/MassFormulaTesting!$B$60,"")*0.68)+0.3</f>
        <v>0.3</v>
      </c>
      <c r="X18" s="1030">
        <f>(IFERROR(TotalAverages!AD21/MassFormulaTesting!$B$68,"")*0.68)+0.3</f>
        <v>0.3</v>
      </c>
      <c r="Y18" s="1030">
        <f>(IFERROR(TotalAverages!AG21/MassFormulaTesting!$B$74,"")*0.68)+0.3</f>
        <v>0.3</v>
      </c>
      <c r="Z18" s="1030">
        <f>(IFERROR(TotalAverages!AH21/MassFormulaTesting!$B$76,"")*0.68)+0.3</f>
        <v>0.3</v>
      </c>
      <c r="AA18" s="1030">
        <f>(IFERROR(TotalAverages!AJ21/MassFormulaTesting!$B$80,"")*0.68)+0.3</f>
        <v>0.3</v>
      </c>
      <c r="AB18" s="1030">
        <f>(IFERROR(TotalAverages!AK21/MassFormulaTesting!$B$82,"")*0.68)+0.3</f>
        <v>0.3</v>
      </c>
      <c r="AC18" s="1030">
        <f>(IFERROR(TotalAverages!AL21/MassFormulaTesting!$B$84,"")*0.68)+0.3</f>
        <v>0.3</v>
      </c>
      <c r="AD18" s="1030">
        <f>(IFERROR(TotalAverages!AM21/MassFormulaTesting!$B$86,"")*0.68)+0.3</f>
        <v>0.3</v>
      </c>
      <c r="AE18" s="1030">
        <f>(IFERROR(TotalAverages!AN21/MassFormulaTesting!$B$88,"")*0.68)+0.3</f>
        <v>0.3</v>
      </c>
      <c r="AF18" s="1030">
        <f>(IFERROR(TotalAverages!AO21/MassFormulaTesting!$B$90,"")*0.68)+0.3</f>
        <v>0.3</v>
      </c>
      <c r="AG18" s="1030">
        <f>(IFERROR(TotalAverages!AP21/MassFormulaTesting!$B$92,"")*0.68)+0.3</f>
        <v>0.3</v>
      </c>
      <c r="AH18" s="1030">
        <f>(IFERROR(TotalAverages!AQ21/MassFormulaTesting!$B$94,"")*0.68)+0.3</f>
        <v>0.3</v>
      </c>
      <c r="AI18" s="1030">
        <f>(IFERROR(TotalAverages!AR21/MassFormulaTesting!$B$96,"")*0.68)+0.3</f>
        <v>0.3</v>
      </c>
      <c r="AJ18" s="1030">
        <f>(IFERROR(TotalAverages!AS21/MassFormulaTesting!$B$98,"")*0.68)+0.3</f>
        <v>0.3</v>
      </c>
      <c r="AK18" s="1030">
        <f>(IFERROR(TotalAverages!AT21/MassFormulaTesting!$B$100,"")*0.68)+0.3</f>
        <v>0.3</v>
      </c>
      <c r="AL18" s="1030">
        <f>(IFERROR(TotalAverages!AU21/MassFormulaTesting!$B$102,"")*0.68)+0.3</f>
        <v>0.3</v>
      </c>
      <c r="AM18" s="1030">
        <f>(IFERROR(TotalAverages!AV21/MassFormulaTesting!$B$104,"")*0.68)+0.3</f>
        <v>0.3</v>
      </c>
    </row>
    <row r="19">
      <c r="B19" s="1028" t="str">
        <f>MassFormulaTesting!D30</f>
        <v>#DIV/0!</v>
      </c>
      <c r="C19" s="1029">
        <f>MassFormulaTesting!F30</f>
        <v>0.3</v>
      </c>
      <c r="D19" s="1030">
        <f>(IFERROR(TotalAverages!D22/MassFormulaTesting!$B$16,"")*0.68)+0.3</f>
        <v>0.765997921</v>
      </c>
      <c r="E19" s="1030">
        <f>(IFERROR(TotalAverages!E22/MassFormulaTesting!$B$18,"")*0.68)+0.3</f>
        <v>0.7829046353</v>
      </c>
      <c r="F19" s="1030">
        <f>(IFERROR(TotalAverages!F22/MassFormulaTesting!$B$20,"")*0.68)+0.3</f>
        <v>0.5486127168</v>
      </c>
      <c r="G19" s="1030">
        <f>(IFERROR(MassFormulaTesting!$C$22/TotalAverages!G22,"")*0.68)+0.3</f>
        <v>2.529508197</v>
      </c>
      <c r="H19" s="1030">
        <f>(((TotalAverages!H22+118)/(MassFormulaTesting!$B$24+118))*0.68)+0.3</f>
        <v>0.9677284768</v>
      </c>
      <c r="I19" s="1030">
        <f>(IFERROR(TotalAverages!I22/MassFormulaTesting!$B$26,"")*0.68)+0.3</f>
        <v>0.4785</v>
      </c>
      <c r="J19" s="1030">
        <f>((0.98-IFERROR(TotalAverages!J22/MassFormulaTesting!$B$28,"")*0.68))</f>
        <v>0.4636694053</v>
      </c>
      <c r="K19" s="1030">
        <f>(IFERROR(TotalAverages!K22/MassFormulaTesting!$B$30,"")*0.68)+0.3</f>
        <v>0.8180588942</v>
      </c>
      <c r="L19" s="1030">
        <f>(IFERROR(TotalAverages!L22/MassFormulaTesting!$B$32,"")*0.68)+0.3</f>
        <v>0.5358104197</v>
      </c>
      <c r="M19" s="1030">
        <f>(IFERROR(TotalAverages!M22/MassFormulaTesting!$B$34,"")*0.68)+0.3</f>
        <v>0.30428869</v>
      </c>
      <c r="N19" s="1030">
        <f>(IFERROR(TotalAverages!N22/MassFormulaTesting!$B$36,"")*0.68)+0.3</f>
        <v>0.3</v>
      </c>
      <c r="O19" s="1030">
        <f>(IFERROR(TotalAverages!O22/MassFormulaTesting!$B$38,"")*0.68)+0.3</f>
        <v>0.66125</v>
      </c>
      <c r="P19" s="1030">
        <f>(IFERROR(TotalAverages!P22/MassFormulaTesting!$B$40,"")*0.68)+0.3</f>
        <v>0.3</v>
      </c>
      <c r="Q19" s="1030">
        <f>(IFERROR(TotalAverages!T22/MassFormulaTesting!$B$48,"")*0.68)+0.3</f>
        <v>0.3</v>
      </c>
      <c r="R19" s="1030">
        <f>(IFERROR(TotalAverages!U22/MassFormulaTesting!$B$50,"")*0.68)+0.3</f>
        <v>0.7331927711</v>
      </c>
      <c r="S19" s="1030">
        <f>(IFERROR(TotalAverages!V22/MassFormulaTesting!$B$52,"")*0.68)+0.3</f>
        <v>0.6489473684</v>
      </c>
      <c r="T19" s="1030">
        <f>(IFERROR(TotalAverages!W22/MassFormulaTesting!$B$54,"")*0.68)+0.3</f>
        <v>0.7848148148</v>
      </c>
      <c r="U19" s="1030">
        <f>(IFERROR(TotalAverages!X22/MassFormulaTesting!$B$56,"")*0.68)+0.3</f>
        <v>0.64</v>
      </c>
      <c r="V19" s="1030">
        <f>(IFERROR(TotalAverages!Y22/MassFormulaTesting!$B$58,"")*0.68)+0.3</f>
        <v>0.4275</v>
      </c>
      <c r="W19" s="1030">
        <f>(IFERROR(TotalAverages!Z22/MassFormulaTesting!$B$60,"")*0.68)+0.3</f>
        <v>0.3</v>
      </c>
      <c r="X19" s="1030">
        <f>(IFERROR(TotalAverages!AD22/MassFormulaTesting!$B$68,"")*0.68)+0.3</f>
        <v>0.3</v>
      </c>
      <c r="Y19" s="1030">
        <f>(IFERROR(TotalAverages!AG22/MassFormulaTesting!$B$74,"")*0.68)+0.3</f>
        <v>0.3</v>
      </c>
      <c r="Z19" s="1030">
        <f>(IFERROR(TotalAverages!AH22/MassFormulaTesting!$B$76,"")*0.68)+0.3</f>
        <v>0.3</v>
      </c>
      <c r="AA19" s="1030">
        <f>(IFERROR(TotalAverages!AJ22/MassFormulaTesting!$B$80,"")*0.68)+0.3</f>
        <v>0.3</v>
      </c>
      <c r="AB19" s="1030">
        <f>(IFERROR(TotalAverages!AK22/MassFormulaTesting!$B$82,"")*0.68)+0.3</f>
        <v>0.3</v>
      </c>
      <c r="AC19" s="1030">
        <f>(IFERROR(TotalAverages!AL22/MassFormulaTesting!$B$84,"")*0.68)+0.3</f>
        <v>0.3</v>
      </c>
      <c r="AD19" s="1030">
        <f>(IFERROR(TotalAverages!AM22/MassFormulaTesting!$B$86,"")*0.68)+0.3</f>
        <v>0.3</v>
      </c>
      <c r="AE19" s="1030">
        <f>(IFERROR(TotalAverages!AN22/MassFormulaTesting!$B$88,"")*0.68)+0.3</f>
        <v>0.3</v>
      </c>
      <c r="AF19" s="1030">
        <f>(IFERROR(TotalAverages!AO22/MassFormulaTesting!$B$90,"")*0.68)+0.3</f>
        <v>0.3</v>
      </c>
      <c r="AG19" s="1030">
        <f>(IFERROR(TotalAverages!AP22/MassFormulaTesting!$B$92,"")*0.68)+0.3</f>
        <v>0.3</v>
      </c>
      <c r="AH19" s="1030">
        <f>(IFERROR(TotalAverages!AQ22/MassFormulaTesting!$B$94,"")*0.68)+0.3</f>
        <v>0.3</v>
      </c>
      <c r="AI19" s="1030">
        <f>(IFERROR(TotalAverages!AR22/MassFormulaTesting!$B$96,"")*0.68)+0.3</f>
        <v>0.3</v>
      </c>
      <c r="AJ19" s="1030">
        <f>(IFERROR(TotalAverages!AS22/MassFormulaTesting!$B$98,"")*0.68)+0.3</f>
        <v>0.3</v>
      </c>
      <c r="AK19" s="1030">
        <f>(IFERROR(TotalAverages!AT22/MassFormulaTesting!$B$100,"")*0.68)+0.3</f>
        <v>0.3</v>
      </c>
      <c r="AL19" s="1030">
        <f>(IFERROR(TotalAverages!AU22/MassFormulaTesting!$B$102,"")*0.68)+0.3</f>
        <v>0.3</v>
      </c>
      <c r="AM19" s="1030">
        <f>(IFERROR(TotalAverages!AV22/MassFormulaTesting!$B$104,"")*0.68)+0.3</f>
        <v>0.3</v>
      </c>
    </row>
    <row r="20">
      <c r="B20" s="1028" t="str">
        <f>MassFormulaTesting!D31</f>
        <v>#DIV/0!</v>
      </c>
      <c r="C20" s="1029">
        <f>MassFormulaTesting!F31</f>
        <v>0.3</v>
      </c>
      <c r="D20" s="1030">
        <f>(IFERROR(TotalAverages!D23/MassFormulaTesting!$B$16,"")*0.68)+0.3</f>
        <v>0.75997354</v>
      </c>
      <c r="E20" s="1030">
        <f>(IFERROR(TotalAverages!E23/MassFormulaTesting!$B$18,"")*0.68)+0.3</f>
        <v>0.7337607074</v>
      </c>
      <c r="F20" s="1030">
        <f>(IFERROR(TotalAverages!F23/MassFormulaTesting!$B$20,"")*0.68)+0.3</f>
        <v>0.7343352601</v>
      </c>
      <c r="G20" s="1030">
        <f>(IFERROR(MassFormulaTesting!$C$22/TotalAverages!G23,"")*0.68)+0.3</f>
        <v>2.879310345</v>
      </c>
      <c r="H20" s="1030">
        <f>(((TotalAverages!H23+118)/(MassFormulaTesting!$B$24+118))*0.68)+0.3</f>
        <v>0.9735316075</v>
      </c>
      <c r="I20" s="1030">
        <f>(IFERROR(TotalAverages!I23/MassFormulaTesting!$B$26,"")*0.68)+0.3</f>
        <v>0.4205454545</v>
      </c>
      <c r="J20" s="1030">
        <f>((0.98-IFERROR(TotalAverages!J23/MassFormulaTesting!$B$28,"")*0.68))</f>
        <v>0.4857250483</v>
      </c>
      <c r="K20" s="1030">
        <f>(IFERROR(TotalAverages!K23/MassFormulaTesting!$B$30,"")*0.68)+0.3</f>
        <v>0.7949475524</v>
      </c>
      <c r="L20" s="1030">
        <f>(IFERROR(TotalAverages!L23/MassFormulaTesting!$B$32,"")*0.68)+0.3</f>
        <v>0.5657018813</v>
      </c>
      <c r="M20" s="1030">
        <f>(IFERROR(TotalAverages!M23/MassFormulaTesting!$B$34,"")*0.68)+0.3</f>
        <v>0.3513927424</v>
      </c>
      <c r="N20" s="1030">
        <f>(IFERROR(TotalAverages!N23/MassFormulaTesting!$B$36,"")*0.68)+0.3</f>
        <v>0.3</v>
      </c>
      <c r="O20" s="1030">
        <f>(IFERROR(TotalAverages!O23/MassFormulaTesting!$B$38,"")*0.68)+0.3</f>
        <v>0.8022727273</v>
      </c>
      <c r="P20" s="1030">
        <f>(IFERROR(TotalAverages!P23/MassFormulaTesting!$B$40,"")*0.68)+0.3</f>
        <v>0.5101818182</v>
      </c>
      <c r="Q20" s="1030">
        <f>(IFERROR(TotalAverages!T23/MassFormulaTesting!$B$48,"")*0.68)+0.3</f>
        <v>0.3</v>
      </c>
      <c r="R20" s="1030">
        <f>(IFERROR(TotalAverages!U23/MassFormulaTesting!$B$50,"")*0.68)+0.3</f>
        <v>0.7345892662</v>
      </c>
      <c r="S20" s="1030">
        <f>(IFERROR(TotalAverages!V23/MassFormulaTesting!$B$52,"")*0.68)+0.3</f>
        <v>0.7489952153</v>
      </c>
      <c r="T20" s="1030">
        <f>(IFERROR(TotalAverages!W23/MassFormulaTesting!$B$54,"")*0.68)+0.3</f>
        <v>0.98</v>
      </c>
      <c r="U20" s="1030">
        <f>(IFERROR(TotalAverages!X23/MassFormulaTesting!$B$56,"")*0.68)+0.3</f>
        <v>0.98</v>
      </c>
      <c r="V20" s="1030">
        <f>(IFERROR(TotalAverages!Y23/MassFormulaTesting!$B$58,"")*0.68)+0.3</f>
        <v>0.4854545455</v>
      </c>
      <c r="W20" s="1030">
        <f>(IFERROR(TotalAverages!Z23/MassFormulaTesting!$B$60,"")*0.68)+0.3</f>
        <v>0.3</v>
      </c>
      <c r="X20" s="1030">
        <f>(IFERROR(TotalAverages!AD23/MassFormulaTesting!$B$68,"")*0.68)+0.3</f>
        <v>0.7790909091</v>
      </c>
      <c r="Y20" s="1030">
        <f>(IFERROR(TotalAverages!AG23/MassFormulaTesting!$B$74,"")*0.68)+0.3</f>
        <v>0.3</v>
      </c>
      <c r="Z20" s="1030">
        <f>(IFERROR(TotalAverages!AH23/MassFormulaTesting!$B$76,"")*0.68)+0.3</f>
        <v>0.3</v>
      </c>
      <c r="AA20" s="1030">
        <f>(IFERROR(TotalAverages!AJ23/MassFormulaTesting!$B$80,"")*0.68)+0.3</f>
        <v>0.3</v>
      </c>
      <c r="AB20" s="1030">
        <f>(IFERROR(TotalAverages!AK23/MassFormulaTesting!$B$82,"")*0.68)+0.3</f>
        <v>0.3</v>
      </c>
      <c r="AC20" s="1030">
        <f>(IFERROR(TotalAverages!AL23/MassFormulaTesting!$B$84,"")*0.68)+0.3</f>
        <v>0.3</v>
      </c>
      <c r="AD20" s="1030">
        <f>(IFERROR(TotalAverages!AM23/MassFormulaTesting!$B$86,"")*0.68)+0.3</f>
        <v>0.3</v>
      </c>
      <c r="AE20" s="1030">
        <f>(IFERROR(TotalAverages!AN23/MassFormulaTesting!$B$88,"")*0.68)+0.3</f>
        <v>0.3</v>
      </c>
      <c r="AF20" s="1030">
        <f>(IFERROR(TotalAverages!AO23/MassFormulaTesting!$B$90,"")*0.68)+0.3</f>
        <v>0.3</v>
      </c>
      <c r="AG20" s="1030">
        <f>(IFERROR(TotalAverages!AP23/MassFormulaTesting!$B$92,"")*0.68)+0.3</f>
        <v>0.3</v>
      </c>
      <c r="AH20" s="1030">
        <f>(IFERROR(TotalAverages!AQ23/MassFormulaTesting!$B$94,"")*0.68)+0.3</f>
        <v>0.3</v>
      </c>
      <c r="AI20" s="1030">
        <f>(IFERROR(TotalAverages!AR23/MassFormulaTesting!$B$96,"")*0.68)+0.3</f>
        <v>0.3</v>
      </c>
      <c r="AJ20" s="1030">
        <f>(IFERROR(TotalAverages!AS23/MassFormulaTesting!$B$98,"")*0.68)+0.3</f>
        <v>0.3</v>
      </c>
      <c r="AK20" s="1030">
        <f>(IFERROR(TotalAverages!AT23/MassFormulaTesting!$B$100,"")*0.68)+0.3</f>
        <v>0.3</v>
      </c>
      <c r="AL20" s="1030">
        <f>(IFERROR(TotalAverages!AU23/MassFormulaTesting!$B$102,"")*0.68)+0.3</f>
        <v>0.3</v>
      </c>
      <c r="AM20" s="1030">
        <f>(IFERROR(TotalAverages!AV23/MassFormulaTesting!$B$104,"")*0.68)+0.3</f>
        <v>0.3</v>
      </c>
    </row>
    <row r="21">
      <c r="B21" s="1028" t="str">
        <f>MassFormulaTesting!D32</f>
        <v>#DIV/0!</v>
      </c>
      <c r="C21" s="1029">
        <f>MassFormulaTesting!F32</f>
        <v>0.3</v>
      </c>
      <c r="D21" s="1030">
        <f>(IFERROR(TotalAverages!D24/MassFormulaTesting!$B$16,"")*0.68)+0.3</f>
        <v>0.98</v>
      </c>
      <c r="E21" s="1030">
        <f>(IFERROR(TotalAverages!E24/MassFormulaTesting!$B$18,"")*0.68)+0.3</f>
        <v>0.9610536981</v>
      </c>
      <c r="F21" s="1030">
        <f>(IFERROR(TotalAverages!F24/MassFormulaTesting!$B$20,"")*0.68)+0.3</f>
        <v>0.8548747592</v>
      </c>
      <c r="G21" s="1030">
        <f>(IFERROR(MassFormulaTesting!$C$22/TotalAverages!G24,"")*0.68)+0.3</f>
        <v>1.757142857</v>
      </c>
      <c r="H21" s="1030">
        <f>(((TotalAverages!H24+118)/(MassFormulaTesting!$B$24+118))*0.68)+0.3</f>
        <v>0.9718940397</v>
      </c>
      <c r="I21" s="1030">
        <f>(IFERROR(TotalAverages!I24/MassFormulaTesting!$B$26,"")*0.68)+0.3</f>
        <v>0.98</v>
      </c>
      <c r="J21" s="1030">
        <f>((0.98-IFERROR(TotalAverages!J24/MassFormulaTesting!$B$28,"")*0.68))</f>
        <v>0.3</v>
      </c>
      <c r="K21" s="1030">
        <f>(IFERROR(TotalAverages!K24/MassFormulaTesting!$B$30,"")*0.68)+0.3</f>
        <v>0.98</v>
      </c>
      <c r="L21" s="1030">
        <f>(IFERROR(TotalAverages!L24/MassFormulaTesting!$B$32,"")*0.68)+0.3</f>
        <v>0.5361794501</v>
      </c>
      <c r="M21" s="1030">
        <f>(IFERROR(TotalAverages!M24/MassFormulaTesting!$B$34,"")*0.68)+0.3</f>
        <v>0.3094429872</v>
      </c>
      <c r="N21" s="1030">
        <f>(IFERROR(TotalAverages!N24/MassFormulaTesting!$B$36,"")*0.68)+0.3</f>
        <v>0.3</v>
      </c>
      <c r="O21" s="1030">
        <f>(IFERROR(TotalAverages!O24/MassFormulaTesting!$B$38,"")*0.68)+0.3</f>
        <v>0.98</v>
      </c>
      <c r="P21" s="1030">
        <f>(IFERROR(TotalAverages!P24/MassFormulaTesting!$B$40,"")*0.68)+0.3</f>
        <v>0.3</v>
      </c>
      <c r="Q21" s="1030">
        <f>(IFERROR(TotalAverages!T24/MassFormulaTesting!$B$48,"")*0.68)+0.3</f>
        <v>0.3</v>
      </c>
      <c r="R21" s="1030">
        <f>(IFERROR(TotalAverages!U24/MassFormulaTesting!$B$50,"")*0.68)+0.3</f>
        <v>0.98</v>
      </c>
      <c r="S21" s="1030">
        <f>(IFERROR(TotalAverages!V24/MassFormulaTesting!$B$52,"")*0.68)+0.3</f>
        <v>0.98</v>
      </c>
      <c r="T21" s="1030">
        <f>(IFERROR(TotalAverages!W24/MassFormulaTesting!$B$54,"")*0.68)+0.3</f>
        <v>0.8540740741</v>
      </c>
      <c r="U21" s="1030">
        <f>(IFERROR(TotalAverages!X24/MassFormulaTesting!$B$56,"")*0.68)+0.3</f>
        <v>0.7533333333</v>
      </c>
      <c r="V21" s="1030">
        <f>(IFERROR(TotalAverages!Y24/MassFormulaTesting!$B$58,"")*0.68)+0.3</f>
        <v>0.98</v>
      </c>
      <c r="W21" s="1030">
        <f>(IFERROR(TotalAverages!Z24/MassFormulaTesting!$B$60,"")*0.68)+0.3</f>
        <v>0.3</v>
      </c>
      <c r="X21" s="1030">
        <f>(IFERROR(TotalAverages!AD24/MassFormulaTesting!$B$68,"")*0.68)+0.3</f>
        <v>0.3</v>
      </c>
      <c r="Y21" s="1030">
        <f>(IFERROR(TotalAverages!AG24/MassFormulaTesting!$B$74,"")*0.68)+0.3</f>
        <v>0.3</v>
      </c>
      <c r="Z21" s="1030">
        <f>(IFERROR(TotalAverages!AH24/MassFormulaTesting!$B$76,"")*0.68)+0.3</f>
        <v>0.3</v>
      </c>
      <c r="AA21" s="1030">
        <f>(IFERROR(TotalAverages!AJ24/MassFormulaTesting!$B$80,"")*0.68)+0.3</f>
        <v>0.3</v>
      </c>
      <c r="AB21" s="1030">
        <f>(IFERROR(TotalAverages!AK24/MassFormulaTesting!$B$82,"")*0.68)+0.3</f>
        <v>0.3</v>
      </c>
      <c r="AC21" s="1030">
        <f>(IFERROR(TotalAverages!AL24/MassFormulaTesting!$B$84,"")*0.68)+0.3</f>
        <v>0.3</v>
      </c>
      <c r="AD21" s="1030">
        <f>(IFERROR(TotalAverages!AM24/MassFormulaTesting!$B$86,"")*0.68)+0.3</f>
        <v>0.3</v>
      </c>
      <c r="AE21" s="1030">
        <f>(IFERROR(TotalAverages!AN24/MassFormulaTesting!$B$88,"")*0.68)+0.3</f>
        <v>0.3</v>
      </c>
      <c r="AF21" s="1030">
        <f>(IFERROR(TotalAverages!AO24/MassFormulaTesting!$B$90,"")*0.68)+0.3</f>
        <v>0.3</v>
      </c>
      <c r="AG21" s="1030">
        <f>(IFERROR(TotalAverages!AP24/MassFormulaTesting!$B$92,"")*0.68)+0.3</f>
        <v>0.3</v>
      </c>
      <c r="AH21" s="1030">
        <f>(IFERROR(TotalAverages!AQ24/MassFormulaTesting!$B$94,"")*0.68)+0.3</f>
        <v>0.3</v>
      </c>
      <c r="AI21" s="1030">
        <f>(IFERROR(TotalAverages!AR24/MassFormulaTesting!$B$96,"")*0.68)+0.3</f>
        <v>0.3</v>
      </c>
      <c r="AJ21" s="1030">
        <f>(IFERROR(TotalAverages!AS24/MassFormulaTesting!$B$98,"")*0.68)+0.3</f>
        <v>0.3</v>
      </c>
      <c r="AK21" s="1030">
        <f>(IFERROR(TotalAverages!AT24/MassFormulaTesting!$B$100,"")*0.68)+0.3</f>
        <v>0.3</v>
      </c>
      <c r="AL21" s="1030">
        <f>(IFERROR(TotalAverages!AU24/MassFormulaTesting!$B$102,"")*0.68)+0.3</f>
        <v>0.3</v>
      </c>
      <c r="AM21" s="1030">
        <f>(IFERROR(TotalAverages!AV24/MassFormulaTesting!$B$104,"")*0.68)+0.3</f>
        <v>0.3</v>
      </c>
    </row>
    <row r="22">
      <c r="B22" s="1028" t="str">
        <f>MassFormulaTesting!D33</f>
        <v>#DIV/0!</v>
      </c>
      <c r="C22" s="1029">
        <f>MassFormulaTesting!F33</f>
        <v>0.3</v>
      </c>
      <c r="D22" s="1030">
        <f>(IFERROR(TotalAverages!D25/MassFormulaTesting!$B$16,"")*0.68)+0.3</f>
        <v>0.5438669439</v>
      </c>
      <c r="E22" s="1030">
        <f>(IFERROR(TotalAverages!E25/MassFormulaTesting!$B$18,"")*0.68)+0.3</f>
        <v>0.5568946302</v>
      </c>
      <c r="F22" s="1030">
        <f>(IFERROR(TotalAverages!F25/MassFormulaTesting!$B$20,"")*0.68)+0.3</f>
        <v>0.4116955684</v>
      </c>
      <c r="G22" s="1030">
        <f>(IFERROR(MassFormulaTesting!$C$22/TotalAverages!G25,"")*0.68)+0.3</f>
        <v>4.326315789</v>
      </c>
      <c r="H22" s="1030">
        <f>(((TotalAverages!H25+118)/(MassFormulaTesting!$B$24+118))*0.68)+0.3</f>
        <v>0.9718940397</v>
      </c>
      <c r="I22" s="1030">
        <f>(IFERROR(TotalAverages!I25/MassFormulaTesting!$B$26,"")*0.68)+0.3</f>
        <v>0.5323333333</v>
      </c>
      <c r="J22" s="1030">
        <f>((0.98-IFERROR(TotalAverages!J25/MassFormulaTesting!$B$28,"")*0.68))</f>
        <v>0.5508352682</v>
      </c>
      <c r="K22" s="1030">
        <f>(IFERROR(TotalAverages!K25/MassFormulaTesting!$B$30,"")*0.68)+0.3</f>
        <v>0.7101923077</v>
      </c>
      <c r="L22" s="1030">
        <f>(IFERROR(TotalAverages!L25/MassFormulaTesting!$B$32,"")*0.68)+0.3</f>
        <v>0.7575976845</v>
      </c>
      <c r="M22" s="1030">
        <f>(IFERROR(TotalAverages!M25/MassFormulaTesting!$B$34,"")*0.68)+0.3</f>
        <v>0.5767844468</v>
      </c>
      <c r="N22" s="1030">
        <f>(IFERROR(TotalAverages!N25/MassFormulaTesting!$B$36,"")*0.68)+0.3</f>
        <v>0.3</v>
      </c>
      <c r="O22" s="1030">
        <f>(IFERROR(TotalAverages!O25/MassFormulaTesting!$B$38,"")*0.68)+0.3</f>
        <v>0.4794444444</v>
      </c>
      <c r="P22" s="1030">
        <f>(IFERROR(TotalAverages!P25/MassFormulaTesting!$B$40,"")*0.68)+0.3</f>
        <v>0.4284444444</v>
      </c>
      <c r="Q22" s="1030">
        <f>(IFERROR(TotalAverages!T25/MassFormulaTesting!$B$48,"")*0.68)+0.3</f>
        <v>0.3</v>
      </c>
      <c r="R22" s="1030">
        <f>(IFERROR(TotalAverages!U25/MassFormulaTesting!$B$50,"")*0.68)+0.3</f>
        <v>0.4938955823</v>
      </c>
      <c r="S22" s="1030">
        <f>(IFERROR(TotalAverages!V25/MassFormulaTesting!$B$52,"")*0.68)+0.3</f>
        <v>0.4192982456</v>
      </c>
      <c r="T22" s="1030">
        <f>(IFERROR(TotalAverages!W25/MassFormulaTesting!$B$54,"")*0.68)+0.3</f>
        <v>0.361563786</v>
      </c>
      <c r="U22" s="1030">
        <f>(IFERROR(TotalAverages!X25/MassFormulaTesting!$B$56,"")*0.68)+0.3</f>
        <v>0.3755555556</v>
      </c>
      <c r="V22" s="1030">
        <f>(IFERROR(TotalAverages!Y25/MassFormulaTesting!$B$58,"")*0.68)+0.3</f>
        <v>0.3</v>
      </c>
      <c r="W22" s="1030">
        <f>(IFERROR(TotalAverages!Z25/MassFormulaTesting!$B$60,"")*0.68)+0.3</f>
        <v>0.3</v>
      </c>
      <c r="X22" s="1030">
        <f>(IFERROR(TotalAverages!AD25/MassFormulaTesting!$B$68,"")*0.68)+0.3</f>
        <v>0.3</v>
      </c>
      <c r="Y22" s="1030">
        <f>(IFERROR(TotalAverages!AG25/MassFormulaTesting!$B$74,"")*0.68)+0.3</f>
        <v>0.3</v>
      </c>
      <c r="Z22" s="1030">
        <f>(IFERROR(TotalAverages!AH25/MassFormulaTesting!$B$76,"")*0.68)+0.3</f>
        <v>0.3</v>
      </c>
      <c r="AA22" s="1030">
        <f>(IFERROR(TotalAverages!AJ25/MassFormulaTesting!$B$80,"")*0.68)+0.3</f>
        <v>0.3</v>
      </c>
      <c r="AB22" s="1030">
        <f>(IFERROR(TotalAverages!AK25/MassFormulaTesting!$B$82,"")*0.68)+0.3</f>
        <v>0.3</v>
      </c>
      <c r="AC22" s="1030">
        <f>(IFERROR(TotalAverages!AL25/MassFormulaTesting!$B$84,"")*0.68)+0.3</f>
        <v>0.3</v>
      </c>
      <c r="AD22" s="1030">
        <f>(IFERROR(TotalAverages!AM25/MassFormulaTesting!$B$86,"")*0.68)+0.3</f>
        <v>0.3</v>
      </c>
      <c r="AE22" s="1030">
        <f>(IFERROR(TotalAverages!AN25/MassFormulaTesting!$B$88,"")*0.68)+0.3</f>
        <v>0.3</v>
      </c>
      <c r="AF22" s="1030">
        <f>(IFERROR(TotalAverages!AO25/MassFormulaTesting!$B$90,"")*0.68)+0.3</f>
        <v>0.3</v>
      </c>
      <c r="AG22" s="1030">
        <f>(IFERROR(TotalAverages!AP25/MassFormulaTesting!$B$92,"")*0.68)+0.3</f>
        <v>0.3</v>
      </c>
      <c r="AH22" s="1030">
        <f>(IFERROR(TotalAverages!AQ25/MassFormulaTesting!$B$94,"")*0.68)+0.3</f>
        <v>0.3</v>
      </c>
      <c r="AI22" s="1030">
        <f>(IFERROR(TotalAverages!AR25/MassFormulaTesting!$B$96,"")*0.68)+0.3</f>
        <v>0.3</v>
      </c>
      <c r="AJ22" s="1030">
        <f>(IFERROR(TotalAverages!AS25/MassFormulaTesting!$B$98,"")*0.68)+0.3</f>
        <v>0.3</v>
      </c>
      <c r="AK22" s="1030">
        <f>(IFERROR(TotalAverages!AT25/MassFormulaTesting!$B$100,"")*0.68)+0.3</f>
        <v>0.3</v>
      </c>
      <c r="AL22" s="1030">
        <f>(IFERROR(TotalAverages!AU25/MassFormulaTesting!$B$102,"")*0.68)+0.3</f>
        <v>0.3</v>
      </c>
      <c r="AM22" s="1030">
        <f>(IFERROR(TotalAverages!AV25/MassFormulaTesting!$B$104,"")*0.68)+0.3</f>
        <v>0.3</v>
      </c>
    </row>
    <row r="23">
      <c r="B23" s="1028" t="str">
        <f>MassFormulaTesting!D34</f>
        <v>#DIV/0!</v>
      </c>
      <c r="C23" s="1029">
        <f>MassFormulaTesting!F34</f>
        <v>0.3</v>
      </c>
      <c r="D23" s="1030">
        <f>(IFERROR(TotalAverages!D26/MassFormulaTesting!$B$16,"")*0.68)+0.3</f>
        <v>0.6947110187</v>
      </c>
      <c r="E23" s="1030">
        <f>(IFERROR(TotalAverages!E26/MassFormulaTesting!$B$18,"")*0.68)+0.3</f>
        <v>0.8056079027</v>
      </c>
      <c r="F23" s="1030">
        <f>(IFERROR(TotalAverages!F26/MassFormulaTesting!$B$20,"")*0.68)+0.3</f>
        <v>0.08525626204</v>
      </c>
      <c r="G23" s="1030">
        <f>(IFERROR(MassFormulaTesting!$C$22/TotalAverages!G26,"")*0.68)+0.3</f>
        <v>2.902040816</v>
      </c>
      <c r="H23" s="1030">
        <f>(((TotalAverages!H26+118)/(MassFormulaTesting!$B$24+118))*0.68)+0.3</f>
        <v>0.963607947</v>
      </c>
      <c r="I23" s="1030">
        <f>(IFERROR(TotalAverages!I26/MassFormulaTesting!$B$26,"")*0.68)+0.3</f>
        <v>0.5176</v>
      </c>
      <c r="J23" s="1030">
        <f>((0.98-IFERROR(TotalAverages!J26/MassFormulaTesting!$B$28,"")*0.68))</f>
        <v>0.4501853902</v>
      </c>
      <c r="K23" s="1030">
        <f>(IFERROR(TotalAverages!K26/MassFormulaTesting!$B$30,"")*0.68)+0.3</f>
        <v>0.8334230769</v>
      </c>
      <c r="L23" s="1030">
        <f>(IFERROR(TotalAverages!L26/MassFormulaTesting!$B$32,"")*0.68)+0.3</f>
        <v>0.5373603473</v>
      </c>
      <c r="M23" s="1030">
        <f>(IFERROR(TotalAverages!M26/MassFormulaTesting!$B$34,"")*0.68)+0.3</f>
        <v>0.3090652677</v>
      </c>
      <c r="N23" s="1030">
        <f>(IFERROR(TotalAverages!N26/MassFormulaTesting!$B$36,"")*0.68)+0.3</f>
        <v>0.3</v>
      </c>
      <c r="O23" s="1030">
        <f>(IFERROR(TotalAverages!O26/MassFormulaTesting!$B$38,"")*0.68)+0.3</f>
        <v>0.5153333333</v>
      </c>
      <c r="P23" s="1030">
        <f>(IFERROR(TotalAverages!P26/MassFormulaTesting!$B$40,"")*0.68)+0.3</f>
        <v>0.3</v>
      </c>
      <c r="Q23" s="1030">
        <f>(IFERROR(TotalAverages!T26/MassFormulaTesting!$B$48,"")*0.68)+0.3</f>
        <v>0.3</v>
      </c>
      <c r="R23" s="1030">
        <f>(IFERROR(TotalAverages!U26/MassFormulaTesting!$B$50,"")*0.68)+0.3</f>
        <v>0.5654457831</v>
      </c>
      <c r="S23" s="1030">
        <f>(IFERROR(TotalAverages!V26/MassFormulaTesting!$B$52,"")*0.68)+0.3</f>
        <v>0.5004210526</v>
      </c>
      <c r="T23" s="1030">
        <f>(IFERROR(TotalAverages!W26/MassFormulaTesting!$B$54,"")*0.68)+0.3</f>
        <v>0.484691358</v>
      </c>
      <c r="U23" s="1030">
        <f>(IFERROR(TotalAverages!X26/MassFormulaTesting!$B$56,"")*0.68)+0.3</f>
        <v>0.4813333333</v>
      </c>
      <c r="V23" s="1030">
        <f>(IFERROR(TotalAverages!Y26/MassFormulaTesting!$B$58,"")*0.68)+0.3</f>
        <v>0.436</v>
      </c>
      <c r="W23" s="1030">
        <f>(IFERROR(TotalAverages!Z26/MassFormulaTesting!$B$60,"")*0.68)+0.3</f>
        <v>0.3</v>
      </c>
      <c r="X23" s="1030">
        <f>(IFERROR(TotalAverages!AD26/MassFormulaTesting!$B$68,"")*0.68)+0.3</f>
        <v>0.3</v>
      </c>
      <c r="Y23" s="1030">
        <f>(IFERROR(TotalAverages!AG26/MassFormulaTesting!$B$74,"")*0.68)+0.3</f>
        <v>0.3</v>
      </c>
      <c r="Z23" s="1030">
        <f>(IFERROR(TotalAverages!AH26/MassFormulaTesting!$B$76,"")*0.68)+0.3</f>
        <v>0.3</v>
      </c>
      <c r="AA23" s="1030">
        <f>(IFERROR(TotalAverages!AJ26/MassFormulaTesting!$B$80,"")*0.68)+0.3</f>
        <v>0.3</v>
      </c>
      <c r="AB23" s="1030">
        <f>(IFERROR(TotalAverages!AK26/MassFormulaTesting!$B$82,"")*0.68)+0.3</f>
        <v>0.3</v>
      </c>
      <c r="AC23" s="1030">
        <f>(IFERROR(TotalAverages!AL26/MassFormulaTesting!$B$84,"")*0.68)+0.3</f>
        <v>0.3</v>
      </c>
      <c r="AD23" s="1030">
        <f>(IFERROR(TotalAverages!AM26/MassFormulaTesting!$B$86,"")*0.68)+0.3</f>
        <v>0.3</v>
      </c>
      <c r="AE23" s="1030">
        <f>(IFERROR(TotalAverages!AN26/MassFormulaTesting!$B$88,"")*0.68)+0.3</f>
        <v>0.3</v>
      </c>
      <c r="AF23" s="1030">
        <f>(IFERROR(TotalAverages!AO26/MassFormulaTesting!$B$90,"")*0.68)+0.3</f>
        <v>0.3</v>
      </c>
      <c r="AG23" s="1030">
        <f>(IFERROR(TotalAverages!AP26/MassFormulaTesting!$B$92,"")*0.68)+0.3</f>
        <v>0.3</v>
      </c>
      <c r="AH23" s="1030">
        <f>(IFERROR(TotalAverages!AQ26/MassFormulaTesting!$B$94,"")*0.68)+0.3</f>
        <v>0.3</v>
      </c>
      <c r="AI23" s="1030">
        <f>(IFERROR(TotalAverages!AR26/MassFormulaTesting!$B$96,"")*0.68)+0.3</f>
        <v>0.3</v>
      </c>
      <c r="AJ23" s="1030">
        <f>(IFERROR(TotalAverages!AS26/MassFormulaTesting!$B$98,"")*0.68)+0.3</f>
        <v>0.3</v>
      </c>
      <c r="AK23" s="1030">
        <f>(IFERROR(TotalAverages!AT26/MassFormulaTesting!$B$100,"")*0.68)+0.3</f>
        <v>0.3</v>
      </c>
      <c r="AL23" s="1030">
        <f>(IFERROR(TotalAverages!AU26/MassFormulaTesting!$B$102,"")*0.68)+0.3</f>
        <v>0.3</v>
      </c>
      <c r="AM23" s="1030">
        <f>(IFERROR(TotalAverages!AV26/MassFormulaTesting!$B$104,"")*0.68)+0.3</f>
        <v>0.3</v>
      </c>
    </row>
    <row r="24">
      <c r="B24" s="1028" t="str">
        <f>MassFormulaTesting!D35</f>
        <v>#DIV/0!</v>
      </c>
      <c r="C24" s="1029">
        <f>MassFormulaTesting!F35</f>
        <v>0.3</v>
      </c>
      <c r="D24" s="1030">
        <f>(IFERROR(TotalAverages!D27/MassFormulaTesting!$B$16,"")*0.68)+0.3</f>
        <v>0.6228274428</v>
      </c>
      <c r="E24" s="1030">
        <f>(IFERROR(TotalAverages!E27/MassFormulaTesting!$B$18,"")*0.68)+0.3</f>
        <v>0.7212917933</v>
      </c>
      <c r="F24" s="1030">
        <f>(IFERROR(TotalAverages!F27/MassFormulaTesting!$B$20,"")*0.68)+0.3</f>
        <v>0.0901734104</v>
      </c>
      <c r="G24" s="1030">
        <f>(IFERROR(MassFormulaTesting!$C$22/TotalAverages!G27,"")*0.68)+0.3</f>
        <v>2.728571429</v>
      </c>
      <c r="H24" s="1030">
        <f>(((TotalAverages!H27+118)/(MassFormulaTesting!$B$24+118))*0.68)+0.3</f>
        <v>0.9630993377</v>
      </c>
      <c r="I24" s="1030">
        <f>(IFERROR(TotalAverages!I27/MassFormulaTesting!$B$26,"")*0.68)+0.3</f>
        <v>0.444</v>
      </c>
      <c r="J24" s="1030">
        <f>((0.98-IFERROR(TotalAverages!J27/MassFormulaTesting!$B$28,"")*0.68))</f>
        <v>0.5157956778</v>
      </c>
      <c r="K24" s="1030">
        <f>(IFERROR(TotalAverages!K27/MassFormulaTesting!$B$30,"")*0.68)+0.3</f>
        <v>0.7694626697</v>
      </c>
      <c r="L24" s="1030">
        <f>(IFERROR(TotalAverages!L27/MassFormulaTesting!$B$32,"")*0.68)+0.3</f>
        <v>0.5584081042</v>
      </c>
      <c r="M24" s="1030">
        <f>(IFERROR(TotalAverages!M27/MassFormulaTesting!$B$34,"")*0.68)+0.3</f>
        <v>0.3101465823</v>
      </c>
      <c r="N24" s="1030">
        <f>(IFERROR(TotalAverages!N27/MassFormulaTesting!$B$36,"")*0.68)+0.3</f>
        <v>0.3</v>
      </c>
      <c r="O24" s="1030">
        <f>(IFERROR(TotalAverages!O27/MassFormulaTesting!$B$38,"")*0.68)+0.3</f>
        <v>0.46</v>
      </c>
      <c r="P24" s="1030">
        <f>(IFERROR(TotalAverages!P27/MassFormulaTesting!$B$40,"")*0.68)+0.3</f>
        <v>0.3</v>
      </c>
      <c r="Q24" s="1030">
        <f>(IFERROR(TotalAverages!T27/MassFormulaTesting!$B$48,"")*0.68)+0.3</f>
        <v>0.3</v>
      </c>
      <c r="R24" s="1030">
        <f>(IFERROR(TotalAverages!U27/MassFormulaTesting!$B$50,"")*0.68)+0.3</f>
        <v>0.5645783133</v>
      </c>
      <c r="S24" s="1030">
        <f>(IFERROR(TotalAverages!V27/MassFormulaTesting!$B$52,"")*0.68)+0.3</f>
        <v>0.4768421053</v>
      </c>
      <c r="T24" s="1030">
        <f>(IFERROR(TotalAverages!W27/MassFormulaTesting!$B$54,"")*0.68)+0.3</f>
        <v>0.3651851852</v>
      </c>
      <c r="U24" s="1030">
        <f>(IFERROR(TotalAverages!X27/MassFormulaTesting!$B$56,"")*0.68)+0.3</f>
        <v>0.38</v>
      </c>
      <c r="V24" s="1030">
        <f>(IFERROR(TotalAverages!Y27/MassFormulaTesting!$B$58,"")*0.68)+0.3</f>
        <v>0.3</v>
      </c>
      <c r="W24" s="1030">
        <f>(IFERROR(TotalAverages!Z27/MassFormulaTesting!$B$60,"")*0.68)+0.3</f>
        <v>0.3</v>
      </c>
      <c r="X24" s="1030">
        <f>(IFERROR(TotalAverages!AD27/MassFormulaTesting!$B$68,"")*0.68)+0.3</f>
        <v>0.3</v>
      </c>
      <c r="Y24" s="1030">
        <f>(IFERROR(TotalAverages!AG27/MassFormulaTesting!$B$74,"")*0.68)+0.3</f>
        <v>0.3</v>
      </c>
      <c r="Z24" s="1030">
        <f>(IFERROR(TotalAverages!AH27/MassFormulaTesting!$B$76,"")*0.68)+0.3</f>
        <v>0.3</v>
      </c>
      <c r="AA24" s="1030">
        <f>(IFERROR(TotalAverages!AJ27/MassFormulaTesting!$B$80,"")*0.68)+0.3</f>
        <v>0.3</v>
      </c>
      <c r="AB24" s="1030">
        <f>(IFERROR(TotalAverages!AK27/MassFormulaTesting!$B$82,"")*0.68)+0.3</f>
        <v>0.3</v>
      </c>
      <c r="AC24" s="1030">
        <f>(IFERROR(TotalAverages!AL27/MassFormulaTesting!$B$84,"")*0.68)+0.3</f>
        <v>0.3</v>
      </c>
      <c r="AD24" s="1030">
        <f>(IFERROR(TotalAverages!AM27/MassFormulaTesting!$B$86,"")*0.68)+0.3</f>
        <v>0.3</v>
      </c>
      <c r="AE24" s="1030">
        <f>(IFERROR(TotalAverages!AN27/MassFormulaTesting!$B$88,"")*0.68)+0.3</f>
        <v>0.3</v>
      </c>
      <c r="AF24" s="1030">
        <f>(IFERROR(TotalAverages!AO27/MassFormulaTesting!$B$90,"")*0.68)+0.3</f>
        <v>0.3</v>
      </c>
      <c r="AG24" s="1030">
        <f>(IFERROR(TotalAverages!AP27/MassFormulaTesting!$B$92,"")*0.68)+0.3</f>
        <v>0.3</v>
      </c>
      <c r="AH24" s="1030">
        <f>(IFERROR(TotalAverages!AQ27/MassFormulaTesting!$B$94,"")*0.68)+0.3</f>
        <v>0.3</v>
      </c>
      <c r="AI24" s="1030">
        <f>(IFERROR(TotalAverages!AR27/MassFormulaTesting!$B$96,"")*0.68)+0.3</f>
        <v>0.3</v>
      </c>
      <c r="AJ24" s="1030">
        <f>(IFERROR(TotalAverages!AS27/MassFormulaTesting!$B$98,"")*0.68)+0.3</f>
        <v>0.3</v>
      </c>
      <c r="AK24" s="1030">
        <f>(IFERROR(TotalAverages!AT27/MassFormulaTesting!$B$100,"")*0.68)+0.3</f>
        <v>0.3</v>
      </c>
      <c r="AL24" s="1030">
        <f>(IFERROR(TotalAverages!AU27/MassFormulaTesting!$B$102,"")*0.68)+0.3</f>
        <v>0.3</v>
      </c>
      <c r="AM24" s="1030">
        <f>(IFERROR(TotalAverages!AV27/MassFormulaTesting!$B$104,"")*0.68)+0.3</f>
        <v>0.3</v>
      </c>
    </row>
    <row r="25">
      <c r="B25" s="1028" t="str">
        <f>MassFormulaTesting!D36</f>
        <v>#DIV/0!</v>
      </c>
      <c r="C25" s="1029">
        <f>MassFormulaTesting!F36</f>
        <v>0.3</v>
      </c>
      <c r="D25" s="1030">
        <f>(IFERROR(TotalAverages!D28/MassFormulaTesting!$B$16,"")*0.68)+0.3</f>
        <v>0.5272052272</v>
      </c>
      <c r="E25" s="1030">
        <f>(IFERROR(TotalAverages!E28/MassFormulaTesting!$B$18,"")*0.68)+0.3</f>
        <v>0.6833550441</v>
      </c>
      <c r="F25" s="1030">
        <f>(IFERROR(TotalAverages!F28/MassFormulaTesting!$B$20,"")*0.68)+0.3</f>
        <v>-0.2301679053</v>
      </c>
      <c r="G25" s="1030">
        <f>(IFERROR(MassFormulaTesting!$C$22/TotalAverages!G28,"")*0.68)+0.3</f>
        <v>6.455172414</v>
      </c>
      <c r="H25" s="1030">
        <f>(((TotalAverages!H28+118)/(MassFormulaTesting!$B$24+118))*0.68)+0.3</f>
        <v>0.9600567644</v>
      </c>
      <c r="I25" s="1030">
        <f>(IFERROR(TotalAverages!I28/MassFormulaTesting!$B$26,"")*0.68)+0.3</f>
        <v>0.368</v>
      </c>
      <c r="J25" s="1030">
        <f>((0.98-IFERROR(TotalAverages!J28/MassFormulaTesting!$B$28,"")*0.68))</f>
        <v>0.398027709</v>
      </c>
      <c r="K25" s="1030">
        <f>(IFERROR(TotalAverages!K28/MassFormulaTesting!$B$30,"")*0.68)+0.3</f>
        <v>0.8533516484</v>
      </c>
      <c r="L25" s="1030">
        <f>(IFERROR(TotalAverages!L28/MassFormulaTesting!$B$32,"")*0.68)+0.3</f>
        <v>0.6922265867</v>
      </c>
      <c r="M25" s="1030">
        <f>(IFERROR(TotalAverages!M28/MassFormulaTesting!$B$34,"")*0.68)+0.3</f>
        <v>0.7456190623</v>
      </c>
      <c r="N25" s="1030">
        <f>(IFERROR(TotalAverages!N28/MassFormulaTesting!$B$36,"")*0.68)+0.3</f>
        <v>0.3</v>
      </c>
      <c r="O25" s="1030">
        <f>(IFERROR(TotalAverages!O28/MassFormulaTesting!$B$38,"")*0.68)+0.3</f>
        <v>0.3728571429</v>
      </c>
      <c r="P25" s="1030">
        <f>(IFERROR(TotalAverages!P28/MassFormulaTesting!$B$40,"")*0.68)+0.3</f>
        <v>0.3</v>
      </c>
      <c r="Q25" s="1030">
        <f>(IFERROR(TotalAverages!T28/MassFormulaTesting!$B$48,"")*0.68)+0.3</f>
        <v>0.3</v>
      </c>
      <c r="R25" s="1030">
        <f>(IFERROR(TotalAverages!U28/MassFormulaTesting!$B$50,"")*0.68)+0.3</f>
        <v>0.4053356282</v>
      </c>
      <c r="S25" s="1030">
        <f>(IFERROR(TotalAverages!V28/MassFormulaTesting!$B$52,"")*0.68)+0.3</f>
        <v>0.3460150376</v>
      </c>
      <c r="T25" s="1030">
        <f>(IFERROR(TotalAverages!W28/MassFormulaTesting!$B$54,"")*0.68)+0.3</f>
        <v>0.3263844797</v>
      </c>
      <c r="U25" s="1030">
        <f>(IFERROR(TotalAverages!X28/MassFormulaTesting!$B$56,"")*0.68)+0.3</f>
        <v>0.3</v>
      </c>
      <c r="V25" s="1030">
        <f>(IFERROR(TotalAverages!Y28/MassFormulaTesting!$B$58,"")*0.68)+0.3</f>
        <v>0.3</v>
      </c>
      <c r="W25" s="1030">
        <f>(IFERROR(TotalAverages!Z28/MassFormulaTesting!$B$60,"")*0.68)+0.3</f>
        <v>0.3</v>
      </c>
      <c r="X25" s="1030">
        <f>(IFERROR(TotalAverages!AD28/MassFormulaTesting!$B$68,"")*0.68)+0.3</f>
        <v>0.3</v>
      </c>
      <c r="Y25" s="1030">
        <f>(IFERROR(TotalAverages!AG28/MassFormulaTesting!$B$74,"")*0.68)+0.3</f>
        <v>0.3</v>
      </c>
      <c r="Z25" s="1030">
        <f>(IFERROR(TotalAverages!AH28/MassFormulaTesting!$B$76,"")*0.68)+0.3</f>
        <v>0.3</v>
      </c>
      <c r="AA25" s="1030">
        <f>(IFERROR(TotalAverages!AJ28/MassFormulaTesting!$B$80,"")*0.68)+0.3</f>
        <v>0.3</v>
      </c>
      <c r="AB25" s="1030">
        <f>(IFERROR(TotalAverages!AK28/MassFormulaTesting!$B$82,"")*0.68)+0.3</f>
        <v>0.3</v>
      </c>
      <c r="AC25" s="1030">
        <f>(IFERROR(TotalAverages!AL28/MassFormulaTesting!$B$84,"")*0.68)+0.3</f>
        <v>0.3</v>
      </c>
      <c r="AD25" s="1030">
        <f>(IFERROR(TotalAverages!AM28/MassFormulaTesting!$B$86,"")*0.68)+0.3</f>
        <v>0.3</v>
      </c>
      <c r="AE25" s="1030">
        <f>(IFERROR(TotalAverages!AN28/MassFormulaTesting!$B$88,"")*0.68)+0.3</f>
        <v>0.3</v>
      </c>
      <c r="AF25" s="1030">
        <f>(IFERROR(TotalAverages!AO28/MassFormulaTesting!$B$90,"")*0.68)+0.3</f>
        <v>0.3</v>
      </c>
      <c r="AG25" s="1030">
        <f>(IFERROR(TotalAverages!AP28/MassFormulaTesting!$B$92,"")*0.68)+0.3</f>
        <v>0.3</v>
      </c>
      <c r="AH25" s="1030">
        <f>(IFERROR(TotalAverages!AQ28/MassFormulaTesting!$B$94,"")*0.68)+0.3</f>
        <v>0.3</v>
      </c>
      <c r="AI25" s="1030">
        <f>(IFERROR(TotalAverages!AR28/MassFormulaTesting!$B$96,"")*0.68)+0.3</f>
        <v>0.3</v>
      </c>
      <c r="AJ25" s="1030">
        <f>(IFERROR(TotalAverages!AS28/MassFormulaTesting!$B$98,"")*0.68)+0.3</f>
        <v>0.3</v>
      </c>
      <c r="AK25" s="1030">
        <f>(IFERROR(TotalAverages!AT28/MassFormulaTesting!$B$100,"")*0.68)+0.3</f>
        <v>0.3</v>
      </c>
      <c r="AL25" s="1030">
        <f>(IFERROR(TotalAverages!AU28/MassFormulaTesting!$B$102,"")*0.68)+0.3</f>
        <v>0.3</v>
      </c>
      <c r="AM25" s="1030">
        <f>(IFERROR(TotalAverages!AV28/MassFormulaTesting!$B$104,"")*0.68)+0.3</f>
        <v>0.3</v>
      </c>
    </row>
    <row r="26">
      <c r="B26" s="1028" t="str">
        <f>MassFormulaTesting!D37</f>
        <v>#DIV/0!</v>
      </c>
      <c r="C26" s="1029">
        <f>MassFormulaTesting!F37</f>
        <v>0.3</v>
      </c>
      <c r="D26" s="1030">
        <f>(IFERROR(TotalAverages!D29/MassFormulaTesting!$B$16,"")*0.68)+0.3</f>
        <v>0.5632551233</v>
      </c>
      <c r="E26" s="1030">
        <f>(IFERROR(TotalAverages!E29/MassFormulaTesting!$B$18,"")*0.68)+0.3</f>
        <v>0.7095353886</v>
      </c>
      <c r="F26" s="1030">
        <f>(IFERROR(TotalAverages!F29/MassFormulaTesting!$B$20,"")*0.68)+0.3</f>
        <v>-0.1617093311</v>
      </c>
      <c r="G26" s="1030">
        <f>(IFERROR(MassFormulaTesting!$C$22/TotalAverages!G29,"")*0.68)+0.3</f>
        <v>6.911111111</v>
      </c>
      <c r="H26" s="1030">
        <f>(((TotalAverages!H29+118)/(MassFormulaTesting!$B$24+118))*0.68)+0.3</f>
        <v>0.9608287606</v>
      </c>
      <c r="I26" s="1030">
        <f>(IFERROR(TotalAverages!I29/MassFormulaTesting!$B$26,"")*0.68)+0.3</f>
        <v>0.3728571429</v>
      </c>
      <c r="J26" s="1030">
        <f>((0.98-IFERROR(TotalAverages!J29/MassFormulaTesting!$B$28,"")*0.68))</f>
        <v>0.5988370372</v>
      </c>
      <c r="K26" s="1030">
        <f>(IFERROR(TotalAverages!K29/MassFormulaTesting!$B$30,"")*0.68)+0.3</f>
        <v>0.6991895604</v>
      </c>
      <c r="L26" s="1030">
        <f>(IFERROR(TotalAverages!L29/MassFormulaTesting!$B$32,"")*0.68)+0.3</f>
        <v>0.5188877403</v>
      </c>
      <c r="M26" s="1030">
        <f>(IFERROR(TotalAverages!M29/MassFormulaTesting!$B$34,"")*0.68)+0.3</f>
        <v>0.4041876254</v>
      </c>
      <c r="N26" s="1030">
        <f>(IFERROR(TotalAverages!N29/MassFormulaTesting!$B$36,"")*0.68)+0.3</f>
        <v>0.3</v>
      </c>
      <c r="O26" s="1030">
        <f>(IFERROR(TotalAverages!O29/MassFormulaTesting!$B$38,"")*0.68)+0.3</f>
        <v>0.385</v>
      </c>
      <c r="P26" s="1030">
        <f>(IFERROR(TotalAverages!P29/MassFormulaTesting!$B$40,"")*0.68)+0.3</f>
        <v>0.3</v>
      </c>
      <c r="Q26" s="1030">
        <f>(IFERROR(TotalAverages!T29/MassFormulaTesting!$B$48,"")*0.68)+0.3</f>
        <v>0.3</v>
      </c>
      <c r="R26" s="1030">
        <f>(IFERROR(TotalAverages!U29/MassFormulaTesting!$B$50,"")*0.68)+0.3</f>
        <v>0.4597590361</v>
      </c>
      <c r="S26" s="1030">
        <f>(IFERROR(TotalAverages!V29/MassFormulaTesting!$B$52,"")*0.68)+0.3</f>
        <v>0.3843609023</v>
      </c>
      <c r="T26" s="1030">
        <f>(IFERROR(TotalAverages!W29/MassFormulaTesting!$B$54,"")*0.68)+0.3</f>
        <v>0.3791534392</v>
      </c>
      <c r="U26" s="1030">
        <f>(IFERROR(TotalAverages!X29/MassFormulaTesting!$B$56,"")*0.68)+0.3</f>
        <v>0.4942857143</v>
      </c>
      <c r="V26" s="1030">
        <f>(IFERROR(TotalAverages!Y29/MassFormulaTesting!$B$58,"")*0.68)+0.3</f>
        <v>0.4457142857</v>
      </c>
      <c r="W26" s="1030">
        <f>(IFERROR(TotalAverages!Z29/MassFormulaTesting!$B$60,"")*0.68)+0.3</f>
        <v>0.3</v>
      </c>
      <c r="X26" s="1030">
        <f>(IFERROR(TotalAverages!AD29/MassFormulaTesting!$B$68,"")*0.68)+0.3</f>
        <v>0.3</v>
      </c>
      <c r="Y26" s="1030">
        <f>(IFERROR(TotalAverages!AG29/MassFormulaTesting!$B$74,"")*0.68)+0.3</f>
        <v>0.3</v>
      </c>
      <c r="Z26" s="1030">
        <f>(IFERROR(TotalAverages!AH29/MassFormulaTesting!$B$76,"")*0.68)+0.3</f>
        <v>0.3</v>
      </c>
      <c r="AA26" s="1030">
        <f>(IFERROR(TotalAverages!AJ29/MassFormulaTesting!$B$80,"")*0.68)+0.3</f>
        <v>0.3</v>
      </c>
      <c r="AB26" s="1030">
        <f>(IFERROR(TotalAverages!AK29/MassFormulaTesting!$B$82,"")*0.68)+0.3</f>
        <v>0.3</v>
      </c>
      <c r="AC26" s="1030">
        <f>(IFERROR(TotalAverages!AL29/MassFormulaTesting!$B$84,"")*0.68)+0.3</f>
        <v>0.3</v>
      </c>
      <c r="AD26" s="1030">
        <f>(IFERROR(TotalAverages!AM29/MassFormulaTesting!$B$86,"")*0.68)+0.3</f>
        <v>0.3</v>
      </c>
      <c r="AE26" s="1030">
        <f>(IFERROR(TotalAverages!AN29/MassFormulaTesting!$B$88,"")*0.68)+0.3</f>
        <v>0.3</v>
      </c>
      <c r="AF26" s="1030">
        <f>(IFERROR(TotalAverages!AO29/MassFormulaTesting!$B$90,"")*0.68)+0.3</f>
        <v>0.3</v>
      </c>
      <c r="AG26" s="1030">
        <f>(IFERROR(TotalAverages!AP29/MassFormulaTesting!$B$92,"")*0.68)+0.3</f>
        <v>0.3</v>
      </c>
      <c r="AH26" s="1030">
        <f>(IFERROR(TotalAverages!AQ29/MassFormulaTesting!$B$94,"")*0.68)+0.3</f>
        <v>0.3</v>
      </c>
      <c r="AI26" s="1030">
        <f>(IFERROR(TotalAverages!AR29/MassFormulaTesting!$B$96,"")*0.68)+0.3</f>
        <v>0.3</v>
      </c>
      <c r="AJ26" s="1030">
        <f>(IFERROR(TotalAverages!AS29/MassFormulaTesting!$B$98,"")*0.68)+0.3</f>
        <v>0.3</v>
      </c>
      <c r="AK26" s="1030">
        <f>(IFERROR(TotalAverages!AT29/MassFormulaTesting!$B$100,"")*0.68)+0.3</f>
        <v>0.3</v>
      </c>
      <c r="AL26" s="1030">
        <f>(IFERROR(TotalAverages!AU29/MassFormulaTesting!$B$102,"")*0.68)+0.3</f>
        <v>0.3</v>
      </c>
      <c r="AM26" s="1030">
        <f>(IFERROR(TotalAverages!AV29/MassFormulaTesting!$B$104,"")*0.68)+0.3</f>
        <v>0.3</v>
      </c>
    </row>
    <row r="27">
      <c r="B27" s="1028" t="str">
        <f>MassFormulaTesting!D38</f>
        <v>#DIV/0!</v>
      </c>
      <c r="C27" s="1029">
        <f>MassFormulaTesting!F38</f>
        <v>0.3</v>
      </c>
      <c r="D27" s="1030">
        <f>(IFERROR(TotalAverages!D30/MassFormulaTesting!$B$16,"")*0.68)+0.3</f>
        <v>0.5946877912</v>
      </c>
      <c r="E27" s="1030">
        <f>(IFERROR(TotalAverages!E30/MassFormulaTesting!$B$18,"")*0.68)+0.3</f>
        <v>0.6297369249</v>
      </c>
      <c r="F27" s="1030">
        <f>(IFERROR(TotalAverages!F30/MassFormulaTesting!$B$20,"")*0.68)+0.3</f>
        <v>0.349946183</v>
      </c>
      <c r="G27" s="1030">
        <f>(IFERROR(MassFormulaTesting!$C$22/TotalAverages!G30,"")*0.68)+0.3</f>
        <v>3.951851852</v>
      </c>
      <c r="H27" s="1030">
        <f>(((TotalAverages!H30+118)/(MassFormulaTesting!$B$24+118))*0.68)+0.3</f>
        <v>0.9760557205</v>
      </c>
      <c r="I27" s="1030">
        <f>(IFERROR(TotalAverages!I30/MassFormulaTesting!$B$26,"")*0.68)+0.3</f>
        <v>0.3879310345</v>
      </c>
      <c r="J27" s="1030">
        <f>((0.98-IFERROR(TotalAverages!J30/MassFormulaTesting!$B$28,"")*0.68))</f>
        <v>0.4403964994</v>
      </c>
      <c r="K27" s="1030">
        <f>(IFERROR(TotalAverages!K30/MassFormulaTesting!$B$30,"")*0.68)+0.3</f>
        <v>0.8109151194</v>
      </c>
      <c r="L27" s="1030">
        <f>(IFERROR(TotalAverages!L30/MassFormulaTesting!$B$32,"")*0.68)+0.3</f>
        <v>0.7232905834</v>
      </c>
      <c r="M27" s="1030">
        <f>(IFERROR(TotalAverages!M30/MassFormulaTesting!$B$34,"")*0.68)+0.3</f>
        <v>0.6555338948</v>
      </c>
      <c r="N27" s="1030">
        <f>(IFERROR(TotalAverages!N30/MassFormulaTesting!$B$36,"")*0.68)+0.3</f>
        <v>0.3</v>
      </c>
      <c r="O27" s="1030">
        <f>(IFERROR(TotalAverages!O30/MassFormulaTesting!$B$38,"")*0.68)+0.3</f>
        <v>0.5520689655</v>
      </c>
      <c r="P27" s="1030">
        <f>(IFERROR(TotalAverages!P30/MassFormulaTesting!$B$40,"")*0.68)+0.3</f>
        <v>0.6188965517</v>
      </c>
      <c r="Q27" s="1030">
        <f>(IFERROR(TotalAverages!T30/MassFormulaTesting!$B$48,"")*0.68)+0.3</f>
        <v>0.3</v>
      </c>
      <c r="R27" s="1030">
        <f>(IFERROR(TotalAverages!U30/MassFormulaTesting!$B$50,"")*0.68)+0.3</f>
        <v>0.5110344828</v>
      </c>
      <c r="S27" s="1030">
        <f>(IFERROR(TotalAverages!V30/MassFormulaTesting!$B$52,"")*0.68)+0.3</f>
        <v>0.4258802178</v>
      </c>
      <c r="T27" s="1030">
        <f>(IFERROR(TotalAverages!W30/MassFormulaTesting!$B$54,"")*0.68)+0.3</f>
        <v>0.3382120051</v>
      </c>
      <c r="U27" s="1030">
        <f>(IFERROR(TotalAverages!X30/MassFormulaTesting!$B$56,"")*0.68)+0.3</f>
        <v>0.3468965517</v>
      </c>
      <c r="V27" s="1030">
        <f>(IFERROR(TotalAverages!Y30/MassFormulaTesting!$B$58,"")*0.68)+0.3</f>
        <v>0.3703448276</v>
      </c>
      <c r="W27" s="1030">
        <f>(IFERROR(TotalAverages!Z30/MassFormulaTesting!$B$60,"")*0.68)+0.3</f>
        <v>0.5422988506</v>
      </c>
      <c r="X27" s="1030">
        <f>(IFERROR(TotalAverages!AD30/MassFormulaTesting!$B$68,"")*0.68)+0.3</f>
        <v>0.3</v>
      </c>
      <c r="Y27" s="1030">
        <f>(IFERROR(TotalAverages!AG30/MassFormulaTesting!$B$74,"")*0.68)+0.3</f>
        <v>0.3</v>
      </c>
      <c r="Z27" s="1030">
        <f>(IFERROR(TotalAverages!AH30/MassFormulaTesting!$B$76,"")*0.68)+0.3</f>
        <v>0.3</v>
      </c>
      <c r="AA27" s="1030">
        <f>(IFERROR(TotalAverages!AJ30/MassFormulaTesting!$B$80,"")*0.68)+0.3</f>
        <v>0.3</v>
      </c>
      <c r="AB27" s="1030">
        <f>(IFERROR(TotalAverages!AK30/MassFormulaTesting!$B$82,"")*0.68)+0.3</f>
        <v>0.3</v>
      </c>
      <c r="AC27" s="1030">
        <f>(IFERROR(TotalAverages!AL30/MassFormulaTesting!$B$84,"")*0.68)+0.3</f>
        <v>0.3</v>
      </c>
      <c r="AD27" s="1030">
        <f>(IFERROR(TotalAverages!AM30/MassFormulaTesting!$B$86,"")*0.68)+0.3</f>
        <v>0.3</v>
      </c>
      <c r="AE27" s="1030">
        <f>(IFERROR(TotalAverages!AN30/MassFormulaTesting!$B$88,"")*0.68)+0.3</f>
        <v>0.3</v>
      </c>
      <c r="AF27" s="1030">
        <f>(IFERROR(TotalAverages!AO30/MassFormulaTesting!$B$90,"")*0.68)+0.3</f>
        <v>0.3</v>
      </c>
      <c r="AG27" s="1030">
        <f>(IFERROR(TotalAverages!AP30/MassFormulaTesting!$B$92,"")*0.68)+0.3</f>
        <v>0.3</v>
      </c>
      <c r="AH27" s="1030">
        <f>(IFERROR(TotalAverages!AQ30/MassFormulaTesting!$B$94,"")*0.68)+0.3</f>
        <v>0.3</v>
      </c>
      <c r="AI27" s="1030">
        <f>(IFERROR(TotalAverages!AR30/MassFormulaTesting!$B$96,"")*0.68)+0.3</f>
        <v>0.3</v>
      </c>
      <c r="AJ27" s="1030">
        <f>(IFERROR(TotalAverages!AS30/MassFormulaTesting!$B$98,"")*0.68)+0.3</f>
        <v>0.3</v>
      </c>
      <c r="AK27" s="1030">
        <f>(IFERROR(TotalAverages!AT30/MassFormulaTesting!$B$100,"")*0.68)+0.3</f>
        <v>0.3</v>
      </c>
      <c r="AL27" s="1030">
        <f>(IFERROR(TotalAverages!AU30/MassFormulaTesting!$B$102,"")*0.68)+0.3</f>
        <v>0.3</v>
      </c>
      <c r="AM27" s="1030">
        <f>(IFERROR(TotalAverages!AV30/MassFormulaTesting!$B$104,"")*0.68)+0.3</f>
        <v>0.3</v>
      </c>
    </row>
    <row r="28">
      <c r="B28" s="1028" t="str">
        <f>MassFormulaTesting!D39</f>
        <v>#DIV/0!</v>
      </c>
      <c r="C28" s="1029">
        <f>MassFormulaTesting!F39</f>
        <v>0.3</v>
      </c>
      <c r="D28" s="1030">
        <f>(IFERROR(TotalAverages!D31/MassFormulaTesting!$B$16,"")*0.68)+0.3</f>
        <v>0.6429284229</v>
      </c>
      <c r="E28" s="1030">
        <f>(IFERROR(TotalAverages!E31/MassFormulaTesting!$B$18,"")*0.68)+0.3</f>
        <v>0.7424945723</v>
      </c>
      <c r="F28" s="1030">
        <f>(IFERROR(TotalAverages!F31/MassFormulaTesting!$B$20,"")*0.68)+0.3</f>
        <v>0.09925681255</v>
      </c>
      <c r="G28" s="1030">
        <f>(IFERROR(MassFormulaTesting!$C$22/TotalAverages!G31,"")*0.68)+0.3</f>
        <v>3.390909091</v>
      </c>
      <c r="H28" s="1030">
        <f>(((TotalAverages!H31+118)/(MassFormulaTesting!$B$24+118))*0.68)+0.3</f>
        <v>0.9588987701</v>
      </c>
      <c r="I28" s="1030">
        <f>(IFERROR(TotalAverages!I31/MassFormulaTesting!$B$26,"")*0.68)+0.3</f>
        <v>0.657</v>
      </c>
      <c r="J28" s="1030">
        <f>((0.98-IFERROR(TotalAverages!J31/MassFormulaTesting!$B$28,"")*0.68))</f>
        <v>0.6055775266</v>
      </c>
      <c r="K28" s="1030">
        <f>(IFERROR(TotalAverages!K31/MassFormulaTesting!$B$30,"")*0.68)+0.3</f>
        <v>0.6991895604</v>
      </c>
      <c r="L28" s="1030">
        <f>(IFERROR(TotalAverages!L31/MassFormulaTesting!$B$32,"")*0.68)+0.3</f>
        <v>0.4897870581</v>
      </c>
      <c r="M28" s="1030">
        <f>(IFERROR(TotalAverages!M31/MassFormulaTesting!$B$34,"")*0.68)+0.3</f>
        <v>0.3160980448</v>
      </c>
      <c r="N28" s="1030">
        <f>(IFERROR(TotalAverages!N31/MassFormulaTesting!$B$36,"")*0.68)+0.3</f>
        <v>0.3</v>
      </c>
      <c r="O28" s="1030">
        <f>(IFERROR(TotalAverages!O31/MassFormulaTesting!$B$38,"")*0.68)+0.3</f>
        <v>0.3485714286</v>
      </c>
      <c r="P28" s="1030">
        <f>(IFERROR(TotalAverages!P31/MassFormulaTesting!$B$40,"")*0.68)+0.3</f>
        <v>0.3</v>
      </c>
      <c r="Q28" s="1030">
        <f>(IFERROR(TotalAverages!T31/MassFormulaTesting!$B$48,"")*0.68)+0.3</f>
        <v>0.3</v>
      </c>
      <c r="R28" s="1030">
        <f>(IFERROR(TotalAverages!U31/MassFormulaTesting!$B$50,"")*0.68)+0.3</f>
        <v>0.5668502582</v>
      </c>
      <c r="S28" s="1030">
        <f>(IFERROR(TotalAverages!V31/MassFormulaTesting!$B$52,"")*0.68)+0.3</f>
        <v>0.4993984962</v>
      </c>
      <c r="T28" s="1030">
        <f>(IFERROR(TotalAverages!W31/MassFormulaTesting!$B$54,"")*0.68)+0.3</f>
        <v>0.4583068783</v>
      </c>
      <c r="U28" s="1030">
        <f>(IFERROR(TotalAverages!X31/MassFormulaTesting!$B$56,"")*0.68)+0.3</f>
        <v>0.3971428571</v>
      </c>
      <c r="V28" s="1030">
        <f>(IFERROR(TotalAverages!Y31/MassFormulaTesting!$B$58,"")*0.68)+0.3</f>
        <v>0.3</v>
      </c>
      <c r="W28" s="1030">
        <f>(IFERROR(TotalAverages!Z31/MassFormulaTesting!$B$60,"")*0.68)+0.3</f>
        <v>0.3</v>
      </c>
      <c r="X28" s="1030">
        <f>(IFERROR(TotalAverages!AD31/MassFormulaTesting!$B$68,"")*0.68)+0.3</f>
        <v>0.3</v>
      </c>
      <c r="Y28" s="1030">
        <f>(IFERROR(TotalAverages!AG31/MassFormulaTesting!$B$74,"")*0.68)+0.3</f>
        <v>0.3</v>
      </c>
      <c r="Z28" s="1030">
        <f>(IFERROR(TotalAverages!AH31/MassFormulaTesting!$B$76,"")*0.68)+0.3</f>
        <v>0.3</v>
      </c>
      <c r="AA28" s="1030">
        <f>(IFERROR(TotalAverages!AJ31/MassFormulaTesting!$B$80,"")*0.68)+0.3</f>
        <v>0.3</v>
      </c>
      <c r="AB28" s="1030">
        <f>(IFERROR(TotalAverages!AK31/MassFormulaTesting!$B$82,"")*0.68)+0.3</f>
        <v>0.3</v>
      </c>
      <c r="AC28" s="1030">
        <f>(IFERROR(TotalAverages!AL31/MassFormulaTesting!$B$84,"")*0.68)+0.3</f>
        <v>0.3</v>
      </c>
      <c r="AD28" s="1030">
        <f>(IFERROR(TotalAverages!AM31/MassFormulaTesting!$B$86,"")*0.68)+0.3</f>
        <v>0.3</v>
      </c>
      <c r="AE28" s="1030">
        <f>(IFERROR(TotalAverages!AN31/MassFormulaTesting!$B$88,"")*0.68)+0.3</f>
        <v>0.3</v>
      </c>
      <c r="AF28" s="1030">
        <f>(IFERROR(TotalAverages!AO31/MassFormulaTesting!$B$90,"")*0.68)+0.3</f>
        <v>0.3</v>
      </c>
      <c r="AG28" s="1030">
        <f>(IFERROR(TotalAverages!AP31/MassFormulaTesting!$B$92,"")*0.68)+0.3</f>
        <v>0.3</v>
      </c>
      <c r="AH28" s="1030">
        <f>(IFERROR(TotalAverages!AQ31/MassFormulaTesting!$B$94,"")*0.68)+0.3</f>
        <v>0.3</v>
      </c>
      <c r="AI28" s="1030">
        <f>(IFERROR(TotalAverages!AR31/MassFormulaTesting!$B$96,"")*0.68)+0.3</f>
        <v>0.3</v>
      </c>
      <c r="AJ28" s="1030">
        <f>(IFERROR(TotalAverages!AS31/MassFormulaTesting!$B$98,"")*0.68)+0.3</f>
        <v>0.3</v>
      </c>
      <c r="AK28" s="1030">
        <f>(IFERROR(TotalAverages!AT31/MassFormulaTesting!$B$100,"")*0.68)+0.3</f>
        <v>0.3</v>
      </c>
      <c r="AL28" s="1030">
        <f>(IFERROR(TotalAverages!AU31/MassFormulaTesting!$B$102,"")*0.68)+0.3</f>
        <v>0.3</v>
      </c>
      <c r="AM28" s="1030">
        <f>(IFERROR(TotalAverages!AV31/MassFormulaTesting!$B$104,"")*0.68)+0.3</f>
        <v>0.3</v>
      </c>
    </row>
    <row r="29">
      <c r="B29" s="1028" t="str">
        <f>MassFormulaTesting!D40</f>
        <v>#DIV/0!</v>
      </c>
      <c r="C29" s="1029">
        <f>MassFormulaTesting!F40</f>
        <v>0.3</v>
      </c>
      <c r="D29" s="1030">
        <f>(IFERROR(TotalAverages!D32/MassFormulaTesting!$B$16,"")*0.68)+0.3</f>
        <v>0.5608316008</v>
      </c>
      <c r="E29" s="1030">
        <f>(IFERROR(TotalAverages!E32/MassFormulaTesting!$B$18,"")*0.68)+0.3</f>
        <v>0.6432663917</v>
      </c>
      <c r="F29" s="1030">
        <f>(IFERROR(TotalAverages!F32/MassFormulaTesting!$B$20,"")*0.68)+0.3</f>
        <v>0.1177869529</v>
      </c>
      <c r="G29" s="1030">
        <f>(IFERROR(MassFormulaTesting!$C$22/TotalAverages!G32,"")*0.68)+0.3</f>
        <v>4.201639344</v>
      </c>
      <c r="H29" s="1030">
        <f>(((TotalAverages!H32+118)/(MassFormulaTesting!$B$24+118))*0.68)+0.3</f>
        <v>0.9623727531</v>
      </c>
      <c r="I29" s="1030">
        <f>(IFERROR(TotalAverages!I32/MassFormulaTesting!$B$26,"")*0.68)+0.3</f>
        <v>0.4457142857</v>
      </c>
      <c r="J29" s="1030">
        <f>((0.98-IFERROR(TotalAverages!J32/MassFormulaTesting!$B$28,"")*0.68))</f>
        <v>0.6420906795</v>
      </c>
      <c r="K29" s="1030">
        <f>(IFERROR(TotalAverages!K32/MassFormulaTesting!$B$30,"")*0.68)+0.3</f>
        <v>0.6518612637</v>
      </c>
      <c r="L29" s="1030">
        <f>(IFERROR(TotalAverages!L32/MassFormulaTesting!$B$32,"")*0.68)+0.3</f>
        <v>0.5302749638</v>
      </c>
      <c r="M29" s="1030">
        <f>(IFERROR(TotalAverages!M32/MassFormulaTesting!$B$34,"")*0.68)+0.3</f>
        <v>0.3196504067</v>
      </c>
      <c r="N29" s="1030">
        <f>(IFERROR(TotalAverages!N32/MassFormulaTesting!$B$36,"")*0.68)+0.3</f>
        <v>0.3</v>
      </c>
      <c r="O29" s="1030">
        <f>(IFERROR(TotalAverages!O32/MassFormulaTesting!$B$38,"")*0.68)+0.3</f>
        <v>0.385</v>
      </c>
      <c r="P29" s="1030">
        <f>(IFERROR(TotalAverages!P32/MassFormulaTesting!$B$40,"")*0.68)+0.3</f>
        <v>0.3</v>
      </c>
      <c r="Q29" s="1030">
        <f>(IFERROR(TotalAverages!T32/MassFormulaTesting!$B$48,"")*0.68)+0.3</f>
        <v>0.3</v>
      </c>
      <c r="R29" s="1030">
        <f>(IFERROR(TotalAverages!U32/MassFormulaTesting!$B$50,"")*0.68)+0.3</f>
        <v>0.5176936317</v>
      </c>
      <c r="S29" s="1030">
        <f>(IFERROR(TotalAverages!V32/MassFormulaTesting!$B$52,"")*0.68)+0.3</f>
        <v>0.4533834586</v>
      </c>
      <c r="T29" s="1030">
        <f>(IFERROR(TotalAverages!W32/MassFormulaTesting!$B$54,"")*0.68)+0.3</f>
        <v>0.4978835979</v>
      </c>
      <c r="U29" s="1030">
        <f>(IFERROR(TotalAverages!X32/MassFormulaTesting!$B$56,"")*0.68)+0.3</f>
        <v>0.3</v>
      </c>
      <c r="V29" s="1030">
        <f>(IFERROR(TotalAverages!Y32/MassFormulaTesting!$B$58,"")*0.68)+0.3</f>
        <v>0.3</v>
      </c>
      <c r="W29" s="1030">
        <f>(IFERROR(TotalAverages!Z32/MassFormulaTesting!$B$60,"")*0.68)+0.3</f>
        <v>0.3</v>
      </c>
      <c r="X29" s="1030">
        <f>(IFERROR(TotalAverages!AD32/MassFormulaTesting!$B$68,"")*0.68)+0.3</f>
        <v>0.3</v>
      </c>
      <c r="Y29" s="1030">
        <f>(IFERROR(TotalAverages!AG32/MassFormulaTesting!$B$74,"")*0.68)+0.3</f>
        <v>0.3</v>
      </c>
      <c r="Z29" s="1030">
        <f>(IFERROR(TotalAverages!AH32/MassFormulaTesting!$B$76,"")*0.68)+0.3</f>
        <v>0.3</v>
      </c>
      <c r="AA29" s="1030">
        <f>(IFERROR(TotalAverages!AJ32/MassFormulaTesting!$B$80,"")*0.68)+0.3</f>
        <v>0.3</v>
      </c>
      <c r="AB29" s="1030">
        <f>(IFERROR(TotalAverages!AK32/MassFormulaTesting!$B$82,"")*0.68)+0.3</f>
        <v>0.3</v>
      </c>
      <c r="AC29" s="1030">
        <f>(IFERROR(TotalAverages!AL32/MassFormulaTesting!$B$84,"")*0.68)+0.3</f>
        <v>0.3</v>
      </c>
      <c r="AD29" s="1030">
        <f>(IFERROR(TotalAverages!AM32/MassFormulaTesting!$B$86,"")*0.68)+0.3</f>
        <v>0.3</v>
      </c>
      <c r="AE29" s="1030">
        <f>(IFERROR(TotalAverages!AN32/MassFormulaTesting!$B$88,"")*0.68)+0.3</f>
        <v>0.3</v>
      </c>
      <c r="AF29" s="1030">
        <f>(IFERROR(TotalAverages!AO32/MassFormulaTesting!$B$90,"")*0.68)+0.3</f>
        <v>0.3</v>
      </c>
      <c r="AG29" s="1030">
        <f>(IFERROR(TotalAverages!AP32/MassFormulaTesting!$B$92,"")*0.68)+0.3</f>
        <v>0.3</v>
      </c>
      <c r="AH29" s="1030">
        <f>(IFERROR(TotalAverages!AQ32/MassFormulaTesting!$B$94,"")*0.68)+0.3</f>
        <v>0.3</v>
      </c>
      <c r="AI29" s="1030">
        <f>(IFERROR(TotalAverages!AR32/MassFormulaTesting!$B$96,"")*0.68)+0.3</f>
        <v>0.3</v>
      </c>
      <c r="AJ29" s="1030">
        <f>(IFERROR(TotalAverages!AS32/MassFormulaTesting!$B$98,"")*0.68)+0.3</f>
        <v>0.3</v>
      </c>
      <c r="AK29" s="1030">
        <f>(IFERROR(TotalAverages!AT32/MassFormulaTesting!$B$100,"")*0.68)+0.3</f>
        <v>0.3</v>
      </c>
      <c r="AL29" s="1030">
        <f>(IFERROR(TotalAverages!AU32/MassFormulaTesting!$B$102,"")*0.68)+0.3</f>
        <v>0.3</v>
      </c>
      <c r="AM29" s="1030">
        <f>(IFERROR(TotalAverages!AV32/MassFormulaTesting!$B$104,"")*0.68)+0.3</f>
        <v>0.3</v>
      </c>
    </row>
    <row r="30">
      <c r="B30" s="1028" t="str">
        <f>MassFormulaTesting!D41</f>
        <v>#DIV/0!</v>
      </c>
      <c r="C30" s="1029">
        <f>MassFormulaTesting!F41</f>
        <v>0.3</v>
      </c>
      <c r="D30" s="1030">
        <f>(IFERROR(TotalAverages!D33/MassFormulaTesting!$B$16,"")*0.68)+0.3</f>
        <v>0.6318345401</v>
      </c>
      <c r="E30" s="1030">
        <f>(IFERROR(TotalAverages!E33/MassFormulaTesting!$B$18,"")*0.68)+0.3</f>
        <v>0.8103474479</v>
      </c>
      <c r="F30" s="1030">
        <f>(IFERROR(TotalAverages!F33/MassFormulaTesting!$B$20,"")*0.68)+0.3</f>
        <v>-0.2561172015</v>
      </c>
      <c r="G30" s="1030">
        <f>(IFERROR(MassFormulaTesting!$C$22/TotalAverages!G33,"")*0.68)+0.3</f>
        <v>2.693203883</v>
      </c>
      <c r="H30" s="1030">
        <f>(((TotalAverages!H33+118)/(MassFormulaTesting!$B$24+118))*0.68)+0.3</f>
        <v>0.9611482074</v>
      </c>
      <c r="I30" s="1030">
        <f>(IFERROR(TotalAverages!I33/MassFormulaTesting!$B$26,"")*0.68)+0.3</f>
        <v>0.504</v>
      </c>
      <c r="J30" s="1030">
        <f>((0.98-IFERROR(TotalAverages!J33/MassFormulaTesting!$B$28,"")*0.68))</f>
        <v>0.4794322878</v>
      </c>
      <c r="K30" s="1030">
        <f>(IFERROR(TotalAverages!K33/MassFormulaTesting!$B$30,"")*0.68)+0.3</f>
        <v>0.8116213528</v>
      </c>
      <c r="L30" s="1030">
        <f>(IFERROR(TotalAverages!L33/MassFormulaTesting!$B$32,"")*0.68)+0.3</f>
        <v>0.5259993014</v>
      </c>
      <c r="M30" s="1030">
        <f>(IFERROR(TotalAverages!M33/MassFormulaTesting!$B$34,"")*0.68)+0.3</f>
        <v>0.3097468994</v>
      </c>
      <c r="N30" s="1030">
        <f>(IFERROR(TotalAverages!N33/MassFormulaTesting!$B$36,"")*0.68)+0.3</f>
        <v>0.3</v>
      </c>
      <c r="O30" s="1030">
        <f>(IFERROR(TotalAverages!O33/MassFormulaTesting!$B$38,"")*0.68)+0.3</f>
        <v>0.3996551724</v>
      </c>
      <c r="P30" s="1030">
        <f>(IFERROR(TotalAverages!P33/MassFormulaTesting!$B$40,"")*0.68)+0.3</f>
        <v>0.3</v>
      </c>
      <c r="Q30" s="1030">
        <f>(IFERROR(TotalAverages!T33/MassFormulaTesting!$B$48,"")*0.68)+0.3</f>
        <v>0.3</v>
      </c>
      <c r="R30" s="1030">
        <f>(IFERROR(TotalAverages!U33/MassFormulaTesting!$B$50,"")*0.68)+0.3</f>
        <v>0.5237474034</v>
      </c>
      <c r="S30" s="1030">
        <f>(IFERROR(TotalAverages!V33/MassFormulaTesting!$B$52,"")*0.68)+0.3</f>
        <v>0.4369872958</v>
      </c>
      <c r="T30" s="1030">
        <f>(IFERROR(TotalAverages!W33/MassFormulaTesting!$B$54,"")*0.68)+0.3</f>
        <v>0.4910600255</v>
      </c>
      <c r="U30" s="1030">
        <f>(IFERROR(TotalAverages!X33/MassFormulaTesting!$B$56,"")*0.68)+0.3</f>
        <v>0.3468965517</v>
      </c>
      <c r="V30" s="1030">
        <f>(IFERROR(TotalAverages!Y33/MassFormulaTesting!$B$58,"")*0.68)+0.3</f>
        <v>0.3</v>
      </c>
      <c r="W30" s="1030">
        <f>(IFERROR(TotalAverages!Z33/MassFormulaTesting!$B$60,"")*0.68)+0.3</f>
        <v>0.3</v>
      </c>
      <c r="X30" s="1030">
        <f>(IFERROR(TotalAverages!AD33/MassFormulaTesting!$B$68,"")*0.68)+0.3</f>
        <v>0.3</v>
      </c>
      <c r="Y30" s="1030">
        <f>(IFERROR(TotalAverages!AG33/MassFormulaTesting!$B$74,"")*0.68)+0.3</f>
        <v>0.3</v>
      </c>
      <c r="Z30" s="1030">
        <f>(IFERROR(TotalAverages!AH33/MassFormulaTesting!$B$76,"")*0.68)+0.3</f>
        <v>0.3</v>
      </c>
      <c r="AA30" s="1030">
        <f>(IFERROR(TotalAverages!AJ33/MassFormulaTesting!$B$80,"")*0.68)+0.3</f>
        <v>0.3</v>
      </c>
      <c r="AB30" s="1030">
        <f>(IFERROR(TotalAverages!AK33/MassFormulaTesting!$B$82,"")*0.68)+0.3</f>
        <v>0.3</v>
      </c>
      <c r="AC30" s="1030">
        <f>(IFERROR(TotalAverages!AL33/MassFormulaTesting!$B$84,"")*0.68)+0.3</f>
        <v>0.3</v>
      </c>
      <c r="AD30" s="1030">
        <f>(IFERROR(TotalAverages!AM33/MassFormulaTesting!$B$86,"")*0.68)+0.3</f>
        <v>0.3</v>
      </c>
      <c r="AE30" s="1030">
        <f>(IFERROR(TotalAverages!AN33/MassFormulaTesting!$B$88,"")*0.68)+0.3</f>
        <v>0.3</v>
      </c>
      <c r="AF30" s="1030">
        <f>(IFERROR(TotalAverages!AO33/MassFormulaTesting!$B$90,"")*0.68)+0.3</f>
        <v>0.3</v>
      </c>
      <c r="AG30" s="1030">
        <f>(IFERROR(TotalAverages!AP33/MassFormulaTesting!$B$92,"")*0.68)+0.3</f>
        <v>0.3</v>
      </c>
      <c r="AH30" s="1030">
        <f>(IFERROR(TotalAverages!AQ33/MassFormulaTesting!$B$94,"")*0.68)+0.3</f>
        <v>0.3</v>
      </c>
      <c r="AI30" s="1030">
        <f>(IFERROR(TotalAverages!AR33/MassFormulaTesting!$B$96,"")*0.68)+0.3</f>
        <v>0.3</v>
      </c>
      <c r="AJ30" s="1030">
        <f>(IFERROR(TotalAverages!AS33/MassFormulaTesting!$B$98,"")*0.68)+0.3</f>
        <v>0.3</v>
      </c>
      <c r="AK30" s="1030">
        <f>(IFERROR(TotalAverages!AT33/MassFormulaTesting!$B$100,"")*0.68)+0.3</f>
        <v>0.3</v>
      </c>
      <c r="AL30" s="1030">
        <f>(IFERROR(TotalAverages!AU33/MassFormulaTesting!$B$102,"")*0.68)+0.3</f>
        <v>0.3</v>
      </c>
      <c r="AM30" s="1030">
        <f>(IFERROR(TotalAverages!AV33/MassFormulaTesting!$B$104,"")*0.68)+0.3</f>
        <v>0.3</v>
      </c>
    </row>
    <row r="31">
      <c r="B31" s="1028" t="str">
        <f>MassFormulaTesting!D42</f>
        <v>#DIV/0!</v>
      </c>
      <c r="C31" s="1029">
        <f>MassFormulaTesting!F42</f>
        <v>0.3</v>
      </c>
      <c r="D31" s="1030">
        <f>(IFERROR(TotalAverages!D34/MassFormulaTesting!$B$16,"")*0.68)+0.3</f>
        <v>0.5311434511</v>
      </c>
      <c r="E31" s="1030">
        <f>(IFERROR(TotalAverages!E34/MassFormulaTesting!$B$18,"")*0.68)+0.3</f>
        <v>0.7859726444</v>
      </c>
      <c r="F31" s="1030">
        <f>(IFERROR(TotalAverages!F34/MassFormulaTesting!$B$20,"")*0.68)+0.3</f>
        <v>-0.6620231214</v>
      </c>
      <c r="G31" s="1030">
        <f>(IFERROR(MassFormulaTesting!$C$22/TotalAverages!G34,"")*0.68)+0.3</f>
        <v>5.966666667</v>
      </c>
      <c r="H31" s="1030">
        <f>(((TotalAverages!H34+118)/(MassFormulaTesting!$B$24+118))*0.68)+0.3</f>
        <v>0.9538807947</v>
      </c>
      <c r="I31" s="1030">
        <f>(IFERROR(TotalAverages!I34/MassFormulaTesting!$B$26,"")*0.68)+0.3</f>
        <v>0.402</v>
      </c>
      <c r="J31" s="1030">
        <f>((0.98-IFERROR(TotalAverages!J34/MassFormulaTesting!$B$28,"")*0.68))</f>
        <v>0.6537238793</v>
      </c>
      <c r="K31" s="1030">
        <f>(IFERROR(TotalAverages!K34/MassFormulaTesting!$B$30,"")*0.68)+0.3</f>
        <v>0.6657692308</v>
      </c>
      <c r="L31" s="1030">
        <f>(IFERROR(TotalAverages!L34/MassFormulaTesting!$B$32,"")*0.68)+0.3</f>
        <v>0.4505643994</v>
      </c>
      <c r="M31" s="1030">
        <f>(IFERROR(TotalAverages!M34/MassFormulaTesting!$B$34,"")*0.68)+0.3</f>
        <v>0.3059805586</v>
      </c>
      <c r="N31" s="1030">
        <f>(IFERROR(TotalAverages!N34/MassFormulaTesting!$B$36,"")*0.68)+0.3</f>
        <v>0.3</v>
      </c>
      <c r="O31" s="1030">
        <f>(IFERROR(TotalAverages!O34/MassFormulaTesting!$B$38,"")*0.68)+0.3</f>
        <v>0.3</v>
      </c>
      <c r="P31" s="1030">
        <f>(IFERROR(TotalAverages!P34/MassFormulaTesting!$B$40,"")*0.68)+0.3</f>
        <v>0.3</v>
      </c>
      <c r="Q31" s="1030">
        <f>(IFERROR(TotalAverages!T34/MassFormulaTesting!$B$48,"")*0.68)+0.3</f>
        <v>0.3</v>
      </c>
      <c r="R31" s="1030">
        <f>(IFERROR(TotalAverages!U34/MassFormulaTesting!$B$50,"")*0.68)+0.3</f>
        <v>0.4351807229</v>
      </c>
      <c r="S31" s="1030">
        <f>(IFERROR(TotalAverages!V34/MassFormulaTesting!$B$52,"")*0.68)+0.3</f>
        <v>0.4610526316</v>
      </c>
      <c r="T31" s="1030">
        <f>(IFERROR(TotalAverages!W34/MassFormulaTesting!$B$54,"")*0.68)+0.3</f>
        <v>0.3</v>
      </c>
      <c r="U31" s="1030">
        <f>(IFERROR(TotalAverages!X34/MassFormulaTesting!$B$56,"")*0.68)+0.3</f>
        <v>0.3</v>
      </c>
      <c r="V31" s="1030">
        <f>(IFERROR(TotalAverages!Y34/MassFormulaTesting!$B$58,"")*0.68)+0.3</f>
        <v>0.3</v>
      </c>
      <c r="W31" s="1030">
        <f>(IFERROR(TotalAverages!Z34/MassFormulaTesting!$B$60,"")*0.68)+0.3</f>
        <v>0.3</v>
      </c>
      <c r="X31" s="1030">
        <f>(IFERROR(TotalAverages!AD34/MassFormulaTesting!$B$68,"")*0.68)+0.3</f>
        <v>0.3</v>
      </c>
      <c r="Y31" s="1030">
        <f>(IFERROR(TotalAverages!AG34/MassFormulaTesting!$B$74,"")*0.68)+0.3</f>
        <v>0.3</v>
      </c>
      <c r="Z31" s="1030">
        <f>(IFERROR(TotalAverages!AH34/MassFormulaTesting!$B$76,"")*0.68)+0.3</f>
        <v>0.3</v>
      </c>
      <c r="AA31" s="1030">
        <f>(IFERROR(TotalAverages!AJ34/MassFormulaTesting!$B$80,"")*0.68)+0.3</f>
        <v>0.3</v>
      </c>
      <c r="AB31" s="1030">
        <f>(IFERROR(TotalAverages!AK34/MassFormulaTesting!$B$82,"")*0.68)+0.3</f>
        <v>0.3</v>
      </c>
      <c r="AC31" s="1030">
        <f>(IFERROR(TotalAverages!AL34/MassFormulaTesting!$B$84,"")*0.68)+0.3</f>
        <v>0.3</v>
      </c>
      <c r="AD31" s="1030">
        <f>(IFERROR(TotalAverages!AM34/MassFormulaTesting!$B$86,"")*0.68)+0.3</f>
        <v>0.3</v>
      </c>
      <c r="AE31" s="1030">
        <f>(IFERROR(TotalAverages!AN34/MassFormulaTesting!$B$88,"")*0.68)+0.3</f>
        <v>0.3</v>
      </c>
      <c r="AF31" s="1030">
        <f>(IFERROR(TotalAverages!AO34/MassFormulaTesting!$B$90,"")*0.68)+0.3</f>
        <v>0.3</v>
      </c>
      <c r="AG31" s="1030">
        <f>(IFERROR(TotalAverages!AP34/MassFormulaTesting!$B$92,"")*0.68)+0.3</f>
        <v>0.3</v>
      </c>
      <c r="AH31" s="1030">
        <f>(IFERROR(TotalAverages!AQ34/MassFormulaTesting!$B$94,"")*0.68)+0.3</f>
        <v>0.3</v>
      </c>
      <c r="AI31" s="1030">
        <f>(IFERROR(TotalAverages!AR34/MassFormulaTesting!$B$96,"")*0.68)+0.3</f>
        <v>0.3</v>
      </c>
      <c r="AJ31" s="1030">
        <f>(IFERROR(TotalAverages!AS34/MassFormulaTesting!$B$98,"")*0.68)+0.3</f>
        <v>0.3</v>
      </c>
      <c r="AK31" s="1030">
        <f>(IFERROR(TotalAverages!AT34/MassFormulaTesting!$B$100,"")*0.68)+0.3</f>
        <v>0.3</v>
      </c>
      <c r="AL31" s="1030">
        <f>(IFERROR(TotalAverages!AU34/MassFormulaTesting!$B$102,"")*0.68)+0.3</f>
        <v>0.3</v>
      </c>
      <c r="AM31" s="1030">
        <f>(IFERROR(TotalAverages!AV34/MassFormulaTesting!$B$104,"")*0.68)+0.3</f>
        <v>0.3</v>
      </c>
    </row>
    <row r="32">
      <c r="B32" s="1028" t="str">
        <f>MassFormulaTesting!D43</f>
        <v>#DIV/0!</v>
      </c>
      <c r="C32" s="1029">
        <f>MassFormulaTesting!F43</f>
        <v>0.3</v>
      </c>
      <c r="D32" s="1030">
        <f>(IFERROR(TotalAverages!D35/MassFormulaTesting!$B$16,"")*0.68)+0.3</f>
        <v>0.8007603208</v>
      </c>
      <c r="E32" s="1030">
        <f>(IFERROR(TotalAverages!E35/MassFormulaTesting!$B$18,"")*0.68)+0.3</f>
        <v>0.9283282675</v>
      </c>
      <c r="F32" s="1030">
        <f>(IFERROR(TotalAverages!F35/MassFormulaTesting!$B$20,"")*0.68)+0.3</f>
        <v>0.08535920727</v>
      </c>
      <c r="G32" s="1030">
        <f>(IFERROR(MassFormulaTesting!$C$22/TotalAverages!G35,"")*0.68)+0.3</f>
        <v>3.331847134</v>
      </c>
      <c r="H32" s="1030">
        <f>(((TotalAverages!H35+118)/(MassFormulaTesting!$B$24+118))*0.68)+0.3</f>
        <v>0.9617937559</v>
      </c>
      <c r="I32" s="1030">
        <f>(IFERROR(TotalAverages!I35/MassFormulaTesting!$B$26,"")*0.68)+0.3</f>
        <v>0.4602857143</v>
      </c>
      <c r="J32" s="1030">
        <f>((0.98-IFERROR(TotalAverages!J35/MassFormulaTesting!$B$28,"")*0.68))</f>
        <v>0.5066562907</v>
      </c>
      <c r="K32" s="1030">
        <f>(IFERROR(TotalAverages!K35/MassFormulaTesting!$B$30,"")*0.68)+0.3</f>
        <v>0.8108447802</v>
      </c>
      <c r="L32" s="1030">
        <f>(IFERROR(TotalAverages!L35/MassFormulaTesting!$B$32,"")*0.68)+0.3</f>
        <v>0.4701757288</v>
      </c>
      <c r="M32" s="1030">
        <f>(IFERROR(TotalAverages!M35/MassFormulaTesting!$B$34,"")*0.68)+0.3</f>
        <v>0.3101174863</v>
      </c>
      <c r="N32" s="1030">
        <f>(IFERROR(TotalAverages!N35/MassFormulaTesting!$B$36,"")*0.68)+0.3</f>
        <v>0.3</v>
      </c>
      <c r="O32" s="1030">
        <f>(IFERROR(TotalAverages!O35/MassFormulaTesting!$B$38,"")*0.68)+0.3</f>
        <v>0.4396428571</v>
      </c>
      <c r="P32" s="1030">
        <f>(IFERROR(TotalAverages!P35/MassFormulaTesting!$B$40,"")*0.68)+0.3</f>
        <v>0.3</v>
      </c>
      <c r="Q32" s="1030">
        <f>(IFERROR(TotalAverages!T35/MassFormulaTesting!$B$48,"")*0.68)+0.3</f>
        <v>0.3</v>
      </c>
      <c r="R32" s="1030">
        <f>(IFERROR(TotalAverages!U35/MassFormulaTesting!$B$50,"")*0.68)+0.3</f>
        <v>0.8117555938</v>
      </c>
      <c r="S32" s="1030">
        <f>(IFERROR(TotalAverages!V35/MassFormulaTesting!$B$52,"")*0.68)+0.3</f>
        <v>0.752481203</v>
      </c>
      <c r="T32" s="1030">
        <f>(IFERROR(TotalAverages!W35/MassFormulaTesting!$B$54,"")*0.68)+0.3</f>
        <v>0.7155555556</v>
      </c>
      <c r="U32" s="1030">
        <f>(IFERROR(TotalAverages!X35/MassFormulaTesting!$B$56,"")*0.68)+0.3</f>
        <v>0.4942857143</v>
      </c>
      <c r="V32" s="1030">
        <f>(IFERROR(TotalAverages!Y35/MassFormulaTesting!$B$58,"")*0.68)+0.3</f>
        <v>0.3</v>
      </c>
      <c r="W32" s="1030">
        <f>(IFERROR(TotalAverages!Z35/MassFormulaTesting!$B$60,"")*0.68)+0.3</f>
        <v>0.3</v>
      </c>
      <c r="X32" s="1030">
        <f>(IFERROR(TotalAverages!AD35/MassFormulaTesting!$B$68,"")*0.68)+0.3</f>
        <v>0.3</v>
      </c>
      <c r="Y32" s="1030">
        <f>(IFERROR(TotalAverages!AG35/MassFormulaTesting!$B$74,"")*0.68)+0.3</f>
        <v>0.3</v>
      </c>
      <c r="Z32" s="1030">
        <f>(IFERROR(TotalAverages!AH35/MassFormulaTesting!$B$76,"")*0.68)+0.3</f>
        <v>0.3</v>
      </c>
      <c r="AA32" s="1030">
        <f>(IFERROR(TotalAverages!AJ35/MassFormulaTesting!$B$80,"")*0.68)+0.3</f>
        <v>0.3</v>
      </c>
      <c r="AB32" s="1030">
        <f>(IFERROR(TotalAverages!AK35/MassFormulaTesting!$B$82,"")*0.68)+0.3</f>
        <v>0.3</v>
      </c>
      <c r="AC32" s="1030">
        <f>(IFERROR(TotalAverages!AL35/MassFormulaTesting!$B$84,"")*0.68)+0.3</f>
        <v>0.3</v>
      </c>
      <c r="AD32" s="1030">
        <f>(IFERROR(TotalAverages!AM35/MassFormulaTesting!$B$86,"")*0.68)+0.3</f>
        <v>0.3</v>
      </c>
      <c r="AE32" s="1030">
        <f>(IFERROR(TotalAverages!AN35/MassFormulaTesting!$B$88,"")*0.68)+0.3</f>
        <v>0.3</v>
      </c>
      <c r="AF32" s="1030">
        <f>(IFERROR(TotalAverages!AO35/MassFormulaTesting!$B$90,"")*0.68)+0.3</f>
        <v>0.3</v>
      </c>
      <c r="AG32" s="1030">
        <f>(IFERROR(TotalAverages!AP35/MassFormulaTesting!$B$92,"")*0.68)+0.3</f>
        <v>0.3</v>
      </c>
      <c r="AH32" s="1030">
        <f>(IFERROR(TotalAverages!AQ35/MassFormulaTesting!$B$94,"")*0.68)+0.3</f>
        <v>0.3</v>
      </c>
      <c r="AI32" s="1030">
        <f>(IFERROR(TotalAverages!AR35/MassFormulaTesting!$B$96,"")*0.68)+0.3</f>
        <v>0.3</v>
      </c>
      <c r="AJ32" s="1030">
        <f>(IFERROR(TotalAverages!AS35/MassFormulaTesting!$B$98,"")*0.68)+0.3</f>
        <v>0.3</v>
      </c>
      <c r="AK32" s="1030">
        <f>(IFERROR(TotalAverages!AT35/MassFormulaTesting!$B$100,"")*0.68)+0.3</f>
        <v>0.3</v>
      </c>
      <c r="AL32" s="1030">
        <f>(IFERROR(TotalAverages!AU35/MassFormulaTesting!$B$102,"")*0.68)+0.3</f>
        <v>0.3</v>
      </c>
      <c r="AM32" s="1030">
        <f>(IFERROR(TotalAverages!AV35/MassFormulaTesting!$B$104,"")*0.68)+0.3</f>
        <v>0.3</v>
      </c>
    </row>
    <row r="33">
      <c r="B33" s="1028" t="str">
        <f>MassFormulaTesting!D44</f>
        <v>#DIV/0!</v>
      </c>
      <c r="C33" s="1029">
        <f>MassFormulaTesting!F44</f>
        <v>0.3</v>
      </c>
      <c r="D33" s="1030">
        <f>(IFERROR(TotalAverages!D36/MassFormulaTesting!$B$16,"")*0.68)+0.3</f>
        <v>0.6581133056</v>
      </c>
      <c r="E33" s="1030">
        <f>(IFERROR(TotalAverages!E36/MassFormulaTesting!$B$18,"")*0.68)+0.3</f>
        <v>0.7335096884</v>
      </c>
      <c r="F33" s="1030">
        <f>(IFERROR(TotalAverages!F36/MassFormulaTesting!$B$20,"")*0.68)+0.3</f>
        <v>0.2162283237</v>
      </c>
      <c r="G33" s="1030">
        <f>(IFERROR(MassFormulaTesting!$C$22/TotalAverages!G36,"")*0.68)+0.3</f>
        <v>3.02</v>
      </c>
      <c r="H33" s="1030">
        <f>(((TotalAverages!H36+118)/(MassFormulaTesting!$B$24+118))*0.68)+0.3</f>
        <v>0.9684039735</v>
      </c>
      <c r="I33" s="1030">
        <f>(IFERROR(TotalAverages!I36/MassFormulaTesting!$B$26,"")*0.68)+0.3</f>
        <v>0.446625</v>
      </c>
      <c r="J33" s="1030">
        <f>((0.98-IFERROR(TotalAverages!J36/MassFormulaTesting!$B$28,"")*0.68))</f>
        <v>0.5091221647</v>
      </c>
      <c r="K33" s="1030">
        <f>(IFERROR(TotalAverages!K36/MassFormulaTesting!$B$30,"")*0.68)+0.3</f>
        <v>0.7758173077</v>
      </c>
      <c r="L33" s="1030">
        <f>(IFERROR(TotalAverages!L36/MassFormulaTesting!$B$32,"")*0.68)+0.3</f>
        <v>0.5546309696</v>
      </c>
      <c r="M33" s="1030">
        <f>(IFERROR(TotalAverages!M36/MassFormulaTesting!$B$34,"")*0.68)+0.3</f>
        <v>0.3020853263</v>
      </c>
      <c r="N33" s="1030">
        <f>(IFERROR(TotalAverages!N36/MassFormulaTesting!$B$36,"")*0.68)+0.3</f>
        <v>0.3</v>
      </c>
      <c r="O33" s="1030">
        <f>(IFERROR(TotalAverages!O36/MassFormulaTesting!$B$38,"")*0.68)+0.3</f>
        <v>0.586875</v>
      </c>
      <c r="P33" s="1030">
        <f>(IFERROR(TotalAverages!P36/MassFormulaTesting!$B$40,"")*0.68)+0.3</f>
        <v>0.589</v>
      </c>
      <c r="Q33" s="1030">
        <f>(IFERROR(TotalAverages!T36/MassFormulaTesting!$B$48,"")*0.68)+0.3</f>
        <v>0.3</v>
      </c>
      <c r="R33" s="1030">
        <f>(IFERROR(TotalAverages!U36/MassFormulaTesting!$B$50,"")*0.68)+0.3</f>
        <v>0.594939759</v>
      </c>
      <c r="S33" s="1030">
        <f>(IFERROR(TotalAverages!V36/MassFormulaTesting!$B$52,"")*0.68)+0.3</f>
        <v>0.5885526316</v>
      </c>
      <c r="T33" s="1030">
        <f>(IFERROR(TotalAverages!W36/MassFormulaTesting!$B$54,"")*0.68)+0.3</f>
        <v>0.8887037037</v>
      </c>
      <c r="U33" s="1030">
        <f>(IFERROR(TotalAverages!X36/MassFormulaTesting!$B$56,"")*0.68)+0.3</f>
        <v>0.64</v>
      </c>
      <c r="V33" s="1030">
        <f>(IFERROR(TotalAverages!Y36/MassFormulaTesting!$B$58,"")*0.68)+0.3</f>
        <v>0.555</v>
      </c>
      <c r="W33" s="1030">
        <f>(IFERROR(TotalAverages!Z36/MassFormulaTesting!$B$60,"")*0.68)+0.3</f>
        <v>0.3</v>
      </c>
      <c r="X33" s="1030">
        <f>(IFERROR(TotalAverages!AD36/MassFormulaTesting!$B$68,"")*0.68)+0.3</f>
        <v>0.3</v>
      </c>
      <c r="Y33" s="1030">
        <f>(IFERROR(TotalAverages!AG36/MassFormulaTesting!$B$74,"")*0.68)+0.3</f>
        <v>0.3</v>
      </c>
      <c r="Z33" s="1030">
        <f>(IFERROR(TotalAverages!AH36/MassFormulaTesting!$B$76,"")*0.68)+0.3</f>
        <v>0.3</v>
      </c>
      <c r="AA33" s="1030">
        <f>(IFERROR(TotalAverages!AJ36/MassFormulaTesting!$B$80,"")*0.68)+0.3</f>
        <v>0.3</v>
      </c>
      <c r="AB33" s="1030">
        <f>(IFERROR(TotalAverages!AK36/MassFormulaTesting!$B$82,"")*0.68)+0.3</f>
        <v>0.3</v>
      </c>
      <c r="AC33" s="1030">
        <f>(IFERROR(TotalAverages!AL36/MassFormulaTesting!$B$84,"")*0.68)+0.3</f>
        <v>0.3</v>
      </c>
      <c r="AD33" s="1030">
        <f>(IFERROR(TotalAverages!AM36/MassFormulaTesting!$B$86,"")*0.68)+0.3</f>
        <v>0.3</v>
      </c>
      <c r="AE33" s="1030">
        <f>(IFERROR(TotalAverages!AN36/MassFormulaTesting!$B$88,"")*0.68)+0.3</f>
        <v>0.3</v>
      </c>
      <c r="AF33" s="1030">
        <f>(IFERROR(TotalAverages!AO36/MassFormulaTesting!$B$90,"")*0.68)+0.3</f>
        <v>0.3</v>
      </c>
      <c r="AG33" s="1030">
        <f>(IFERROR(TotalAverages!AP36/MassFormulaTesting!$B$92,"")*0.68)+0.3</f>
        <v>0.3</v>
      </c>
      <c r="AH33" s="1030">
        <f>(IFERROR(TotalAverages!AQ36/MassFormulaTesting!$B$94,"")*0.68)+0.3</f>
        <v>0.3</v>
      </c>
      <c r="AI33" s="1030">
        <f>(IFERROR(TotalAverages!AR36/MassFormulaTesting!$B$96,"")*0.68)+0.3</f>
        <v>0.3</v>
      </c>
      <c r="AJ33" s="1030">
        <f>(IFERROR(TotalAverages!AS36/MassFormulaTesting!$B$98,"")*0.68)+0.3</f>
        <v>0.3</v>
      </c>
      <c r="AK33" s="1030">
        <f>(IFERROR(TotalAverages!AT36/MassFormulaTesting!$B$100,"")*0.68)+0.3</f>
        <v>0.3</v>
      </c>
      <c r="AL33" s="1030">
        <f>(IFERROR(TotalAverages!AU36/MassFormulaTesting!$B$102,"")*0.68)+0.3</f>
        <v>0.3</v>
      </c>
      <c r="AM33" s="1030">
        <f>(IFERROR(TotalAverages!AV36/MassFormulaTesting!$B$104,"")*0.68)+0.3</f>
        <v>0.3</v>
      </c>
    </row>
    <row r="34">
      <c r="B34" s="1028" t="str">
        <f>MassFormulaTesting!D45</f>
        <v>#DIV/0!</v>
      </c>
      <c r="C34" s="1029">
        <f>MassFormulaTesting!F45</f>
        <v>0.3</v>
      </c>
      <c r="D34" s="1030">
        <f>(IFERROR(TotalAverages!D37/MassFormulaTesting!$B$16,"")*0.68)+0.3</f>
        <v>0.6242370062</v>
      </c>
      <c r="E34" s="1030">
        <f>(IFERROR(TotalAverages!E37/MassFormulaTesting!$B$18,"")*0.68)+0.3</f>
        <v>0.8006990881</v>
      </c>
      <c r="F34" s="1030">
        <f>(IFERROR(TotalAverages!F37/MassFormulaTesting!$B$20,"")*0.68)+0.3</f>
        <v>-0.2523526012</v>
      </c>
      <c r="G34" s="1030">
        <f>(IFERROR(MassFormulaTesting!$C$22/TotalAverages!G37,"")*0.68)+0.3</f>
        <v>3.205982906</v>
      </c>
      <c r="H34" s="1030">
        <f>(((TotalAverages!H37+118)/(MassFormulaTesting!$B$24+118))*0.68)+0.3</f>
        <v>0.9609059603</v>
      </c>
      <c r="I34" s="1030">
        <f>(IFERROR(TotalAverages!I37/MassFormulaTesting!$B$26,"")*0.68)+0.3</f>
        <v>0.5091</v>
      </c>
      <c r="J34" s="1030">
        <f>((0.98-IFERROR(TotalAverages!J37/MassFormulaTesting!$B$28,"")*0.68))</f>
        <v>0.5547297732</v>
      </c>
      <c r="K34" s="1030">
        <f>(IFERROR(TotalAverages!K37/MassFormulaTesting!$B$30,"")*0.68)+0.3</f>
        <v>0.7529278846</v>
      </c>
      <c r="L34" s="1030">
        <f>(IFERROR(TotalAverages!L37/MassFormulaTesting!$B$32,"")*0.68)+0.3</f>
        <v>0.4930767004</v>
      </c>
      <c r="M34" s="1030">
        <f>(IFERROR(TotalAverages!M37/MassFormulaTesting!$B$34,"")*0.68)+0.3</f>
        <v>0.3180990588</v>
      </c>
      <c r="N34" s="1030">
        <f>(IFERROR(TotalAverages!N37/MassFormulaTesting!$B$36,"")*0.68)+0.3</f>
        <v>0.3</v>
      </c>
      <c r="O34" s="1030">
        <f>(IFERROR(TotalAverages!O37/MassFormulaTesting!$B$38,"")*0.68)+0.3</f>
        <v>0.3935</v>
      </c>
      <c r="P34" s="1030">
        <f>(IFERROR(TotalAverages!P37/MassFormulaTesting!$B$40,"")*0.68)+0.3</f>
        <v>0.3</v>
      </c>
      <c r="Q34" s="1030">
        <f>(IFERROR(TotalAverages!T37/MassFormulaTesting!$B$48,"")*0.68)+0.3</f>
        <v>0.3</v>
      </c>
      <c r="R34" s="1030">
        <f>(IFERROR(TotalAverages!U37/MassFormulaTesting!$B$50,"")*0.68)+0.3</f>
        <v>0.5826506024</v>
      </c>
      <c r="S34" s="1030">
        <f>(IFERROR(TotalAverages!V37/MassFormulaTesting!$B$52,"")*0.68)+0.3</f>
        <v>0.4986315789</v>
      </c>
      <c r="T34" s="1030">
        <f>(IFERROR(TotalAverages!W37/MassFormulaTesting!$B$54,"")*0.68)+0.3</f>
        <v>0.4662222222</v>
      </c>
      <c r="U34" s="1030">
        <f>(IFERROR(TotalAverages!X37/MassFormulaTesting!$B$56,"")*0.68)+0.3</f>
        <v>0.436</v>
      </c>
      <c r="V34" s="1030">
        <f>(IFERROR(TotalAverages!Y37/MassFormulaTesting!$B$58,"")*0.68)+0.3</f>
        <v>0.402</v>
      </c>
      <c r="W34" s="1030">
        <f>(IFERROR(TotalAverages!Z37/MassFormulaTesting!$B$60,"")*0.68)+0.3</f>
        <v>0.3</v>
      </c>
      <c r="X34" s="1030">
        <f>(IFERROR(TotalAverages!AD37/MassFormulaTesting!$B$68,"")*0.68)+0.3</f>
        <v>0.3</v>
      </c>
      <c r="Y34" s="1030">
        <f>(IFERROR(TotalAverages!AG37/MassFormulaTesting!$B$74,"")*0.68)+0.3</f>
        <v>0.3</v>
      </c>
      <c r="Z34" s="1030">
        <f>(IFERROR(TotalAverages!AH37/MassFormulaTesting!$B$76,"")*0.68)+0.3</f>
        <v>0.3</v>
      </c>
      <c r="AA34" s="1030">
        <f>(IFERROR(TotalAverages!AJ37/MassFormulaTesting!$B$80,"")*0.68)+0.3</f>
        <v>0.3</v>
      </c>
      <c r="AB34" s="1030">
        <f>(IFERROR(TotalAverages!AK37/MassFormulaTesting!$B$82,"")*0.68)+0.3</f>
        <v>0.3</v>
      </c>
      <c r="AC34" s="1030">
        <f>(IFERROR(TotalAverages!AL37/MassFormulaTesting!$B$84,"")*0.68)+0.3</f>
        <v>0.3</v>
      </c>
      <c r="AD34" s="1030">
        <f>(IFERROR(TotalAverages!AM37/MassFormulaTesting!$B$86,"")*0.68)+0.3</f>
        <v>0.3</v>
      </c>
      <c r="AE34" s="1030">
        <f>(IFERROR(TotalAverages!AN37/MassFormulaTesting!$B$88,"")*0.68)+0.3</f>
        <v>0.3</v>
      </c>
      <c r="AF34" s="1030">
        <f>(IFERROR(TotalAverages!AO37/MassFormulaTesting!$B$90,"")*0.68)+0.3</f>
        <v>0.3</v>
      </c>
      <c r="AG34" s="1030">
        <f>(IFERROR(TotalAverages!AP37/MassFormulaTesting!$B$92,"")*0.68)+0.3</f>
        <v>0.3</v>
      </c>
      <c r="AH34" s="1030">
        <f>(IFERROR(TotalAverages!AQ37/MassFormulaTesting!$B$94,"")*0.68)+0.3</f>
        <v>0.3</v>
      </c>
      <c r="AI34" s="1030">
        <f>(IFERROR(TotalAverages!AR37/MassFormulaTesting!$B$96,"")*0.68)+0.3</f>
        <v>0.3</v>
      </c>
      <c r="AJ34" s="1030">
        <f>(IFERROR(TotalAverages!AS37/MassFormulaTesting!$B$98,"")*0.68)+0.3</f>
        <v>0.3</v>
      </c>
      <c r="AK34" s="1030">
        <f>(IFERROR(TotalAverages!AT37/MassFormulaTesting!$B$100,"")*0.68)+0.3</f>
        <v>0.3</v>
      </c>
      <c r="AL34" s="1030">
        <f>(IFERROR(TotalAverages!AU37/MassFormulaTesting!$B$102,"")*0.68)+0.3</f>
        <v>0.3</v>
      </c>
      <c r="AM34" s="1030">
        <f>(IFERROR(TotalAverages!AV37/MassFormulaTesting!$B$104,"")*0.68)+0.3</f>
        <v>0.3</v>
      </c>
    </row>
    <row r="35">
      <c r="B35" s="1028" t="str">
        <f>MassFormulaTesting!D46</f>
        <v>#DIV/0!</v>
      </c>
      <c r="C35" s="1029">
        <f>MassFormulaTesting!F46</f>
        <v>0.3</v>
      </c>
      <c r="D35" s="1030">
        <f>(IFERROR(TotalAverages!D38/MassFormulaTesting!$B$16,"")*0.68)+0.3</f>
        <v>0.8361217161</v>
      </c>
      <c r="E35" s="1030">
        <f>(IFERROR(TotalAverages!E38/MassFormulaTesting!$B$18,"")*0.68)+0.3</f>
        <v>0.8551423045</v>
      </c>
      <c r="F35" s="1030">
        <f>(IFERROR(TotalAverages!F38/MassFormulaTesting!$B$20,"")*0.68)+0.3</f>
        <v>0.5879190751</v>
      </c>
      <c r="G35" s="1030">
        <f>(IFERROR(MassFormulaTesting!$C$22/TotalAverages!G38,"")*0.68)+0.3</f>
        <v>2.278835979</v>
      </c>
      <c r="H35" s="1030">
        <f>(((TotalAverages!H38+118)/(MassFormulaTesting!$B$24+118))*0.68)+0.3</f>
        <v>0.9678819988</v>
      </c>
      <c r="I35" s="1030">
        <f>(IFERROR(TotalAverages!I38/MassFormulaTesting!$B$26,"")*0.68)+0.3</f>
        <v>0.4112727273</v>
      </c>
      <c r="J35" s="1030">
        <f>((0.98-IFERROR(TotalAverages!J38/MassFormulaTesting!$B$28,"")*0.68))</f>
        <v>0.4251434509</v>
      </c>
      <c r="K35" s="1030">
        <f>(IFERROR(TotalAverages!K38/MassFormulaTesting!$B$30,"")*0.68)+0.3</f>
        <v>0.8605725524</v>
      </c>
      <c r="L35" s="1030">
        <f>(IFERROR(TotalAverages!L38/MassFormulaTesting!$B$32,"")*0.68)+0.3</f>
        <v>0.5343007499</v>
      </c>
      <c r="M35" s="1030">
        <f>(IFERROR(TotalAverages!M38/MassFormulaTesting!$B$34,"")*0.68)+0.3</f>
        <v>0.3115605055</v>
      </c>
      <c r="N35" s="1030">
        <f>(IFERROR(TotalAverages!N38/MassFormulaTesting!$B$36,"")*0.68)+0.3</f>
        <v>0.3</v>
      </c>
      <c r="O35" s="1030">
        <f>(IFERROR(TotalAverages!O38/MassFormulaTesting!$B$38,"")*0.68)+0.3</f>
        <v>0.7327272727</v>
      </c>
      <c r="P35" s="1030">
        <f>(IFERROR(TotalAverages!P38/MassFormulaTesting!$B$40,"")*0.68)+0.3</f>
        <v>0.3</v>
      </c>
      <c r="Q35" s="1030">
        <f>(IFERROR(TotalAverages!T38/MassFormulaTesting!$B$48,"")*0.68)+0.3</f>
        <v>0.3</v>
      </c>
      <c r="R35" s="1030">
        <f>(IFERROR(TotalAverages!U38/MassFormulaTesting!$B$50,"")*0.68)+0.3</f>
        <v>0.7792771084</v>
      </c>
      <c r="S35" s="1030">
        <f>(IFERROR(TotalAverages!V38/MassFormulaTesting!$B$52,"")*0.68)+0.3</f>
        <v>0.6562679426</v>
      </c>
      <c r="T35" s="1030">
        <f>(IFERROR(TotalAverages!W38/MassFormulaTesting!$B$54,"")*0.68)+0.3</f>
        <v>0.702962963</v>
      </c>
      <c r="U35" s="1030">
        <f>(IFERROR(TotalAverages!X38/MassFormulaTesting!$B$56,"")*0.68)+0.3</f>
        <v>0.5472727273</v>
      </c>
      <c r="V35" s="1030">
        <f>(IFERROR(TotalAverages!Y38/MassFormulaTesting!$B$58,"")*0.68)+0.3</f>
        <v>0.3927272727</v>
      </c>
      <c r="W35" s="1030">
        <f>(IFERROR(TotalAverages!Z38/MassFormulaTesting!$B$60,"")*0.68)+0.3</f>
        <v>0.3</v>
      </c>
      <c r="X35" s="1030">
        <f>(IFERROR(TotalAverages!AD38/MassFormulaTesting!$B$68,"")*0.68)+0.3</f>
        <v>0.3</v>
      </c>
      <c r="Y35" s="1030">
        <f>(IFERROR(TotalAverages!AG38/MassFormulaTesting!$B$74,"")*0.68)+0.3</f>
        <v>0.3</v>
      </c>
      <c r="Z35" s="1030">
        <f>(IFERROR(TotalAverages!AH38/MassFormulaTesting!$B$76,"")*0.68)+0.3</f>
        <v>0.3</v>
      </c>
      <c r="AA35" s="1030">
        <f>(IFERROR(TotalAverages!AJ38/MassFormulaTesting!$B$80,"")*0.68)+0.3</f>
        <v>0.3</v>
      </c>
      <c r="AB35" s="1030">
        <f>(IFERROR(TotalAverages!AK38/MassFormulaTesting!$B$82,"")*0.68)+0.3</f>
        <v>0.3</v>
      </c>
      <c r="AC35" s="1030">
        <f>(IFERROR(TotalAverages!AL38/MassFormulaTesting!$B$84,"")*0.68)+0.3</f>
        <v>0.3</v>
      </c>
      <c r="AD35" s="1030">
        <f>(IFERROR(TotalAverages!AM38/MassFormulaTesting!$B$86,"")*0.68)+0.3</f>
        <v>0.3</v>
      </c>
      <c r="AE35" s="1030">
        <f>(IFERROR(TotalAverages!AN38/MassFormulaTesting!$B$88,"")*0.68)+0.3</f>
        <v>0.3</v>
      </c>
      <c r="AF35" s="1030">
        <f>(IFERROR(TotalAverages!AO38/MassFormulaTesting!$B$90,"")*0.68)+0.3</f>
        <v>0.3</v>
      </c>
      <c r="AG35" s="1030">
        <f>(IFERROR(TotalAverages!AP38/MassFormulaTesting!$B$92,"")*0.68)+0.3</f>
        <v>0.3</v>
      </c>
      <c r="AH35" s="1030">
        <f>(IFERROR(TotalAverages!AQ38/MassFormulaTesting!$B$94,"")*0.68)+0.3</f>
        <v>0.3</v>
      </c>
      <c r="AI35" s="1030">
        <f>(IFERROR(TotalAverages!AR38/MassFormulaTesting!$B$96,"")*0.68)+0.3</f>
        <v>0.3</v>
      </c>
      <c r="AJ35" s="1030">
        <f>(IFERROR(TotalAverages!AS38/MassFormulaTesting!$B$98,"")*0.68)+0.3</f>
        <v>0.3</v>
      </c>
      <c r="AK35" s="1030">
        <f>(IFERROR(TotalAverages!AT38/MassFormulaTesting!$B$100,"")*0.68)+0.3</f>
        <v>0.3</v>
      </c>
      <c r="AL35" s="1030">
        <f>(IFERROR(TotalAverages!AU38/MassFormulaTesting!$B$102,"")*0.68)+0.3</f>
        <v>0.3</v>
      </c>
      <c r="AM35" s="1030">
        <f>(IFERROR(TotalAverages!AV38/MassFormulaTesting!$B$104,"")*0.68)+0.3</f>
        <v>0.3</v>
      </c>
    </row>
    <row r="36">
      <c r="B36" s="1028" t="str">
        <f>MassFormulaTesting!D47</f>
        <v>#DIV/0!</v>
      </c>
      <c r="C36" s="1029">
        <f>MassFormulaTesting!F47</f>
        <v>0.3</v>
      </c>
      <c r="D36" s="1030">
        <f>(IFERROR(TotalAverages!D39/MassFormulaTesting!$B$16,"")*0.68)+0.3</f>
        <v>0.6306088506</v>
      </c>
      <c r="E36" s="1030">
        <f>(IFERROR(TotalAverages!E39/MassFormulaTesting!$B$18,"")*0.68)+0.3</f>
        <v>0.8088804458</v>
      </c>
      <c r="F36" s="1030">
        <f>(IFERROR(TotalAverages!F39/MassFormulaTesting!$B$20,"")*0.68)+0.3</f>
        <v>-0.2559042114</v>
      </c>
      <c r="G36" s="1030">
        <f>(IFERROR(MassFormulaTesting!$C$22/TotalAverages!G39,"")*0.68)+0.3</f>
        <v>4.997368421</v>
      </c>
      <c r="H36" s="1030">
        <f>(((TotalAverages!H39+118)/(MassFormulaTesting!$B$24+118))*0.68)+0.3</f>
        <v>0.958512772</v>
      </c>
      <c r="I36" s="1030">
        <f>(IFERROR(TotalAverages!I39/MassFormulaTesting!$B$26,"")*0.68)+0.3</f>
        <v>0.3825714286</v>
      </c>
      <c r="J36" s="1030">
        <f>((0.98-IFERROR(TotalAverages!J39/MassFormulaTesting!$B$28,"")*0.68))</f>
        <v>0.5320046947</v>
      </c>
      <c r="K36" s="1030">
        <f>(IFERROR(TotalAverages!K39/MassFormulaTesting!$B$30,"")*0.68)+0.3</f>
        <v>0.7734203297</v>
      </c>
      <c r="L36" s="1030">
        <f>(IFERROR(TotalAverages!L39/MassFormulaTesting!$B$32,"")*0.68)+0.3</f>
        <v>0.5007525326</v>
      </c>
      <c r="M36" s="1030">
        <f>(IFERROR(TotalAverages!M39/MassFormulaTesting!$B$34,"")*0.68)+0.3</f>
        <v>0.3049763044</v>
      </c>
      <c r="N36" s="1030">
        <f>(IFERROR(TotalAverages!N39/MassFormulaTesting!$B$36,"")*0.68)+0.3</f>
        <v>0.3</v>
      </c>
      <c r="O36" s="1030">
        <f>(IFERROR(TotalAverages!O39/MassFormulaTesting!$B$38,"")*0.68)+0.3</f>
        <v>0.3242857143</v>
      </c>
      <c r="P36" s="1030">
        <f>(IFERROR(TotalAverages!P39/MassFormulaTesting!$B$40,"")*0.68)+0.3</f>
        <v>0.3</v>
      </c>
      <c r="Q36" s="1030">
        <f>(IFERROR(TotalAverages!T39/MassFormulaTesting!$B$48,"")*0.68)+0.3</f>
        <v>0.3</v>
      </c>
      <c r="R36" s="1030">
        <f>(IFERROR(TotalAverages!U39/MassFormulaTesting!$B$50,"")*0.68)+0.3</f>
        <v>0.5200344234</v>
      </c>
      <c r="S36" s="1030">
        <f>(IFERROR(TotalAverages!V39/MassFormulaTesting!$B$52,"")*0.68)+0.3</f>
        <v>0.3920300752</v>
      </c>
      <c r="T36" s="1030">
        <f>(IFERROR(TotalAverages!W39/MassFormulaTesting!$B$54,"")*0.68)+0.3</f>
        <v>0.4583068783</v>
      </c>
      <c r="U36" s="1030">
        <f>(IFERROR(TotalAverages!X39/MassFormulaTesting!$B$56,"")*0.68)+0.3</f>
        <v>0.3</v>
      </c>
      <c r="V36" s="1030">
        <f>(IFERROR(TotalAverages!Y39/MassFormulaTesting!$B$58,"")*0.68)+0.3</f>
        <v>0.3</v>
      </c>
      <c r="W36" s="1030">
        <f>(IFERROR(TotalAverages!Z39/MassFormulaTesting!$B$60,"")*0.68)+0.3</f>
        <v>0.3</v>
      </c>
      <c r="X36" s="1030">
        <f>(IFERROR(TotalAverages!AD39/MassFormulaTesting!$B$68,"")*0.68)+0.3</f>
        <v>0.3</v>
      </c>
      <c r="Y36" s="1030">
        <f>(IFERROR(TotalAverages!AG39/MassFormulaTesting!$B$74,"")*0.68)+0.3</f>
        <v>0.3</v>
      </c>
      <c r="Z36" s="1030">
        <f>(IFERROR(TotalAverages!AH39/MassFormulaTesting!$B$76,"")*0.68)+0.3</f>
        <v>0.3</v>
      </c>
      <c r="AA36" s="1030">
        <f>(IFERROR(TotalAverages!AJ39/MassFormulaTesting!$B$80,"")*0.68)+0.3</f>
        <v>0.3</v>
      </c>
      <c r="AB36" s="1030">
        <f>(IFERROR(TotalAverages!AK39/MassFormulaTesting!$B$82,"")*0.68)+0.3</f>
        <v>0.3</v>
      </c>
      <c r="AC36" s="1030">
        <f>(IFERROR(TotalAverages!AL39/MassFormulaTesting!$B$84,"")*0.68)+0.3</f>
        <v>0.3</v>
      </c>
      <c r="AD36" s="1030">
        <f>(IFERROR(TotalAverages!AM39/MassFormulaTesting!$B$86,"")*0.68)+0.3</f>
        <v>0.3</v>
      </c>
      <c r="AE36" s="1030">
        <f>(IFERROR(TotalAverages!AN39/MassFormulaTesting!$B$88,"")*0.68)+0.3</f>
        <v>0.3</v>
      </c>
      <c r="AF36" s="1030">
        <f>(IFERROR(TotalAverages!AO39/MassFormulaTesting!$B$90,"")*0.68)+0.3</f>
        <v>0.3</v>
      </c>
      <c r="AG36" s="1030">
        <f>(IFERROR(TotalAverages!AP39/MassFormulaTesting!$B$92,"")*0.68)+0.3</f>
        <v>0.3</v>
      </c>
      <c r="AH36" s="1030">
        <f>(IFERROR(TotalAverages!AQ39/MassFormulaTesting!$B$94,"")*0.68)+0.3</f>
        <v>0.3</v>
      </c>
      <c r="AI36" s="1030">
        <f>(IFERROR(TotalAverages!AR39/MassFormulaTesting!$B$96,"")*0.68)+0.3</f>
        <v>0.3</v>
      </c>
      <c r="AJ36" s="1030">
        <f>(IFERROR(TotalAverages!AS39/MassFormulaTesting!$B$98,"")*0.68)+0.3</f>
        <v>0.3</v>
      </c>
      <c r="AK36" s="1030">
        <f>(IFERROR(TotalAverages!AT39/MassFormulaTesting!$B$100,"")*0.68)+0.3</f>
        <v>0.3</v>
      </c>
      <c r="AL36" s="1030">
        <f>(IFERROR(TotalAverages!AU39/MassFormulaTesting!$B$102,"")*0.68)+0.3</f>
        <v>0.3</v>
      </c>
      <c r="AM36" s="1030">
        <f>(IFERROR(TotalAverages!AV39/MassFormulaTesting!$B$104,"")*0.68)+0.3</f>
        <v>0.3</v>
      </c>
    </row>
    <row r="37">
      <c r="B37" s="1028" t="str">
        <f>MassFormulaTesting!D48</f>
        <v>#DIV/0!</v>
      </c>
      <c r="C37" s="1029">
        <f>MassFormulaTesting!F48</f>
        <v>0.3</v>
      </c>
      <c r="D37" s="1030">
        <f>(IFERROR(TotalAverages!D40/MassFormulaTesting!$B$16,"")*0.68)+0.3</f>
        <v>0.7406569647</v>
      </c>
      <c r="E37" s="1030">
        <f>(IFERROR(TotalAverages!E40/MassFormulaTesting!$B$18,"")*0.68)+0.3</f>
        <v>0.7659692249</v>
      </c>
      <c r="F37" s="1030">
        <f>(IFERROR(TotalAverages!F40/MassFormulaTesting!$B$20,"")*0.68)+0.3</f>
        <v>0.4940260116</v>
      </c>
      <c r="G37" s="1030">
        <f>(IFERROR(MassFormulaTesting!$C$22/TotalAverages!G40,"")*0.68)+0.3</f>
        <v>2.790842491</v>
      </c>
      <c r="H37" s="1030">
        <f>(((TotalAverages!H40+118)/(MassFormulaTesting!$B$24+118))*0.68)+0.3</f>
        <v>0.9718490066</v>
      </c>
      <c r="I37" s="1030">
        <f>(IFERROR(TotalAverages!I40/MassFormulaTesting!$B$26,"")*0.68)+0.3</f>
        <v>0.4887</v>
      </c>
      <c r="J37" s="1030">
        <f>((0.98-IFERROR(TotalAverages!J40/MassFormulaTesting!$B$28,"")*0.68))</f>
        <v>0.4523563136</v>
      </c>
      <c r="K37" s="1030">
        <f>(IFERROR(TotalAverages!K40/MassFormulaTesting!$B$30,"")*0.68)+0.3</f>
        <v>0.8250360577</v>
      </c>
      <c r="L37" s="1030">
        <f>(IFERROR(TotalAverages!L40/MassFormulaTesting!$B$32,"")*0.68)+0.3</f>
        <v>0.5874008683</v>
      </c>
      <c r="M37" s="1030">
        <f>(IFERROR(TotalAverages!M40/MassFormulaTesting!$B$34,"")*0.68)+0.3</f>
        <v>0.4577451011</v>
      </c>
      <c r="N37" s="1030">
        <f>(IFERROR(TotalAverages!N40/MassFormulaTesting!$B$36,"")*0.68)+0.3</f>
        <v>0.3</v>
      </c>
      <c r="O37" s="1030">
        <f>(IFERROR(TotalAverages!O40/MassFormulaTesting!$B$38,"")*0.68)+0.3</f>
        <v>0.657</v>
      </c>
      <c r="P37" s="1030">
        <f>(IFERROR(TotalAverages!P40/MassFormulaTesting!$B$40,"")*0.68)+0.3</f>
        <v>0.4734</v>
      </c>
      <c r="Q37" s="1030">
        <f>(IFERROR(TotalAverages!T40/MassFormulaTesting!$B$48,"")*0.68)+0.3</f>
        <v>0.3</v>
      </c>
      <c r="R37" s="1030">
        <f>(IFERROR(TotalAverages!U40/MassFormulaTesting!$B$50,"")*0.68)+0.3</f>
        <v>0.6735903614</v>
      </c>
      <c r="S37" s="1030">
        <f>(IFERROR(TotalAverages!V40/MassFormulaTesting!$B$52,"")*0.68)+0.3</f>
        <v>0.5979473684</v>
      </c>
      <c r="T37" s="1030">
        <f>(IFERROR(TotalAverages!W40/MassFormulaTesting!$B$54,"")*0.68)+0.3</f>
        <v>0.6601481481</v>
      </c>
      <c r="U37" s="1030">
        <f>(IFERROR(TotalAverages!X40/MassFormulaTesting!$B$56,"")*0.68)+0.3</f>
        <v>0.47</v>
      </c>
      <c r="V37" s="1030">
        <f>(IFERROR(TotalAverages!Y40/MassFormulaTesting!$B$58,"")*0.68)+0.3</f>
        <v>0.3</v>
      </c>
      <c r="W37" s="1030">
        <f>(IFERROR(TotalAverages!Z40/MassFormulaTesting!$B$60,"")*0.68)+0.3</f>
        <v>0.3</v>
      </c>
      <c r="X37" s="1030">
        <f>(IFERROR(TotalAverages!AD40/MassFormulaTesting!$B$68,"")*0.68)+0.3</f>
        <v>0.3</v>
      </c>
      <c r="Y37" s="1030">
        <f>(IFERROR(TotalAverages!AG40/MassFormulaTesting!$B$74,"")*0.68)+0.3</f>
        <v>0.3</v>
      </c>
      <c r="Z37" s="1030">
        <f>(IFERROR(TotalAverages!AH40/MassFormulaTesting!$B$76,"")*0.68)+0.3</f>
        <v>0.3</v>
      </c>
      <c r="AA37" s="1030">
        <f>(IFERROR(TotalAverages!AJ40/MassFormulaTesting!$B$80,"")*0.68)+0.3</f>
        <v>0.3</v>
      </c>
      <c r="AB37" s="1030">
        <f>(IFERROR(TotalAverages!AK40/MassFormulaTesting!$B$82,"")*0.68)+0.3</f>
        <v>0.3</v>
      </c>
      <c r="AC37" s="1030">
        <f>(IFERROR(TotalAverages!AL40/MassFormulaTesting!$B$84,"")*0.68)+0.3</f>
        <v>0.3</v>
      </c>
      <c r="AD37" s="1030">
        <f>(IFERROR(TotalAverages!AM40/MassFormulaTesting!$B$86,"")*0.68)+0.3</f>
        <v>0.3</v>
      </c>
      <c r="AE37" s="1030">
        <f>(IFERROR(TotalAverages!AN40/MassFormulaTesting!$B$88,"")*0.68)+0.3</f>
        <v>0.3</v>
      </c>
      <c r="AF37" s="1030">
        <f>(IFERROR(TotalAverages!AO40/MassFormulaTesting!$B$90,"")*0.68)+0.3</f>
        <v>0.3</v>
      </c>
      <c r="AG37" s="1030">
        <f>(IFERROR(TotalAverages!AP40/MassFormulaTesting!$B$92,"")*0.68)+0.3</f>
        <v>0.3</v>
      </c>
      <c r="AH37" s="1030">
        <f>(IFERROR(TotalAverages!AQ40/MassFormulaTesting!$B$94,"")*0.68)+0.3</f>
        <v>0.3</v>
      </c>
      <c r="AI37" s="1030">
        <f>(IFERROR(TotalAverages!AR40/MassFormulaTesting!$B$96,"")*0.68)+0.3</f>
        <v>0.3</v>
      </c>
      <c r="AJ37" s="1030">
        <f>(IFERROR(TotalAverages!AS40/MassFormulaTesting!$B$98,"")*0.68)+0.3</f>
        <v>0.3</v>
      </c>
      <c r="AK37" s="1030">
        <f>(IFERROR(TotalAverages!AT40/MassFormulaTesting!$B$100,"")*0.68)+0.3</f>
        <v>0.3</v>
      </c>
      <c r="AL37" s="1030">
        <f>(IFERROR(TotalAverages!AU40/MassFormulaTesting!$B$102,"")*0.68)+0.3</f>
        <v>0.3</v>
      </c>
      <c r="AM37" s="1030">
        <f>(IFERROR(TotalAverages!AV40/MassFormulaTesting!$B$104,"")*0.68)+0.3</f>
        <v>0.3</v>
      </c>
    </row>
    <row r="38">
      <c r="B38" s="1028" t="str">
        <f>MassFormulaTesting!D49</f>
        <v>#DIV/0!</v>
      </c>
      <c r="C38" s="1029">
        <f>MassFormulaTesting!F49</f>
        <v>0.3</v>
      </c>
      <c r="D38" s="1030">
        <f>(IFERROR(TotalAverages!D41/MassFormulaTesting!$B$16,"")*0.68)+0.3</f>
        <v>0.8451823852</v>
      </c>
      <c r="E38" s="1030">
        <f>(IFERROR(TotalAverages!E41/MassFormulaTesting!$B$18,"")*0.68)+0.3</f>
        <v>0.7766012711</v>
      </c>
      <c r="F38" s="1030">
        <f>(IFERROR(TotalAverages!F41/MassFormulaTesting!$B$20,"")*0.68)+0.3</f>
        <v>0.98</v>
      </c>
      <c r="G38" s="1030">
        <f>(IFERROR(MassFormulaTesting!$C$22/TotalAverages!G41,"")*0.68)+0.3</f>
        <v>2.844217687</v>
      </c>
      <c r="H38" s="1030">
        <f>(((TotalAverages!H41+118)/(MassFormulaTesting!$B$24+118))*0.68)+0.3</f>
        <v>0.9715665262</v>
      </c>
      <c r="I38" s="1030">
        <f>(IFERROR(TotalAverages!I41/MassFormulaTesting!$B$26,"")*0.68)+0.3</f>
        <v>0.4715454545</v>
      </c>
      <c r="J38" s="1030">
        <f>((0.98-IFERROR(TotalAverages!J41/MassFormulaTesting!$B$28,"")*0.68))</f>
        <v>0.3852139181</v>
      </c>
      <c r="K38" s="1030">
        <f>(IFERROR(TotalAverages!K41/MassFormulaTesting!$B$30,"")*0.68)+0.3</f>
        <v>0.8799781469</v>
      </c>
      <c r="L38" s="1030">
        <f>(IFERROR(TotalAverages!L41/MassFormulaTesting!$B$32,"")*0.68)+0.3</f>
        <v>0.5938823839</v>
      </c>
      <c r="M38" s="1030">
        <f>(IFERROR(TotalAverages!M41/MassFormulaTesting!$B$34,"")*0.68)+0.3</f>
        <v>0.3459272559</v>
      </c>
      <c r="N38" s="1030">
        <f>(IFERROR(TotalAverages!N41/MassFormulaTesting!$B$36,"")*0.68)+0.3</f>
        <v>0.3</v>
      </c>
      <c r="O38" s="1030">
        <f>(IFERROR(TotalAverages!O41/MassFormulaTesting!$B$38,"")*0.68)+0.3</f>
        <v>0.8254545455</v>
      </c>
      <c r="P38" s="1030">
        <f>(IFERROR(TotalAverages!P41/MassFormulaTesting!$B$40,"")*0.68)+0.3</f>
        <v>0.3</v>
      </c>
      <c r="Q38" s="1030">
        <f>(IFERROR(TotalAverages!T41/MassFormulaTesting!$B$48,"")*0.68)+0.3</f>
        <v>0.3</v>
      </c>
      <c r="R38" s="1030">
        <f>(IFERROR(TotalAverages!U41/MassFormulaTesting!$B$50,"")*0.68)+0.3</f>
        <v>0.8273165389</v>
      </c>
      <c r="S38" s="1030">
        <f>(IFERROR(TotalAverages!V41/MassFormulaTesting!$B$52,"")*0.68)+0.3</f>
        <v>0.6562679426</v>
      </c>
      <c r="T38" s="1030">
        <f>(IFERROR(TotalAverages!W41/MassFormulaTesting!$B$54,"")*0.68)+0.3</f>
        <v>0.6274074074</v>
      </c>
      <c r="U38" s="1030">
        <f>(IFERROR(TotalAverages!X41/MassFormulaTesting!$B$56,"")*0.68)+0.3</f>
        <v>0.4854545455</v>
      </c>
      <c r="V38" s="1030">
        <f>(IFERROR(TotalAverages!Y41/MassFormulaTesting!$B$58,"")*0.68)+0.3</f>
        <v>0.4854545455</v>
      </c>
      <c r="W38" s="1030">
        <f>(IFERROR(TotalAverages!Z41/MassFormulaTesting!$B$60,"")*0.68)+0.3</f>
        <v>0.6193939394</v>
      </c>
      <c r="X38" s="1030">
        <f>(IFERROR(TotalAverages!AD41/MassFormulaTesting!$B$68,"")*0.68)+0.3</f>
        <v>0.3</v>
      </c>
      <c r="Y38" s="1030">
        <f>(IFERROR(TotalAverages!AG41/MassFormulaTesting!$B$74,"")*0.68)+0.3</f>
        <v>0.3</v>
      </c>
      <c r="Z38" s="1030">
        <f>(IFERROR(TotalAverages!AH41/MassFormulaTesting!$B$76,"")*0.68)+0.3</f>
        <v>0.3</v>
      </c>
      <c r="AA38" s="1030">
        <f>(IFERROR(TotalAverages!AJ41/MassFormulaTesting!$B$80,"")*0.68)+0.3</f>
        <v>0.3</v>
      </c>
      <c r="AB38" s="1030">
        <f>(IFERROR(TotalAverages!AK41/MassFormulaTesting!$B$82,"")*0.68)+0.3</f>
        <v>0.3</v>
      </c>
      <c r="AC38" s="1030">
        <f>(IFERROR(TotalAverages!AL41/MassFormulaTesting!$B$84,"")*0.68)+0.3</f>
        <v>0.3</v>
      </c>
      <c r="AD38" s="1030">
        <f>(IFERROR(TotalAverages!AM41/MassFormulaTesting!$B$86,"")*0.68)+0.3</f>
        <v>0.3</v>
      </c>
      <c r="AE38" s="1030">
        <f>(IFERROR(TotalAverages!AN41/MassFormulaTesting!$B$88,"")*0.68)+0.3</f>
        <v>0.3</v>
      </c>
      <c r="AF38" s="1030">
        <f>(IFERROR(TotalAverages!AO41/MassFormulaTesting!$B$90,"")*0.68)+0.3</f>
        <v>0.3</v>
      </c>
      <c r="AG38" s="1030">
        <f>(IFERROR(TotalAverages!AP41/MassFormulaTesting!$B$92,"")*0.68)+0.3</f>
        <v>0.3</v>
      </c>
      <c r="AH38" s="1030">
        <f>(IFERROR(TotalAverages!AQ41/MassFormulaTesting!$B$94,"")*0.68)+0.3</f>
        <v>0.3</v>
      </c>
      <c r="AI38" s="1030">
        <f>(IFERROR(TotalAverages!AR41/MassFormulaTesting!$B$96,"")*0.68)+0.3</f>
        <v>0.3</v>
      </c>
      <c r="AJ38" s="1030">
        <f>(IFERROR(TotalAverages!AS41/MassFormulaTesting!$B$98,"")*0.68)+0.3</f>
        <v>0.3</v>
      </c>
      <c r="AK38" s="1030">
        <f>(IFERROR(TotalAverages!AT41/MassFormulaTesting!$B$100,"")*0.68)+0.3</f>
        <v>0.3</v>
      </c>
      <c r="AL38" s="1030">
        <f>(IFERROR(TotalAverages!AU41/MassFormulaTesting!$B$102,"")*0.68)+0.3</f>
        <v>0.3</v>
      </c>
      <c r="AM38" s="1030">
        <f>(IFERROR(TotalAverages!AV41/MassFormulaTesting!$B$104,"")*0.68)+0.3</f>
        <v>0.3</v>
      </c>
    </row>
    <row r="39">
      <c r="B39" s="1028" t="str">
        <f>MassFormulaTesting!D50</f>
        <v>#DIV/0!</v>
      </c>
      <c r="C39" s="1029">
        <f>MassFormulaTesting!F50</f>
        <v>0.3</v>
      </c>
      <c r="D39" s="1030">
        <f>(IFERROR(TotalAverages!D42/MassFormulaTesting!$B$16,"")*0.68)+0.3</f>
        <v>0.7986716271</v>
      </c>
      <c r="E39" s="1030">
        <f>(IFERROR(TotalAverages!E42/MassFormulaTesting!$B$18,"")*0.68)+0.3</f>
        <v>0.98</v>
      </c>
      <c r="F39" s="1030">
        <f>(IFERROR(TotalAverages!F42/MassFormulaTesting!$B$20,"")*0.68)+0.3</f>
        <v>-0.1528506237</v>
      </c>
      <c r="G39" s="1030">
        <f>(IFERROR(MassFormulaTesting!$C$22/TotalAverages!G42,"")*0.68)+0.3</f>
        <v>2.31875</v>
      </c>
      <c r="H39" s="1030">
        <f>(((TotalAverages!H42+118)/(MassFormulaTesting!$B$24+118))*0.68)+0.3</f>
        <v>0.9641199024</v>
      </c>
      <c r="I39" s="1030">
        <f>(IFERROR(TotalAverages!I42/MassFormulaTesting!$B$26,"")*0.68)+0.3</f>
        <v>0.5523157895</v>
      </c>
      <c r="J39" s="1030">
        <f>((0.98-IFERROR(TotalAverages!J42/MassFormulaTesting!$B$28,"")*0.68))</f>
        <v>0.4485080983</v>
      </c>
      <c r="K39" s="1030">
        <f>(IFERROR(TotalAverages!K42/MassFormulaTesting!$B$30,"")*0.68)+0.3</f>
        <v>0.8662348178</v>
      </c>
      <c r="L39" s="1030">
        <f>(IFERROR(TotalAverages!L42/MassFormulaTesting!$B$32,"")*0.68)+0.3</f>
        <v>0.4817960241</v>
      </c>
      <c r="M39" s="1030">
        <f>(IFERROR(TotalAverages!M42/MassFormulaTesting!$B$34,"")*0.68)+0.3</f>
        <v>0.3366122837</v>
      </c>
      <c r="N39" s="1030">
        <f>(IFERROR(TotalAverages!N42/MassFormulaTesting!$B$36,"")*0.68)+0.3</f>
        <v>0.3</v>
      </c>
      <c r="O39" s="1030">
        <f>(IFERROR(TotalAverages!O42/MassFormulaTesting!$B$38,"")*0.68)+0.3</f>
        <v>0.4610526316</v>
      </c>
      <c r="P39" s="1030">
        <f>(IFERROR(TotalAverages!P42/MassFormulaTesting!$B$40,"")*0.68)+0.3</f>
        <v>0.3</v>
      </c>
      <c r="Q39" s="1030">
        <f>(IFERROR(TotalAverages!T42/MassFormulaTesting!$B$48,"")*0.68)+0.3</f>
        <v>0.3</v>
      </c>
      <c r="R39" s="1030">
        <f>(IFERROR(TotalAverages!U42/MassFormulaTesting!$B$50,"")*0.68)+0.3</f>
        <v>0.7424096386</v>
      </c>
      <c r="S39" s="1030">
        <f>(IFERROR(TotalAverages!V42/MassFormulaTesting!$B$52,"")*0.68)+0.3</f>
        <v>0.6560110803</v>
      </c>
      <c r="T39" s="1030">
        <f>(IFERROR(TotalAverages!W42/MassFormulaTesting!$B$54,"")*0.68)+0.3</f>
        <v>0.7082651072</v>
      </c>
      <c r="U39" s="1030">
        <f>(IFERROR(TotalAverages!X42/MassFormulaTesting!$B$56,"")*0.68)+0.3</f>
        <v>0.4431578947</v>
      </c>
      <c r="V39" s="1030">
        <f>(IFERROR(TotalAverages!Y42/MassFormulaTesting!$B$58,"")*0.68)+0.3</f>
        <v>0.3</v>
      </c>
      <c r="W39" s="1030">
        <f>(IFERROR(TotalAverages!Z42/MassFormulaTesting!$B$60,"")*0.68)+0.3</f>
        <v>0.3</v>
      </c>
      <c r="X39" s="1030">
        <f>(IFERROR(TotalAverages!AD42/MassFormulaTesting!$B$68,"")*0.68)+0.3</f>
        <v>0.3</v>
      </c>
      <c r="Y39" s="1030">
        <f>(IFERROR(TotalAverages!AG42/MassFormulaTesting!$B$74,"")*0.68)+0.3</f>
        <v>0.3</v>
      </c>
      <c r="Z39" s="1030">
        <f>(IFERROR(TotalAverages!AH42/MassFormulaTesting!$B$76,"")*0.68)+0.3</f>
        <v>0.3</v>
      </c>
      <c r="AA39" s="1030">
        <f>(IFERROR(TotalAverages!AJ42/MassFormulaTesting!$B$80,"")*0.68)+0.3</f>
        <v>0.3</v>
      </c>
      <c r="AB39" s="1030">
        <f>(IFERROR(TotalAverages!AK42/MassFormulaTesting!$B$82,"")*0.68)+0.3</f>
        <v>0.3</v>
      </c>
      <c r="AC39" s="1030">
        <f>(IFERROR(TotalAverages!AL42/MassFormulaTesting!$B$84,"")*0.68)+0.3</f>
        <v>0.3</v>
      </c>
      <c r="AD39" s="1030">
        <f>(IFERROR(TotalAverages!AM42/MassFormulaTesting!$B$86,"")*0.68)+0.3</f>
        <v>0.3</v>
      </c>
      <c r="AE39" s="1030">
        <f>(IFERROR(TotalAverages!AN42/MassFormulaTesting!$B$88,"")*0.68)+0.3</f>
        <v>0.3</v>
      </c>
      <c r="AF39" s="1030">
        <f>(IFERROR(TotalAverages!AO42/MassFormulaTesting!$B$90,"")*0.68)+0.3</f>
        <v>0.3</v>
      </c>
      <c r="AG39" s="1030">
        <f>(IFERROR(TotalAverages!AP42/MassFormulaTesting!$B$92,"")*0.68)+0.3</f>
        <v>0.3</v>
      </c>
      <c r="AH39" s="1030">
        <f>(IFERROR(TotalAverages!AQ42/MassFormulaTesting!$B$94,"")*0.68)+0.3</f>
        <v>0.3</v>
      </c>
      <c r="AI39" s="1030">
        <f>(IFERROR(TotalAverages!AR42/MassFormulaTesting!$B$96,"")*0.68)+0.3</f>
        <v>0.3</v>
      </c>
      <c r="AJ39" s="1030">
        <f>(IFERROR(TotalAverages!AS42/MassFormulaTesting!$B$98,"")*0.68)+0.3</f>
        <v>0.3</v>
      </c>
      <c r="AK39" s="1030">
        <f>(IFERROR(TotalAverages!AT42/MassFormulaTesting!$B$100,"")*0.68)+0.3</f>
        <v>0.3</v>
      </c>
      <c r="AL39" s="1030">
        <f>(IFERROR(TotalAverages!AU42/MassFormulaTesting!$B$102,"")*0.68)+0.3</f>
        <v>0.3</v>
      </c>
      <c r="AM39" s="1030">
        <f>(IFERROR(TotalAverages!AV42/MassFormulaTesting!$B$104,"")*0.68)+0.3</f>
        <v>0.3</v>
      </c>
    </row>
    <row r="40">
      <c r="B40" s="1028" t="str">
        <f>MassFormulaTesting!D51</f>
        <v>#DIV/0!</v>
      </c>
      <c r="C40" s="1029">
        <f>MassFormulaTesting!F51</f>
        <v>0.3</v>
      </c>
      <c r="D40" s="1030">
        <f>(IFERROR(TotalAverages!D43/MassFormulaTesting!$B$16,"")*0.68)+0.3</f>
        <v>0.6101351351</v>
      </c>
      <c r="E40" s="1030">
        <f>(IFERROR(TotalAverages!E43/MassFormulaTesting!$B$18,"")*0.68)+0.3</f>
        <v>0.5722346758</v>
      </c>
      <c r="F40" s="1030">
        <f>(IFERROR(TotalAverages!F43/MassFormulaTesting!$B$20,"")*0.68)+0.3</f>
        <v>0.6819267823</v>
      </c>
      <c r="G40" s="1030">
        <f>(IFERROR(MassFormulaTesting!$C$22/TotalAverages!G43,"")*0.68)+0.3</f>
        <v>7.457894737</v>
      </c>
      <c r="H40" s="1030">
        <f>(((TotalAverages!H43+118)/(MassFormulaTesting!$B$24+118))*0.68)+0.3</f>
        <v>0.98</v>
      </c>
      <c r="I40" s="1030">
        <f>(IFERROR(TotalAverages!I43/MassFormulaTesting!$B$26,"")*0.68)+0.3</f>
        <v>0.44875</v>
      </c>
      <c r="J40" s="1030">
        <f>((0.98-IFERROR(TotalAverages!J43/MassFormulaTesting!$B$28,"")*0.68))</f>
        <v>0.4998008573</v>
      </c>
      <c r="K40" s="1030">
        <f>(IFERROR(TotalAverages!K43/MassFormulaTesting!$B$30,"")*0.68)+0.3</f>
        <v>0.7517067308</v>
      </c>
      <c r="L40" s="1030">
        <f>(IFERROR(TotalAverages!L43/MassFormulaTesting!$B$32,"")*0.68)+0.3</f>
        <v>0.7413603473</v>
      </c>
      <c r="M40" s="1030">
        <f>(IFERROR(TotalAverages!M43/MassFormulaTesting!$B$34,"")*0.68)+0.3</f>
        <v>0.6941922543</v>
      </c>
      <c r="N40" s="1030">
        <f>(IFERROR(TotalAverages!N43/MassFormulaTesting!$B$36,"")*0.68)+0.3</f>
        <v>0.3</v>
      </c>
      <c r="O40" s="1030">
        <f>(IFERROR(TotalAverages!O43/MassFormulaTesting!$B$38,"")*0.68)+0.3</f>
        <v>0.725</v>
      </c>
      <c r="P40" s="1030">
        <f>(IFERROR(TotalAverages!P43/MassFormulaTesting!$B$40,"")*0.68)+0.3</f>
        <v>0.878</v>
      </c>
      <c r="Q40" s="1030">
        <f>(IFERROR(TotalAverages!T43/MassFormulaTesting!$B$48,"")*0.68)+0.3</f>
        <v>0.3</v>
      </c>
      <c r="R40" s="1030">
        <f>(IFERROR(TotalAverages!U43/MassFormulaTesting!$B$50,"")*0.68)+0.3</f>
        <v>0.5273493976</v>
      </c>
      <c r="S40" s="1030">
        <f>(IFERROR(TotalAverages!V43/MassFormulaTesting!$B$52,"")*0.68)+0.3</f>
        <v>0.5460526316</v>
      </c>
      <c r="T40" s="1030">
        <f>(IFERROR(TotalAverages!W43/MassFormulaTesting!$B$54,"")*0.68)+0.3</f>
        <v>0.6001234568</v>
      </c>
      <c r="U40" s="1030">
        <f>(IFERROR(TotalAverages!X43/MassFormulaTesting!$B$56,"")*0.68)+0.3</f>
        <v>0.47</v>
      </c>
      <c r="V40" s="1030">
        <f>(IFERROR(TotalAverages!Y43/MassFormulaTesting!$B$58,"")*0.68)+0.3</f>
        <v>0.47</v>
      </c>
      <c r="W40" s="1030">
        <f>(IFERROR(TotalAverages!Z43/MassFormulaTesting!$B$60,"")*0.68)+0.3</f>
        <v>0.5927777778</v>
      </c>
      <c r="X40" s="1030">
        <f>(IFERROR(TotalAverages!AD43/MassFormulaTesting!$B$68,"")*0.68)+0.3</f>
        <v>0.7391666667</v>
      </c>
      <c r="Y40" s="1030">
        <f>(IFERROR(TotalAverages!AG43/MassFormulaTesting!$B$74,"")*0.68)+0.3</f>
        <v>0.3</v>
      </c>
      <c r="Z40" s="1030">
        <f>(IFERROR(TotalAverages!AH43/MassFormulaTesting!$B$76,"")*0.68)+0.3</f>
        <v>0.3</v>
      </c>
      <c r="AA40" s="1030">
        <f>(IFERROR(TotalAverages!AJ43/MassFormulaTesting!$B$80,"")*0.68)+0.3</f>
        <v>0.3</v>
      </c>
      <c r="AB40" s="1030">
        <f>(IFERROR(TotalAverages!AK43/MassFormulaTesting!$B$82,"")*0.68)+0.3</f>
        <v>0.3</v>
      </c>
      <c r="AC40" s="1030">
        <f>(IFERROR(TotalAverages!AL43/MassFormulaTesting!$B$84,"")*0.68)+0.3</f>
        <v>0.3</v>
      </c>
      <c r="AD40" s="1030">
        <f>(IFERROR(TotalAverages!AM43/MassFormulaTesting!$B$86,"")*0.68)+0.3</f>
        <v>0.3</v>
      </c>
      <c r="AE40" s="1030">
        <f>(IFERROR(TotalAverages!AN43/MassFormulaTesting!$B$88,"")*0.68)+0.3</f>
        <v>0.3</v>
      </c>
      <c r="AF40" s="1030">
        <f>(IFERROR(TotalAverages!AO43/MassFormulaTesting!$B$90,"")*0.68)+0.3</f>
        <v>0.3</v>
      </c>
      <c r="AG40" s="1030">
        <f>(IFERROR(TotalAverages!AP43/MassFormulaTesting!$B$92,"")*0.68)+0.3</f>
        <v>0.3</v>
      </c>
      <c r="AH40" s="1030">
        <f>(IFERROR(TotalAverages!AQ43/MassFormulaTesting!$B$94,"")*0.68)+0.3</f>
        <v>0.3</v>
      </c>
      <c r="AI40" s="1030">
        <f>(IFERROR(TotalAverages!AR43/MassFormulaTesting!$B$96,"")*0.68)+0.3</f>
        <v>0.3</v>
      </c>
      <c r="AJ40" s="1030">
        <f>(IFERROR(TotalAverages!AS43/MassFormulaTesting!$B$98,"")*0.68)+0.3</f>
        <v>0.3</v>
      </c>
      <c r="AK40" s="1030">
        <f>(IFERROR(TotalAverages!AT43/MassFormulaTesting!$B$100,"")*0.68)+0.3</f>
        <v>0.3</v>
      </c>
      <c r="AL40" s="1030">
        <f>(IFERROR(TotalAverages!AU43/MassFormulaTesting!$B$102,"")*0.68)+0.3</f>
        <v>0.3</v>
      </c>
      <c r="AM40" s="1030">
        <f>(IFERROR(TotalAverages!AV43/MassFormulaTesting!$B$104,"")*0.68)+0.3</f>
        <v>0.3</v>
      </c>
    </row>
    <row r="41">
      <c r="B41" s="1028" t="str">
        <f>MassFormulaTesting!D52</f>
        <v>#DIV/0!</v>
      </c>
      <c r="C41" s="1029">
        <f>MassFormulaTesting!F52</f>
        <v>0.3</v>
      </c>
      <c r="D41" s="1030">
        <f>(IFERROR(TotalAverages!D44/MassFormulaTesting!$B$16,"")*0.68)+0.3</f>
        <v>0.3</v>
      </c>
      <c r="E41" s="1030">
        <f>(IFERROR(TotalAverages!E44/MassFormulaTesting!$B$18,"")*0.68)+0.3</f>
        <v>0.3</v>
      </c>
      <c r="F41" s="1030">
        <f>(IFERROR(TotalAverages!F44/MassFormulaTesting!$B$20,"")*0.68)+0.3</f>
        <v>0.3</v>
      </c>
      <c r="G41" s="1030">
        <f>(IFERROR(MassFormulaTesting!$C$22/TotalAverages!G44,"")*0.68)+0.3</f>
        <v>0.3</v>
      </c>
      <c r="H41" s="1030">
        <f>(((TotalAverages!H44+118)/(MassFormulaTesting!$B$24+118))*0.68)+0.3</f>
        <v>0.9376688742</v>
      </c>
      <c r="I41" s="1030">
        <f>(IFERROR(TotalAverages!I44/MassFormulaTesting!$B$26,"")*0.68)+0.3</f>
        <v>0.3</v>
      </c>
      <c r="J41" s="1030">
        <f>((0.98-IFERROR(TotalAverages!J44/MassFormulaTesting!$B$28,"")*0.68))</f>
        <v>0.98</v>
      </c>
      <c r="K41" s="1030">
        <f>(IFERROR(TotalAverages!K44/MassFormulaTesting!$B$30,"")*0.68)+0.3</f>
        <v>0.3</v>
      </c>
      <c r="L41" s="1030">
        <f>(IFERROR(TotalAverages!L44/MassFormulaTesting!$B$32,"")*0.68)+0.3</f>
        <v>0.3</v>
      </c>
      <c r="M41" s="1030">
        <f>(IFERROR(TotalAverages!M44/MassFormulaTesting!$B$34,"")*0.68)+0.3</f>
        <v>0.3</v>
      </c>
      <c r="N41" s="1030">
        <f>(IFERROR(TotalAverages!N44/MassFormulaTesting!$B$36,"")*0.68)+0.3</f>
        <v>0.3</v>
      </c>
      <c r="O41" s="1030">
        <f>(IFERROR(TotalAverages!O44/MassFormulaTesting!$B$38,"")*0.68)+0.3</f>
        <v>0.3</v>
      </c>
      <c r="P41" s="1030">
        <f>(IFERROR(TotalAverages!P44/MassFormulaTesting!$B$40,"")*0.68)+0.3</f>
        <v>0.3</v>
      </c>
      <c r="Q41" s="1030">
        <f>(IFERROR(TotalAverages!T44/MassFormulaTesting!$B$48,"")*0.68)+0.3</f>
        <v>0.3</v>
      </c>
      <c r="R41" s="1030">
        <f>(IFERROR(TotalAverages!U44/MassFormulaTesting!$B$50,"")*0.68)+0.3</f>
        <v>0.3</v>
      </c>
      <c r="S41" s="1030">
        <f>(IFERROR(TotalAverages!V44/MassFormulaTesting!$B$52,"")*0.68)+0.3</f>
        <v>0.3</v>
      </c>
      <c r="T41" s="1030">
        <f>(IFERROR(TotalAverages!W44/MassFormulaTesting!$B$54,"")*0.68)+0.3</f>
        <v>0.3</v>
      </c>
      <c r="U41" s="1030">
        <f>(IFERROR(TotalAverages!X44/MassFormulaTesting!$B$56,"")*0.68)+0.3</f>
        <v>0.3</v>
      </c>
      <c r="V41" s="1030">
        <f>(IFERROR(TotalAverages!Y44/MassFormulaTesting!$B$58,"")*0.68)+0.3</f>
        <v>0.3</v>
      </c>
      <c r="W41" s="1030">
        <f>(IFERROR(TotalAverages!Z44/MassFormulaTesting!$B$60,"")*0.68)+0.3</f>
        <v>0.3</v>
      </c>
      <c r="X41" s="1030">
        <f>(IFERROR(TotalAverages!AD44/MassFormulaTesting!$B$68,"")*0.68)+0.3</f>
        <v>0.3</v>
      </c>
      <c r="Y41" s="1030">
        <f>(IFERROR(TotalAverages!AG44/MassFormulaTesting!$B$74,"")*0.68)+0.3</f>
        <v>0.3</v>
      </c>
      <c r="Z41" s="1030">
        <f>(IFERROR(TotalAverages!AH44/MassFormulaTesting!$B$76,"")*0.68)+0.3</f>
        <v>0.3</v>
      </c>
      <c r="AA41" s="1030">
        <f>(IFERROR(TotalAverages!AJ44/MassFormulaTesting!$B$80,"")*0.68)+0.3</f>
        <v>0.3</v>
      </c>
      <c r="AB41" s="1030">
        <f>(IFERROR(TotalAverages!AK44/MassFormulaTesting!$B$82,"")*0.68)+0.3</f>
        <v>0.3</v>
      </c>
      <c r="AC41" s="1030">
        <f>(IFERROR(TotalAverages!AL44/MassFormulaTesting!$B$84,"")*0.68)+0.3</f>
        <v>0.3</v>
      </c>
      <c r="AD41" s="1030">
        <f>(IFERROR(TotalAverages!AM44/MassFormulaTesting!$B$86,"")*0.68)+0.3</f>
        <v>0.3</v>
      </c>
      <c r="AE41" s="1030">
        <f>(IFERROR(TotalAverages!AN44/MassFormulaTesting!$B$88,"")*0.68)+0.3</f>
        <v>0.3</v>
      </c>
      <c r="AF41" s="1030">
        <f>(IFERROR(TotalAverages!AO44/MassFormulaTesting!$B$90,"")*0.68)+0.3</f>
        <v>0.3</v>
      </c>
      <c r="AG41" s="1030">
        <f>(IFERROR(TotalAverages!AP44/MassFormulaTesting!$B$92,"")*0.68)+0.3</f>
        <v>0.3</v>
      </c>
      <c r="AH41" s="1030">
        <f>(IFERROR(TotalAverages!AQ44/MassFormulaTesting!$B$94,"")*0.68)+0.3</f>
        <v>0.3</v>
      </c>
      <c r="AI41" s="1030">
        <f>(IFERROR(TotalAverages!AR44/MassFormulaTesting!$B$96,"")*0.68)+0.3</f>
        <v>0.3</v>
      </c>
      <c r="AJ41" s="1030">
        <f>(IFERROR(TotalAverages!AS44/MassFormulaTesting!$B$98,"")*0.68)+0.3</f>
        <v>0.3</v>
      </c>
      <c r="AK41" s="1030">
        <f>(IFERROR(TotalAverages!AT44/MassFormulaTesting!$B$100,"")*0.68)+0.3</f>
        <v>0.3</v>
      </c>
      <c r="AL41" s="1030">
        <f>(IFERROR(TotalAverages!AU44/MassFormulaTesting!$B$102,"")*0.68)+0.3</f>
        <v>0.3</v>
      </c>
      <c r="AM41" s="1030">
        <f>(IFERROR(TotalAverages!AV44/MassFormulaTesting!$B$104,"")*0.68)+0.3</f>
        <v>0.3</v>
      </c>
    </row>
    <row r="42">
      <c r="B42" s="1028" t="str">
        <f>MassFormulaTesting!D53</f>
        <v>#DIV/0!</v>
      </c>
      <c r="C42" s="1029">
        <f>MassFormulaTesting!F53</f>
        <v>0.3</v>
      </c>
      <c r="D42" s="1030">
        <f>(IFERROR(TotalAverages!D45/MassFormulaTesting!$B$16,"")*0.68)+0.3</f>
        <v>0.3</v>
      </c>
      <c r="E42" s="1030">
        <f>(IFERROR(TotalAverages!E45/MassFormulaTesting!$B$18,"")*0.68)+0.3</f>
        <v>0.3</v>
      </c>
      <c r="F42" s="1030">
        <f>(IFERROR(TotalAverages!F45/MassFormulaTesting!$B$20,"")*0.68)+0.3</f>
        <v>0.3</v>
      </c>
      <c r="G42" s="1030">
        <f>(IFERROR(MassFormulaTesting!$C$22/TotalAverages!G45,"")*0.68)+0.3</f>
        <v>0.3</v>
      </c>
      <c r="H42" s="1030">
        <f>(((TotalAverages!H45+118)/(MassFormulaTesting!$B$24+118))*0.68)+0.3</f>
        <v>0.9376688742</v>
      </c>
      <c r="I42" s="1030">
        <f>(IFERROR(TotalAverages!I45/MassFormulaTesting!$B$26,"")*0.68)+0.3</f>
        <v>0.3</v>
      </c>
      <c r="J42" s="1030">
        <f>((0.98-IFERROR(TotalAverages!J45/MassFormulaTesting!$B$28,"")*0.68))</f>
        <v>0.98</v>
      </c>
      <c r="K42" s="1030">
        <f>(IFERROR(TotalAverages!K45/MassFormulaTesting!$B$30,"")*0.68)+0.3</f>
        <v>0.3</v>
      </c>
      <c r="L42" s="1030">
        <f>(IFERROR(TotalAverages!L45/MassFormulaTesting!$B$32,"")*0.68)+0.3</f>
        <v>0.3</v>
      </c>
      <c r="M42" s="1030">
        <f>(IFERROR(TotalAverages!M45/MassFormulaTesting!$B$34,"")*0.68)+0.3</f>
        <v>0.3</v>
      </c>
      <c r="N42" s="1030">
        <f>(IFERROR(TotalAverages!N45/MassFormulaTesting!$B$36,"")*0.68)+0.3</f>
        <v>0.3</v>
      </c>
      <c r="O42" s="1030">
        <f>(IFERROR(TotalAverages!O45/MassFormulaTesting!$B$38,"")*0.68)+0.3</f>
        <v>0.3</v>
      </c>
      <c r="P42" s="1030">
        <f>(IFERROR(TotalAverages!P45/MassFormulaTesting!$B$40,"")*0.68)+0.3</f>
        <v>0.3</v>
      </c>
      <c r="Q42" s="1030">
        <f>(IFERROR(TotalAverages!T45/MassFormulaTesting!$B$48,"")*0.68)+0.3</f>
        <v>0.3</v>
      </c>
      <c r="R42" s="1030">
        <f>(IFERROR(TotalAverages!U45/MassFormulaTesting!$B$50,"")*0.68)+0.3</f>
        <v>0.3</v>
      </c>
      <c r="S42" s="1030">
        <f>(IFERROR(TotalAverages!V45/MassFormulaTesting!$B$52,"")*0.68)+0.3</f>
        <v>0.3</v>
      </c>
      <c r="T42" s="1030">
        <f>(IFERROR(TotalAverages!W45/MassFormulaTesting!$B$54,"")*0.68)+0.3</f>
        <v>0.3</v>
      </c>
      <c r="U42" s="1030">
        <f>(IFERROR(TotalAverages!X45/MassFormulaTesting!$B$56,"")*0.68)+0.3</f>
        <v>0.3</v>
      </c>
      <c r="V42" s="1030">
        <f>(IFERROR(TotalAverages!Y45/MassFormulaTesting!$B$58,"")*0.68)+0.3</f>
        <v>0.3</v>
      </c>
      <c r="W42" s="1030">
        <f>(IFERROR(TotalAverages!Z45/MassFormulaTesting!$B$60,"")*0.68)+0.3</f>
        <v>0.3</v>
      </c>
      <c r="X42" s="1030">
        <f>(IFERROR(TotalAverages!AD45/MassFormulaTesting!$B$68,"")*0.68)+0.3</f>
        <v>0.3</v>
      </c>
      <c r="Y42" s="1030">
        <f>(IFERROR(TotalAverages!AG45/MassFormulaTesting!$B$74,"")*0.68)+0.3</f>
        <v>0.3</v>
      </c>
      <c r="Z42" s="1030">
        <f>(IFERROR(TotalAverages!AH45/MassFormulaTesting!$B$76,"")*0.68)+0.3</f>
        <v>0.3</v>
      </c>
      <c r="AA42" s="1030">
        <f>(IFERROR(TotalAverages!AJ45/MassFormulaTesting!$B$80,"")*0.68)+0.3</f>
        <v>0.3</v>
      </c>
      <c r="AB42" s="1030">
        <f>(IFERROR(TotalAverages!AK45/MassFormulaTesting!$B$82,"")*0.68)+0.3</f>
        <v>0.3</v>
      </c>
      <c r="AC42" s="1030">
        <f>(IFERROR(TotalAverages!AL45/MassFormulaTesting!$B$84,"")*0.68)+0.3</f>
        <v>0.3</v>
      </c>
      <c r="AD42" s="1030">
        <f>(IFERROR(TotalAverages!AM45/MassFormulaTesting!$B$86,"")*0.68)+0.3</f>
        <v>0.3</v>
      </c>
      <c r="AE42" s="1030">
        <f>(IFERROR(TotalAverages!AN45/MassFormulaTesting!$B$88,"")*0.68)+0.3</f>
        <v>0.3</v>
      </c>
      <c r="AF42" s="1030">
        <f>(IFERROR(TotalAverages!AO45/MassFormulaTesting!$B$90,"")*0.68)+0.3</f>
        <v>0.3</v>
      </c>
      <c r="AG42" s="1030">
        <f>(IFERROR(TotalAverages!AP45/MassFormulaTesting!$B$92,"")*0.68)+0.3</f>
        <v>0.3</v>
      </c>
      <c r="AH42" s="1030">
        <f>(IFERROR(TotalAverages!AQ45/MassFormulaTesting!$B$94,"")*0.68)+0.3</f>
        <v>0.3</v>
      </c>
      <c r="AI42" s="1030">
        <f>(IFERROR(TotalAverages!AR45/MassFormulaTesting!$B$96,"")*0.68)+0.3</f>
        <v>0.3</v>
      </c>
      <c r="AJ42" s="1030">
        <f>(IFERROR(TotalAverages!AS45/MassFormulaTesting!$B$98,"")*0.68)+0.3</f>
        <v>0.3</v>
      </c>
      <c r="AK42" s="1030">
        <f>(IFERROR(TotalAverages!AT45/MassFormulaTesting!$B$100,"")*0.68)+0.3</f>
        <v>0.3</v>
      </c>
      <c r="AL42" s="1030">
        <f>(IFERROR(TotalAverages!AU45/MassFormulaTesting!$B$102,"")*0.68)+0.3</f>
        <v>0.3</v>
      </c>
      <c r="AM42" s="1030">
        <f>(IFERROR(TotalAverages!AV45/MassFormulaTesting!$B$104,"")*0.68)+0.3</f>
        <v>0.3</v>
      </c>
    </row>
    <row r="43">
      <c r="A43" s="663" t="str">
        <f>TotalAverages!A46</f>
        <v/>
      </c>
      <c r="B43" s="1031" t="str">
        <f>MassFormulaTesting!D54</f>
        <v>#DIV/0!</v>
      </c>
      <c r="C43" s="1032">
        <f>MassFormulaTesting!F54</f>
        <v>0.3</v>
      </c>
      <c r="D43" s="13">
        <f>(IFERROR(TotalAverages!D46/MassFormulaTesting!$B$16,"")*0.68)+0.3</f>
        <v>0.3</v>
      </c>
      <c r="E43" s="13">
        <f>(IFERROR(TotalAverages!E46/MassFormulaTesting!$B$18,"")*0.68)+0.3</f>
        <v>0.3</v>
      </c>
      <c r="F43" s="13">
        <f>(IFERROR(TotalAverages!F46/MassFormulaTesting!$B$20,"")*0.68)+0.3</f>
        <v>0.3</v>
      </c>
      <c r="G43" s="13">
        <f>(IFERROR(MassFormulaTesting!$C$22/TotalAverages!G46,"")*0.68)+0.3</f>
        <v>0.3</v>
      </c>
      <c r="H43" s="13">
        <f>(((TotalAverages!H46+118)/(MassFormulaTesting!$B$24+118))*0.68)+0.3</f>
        <v>0.9376688742</v>
      </c>
      <c r="I43" s="13">
        <f>(IFERROR(TotalAverages!I46/MassFormulaTesting!$B$26,"")*0.68)+0.3</f>
        <v>0.3</v>
      </c>
      <c r="J43" s="13">
        <f>((0.98-IFERROR(TotalAverages!J46/MassFormulaTesting!$B$28,"")*0.68))</f>
        <v>0.98</v>
      </c>
      <c r="K43" s="13">
        <f>(IFERROR(TotalAverages!K46/MassFormulaTesting!$B$30,"")*0.68)+0.3</f>
        <v>0.3</v>
      </c>
      <c r="L43" s="13">
        <f>(IFERROR(TotalAverages!L46/MassFormulaTesting!$B$32,"")*0.68)+0.3</f>
        <v>0.3</v>
      </c>
      <c r="M43" s="13">
        <f>(IFERROR(TotalAverages!M46/MassFormulaTesting!$B$34,"")*0.68)+0.3</f>
        <v>0.3</v>
      </c>
      <c r="N43" s="13">
        <f>(IFERROR(TotalAverages!N46/MassFormulaTesting!$B$36,"")*0.68)+0.3</f>
        <v>0.3</v>
      </c>
      <c r="O43" s="13">
        <f>(IFERROR(TotalAverages!O46/MassFormulaTesting!$B$38,"")*0.68)+0.3</f>
        <v>0.3</v>
      </c>
      <c r="P43" s="13">
        <f>(IFERROR(TotalAverages!P46/MassFormulaTesting!$B$40,"")*0.68)+0.3</f>
        <v>0.3</v>
      </c>
      <c r="Q43" s="13">
        <f>(IFERROR(TotalAverages!T46/MassFormulaTesting!$B$48,"")*0.68)+0.3</f>
        <v>0.3</v>
      </c>
      <c r="R43" s="13">
        <f>(IFERROR(TotalAverages!U46/MassFormulaTesting!$B$50,"")*0.68)+0.3</f>
        <v>0.3</v>
      </c>
      <c r="S43" s="13">
        <f>(IFERROR(TotalAverages!V46/MassFormulaTesting!$B$52,"")*0.68)+0.3</f>
        <v>0.3</v>
      </c>
      <c r="T43" s="13">
        <f>(IFERROR(TotalAverages!W46/MassFormulaTesting!$B$54,"")*0.68)+0.3</f>
        <v>0.3</v>
      </c>
      <c r="U43" s="13">
        <f>(IFERROR(TotalAverages!X46/MassFormulaTesting!$B$56,"")*0.68)+0.3</f>
        <v>0.3</v>
      </c>
      <c r="V43" s="13">
        <f>(IFERROR(TotalAverages!Y46/MassFormulaTesting!$B$58,"")*0.68)+0.3</f>
        <v>0.3</v>
      </c>
      <c r="W43" s="13">
        <f>(IFERROR(TotalAverages!Z46/MassFormulaTesting!$B$60,"")*0.68)+0.3</f>
        <v>0.3</v>
      </c>
      <c r="X43" s="13">
        <f>(IFERROR(TotalAverages!AD46/MassFormulaTesting!$B$68,"")*0.68)+0.3</f>
        <v>0.3</v>
      </c>
      <c r="Y43" s="13">
        <f>(IFERROR(TotalAverages!AG46/MassFormulaTesting!$B$74,"")*0.68)+0.3</f>
        <v>0.3</v>
      </c>
      <c r="Z43" s="13">
        <f>(IFERROR(TotalAverages!AH46/MassFormulaTesting!$B$76,"")*0.68)+0.3</f>
        <v>0.3</v>
      </c>
      <c r="AA43" s="13">
        <f>(IFERROR(TotalAverages!AJ46/MassFormulaTesting!$B$80,"")*0.68)+0.3</f>
        <v>0.3</v>
      </c>
      <c r="AB43" s="13">
        <f>(IFERROR(TotalAverages!AK46/MassFormulaTesting!$B$82,"")*0.68)+0.3</f>
        <v>0.3</v>
      </c>
      <c r="AC43" s="13">
        <f>(IFERROR(TotalAverages!AL46/MassFormulaTesting!$B$84,"")*0.68)+0.3</f>
        <v>0.3</v>
      </c>
      <c r="AD43" s="13">
        <f>(IFERROR(TotalAverages!AM46/MassFormulaTesting!$B$86,"")*0.68)+0.3</f>
        <v>0.3</v>
      </c>
      <c r="AE43" s="13">
        <f>(IFERROR(TotalAverages!AN46/MassFormulaTesting!$B$88,"")*0.68)+0.3</f>
        <v>0.3</v>
      </c>
      <c r="AF43" s="13">
        <f>(IFERROR(TotalAverages!AO46/MassFormulaTesting!$B$90,"")*0.68)+0.3</f>
        <v>0.3</v>
      </c>
      <c r="AG43" s="13">
        <f>(IFERROR(TotalAverages!AP46/MassFormulaTesting!$B$92,"")*0.68)+0.3</f>
        <v>0.3</v>
      </c>
      <c r="AH43" s="13">
        <f>(IFERROR(TotalAverages!AQ46/MassFormulaTesting!$B$94,"")*0.68)+0.3</f>
        <v>0.3</v>
      </c>
      <c r="AI43" s="13">
        <f>(IFERROR(TotalAverages!AR46/MassFormulaTesting!$B$96,"")*0.68)+0.3</f>
        <v>0.3</v>
      </c>
      <c r="AJ43" s="13">
        <f>(IFERROR(TotalAverages!AS46/MassFormulaTesting!$B$98,"")*0.68)+0.3</f>
        <v>0.3</v>
      </c>
      <c r="AK43" s="13">
        <f>(IFERROR(TotalAverages!AT46/MassFormulaTesting!$B$100,"")*0.68)+0.3</f>
        <v>0.3</v>
      </c>
      <c r="AL43" s="13">
        <f>(IFERROR(TotalAverages!AU46/MassFormulaTesting!$B$102,"")*0.68)+0.3</f>
        <v>0.3</v>
      </c>
      <c r="AM43" s="13">
        <f>(IFERROR(TotalAverages!AV46/MassFormulaTesting!$B$104,"")*0.68)+0.3</f>
        <v>0.3</v>
      </c>
    </row>
    <row r="44">
      <c r="A44" s="663" t="str">
        <f>TotalAverages!A47</f>
        <v/>
      </c>
      <c r="B44" s="1031" t="str">
        <f>MassFormulaTesting!D55</f>
        <v>#DIV/0!</v>
      </c>
      <c r="C44" s="1032">
        <f>MassFormulaTesting!F55</f>
        <v>0.3</v>
      </c>
      <c r="D44" s="13">
        <f>(IFERROR(TotalAverages!D47/MassFormulaTesting!$B$16,"")*0.68)+0.3</f>
        <v>0.3</v>
      </c>
      <c r="E44" s="13">
        <f>(IFERROR(TotalAverages!E47/MassFormulaTesting!$B$18,"")*0.68)+0.3</f>
        <v>0.3</v>
      </c>
      <c r="F44" s="13">
        <f>(IFERROR(TotalAverages!F47/MassFormulaTesting!$B$20,"")*0.68)+0.3</f>
        <v>0.3</v>
      </c>
      <c r="G44" s="13">
        <f>(IFERROR(MassFormulaTesting!$C$22/TotalAverages!G47,"")*0.68)+0.3</f>
        <v>0.3</v>
      </c>
      <c r="H44" s="13">
        <f>(((TotalAverages!H47+118)/(MassFormulaTesting!$B$24+118))*0.68)+0.3</f>
        <v>0.9376688742</v>
      </c>
      <c r="I44" s="13">
        <f>(IFERROR(TotalAverages!I47/MassFormulaTesting!$B$26,"")*0.68)+0.3</f>
        <v>0.3</v>
      </c>
      <c r="J44" s="13">
        <f>((0.98-IFERROR(TotalAverages!J47/MassFormulaTesting!$B$28,"")*0.68))</f>
        <v>0.98</v>
      </c>
      <c r="K44" s="13">
        <f>(IFERROR(TotalAverages!K47/MassFormulaTesting!$B$30,"")*0.68)+0.3</f>
        <v>0.3</v>
      </c>
      <c r="L44" s="13">
        <f>(IFERROR(TotalAverages!L47/MassFormulaTesting!$B$32,"")*0.68)+0.3</f>
        <v>0.3</v>
      </c>
      <c r="M44" s="13">
        <f>(IFERROR(TotalAverages!M47/MassFormulaTesting!$B$34,"")*0.68)+0.3</f>
        <v>0.3</v>
      </c>
      <c r="N44" s="13">
        <f>(IFERROR(TotalAverages!N47/MassFormulaTesting!$B$36,"")*0.68)+0.3</f>
        <v>0.3</v>
      </c>
      <c r="O44" s="13">
        <f>(IFERROR(TotalAverages!O47/MassFormulaTesting!$B$38,"")*0.68)+0.3</f>
        <v>0.3</v>
      </c>
      <c r="P44" s="13">
        <f>(IFERROR(TotalAverages!P47/MassFormulaTesting!$B$40,"")*0.68)+0.3</f>
        <v>0.3</v>
      </c>
      <c r="Q44" s="13">
        <f>(IFERROR(TotalAverages!T47/MassFormulaTesting!$B$48,"")*0.68)+0.3</f>
        <v>0.3</v>
      </c>
      <c r="R44" s="13">
        <f>(IFERROR(TotalAverages!U47/MassFormulaTesting!$B$50,"")*0.68)+0.3</f>
        <v>0.3</v>
      </c>
      <c r="S44" s="13">
        <f>(IFERROR(TotalAverages!V47/MassFormulaTesting!$B$52,"")*0.68)+0.3</f>
        <v>0.3</v>
      </c>
      <c r="T44" s="13">
        <f>(IFERROR(TotalAverages!W47/MassFormulaTesting!$B$54,"")*0.68)+0.3</f>
        <v>0.3</v>
      </c>
      <c r="U44" s="13">
        <f>(IFERROR(TotalAverages!X47/MassFormulaTesting!$B$56,"")*0.68)+0.3</f>
        <v>0.3</v>
      </c>
      <c r="V44" s="13">
        <f>(IFERROR(TotalAverages!Y47/MassFormulaTesting!$B$58,"")*0.68)+0.3</f>
        <v>0.3</v>
      </c>
      <c r="W44" s="13">
        <f>(IFERROR(TotalAverages!Z47/MassFormulaTesting!$B$60,"")*0.68)+0.3</f>
        <v>0.3</v>
      </c>
      <c r="X44" s="13">
        <f>(IFERROR(TotalAverages!AD47/MassFormulaTesting!$B$68,"")*0.68)+0.3</f>
        <v>0.3</v>
      </c>
      <c r="Y44" s="13">
        <f>(IFERROR(TotalAverages!AG47/MassFormulaTesting!$B$74,"")*0.68)+0.3</f>
        <v>0.3</v>
      </c>
      <c r="Z44" s="13">
        <f>(IFERROR(TotalAverages!AH47/MassFormulaTesting!$B$76,"")*0.68)+0.3</f>
        <v>0.3</v>
      </c>
      <c r="AA44" s="13">
        <f>(IFERROR(TotalAverages!AJ47/MassFormulaTesting!$B$80,"")*0.68)+0.3</f>
        <v>0.3</v>
      </c>
      <c r="AB44" s="13">
        <f>(IFERROR(TotalAverages!AK47/MassFormulaTesting!$B$82,"")*0.68)+0.3</f>
        <v>0.3</v>
      </c>
      <c r="AC44" s="13">
        <f>(IFERROR(TotalAverages!AL47/MassFormulaTesting!$B$84,"")*0.68)+0.3</f>
        <v>0.3</v>
      </c>
      <c r="AD44" s="13">
        <f>(IFERROR(TotalAverages!AM47/MassFormulaTesting!$B$86,"")*0.68)+0.3</f>
        <v>0.3</v>
      </c>
      <c r="AE44" s="13">
        <f>(IFERROR(TotalAverages!AN47/MassFormulaTesting!$B$88,"")*0.68)+0.3</f>
        <v>0.3</v>
      </c>
      <c r="AF44" s="13">
        <f>(IFERROR(TotalAverages!AO47/MassFormulaTesting!$B$90,"")*0.68)+0.3</f>
        <v>0.3</v>
      </c>
      <c r="AG44" s="13">
        <f>(IFERROR(TotalAverages!AP47/MassFormulaTesting!$B$92,"")*0.68)+0.3</f>
        <v>0.3</v>
      </c>
      <c r="AH44" s="13">
        <f>(IFERROR(TotalAverages!AQ47/MassFormulaTesting!$B$94,"")*0.68)+0.3</f>
        <v>0.3</v>
      </c>
      <c r="AI44" s="13">
        <f>(IFERROR(TotalAverages!AR47/MassFormulaTesting!$B$96,"")*0.68)+0.3</f>
        <v>0.3</v>
      </c>
      <c r="AJ44" s="13">
        <f>(IFERROR(TotalAverages!AS47/MassFormulaTesting!$B$98,"")*0.68)+0.3</f>
        <v>0.3</v>
      </c>
      <c r="AK44" s="13">
        <f>(IFERROR(TotalAverages!AT47/MassFormulaTesting!$B$100,"")*0.68)+0.3</f>
        <v>0.3</v>
      </c>
      <c r="AL44" s="13">
        <f>(IFERROR(TotalAverages!AU47/MassFormulaTesting!$B$102,"")*0.68)+0.3</f>
        <v>0.3</v>
      </c>
      <c r="AM44" s="13">
        <f>(IFERROR(TotalAverages!AV47/MassFormulaTesting!$B$104,"")*0.68)+0.3</f>
        <v>0.3</v>
      </c>
    </row>
    <row r="45">
      <c r="A45" s="663" t="str">
        <f>TotalAverages!A48</f>
        <v/>
      </c>
      <c r="B45" s="1031" t="str">
        <f>MassFormulaTesting!D56</f>
        <v>#DIV/0!</v>
      </c>
      <c r="C45" s="1032">
        <f>MassFormulaTesting!F56</f>
        <v>0.3</v>
      </c>
      <c r="D45" s="13">
        <f>(IFERROR(TotalAverages!D48/MassFormulaTesting!$B$16,"")*0.68)+0.3</f>
        <v>0.3</v>
      </c>
      <c r="E45" s="13">
        <f>(IFERROR(TotalAverages!E48/MassFormulaTesting!$B$18,"")*0.68)+0.3</f>
        <v>0.3</v>
      </c>
      <c r="F45" s="13">
        <f>(IFERROR(TotalAverages!F48/MassFormulaTesting!$B$20,"")*0.68)+0.3</f>
        <v>0.3</v>
      </c>
      <c r="G45" s="13">
        <f>(IFERROR(MassFormulaTesting!$C$22/TotalAverages!G48,"")*0.68)+0.3</f>
        <v>0.3</v>
      </c>
      <c r="H45" s="13">
        <f>(((TotalAverages!H48+118)/(MassFormulaTesting!$B$24+118))*0.68)+0.3</f>
        <v>0.9376688742</v>
      </c>
      <c r="I45" s="13">
        <f>(IFERROR(TotalAverages!I48/MassFormulaTesting!$B$26,"")*0.68)+0.3</f>
        <v>0.3</v>
      </c>
      <c r="J45" s="13">
        <f>((0.98-IFERROR(TotalAverages!J48/MassFormulaTesting!$B$28,"")*0.68))</f>
        <v>0.98</v>
      </c>
      <c r="K45" s="13">
        <f>(IFERROR(TotalAverages!K48/MassFormulaTesting!$B$30,"")*0.68)+0.3</f>
        <v>0.3</v>
      </c>
      <c r="L45" s="13">
        <f>(IFERROR(TotalAverages!L48/MassFormulaTesting!$B$32,"")*0.68)+0.3</f>
        <v>0.3</v>
      </c>
      <c r="M45" s="13">
        <f>(IFERROR(TotalAverages!M48/MassFormulaTesting!$B$34,"")*0.68)+0.3</f>
        <v>0.3</v>
      </c>
      <c r="N45" s="13">
        <f>(IFERROR(TotalAverages!N48/MassFormulaTesting!$B$36,"")*0.68)+0.3</f>
        <v>0.3</v>
      </c>
      <c r="O45" s="13">
        <f>(IFERROR(TotalAverages!O48/MassFormulaTesting!$B$38,"")*0.68)+0.3</f>
        <v>0.3</v>
      </c>
      <c r="P45" s="13">
        <f>(IFERROR(TotalAverages!P48/MassFormulaTesting!$B$40,"")*0.68)+0.3</f>
        <v>0.3</v>
      </c>
      <c r="Q45" s="13">
        <f>(IFERROR(TotalAverages!T48/MassFormulaTesting!$B$48,"")*0.68)+0.3</f>
        <v>0.3</v>
      </c>
      <c r="R45" s="13">
        <f>(IFERROR(TotalAverages!U48/MassFormulaTesting!$B$50,"")*0.68)+0.3</f>
        <v>0.3</v>
      </c>
      <c r="S45" s="13">
        <f>(IFERROR(TotalAverages!V48/MassFormulaTesting!$B$52,"")*0.68)+0.3</f>
        <v>0.3</v>
      </c>
      <c r="T45" s="13">
        <f>(IFERROR(TotalAverages!W48/MassFormulaTesting!$B$54,"")*0.68)+0.3</f>
        <v>0.3</v>
      </c>
      <c r="U45" s="13">
        <f>(IFERROR(TotalAverages!X48/MassFormulaTesting!$B$56,"")*0.68)+0.3</f>
        <v>0.3</v>
      </c>
      <c r="V45" s="13">
        <f>(IFERROR(TotalAverages!Y48/MassFormulaTesting!$B$58,"")*0.68)+0.3</f>
        <v>0.3</v>
      </c>
      <c r="W45" s="13">
        <f>(IFERROR(TotalAverages!Z48/MassFormulaTesting!$B$60,"")*0.68)+0.3</f>
        <v>0.3</v>
      </c>
      <c r="X45" s="13">
        <f>(IFERROR(TotalAverages!AD48/MassFormulaTesting!$B$68,"")*0.68)+0.3</f>
        <v>0.3</v>
      </c>
      <c r="Y45" s="13">
        <f>(IFERROR(TotalAverages!AG48/MassFormulaTesting!$B$74,"")*0.68)+0.3</f>
        <v>0.3</v>
      </c>
      <c r="Z45" s="13">
        <f>(IFERROR(TotalAverages!AH48/MassFormulaTesting!$B$76,"")*0.68)+0.3</f>
        <v>0.3</v>
      </c>
      <c r="AA45" s="13">
        <f>(IFERROR(TotalAverages!AJ48/MassFormulaTesting!$B$80,"")*0.68)+0.3</f>
        <v>0.3</v>
      </c>
      <c r="AB45" s="13">
        <f>(IFERROR(TotalAverages!AK48/MassFormulaTesting!$B$82,"")*0.68)+0.3</f>
        <v>0.3</v>
      </c>
      <c r="AC45" s="13">
        <f>(IFERROR(TotalAverages!AL48/MassFormulaTesting!$B$84,"")*0.68)+0.3</f>
        <v>0.3</v>
      </c>
      <c r="AD45" s="13">
        <f>(IFERROR(TotalAverages!AM48/MassFormulaTesting!$B$86,"")*0.68)+0.3</f>
        <v>0.3</v>
      </c>
      <c r="AE45" s="13">
        <f>(IFERROR(TotalAverages!AN48/MassFormulaTesting!$B$88,"")*0.68)+0.3</f>
        <v>0.3</v>
      </c>
      <c r="AF45" s="13">
        <f>(IFERROR(TotalAverages!AO48/MassFormulaTesting!$B$90,"")*0.68)+0.3</f>
        <v>0.3</v>
      </c>
      <c r="AG45" s="13">
        <f>(IFERROR(TotalAverages!AP48/MassFormulaTesting!$B$92,"")*0.68)+0.3</f>
        <v>0.3</v>
      </c>
      <c r="AH45" s="13">
        <f>(IFERROR(TotalAverages!AQ48/MassFormulaTesting!$B$94,"")*0.68)+0.3</f>
        <v>0.3</v>
      </c>
      <c r="AI45" s="13">
        <f>(IFERROR(TotalAverages!AR48/MassFormulaTesting!$B$96,"")*0.68)+0.3</f>
        <v>0.3</v>
      </c>
      <c r="AJ45" s="13">
        <f>(IFERROR(TotalAverages!AS48/MassFormulaTesting!$B$98,"")*0.68)+0.3</f>
        <v>0.3</v>
      </c>
      <c r="AK45" s="13">
        <f>(IFERROR(TotalAverages!AT48/MassFormulaTesting!$B$100,"")*0.68)+0.3</f>
        <v>0.3</v>
      </c>
      <c r="AL45" s="13">
        <f>(IFERROR(TotalAverages!AU48/MassFormulaTesting!$B$102,"")*0.68)+0.3</f>
        <v>0.3</v>
      </c>
      <c r="AM45" s="13">
        <f>(IFERROR(TotalAverages!AV48/MassFormulaTesting!$B$104,"")*0.68)+0.3</f>
        <v>0.3</v>
      </c>
    </row>
  </sheetData>
  <conditionalFormatting sqref="B2:AM45">
    <cfRule type="cellIs" dxfId="6" priority="1" operator="greaterThanOrEqual">
      <formula>"30%"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25"/>
    <col customWidth="1" min="2" max="2" width="12.38"/>
    <col customWidth="1" min="3" max="3" width="5.0"/>
    <col customWidth="1" min="4" max="4" width="6.75"/>
    <col customWidth="1" min="5" max="5" width="5.63"/>
    <col customWidth="1" min="6" max="6" width="9.75"/>
    <col customWidth="1" min="7" max="7" width="4.5"/>
    <col customWidth="1" min="8" max="8" width="6.5"/>
    <col customWidth="1" min="9" max="9" width="6.63"/>
    <col customWidth="1" min="10" max="10" width="6.88"/>
    <col customWidth="1" min="11" max="11" width="6.13"/>
    <col customWidth="1" min="12" max="12" width="8.5"/>
    <col customWidth="1" min="13" max="13" width="9.25"/>
    <col customWidth="1" min="14" max="14" width="10.0"/>
    <col customWidth="1" min="15" max="15" width="11.0"/>
    <col customWidth="1" min="16" max="16" width="9.63"/>
    <col customWidth="1" min="17" max="17" width="10.75"/>
    <col customWidth="1" min="18" max="18" width="12.13"/>
    <col customWidth="1" min="19" max="19" width="13.38"/>
    <col customWidth="1" min="20" max="20" width="12.38"/>
    <col customWidth="1" min="21" max="21" width="9.38"/>
    <col customWidth="1" min="22" max="22" width="13.75"/>
    <col customWidth="1" min="23" max="23" width="12.13"/>
    <col customWidth="1" min="24" max="24" width="10.63"/>
    <col customWidth="1" min="25" max="25" width="9.38"/>
    <col customWidth="1" min="26" max="26" width="8.0"/>
    <col customWidth="1" min="27" max="27" width="10.0"/>
    <col customWidth="1" min="28" max="28" width="10.13"/>
    <col customWidth="1" min="29" max="29" width="11.88"/>
    <col customWidth="1" min="30" max="30" width="11.13"/>
    <col customWidth="1" min="31" max="31" width="12.63"/>
    <col customWidth="1" min="32" max="32" width="9.0"/>
    <col customWidth="1" min="33" max="33" width="7.63"/>
    <col customWidth="1" min="34" max="34" width="8.25"/>
    <col customWidth="1" min="35" max="35" width="13.25"/>
    <col customWidth="1" min="36" max="36" width="8.5"/>
    <col customWidth="1" min="37" max="37" width="8.88"/>
    <col customWidth="1" min="38" max="38" width="9.75"/>
    <col customWidth="1" min="39" max="39" width="7.38"/>
  </cols>
  <sheetData>
    <row r="1">
      <c r="A1" s="1033" t="s">
        <v>394</v>
      </c>
      <c r="B1" s="1034" t="s">
        <v>530</v>
      </c>
      <c r="C1" s="1034" t="s">
        <v>189</v>
      </c>
      <c r="D1" s="1034" t="s">
        <v>190</v>
      </c>
      <c r="E1" s="1034" t="s">
        <v>20</v>
      </c>
      <c r="F1" s="1034" t="s">
        <v>531</v>
      </c>
      <c r="G1" s="1034" t="s">
        <v>21</v>
      </c>
      <c r="H1" s="1034" t="s">
        <v>23</v>
      </c>
      <c r="I1" s="1034" t="s">
        <v>24</v>
      </c>
      <c r="J1" s="1034" t="s">
        <v>22</v>
      </c>
      <c r="K1" s="1034" t="s">
        <v>25</v>
      </c>
      <c r="L1" s="1034" t="s">
        <v>26</v>
      </c>
      <c r="M1" s="1034" t="s">
        <v>532</v>
      </c>
      <c r="N1" s="1034" t="s">
        <v>533</v>
      </c>
      <c r="O1" s="1034" t="s">
        <v>98</v>
      </c>
      <c r="P1" s="1034" t="s">
        <v>332</v>
      </c>
      <c r="Q1" s="1034" t="s">
        <v>534</v>
      </c>
      <c r="R1" s="1034" t="s">
        <v>535</v>
      </c>
      <c r="S1" s="1034" t="s">
        <v>536</v>
      </c>
      <c r="T1" s="1034" t="s">
        <v>537</v>
      </c>
      <c r="U1" s="1034" t="s">
        <v>337</v>
      </c>
      <c r="V1" s="1034" t="s">
        <v>538</v>
      </c>
      <c r="W1" s="1034" t="s">
        <v>539</v>
      </c>
      <c r="X1" s="1034" t="s">
        <v>540</v>
      </c>
      <c r="Y1" s="1034" t="s">
        <v>541</v>
      </c>
      <c r="Z1" s="1034" t="s">
        <v>35</v>
      </c>
      <c r="AA1" s="1034" t="s">
        <v>36</v>
      </c>
      <c r="AB1" s="1034" t="s">
        <v>37</v>
      </c>
      <c r="AC1" s="1034" t="s">
        <v>38</v>
      </c>
      <c r="AD1" s="1034" t="s">
        <v>39</v>
      </c>
      <c r="AE1" s="1034" t="s">
        <v>542</v>
      </c>
      <c r="AF1" s="1034" t="s">
        <v>543</v>
      </c>
      <c r="AG1" s="1034" t="s">
        <v>349</v>
      </c>
      <c r="AH1" s="1034" t="s">
        <v>40</v>
      </c>
      <c r="AI1" s="1034" t="s">
        <v>350</v>
      </c>
      <c r="AJ1" s="1034" t="s">
        <v>41</v>
      </c>
      <c r="AK1" s="1034" t="s">
        <v>351</v>
      </c>
      <c r="AL1" s="1034" t="s">
        <v>352</v>
      </c>
      <c r="AM1" s="1034" t="s">
        <v>544</v>
      </c>
    </row>
    <row r="2">
      <c r="A2" s="935" t="s">
        <v>166</v>
      </c>
      <c r="B2" s="939">
        <v>1.0</v>
      </c>
      <c r="C2" s="939">
        <v>0.0</v>
      </c>
      <c r="D2" s="939">
        <v>1.0</v>
      </c>
      <c r="E2" s="939">
        <v>0.0</v>
      </c>
      <c r="F2" s="939">
        <v>0.0</v>
      </c>
      <c r="G2" s="939">
        <v>35.0</v>
      </c>
      <c r="H2" s="939">
        <v>77.0</v>
      </c>
      <c r="I2" s="939">
        <v>-42.0</v>
      </c>
      <c r="J2" s="939">
        <v>4.0</v>
      </c>
      <c r="K2" s="939">
        <v>2.0</v>
      </c>
      <c r="L2" s="939">
        <v>0.0</v>
      </c>
      <c r="M2" s="939">
        <v>748.0</v>
      </c>
      <c r="N2" s="939">
        <v>1039.0</v>
      </c>
      <c r="O2" s="939">
        <v>9.0</v>
      </c>
      <c r="P2" s="939">
        <v>0.0</v>
      </c>
      <c r="Q2" s="939">
        <v>0.0</v>
      </c>
      <c r="R2" s="939">
        <v>0.0</v>
      </c>
      <c r="S2" s="939">
        <v>0.0</v>
      </c>
      <c r="T2" s="939">
        <v>0.0</v>
      </c>
      <c r="U2" s="939">
        <v>0.0</v>
      </c>
      <c r="V2" s="939">
        <v>0.0</v>
      </c>
      <c r="W2" s="939">
        <v>0.0</v>
      </c>
      <c r="X2" s="939">
        <v>1.0</v>
      </c>
      <c r="Y2" s="939">
        <v>0.0</v>
      </c>
      <c r="Z2" s="939">
        <v>0.0</v>
      </c>
      <c r="AA2" s="939">
        <v>0.0</v>
      </c>
      <c r="AB2" s="939">
        <v>0.0</v>
      </c>
      <c r="AC2" s="939">
        <v>0.0</v>
      </c>
      <c r="AD2" s="939">
        <v>0.0</v>
      </c>
      <c r="AE2" s="939">
        <v>0.0</v>
      </c>
      <c r="AF2" s="939">
        <v>0.0</v>
      </c>
      <c r="AG2" s="939">
        <v>0.0</v>
      </c>
      <c r="AH2" s="939">
        <v>3.0</v>
      </c>
      <c r="AI2" s="895">
        <v>0.0</v>
      </c>
      <c r="AJ2" s="939">
        <v>4.0</v>
      </c>
      <c r="AK2" s="940">
        <v>7.0</v>
      </c>
      <c r="AL2" s="941">
        <v>0.0</v>
      </c>
      <c r="AM2" s="941">
        <v>1.0</v>
      </c>
    </row>
    <row r="3">
      <c r="A3" s="935" t="s">
        <v>123</v>
      </c>
      <c r="B3" s="941">
        <v>1.0</v>
      </c>
      <c r="C3" s="941">
        <v>0.0</v>
      </c>
      <c r="D3" s="941">
        <v>1.0</v>
      </c>
      <c r="E3" s="941">
        <v>0.0</v>
      </c>
      <c r="F3" s="941">
        <v>13.0</v>
      </c>
      <c r="G3" s="941">
        <v>57.0</v>
      </c>
      <c r="H3" s="941">
        <v>38.0</v>
      </c>
      <c r="I3" s="941">
        <v>19.0</v>
      </c>
      <c r="J3" s="941">
        <v>0.0</v>
      </c>
      <c r="K3" s="941">
        <v>10.0</v>
      </c>
      <c r="L3" s="941">
        <v>2.0</v>
      </c>
      <c r="M3" s="941">
        <v>863.0</v>
      </c>
      <c r="N3" s="941">
        <v>1039.0</v>
      </c>
      <c r="O3" s="941">
        <v>22.0</v>
      </c>
      <c r="P3" s="941">
        <v>413.0</v>
      </c>
      <c r="Q3" s="941">
        <v>0.0</v>
      </c>
      <c r="R3" s="941">
        <v>2.0</v>
      </c>
      <c r="S3" s="941">
        <v>1.0</v>
      </c>
      <c r="T3" s="941">
        <v>0.0</v>
      </c>
      <c r="U3" s="941">
        <v>0.0</v>
      </c>
      <c r="V3" s="941">
        <v>0.0</v>
      </c>
      <c r="W3" s="941">
        <v>0.0</v>
      </c>
      <c r="X3" s="941">
        <v>5.0</v>
      </c>
      <c r="Y3" s="941">
        <v>1.0</v>
      </c>
      <c r="Z3" s="941">
        <v>0.0</v>
      </c>
      <c r="AA3" s="941">
        <v>0.0</v>
      </c>
      <c r="AB3" s="941">
        <v>0.0</v>
      </c>
      <c r="AC3" s="941">
        <v>0.0</v>
      </c>
      <c r="AD3" s="941">
        <v>0.0</v>
      </c>
      <c r="AE3" s="941">
        <v>0.0</v>
      </c>
      <c r="AF3" s="941">
        <v>0.0</v>
      </c>
      <c r="AG3" s="941">
        <v>0.0</v>
      </c>
      <c r="AH3" s="941">
        <v>1.0</v>
      </c>
      <c r="AI3" s="941">
        <v>0.0</v>
      </c>
      <c r="AJ3" s="941">
        <v>9.0</v>
      </c>
      <c r="AK3" s="942">
        <v>4.0</v>
      </c>
      <c r="AL3" s="941">
        <v>2.0</v>
      </c>
      <c r="AM3" s="941">
        <v>1.0</v>
      </c>
    </row>
    <row r="4">
      <c r="A4" s="935" t="s">
        <v>145</v>
      </c>
      <c r="B4" s="941">
        <v>1.0</v>
      </c>
      <c r="C4" s="941">
        <v>0.0</v>
      </c>
      <c r="D4" s="941">
        <v>1.0</v>
      </c>
      <c r="E4" s="941">
        <v>0.0</v>
      </c>
      <c r="F4" s="941">
        <v>1.0</v>
      </c>
      <c r="G4" s="941">
        <v>56.0</v>
      </c>
      <c r="H4" s="941">
        <v>77.0</v>
      </c>
      <c r="I4" s="941">
        <v>-21.0</v>
      </c>
      <c r="J4" s="941">
        <v>3.0</v>
      </c>
      <c r="K4" s="941">
        <v>4.0</v>
      </c>
      <c r="L4" s="941">
        <v>1.0</v>
      </c>
      <c r="M4" s="941">
        <v>742.0</v>
      </c>
      <c r="N4" s="941">
        <v>1039.0</v>
      </c>
      <c r="O4" s="941">
        <v>9.0</v>
      </c>
      <c r="P4" s="941">
        <v>41.0</v>
      </c>
      <c r="Q4" s="941">
        <v>0.0</v>
      </c>
      <c r="R4" s="941">
        <v>0.0</v>
      </c>
      <c r="S4" s="941">
        <v>0.0</v>
      </c>
      <c r="T4" s="941">
        <v>0.0</v>
      </c>
      <c r="U4" s="941">
        <v>0.0</v>
      </c>
      <c r="V4" s="941">
        <v>0.0</v>
      </c>
      <c r="W4" s="941">
        <v>0.0</v>
      </c>
      <c r="X4" s="941">
        <v>7.0</v>
      </c>
      <c r="Y4" s="941">
        <v>0.0</v>
      </c>
      <c r="Z4" s="941">
        <v>0.0</v>
      </c>
      <c r="AA4" s="941">
        <v>0.0</v>
      </c>
      <c r="AB4" s="941">
        <v>0.0</v>
      </c>
      <c r="AC4" s="941">
        <v>0.0</v>
      </c>
      <c r="AD4" s="941">
        <v>0.0</v>
      </c>
      <c r="AE4" s="941">
        <v>0.0</v>
      </c>
      <c r="AF4" s="941">
        <v>0.0</v>
      </c>
      <c r="AG4" s="941">
        <v>0.0</v>
      </c>
      <c r="AH4" s="941">
        <v>1.0</v>
      </c>
      <c r="AI4" s="941">
        <v>0.0</v>
      </c>
      <c r="AJ4" s="941">
        <v>6.0</v>
      </c>
      <c r="AK4" s="942">
        <v>6.0</v>
      </c>
      <c r="AL4" s="941">
        <v>0.0</v>
      </c>
      <c r="AM4" s="941">
        <v>1.0</v>
      </c>
    </row>
    <row r="5">
      <c r="A5" s="935" t="s">
        <v>419</v>
      </c>
      <c r="B5" s="941">
        <v>1.0</v>
      </c>
      <c r="C5" s="941">
        <v>0.0</v>
      </c>
      <c r="D5" s="941">
        <v>1.0</v>
      </c>
      <c r="E5" s="941">
        <v>0.0</v>
      </c>
      <c r="F5" s="941">
        <v>0.0</v>
      </c>
      <c r="G5" s="941">
        <v>61.0</v>
      </c>
      <c r="H5" s="941">
        <v>66.0</v>
      </c>
      <c r="I5" s="941">
        <v>-5.0</v>
      </c>
      <c r="J5" s="941">
        <v>1.0</v>
      </c>
      <c r="K5" s="941">
        <v>5.0</v>
      </c>
      <c r="L5" s="941">
        <v>2.0</v>
      </c>
      <c r="M5" s="941">
        <v>776.0</v>
      </c>
      <c r="N5" s="941">
        <v>1039.0</v>
      </c>
      <c r="O5" s="941">
        <v>11.0</v>
      </c>
      <c r="P5" s="941">
        <v>0.0</v>
      </c>
      <c r="Q5" s="941">
        <v>0.0</v>
      </c>
      <c r="R5" s="941">
        <v>1.0</v>
      </c>
      <c r="S5" s="941">
        <v>0.0</v>
      </c>
      <c r="T5" s="941">
        <v>0.0</v>
      </c>
      <c r="U5" s="941">
        <v>0.0</v>
      </c>
      <c r="V5" s="941">
        <v>1.0</v>
      </c>
      <c r="W5" s="941">
        <v>0.0</v>
      </c>
      <c r="X5" s="941">
        <v>8.0</v>
      </c>
      <c r="Y5" s="941">
        <v>1.0</v>
      </c>
      <c r="Z5" s="941">
        <v>1.0</v>
      </c>
      <c r="AA5" s="941">
        <v>0.0</v>
      </c>
      <c r="AB5" s="941">
        <v>0.0</v>
      </c>
      <c r="AC5" s="941">
        <v>0.0</v>
      </c>
      <c r="AD5" s="941">
        <v>0.0</v>
      </c>
      <c r="AE5" s="941">
        <v>0.0</v>
      </c>
      <c r="AF5" s="941">
        <v>0.0</v>
      </c>
      <c r="AG5" s="941">
        <v>0.0</v>
      </c>
      <c r="AH5" s="941">
        <v>5.0</v>
      </c>
      <c r="AI5" s="941">
        <v>0.0</v>
      </c>
      <c r="AJ5" s="941">
        <v>4.0</v>
      </c>
      <c r="AK5" s="942">
        <v>10.0</v>
      </c>
      <c r="AL5" s="941">
        <v>0.0</v>
      </c>
      <c r="AM5" s="941">
        <v>1.0</v>
      </c>
    </row>
    <row r="6">
      <c r="A6" s="935" t="s">
        <v>151</v>
      </c>
      <c r="B6" s="941">
        <v>1.0</v>
      </c>
      <c r="C6" s="941">
        <v>1.0</v>
      </c>
      <c r="D6" s="941">
        <v>0.0</v>
      </c>
      <c r="E6" s="941">
        <v>0.0</v>
      </c>
      <c r="F6" s="941">
        <v>1.0</v>
      </c>
      <c r="G6" s="941">
        <v>67.0</v>
      </c>
      <c r="H6" s="941">
        <v>62.0</v>
      </c>
      <c r="I6" s="941">
        <v>5.0</v>
      </c>
      <c r="J6" s="941">
        <v>7.0</v>
      </c>
      <c r="K6" s="941">
        <v>5.0</v>
      </c>
      <c r="L6" s="941">
        <v>1.0</v>
      </c>
      <c r="M6" s="941">
        <v>781.0</v>
      </c>
      <c r="N6" s="941">
        <v>1039.0</v>
      </c>
      <c r="O6" s="941">
        <v>12.0</v>
      </c>
      <c r="P6" s="941">
        <v>0.0</v>
      </c>
      <c r="Q6" s="941">
        <v>0.0</v>
      </c>
      <c r="R6" s="941">
        <v>1.0</v>
      </c>
      <c r="S6" s="941">
        <v>0.0</v>
      </c>
      <c r="T6" s="941">
        <v>0.0</v>
      </c>
      <c r="U6" s="941">
        <v>0.0</v>
      </c>
      <c r="V6" s="941">
        <v>1.0</v>
      </c>
      <c r="W6" s="941">
        <v>0.0</v>
      </c>
      <c r="X6" s="941">
        <v>12.0</v>
      </c>
      <c r="Y6" s="941">
        <v>5.0</v>
      </c>
      <c r="Z6" s="941">
        <v>1.0</v>
      </c>
      <c r="AA6" s="941">
        <v>1.0</v>
      </c>
      <c r="AB6" s="941">
        <v>0.0</v>
      </c>
      <c r="AC6" s="941">
        <v>0.0</v>
      </c>
      <c r="AD6" s="941">
        <v>0.0</v>
      </c>
      <c r="AE6" s="941">
        <v>0.0</v>
      </c>
      <c r="AF6" s="941">
        <v>0.0</v>
      </c>
      <c r="AG6" s="941">
        <v>0.0</v>
      </c>
      <c r="AH6" s="941">
        <v>5.0</v>
      </c>
      <c r="AI6" s="941">
        <v>0.0</v>
      </c>
      <c r="AJ6" s="941">
        <v>5.0</v>
      </c>
      <c r="AK6" s="942">
        <v>9.0</v>
      </c>
      <c r="AL6" s="941">
        <v>0.0</v>
      </c>
      <c r="AM6" s="941">
        <v>0.0</v>
      </c>
    </row>
    <row r="7">
      <c r="A7" s="935" t="s">
        <v>140</v>
      </c>
      <c r="B7" s="941">
        <v>1.0</v>
      </c>
      <c r="C7" s="941">
        <v>1.0</v>
      </c>
      <c r="D7" s="941">
        <v>0.0</v>
      </c>
      <c r="E7" s="941">
        <v>1.0</v>
      </c>
      <c r="F7" s="941">
        <v>0.0</v>
      </c>
      <c r="G7" s="941">
        <v>55.0</v>
      </c>
      <c r="H7" s="941">
        <v>55.0</v>
      </c>
      <c r="I7" s="941">
        <v>0.0</v>
      </c>
      <c r="J7" s="941">
        <v>7.0</v>
      </c>
      <c r="K7" s="941">
        <v>3.0</v>
      </c>
      <c r="L7" s="941">
        <v>1.0</v>
      </c>
      <c r="M7" s="941">
        <v>809.0</v>
      </c>
      <c r="N7" s="941">
        <v>1039.0</v>
      </c>
      <c r="O7" s="941">
        <v>14.0</v>
      </c>
      <c r="P7" s="941">
        <v>4.0</v>
      </c>
      <c r="Q7" s="941">
        <v>0.0</v>
      </c>
      <c r="R7" s="941">
        <v>0.0</v>
      </c>
      <c r="S7" s="941">
        <v>0.0</v>
      </c>
      <c r="T7" s="941">
        <v>0.0</v>
      </c>
      <c r="U7" s="941">
        <v>0.0</v>
      </c>
      <c r="V7" s="941">
        <v>0.0</v>
      </c>
      <c r="W7" s="941">
        <v>0.0</v>
      </c>
      <c r="X7" s="941">
        <v>7.0</v>
      </c>
      <c r="Y7" s="941">
        <v>2.0</v>
      </c>
      <c r="Z7" s="941">
        <v>0.0</v>
      </c>
      <c r="AA7" s="941">
        <v>0.0</v>
      </c>
      <c r="AB7" s="941">
        <v>0.0</v>
      </c>
      <c r="AC7" s="941">
        <v>0.0</v>
      </c>
      <c r="AD7" s="941">
        <v>0.0</v>
      </c>
      <c r="AE7" s="941">
        <v>0.0</v>
      </c>
      <c r="AF7" s="941">
        <v>0.0</v>
      </c>
      <c r="AG7" s="941">
        <v>0.0</v>
      </c>
      <c r="AH7" s="941">
        <v>8.0</v>
      </c>
      <c r="AI7" s="941">
        <v>0.0</v>
      </c>
      <c r="AJ7" s="941">
        <v>4.0</v>
      </c>
      <c r="AK7" s="942">
        <v>7.0</v>
      </c>
      <c r="AL7" s="941">
        <v>1.0</v>
      </c>
      <c r="AM7" s="941">
        <v>0.0</v>
      </c>
    </row>
    <row r="8">
      <c r="A8" s="935" t="s">
        <v>129</v>
      </c>
      <c r="B8" s="941">
        <v>1.0</v>
      </c>
      <c r="C8" s="941">
        <v>1.0</v>
      </c>
      <c r="D8" s="941">
        <v>0.0</v>
      </c>
      <c r="E8" s="941">
        <v>2.0</v>
      </c>
      <c r="F8" s="941">
        <v>1.0</v>
      </c>
      <c r="G8" s="941">
        <v>85.0</v>
      </c>
      <c r="H8" s="941">
        <v>66.0</v>
      </c>
      <c r="I8" s="941">
        <v>19.0</v>
      </c>
      <c r="J8" s="941">
        <v>5.0</v>
      </c>
      <c r="K8" s="941">
        <v>7.0</v>
      </c>
      <c r="L8" s="941">
        <v>0.0</v>
      </c>
      <c r="M8" s="941">
        <v>775.0</v>
      </c>
      <c r="N8" s="941">
        <v>1039.0</v>
      </c>
      <c r="O8" s="941">
        <v>11.0</v>
      </c>
      <c r="P8" s="941">
        <v>4.0</v>
      </c>
      <c r="Q8" s="941">
        <v>0.0</v>
      </c>
      <c r="R8" s="941">
        <v>5.0</v>
      </c>
      <c r="S8" s="941">
        <v>0.0</v>
      </c>
      <c r="T8" s="941">
        <v>0.0</v>
      </c>
      <c r="U8" s="941">
        <v>0.0</v>
      </c>
      <c r="V8" s="941">
        <v>5.0</v>
      </c>
      <c r="W8" s="941">
        <v>0.0</v>
      </c>
      <c r="X8" s="941">
        <v>14.0</v>
      </c>
      <c r="Y8" s="941">
        <v>5.0</v>
      </c>
      <c r="Z8" s="941">
        <v>3.0</v>
      </c>
      <c r="AA8" s="941">
        <v>3.0</v>
      </c>
      <c r="AB8" s="941">
        <v>0.0</v>
      </c>
      <c r="AC8" s="941">
        <v>0.0</v>
      </c>
      <c r="AD8" s="941">
        <v>0.0</v>
      </c>
      <c r="AE8" s="941">
        <v>0.0</v>
      </c>
      <c r="AF8" s="941">
        <v>0.0</v>
      </c>
      <c r="AG8" s="941">
        <v>1.0</v>
      </c>
      <c r="AH8" s="941">
        <v>5.0</v>
      </c>
      <c r="AI8" s="941">
        <v>0.0</v>
      </c>
      <c r="AJ8" s="941">
        <v>6.0</v>
      </c>
      <c r="AK8" s="942">
        <v>3.0</v>
      </c>
      <c r="AL8" s="941">
        <v>1.0</v>
      </c>
      <c r="AM8" s="941">
        <v>0.0</v>
      </c>
    </row>
    <row r="9">
      <c r="A9" s="943" t="s">
        <v>118</v>
      </c>
      <c r="B9" s="944">
        <v>1.0</v>
      </c>
      <c r="C9" s="944">
        <v>1.0</v>
      </c>
      <c r="D9" s="944">
        <v>0.0</v>
      </c>
      <c r="E9" s="944">
        <v>2.0</v>
      </c>
      <c r="F9" s="944">
        <v>6.0</v>
      </c>
      <c r="G9" s="944">
        <v>40.0</v>
      </c>
      <c r="H9" s="944">
        <v>34.0</v>
      </c>
      <c r="I9" s="944">
        <v>6.0</v>
      </c>
      <c r="J9" s="944">
        <v>1.0</v>
      </c>
      <c r="K9" s="944">
        <v>6.0</v>
      </c>
      <c r="L9" s="944">
        <v>1.0</v>
      </c>
      <c r="M9" s="944">
        <v>871.0</v>
      </c>
      <c r="N9" s="944">
        <v>1039.0</v>
      </c>
      <c r="O9" s="944">
        <v>25.0</v>
      </c>
      <c r="P9" s="944">
        <v>431.0</v>
      </c>
      <c r="Q9" s="944">
        <v>0.0</v>
      </c>
      <c r="R9" s="944">
        <v>1.0</v>
      </c>
      <c r="S9" s="944">
        <v>0.0</v>
      </c>
      <c r="T9" s="944">
        <v>0.0</v>
      </c>
      <c r="U9" s="944">
        <v>0.0</v>
      </c>
      <c r="V9" s="944">
        <v>0.0</v>
      </c>
      <c r="W9" s="944">
        <v>0.0</v>
      </c>
      <c r="X9" s="944">
        <v>7.0</v>
      </c>
      <c r="Y9" s="944">
        <v>0.0</v>
      </c>
      <c r="Z9" s="944">
        <v>0.0</v>
      </c>
      <c r="AA9" s="944">
        <v>0.0</v>
      </c>
      <c r="AB9" s="944">
        <v>0.0</v>
      </c>
      <c r="AC9" s="944">
        <v>0.0</v>
      </c>
      <c r="AD9" s="944">
        <v>0.0</v>
      </c>
      <c r="AE9" s="944">
        <v>0.0</v>
      </c>
      <c r="AF9" s="944">
        <v>0.0</v>
      </c>
      <c r="AG9" s="944">
        <v>0.0</v>
      </c>
      <c r="AH9" s="944">
        <v>0.0</v>
      </c>
      <c r="AI9" s="944">
        <v>1.0</v>
      </c>
      <c r="AJ9" s="944">
        <v>6.0</v>
      </c>
      <c r="AK9" s="945">
        <v>4.0</v>
      </c>
      <c r="AL9" s="941">
        <v>1.0</v>
      </c>
      <c r="AM9" s="941">
        <v>0.0</v>
      </c>
    </row>
    <row r="10">
      <c r="A10" s="946" t="s">
        <v>115</v>
      </c>
      <c r="B10" s="939">
        <v>1.0</v>
      </c>
      <c r="C10" s="939">
        <v>0.0</v>
      </c>
      <c r="D10" s="939">
        <v>1.0</v>
      </c>
      <c r="E10" s="939">
        <v>0.0</v>
      </c>
      <c r="F10" s="939">
        <v>0.0</v>
      </c>
      <c r="G10" s="939">
        <v>22.0</v>
      </c>
      <c r="H10" s="939">
        <v>42.0</v>
      </c>
      <c r="I10" s="939">
        <v>-20.0</v>
      </c>
      <c r="J10" s="939">
        <v>3.0</v>
      </c>
      <c r="K10" s="939">
        <v>2.0</v>
      </c>
      <c r="L10" s="939">
        <v>1.0</v>
      </c>
      <c r="M10" s="939">
        <v>500.0</v>
      </c>
      <c r="N10" s="939">
        <v>702.0</v>
      </c>
      <c r="O10" s="939">
        <v>11.0</v>
      </c>
      <c r="P10" s="939">
        <v>40.0</v>
      </c>
      <c r="Q10" s="939">
        <v>0.0</v>
      </c>
      <c r="R10" s="939">
        <v>0.0</v>
      </c>
      <c r="S10" s="939">
        <v>0.0</v>
      </c>
      <c r="T10" s="939">
        <v>0.0</v>
      </c>
      <c r="U10" s="939">
        <v>0.0</v>
      </c>
      <c r="V10" s="939">
        <v>0.0</v>
      </c>
      <c r="W10" s="939">
        <v>0.0</v>
      </c>
      <c r="X10" s="939">
        <v>2.0</v>
      </c>
      <c r="Y10" s="939">
        <v>0.0</v>
      </c>
      <c r="Z10" s="939">
        <v>0.0</v>
      </c>
      <c r="AA10" s="939">
        <v>0.0</v>
      </c>
      <c r="AB10" s="939">
        <v>0.0</v>
      </c>
      <c r="AC10" s="939">
        <v>0.0</v>
      </c>
      <c r="AD10" s="939">
        <v>0.0</v>
      </c>
      <c r="AE10" s="939">
        <v>0.0</v>
      </c>
      <c r="AF10" s="939">
        <v>0.0</v>
      </c>
      <c r="AG10" s="939">
        <v>0.0</v>
      </c>
      <c r="AH10" s="939">
        <v>0.0</v>
      </c>
      <c r="AI10" s="939">
        <v>0.0</v>
      </c>
      <c r="AJ10" s="939">
        <v>4.0</v>
      </c>
      <c r="AK10" s="940">
        <v>3.0</v>
      </c>
      <c r="AL10" s="941">
        <v>0.0</v>
      </c>
      <c r="AM10" s="941">
        <v>1.0</v>
      </c>
    </row>
    <row r="11">
      <c r="A11" s="935" t="s">
        <v>126</v>
      </c>
      <c r="B11" s="941">
        <v>1.0</v>
      </c>
      <c r="C11" s="941">
        <v>0.0</v>
      </c>
      <c r="D11" s="941">
        <v>1.0</v>
      </c>
      <c r="E11" s="941">
        <v>0.0</v>
      </c>
      <c r="F11" s="941">
        <v>2.0</v>
      </c>
      <c r="G11" s="941">
        <v>32.0</v>
      </c>
      <c r="H11" s="941">
        <v>43.0</v>
      </c>
      <c r="I11" s="941">
        <v>-11.0</v>
      </c>
      <c r="J11" s="941">
        <v>0.0</v>
      </c>
      <c r="K11" s="941">
        <v>2.0</v>
      </c>
      <c r="L11" s="941">
        <v>0.0</v>
      </c>
      <c r="M11" s="941">
        <v>496.0</v>
      </c>
      <c r="N11" s="941">
        <v>702.0</v>
      </c>
      <c r="O11" s="941">
        <v>11.0</v>
      </c>
      <c r="P11" s="941">
        <v>2.0</v>
      </c>
      <c r="Q11" s="941">
        <v>0.0</v>
      </c>
      <c r="R11" s="941">
        <v>0.0</v>
      </c>
      <c r="S11" s="941">
        <v>0.0</v>
      </c>
      <c r="T11" s="941">
        <v>0.0</v>
      </c>
      <c r="U11" s="941">
        <v>0.0</v>
      </c>
      <c r="V11" s="941">
        <v>0.0</v>
      </c>
      <c r="W11" s="941">
        <v>0.0</v>
      </c>
      <c r="X11" s="941">
        <v>4.0</v>
      </c>
      <c r="Y11" s="941">
        <v>0.0</v>
      </c>
      <c r="Z11" s="941">
        <v>0.0</v>
      </c>
      <c r="AA11" s="941">
        <v>0.0</v>
      </c>
      <c r="AB11" s="941">
        <v>0.0</v>
      </c>
      <c r="AC11" s="941">
        <v>0.0</v>
      </c>
      <c r="AD11" s="941">
        <v>0.0</v>
      </c>
      <c r="AE11" s="941">
        <v>0.0</v>
      </c>
      <c r="AF11" s="941">
        <v>0.0</v>
      </c>
      <c r="AG11" s="941">
        <v>0.0</v>
      </c>
      <c r="AH11" s="941">
        <v>0.0</v>
      </c>
      <c r="AI11" s="941">
        <v>0.0</v>
      </c>
      <c r="AJ11" s="941">
        <v>3.0</v>
      </c>
      <c r="AK11" s="942">
        <v>2.0</v>
      </c>
      <c r="AL11" s="941">
        <v>1.0</v>
      </c>
      <c r="AM11" s="941">
        <v>1.0</v>
      </c>
    </row>
    <row r="12">
      <c r="A12" s="935" t="s">
        <v>420</v>
      </c>
      <c r="B12" s="941">
        <v>1.0</v>
      </c>
      <c r="C12" s="941">
        <v>0.0</v>
      </c>
      <c r="D12" s="941">
        <v>1.0</v>
      </c>
      <c r="E12" s="941">
        <v>0.0</v>
      </c>
      <c r="F12" s="941">
        <v>4.0</v>
      </c>
      <c r="G12" s="941">
        <v>39.0</v>
      </c>
      <c r="H12" s="941">
        <v>31.0</v>
      </c>
      <c r="I12" s="941">
        <v>8.0</v>
      </c>
      <c r="J12" s="941">
        <v>2.0</v>
      </c>
      <c r="K12" s="941">
        <v>7.0</v>
      </c>
      <c r="L12" s="941">
        <v>3.0</v>
      </c>
      <c r="M12" s="941">
        <v>534.0</v>
      </c>
      <c r="N12" s="941">
        <v>702.0</v>
      </c>
      <c r="O12" s="941">
        <v>17.0</v>
      </c>
      <c r="P12" s="941">
        <v>67.0</v>
      </c>
      <c r="Q12" s="941">
        <v>0.0</v>
      </c>
      <c r="R12" s="941">
        <v>2.0</v>
      </c>
      <c r="S12" s="941">
        <v>0.0</v>
      </c>
      <c r="T12" s="941">
        <v>0.0</v>
      </c>
      <c r="U12" s="941">
        <v>0.0</v>
      </c>
      <c r="V12" s="941">
        <v>2.0</v>
      </c>
      <c r="W12" s="941">
        <v>0.0</v>
      </c>
      <c r="X12" s="941">
        <v>6.0</v>
      </c>
      <c r="Y12" s="941">
        <v>2.0</v>
      </c>
      <c r="Z12" s="941">
        <v>0.0</v>
      </c>
      <c r="AA12" s="941">
        <v>0.0</v>
      </c>
      <c r="AB12" s="941">
        <v>0.0</v>
      </c>
      <c r="AC12" s="941">
        <v>0.0</v>
      </c>
      <c r="AD12" s="941">
        <v>0.0</v>
      </c>
      <c r="AE12" s="941">
        <v>0.0</v>
      </c>
      <c r="AF12" s="941">
        <v>0.0</v>
      </c>
      <c r="AG12" s="941">
        <v>0.0</v>
      </c>
      <c r="AH12" s="941">
        <v>1.0</v>
      </c>
      <c r="AI12" s="941">
        <v>0.0</v>
      </c>
      <c r="AJ12" s="941">
        <v>7.0</v>
      </c>
      <c r="AK12" s="942">
        <v>5.0</v>
      </c>
      <c r="AL12" s="941">
        <v>1.0</v>
      </c>
      <c r="AM12" s="941">
        <v>1.0</v>
      </c>
    </row>
    <row r="13">
      <c r="A13" s="935" t="s">
        <v>137</v>
      </c>
      <c r="B13" s="941">
        <v>1.0</v>
      </c>
      <c r="C13" s="941">
        <v>0.0</v>
      </c>
      <c r="D13" s="941">
        <v>1.0</v>
      </c>
      <c r="E13" s="941">
        <v>1.0</v>
      </c>
      <c r="F13" s="941">
        <v>0.0</v>
      </c>
      <c r="G13" s="941">
        <v>24.0</v>
      </c>
      <c r="H13" s="941">
        <v>29.0</v>
      </c>
      <c r="I13" s="941">
        <v>-5.0</v>
      </c>
      <c r="J13" s="941">
        <v>5.0</v>
      </c>
      <c r="K13" s="941">
        <v>3.0</v>
      </c>
      <c r="L13" s="941">
        <v>1.0</v>
      </c>
      <c r="M13" s="941">
        <v>535.0</v>
      </c>
      <c r="N13" s="941">
        <v>702.0</v>
      </c>
      <c r="O13" s="941">
        <v>18.0</v>
      </c>
      <c r="P13" s="941">
        <v>84.0</v>
      </c>
      <c r="Q13" s="941">
        <v>0.0</v>
      </c>
      <c r="R13" s="941">
        <v>0.0</v>
      </c>
      <c r="S13" s="941">
        <v>0.0</v>
      </c>
      <c r="T13" s="941">
        <v>0.0</v>
      </c>
      <c r="U13" s="941">
        <v>0.0</v>
      </c>
      <c r="V13" s="941">
        <v>0.0</v>
      </c>
      <c r="W13" s="941">
        <v>0.0</v>
      </c>
      <c r="X13" s="941">
        <v>2.0</v>
      </c>
      <c r="Y13" s="941">
        <v>0.0</v>
      </c>
      <c r="Z13" s="941">
        <v>0.0</v>
      </c>
      <c r="AA13" s="941">
        <v>0.0</v>
      </c>
      <c r="AB13" s="941">
        <v>0.0</v>
      </c>
      <c r="AC13" s="941">
        <v>0.0</v>
      </c>
      <c r="AD13" s="941">
        <v>0.0</v>
      </c>
      <c r="AE13" s="941">
        <v>0.0</v>
      </c>
      <c r="AF13" s="941">
        <v>0.0</v>
      </c>
      <c r="AG13" s="941">
        <v>0.0</v>
      </c>
      <c r="AH13" s="941">
        <v>1.0</v>
      </c>
      <c r="AI13" s="941">
        <v>0.0</v>
      </c>
      <c r="AJ13" s="941">
        <v>3.0</v>
      </c>
      <c r="AK13" s="942">
        <v>4.0</v>
      </c>
      <c r="AL13" s="941">
        <v>0.0</v>
      </c>
      <c r="AM13" s="941">
        <v>1.0</v>
      </c>
    </row>
    <row r="14">
      <c r="A14" s="935" t="s">
        <v>152</v>
      </c>
      <c r="B14" s="941">
        <v>1.0</v>
      </c>
      <c r="C14" s="941">
        <v>1.0</v>
      </c>
      <c r="D14" s="941">
        <v>0.0</v>
      </c>
      <c r="E14" s="941">
        <v>0.0</v>
      </c>
      <c r="F14" s="941">
        <v>1.0</v>
      </c>
      <c r="G14" s="941">
        <v>35.0</v>
      </c>
      <c r="H14" s="941">
        <v>33.0</v>
      </c>
      <c r="I14" s="941">
        <v>2.0</v>
      </c>
      <c r="J14" s="941">
        <v>1.0</v>
      </c>
      <c r="K14" s="941">
        <v>4.0</v>
      </c>
      <c r="L14" s="941">
        <v>1.0</v>
      </c>
      <c r="M14" s="941">
        <v>517.0</v>
      </c>
      <c r="N14" s="941">
        <v>702.0</v>
      </c>
      <c r="O14" s="941">
        <v>15.0</v>
      </c>
      <c r="P14" s="941">
        <v>12.0</v>
      </c>
      <c r="Q14" s="941">
        <v>0.0</v>
      </c>
      <c r="R14" s="941">
        <v>0.0</v>
      </c>
      <c r="S14" s="941">
        <v>0.0</v>
      </c>
      <c r="T14" s="941">
        <v>0.0</v>
      </c>
      <c r="U14" s="941">
        <v>0.0</v>
      </c>
      <c r="V14" s="941">
        <v>0.0</v>
      </c>
      <c r="W14" s="941">
        <v>0.0</v>
      </c>
      <c r="X14" s="941">
        <v>4.0</v>
      </c>
      <c r="Y14" s="941">
        <v>1.0</v>
      </c>
      <c r="Z14" s="941">
        <v>0.0</v>
      </c>
      <c r="AA14" s="941">
        <v>0.0</v>
      </c>
      <c r="AB14" s="941">
        <v>0.0</v>
      </c>
      <c r="AC14" s="941">
        <v>0.0</v>
      </c>
      <c r="AD14" s="941">
        <v>0.0</v>
      </c>
      <c r="AE14" s="941">
        <v>0.0</v>
      </c>
      <c r="AF14" s="941">
        <v>0.0</v>
      </c>
      <c r="AG14" s="941">
        <v>0.0</v>
      </c>
      <c r="AH14" s="941">
        <v>0.0</v>
      </c>
      <c r="AI14" s="941">
        <v>0.0</v>
      </c>
      <c r="AJ14" s="941">
        <v>1.0</v>
      </c>
      <c r="AK14" s="942">
        <v>3.0</v>
      </c>
      <c r="AL14" s="941">
        <v>1.0</v>
      </c>
      <c r="AM14" s="941">
        <v>0.0</v>
      </c>
    </row>
    <row r="15">
      <c r="A15" s="935" t="s">
        <v>141</v>
      </c>
      <c r="B15" s="941">
        <v>1.0</v>
      </c>
      <c r="C15" s="941">
        <v>1.0</v>
      </c>
      <c r="D15" s="941">
        <v>0.0</v>
      </c>
      <c r="E15" s="941">
        <v>1.0</v>
      </c>
      <c r="F15" s="941">
        <v>0.0</v>
      </c>
      <c r="G15" s="941">
        <v>25.0</v>
      </c>
      <c r="H15" s="941">
        <v>43.0</v>
      </c>
      <c r="I15" s="941">
        <v>-18.0</v>
      </c>
      <c r="J15" s="941">
        <v>1.0</v>
      </c>
      <c r="K15" s="941">
        <v>3.0</v>
      </c>
      <c r="L15" s="941">
        <v>1.0</v>
      </c>
      <c r="M15" s="941">
        <v>492.0</v>
      </c>
      <c r="N15" s="941">
        <v>702.0</v>
      </c>
      <c r="O15" s="941">
        <v>11.0</v>
      </c>
      <c r="P15" s="941">
        <v>39.0</v>
      </c>
      <c r="Q15" s="941">
        <v>0.0</v>
      </c>
      <c r="R15" s="941">
        <v>0.0</v>
      </c>
      <c r="S15" s="941">
        <v>0.0</v>
      </c>
      <c r="T15" s="941">
        <v>0.0</v>
      </c>
      <c r="U15" s="941">
        <v>0.0</v>
      </c>
      <c r="V15" s="941">
        <v>0.0</v>
      </c>
      <c r="W15" s="941">
        <v>0.0</v>
      </c>
      <c r="X15" s="941">
        <v>2.0</v>
      </c>
      <c r="Y15" s="941">
        <v>0.0</v>
      </c>
      <c r="Z15" s="941">
        <v>0.0</v>
      </c>
      <c r="AA15" s="941">
        <v>0.0</v>
      </c>
      <c r="AB15" s="941">
        <v>0.0</v>
      </c>
      <c r="AC15" s="941">
        <v>0.0</v>
      </c>
      <c r="AD15" s="941">
        <v>0.0</v>
      </c>
      <c r="AE15" s="941">
        <v>0.0</v>
      </c>
      <c r="AF15" s="941">
        <v>0.0</v>
      </c>
      <c r="AG15" s="941">
        <v>0.0</v>
      </c>
      <c r="AH15" s="941">
        <v>0.0</v>
      </c>
      <c r="AI15" s="941">
        <v>0.0</v>
      </c>
      <c r="AJ15" s="941">
        <v>4.0</v>
      </c>
      <c r="AK15" s="942">
        <v>3.0</v>
      </c>
      <c r="AL15" s="941">
        <v>1.0</v>
      </c>
      <c r="AM15" s="941">
        <v>0.0</v>
      </c>
    </row>
    <row r="16">
      <c r="A16" s="935" t="s">
        <v>119</v>
      </c>
      <c r="B16" s="941">
        <v>1.0</v>
      </c>
      <c r="C16" s="941">
        <v>1.0</v>
      </c>
      <c r="D16" s="941">
        <v>0.0</v>
      </c>
      <c r="E16" s="941">
        <v>2.0</v>
      </c>
      <c r="F16" s="941">
        <v>7.0</v>
      </c>
      <c r="G16" s="941">
        <v>33.0</v>
      </c>
      <c r="H16" s="941">
        <v>28.0</v>
      </c>
      <c r="I16" s="941">
        <v>5.0</v>
      </c>
      <c r="J16" s="941">
        <v>3.0</v>
      </c>
      <c r="K16" s="941">
        <v>6.0</v>
      </c>
      <c r="L16" s="941">
        <v>0.0</v>
      </c>
      <c r="M16" s="941">
        <v>536.0</v>
      </c>
      <c r="N16" s="941">
        <v>702.0</v>
      </c>
      <c r="O16" s="941">
        <v>19.0</v>
      </c>
      <c r="P16" s="941">
        <v>232.0</v>
      </c>
      <c r="Q16" s="941">
        <v>0.0</v>
      </c>
      <c r="R16" s="941">
        <v>1.0</v>
      </c>
      <c r="S16" s="941">
        <v>0.0</v>
      </c>
      <c r="T16" s="941">
        <v>0.0</v>
      </c>
      <c r="U16" s="941">
        <v>0.0</v>
      </c>
      <c r="V16" s="941">
        <v>0.0</v>
      </c>
      <c r="W16" s="941">
        <v>0.0</v>
      </c>
      <c r="X16" s="941">
        <v>6.0</v>
      </c>
      <c r="Y16" s="941">
        <v>2.0</v>
      </c>
      <c r="Z16" s="941">
        <v>1.0</v>
      </c>
      <c r="AA16" s="941">
        <v>0.0</v>
      </c>
      <c r="AB16" s="941">
        <v>0.0</v>
      </c>
      <c r="AC16" s="941">
        <v>0.0</v>
      </c>
      <c r="AD16" s="941">
        <v>0.0</v>
      </c>
      <c r="AE16" s="941">
        <v>0.0</v>
      </c>
      <c r="AF16" s="941">
        <v>0.0</v>
      </c>
      <c r="AG16" s="941">
        <v>0.0</v>
      </c>
      <c r="AH16" s="941">
        <v>0.0</v>
      </c>
      <c r="AI16" s="941">
        <v>0.0</v>
      </c>
      <c r="AJ16" s="941">
        <v>4.0</v>
      </c>
      <c r="AK16" s="942">
        <v>7.0</v>
      </c>
      <c r="AL16" s="941">
        <v>0.0</v>
      </c>
      <c r="AM16" s="941">
        <v>0.0</v>
      </c>
    </row>
    <row r="17">
      <c r="A17" s="943" t="s">
        <v>130</v>
      </c>
      <c r="B17" s="944">
        <v>1.0</v>
      </c>
      <c r="C17" s="944">
        <v>1.0</v>
      </c>
      <c r="D17" s="944">
        <v>0.0</v>
      </c>
      <c r="E17" s="944">
        <v>2.0</v>
      </c>
      <c r="F17" s="944">
        <v>4.0</v>
      </c>
      <c r="G17" s="944">
        <v>36.0</v>
      </c>
      <c r="H17" s="944">
        <v>19.0</v>
      </c>
      <c r="I17" s="944">
        <v>17.0</v>
      </c>
      <c r="J17" s="944">
        <v>2.0</v>
      </c>
      <c r="K17" s="944">
        <v>7.0</v>
      </c>
      <c r="L17" s="944">
        <v>0.0</v>
      </c>
      <c r="M17" s="944">
        <v>561.0</v>
      </c>
      <c r="N17" s="944">
        <v>702.0</v>
      </c>
      <c r="O17" s="944">
        <v>29.0</v>
      </c>
      <c r="P17" s="944">
        <v>58.0</v>
      </c>
      <c r="Q17" s="944">
        <v>0.0</v>
      </c>
      <c r="R17" s="944">
        <v>1.0</v>
      </c>
      <c r="S17" s="944">
        <v>0.0</v>
      </c>
      <c r="T17" s="944">
        <v>0.0</v>
      </c>
      <c r="U17" s="944">
        <v>0.0</v>
      </c>
      <c r="V17" s="944">
        <v>0.0</v>
      </c>
      <c r="W17" s="944">
        <v>0.0</v>
      </c>
      <c r="X17" s="944">
        <v>7.0</v>
      </c>
      <c r="Y17" s="944">
        <v>1.0</v>
      </c>
      <c r="Z17" s="944">
        <v>0.0</v>
      </c>
      <c r="AA17" s="944">
        <v>0.0</v>
      </c>
      <c r="AB17" s="944">
        <v>0.0</v>
      </c>
      <c r="AC17" s="944">
        <v>0.0</v>
      </c>
      <c r="AD17" s="944">
        <v>0.0</v>
      </c>
      <c r="AE17" s="944">
        <v>0.0</v>
      </c>
      <c r="AF17" s="944">
        <v>0.0</v>
      </c>
      <c r="AG17" s="944">
        <v>0.0</v>
      </c>
      <c r="AH17" s="944">
        <v>2.0</v>
      </c>
      <c r="AI17" s="944">
        <v>0.0</v>
      </c>
      <c r="AJ17" s="944">
        <v>8.0</v>
      </c>
      <c r="AK17" s="945">
        <v>5.0</v>
      </c>
      <c r="AL17" s="941">
        <v>2.0</v>
      </c>
      <c r="AM17" s="941">
        <v>0.0</v>
      </c>
    </row>
    <row r="18">
      <c r="A18" s="946" t="s">
        <v>141</v>
      </c>
      <c r="B18" s="895">
        <v>1.0</v>
      </c>
      <c r="C18" s="939">
        <v>0.0</v>
      </c>
      <c r="D18" s="939">
        <v>1.0</v>
      </c>
      <c r="E18" s="939">
        <v>0.0</v>
      </c>
      <c r="F18" s="939">
        <v>1.0</v>
      </c>
      <c r="G18" s="939">
        <v>16.0</v>
      </c>
      <c r="H18" s="939">
        <v>47.0</v>
      </c>
      <c r="I18" s="939">
        <v>-31.0</v>
      </c>
      <c r="J18" s="939">
        <v>2.0</v>
      </c>
      <c r="K18" s="939">
        <v>2.0</v>
      </c>
      <c r="L18" s="939">
        <v>1.0</v>
      </c>
      <c r="M18" s="939">
        <v>547.0</v>
      </c>
      <c r="N18" s="939">
        <v>765.0</v>
      </c>
      <c r="O18" s="939">
        <v>11.0</v>
      </c>
      <c r="P18" s="939">
        <v>2.0</v>
      </c>
      <c r="Q18" s="939">
        <v>0.0</v>
      </c>
      <c r="R18" s="939">
        <v>0.0</v>
      </c>
      <c r="S18" s="939">
        <v>0.0</v>
      </c>
      <c r="T18" s="939">
        <v>0.0</v>
      </c>
      <c r="U18" s="939">
        <v>0.0</v>
      </c>
      <c r="V18" s="939">
        <v>0.0</v>
      </c>
      <c r="W18" s="939">
        <v>0.0</v>
      </c>
      <c r="X18" s="939">
        <v>2.0</v>
      </c>
      <c r="Y18" s="939">
        <v>0.0</v>
      </c>
      <c r="Z18" s="939">
        <v>0.0</v>
      </c>
      <c r="AA18" s="939">
        <v>0.0</v>
      </c>
      <c r="AB18" s="939">
        <v>0.0</v>
      </c>
      <c r="AC18" s="939">
        <v>0.0</v>
      </c>
      <c r="AD18" s="939">
        <v>0.0</v>
      </c>
      <c r="AE18" s="939">
        <v>0.0</v>
      </c>
      <c r="AF18" s="939">
        <v>0.0</v>
      </c>
      <c r="AG18" s="939">
        <v>0.0</v>
      </c>
      <c r="AH18" s="939">
        <v>0.0</v>
      </c>
      <c r="AI18" s="939">
        <v>0.0</v>
      </c>
      <c r="AJ18" s="939">
        <v>4.0</v>
      </c>
      <c r="AK18" s="940">
        <v>3.0</v>
      </c>
      <c r="AL18" s="941">
        <v>1.0</v>
      </c>
      <c r="AM18" s="941">
        <v>1.0</v>
      </c>
    </row>
    <row r="19">
      <c r="A19" s="935" t="s">
        <v>152</v>
      </c>
      <c r="B19" s="941">
        <v>1.0</v>
      </c>
      <c r="C19" s="941">
        <v>0.0</v>
      </c>
      <c r="D19" s="941">
        <v>1.0</v>
      </c>
      <c r="E19" s="941">
        <v>0.0</v>
      </c>
      <c r="F19" s="941">
        <v>0.0</v>
      </c>
      <c r="G19" s="941">
        <v>24.0</v>
      </c>
      <c r="H19" s="941">
        <v>40.0</v>
      </c>
      <c r="I19" s="941">
        <v>-16.0</v>
      </c>
      <c r="J19" s="941">
        <v>1.0</v>
      </c>
      <c r="K19" s="941">
        <v>3.0</v>
      </c>
      <c r="L19" s="941">
        <v>0.0</v>
      </c>
      <c r="M19" s="941">
        <v>561.0</v>
      </c>
      <c r="N19" s="941">
        <v>765.0</v>
      </c>
      <c r="O19" s="941">
        <v>14.0</v>
      </c>
      <c r="P19" s="941">
        <v>0.0</v>
      </c>
      <c r="Q19" s="941">
        <v>0.0</v>
      </c>
      <c r="R19" s="941">
        <v>0.0</v>
      </c>
      <c r="S19" s="941">
        <v>0.0</v>
      </c>
      <c r="T19" s="941">
        <v>0.0</v>
      </c>
      <c r="U19" s="941">
        <v>0.0</v>
      </c>
      <c r="V19" s="941">
        <v>0.0</v>
      </c>
      <c r="W19" s="941">
        <v>0.0</v>
      </c>
      <c r="X19" s="941">
        <v>2.0</v>
      </c>
      <c r="Y19" s="941">
        <v>0.0</v>
      </c>
      <c r="Z19" s="941">
        <v>0.0</v>
      </c>
      <c r="AA19" s="941">
        <v>0.0</v>
      </c>
      <c r="AB19" s="941">
        <v>0.0</v>
      </c>
      <c r="AC19" s="941">
        <v>0.0</v>
      </c>
      <c r="AD19" s="941">
        <v>0.0</v>
      </c>
      <c r="AE19" s="941">
        <v>0.0</v>
      </c>
      <c r="AF19" s="941">
        <v>0.0</v>
      </c>
      <c r="AG19" s="941">
        <v>0.0</v>
      </c>
      <c r="AH19" s="941">
        <v>0.0</v>
      </c>
      <c r="AI19" s="941">
        <v>0.0</v>
      </c>
      <c r="AJ19" s="941">
        <v>5.0</v>
      </c>
      <c r="AK19" s="942">
        <v>1.0</v>
      </c>
      <c r="AL19" s="941">
        <v>1.0</v>
      </c>
      <c r="AM19" s="941">
        <v>1.0</v>
      </c>
    </row>
    <row r="20">
      <c r="A20" s="935" t="s">
        <v>130</v>
      </c>
      <c r="B20" s="941">
        <v>1.0</v>
      </c>
      <c r="C20" s="941">
        <v>0.0</v>
      </c>
      <c r="D20" s="941">
        <v>1.0</v>
      </c>
      <c r="E20" s="941">
        <v>0.0</v>
      </c>
      <c r="F20" s="941">
        <v>0.0</v>
      </c>
      <c r="G20" s="941">
        <v>27.0</v>
      </c>
      <c r="H20" s="941">
        <v>29.0</v>
      </c>
      <c r="I20" s="941">
        <v>-2.0</v>
      </c>
      <c r="J20" s="941">
        <v>1.0</v>
      </c>
      <c r="K20" s="941">
        <v>3.0</v>
      </c>
      <c r="L20" s="941">
        <v>4.0</v>
      </c>
      <c r="M20" s="941">
        <v>597.0</v>
      </c>
      <c r="N20" s="941">
        <v>765.0</v>
      </c>
      <c r="O20" s="941">
        <v>20.0</v>
      </c>
      <c r="P20" s="941">
        <v>7.0</v>
      </c>
      <c r="Q20" s="941">
        <v>0.0</v>
      </c>
      <c r="R20" s="941">
        <v>0.0</v>
      </c>
      <c r="S20" s="941">
        <v>0.0</v>
      </c>
      <c r="T20" s="941">
        <v>0.0</v>
      </c>
      <c r="U20" s="941">
        <v>0.0</v>
      </c>
      <c r="V20" s="941">
        <v>0.0</v>
      </c>
      <c r="W20" s="941">
        <v>0.0</v>
      </c>
      <c r="X20" s="941">
        <v>1.0</v>
      </c>
      <c r="Y20" s="941">
        <v>0.0</v>
      </c>
      <c r="Z20" s="941">
        <v>0.0</v>
      </c>
      <c r="AA20" s="941">
        <v>0.0</v>
      </c>
      <c r="AB20" s="941">
        <v>0.0</v>
      </c>
      <c r="AC20" s="941">
        <v>0.0</v>
      </c>
      <c r="AD20" s="941">
        <v>0.0</v>
      </c>
      <c r="AE20" s="941">
        <v>0.0</v>
      </c>
      <c r="AF20" s="941">
        <v>0.0</v>
      </c>
      <c r="AG20" s="941">
        <v>0.0</v>
      </c>
      <c r="AH20" s="941">
        <v>0.0</v>
      </c>
      <c r="AI20" s="941">
        <v>0.0</v>
      </c>
      <c r="AJ20" s="941">
        <v>3.0</v>
      </c>
      <c r="AK20" s="942">
        <v>6.0</v>
      </c>
      <c r="AL20" s="941">
        <v>0.0</v>
      </c>
      <c r="AM20" s="941">
        <v>1.0</v>
      </c>
    </row>
    <row r="21">
      <c r="A21" s="935" t="s">
        <v>119</v>
      </c>
      <c r="B21" s="941">
        <v>1.0</v>
      </c>
      <c r="C21" s="941">
        <v>0.0</v>
      </c>
      <c r="D21" s="941">
        <v>1.0</v>
      </c>
      <c r="E21" s="941">
        <v>1.0</v>
      </c>
      <c r="F21" s="941">
        <v>11.0</v>
      </c>
      <c r="G21" s="941">
        <v>39.0</v>
      </c>
      <c r="H21" s="941">
        <v>34.0</v>
      </c>
      <c r="I21" s="941">
        <v>5.0</v>
      </c>
      <c r="J21" s="941">
        <v>0.0</v>
      </c>
      <c r="K21" s="941">
        <v>4.0</v>
      </c>
      <c r="L21" s="941">
        <v>3.0</v>
      </c>
      <c r="M21" s="941">
        <v>587.0</v>
      </c>
      <c r="N21" s="941">
        <v>765.0</v>
      </c>
      <c r="O21" s="941">
        <v>17.0</v>
      </c>
      <c r="P21" s="941">
        <v>132.0</v>
      </c>
      <c r="Q21" s="941">
        <v>0.0</v>
      </c>
      <c r="R21" s="941">
        <v>0.0</v>
      </c>
      <c r="S21" s="941">
        <v>0.0</v>
      </c>
      <c r="T21" s="941">
        <v>0.0</v>
      </c>
      <c r="U21" s="941">
        <v>0.0</v>
      </c>
      <c r="V21" s="941">
        <v>0.0</v>
      </c>
      <c r="W21" s="941">
        <v>0.0</v>
      </c>
      <c r="X21" s="941">
        <v>7.0</v>
      </c>
      <c r="Y21" s="941">
        <v>2.0</v>
      </c>
      <c r="Z21" s="941">
        <v>1.0</v>
      </c>
      <c r="AA21" s="941">
        <v>0.0</v>
      </c>
      <c r="AB21" s="941">
        <v>0.0</v>
      </c>
      <c r="AC21" s="941">
        <v>0.0</v>
      </c>
      <c r="AD21" s="941">
        <v>0.0</v>
      </c>
      <c r="AE21" s="941">
        <v>0.0</v>
      </c>
      <c r="AF21" s="941">
        <v>0.0</v>
      </c>
      <c r="AG21" s="941">
        <v>0.0</v>
      </c>
      <c r="AH21" s="941">
        <v>1.0</v>
      </c>
      <c r="AI21" s="941">
        <v>0.0</v>
      </c>
      <c r="AJ21" s="941">
        <v>4.0</v>
      </c>
      <c r="AK21" s="942">
        <v>7.0</v>
      </c>
      <c r="AL21" s="941">
        <v>2.0</v>
      </c>
      <c r="AM21" s="941">
        <v>1.0</v>
      </c>
    </row>
    <row r="22">
      <c r="A22" s="935" t="s">
        <v>140</v>
      </c>
      <c r="B22" s="941">
        <v>1.0</v>
      </c>
      <c r="C22" s="941">
        <v>1.0</v>
      </c>
      <c r="D22" s="941">
        <v>0.0</v>
      </c>
      <c r="E22" s="941">
        <v>0.0</v>
      </c>
      <c r="F22" s="941">
        <v>1.0</v>
      </c>
      <c r="G22" s="941">
        <v>30.0</v>
      </c>
      <c r="H22" s="941">
        <v>29.0</v>
      </c>
      <c r="I22" s="941">
        <v>1.0</v>
      </c>
      <c r="J22" s="941">
        <v>2.0</v>
      </c>
      <c r="K22" s="941">
        <v>7.0</v>
      </c>
      <c r="L22" s="941">
        <v>0.0</v>
      </c>
      <c r="M22" s="941">
        <v>597.0</v>
      </c>
      <c r="N22" s="941">
        <v>765.0</v>
      </c>
      <c r="O22" s="941">
        <v>20.0</v>
      </c>
      <c r="P22" s="941">
        <v>3.0</v>
      </c>
      <c r="Q22" s="941">
        <v>0.0</v>
      </c>
      <c r="R22" s="941">
        <v>1.0</v>
      </c>
      <c r="S22" s="941">
        <v>0.0</v>
      </c>
      <c r="T22" s="941">
        <v>0.0</v>
      </c>
      <c r="U22" s="941">
        <v>0.0</v>
      </c>
      <c r="V22" s="941">
        <v>1.0</v>
      </c>
      <c r="W22" s="941">
        <v>0.0</v>
      </c>
      <c r="X22" s="941">
        <v>7.0</v>
      </c>
      <c r="Y22" s="941">
        <v>1.0</v>
      </c>
      <c r="Z22" s="941">
        <v>1.0</v>
      </c>
      <c r="AA22" s="941">
        <v>0.0</v>
      </c>
      <c r="AB22" s="941">
        <v>0.0</v>
      </c>
      <c r="AC22" s="941">
        <v>0.0</v>
      </c>
      <c r="AD22" s="941">
        <v>0.0</v>
      </c>
      <c r="AE22" s="941">
        <v>0.0</v>
      </c>
      <c r="AF22" s="941">
        <v>0.0</v>
      </c>
      <c r="AG22" s="941">
        <v>0.0</v>
      </c>
      <c r="AH22" s="941">
        <v>0.0</v>
      </c>
      <c r="AI22" s="941">
        <v>0.0</v>
      </c>
      <c r="AJ22" s="941">
        <v>0.0</v>
      </c>
      <c r="AK22" s="942">
        <v>7.0</v>
      </c>
      <c r="AL22" s="941">
        <v>1.0</v>
      </c>
      <c r="AM22" s="941">
        <v>0.0</v>
      </c>
    </row>
    <row r="23">
      <c r="A23" s="935" t="s">
        <v>151</v>
      </c>
      <c r="B23" s="941">
        <v>1.0</v>
      </c>
      <c r="C23" s="941">
        <v>1.0</v>
      </c>
      <c r="D23" s="941">
        <v>0.0</v>
      </c>
      <c r="E23" s="941">
        <v>0.0</v>
      </c>
      <c r="F23" s="941">
        <v>0.0</v>
      </c>
      <c r="G23" s="941">
        <v>24.0</v>
      </c>
      <c r="H23" s="941">
        <v>37.0</v>
      </c>
      <c r="I23" s="941">
        <v>-13.0</v>
      </c>
      <c r="J23" s="941">
        <v>3.0</v>
      </c>
      <c r="K23" s="941">
        <v>3.0</v>
      </c>
      <c r="L23" s="941">
        <v>0.0</v>
      </c>
      <c r="M23" s="941">
        <v>571.0</v>
      </c>
      <c r="N23" s="941">
        <v>765.0</v>
      </c>
      <c r="O23" s="941">
        <v>15.0</v>
      </c>
      <c r="P23" s="941">
        <v>10.0</v>
      </c>
      <c r="Q23" s="941">
        <v>0.0</v>
      </c>
      <c r="R23" s="941">
        <v>0.0</v>
      </c>
      <c r="S23" s="941">
        <v>0.0</v>
      </c>
      <c r="T23" s="941">
        <v>0.0</v>
      </c>
      <c r="U23" s="941">
        <v>0.0</v>
      </c>
      <c r="V23" s="941">
        <v>0.0</v>
      </c>
      <c r="W23" s="941">
        <v>0.0</v>
      </c>
      <c r="X23" s="941">
        <v>3.0</v>
      </c>
      <c r="Y23" s="941">
        <v>0.0</v>
      </c>
      <c r="Z23" s="941">
        <v>0.0</v>
      </c>
      <c r="AA23" s="941">
        <v>0.0</v>
      </c>
      <c r="AB23" s="941">
        <v>0.0</v>
      </c>
      <c r="AC23" s="941">
        <v>0.0</v>
      </c>
      <c r="AD23" s="941">
        <v>0.0</v>
      </c>
      <c r="AE23" s="941">
        <v>0.0</v>
      </c>
      <c r="AF23" s="941">
        <v>0.0</v>
      </c>
      <c r="AG23" s="941">
        <v>0.0</v>
      </c>
      <c r="AH23" s="941">
        <v>1.0</v>
      </c>
      <c r="AI23" s="941">
        <v>0.0</v>
      </c>
      <c r="AJ23" s="941">
        <v>1.0</v>
      </c>
      <c r="AK23" s="942">
        <v>4.0</v>
      </c>
      <c r="AL23" s="941">
        <v>0.0</v>
      </c>
      <c r="AM23" s="941">
        <v>0.0</v>
      </c>
    </row>
    <row r="24">
      <c r="A24" s="935" t="s">
        <v>129</v>
      </c>
      <c r="B24" s="941">
        <v>1.0</v>
      </c>
      <c r="C24" s="941">
        <v>1.0</v>
      </c>
      <c r="D24" s="941">
        <v>0.0</v>
      </c>
      <c r="E24" s="941">
        <v>0.0</v>
      </c>
      <c r="F24" s="941">
        <v>0.0</v>
      </c>
      <c r="G24" s="941">
        <v>57.0</v>
      </c>
      <c r="H24" s="941">
        <v>30.0</v>
      </c>
      <c r="I24" s="941">
        <v>27.0</v>
      </c>
      <c r="J24" s="941">
        <v>0.0</v>
      </c>
      <c r="K24" s="941">
        <v>9.0</v>
      </c>
      <c r="L24" s="941">
        <v>0.0</v>
      </c>
      <c r="M24" s="941">
        <v>595.0</v>
      </c>
      <c r="N24" s="941">
        <v>765.0</v>
      </c>
      <c r="O24" s="941">
        <v>19.0</v>
      </c>
      <c r="P24" s="941">
        <v>14.0</v>
      </c>
      <c r="Q24" s="941">
        <v>0.0</v>
      </c>
      <c r="R24" s="941">
        <v>2.0</v>
      </c>
      <c r="S24" s="941">
        <v>0.0</v>
      </c>
      <c r="T24" s="941">
        <v>0.0</v>
      </c>
      <c r="U24" s="941">
        <v>0.0</v>
      </c>
      <c r="V24" s="941">
        <v>2.0</v>
      </c>
      <c r="W24" s="941">
        <v>0.0</v>
      </c>
      <c r="X24" s="941">
        <v>15.0</v>
      </c>
      <c r="Y24" s="941">
        <v>7.0</v>
      </c>
      <c r="Z24" s="941">
        <v>1.0</v>
      </c>
      <c r="AA24" s="941">
        <v>1.0</v>
      </c>
      <c r="AB24" s="941">
        <v>1.0</v>
      </c>
      <c r="AC24" s="941">
        <v>0.0</v>
      </c>
      <c r="AD24" s="941">
        <v>0.0</v>
      </c>
      <c r="AE24" s="941">
        <v>0.0</v>
      </c>
      <c r="AF24" s="941">
        <v>0.0</v>
      </c>
      <c r="AG24" s="941">
        <v>0.0</v>
      </c>
      <c r="AH24" s="941">
        <v>1.0</v>
      </c>
      <c r="AI24" s="941">
        <v>0.0</v>
      </c>
      <c r="AJ24" s="941">
        <v>3.0</v>
      </c>
      <c r="AK24" s="942">
        <v>9.0</v>
      </c>
      <c r="AL24" s="941">
        <v>0.0</v>
      </c>
      <c r="AM24" s="941">
        <v>0.0</v>
      </c>
    </row>
    <row r="25">
      <c r="A25" s="943" t="s">
        <v>118</v>
      </c>
      <c r="B25" s="882">
        <v>1.0</v>
      </c>
      <c r="C25" s="944">
        <v>1.0</v>
      </c>
      <c r="D25" s="944">
        <v>0.0</v>
      </c>
      <c r="E25" s="944">
        <v>5.0</v>
      </c>
      <c r="F25" s="944">
        <v>7.0</v>
      </c>
      <c r="G25" s="944">
        <v>21.0</v>
      </c>
      <c r="H25" s="944">
        <v>16.0</v>
      </c>
      <c r="I25" s="944">
        <v>5.0</v>
      </c>
      <c r="J25" s="944">
        <v>3.0</v>
      </c>
      <c r="K25" s="944">
        <v>3.0</v>
      </c>
      <c r="L25" s="944">
        <v>0.0</v>
      </c>
      <c r="M25" s="944">
        <v>631.0</v>
      </c>
      <c r="N25" s="944">
        <v>765.0</v>
      </c>
      <c r="O25" s="944">
        <v>39.0</v>
      </c>
      <c r="P25" s="944">
        <v>441.0</v>
      </c>
      <c r="Q25" s="944">
        <v>0.0</v>
      </c>
      <c r="R25" s="944">
        <v>0.0</v>
      </c>
      <c r="S25" s="944">
        <v>0.0</v>
      </c>
      <c r="T25" s="944">
        <v>0.0</v>
      </c>
      <c r="U25" s="944">
        <v>0.0</v>
      </c>
      <c r="V25" s="944">
        <v>0.0</v>
      </c>
      <c r="W25" s="944">
        <v>0.0</v>
      </c>
      <c r="X25" s="944">
        <v>1.0</v>
      </c>
      <c r="Y25" s="944">
        <v>0.0</v>
      </c>
      <c r="Z25" s="944">
        <v>0.0</v>
      </c>
      <c r="AA25" s="944">
        <v>0.0</v>
      </c>
      <c r="AB25" s="944">
        <v>0.0</v>
      </c>
      <c r="AC25" s="944">
        <v>0.0</v>
      </c>
      <c r="AD25" s="944">
        <v>0.0</v>
      </c>
      <c r="AE25" s="944">
        <v>0.0</v>
      </c>
      <c r="AF25" s="944">
        <v>0.0</v>
      </c>
      <c r="AG25" s="944">
        <v>0.0</v>
      </c>
      <c r="AH25" s="944">
        <v>0.0</v>
      </c>
      <c r="AI25" s="944">
        <v>0.0</v>
      </c>
      <c r="AJ25" s="944">
        <v>4.0</v>
      </c>
      <c r="AK25" s="945">
        <v>2.0</v>
      </c>
      <c r="AL25" s="941">
        <v>1.0</v>
      </c>
      <c r="AM25" s="941">
        <v>0.0</v>
      </c>
    </row>
    <row r="26">
      <c r="A26" s="946" t="s">
        <v>117</v>
      </c>
      <c r="B26" s="939">
        <v>1.0</v>
      </c>
      <c r="C26" s="895">
        <v>0.0</v>
      </c>
      <c r="D26" s="939">
        <v>1.0</v>
      </c>
      <c r="E26" s="939">
        <v>0.0</v>
      </c>
      <c r="F26" s="939">
        <v>0.0</v>
      </c>
      <c r="G26" s="939">
        <v>88.0</v>
      </c>
      <c r="H26" s="939">
        <v>104.0</v>
      </c>
      <c r="I26" s="939">
        <v>-16.0</v>
      </c>
      <c r="J26" s="939">
        <v>6.0</v>
      </c>
      <c r="K26" s="939">
        <v>7.0</v>
      </c>
      <c r="L26" s="939">
        <v>1.0</v>
      </c>
      <c r="M26" s="939">
        <v>1476.0</v>
      </c>
      <c r="N26" s="939">
        <v>1897.0</v>
      </c>
      <c r="O26" s="939">
        <v>14.0</v>
      </c>
      <c r="P26" s="939">
        <v>44.0</v>
      </c>
      <c r="Q26" s="939">
        <v>0.0</v>
      </c>
      <c r="R26" s="939">
        <v>1.0</v>
      </c>
      <c r="S26" s="939">
        <v>0.0</v>
      </c>
      <c r="T26" s="939">
        <v>0.0</v>
      </c>
      <c r="U26" s="939">
        <v>0.0</v>
      </c>
      <c r="V26" s="939">
        <v>1.0</v>
      </c>
      <c r="W26" s="939">
        <v>0.0</v>
      </c>
      <c r="X26" s="939">
        <v>13.0</v>
      </c>
      <c r="Y26" s="939">
        <v>3.0</v>
      </c>
      <c r="Z26" s="939">
        <v>0.0</v>
      </c>
      <c r="AA26" s="939">
        <v>0.0</v>
      </c>
      <c r="AB26" s="939">
        <v>0.0</v>
      </c>
      <c r="AC26" s="939">
        <v>0.0</v>
      </c>
      <c r="AD26" s="939">
        <v>0.0</v>
      </c>
      <c r="AE26" s="939">
        <v>0.0</v>
      </c>
      <c r="AF26" s="939">
        <v>0.0</v>
      </c>
      <c r="AG26" s="939">
        <v>0.0</v>
      </c>
      <c r="AH26" s="939">
        <v>2.0</v>
      </c>
      <c r="AI26" s="895">
        <v>0.0</v>
      </c>
      <c r="AJ26" s="895">
        <v>9.0</v>
      </c>
      <c r="AK26" s="947">
        <v>16.0</v>
      </c>
      <c r="AL26" s="941">
        <v>0.0</v>
      </c>
      <c r="AM26" s="941">
        <v>1.0</v>
      </c>
    </row>
    <row r="27">
      <c r="A27" s="935" t="s">
        <v>150</v>
      </c>
      <c r="B27" s="941">
        <v>1.0</v>
      </c>
      <c r="C27" s="941">
        <v>0.0</v>
      </c>
      <c r="D27" s="941">
        <v>1.0</v>
      </c>
      <c r="E27" s="941">
        <v>0.0</v>
      </c>
      <c r="F27" s="941">
        <v>2.0</v>
      </c>
      <c r="G27" s="941">
        <v>101.0</v>
      </c>
      <c r="H27" s="941">
        <v>153.0</v>
      </c>
      <c r="I27" s="941">
        <v>-52.0</v>
      </c>
      <c r="J27" s="941">
        <v>3.0</v>
      </c>
      <c r="K27" s="941">
        <v>4.0</v>
      </c>
      <c r="L27" s="941">
        <v>1.0</v>
      </c>
      <c r="M27" s="941">
        <v>1331.0</v>
      </c>
      <c r="N27" s="941">
        <v>1897.0</v>
      </c>
      <c r="O27" s="941">
        <v>8.0</v>
      </c>
      <c r="P27" s="941">
        <v>60.0</v>
      </c>
      <c r="Q27" s="941">
        <v>0.0</v>
      </c>
      <c r="R27" s="941">
        <v>0.0</v>
      </c>
      <c r="S27" s="941">
        <v>0.0</v>
      </c>
      <c r="T27" s="941">
        <v>0.0</v>
      </c>
      <c r="U27" s="941">
        <v>0.0</v>
      </c>
      <c r="V27" s="941">
        <v>0.0</v>
      </c>
      <c r="W27" s="941">
        <v>0.0</v>
      </c>
      <c r="X27" s="941">
        <v>9.0</v>
      </c>
      <c r="Y27" s="941">
        <v>1.0</v>
      </c>
      <c r="Z27" s="941">
        <v>0.0</v>
      </c>
      <c r="AA27" s="941">
        <v>0.0</v>
      </c>
      <c r="AB27" s="941">
        <v>0.0</v>
      </c>
      <c r="AC27" s="941">
        <v>0.0</v>
      </c>
      <c r="AD27" s="941">
        <v>0.0</v>
      </c>
      <c r="AE27" s="941">
        <v>0.0</v>
      </c>
      <c r="AF27" s="941">
        <v>0.0</v>
      </c>
      <c r="AG27" s="941">
        <v>0.0</v>
      </c>
      <c r="AH27" s="941">
        <v>5.0</v>
      </c>
      <c r="AI27" s="941">
        <v>0.0</v>
      </c>
      <c r="AJ27" s="941">
        <v>8.0</v>
      </c>
      <c r="AK27" s="942">
        <v>13.0</v>
      </c>
      <c r="AL27" s="941">
        <v>1.0</v>
      </c>
      <c r="AM27" s="941">
        <v>1.0</v>
      </c>
    </row>
    <row r="28">
      <c r="A28" s="935" t="s">
        <v>139</v>
      </c>
      <c r="B28" s="941">
        <v>1.0</v>
      </c>
      <c r="C28" s="941">
        <v>0.0</v>
      </c>
      <c r="D28" s="941">
        <v>1.0</v>
      </c>
      <c r="E28" s="941">
        <v>0.0</v>
      </c>
      <c r="F28" s="941">
        <v>0.0</v>
      </c>
      <c r="G28" s="941">
        <v>121.0</v>
      </c>
      <c r="H28" s="941">
        <v>137.0</v>
      </c>
      <c r="I28" s="941">
        <v>-16.0</v>
      </c>
      <c r="J28" s="941">
        <v>5.0</v>
      </c>
      <c r="K28" s="941">
        <v>4.0</v>
      </c>
      <c r="L28" s="941">
        <v>3.0</v>
      </c>
      <c r="M28" s="941">
        <v>1372.0</v>
      </c>
      <c r="N28" s="941">
        <v>1897.0</v>
      </c>
      <c r="O28" s="941">
        <v>10.0</v>
      </c>
      <c r="P28" s="941">
        <v>9.0</v>
      </c>
      <c r="Q28" s="941">
        <v>0.0</v>
      </c>
      <c r="R28" s="941">
        <v>0.0</v>
      </c>
      <c r="S28" s="941">
        <v>0.0</v>
      </c>
      <c r="T28" s="941">
        <v>0.0</v>
      </c>
      <c r="U28" s="941">
        <v>0.0</v>
      </c>
      <c r="V28" s="941">
        <v>0.0</v>
      </c>
      <c r="W28" s="941">
        <v>0.0</v>
      </c>
      <c r="X28" s="941">
        <v>11.0</v>
      </c>
      <c r="Y28" s="941">
        <v>2.0</v>
      </c>
      <c r="Z28" s="941">
        <v>0.0</v>
      </c>
      <c r="AA28" s="941">
        <v>0.0</v>
      </c>
      <c r="AB28" s="941">
        <v>0.0</v>
      </c>
      <c r="AC28" s="941">
        <v>0.0</v>
      </c>
      <c r="AD28" s="941">
        <v>0.0</v>
      </c>
      <c r="AE28" s="941">
        <v>0.0</v>
      </c>
      <c r="AF28" s="941">
        <v>0.0</v>
      </c>
      <c r="AG28" s="941">
        <v>0.0</v>
      </c>
      <c r="AH28" s="941">
        <v>1.0</v>
      </c>
      <c r="AI28" s="941">
        <v>0.0</v>
      </c>
      <c r="AJ28" s="941">
        <v>10.0</v>
      </c>
      <c r="AK28" s="942">
        <v>18.0</v>
      </c>
      <c r="AL28" s="941">
        <v>3.0</v>
      </c>
      <c r="AM28" s="941">
        <v>1.0</v>
      </c>
    </row>
    <row r="29">
      <c r="A29" s="935" t="s">
        <v>128</v>
      </c>
      <c r="B29" s="941">
        <v>1.0</v>
      </c>
      <c r="C29" s="941">
        <v>0.0</v>
      </c>
      <c r="D29" s="941">
        <v>1.0</v>
      </c>
      <c r="E29" s="941">
        <v>3.0</v>
      </c>
      <c r="F29" s="941">
        <v>7.0</v>
      </c>
      <c r="G29" s="941">
        <v>84.0</v>
      </c>
      <c r="H29" s="941">
        <v>84.0</v>
      </c>
      <c r="I29" s="941">
        <v>0.0</v>
      </c>
      <c r="J29" s="941">
        <v>2.0</v>
      </c>
      <c r="K29" s="941">
        <v>7.0</v>
      </c>
      <c r="L29" s="941">
        <v>2.0</v>
      </c>
      <c r="M29" s="941">
        <v>1544.0</v>
      </c>
      <c r="N29" s="941">
        <v>1897.0</v>
      </c>
      <c r="O29" s="941">
        <v>18.0</v>
      </c>
      <c r="P29" s="941">
        <v>579.0</v>
      </c>
      <c r="Q29" s="941">
        <v>0.0</v>
      </c>
      <c r="R29" s="941">
        <v>2.0</v>
      </c>
      <c r="S29" s="941">
        <v>0.0</v>
      </c>
      <c r="T29" s="941">
        <v>0.0</v>
      </c>
      <c r="U29" s="941">
        <v>0.0</v>
      </c>
      <c r="V29" s="941">
        <v>1.0</v>
      </c>
      <c r="W29" s="941">
        <v>0.0</v>
      </c>
      <c r="X29" s="941">
        <v>9.0</v>
      </c>
      <c r="Y29" s="941">
        <v>1.0</v>
      </c>
      <c r="Z29" s="941">
        <v>0.0</v>
      </c>
      <c r="AA29" s="941">
        <v>0.0</v>
      </c>
      <c r="AB29" s="941">
        <v>0.0</v>
      </c>
      <c r="AC29" s="941">
        <v>0.0</v>
      </c>
      <c r="AD29" s="941">
        <v>0.0</v>
      </c>
      <c r="AE29" s="941">
        <v>0.0</v>
      </c>
      <c r="AF29" s="941">
        <v>0.0</v>
      </c>
      <c r="AG29" s="941">
        <v>0.0</v>
      </c>
      <c r="AH29" s="941">
        <v>2.0</v>
      </c>
      <c r="AI29" s="941">
        <v>0.0</v>
      </c>
      <c r="AJ29" s="941">
        <v>22.0</v>
      </c>
      <c r="AK29" s="942">
        <v>8.0</v>
      </c>
      <c r="AL29" s="941">
        <v>1.0</v>
      </c>
      <c r="AM29" s="941">
        <v>1.0</v>
      </c>
    </row>
    <row r="30">
      <c r="A30" s="935" t="s">
        <v>136</v>
      </c>
      <c r="B30" s="941">
        <v>1.0</v>
      </c>
      <c r="C30" s="941">
        <v>1.0</v>
      </c>
      <c r="D30" s="941">
        <v>0.0</v>
      </c>
      <c r="E30" s="941">
        <v>0.0</v>
      </c>
      <c r="F30" s="941">
        <v>1.0</v>
      </c>
      <c r="G30" s="941">
        <v>152.0</v>
      </c>
      <c r="H30" s="941">
        <v>146.0</v>
      </c>
      <c r="I30" s="941">
        <v>6.0</v>
      </c>
      <c r="J30" s="941">
        <v>8.0</v>
      </c>
      <c r="K30" s="941">
        <v>5.0</v>
      </c>
      <c r="L30" s="941">
        <v>1.0</v>
      </c>
      <c r="M30" s="941">
        <v>1348.0</v>
      </c>
      <c r="N30" s="941">
        <v>1897.0</v>
      </c>
      <c r="O30" s="941">
        <v>9.0</v>
      </c>
      <c r="P30" s="941">
        <v>14.0</v>
      </c>
      <c r="Q30" s="941">
        <v>0.0</v>
      </c>
      <c r="R30" s="941">
        <v>1.0</v>
      </c>
      <c r="S30" s="941">
        <v>0.0</v>
      </c>
      <c r="T30" s="941">
        <v>0.0</v>
      </c>
      <c r="U30" s="941">
        <v>0.0</v>
      </c>
      <c r="V30" s="941">
        <v>1.0</v>
      </c>
      <c r="W30" s="941">
        <v>0.0</v>
      </c>
      <c r="X30" s="941">
        <v>25.0</v>
      </c>
      <c r="Y30" s="941">
        <v>3.0</v>
      </c>
      <c r="Z30" s="941">
        <v>0.0</v>
      </c>
      <c r="AA30" s="941">
        <v>0.0</v>
      </c>
      <c r="AB30" s="941">
        <v>0.0</v>
      </c>
      <c r="AC30" s="941">
        <v>0.0</v>
      </c>
      <c r="AD30" s="941">
        <v>0.0</v>
      </c>
      <c r="AE30" s="941">
        <v>0.0</v>
      </c>
      <c r="AF30" s="941">
        <v>0.0</v>
      </c>
      <c r="AG30" s="941">
        <v>0.0</v>
      </c>
      <c r="AH30" s="941">
        <v>12.0</v>
      </c>
      <c r="AI30" s="941">
        <v>0.0</v>
      </c>
      <c r="AJ30" s="941">
        <v>12.0</v>
      </c>
      <c r="AK30" s="942">
        <v>24.0</v>
      </c>
      <c r="AL30" s="941">
        <v>1.0</v>
      </c>
      <c r="AM30" s="941">
        <v>0.0</v>
      </c>
    </row>
    <row r="31">
      <c r="A31" s="935" t="s">
        <v>147</v>
      </c>
      <c r="B31" s="941">
        <v>1.0</v>
      </c>
      <c r="C31" s="941">
        <v>1.0</v>
      </c>
      <c r="D31" s="941">
        <v>0.0</v>
      </c>
      <c r="E31" s="941">
        <v>1.0</v>
      </c>
      <c r="F31" s="941">
        <v>0.0</v>
      </c>
      <c r="G31" s="941">
        <v>91.0</v>
      </c>
      <c r="H31" s="941">
        <v>102.0</v>
      </c>
      <c r="I31" s="941">
        <v>-11.0</v>
      </c>
      <c r="J31" s="941">
        <v>10.0</v>
      </c>
      <c r="K31" s="941">
        <v>4.0</v>
      </c>
      <c r="L31" s="941">
        <v>2.0</v>
      </c>
      <c r="M31" s="941">
        <v>1477.0</v>
      </c>
      <c r="N31" s="941">
        <v>1897.0</v>
      </c>
      <c r="O31" s="941">
        <v>14.0</v>
      </c>
      <c r="P31" s="941">
        <v>9.0</v>
      </c>
      <c r="Q31" s="941">
        <v>0.0</v>
      </c>
      <c r="R31" s="941">
        <v>0.0</v>
      </c>
      <c r="S31" s="941">
        <v>0.0</v>
      </c>
      <c r="T31" s="941">
        <v>0.0</v>
      </c>
      <c r="U31" s="941">
        <v>0.0</v>
      </c>
      <c r="V31" s="941">
        <v>0.0</v>
      </c>
      <c r="W31" s="941">
        <v>0.0</v>
      </c>
      <c r="X31" s="941">
        <v>8.0</v>
      </c>
      <c r="Y31" s="941">
        <v>1.0</v>
      </c>
      <c r="Z31" s="941">
        <v>0.0</v>
      </c>
      <c r="AA31" s="941">
        <v>0.0</v>
      </c>
      <c r="AB31" s="941">
        <v>0.0</v>
      </c>
      <c r="AC31" s="941">
        <v>0.0</v>
      </c>
      <c r="AD31" s="941">
        <v>0.0</v>
      </c>
      <c r="AE31" s="941">
        <v>0.0</v>
      </c>
      <c r="AF31" s="941">
        <v>0.0</v>
      </c>
      <c r="AG31" s="941">
        <v>0.0</v>
      </c>
      <c r="AH31" s="941">
        <v>5.0</v>
      </c>
      <c r="AI31" s="941">
        <v>0.0</v>
      </c>
      <c r="AJ31" s="941">
        <v>7.0</v>
      </c>
      <c r="AK31" s="942">
        <v>11.0</v>
      </c>
      <c r="AL31" s="941">
        <v>1.0</v>
      </c>
      <c r="AM31" s="941">
        <v>0.0</v>
      </c>
    </row>
    <row r="32">
      <c r="A32" s="935" t="s">
        <v>125</v>
      </c>
      <c r="B32" s="941">
        <v>1.0</v>
      </c>
      <c r="C32" s="941">
        <v>1.0</v>
      </c>
      <c r="D32" s="941">
        <v>0.0</v>
      </c>
      <c r="E32" s="941">
        <v>2.0</v>
      </c>
      <c r="F32" s="941">
        <v>1.0</v>
      </c>
      <c r="G32" s="941">
        <v>158.0</v>
      </c>
      <c r="H32" s="941">
        <v>107.0</v>
      </c>
      <c r="I32" s="941">
        <v>51.0</v>
      </c>
      <c r="J32" s="941">
        <v>9.0</v>
      </c>
      <c r="K32" s="941">
        <v>7.0</v>
      </c>
      <c r="L32" s="941">
        <v>7.0</v>
      </c>
      <c r="M32" s="941">
        <v>1466.0</v>
      </c>
      <c r="N32" s="941">
        <v>1897.0</v>
      </c>
      <c r="O32" s="941">
        <v>13.0</v>
      </c>
      <c r="P32" s="941">
        <v>15.0</v>
      </c>
      <c r="Q32" s="941">
        <v>0.0</v>
      </c>
      <c r="R32" s="941">
        <v>4.0</v>
      </c>
      <c r="S32" s="941">
        <v>0.0</v>
      </c>
      <c r="T32" s="941">
        <v>0.0</v>
      </c>
      <c r="U32" s="941">
        <v>0.0</v>
      </c>
      <c r="V32" s="941">
        <v>4.0</v>
      </c>
      <c r="W32" s="941">
        <v>0.0</v>
      </c>
      <c r="X32" s="941">
        <v>33.0</v>
      </c>
      <c r="Y32" s="941">
        <v>9.0</v>
      </c>
      <c r="Z32" s="941">
        <v>0.0</v>
      </c>
      <c r="AA32" s="941">
        <v>0.0</v>
      </c>
      <c r="AB32" s="941">
        <v>0.0</v>
      </c>
      <c r="AC32" s="941">
        <v>0.0</v>
      </c>
      <c r="AD32" s="941">
        <v>0.0</v>
      </c>
      <c r="AE32" s="941">
        <v>0.0</v>
      </c>
      <c r="AF32" s="941">
        <v>0.0</v>
      </c>
      <c r="AG32" s="941">
        <v>0.0</v>
      </c>
      <c r="AH32" s="941">
        <v>9.0</v>
      </c>
      <c r="AI32" s="941">
        <v>0.0</v>
      </c>
      <c r="AJ32" s="941">
        <v>18.0</v>
      </c>
      <c r="AK32" s="942">
        <v>17.0</v>
      </c>
      <c r="AL32" s="941">
        <v>1.0</v>
      </c>
      <c r="AM32" s="941">
        <v>0.0</v>
      </c>
    </row>
    <row r="33">
      <c r="A33" s="943" t="s">
        <v>114</v>
      </c>
      <c r="B33" s="944">
        <v>1.0</v>
      </c>
      <c r="C33" s="944">
        <v>1.0</v>
      </c>
      <c r="D33" s="882">
        <v>0.0</v>
      </c>
      <c r="E33" s="944">
        <v>2.0</v>
      </c>
      <c r="F33" s="944">
        <v>20.0</v>
      </c>
      <c r="G33" s="944">
        <v>61.0</v>
      </c>
      <c r="H33" s="944">
        <v>57.0</v>
      </c>
      <c r="I33" s="944">
        <v>4.0</v>
      </c>
      <c r="J33" s="944">
        <v>5.0</v>
      </c>
      <c r="K33" s="944">
        <v>7.0</v>
      </c>
      <c r="L33" s="944">
        <v>1.0</v>
      </c>
      <c r="M33" s="944">
        <v>1620.0</v>
      </c>
      <c r="N33" s="944">
        <v>1897.0</v>
      </c>
      <c r="O33" s="944">
        <v>28.0</v>
      </c>
      <c r="P33" s="944">
        <v>909.0</v>
      </c>
      <c r="Q33" s="944">
        <v>0.0</v>
      </c>
      <c r="R33" s="944">
        <v>1.0</v>
      </c>
      <c r="S33" s="944">
        <v>0.0</v>
      </c>
      <c r="T33" s="944">
        <v>0.0</v>
      </c>
      <c r="U33" s="944">
        <v>0.0</v>
      </c>
      <c r="V33" s="944">
        <v>0.0</v>
      </c>
      <c r="W33" s="944">
        <v>0.0</v>
      </c>
      <c r="X33" s="944">
        <v>5.0</v>
      </c>
      <c r="Y33" s="944">
        <v>0.0</v>
      </c>
      <c r="Z33" s="944">
        <v>0.0</v>
      </c>
      <c r="AA33" s="944">
        <v>0.0</v>
      </c>
      <c r="AB33" s="944">
        <v>0.0</v>
      </c>
      <c r="AC33" s="944">
        <v>0.0</v>
      </c>
      <c r="AD33" s="944">
        <v>0.0</v>
      </c>
      <c r="AE33" s="944">
        <v>0.0</v>
      </c>
      <c r="AF33" s="944">
        <v>0.0</v>
      </c>
      <c r="AG33" s="944">
        <v>0.0</v>
      </c>
      <c r="AH33" s="944">
        <v>2.0</v>
      </c>
      <c r="AI33" s="882">
        <v>0.0</v>
      </c>
      <c r="AJ33" s="882">
        <v>12.0</v>
      </c>
      <c r="AK33" s="948">
        <v>10.0</v>
      </c>
      <c r="AL33" s="941">
        <v>0.0</v>
      </c>
      <c r="AM33" s="941">
        <v>0.0</v>
      </c>
    </row>
    <row r="34">
      <c r="A34" s="949" t="s">
        <v>154</v>
      </c>
      <c r="B34" s="939">
        <v>1.0</v>
      </c>
      <c r="C34" s="939">
        <v>0.0</v>
      </c>
      <c r="D34" s="939">
        <v>1.0</v>
      </c>
      <c r="E34" s="939">
        <v>0.0</v>
      </c>
      <c r="F34" s="939">
        <v>0.0</v>
      </c>
      <c r="G34" s="950">
        <v>53.0</v>
      </c>
      <c r="H34" s="950">
        <v>85.0</v>
      </c>
      <c r="I34" s="950">
        <v>-32.0</v>
      </c>
      <c r="J34" s="950">
        <v>2.0</v>
      </c>
      <c r="K34" s="950">
        <v>4.0</v>
      </c>
      <c r="L34" s="950">
        <v>1.0</v>
      </c>
      <c r="M34" s="950">
        <v>800.0</v>
      </c>
      <c r="N34" s="950">
        <v>1137.0</v>
      </c>
      <c r="O34" s="950">
        <v>9.0</v>
      </c>
      <c r="P34" s="950">
        <v>12.0</v>
      </c>
      <c r="Q34" s="950">
        <v>0.0</v>
      </c>
      <c r="R34" s="950">
        <v>0.0</v>
      </c>
      <c r="S34" s="950">
        <v>0.0</v>
      </c>
      <c r="T34" s="950">
        <v>0.0</v>
      </c>
      <c r="U34" s="950">
        <v>0.0</v>
      </c>
      <c r="V34" s="950">
        <v>0.0</v>
      </c>
      <c r="W34" s="950">
        <v>0.0</v>
      </c>
      <c r="X34" s="950">
        <v>5.0</v>
      </c>
      <c r="Y34" s="950">
        <v>0.0</v>
      </c>
      <c r="Z34" s="950">
        <v>0.0</v>
      </c>
      <c r="AA34" s="950">
        <v>0.0</v>
      </c>
      <c r="AB34" s="950">
        <v>0.0</v>
      </c>
      <c r="AC34" s="950">
        <v>0.0</v>
      </c>
      <c r="AD34" s="950">
        <v>0.0</v>
      </c>
      <c r="AE34" s="950">
        <v>0.0</v>
      </c>
      <c r="AF34" s="950">
        <v>0.0</v>
      </c>
      <c r="AG34" s="950">
        <v>0.0</v>
      </c>
      <c r="AH34" s="950">
        <v>2.0</v>
      </c>
      <c r="AI34" s="950">
        <v>0.0</v>
      </c>
      <c r="AJ34" s="950">
        <v>8.0</v>
      </c>
      <c r="AK34" s="951">
        <v>8.0</v>
      </c>
      <c r="AL34" s="952">
        <v>0.0</v>
      </c>
      <c r="AM34" s="952">
        <v>1.0</v>
      </c>
    </row>
    <row r="35">
      <c r="A35" s="953" t="s">
        <v>514</v>
      </c>
      <c r="B35" s="941">
        <v>1.0</v>
      </c>
      <c r="C35" s="941">
        <v>0.0</v>
      </c>
      <c r="D35" s="941">
        <v>1.0</v>
      </c>
      <c r="E35" s="941">
        <v>0.0</v>
      </c>
      <c r="F35" s="941">
        <v>0.0</v>
      </c>
      <c r="G35" s="952">
        <v>83.0</v>
      </c>
      <c r="H35" s="952">
        <v>87.0</v>
      </c>
      <c r="I35" s="952">
        <v>-4.0</v>
      </c>
      <c r="J35" s="952">
        <v>7.0</v>
      </c>
      <c r="K35" s="952">
        <v>4.0</v>
      </c>
      <c r="L35" s="952">
        <v>2.0</v>
      </c>
      <c r="M35" s="952">
        <v>802.0</v>
      </c>
      <c r="N35" s="952">
        <v>1137.0</v>
      </c>
      <c r="O35" s="952">
        <v>9.0</v>
      </c>
      <c r="P35" s="952">
        <v>0.0</v>
      </c>
      <c r="Q35" s="952">
        <v>0.0</v>
      </c>
      <c r="R35" s="952">
        <v>0.0</v>
      </c>
      <c r="S35" s="952">
        <v>0.0</v>
      </c>
      <c r="T35" s="952">
        <v>0.0</v>
      </c>
      <c r="U35" s="952">
        <v>0.0</v>
      </c>
      <c r="V35" s="952">
        <v>0.0</v>
      </c>
      <c r="W35" s="952">
        <v>0.0</v>
      </c>
      <c r="X35" s="952">
        <v>13.0</v>
      </c>
      <c r="Y35" s="952">
        <v>2.0</v>
      </c>
      <c r="Z35" s="952">
        <v>1.0</v>
      </c>
      <c r="AA35" s="952">
        <v>0.0</v>
      </c>
      <c r="AB35" s="952">
        <v>0.0</v>
      </c>
      <c r="AC35" s="952">
        <v>0.0</v>
      </c>
      <c r="AD35" s="952">
        <v>0.0</v>
      </c>
      <c r="AE35" s="952">
        <v>0.0</v>
      </c>
      <c r="AF35" s="952">
        <v>0.0</v>
      </c>
      <c r="AG35" s="952">
        <v>0.0</v>
      </c>
      <c r="AH35" s="952">
        <v>9.0</v>
      </c>
      <c r="AI35" s="952">
        <v>0.0</v>
      </c>
      <c r="AJ35" s="952">
        <v>7.0</v>
      </c>
      <c r="AK35" s="954">
        <v>9.0</v>
      </c>
      <c r="AL35" s="952">
        <v>0.0</v>
      </c>
      <c r="AM35" s="952">
        <v>1.0</v>
      </c>
    </row>
    <row r="36">
      <c r="A36" s="953" t="s">
        <v>132</v>
      </c>
      <c r="B36" s="941">
        <v>1.0</v>
      </c>
      <c r="C36" s="941">
        <v>0.0</v>
      </c>
      <c r="D36" s="941">
        <v>1.0</v>
      </c>
      <c r="E36" s="941">
        <v>0.0</v>
      </c>
      <c r="F36" s="941">
        <v>8.0</v>
      </c>
      <c r="G36" s="952">
        <v>81.0</v>
      </c>
      <c r="H36" s="952">
        <v>57.0</v>
      </c>
      <c r="I36" s="952">
        <v>24.0</v>
      </c>
      <c r="J36" s="952">
        <v>3.0</v>
      </c>
      <c r="K36" s="952">
        <v>8.0</v>
      </c>
      <c r="L36" s="952">
        <v>3.0</v>
      </c>
      <c r="M36" s="952">
        <v>892.0</v>
      </c>
      <c r="N36" s="952">
        <v>1137.0</v>
      </c>
      <c r="O36" s="952">
        <v>15.0</v>
      </c>
      <c r="P36" s="952">
        <v>238.0</v>
      </c>
      <c r="Q36" s="952">
        <v>0.0</v>
      </c>
      <c r="R36" s="952">
        <v>3.0</v>
      </c>
      <c r="S36" s="952">
        <v>0.0</v>
      </c>
      <c r="T36" s="952">
        <v>0.0</v>
      </c>
      <c r="U36" s="952">
        <v>0.0</v>
      </c>
      <c r="V36" s="952">
        <v>1.0</v>
      </c>
      <c r="W36" s="952">
        <v>0.0</v>
      </c>
      <c r="X36" s="952">
        <v>11.0</v>
      </c>
      <c r="Y36" s="952">
        <v>4.0</v>
      </c>
      <c r="Z36" s="952">
        <v>2.0</v>
      </c>
      <c r="AA36" s="952">
        <v>0.0</v>
      </c>
      <c r="AB36" s="952">
        <v>0.0</v>
      </c>
      <c r="AC36" s="952">
        <v>0.0</v>
      </c>
      <c r="AD36" s="952">
        <v>0.0</v>
      </c>
      <c r="AE36" s="952">
        <v>0.0</v>
      </c>
      <c r="AF36" s="952">
        <v>0.0</v>
      </c>
      <c r="AG36" s="952">
        <v>0.0</v>
      </c>
      <c r="AH36" s="952">
        <v>3.0</v>
      </c>
      <c r="AI36" s="952">
        <v>0.0</v>
      </c>
      <c r="AJ36" s="952">
        <v>6.0</v>
      </c>
      <c r="AK36" s="954">
        <v>6.0</v>
      </c>
      <c r="AL36" s="952">
        <v>3.0</v>
      </c>
      <c r="AM36" s="952">
        <v>1.0</v>
      </c>
    </row>
    <row r="37">
      <c r="A37" s="953" t="s">
        <v>121</v>
      </c>
      <c r="B37" s="941">
        <v>1.0</v>
      </c>
      <c r="C37" s="941">
        <v>0.0</v>
      </c>
      <c r="D37" s="941">
        <v>1.0</v>
      </c>
      <c r="E37" s="941">
        <v>1.0</v>
      </c>
      <c r="F37" s="941">
        <v>6.0</v>
      </c>
      <c r="G37" s="952">
        <v>45.0</v>
      </c>
      <c r="H37" s="952">
        <v>42.0</v>
      </c>
      <c r="I37" s="952">
        <v>3.0</v>
      </c>
      <c r="J37" s="952">
        <v>3.0</v>
      </c>
      <c r="K37" s="952">
        <v>4.0</v>
      </c>
      <c r="L37" s="952">
        <v>0.0</v>
      </c>
      <c r="M37" s="952">
        <v>938.0</v>
      </c>
      <c r="N37" s="952">
        <v>1137.0</v>
      </c>
      <c r="O37" s="952">
        <v>22.0</v>
      </c>
      <c r="P37" s="952">
        <v>363.0</v>
      </c>
      <c r="Q37" s="952">
        <v>0.0</v>
      </c>
      <c r="R37" s="952">
        <v>0.0</v>
      </c>
      <c r="S37" s="952">
        <v>0.0</v>
      </c>
      <c r="T37" s="952">
        <v>0.0</v>
      </c>
      <c r="U37" s="952">
        <v>0.0</v>
      </c>
      <c r="V37" s="952">
        <v>0.0</v>
      </c>
      <c r="W37" s="952">
        <v>0.0</v>
      </c>
      <c r="X37" s="952">
        <v>4.0</v>
      </c>
      <c r="Y37" s="952">
        <v>1.0</v>
      </c>
      <c r="Z37" s="952">
        <v>0.0</v>
      </c>
      <c r="AA37" s="952">
        <v>0.0</v>
      </c>
      <c r="AB37" s="952">
        <v>0.0</v>
      </c>
      <c r="AC37" s="952">
        <v>0.0</v>
      </c>
      <c r="AD37" s="952">
        <v>0.0</v>
      </c>
      <c r="AE37" s="952">
        <v>0.0</v>
      </c>
      <c r="AF37" s="952">
        <v>0.0</v>
      </c>
      <c r="AG37" s="952">
        <v>0.0</v>
      </c>
      <c r="AH37" s="952">
        <v>2.0</v>
      </c>
      <c r="AI37" s="952">
        <v>0.0</v>
      </c>
      <c r="AJ37" s="952">
        <v>9.0</v>
      </c>
      <c r="AK37" s="954">
        <v>4.0</v>
      </c>
      <c r="AL37" s="952">
        <v>0.0</v>
      </c>
      <c r="AM37" s="952">
        <v>1.0</v>
      </c>
    </row>
    <row r="38">
      <c r="A38" s="953" t="s">
        <v>150</v>
      </c>
      <c r="B38" s="941">
        <v>1.0</v>
      </c>
      <c r="C38" s="941">
        <v>1.0</v>
      </c>
      <c r="D38" s="941">
        <v>0.0</v>
      </c>
      <c r="E38" s="941">
        <v>0.0</v>
      </c>
      <c r="F38" s="941">
        <v>1.0</v>
      </c>
      <c r="G38" s="952">
        <v>62.0</v>
      </c>
      <c r="H38" s="952">
        <v>86.0</v>
      </c>
      <c r="I38" s="952">
        <v>-24.0</v>
      </c>
      <c r="J38" s="952">
        <v>3.0</v>
      </c>
      <c r="K38" s="952">
        <v>3.0</v>
      </c>
      <c r="L38" s="952">
        <v>0.0</v>
      </c>
      <c r="M38" s="952">
        <v>802.0</v>
      </c>
      <c r="N38" s="952">
        <v>1137.0</v>
      </c>
      <c r="O38" s="952">
        <v>9.0</v>
      </c>
      <c r="P38" s="952">
        <v>19.0</v>
      </c>
      <c r="Q38" s="952">
        <v>0.0</v>
      </c>
      <c r="R38" s="952">
        <v>0.0</v>
      </c>
      <c r="S38" s="952">
        <v>0.0</v>
      </c>
      <c r="T38" s="952">
        <v>0.0</v>
      </c>
      <c r="U38" s="952">
        <v>0.0</v>
      </c>
      <c r="V38" s="952">
        <v>0.0</v>
      </c>
      <c r="W38" s="952">
        <v>0.0</v>
      </c>
      <c r="X38" s="952">
        <v>7.0</v>
      </c>
      <c r="Y38" s="952">
        <v>1.0</v>
      </c>
      <c r="Z38" s="952">
        <v>0.0</v>
      </c>
      <c r="AA38" s="952">
        <v>0.0</v>
      </c>
      <c r="AB38" s="952">
        <v>0.0</v>
      </c>
      <c r="AC38" s="952">
        <v>0.0</v>
      </c>
      <c r="AD38" s="952">
        <v>0.0</v>
      </c>
      <c r="AE38" s="952">
        <v>0.0</v>
      </c>
      <c r="AF38" s="952">
        <v>0.0</v>
      </c>
      <c r="AG38" s="952">
        <v>0.0</v>
      </c>
      <c r="AH38" s="952">
        <v>0.0</v>
      </c>
      <c r="AI38" s="952">
        <v>0.0</v>
      </c>
      <c r="AJ38" s="952">
        <v>8.0</v>
      </c>
      <c r="AK38" s="954">
        <v>5.0</v>
      </c>
      <c r="AL38" s="952">
        <v>0.0</v>
      </c>
      <c r="AM38" s="952">
        <v>0.0</v>
      </c>
    </row>
    <row r="39">
      <c r="A39" s="953" t="s">
        <v>139</v>
      </c>
      <c r="B39" s="941">
        <v>1.0</v>
      </c>
      <c r="C39" s="941">
        <v>1.0</v>
      </c>
      <c r="D39" s="941">
        <v>0.0</v>
      </c>
      <c r="E39" s="941">
        <v>0.0</v>
      </c>
      <c r="F39" s="941">
        <v>0.0</v>
      </c>
      <c r="G39" s="952">
        <v>73.0</v>
      </c>
      <c r="H39" s="952">
        <v>75.0</v>
      </c>
      <c r="I39" s="952">
        <v>-2.0</v>
      </c>
      <c r="J39" s="952">
        <v>5.0</v>
      </c>
      <c r="K39" s="952">
        <v>4.0</v>
      </c>
      <c r="L39" s="952">
        <v>3.0</v>
      </c>
      <c r="M39" s="952">
        <v>833.0</v>
      </c>
      <c r="N39" s="952">
        <v>1137.0</v>
      </c>
      <c r="O39" s="952">
        <v>11.0</v>
      </c>
      <c r="P39" s="952">
        <v>15.0</v>
      </c>
      <c r="Q39" s="952">
        <v>0.0</v>
      </c>
      <c r="R39" s="952">
        <v>0.0</v>
      </c>
      <c r="S39" s="952">
        <v>0.0</v>
      </c>
      <c r="T39" s="952">
        <v>0.0</v>
      </c>
      <c r="U39" s="952">
        <v>0.0</v>
      </c>
      <c r="V39" s="952">
        <v>0.0</v>
      </c>
      <c r="W39" s="952">
        <v>0.0</v>
      </c>
      <c r="X39" s="952">
        <v>10.0</v>
      </c>
      <c r="Y39" s="952">
        <v>4.0</v>
      </c>
      <c r="Z39" s="952">
        <v>1.0</v>
      </c>
      <c r="AA39" s="952">
        <v>0.0</v>
      </c>
      <c r="AB39" s="952">
        <v>0.0</v>
      </c>
      <c r="AC39" s="952">
        <v>0.0</v>
      </c>
      <c r="AD39" s="952">
        <v>0.0</v>
      </c>
      <c r="AE39" s="952">
        <v>0.0</v>
      </c>
      <c r="AF39" s="952">
        <v>0.0</v>
      </c>
      <c r="AG39" s="952">
        <v>0.0</v>
      </c>
      <c r="AH39" s="952">
        <v>0.0</v>
      </c>
      <c r="AI39" s="952">
        <v>0.0</v>
      </c>
      <c r="AJ39" s="952">
        <v>1.0</v>
      </c>
      <c r="AK39" s="954">
        <v>8.0</v>
      </c>
      <c r="AL39" s="952">
        <v>2.0</v>
      </c>
      <c r="AM39" s="952">
        <v>0.0</v>
      </c>
    </row>
    <row r="40">
      <c r="A40" s="953" t="s">
        <v>128</v>
      </c>
      <c r="B40" s="941">
        <v>1.0</v>
      </c>
      <c r="C40" s="941">
        <v>1.0</v>
      </c>
      <c r="D40" s="941">
        <v>0.0</v>
      </c>
      <c r="E40" s="941">
        <v>2.0</v>
      </c>
      <c r="F40" s="941">
        <v>1.0</v>
      </c>
      <c r="G40" s="952">
        <v>52.0</v>
      </c>
      <c r="H40" s="952">
        <v>59.0</v>
      </c>
      <c r="I40" s="952">
        <v>-7.0</v>
      </c>
      <c r="J40" s="952">
        <v>2.0</v>
      </c>
      <c r="K40" s="952">
        <v>5.0</v>
      </c>
      <c r="L40" s="952">
        <v>2.0</v>
      </c>
      <c r="M40" s="952">
        <v>876.0</v>
      </c>
      <c r="N40" s="952">
        <v>1137.0</v>
      </c>
      <c r="O40" s="952">
        <v>14.0</v>
      </c>
      <c r="P40" s="952">
        <v>153.0</v>
      </c>
      <c r="Q40" s="952">
        <v>0.0</v>
      </c>
      <c r="R40" s="952">
        <v>1.0</v>
      </c>
      <c r="S40" s="952">
        <v>0.0</v>
      </c>
      <c r="T40" s="952">
        <v>0.0</v>
      </c>
      <c r="U40" s="952">
        <v>0.0</v>
      </c>
      <c r="V40" s="952">
        <v>1.0</v>
      </c>
      <c r="W40" s="952">
        <v>0.0</v>
      </c>
      <c r="X40" s="952">
        <v>6.0</v>
      </c>
      <c r="Y40" s="952">
        <v>2.0</v>
      </c>
      <c r="Z40" s="952">
        <v>1.0</v>
      </c>
      <c r="AA40" s="952">
        <v>0.0</v>
      </c>
      <c r="AB40" s="952">
        <v>0.0</v>
      </c>
      <c r="AC40" s="952">
        <v>0.0</v>
      </c>
      <c r="AD40" s="952">
        <v>0.0</v>
      </c>
      <c r="AE40" s="952">
        <v>0.0</v>
      </c>
      <c r="AF40" s="952">
        <v>0.0</v>
      </c>
      <c r="AG40" s="952">
        <v>0.0</v>
      </c>
      <c r="AH40" s="952">
        <v>1.0</v>
      </c>
      <c r="AI40" s="952">
        <v>0.0</v>
      </c>
      <c r="AJ40" s="952">
        <v>9.0</v>
      </c>
      <c r="AK40" s="954">
        <v>6.0</v>
      </c>
      <c r="AL40" s="952">
        <v>0.0</v>
      </c>
      <c r="AM40" s="952">
        <v>0.0</v>
      </c>
    </row>
    <row r="41">
      <c r="A41" s="955" t="s">
        <v>117</v>
      </c>
      <c r="B41" s="944">
        <v>1.0</v>
      </c>
      <c r="C41" s="944">
        <v>1.0</v>
      </c>
      <c r="D41" s="944">
        <v>0.0</v>
      </c>
      <c r="E41" s="944">
        <v>3.0</v>
      </c>
      <c r="F41" s="944">
        <v>7.0</v>
      </c>
      <c r="G41" s="956">
        <v>68.0</v>
      </c>
      <c r="H41" s="956">
        <v>56.0</v>
      </c>
      <c r="I41" s="956">
        <v>12.0</v>
      </c>
      <c r="J41" s="956">
        <v>6.0</v>
      </c>
      <c r="K41" s="956">
        <v>5.0</v>
      </c>
      <c r="L41" s="956">
        <v>2.0</v>
      </c>
      <c r="M41" s="956">
        <v>889.0</v>
      </c>
      <c r="N41" s="956">
        <v>1137.0</v>
      </c>
      <c r="O41" s="956">
        <v>15.0</v>
      </c>
      <c r="P41" s="956">
        <v>167.0</v>
      </c>
      <c r="Q41" s="956">
        <v>0.0</v>
      </c>
      <c r="R41" s="956">
        <v>1.0</v>
      </c>
      <c r="S41" s="956">
        <v>0.0</v>
      </c>
      <c r="T41" s="956">
        <v>0.0</v>
      </c>
      <c r="U41" s="956">
        <v>0.0</v>
      </c>
      <c r="V41" s="956">
        <v>1.0</v>
      </c>
      <c r="W41" s="956">
        <v>0.0</v>
      </c>
      <c r="X41" s="956">
        <v>10.0</v>
      </c>
      <c r="Y41" s="956">
        <v>0.0</v>
      </c>
      <c r="Z41" s="956">
        <v>0.0</v>
      </c>
      <c r="AA41" s="956">
        <v>0.0</v>
      </c>
      <c r="AB41" s="956">
        <v>0.0</v>
      </c>
      <c r="AC41" s="956">
        <v>0.0</v>
      </c>
      <c r="AD41" s="956">
        <v>0.0</v>
      </c>
      <c r="AE41" s="956">
        <v>0.0</v>
      </c>
      <c r="AF41" s="956">
        <v>0.0</v>
      </c>
      <c r="AG41" s="956">
        <v>0.0</v>
      </c>
      <c r="AH41" s="956">
        <v>0.0</v>
      </c>
      <c r="AI41" s="956">
        <v>0.0</v>
      </c>
      <c r="AJ41" s="956">
        <v>10.0</v>
      </c>
      <c r="AK41" s="957">
        <v>9.0</v>
      </c>
      <c r="AL41" s="952">
        <v>1.0</v>
      </c>
      <c r="AM41" s="952">
        <v>0.0</v>
      </c>
    </row>
    <row r="42">
      <c r="A42" s="946" t="s">
        <v>150</v>
      </c>
      <c r="B42" s="939">
        <v>1.0</v>
      </c>
      <c r="C42" s="939">
        <v>0.0</v>
      </c>
      <c r="D42" s="939">
        <v>1.0</v>
      </c>
      <c r="E42" s="939">
        <v>0.0</v>
      </c>
      <c r="F42" s="939">
        <v>4.0</v>
      </c>
      <c r="G42" s="939">
        <v>51.0</v>
      </c>
      <c r="H42" s="939">
        <v>75.0</v>
      </c>
      <c r="I42" s="939">
        <v>-24.0</v>
      </c>
      <c r="J42" s="939">
        <v>0.0</v>
      </c>
      <c r="K42" s="939">
        <v>3.0</v>
      </c>
      <c r="L42" s="939">
        <v>0.0</v>
      </c>
      <c r="M42" s="939">
        <v>745.0</v>
      </c>
      <c r="N42" s="939">
        <v>1081.0</v>
      </c>
      <c r="O42" s="939">
        <v>9.0</v>
      </c>
      <c r="P42" s="939">
        <v>133.0</v>
      </c>
      <c r="Q42" s="939">
        <v>0.0</v>
      </c>
      <c r="R42" s="939">
        <v>0.0</v>
      </c>
      <c r="S42" s="939">
        <v>0.0</v>
      </c>
      <c r="T42" s="939">
        <v>0.0</v>
      </c>
      <c r="U42" s="939">
        <v>0.0</v>
      </c>
      <c r="V42" s="939">
        <v>0.0</v>
      </c>
      <c r="W42" s="939">
        <v>0.0</v>
      </c>
      <c r="X42" s="939">
        <v>5.0</v>
      </c>
      <c r="Y42" s="939">
        <v>1.0</v>
      </c>
      <c r="Z42" s="939">
        <v>0.0</v>
      </c>
      <c r="AA42" s="939">
        <v>0.0</v>
      </c>
      <c r="AB42" s="939">
        <v>0.0</v>
      </c>
      <c r="AC42" s="939">
        <v>0.0</v>
      </c>
      <c r="AD42" s="939">
        <v>0.0</v>
      </c>
      <c r="AE42" s="939">
        <v>0.0</v>
      </c>
      <c r="AF42" s="939">
        <v>0.0</v>
      </c>
      <c r="AG42" s="939">
        <v>0.0</v>
      </c>
      <c r="AH42" s="939">
        <v>2.0</v>
      </c>
      <c r="AI42" s="895">
        <v>0.0</v>
      </c>
      <c r="AJ42" s="895">
        <v>5.0</v>
      </c>
      <c r="AK42" s="947">
        <v>7.0</v>
      </c>
      <c r="AL42" s="941">
        <v>0.0</v>
      </c>
      <c r="AM42" s="941">
        <v>0.0</v>
      </c>
    </row>
    <row r="43">
      <c r="A43" s="935" t="s">
        <v>117</v>
      </c>
      <c r="B43" s="941">
        <v>1.0</v>
      </c>
      <c r="C43" s="941">
        <v>0.0</v>
      </c>
      <c r="D43" s="941">
        <v>1.0</v>
      </c>
      <c r="E43" s="941">
        <v>1.0</v>
      </c>
      <c r="F43" s="941">
        <v>1.0</v>
      </c>
      <c r="G43" s="941">
        <v>40.0</v>
      </c>
      <c r="H43" s="941">
        <v>67.0</v>
      </c>
      <c r="I43" s="941">
        <v>-27.0</v>
      </c>
      <c r="J43" s="941">
        <v>4.0</v>
      </c>
      <c r="K43" s="941">
        <v>3.0</v>
      </c>
      <c r="L43" s="941">
        <v>1.0</v>
      </c>
      <c r="M43" s="941">
        <v>769.0</v>
      </c>
      <c r="N43" s="941">
        <v>1081.0</v>
      </c>
      <c r="O43" s="941">
        <v>11.0</v>
      </c>
      <c r="P43" s="941">
        <v>86.0</v>
      </c>
      <c r="Q43" s="941">
        <v>0.0</v>
      </c>
      <c r="R43" s="941">
        <v>0.0</v>
      </c>
      <c r="S43" s="941">
        <v>0.0</v>
      </c>
      <c r="T43" s="941">
        <v>0.0</v>
      </c>
      <c r="U43" s="941">
        <v>0.0</v>
      </c>
      <c r="V43" s="941">
        <v>0.0</v>
      </c>
      <c r="W43" s="941">
        <v>0.0</v>
      </c>
      <c r="X43" s="941">
        <v>3.0</v>
      </c>
      <c r="Y43" s="941">
        <v>0.0</v>
      </c>
      <c r="Z43" s="941">
        <v>0.0</v>
      </c>
      <c r="AA43" s="941">
        <v>0.0</v>
      </c>
      <c r="AB43" s="941">
        <v>0.0</v>
      </c>
      <c r="AC43" s="941">
        <v>0.0</v>
      </c>
      <c r="AD43" s="941">
        <v>0.0</v>
      </c>
      <c r="AE43" s="941">
        <v>0.0</v>
      </c>
      <c r="AF43" s="941">
        <v>0.0</v>
      </c>
      <c r="AG43" s="941">
        <v>0.0</v>
      </c>
      <c r="AH43" s="941">
        <v>3.0</v>
      </c>
      <c r="AI43" s="941">
        <v>0.0</v>
      </c>
      <c r="AJ43" s="941">
        <v>4.0</v>
      </c>
      <c r="AK43" s="942">
        <v>6.0</v>
      </c>
      <c r="AL43" s="941">
        <v>1.0</v>
      </c>
      <c r="AM43" s="941">
        <v>0.0</v>
      </c>
    </row>
    <row r="44">
      <c r="A44" s="935" t="s">
        <v>139</v>
      </c>
      <c r="B44" s="941">
        <v>1.0</v>
      </c>
      <c r="C44" s="941">
        <v>0.0</v>
      </c>
      <c r="D44" s="941">
        <v>1.0</v>
      </c>
      <c r="E44" s="941">
        <v>1.0</v>
      </c>
      <c r="F44" s="941">
        <v>0.0</v>
      </c>
      <c r="G44" s="941">
        <v>66.0</v>
      </c>
      <c r="H44" s="941">
        <v>76.0</v>
      </c>
      <c r="I44" s="941">
        <v>-10.0</v>
      </c>
      <c r="J44" s="941">
        <v>3.0</v>
      </c>
      <c r="K44" s="941">
        <v>6.0</v>
      </c>
      <c r="L44" s="941">
        <v>5.0</v>
      </c>
      <c r="M44" s="941">
        <v>747.0</v>
      </c>
      <c r="N44" s="941">
        <v>1081.0</v>
      </c>
      <c r="O44" s="941">
        <v>9.0</v>
      </c>
      <c r="P44" s="941">
        <v>7.0</v>
      </c>
      <c r="Q44" s="941">
        <v>0.0</v>
      </c>
      <c r="R44" s="941">
        <v>1.0</v>
      </c>
      <c r="S44" s="941">
        <v>0.0</v>
      </c>
      <c r="T44" s="941">
        <v>0.0</v>
      </c>
      <c r="U44" s="941">
        <v>0.0</v>
      </c>
      <c r="V44" s="941">
        <v>1.0</v>
      </c>
      <c r="W44" s="941">
        <v>0.0</v>
      </c>
      <c r="X44" s="941">
        <v>9.0</v>
      </c>
      <c r="Y44" s="941">
        <v>2.0</v>
      </c>
      <c r="Z44" s="941">
        <v>1.0</v>
      </c>
      <c r="AA44" s="941">
        <v>1.0</v>
      </c>
      <c r="AB44" s="941">
        <v>0.0</v>
      </c>
      <c r="AC44" s="941">
        <v>0.0</v>
      </c>
      <c r="AD44" s="941">
        <v>0.0</v>
      </c>
      <c r="AE44" s="941">
        <v>0.0</v>
      </c>
      <c r="AF44" s="941">
        <v>0.0</v>
      </c>
      <c r="AG44" s="941">
        <v>0.0</v>
      </c>
      <c r="AH44" s="941">
        <v>0.0</v>
      </c>
      <c r="AI44" s="941">
        <v>0.0</v>
      </c>
      <c r="AJ44" s="941">
        <v>11.0</v>
      </c>
      <c r="AK44" s="942">
        <v>11.0</v>
      </c>
      <c r="AL44" s="941">
        <v>1.0</v>
      </c>
      <c r="AM44" s="941">
        <v>0.0</v>
      </c>
    </row>
    <row r="45">
      <c r="A45" s="935" t="s">
        <v>128</v>
      </c>
      <c r="B45" s="941">
        <v>1.0</v>
      </c>
      <c r="C45" s="941">
        <v>0.0</v>
      </c>
      <c r="D45" s="941">
        <v>1.0</v>
      </c>
      <c r="E45" s="941">
        <v>1.0</v>
      </c>
      <c r="F45" s="941">
        <v>2.0</v>
      </c>
      <c r="G45" s="941">
        <v>45.0</v>
      </c>
      <c r="H45" s="941">
        <v>77.0</v>
      </c>
      <c r="I45" s="941">
        <v>-32.0</v>
      </c>
      <c r="J45" s="941">
        <v>1.0</v>
      </c>
      <c r="K45" s="941">
        <v>3.0</v>
      </c>
      <c r="L45" s="941">
        <v>2.0</v>
      </c>
      <c r="M45" s="941">
        <v>747.0</v>
      </c>
      <c r="N45" s="941">
        <v>1081.0</v>
      </c>
      <c r="O45" s="941">
        <v>9.0</v>
      </c>
      <c r="P45" s="941">
        <v>43.0</v>
      </c>
      <c r="Q45" s="941">
        <v>0.0</v>
      </c>
      <c r="R45" s="941">
        <v>0.0</v>
      </c>
      <c r="S45" s="941">
        <v>0.0</v>
      </c>
      <c r="T45" s="941">
        <v>0.0</v>
      </c>
      <c r="U45" s="941">
        <v>0.0</v>
      </c>
      <c r="V45" s="941">
        <v>0.0</v>
      </c>
      <c r="W45" s="941">
        <v>0.0</v>
      </c>
      <c r="X45" s="941">
        <v>2.0</v>
      </c>
      <c r="Y45" s="941">
        <v>0.0</v>
      </c>
      <c r="Z45" s="941">
        <v>0.0</v>
      </c>
      <c r="AA45" s="941">
        <v>0.0</v>
      </c>
      <c r="AB45" s="941">
        <v>0.0</v>
      </c>
      <c r="AC45" s="941">
        <v>0.0</v>
      </c>
      <c r="AD45" s="941">
        <v>0.0</v>
      </c>
      <c r="AE45" s="941">
        <v>0.0</v>
      </c>
      <c r="AF45" s="941">
        <v>0.0</v>
      </c>
      <c r="AG45" s="941">
        <v>0.0</v>
      </c>
      <c r="AH45" s="941">
        <v>3.0</v>
      </c>
      <c r="AI45" s="941">
        <v>0.0</v>
      </c>
      <c r="AJ45" s="941">
        <v>8.0</v>
      </c>
      <c r="AK45" s="942">
        <v>10.0</v>
      </c>
      <c r="AL45" s="941">
        <v>1.0</v>
      </c>
      <c r="AM45" s="941">
        <v>0.0</v>
      </c>
    </row>
    <row r="46">
      <c r="A46" s="935" t="s">
        <v>121</v>
      </c>
      <c r="B46" s="941">
        <v>1.0</v>
      </c>
      <c r="C46" s="941">
        <v>1.0</v>
      </c>
      <c r="D46" s="941">
        <v>0.0</v>
      </c>
      <c r="E46" s="941">
        <v>0.0</v>
      </c>
      <c r="F46" s="941">
        <v>0.0</v>
      </c>
      <c r="G46" s="941">
        <v>98.0</v>
      </c>
      <c r="H46" s="941">
        <v>50.0</v>
      </c>
      <c r="I46" s="941">
        <v>48.0</v>
      </c>
      <c r="J46" s="941">
        <v>7.0</v>
      </c>
      <c r="K46" s="941">
        <v>8.0</v>
      </c>
      <c r="L46" s="941">
        <v>1.0</v>
      </c>
      <c r="M46" s="941">
        <v>821.0</v>
      </c>
      <c r="N46" s="941">
        <v>1081.0</v>
      </c>
      <c r="O46" s="941">
        <v>16.0</v>
      </c>
      <c r="P46" s="941">
        <v>42.0</v>
      </c>
      <c r="Q46" s="941">
        <v>0.0</v>
      </c>
      <c r="R46" s="941">
        <v>4.0</v>
      </c>
      <c r="S46" s="941">
        <v>0.0</v>
      </c>
      <c r="T46" s="941">
        <v>0.0</v>
      </c>
      <c r="U46" s="941">
        <v>0.0</v>
      </c>
      <c r="V46" s="941">
        <v>4.0</v>
      </c>
      <c r="W46" s="941">
        <v>0.0</v>
      </c>
      <c r="X46" s="941">
        <v>24.0</v>
      </c>
      <c r="Y46" s="941">
        <v>7.0</v>
      </c>
      <c r="Z46" s="941">
        <v>1.0</v>
      </c>
      <c r="AA46" s="941">
        <v>0.0</v>
      </c>
      <c r="AB46" s="941">
        <v>0.0</v>
      </c>
      <c r="AC46" s="941">
        <v>0.0</v>
      </c>
      <c r="AD46" s="941">
        <v>0.0</v>
      </c>
      <c r="AE46" s="941">
        <v>0.0</v>
      </c>
      <c r="AF46" s="941">
        <v>0.0</v>
      </c>
      <c r="AG46" s="941">
        <v>0.0</v>
      </c>
      <c r="AH46" s="941">
        <v>10.0</v>
      </c>
      <c r="AI46" s="941">
        <v>0.0</v>
      </c>
      <c r="AJ46" s="941">
        <v>17.0</v>
      </c>
      <c r="AK46" s="942">
        <v>11.0</v>
      </c>
      <c r="AL46" s="941">
        <v>0.0</v>
      </c>
      <c r="AM46" s="941">
        <v>1.0</v>
      </c>
    </row>
    <row r="47">
      <c r="A47" s="935" t="s">
        <v>514</v>
      </c>
      <c r="B47" s="941">
        <v>1.0</v>
      </c>
      <c r="C47" s="941">
        <v>1.0</v>
      </c>
      <c r="D47" s="941">
        <v>0.0</v>
      </c>
      <c r="E47" s="941">
        <v>0.0</v>
      </c>
      <c r="F47" s="941">
        <v>0.0</v>
      </c>
      <c r="G47" s="941">
        <v>76.0</v>
      </c>
      <c r="H47" s="941">
        <v>68.0</v>
      </c>
      <c r="I47" s="941">
        <v>8.0</v>
      </c>
      <c r="J47" s="941">
        <v>5.0</v>
      </c>
      <c r="K47" s="941">
        <v>5.0</v>
      </c>
      <c r="L47" s="941">
        <v>3.0</v>
      </c>
      <c r="M47" s="941">
        <v>765.0</v>
      </c>
      <c r="N47" s="941">
        <v>1081.0</v>
      </c>
      <c r="O47" s="941">
        <v>11.0</v>
      </c>
      <c r="P47" s="941">
        <v>3.0</v>
      </c>
      <c r="Q47" s="941">
        <v>0.0</v>
      </c>
      <c r="R47" s="941">
        <v>1.0</v>
      </c>
      <c r="S47" s="941">
        <v>0.0</v>
      </c>
      <c r="T47" s="941">
        <v>0.0</v>
      </c>
      <c r="U47" s="941">
        <v>0.0</v>
      </c>
      <c r="V47" s="941">
        <v>1.0</v>
      </c>
      <c r="W47" s="941">
        <v>0.0</v>
      </c>
      <c r="X47" s="941">
        <v>10.0</v>
      </c>
      <c r="Y47" s="941">
        <v>5.0</v>
      </c>
      <c r="Z47" s="941">
        <v>0.0</v>
      </c>
      <c r="AA47" s="941">
        <v>0.0</v>
      </c>
      <c r="AB47" s="941">
        <v>0.0</v>
      </c>
      <c r="AC47" s="941">
        <v>0.0</v>
      </c>
      <c r="AD47" s="941">
        <v>0.0</v>
      </c>
      <c r="AE47" s="941">
        <v>0.0</v>
      </c>
      <c r="AF47" s="941">
        <v>0.0</v>
      </c>
      <c r="AG47" s="941">
        <v>0.0</v>
      </c>
      <c r="AH47" s="941">
        <v>6.0</v>
      </c>
      <c r="AI47" s="941">
        <v>0.0</v>
      </c>
      <c r="AJ47" s="941">
        <v>2.0</v>
      </c>
      <c r="AK47" s="942">
        <v>12.0</v>
      </c>
      <c r="AL47" s="941">
        <v>2.0</v>
      </c>
      <c r="AM47" s="941">
        <v>1.0</v>
      </c>
    </row>
    <row r="48">
      <c r="A48" s="935" t="s">
        <v>132</v>
      </c>
      <c r="B48" s="941">
        <v>1.0</v>
      </c>
      <c r="C48" s="941">
        <v>1.0</v>
      </c>
      <c r="D48" s="941">
        <v>0.0</v>
      </c>
      <c r="E48" s="941">
        <v>1.0</v>
      </c>
      <c r="F48" s="941">
        <v>2.0</v>
      </c>
      <c r="G48" s="941">
        <v>77.0</v>
      </c>
      <c r="H48" s="941">
        <v>61.0</v>
      </c>
      <c r="I48" s="941">
        <v>16.0</v>
      </c>
      <c r="J48" s="941">
        <v>10.0</v>
      </c>
      <c r="K48" s="941">
        <v>6.0</v>
      </c>
      <c r="L48" s="941">
        <v>4.0</v>
      </c>
      <c r="M48" s="941">
        <v>785.0</v>
      </c>
      <c r="N48" s="941">
        <v>1081.0</v>
      </c>
      <c r="O48" s="941">
        <v>12.0</v>
      </c>
      <c r="P48" s="941">
        <v>65.0</v>
      </c>
      <c r="Q48" s="941">
        <v>0.0</v>
      </c>
      <c r="R48" s="941">
        <v>2.0</v>
      </c>
      <c r="S48" s="941">
        <v>0.0</v>
      </c>
      <c r="T48" s="941">
        <v>0.0</v>
      </c>
      <c r="U48" s="941">
        <v>0.0</v>
      </c>
      <c r="V48" s="941">
        <v>1.0</v>
      </c>
      <c r="W48" s="941">
        <v>0.0</v>
      </c>
      <c r="X48" s="941">
        <v>13.0</v>
      </c>
      <c r="Y48" s="941">
        <v>3.0</v>
      </c>
      <c r="Z48" s="941">
        <v>1.0</v>
      </c>
      <c r="AA48" s="941">
        <v>1.0</v>
      </c>
      <c r="AB48" s="941">
        <v>0.0</v>
      </c>
      <c r="AC48" s="941">
        <v>0.0</v>
      </c>
      <c r="AD48" s="941">
        <v>0.0</v>
      </c>
      <c r="AE48" s="941">
        <v>0.0</v>
      </c>
      <c r="AF48" s="941">
        <v>0.0</v>
      </c>
      <c r="AG48" s="941">
        <v>0.0</v>
      </c>
      <c r="AH48" s="941">
        <v>6.0</v>
      </c>
      <c r="AI48" s="941">
        <v>0.0</v>
      </c>
      <c r="AJ48" s="941">
        <v>8.0</v>
      </c>
      <c r="AK48" s="942">
        <v>6.0</v>
      </c>
      <c r="AL48" s="941">
        <v>2.0</v>
      </c>
      <c r="AM48" s="941">
        <v>1.0</v>
      </c>
    </row>
    <row r="49">
      <c r="A49" s="943" t="s">
        <v>154</v>
      </c>
      <c r="B49" s="944">
        <v>1.0</v>
      </c>
      <c r="C49" s="944">
        <v>1.0</v>
      </c>
      <c r="D49" s="944">
        <v>0.0</v>
      </c>
      <c r="E49" s="944">
        <v>4.0</v>
      </c>
      <c r="F49" s="944">
        <v>3.0</v>
      </c>
      <c r="G49" s="944">
        <v>27.0</v>
      </c>
      <c r="H49" s="944">
        <v>38.0</v>
      </c>
      <c r="I49" s="944">
        <v>-11.0</v>
      </c>
      <c r="J49" s="944">
        <v>2.0</v>
      </c>
      <c r="K49" s="944">
        <v>4.0</v>
      </c>
      <c r="L49" s="944">
        <v>2.0</v>
      </c>
      <c r="M49" s="944">
        <v>856.0</v>
      </c>
      <c r="N49" s="944">
        <v>1081.0</v>
      </c>
      <c r="O49" s="944">
        <v>22.0</v>
      </c>
      <c r="P49" s="944">
        <v>493.0</v>
      </c>
      <c r="Q49" s="944">
        <v>0.0</v>
      </c>
      <c r="R49" s="944">
        <v>0.0</v>
      </c>
      <c r="S49" s="944">
        <v>0.0</v>
      </c>
      <c r="T49" s="944">
        <v>0.0</v>
      </c>
      <c r="U49" s="944">
        <v>0.0</v>
      </c>
      <c r="V49" s="944">
        <v>0.0</v>
      </c>
      <c r="W49" s="944">
        <v>0.0</v>
      </c>
      <c r="X49" s="944">
        <v>1.0</v>
      </c>
      <c r="Y49" s="944">
        <v>0.0</v>
      </c>
      <c r="Z49" s="944">
        <v>0.0</v>
      </c>
      <c r="AA49" s="944">
        <v>0.0</v>
      </c>
      <c r="AB49" s="944">
        <v>0.0</v>
      </c>
      <c r="AC49" s="944">
        <v>0.0</v>
      </c>
      <c r="AD49" s="944">
        <v>0.0</v>
      </c>
      <c r="AE49" s="944">
        <v>0.0</v>
      </c>
      <c r="AF49" s="944">
        <v>0.0</v>
      </c>
      <c r="AG49" s="944">
        <v>0.0</v>
      </c>
      <c r="AH49" s="944">
        <v>0.0</v>
      </c>
      <c r="AI49" s="944">
        <v>0.0</v>
      </c>
      <c r="AJ49" s="944">
        <v>8.0</v>
      </c>
      <c r="AK49" s="945">
        <v>2.0</v>
      </c>
      <c r="AL49" s="941">
        <v>1.0</v>
      </c>
      <c r="AM49" s="941">
        <v>1.0</v>
      </c>
    </row>
    <row r="50">
      <c r="A50" s="946" t="s">
        <v>514</v>
      </c>
      <c r="B50" s="939">
        <v>1.0</v>
      </c>
      <c r="C50" s="939">
        <v>0.0</v>
      </c>
      <c r="D50" s="939">
        <v>1.0</v>
      </c>
      <c r="E50" s="939">
        <v>0.0</v>
      </c>
      <c r="F50" s="939">
        <v>0.0</v>
      </c>
      <c r="G50" s="939">
        <v>109.0</v>
      </c>
      <c r="H50" s="939">
        <v>134.0</v>
      </c>
      <c r="I50" s="939">
        <v>-25.0</v>
      </c>
      <c r="J50" s="939">
        <v>13.0</v>
      </c>
      <c r="K50" s="939">
        <v>5.0</v>
      </c>
      <c r="L50" s="939">
        <v>4.0</v>
      </c>
      <c r="M50" s="939">
        <v>1352.0</v>
      </c>
      <c r="N50" s="939">
        <v>1871.0</v>
      </c>
      <c r="O50" s="939">
        <v>10.0</v>
      </c>
      <c r="P50" s="939">
        <v>5.0</v>
      </c>
      <c r="Q50" s="939">
        <v>0.0</v>
      </c>
      <c r="R50" s="939">
        <v>1.0</v>
      </c>
      <c r="S50" s="939">
        <v>0.0</v>
      </c>
      <c r="T50" s="939">
        <v>0.0</v>
      </c>
      <c r="U50" s="939">
        <v>0.0</v>
      </c>
      <c r="V50" s="939">
        <v>1.0</v>
      </c>
      <c r="W50" s="939">
        <v>0.0</v>
      </c>
      <c r="X50" s="939">
        <v>18.0</v>
      </c>
      <c r="Y50" s="939">
        <v>3.0</v>
      </c>
      <c r="Z50" s="939">
        <v>0.0</v>
      </c>
      <c r="AA50" s="939">
        <v>0.0</v>
      </c>
      <c r="AB50" s="939">
        <v>0.0</v>
      </c>
      <c r="AC50" s="939">
        <v>0.0</v>
      </c>
      <c r="AD50" s="939">
        <v>0.0</v>
      </c>
      <c r="AE50" s="939">
        <v>0.0</v>
      </c>
      <c r="AF50" s="939">
        <v>0.0</v>
      </c>
      <c r="AG50" s="939">
        <v>0.0</v>
      </c>
      <c r="AH50" s="939">
        <v>7.0</v>
      </c>
      <c r="AI50" s="895">
        <v>0.0</v>
      </c>
      <c r="AJ50" s="895">
        <v>10.0</v>
      </c>
      <c r="AK50" s="947">
        <v>7.0</v>
      </c>
      <c r="AL50" s="941">
        <v>0.0</v>
      </c>
      <c r="AM50" s="941">
        <v>1.0</v>
      </c>
    </row>
    <row r="51">
      <c r="A51" s="935" t="s">
        <v>132</v>
      </c>
      <c r="B51" s="941">
        <v>1.0</v>
      </c>
      <c r="C51" s="941">
        <v>0.0</v>
      </c>
      <c r="D51" s="941">
        <v>1.0</v>
      </c>
      <c r="E51" s="941">
        <v>0.0</v>
      </c>
      <c r="F51" s="941">
        <v>7.0</v>
      </c>
      <c r="G51" s="941">
        <v>115.0</v>
      </c>
      <c r="H51" s="941">
        <v>95.0</v>
      </c>
      <c r="I51" s="941">
        <v>20.0</v>
      </c>
      <c r="J51" s="941">
        <v>5.0</v>
      </c>
      <c r="K51" s="941">
        <v>7.0</v>
      </c>
      <c r="L51" s="941">
        <v>3.0</v>
      </c>
      <c r="M51" s="941">
        <v>1461.0</v>
      </c>
      <c r="N51" s="941">
        <v>1871.0</v>
      </c>
      <c r="O51" s="941">
        <v>15.0</v>
      </c>
      <c r="P51" s="941">
        <v>310.0</v>
      </c>
      <c r="Q51" s="941">
        <v>0.0</v>
      </c>
      <c r="R51" s="941">
        <v>4.0</v>
      </c>
      <c r="S51" s="941">
        <v>0.0</v>
      </c>
      <c r="T51" s="941">
        <v>0.0</v>
      </c>
      <c r="U51" s="941">
        <v>0.0</v>
      </c>
      <c r="V51" s="941">
        <v>2.0</v>
      </c>
      <c r="W51" s="941">
        <v>0.0</v>
      </c>
      <c r="X51" s="941">
        <v>19.0</v>
      </c>
      <c r="Y51" s="941">
        <v>4.0</v>
      </c>
      <c r="Z51" s="941">
        <v>1.0</v>
      </c>
      <c r="AA51" s="941">
        <v>1.0</v>
      </c>
      <c r="AB51" s="941">
        <v>0.0</v>
      </c>
      <c r="AC51" s="941">
        <v>0.0</v>
      </c>
      <c r="AD51" s="941">
        <v>0.0</v>
      </c>
      <c r="AE51" s="941">
        <v>0.0</v>
      </c>
      <c r="AF51" s="941">
        <v>0.0</v>
      </c>
      <c r="AG51" s="941">
        <v>0.0</v>
      </c>
      <c r="AH51" s="941">
        <v>3.0</v>
      </c>
      <c r="AI51" s="941">
        <v>0.0</v>
      </c>
      <c r="AJ51" s="941">
        <v>14.0</v>
      </c>
      <c r="AK51" s="942">
        <v>12.0</v>
      </c>
      <c r="AL51" s="941">
        <v>0.0</v>
      </c>
      <c r="AM51" s="941">
        <v>1.0</v>
      </c>
    </row>
    <row r="52">
      <c r="A52" s="935" t="s">
        <v>154</v>
      </c>
      <c r="B52" s="941">
        <v>1.0</v>
      </c>
      <c r="C52" s="941">
        <v>0.0</v>
      </c>
      <c r="D52" s="941">
        <v>1.0</v>
      </c>
      <c r="E52" s="941">
        <v>2.0</v>
      </c>
      <c r="F52" s="941">
        <v>1.0</v>
      </c>
      <c r="G52" s="941">
        <v>69.0</v>
      </c>
      <c r="H52" s="941">
        <v>102.0</v>
      </c>
      <c r="I52" s="941">
        <v>-33.0</v>
      </c>
      <c r="J52" s="941">
        <v>1.0</v>
      </c>
      <c r="K52" s="941">
        <v>4.0</v>
      </c>
      <c r="L52" s="941">
        <v>0.0</v>
      </c>
      <c r="M52" s="941">
        <v>1446.0</v>
      </c>
      <c r="N52" s="941">
        <v>1871.0</v>
      </c>
      <c r="O52" s="941">
        <v>14.0</v>
      </c>
      <c r="P52" s="941">
        <v>382.0</v>
      </c>
      <c r="Q52" s="941">
        <v>0.0</v>
      </c>
      <c r="R52" s="941">
        <v>0.0</v>
      </c>
      <c r="S52" s="941">
        <v>0.0</v>
      </c>
      <c r="T52" s="941">
        <v>0.0</v>
      </c>
      <c r="U52" s="941">
        <v>0.0</v>
      </c>
      <c r="V52" s="941">
        <v>0.0</v>
      </c>
      <c r="W52" s="941">
        <v>0.0</v>
      </c>
      <c r="X52" s="941">
        <v>7.0</v>
      </c>
      <c r="Y52" s="941">
        <v>0.0</v>
      </c>
      <c r="Z52" s="941">
        <v>0.0</v>
      </c>
      <c r="AA52" s="941">
        <v>0.0</v>
      </c>
      <c r="AB52" s="941">
        <v>0.0</v>
      </c>
      <c r="AC52" s="941">
        <v>0.0</v>
      </c>
      <c r="AD52" s="941">
        <v>0.0</v>
      </c>
      <c r="AE52" s="941">
        <v>0.0</v>
      </c>
      <c r="AF52" s="941">
        <v>0.0</v>
      </c>
      <c r="AG52" s="941">
        <v>0.0</v>
      </c>
      <c r="AH52" s="941">
        <v>2.0</v>
      </c>
      <c r="AI52" s="941">
        <v>0.0</v>
      </c>
      <c r="AJ52" s="941">
        <v>9.0</v>
      </c>
      <c r="AK52" s="942">
        <v>13.0</v>
      </c>
      <c r="AL52" s="941">
        <v>2.0</v>
      </c>
      <c r="AM52" s="941">
        <v>1.0</v>
      </c>
    </row>
    <row r="53">
      <c r="A53" s="935" t="s">
        <v>121</v>
      </c>
      <c r="B53" s="941">
        <v>1.0</v>
      </c>
      <c r="C53" s="941">
        <v>0.0</v>
      </c>
      <c r="D53" s="941">
        <v>1.0</v>
      </c>
      <c r="E53" s="941">
        <v>2.0</v>
      </c>
      <c r="F53" s="941">
        <v>1.0</v>
      </c>
      <c r="G53" s="941">
        <v>124.0</v>
      </c>
      <c r="H53" s="941">
        <v>99.0</v>
      </c>
      <c r="I53" s="941">
        <v>25.0</v>
      </c>
      <c r="J53" s="941">
        <v>2.0</v>
      </c>
      <c r="K53" s="941">
        <v>6.0</v>
      </c>
      <c r="L53" s="941">
        <v>1.0</v>
      </c>
      <c r="M53" s="941">
        <v>1451.0</v>
      </c>
      <c r="N53" s="941">
        <v>1871.0</v>
      </c>
      <c r="O53" s="941">
        <v>14.0</v>
      </c>
      <c r="P53" s="941">
        <v>18.0</v>
      </c>
      <c r="Q53" s="941">
        <v>0.0</v>
      </c>
      <c r="R53" s="941">
        <v>3.0</v>
      </c>
      <c r="S53" s="941">
        <v>0.0</v>
      </c>
      <c r="T53" s="941">
        <v>0.0</v>
      </c>
      <c r="U53" s="941">
        <v>0.0</v>
      </c>
      <c r="V53" s="941">
        <v>3.0</v>
      </c>
      <c r="W53" s="941">
        <v>0.0</v>
      </c>
      <c r="X53" s="941">
        <v>23.0</v>
      </c>
      <c r="Y53" s="941">
        <v>3.0</v>
      </c>
      <c r="Z53" s="941">
        <v>0.0</v>
      </c>
      <c r="AA53" s="941">
        <v>0.0</v>
      </c>
      <c r="AB53" s="941">
        <v>0.0</v>
      </c>
      <c r="AC53" s="941">
        <v>0.0</v>
      </c>
      <c r="AD53" s="941">
        <v>0.0</v>
      </c>
      <c r="AE53" s="941">
        <v>0.0</v>
      </c>
      <c r="AF53" s="941">
        <v>0.0</v>
      </c>
      <c r="AG53" s="941">
        <v>0.0</v>
      </c>
      <c r="AH53" s="941">
        <v>10.0</v>
      </c>
      <c r="AI53" s="941">
        <v>0.0</v>
      </c>
      <c r="AJ53" s="941">
        <v>20.0</v>
      </c>
      <c r="AK53" s="942">
        <v>13.0</v>
      </c>
      <c r="AL53" s="941">
        <v>1.0</v>
      </c>
      <c r="AM53" s="941">
        <v>1.0</v>
      </c>
    </row>
    <row r="54">
      <c r="A54" s="935" t="s">
        <v>140</v>
      </c>
      <c r="B54" s="941">
        <v>1.0</v>
      </c>
      <c r="C54" s="941">
        <v>1.0</v>
      </c>
      <c r="D54" s="941">
        <v>0.0</v>
      </c>
      <c r="E54" s="941">
        <v>0.0</v>
      </c>
      <c r="F54" s="941">
        <v>0.0</v>
      </c>
      <c r="G54" s="941">
        <v>98.0</v>
      </c>
      <c r="H54" s="941">
        <v>110.0</v>
      </c>
      <c r="I54" s="941">
        <v>-12.0</v>
      </c>
      <c r="J54" s="941">
        <v>7.0</v>
      </c>
      <c r="K54" s="941">
        <v>3.0</v>
      </c>
      <c r="L54" s="941">
        <v>1.0</v>
      </c>
      <c r="M54" s="941">
        <v>1426.0</v>
      </c>
      <c r="N54" s="941">
        <v>1871.0</v>
      </c>
      <c r="O54" s="941">
        <v>12.0</v>
      </c>
      <c r="P54" s="941">
        <v>13.0</v>
      </c>
      <c r="Q54" s="941">
        <v>0.0</v>
      </c>
      <c r="R54" s="941">
        <v>0.0</v>
      </c>
      <c r="S54" s="941">
        <v>0.0</v>
      </c>
      <c r="T54" s="941">
        <v>0.0</v>
      </c>
      <c r="U54" s="941">
        <v>0.0</v>
      </c>
      <c r="V54" s="941">
        <v>0.0</v>
      </c>
      <c r="W54" s="941">
        <v>0.0</v>
      </c>
      <c r="X54" s="941">
        <v>17.0</v>
      </c>
      <c r="Y54" s="941">
        <v>5.0</v>
      </c>
      <c r="Z54" s="941">
        <v>0.0</v>
      </c>
      <c r="AA54" s="941">
        <v>0.0</v>
      </c>
      <c r="AB54" s="941">
        <v>0.0</v>
      </c>
      <c r="AC54" s="941">
        <v>0.0</v>
      </c>
      <c r="AD54" s="941">
        <v>0.0</v>
      </c>
      <c r="AE54" s="941">
        <v>0.0</v>
      </c>
      <c r="AF54" s="941">
        <v>0.0</v>
      </c>
      <c r="AG54" s="941">
        <v>0.0</v>
      </c>
      <c r="AH54" s="941">
        <v>5.0</v>
      </c>
      <c r="AI54" s="941">
        <v>0.0</v>
      </c>
      <c r="AJ54" s="941">
        <v>10.0</v>
      </c>
      <c r="AK54" s="942">
        <v>13.0</v>
      </c>
      <c r="AL54" s="941">
        <v>1.0</v>
      </c>
      <c r="AM54" s="941">
        <v>0.0</v>
      </c>
    </row>
    <row r="55">
      <c r="A55" s="935" t="s">
        <v>152</v>
      </c>
      <c r="B55" s="941">
        <v>1.0</v>
      </c>
      <c r="C55" s="941">
        <v>1.0</v>
      </c>
      <c r="D55" s="941">
        <v>0.0</v>
      </c>
      <c r="E55" s="941">
        <v>0.0</v>
      </c>
      <c r="F55" s="941">
        <v>0.0</v>
      </c>
      <c r="G55" s="941">
        <v>100.0</v>
      </c>
      <c r="H55" s="941">
        <v>139.0</v>
      </c>
      <c r="I55" s="941">
        <v>-39.0</v>
      </c>
      <c r="J55" s="941">
        <v>3.0</v>
      </c>
      <c r="K55" s="941">
        <v>4.0</v>
      </c>
      <c r="L55" s="941">
        <v>0.0</v>
      </c>
      <c r="M55" s="941">
        <v>1329.0</v>
      </c>
      <c r="N55" s="941">
        <v>1871.0</v>
      </c>
      <c r="O55" s="941">
        <v>9.0</v>
      </c>
      <c r="P55" s="941">
        <v>2.0</v>
      </c>
      <c r="Q55" s="941">
        <v>0.0</v>
      </c>
      <c r="R55" s="941">
        <v>0.0</v>
      </c>
      <c r="S55" s="941">
        <v>0.0</v>
      </c>
      <c r="T55" s="941">
        <v>0.0</v>
      </c>
      <c r="U55" s="941">
        <v>0.0</v>
      </c>
      <c r="V55" s="941">
        <v>0.0</v>
      </c>
      <c r="W55" s="941">
        <v>0.0</v>
      </c>
      <c r="X55" s="941">
        <v>9.0</v>
      </c>
      <c r="Y55" s="941">
        <v>0.0</v>
      </c>
      <c r="Z55" s="941">
        <v>0.0</v>
      </c>
      <c r="AA55" s="941">
        <v>0.0</v>
      </c>
      <c r="AB55" s="941">
        <v>0.0</v>
      </c>
      <c r="AC55" s="941">
        <v>0.0</v>
      </c>
      <c r="AD55" s="941">
        <v>0.0</v>
      </c>
      <c r="AE55" s="941">
        <v>0.0</v>
      </c>
      <c r="AF55" s="941">
        <v>0.0</v>
      </c>
      <c r="AG55" s="941">
        <v>0.0</v>
      </c>
      <c r="AH55" s="941">
        <v>12.0</v>
      </c>
      <c r="AI55" s="941">
        <v>0.0</v>
      </c>
      <c r="AJ55" s="941">
        <v>8.0</v>
      </c>
      <c r="AK55" s="942">
        <v>14.0</v>
      </c>
      <c r="AL55" s="941">
        <v>1.0</v>
      </c>
      <c r="AM55" s="941">
        <v>0.0</v>
      </c>
    </row>
    <row r="56">
      <c r="A56" s="935" t="s">
        <v>129</v>
      </c>
      <c r="B56" s="941">
        <v>1.0</v>
      </c>
      <c r="C56" s="941">
        <v>1.0</v>
      </c>
      <c r="D56" s="941">
        <v>0.0</v>
      </c>
      <c r="E56" s="941">
        <v>2.0</v>
      </c>
      <c r="F56" s="941">
        <v>1.0</v>
      </c>
      <c r="G56" s="941">
        <v>133.0</v>
      </c>
      <c r="H56" s="941">
        <v>120.0</v>
      </c>
      <c r="I56" s="941">
        <v>13.0</v>
      </c>
      <c r="J56" s="941">
        <v>8.0</v>
      </c>
      <c r="K56" s="941">
        <v>5.0</v>
      </c>
      <c r="L56" s="941">
        <v>1.0</v>
      </c>
      <c r="M56" s="941">
        <v>1395.0</v>
      </c>
      <c r="N56" s="941">
        <v>1871.0</v>
      </c>
      <c r="O56" s="941">
        <v>11.0</v>
      </c>
      <c r="P56" s="941">
        <v>32.0</v>
      </c>
      <c r="Q56" s="941">
        <v>0.0</v>
      </c>
      <c r="R56" s="941">
        <v>2.0</v>
      </c>
      <c r="S56" s="941">
        <v>0.0</v>
      </c>
      <c r="T56" s="941">
        <v>0.0</v>
      </c>
      <c r="U56" s="941">
        <v>0.0</v>
      </c>
      <c r="V56" s="941">
        <v>2.0</v>
      </c>
      <c r="W56" s="941">
        <v>0.0</v>
      </c>
      <c r="X56" s="941">
        <v>19.0</v>
      </c>
      <c r="Y56" s="941">
        <v>2.0</v>
      </c>
      <c r="Z56" s="941">
        <v>0.0</v>
      </c>
      <c r="AA56" s="941">
        <v>0.0</v>
      </c>
      <c r="AB56" s="941">
        <v>0.0</v>
      </c>
      <c r="AC56" s="941">
        <v>0.0</v>
      </c>
      <c r="AD56" s="941">
        <v>0.0</v>
      </c>
      <c r="AE56" s="941">
        <v>0.0</v>
      </c>
      <c r="AF56" s="941">
        <v>0.0</v>
      </c>
      <c r="AG56" s="941">
        <v>0.0</v>
      </c>
      <c r="AH56" s="941">
        <v>10.0</v>
      </c>
      <c r="AI56" s="941">
        <v>0.0</v>
      </c>
      <c r="AJ56" s="941">
        <v>14.0</v>
      </c>
      <c r="AK56" s="942">
        <v>20.0</v>
      </c>
      <c r="AL56" s="941">
        <v>1.0</v>
      </c>
      <c r="AM56" s="941">
        <v>0.0</v>
      </c>
    </row>
    <row r="57">
      <c r="A57" s="943" t="s">
        <v>118</v>
      </c>
      <c r="B57" s="944">
        <v>1.0</v>
      </c>
      <c r="C57" s="944">
        <v>1.0</v>
      </c>
      <c r="D57" s="944">
        <v>0.0</v>
      </c>
      <c r="E57" s="944">
        <v>3.0</v>
      </c>
      <c r="F57" s="944">
        <v>14.0</v>
      </c>
      <c r="G57" s="944">
        <v>80.0</v>
      </c>
      <c r="H57" s="944">
        <v>62.0</v>
      </c>
      <c r="I57" s="944">
        <v>18.0</v>
      </c>
      <c r="J57" s="944">
        <v>3.0</v>
      </c>
      <c r="K57" s="944">
        <v>5.0</v>
      </c>
      <c r="L57" s="944">
        <v>0.0</v>
      </c>
      <c r="M57" s="944">
        <v>1558.0</v>
      </c>
      <c r="N57" s="944">
        <v>1871.0</v>
      </c>
      <c r="O57" s="944">
        <v>25.0</v>
      </c>
      <c r="P57" s="944">
        <v>847.0</v>
      </c>
      <c r="Q57" s="944">
        <v>0.0</v>
      </c>
      <c r="R57" s="944">
        <v>1.0</v>
      </c>
      <c r="S57" s="944">
        <v>0.0</v>
      </c>
      <c r="T57" s="944">
        <v>0.0</v>
      </c>
      <c r="U57" s="944">
        <v>0.0</v>
      </c>
      <c r="V57" s="944">
        <v>0.0</v>
      </c>
      <c r="W57" s="944">
        <v>0.0</v>
      </c>
      <c r="X57" s="944">
        <v>13.0</v>
      </c>
      <c r="Y57" s="944">
        <v>2.0</v>
      </c>
      <c r="Z57" s="944">
        <v>0.0</v>
      </c>
      <c r="AA57" s="944">
        <v>0.0</v>
      </c>
      <c r="AB57" s="944">
        <v>0.0</v>
      </c>
      <c r="AC57" s="944">
        <v>0.0</v>
      </c>
      <c r="AD57" s="944">
        <v>0.0</v>
      </c>
      <c r="AE57" s="944">
        <v>0.0</v>
      </c>
      <c r="AF57" s="944">
        <v>0.0</v>
      </c>
      <c r="AG57" s="944">
        <v>0.0</v>
      </c>
      <c r="AH57" s="944">
        <v>0.0</v>
      </c>
      <c r="AI57" s="882">
        <v>0.0</v>
      </c>
      <c r="AJ57" s="882">
        <v>13.0</v>
      </c>
      <c r="AK57" s="948">
        <v>6.0</v>
      </c>
      <c r="AL57" s="941">
        <v>3.0</v>
      </c>
      <c r="AM57" s="941">
        <v>0.0</v>
      </c>
    </row>
    <row r="58">
      <c r="A58" s="946" t="s">
        <v>130</v>
      </c>
      <c r="B58" s="939">
        <v>1.0</v>
      </c>
      <c r="C58" s="939">
        <v>0.0</v>
      </c>
      <c r="D58" s="939">
        <v>1.0</v>
      </c>
      <c r="E58" s="939">
        <v>0.0</v>
      </c>
      <c r="F58" s="939">
        <v>0.0</v>
      </c>
      <c r="G58" s="939">
        <v>113.0</v>
      </c>
      <c r="H58" s="939">
        <v>103.0</v>
      </c>
      <c r="I58" s="939">
        <v>10.0</v>
      </c>
      <c r="J58" s="939">
        <v>18.0</v>
      </c>
      <c r="K58" s="939">
        <v>6.0</v>
      </c>
      <c r="L58" s="939">
        <v>7.0</v>
      </c>
      <c r="M58" s="939">
        <v>1781.0</v>
      </c>
      <c r="N58" s="939">
        <v>2213.0</v>
      </c>
      <c r="O58" s="939">
        <v>17.0</v>
      </c>
      <c r="P58" s="939">
        <v>18.0</v>
      </c>
      <c r="Q58" s="939">
        <v>0.0</v>
      </c>
      <c r="R58" s="939">
        <v>1.0</v>
      </c>
      <c r="S58" s="939">
        <v>0.0</v>
      </c>
      <c r="T58" s="939">
        <v>0.0</v>
      </c>
      <c r="U58" s="939">
        <v>0.0</v>
      </c>
      <c r="V58" s="939">
        <v>1.0</v>
      </c>
      <c r="W58" s="939">
        <v>0.0</v>
      </c>
      <c r="X58" s="939">
        <v>14.0</v>
      </c>
      <c r="Y58" s="939">
        <v>1.0</v>
      </c>
      <c r="Z58" s="939">
        <v>1.0</v>
      </c>
      <c r="AA58" s="939">
        <v>0.0</v>
      </c>
      <c r="AB58" s="939">
        <v>0.0</v>
      </c>
      <c r="AC58" s="939">
        <v>0.0</v>
      </c>
      <c r="AD58" s="939">
        <v>0.0</v>
      </c>
      <c r="AE58" s="939">
        <v>0.0</v>
      </c>
      <c r="AF58" s="939">
        <v>0.0</v>
      </c>
      <c r="AG58" s="939">
        <v>0.0</v>
      </c>
      <c r="AH58" s="939">
        <v>16.0</v>
      </c>
      <c r="AI58" s="895">
        <v>0.0</v>
      </c>
      <c r="AJ58" s="895">
        <v>12.0</v>
      </c>
      <c r="AK58" s="947">
        <v>9.0</v>
      </c>
      <c r="AL58" s="941">
        <v>2.0</v>
      </c>
      <c r="AM58" s="941">
        <v>1.0</v>
      </c>
    </row>
    <row r="59">
      <c r="A59" s="935" t="s">
        <v>141</v>
      </c>
      <c r="B59" s="941">
        <v>1.0</v>
      </c>
      <c r="C59" s="941">
        <v>0.0</v>
      </c>
      <c r="D59" s="941">
        <v>1.0</v>
      </c>
      <c r="E59" s="941">
        <v>0.0</v>
      </c>
      <c r="F59" s="941">
        <v>0.0</v>
      </c>
      <c r="G59" s="941">
        <v>126.0</v>
      </c>
      <c r="H59" s="941">
        <v>150.0</v>
      </c>
      <c r="I59" s="941">
        <v>-24.0</v>
      </c>
      <c r="J59" s="941">
        <v>7.0</v>
      </c>
      <c r="K59" s="941">
        <v>4.0</v>
      </c>
      <c r="L59" s="941">
        <v>2.0</v>
      </c>
      <c r="M59" s="941">
        <v>1649.0</v>
      </c>
      <c r="N59" s="941">
        <v>2213.0</v>
      </c>
      <c r="O59" s="941">
        <v>10.0</v>
      </c>
      <c r="P59" s="941">
        <v>42.0</v>
      </c>
      <c r="Q59" s="941">
        <v>0.0</v>
      </c>
      <c r="R59" s="941">
        <v>0.0</v>
      </c>
      <c r="S59" s="941">
        <v>0.0</v>
      </c>
      <c r="T59" s="941">
        <v>0.0</v>
      </c>
      <c r="U59" s="941">
        <v>0.0</v>
      </c>
      <c r="V59" s="941">
        <v>0.0</v>
      </c>
      <c r="W59" s="941">
        <v>0.0</v>
      </c>
      <c r="X59" s="941">
        <v>20.0</v>
      </c>
      <c r="Y59" s="941">
        <v>3.0</v>
      </c>
      <c r="Z59" s="941">
        <v>0.0</v>
      </c>
      <c r="AA59" s="941">
        <v>0.0</v>
      </c>
      <c r="AB59" s="941">
        <v>0.0</v>
      </c>
      <c r="AC59" s="941">
        <v>0.0</v>
      </c>
      <c r="AD59" s="941">
        <v>0.0</v>
      </c>
      <c r="AE59" s="941">
        <v>0.0</v>
      </c>
      <c r="AF59" s="941">
        <v>0.0</v>
      </c>
      <c r="AG59" s="941">
        <v>0.0</v>
      </c>
      <c r="AH59" s="941">
        <v>8.0</v>
      </c>
      <c r="AI59" s="941">
        <v>0.0</v>
      </c>
      <c r="AJ59" s="941">
        <v>20.0</v>
      </c>
      <c r="AK59" s="942">
        <v>13.0</v>
      </c>
      <c r="AL59" s="941">
        <v>0.0</v>
      </c>
      <c r="AM59" s="941">
        <v>1.0</v>
      </c>
    </row>
    <row r="60">
      <c r="A60" s="935" t="s">
        <v>152</v>
      </c>
      <c r="B60" s="941">
        <v>1.0</v>
      </c>
      <c r="C60" s="941">
        <v>0.0</v>
      </c>
      <c r="D60" s="941">
        <v>1.0</v>
      </c>
      <c r="E60" s="941">
        <v>0.0</v>
      </c>
      <c r="F60" s="941">
        <v>0.0</v>
      </c>
      <c r="G60" s="941">
        <v>124.0</v>
      </c>
      <c r="H60" s="941">
        <v>151.0</v>
      </c>
      <c r="I60" s="941">
        <v>-27.0</v>
      </c>
      <c r="J60" s="941">
        <v>7.0</v>
      </c>
      <c r="K60" s="941">
        <v>4.0</v>
      </c>
      <c r="L60" s="941">
        <v>2.0</v>
      </c>
      <c r="M60" s="941">
        <v>1642.0</v>
      </c>
      <c r="N60" s="941">
        <v>2213.0</v>
      </c>
      <c r="O60" s="941">
        <v>10.0</v>
      </c>
      <c r="P60" s="941">
        <v>12.0</v>
      </c>
      <c r="Q60" s="941">
        <v>0.0</v>
      </c>
      <c r="R60" s="941">
        <v>0.0</v>
      </c>
      <c r="S60" s="941">
        <v>0.0</v>
      </c>
      <c r="T60" s="941">
        <v>0.0</v>
      </c>
      <c r="U60" s="941">
        <v>0.0</v>
      </c>
      <c r="V60" s="941">
        <v>0.0</v>
      </c>
      <c r="W60" s="941">
        <v>0.0</v>
      </c>
      <c r="X60" s="941">
        <v>16.0</v>
      </c>
      <c r="Y60" s="941">
        <v>2.0</v>
      </c>
      <c r="Z60" s="941">
        <v>0.0</v>
      </c>
      <c r="AA60" s="941">
        <v>0.0</v>
      </c>
      <c r="AB60" s="941">
        <v>0.0</v>
      </c>
      <c r="AC60" s="941">
        <v>0.0</v>
      </c>
      <c r="AD60" s="941">
        <v>0.0</v>
      </c>
      <c r="AE60" s="941">
        <v>0.0</v>
      </c>
      <c r="AF60" s="941">
        <v>0.0</v>
      </c>
      <c r="AG60" s="941">
        <v>0.0</v>
      </c>
      <c r="AH60" s="941">
        <v>3.0</v>
      </c>
      <c r="AI60" s="941">
        <v>0.0</v>
      </c>
      <c r="AJ60" s="941">
        <v>15.0</v>
      </c>
      <c r="AK60" s="942">
        <v>10.0</v>
      </c>
      <c r="AL60" s="941">
        <v>2.0</v>
      </c>
      <c r="AM60" s="941">
        <v>1.0</v>
      </c>
    </row>
    <row r="61">
      <c r="A61" s="935" t="s">
        <v>119</v>
      </c>
      <c r="B61" s="941">
        <v>1.0</v>
      </c>
      <c r="C61" s="941">
        <v>0.0</v>
      </c>
      <c r="D61" s="941">
        <v>1.0</v>
      </c>
      <c r="E61" s="941">
        <v>4.0</v>
      </c>
      <c r="F61" s="941">
        <v>24.0</v>
      </c>
      <c r="G61" s="941">
        <v>88.0</v>
      </c>
      <c r="H61" s="941">
        <v>79.0</v>
      </c>
      <c r="I61" s="941">
        <v>9.0</v>
      </c>
      <c r="J61" s="941">
        <v>7.0</v>
      </c>
      <c r="K61" s="941">
        <v>10.0</v>
      </c>
      <c r="L61" s="941">
        <v>5.0</v>
      </c>
      <c r="M61" s="941">
        <v>1857.0</v>
      </c>
      <c r="N61" s="941">
        <v>2213.0</v>
      </c>
      <c r="O61" s="941">
        <v>23.0</v>
      </c>
      <c r="P61" s="941">
        <v>1013.0</v>
      </c>
      <c r="Q61" s="941">
        <v>0.0</v>
      </c>
      <c r="R61" s="941">
        <v>3.0</v>
      </c>
      <c r="S61" s="941">
        <v>1.0</v>
      </c>
      <c r="T61" s="941">
        <v>0.0</v>
      </c>
      <c r="U61" s="941">
        <v>0.0</v>
      </c>
      <c r="V61" s="941">
        <v>0.0</v>
      </c>
      <c r="W61" s="941">
        <v>0.0</v>
      </c>
      <c r="X61" s="941">
        <v>8.0</v>
      </c>
      <c r="Y61" s="941">
        <v>1.0</v>
      </c>
      <c r="Z61" s="941">
        <v>1.0</v>
      </c>
      <c r="AA61" s="941">
        <v>0.0</v>
      </c>
      <c r="AB61" s="941">
        <v>0.0</v>
      </c>
      <c r="AC61" s="941">
        <v>0.0</v>
      </c>
      <c r="AD61" s="941">
        <v>0.0</v>
      </c>
      <c r="AE61" s="941">
        <v>0.0</v>
      </c>
      <c r="AF61" s="941">
        <v>0.0</v>
      </c>
      <c r="AG61" s="941">
        <v>0.0</v>
      </c>
      <c r="AH61" s="941">
        <v>0.0</v>
      </c>
      <c r="AI61" s="941">
        <v>0.0</v>
      </c>
      <c r="AJ61" s="941">
        <v>13.0</v>
      </c>
      <c r="AK61" s="942">
        <v>10.0</v>
      </c>
      <c r="AL61" s="941">
        <v>1.0</v>
      </c>
      <c r="AM61" s="941">
        <v>1.0</v>
      </c>
    </row>
    <row r="62">
      <c r="A62" s="935" t="s">
        <v>128</v>
      </c>
      <c r="B62" s="941">
        <v>1.0</v>
      </c>
      <c r="C62" s="941">
        <v>1.0</v>
      </c>
      <c r="D62" s="941">
        <v>0.0</v>
      </c>
      <c r="E62" s="941">
        <v>1.0</v>
      </c>
      <c r="F62" s="941">
        <v>3.0</v>
      </c>
      <c r="G62" s="941">
        <v>130.0</v>
      </c>
      <c r="H62" s="941">
        <v>105.0</v>
      </c>
      <c r="I62" s="941">
        <v>25.0</v>
      </c>
      <c r="J62" s="941">
        <v>5.0</v>
      </c>
      <c r="K62" s="941">
        <v>5.0</v>
      </c>
      <c r="L62" s="941">
        <v>1.0</v>
      </c>
      <c r="M62" s="941">
        <v>1776.0</v>
      </c>
      <c r="N62" s="941">
        <v>2213.0</v>
      </c>
      <c r="O62" s="941">
        <v>16.0</v>
      </c>
      <c r="P62" s="941">
        <v>273.0</v>
      </c>
      <c r="Q62" s="941">
        <v>0.0</v>
      </c>
      <c r="R62" s="941">
        <v>2.0</v>
      </c>
      <c r="S62" s="941">
        <v>0.0</v>
      </c>
      <c r="T62" s="941">
        <v>0.0</v>
      </c>
      <c r="U62" s="941">
        <v>0.0</v>
      </c>
      <c r="V62" s="941">
        <v>2.0</v>
      </c>
      <c r="W62" s="941">
        <v>0.0</v>
      </c>
      <c r="X62" s="941">
        <v>23.0</v>
      </c>
      <c r="Y62" s="941">
        <v>7.0</v>
      </c>
      <c r="Z62" s="941">
        <v>2.0</v>
      </c>
      <c r="AA62" s="941">
        <v>0.0</v>
      </c>
      <c r="AB62" s="941">
        <v>0.0</v>
      </c>
      <c r="AC62" s="941">
        <v>0.0</v>
      </c>
      <c r="AD62" s="941">
        <v>0.0</v>
      </c>
      <c r="AE62" s="941">
        <v>0.0</v>
      </c>
      <c r="AF62" s="941">
        <v>0.0</v>
      </c>
      <c r="AG62" s="941">
        <v>0.0</v>
      </c>
      <c r="AH62" s="941">
        <v>4.0</v>
      </c>
      <c r="AI62" s="941">
        <v>0.0</v>
      </c>
      <c r="AJ62" s="941">
        <v>11.0</v>
      </c>
      <c r="AK62" s="942">
        <v>12.0</v>
      </c>
      <c r="AL62" s="941">
        <v>1.0</v>
      </c>
      <c r="AM62" s="941">
        <v>0.0</v>
      </c>
    </row>
    <row r="63">
      <c r="A63" s="935" t="s">
        <v>150</v>
      </c>
      <c r="B63" s="941">
        <v>1.0</v>
      </c>
      <c r="C63" s="941">
        <v>1.0</v>
      </c>
      <c r="D63" s="941">
        <v>0.0</v>
      </c>
      <c r="E63" s="941">
        <v>1.0</v>
      </c>
      <c r="F63" s="941">
        <v>0.0</v>
      </c>
      <c r="G63" s="941">
        <v>108.0</v>
      </c>
      <c r="H63" s="941">
        <v>147.0</v>
      </c>
      <c r="I63" s="941">
        <v>-39.0</v>
      </c>
      <c r="J63" s="941">
        <v>7.0</v>
      </c>
      <c r="K63" s="941">
        <v>4.0</v>
      </c>
      <c r="L63" s="941">
        <v>3.0</v>
      </c>
      <c r="M63" s="941">
        <v>1644.0</v>
      </c>
      <c r="N63" s="941">
        <v>2213.0</v>
      </c>
      <c r="O63" s="941">
        <v>11.0</v>
      </c>
      <c r="P63" s="941">
        <v>35.0</v>
      </c>
      <c r="Q63" s="941">
        <v>0.0</v>
      </c>
      <c r="R63" s="941">
        <v>0.0</v>
      </c>
      <c r="S63" s="941">
        <v>0.0</v>
      </c>
      <c r="T63" s="941">
        <v>0.0</v>
      </c>
      <c r="U63" s="941">
        <v>0.0</v>
      </c>
      <c r="V63" s="941">
        <v>0.0</v>
      </c>
      <c r="W63" s="941">
        <v>0.0</v>
      </c>
      <c r="X63" s="941">
        <v>10.0</v>
      </c>
      <c r="Y63" s="941">
        <v>0.0</v>
      </c>
      <c r="Z63" s="941">
        <v>0.0</v>
      </c>
      <c r="AA63" s="941">
        <v>0.0</v>
      </c>
      <c r="AB63" s="941">
        <v>0.0</v>
      </c>
      <c r="AC63" s="941">
        <v>0.0</v>
      </c>
      <c r="AD63" s="941">
        <v>0.0</v>
      </c>
      <c r="AE63" s="941">
        <v>0.0</v>
      </c>
      <c r="AF63" s="941">
        <v>0.0</v>
      </c>
      <c r="AG63" s="941">
        <v>0.0</v>
      </c>
      <c r="AH63" s="941">
        <v>3.0</v>
      </c>
      <c r="AI63" s="941">
        <v>0.0</v>
      </c>
      <c r="AJ63" s="941">
        <v>9.0</v>
      </c>
      <c r="AK63" s="942">
        <v>14.0</v>
      </c>
      <c r="AL63" s="941">
        <v>1.0</v>
      </c>
      <c r="AM63" s="941">
        <v>0.0</v>
      </c>
    </row>
    <row r="64">
      <c r="A64" s="935" t="s">
        <v>139</v>
      </c>
      <c r="B64" s="941">
        <v>1.0</v>
      </c>
      <c r="C64" s="941">
        <v>1.0</v>
      </c>
      <c r="D64" s="941">
        <v>0.0</v>
      </c>
      <c r="E64" s="941">
        <v>1.0</v>
      </c>
      <c r="F64" s="941">
        <v>0.0</v>
      </c>
      <c r="G64" s="941">
        <v>130.0</v>
      </c>
      <c r="H64" s="941">
        <v>132.0</v>
      </c>
      <c r="I64" s="941">
        <v>-2.0</v>
      </c>
      <c r="J64" s="941">
        <v>18.0</v>
      </c>
      <c r="K64" s="941">
        <v>4.0</v>
      </c>
      <c r="L64" s="941">
        <v>5.0</v>
      </c>
      <c r="M64" s="941">
        <v>1696.0</v>
      </c>
      <c r="N64" s="941">
        <v>2213.0</v>
      </c>
      <c r="O64" s="941">
        <v>12.0</v>
      </c>
      <c r="P64" s="941">
        <v>64.0</v>
      </c>
      <c r="Q64" s="941">
        <v>0.0</v>
      </c>
      <c r="R64" s="941">
        <v>0.0</v>
      </c>
      <c r="S64" s="941">
        <v>0.0</v>
      </c>
      <c r="T64" s="941">
        <v>0.0</v>
      </c>
      <c r="U64" s="941">
        <v>0.0</v>
      </c>
      <c r="V64" s="941">
        <v>0.0</v>
      </c>
      <c r="W64" s="941">
        <v>0.0</v>
      </c>
      <c r="X64" s="941">
        <v>18.0</v>
      </c>
      <c r="Y64" s="941">
        <v>3.0</v>
      </c>
      <c r="Z64" s="941">
        <v>0.0</v>
      </c>
      <c r="AA64" s="941">
        <v>0.0</v>
      </c>
      <c r="AB64" s="941">
        <v>0.0</v>
      </c>
      <c r="AC64" s="941">
        <v>0.0</v>
      </c>
      <c r="AD64" s="941">
        <v>0.0</v>
      </c>
      <c r="AE64" s="941">
        <v>0.0</v>
      </c>
      <c r="AF64" s="941">
        <v>0.0</v>
      </c>
      <c r="AG64" s="941">
        <v>0.0</v>
      </c>
      <c r="AH64" s="941">
        <v>5.0</v>
      </c>
      <c r="AI64" s="941">
        <v>0.0</v>
      </c>
      <c r="AJ64" s="941">
        <v>13.0</v>
      </c>
      <c r="AK64" s="942">
        <v>20.0</v>
      </c>
      <c r="AL64" s="941">
        <v>2.0</v>
      </c>
      <c r="AM64" s="941">
        <v>0.0</v>
      </c>
    </row>
    <row r="65">
      <c r="A65" s="943" t="s">
        <v>117</v>
      </c>
      <c r="B65" s="944">
        <v>1.0</v>
      </c>
      <c r="C65" s="944">
        <v>1.0</v>
      </c>
      <c r="D65" s="944">
        <v>0.0</v>
      </c>
      <c r="E65" s="944">
        <v>2.0</v>
      </c>
      <c r="F65" s="944">
        <v>9.0</v>
      </c>
      <c r="G65" s="944">
        <v>83.0</v>
      </c>
      <c r="H65" s="944">
        <v>91.0</v>
      </c>
      <c r="I65" s="944">
        <v>-8.0</v>
      </c>
      <c r="J65" s="944">
        <v>7.0</v>
      </c>
      <c r="K65" s="944">
        <v>5.0</v>
      </c>
      <c r="L65" s="944">
        <v>4.0</v>
      </c>
      <c r="M65" s="944">
        <v>1815.0</v>
      </c>
      <c r="N65" s="944">
        <v>2213.0</v>
      </c>
      <c r="O65" s="944">
        <v>19.0</v>
      </c>
      <c r="P65" s="944">
        <v>475.0</v>
      </c>
      <c r="Q65" s="944">
        <v>0.0</v>
      </c>
      <c r="R65" s="944">
        <v>1.0</v>
      </c>
      <c r="S65" s="944">
        <v>0.0</v>
      </c>
      <c r="T65" s="944">
        <v>0.0</v>
      </c>
      <c r="U65" s="944">
        <v>0.0</v>
      </c>
      <c r="V65" s="944">
        <v>1.0</v>
      </c>
      <c r="W65" s="944">
        <v>0.0</v>
      </c>
      <c r="X65" s="944">
        <v>9.0</v>
      </c>
      <c r="Y65" s="944">
        <v>0.0</v>
      </c>
      <c r="Z65" s="944">
        <v>0.0</v>
      </c>
      <c r="AA65" s="944">
        <v>0.0</v>
      </c>
      <c r="AB65" s="944">
        <v>0.0</v>
      </c>
      <c r="AC65" s="944">
        <v>0.0</v>
      </c>
      <c r="AD65" s="944">
        <v>0.0</v>
      </c>
      <c r="AE65" s="944">
        <v>0.0</v>
      </c>
      <c r="AF65" s="944">
        <v>0.0</v>
      </c>
      <c r="AG65" s="944">
        <v>0.0</v>
      </c>
      <c r="AH65" s="944">
        <v>5.0</v>
      </c>
      <c r="AI65" s="882">
        <v>1.0</v>
      </c>
      <c r="AJ65" s="882">
        <v>13.0</v>
      </c>
      <c r="AK65" s="948">
        <v>9.0</v>
      </c>
      <c r="AL65" s="941">
        <v>0.0</v>
      </c>
      <c r="AM65" s="941">
        <v>0.0</v>
      </c>
    </row>
    <row r="66">
      <c r="A66" s="946" t="s">
        <v>126</v>
      </c>
      <c r="B66" s="939">
        <v>1.0</v>
      </c>
      <c r="C66" s="939">
        <v>0.0</v>
      </c>
      <c r="D66" s="939">
        <v>1.0</v>
      </c>
      <c r="E66" s="939">
        <v>0.0</v>
      </c>
      <c r="F66" s="939">
        <v>0.0</v>
      </c>
      <c r="G66" s="939">
        <v>39.0</v>
      </c>
      <c r="H66" s="939">
        <v>58.0</v>
      </c>
      <c r="I66" s="939">
        <v>-19.0</v>
      </c>
      <c r="J66" s="939">
        <v>1.0</v>
      </c>
      <c r="K66" s="939">
        <v>3.0</v>
      </c>
      <c r="L66" s="939">
        <v>0.0</v>
      </c>
      <c r="M66" s="939">
        <v>614.0</v>
      </c>
      <c r="N66" s="939">
        <v>884.0</v>
      </c>
      <c r="O66" s="939">
        <v>10.0</v>
      </c>
      <c r="P66" s="939">
        <v>2.0</v>
      </c>
      <c r="Q66" s="939">
        <v>0.0</v>
      </c>
      <c r="R66" s="939">
        <v>0.0</v>
      </c>
      <c r="S66" s="939">
        <v>0.0</v>
      </c>
      <c r="T66" s="939">
        <v>0.0</v>
      </c>
      <c r="U66" s="939">
        <v>0.0</v>
      </c>
      <c r="V66" s="939">
        <v>0.0</v>
      </c>
      <c r="W66" s="939">
        <v>0.0</v>
      </c>
      <c r="X66" s="939">
        <v>7.0</v>
      </c>
      <c r="Y66" s="939">
        <v>1.0</v>
      </c>
      <c r="Z66" s="939">
        <v>0.0</v>
      </c>
      <c r="AA66" s="939">
        <v>0.0</v>
      </c>
      <c r="AB66" s="939">
        <v>0.0</v>
      </c>
      <c r="AC66" s="939">
        <v>0.0</v>
      </c>
      <c r="AD66" s="939">
        <v>0.0</v>
      </c>
      <c r="AE66" s="939">
        <v>0.0</v>
      </c>
      <c r="AF66" s="939">
        <v>0.0</v>
      </c>
      <c r="AG66" s="939">
        <v>0.0</v>
      </c>
      <c r="AH66" s="939">
        <v>1.0</v>
      </c>
      <c r="AI66" s="895">
        <v>0.0</v>
      </c>
      <c r="AJ66" s="895">
        <v>1.0</v>
      </c>
      <c r="AK66" s="947">
        <v>5.0</v>
      </c>
      <c r="AL66" s="941">
        <v>1.0</v>
      </c>
      <c r="AM66" s="941">
        <v>0.0</v>
      </c>
    </row>
    <row r="67">
      <c r="A67" s="935" t="s">
        <v>115</v>
      </c>
      <c r="B67" s="941">
        <v>1.0</v>
      </c>
      <c r="C67" s="941">
        <v>0.0</v>
      </c>
      <c r="D67" s="941">
        <v>1.0</v>
      </c>
      <c r="E67" s="941">
        <v>0.0</v>
      </c>
      <c r="F67" s="941">
        <v>0.0</v>
      </c>
      <c r="G67" s="941">
        <v>29.0</v>
      </c>
      <c r="H67" s="941">
        <v>61.0</v>
      </c>
      <c r="I67" s="941">
        <v>-32.0</v>
      </c>
      <c r="J67" s="941">
        <v>0.0</v>
      </c>
      <c r="K67" s="941">
        <v>3.0</v>
      </c>
      <c r="L67" s="941">
        <v>2.0</v>
      </c>
      <c r="M67" s="941">
        <v>607.0</v>
      </c>
      <c r="N67" s="941">
        <v>884.0</v>
      </c>
      <c r="O67" s="941">
        <v>9.0</v>
      </c>
      <c r="P67" s="941">
        <v>2.0</v>
      </c>
      <c r="Q67" s="941">
        <v>0.0</v>
      </c>
      <c r="R67" s="941">
        <v>0.0</v>
      </c>
      <c r="S67" s="941">
        <v>0.0</v>
      </c>
      <c r="T67" s="941">
        <v>0.0</v>
      </c>
      <c r="U67" s="941">
        <v>0.0</v>
      </c>
      <c r="V67" s="941">
        <v>0.0</v>
      </c>
      <c r="W67" s="941">
        <v>0.0</v>
      </c>
      <c r="X67" s="941">
        <v>1.0</v>
      </c>
      <c r="Y67" s="941">
        <v>0.0</v>
      </c>
      <c r="Z67" s="941">
        <v>0.0</v>
      </c>
      <c r="AA67" s="941">
        <v>0.0</v>
      </c>
      <c r="AB67" s="941">
        <v>0.0</v>
      </c>
      <c r="AC67" s="941">
        <v>0.0</v>
      </c>
      <c r="AD67" s="941">
        <v>0.0</v>
      </c>
      <c r="AE67" s="941">
        <v>0.0</v>
      </c>
      <c r="AF67" s="941">
        <v>0.0</v>
      </c>
      <c r="AG67" s="941">
        <v>0.0</v>
      </c>
      <c r="AH67" s="941">
        <v>1.0</v>
      </c>
      <c r="AI67" s="941">
        <v>0.0</v>
      </c>
      <c r="AJ67" s="941">
        <v>2.0</v>
      </c>
      <c r="AK67" s="942">
        <v>8.0</v>
      </c>
      <c r="AL67" s="941">
        <v>2.0</v>
      </c>
      <c r="AM67" s="941">
        <v>0.0</v>
      </c>
    </row>
    <row r="68">
      <c r="A68" s="935" t="s">
        <v>137</v>
      </c>
      <c r="B68" s="941">
        <v>1.0</v>
      </c>
      <c r="C68" s="941">
        <v>0.0</v>
      </c>
      <c r="D68" s="941">
        <v>1.0</v>
      </c>
      <c r="E68" s="941">
        <v>0.0</v>
      </c>
      <c r="F68" s="941">
        <v>0.0</v>
      </c>
      <c r="G68" s="941">
        <v>51.0</v>
      </c>
      <c r="H68" s="941">
        <v>56.0</v>
      </c>
      <c r="I68" s="941">
        <v>-5.0</v>
      </c>
      <c r="J68" s="941">
        <v>3.0</v>
      </c>
      <c r="K68" s="941">
        <v>5.0</v>
      </c>
      <c r="L68" s="941">
        <v>3.0</v>
      </c>
      <c r="M68" s="941">
        <v>627.0</v>
      </c>
      <c r="N68" s="941">
        <v>884.0</v>
      </c>
      <c r="O68" s="941">
        <v>11.0</v>
      </c>
      <c r="P68" s="941">
        <v>0.0</v>
      </c>
      <c r="Q68" s="941">
        <v>0.0</v>
      </c>
      <c r="R68" s="941">
        <v>1.0</v>
      </c>
      <c r="S68" s="941">
        <v>0.0</v>
      </c>
      <c r="T68" s="941">
        <v>0.0</v>
      </c>
      <c r="U68" s="941">
        <v>0.0</v>
      </c>
      <c r="V68" s="941">
        <v>1.0</v>
      </c>
      <c r="W68" s="941">
        <v>0.0</v>
      </c>
      <c r="X68" s="941">
        <v>10.0</v>
      </c>
      <c r="Y68" s="941">
        <v>0.0</v>
      </c>
      <c r="Z68" s="941">
        <v>0.0</v>
      </c>
      <c r="AA68" s="941">
        <v>0.0</v>
      </c>
      <c r="AB68" s="941">
        <v>0.0</v>
      </c>
      <c r="AC68" s="941">
        <v>0.0</v>
      </c>
      <c r="AD68" s="941">
        <v>0.0</v>
      </c>
      <c r="AE68" s="941">
        <v>0.0</v>
      </c>
      <c r="AF68" s="941">
        <v>0.0</v>
      </c>
      <c r="AG68" s="941">
        <v>0.0</v>
      </c>
      <c r="AH68" s="941">
        <v>0.0</v>
      </c>
      <c r="AI68" s="941">
        <v>0.0</v>
      </c>
      <c r="AJ68" s="941">
        <v>8.0</v>
      </c>
      <c r="AK68" s="942">
        <v>6.0</v>
      </c>
      <c r="AL68" s="941">
        <v>0.0</v>
      </c>
      <c r="AM68" s="941">
        <v>0.0</v>
      </c>
    </row>
    <row r="69">
      <c r="A69" s="935" t="s">
        <v>420</v>
      </c>
      <c r="B69" s="941">
        <v>1.0</v>
      </c>
      <c r="C69" s="941">
        <v>0.0</v>
      </c>
      <c r="D69" s="941">
        <v>1.0</v>
      </c>
      <c r="E69" s="941">
        <v>2.0</v>
      </c>
      <c r="F69" s="941">
        <v>5.0</v>
      </c>
      <c r="G69" s="941">
        <v>37.0</v>
      </c>
      <c r="H69" s="941">
        <v>41.0</v>
      </c>
      <c r="I69" s="941">
        <v>-4.0</v>
      </c>
      <c r="J69" s="941">
        <v>5.0</v>
      </c>
      <c r="K69" s="941">
        <v>3.0</v>
      </c>
      <c r="L69" s="941">
        <v>2.0</v>
      </c>
      <c r="M69" s="941">
        <v>671.0</v>
      </c>
      <c r="N69" s="941">
        <v>884.0</v>
      </c>
      <c r="O69" s="941">
        <v>16.0</v>
      </c>
      <c r="P69" s="941">
        <v>185.0</v>
      </c>
      <c r="Q69" s="941">
        <v>0.0</v>
      </c>
      <c r="R69" s="941">
        <v>0.0</v>
      </c>
      <c r="S69" s="941">
        <v>0.0</v>
      </c>
      <c r="T69" s="941">
        <v>0.0</v>
      </c>
      <c r="U69" s="941">
        <v>0.0</v>
      </c>
      <c r="V69" s="941">
        <v>0.0</v>
      </c>
      <c r="W69" s="941">
        <v>0.0</v>
      </c>
      <c r="X69" s="941">
        <v>7.0</v>
      </c>
      <c r="Y69" s="941">
        <v>1.0</v>
      </c>
      <c r="Z69" s="941">
        <v>0.0</v>
      </c>
      <c r="AA69" s="941">
        <v>0.0</v>
      </c>
      <c r="AB69" s="941">
        <v>0.0</v>
      </c>
      <c r="AC69" s="941">
        <v>0.0</v>
      </c>
      <c r="AD69" s="941">
        <v>0.0</v>
      </c>
      <c r="AE69" s="941">
        <v>0.0</v>
      </c>
      <c r="AF69" s="941">
        <v>0.0</v>
      </c>
      <c r="AG69" s="941">
        <v>0.0</v>
      </c>
      <c r="AH69" s="941">
        <v>0.0</v>
      </c>
      <c r="AI69" s="941">
        <v>0.0</v>
      </c>
      <c r="AJ69" s="941">
        <v>8.0</v>
      </c>
      <c r="AK69" s="942">
        <v>4.0</v>
      </c>
      <c r="AL69" s="941">
        <v>1.0</v>
      </c>
      <c r="AM69" s="941">
        <v>0.0</v>
      </c>
    </row>
    <row r="70">
      <c r="A70" s="935" t="s">
        <v>392</v>
      </c>
      <c r="B70" s="941">
        <v>1.0</v>
      </c>
      <c r="C70" s="941">
        <v>1.0</v>
      </c>
      <c r="D70" s="941">
        <v>0.0</v>
      </c>
      <c r="E70" s="941">
        <v>0.0</v>
      </c>
      <c r="F70" s="941">
        <v>0.0</v>
      </c>
      <c r="G70" s="941">
        <v>41.0</v>
      </c>
      <c r="H70" s="941">
        <v>60.0</v>
      </c>
      <c r="I70" s="941">
        <v>-19.0</v>
      </c>
      <c r="J70" s="941">
        <v>5.0</v>
      </c>
      <c r="K70" s="941">
        <v>3.0</v>
      </c>
      <c r="L70" s="941">
        <v>2.0</v>
      </c>
      <c r="M70" s="941">
        <v>610.0</v>
      </c>
      <c r="N70" s="941">
        <v>884.0</v>
      </c>
      <c r="O70" s="941">
        <v>10.0</v>
      </c>
      <c r="P70" s="941">
        <v>0.0</v>
      </c>
      <c r="Q70" s="941">
        <v>0.0</v>
      </c>
      <c r="R70" s="941">
        <v>0.0</v>
      </c>
      <c r="S70" s="941">
        <v>0.0</v>
      </c>
      <c r="T70" s="941">
        <v>0.0</v>
      </c>
      <c r="U70" s="941">
        <v>0.0</v>
      </c>
      <c r="V70" s="941">
        <v>0.0</v>
      </c>
      <c r="W70" s="941">
        <v>0.0</v>
      </c>
      <c r="X70" s="941">
        <v>6.0</v>
      </c>
      <c r="Y70" s="941">
        <v>1.0</v>
      </c>
      <c r="Z70" s="941">
        <v>0.0</v>
      </c>
      <c r="AA70" s="941">
        <v>0.0</v>
      </c>
      <c r="AB70" s="941">
        <v>0.0</v>
      </c>
      <c r="AC70" s="941">
        <v>0.0</v>
      </c>
      <c r="AD70" s="941">
        <v>0.0</v>
      </c>
      <c r="AE70" s="941">
        <v>0.0</v>
      </c>
      <c r="AF70" s="941">
        <v>0.0</v>
      </c>
      <c r="AG70" s="941">
        <v>0.0</v>
      </c>
      <c r="AH70" s="941">
        <v>0.0</v>
      </c>
      <c r="AI70" s="941">
        <v>0.0</v>
      </c>
      <c r="AJ70" s="941">
        <v>1.0</v>
      </c>
      <c r="AK70" s="942">
        <v>2.0</v>
      </c>
      <c r="AL70" s="941">
        <v>0.0</v>
      </c>
      <c r="AM70" s="941">
        <v>1.0</v>
      </c>
    </row>
    <row r="71">
      <c r="A71" s="935" t="s">
        <v>418</v>
      </c>
      <c r="B71" s="941">
        <v>1.0</v>
      </c>
      <c r="C71" s="941">
        <v>1.0</v>
      </c>
      <c r="D71" s="941">
        <v>0.0</v>
      </c>
      <c r="E71" s="941">
        <v>0.0</v>
      </c>
      <c r="F71" s="941">
        <v>1.0</v>
      </c>
      <c r="G71" s="941">
        <v>60.0</v>
      </c>
      <c r="H71" s="941">
        <v>40.0</v>
      </c>
      <c r="I71" s="941">
        <v>20.0</v>
      </c>
      <c r="J71" s="941">
        <v>2.0</v>
      </c>
      <c r="K71" s="941">
        <v>6.0</v>
      </c>
      <c r="L71" s="941">
        <v>1.0</v>
      </c>
      <c r="M71" s="941">
        <v>675.0</v>
      </c>
      <c r="N71" s="941">
        <v>884.0</v>
      </c>
      <c r="O71" s="941">
        <v>16.0</v>
      </c>
      <c r="P71" s="941">
        <v>14.0</v>
      </c>
      <c r="Q71" s="941">
        <v>0.0</v>
      </c>
      <c r="R71" s="941">
        <v>3.0</v>
      </c>
      <c r="S71" s="941">
        <v>0.0</v>
      </c>
      <c r="T71" s="941">
        <v>0.0</v>
      </c>
      <c r="U71" s="941">
        <v>0.0</v>
      </c>
      <c r="V71" s="941">
        <v>2.0</v>
      </c>
      <c r="W71" s="941">
        <v>0.0</v>
      </c>
      <c r="X71" s="941">
        <v>11.0</v>
      </c>
      <c r="Y71" s="941">
        <v>3.0</v>
      </c>
      <c r="Z71" s="941">
        <v>0.0</v>
      </c>
      <c r="AA71" s="941">
        <v>0.0</v>
      </c>
      <c r="AB71" s="941">
        <v>0.0</v>
      </c>
      <c r="AC71" s="941">
        <v>0.0</v>
      </c>
      <c r="AD71" s="941">
        <v>0.0</v>
      </c>
      <c r="AE71" s="941">
        <v>0.0</v>
      </c>
      <c r="AF71" s="941">
        <v>0.0</v>
      </c>
      <c r="AG71" s="941">
        <v>0.0</v>
      </c>
      <c r="AH71" s="941">
        <v>2.0</v>
      </c>
      <c r="AI71" s="941">
        <v>0.0</v>
      </c>
      <c r="AJ71" s="941">
        <v>5.0</v>
      </c>
      <c r="AK71" s="942">
        <v>3.0</v>
      </c>
      <c r="AL71" s="941">
        <v>1.0</v>
      </c>
      <c r="AM71" s="941">
        <v>1.0</v>
      </c>
    </row>
    <row r="72">
      <c r="A72" s="935" t="s">
        <v>138</v>
      </c>
      <c r="B72" s="941">
        <v>1.0</v>
      </c>
      <c r="C72" s="941">
        <v>1.0</v>
      </c>
      <c r="D72" s="941">
        <v>0.0</v>
      </c>
      <c r="E72" s="941">
        <v>0.0</v>
      </c>
      <c r="F72" s="941">
        <v>0.0</v>
      </c>
      <c r="G72" s="941">
        <v>66.0</v>
      </c>
      <c r="H72" s="941">
        <v>52.0</v>
      </c>
      <c r="I72" s="941">
        <v>14.0</v>
      </c>
      <c r="J72" s="941">
        <v>1.0</v>
      </c>
      <c r="K72" s="941">
        <v>6.0</v>
      </c>
      <c r="L72" s="941">
        <v>1.0</v>
      </c>
      <c r="M72" s="941">
        <v>640.0</v>
      </c>
      <c r="N72" s="941">
        <v>884.0</v>
      </c>
      <c r="O72" s="941">
        <v>12.0</v>
      </c>
      <c r="P72" s="941">
        <v>13.0</v>
      </c>
      <c r="Q72" s="941">
        <v>0.0</v>
      </c>
      <c r="R72" s="941">
        <v>2.0</v>
      </c>
      <c r="S72" s="941">
        <v>0.0</v>
      </c>
      <c r="T72" s="941">
        <v>0.0</v>
      </c>
      <c r="U72" s="941">
        <v>0.0</v>
      </c>
      <c r="V72" s="941">
        <v>2.0</v>
      </c>
      <c r="W72" s="941">
        <v>0.0</v>
      </c>
      <c r="X72" s="941">
        <v>11.0</v>
      </c>
      <c r="Y72" s="941">
        <v>4.0</v>
      </c>
      <c r="Z72" s="941">
        <v>1.0</v>
      </c>
      <c r="AA72" s="941">
        <v>1.0</v>
      </c>
      <c r="AB72" s="941">
        <v>1.0</v>
      </c>
      <c r="AC72" s="941">
        <v>0.0</v>
      </c>
      <c r="AD72" s="941">
        <v>0.0</v>
      </c>
      <c r="AE72" s="941">
        <v>0.0</v>
      </c>
      <c r="AF72" s="941">
        <v>0.0</v>
      </c>
      <c r="AG72" s="941">
        <v>0.0</v>
      </c>
      <c r="AH72" s="941">
        <v>1.0</v>
      </c>
      <c r="AI72" s="941">
        <v>0.0</v>
      </c>
      <c r="AJ72" s="941">
        <v>2.0</v>
      </c>
      <c r="AK72" s="942">
        <v>7.0</v>
      </c>
      <c r="AL72" s="941">
        <v>0.0</v>
      </c>
      <c r="AM72" s="941">
        <v>1.0</v>
      </c>
    </row>
    <row r="73">
      <c r="A73" s="943" t="s">
        <v>149</v>
      </c>
      <c r="B73" s="944">
        <v>1.0</v>
      </c>
      <c r="C73" s="944">
        <v>1.0</v>
      </c>
      <c r="D73" s="944">
        <v>0.0</v>
      </c>
      <c r="E73" s="944">
        <v>5.0</v>
      </c>
      <c r="F73" s="944">
        <v>8.0</v>
      </c>
      <c r="G73" s="944">
        <v>32.0</v>
      </c>
      <c r="H73" s="944">
        <v>20.0</v>
      </c>
      <c r="I73" s="944">
        <v>12.0</v>
      </c>
      <c r="J73" s="944">
        <v>1.0</v>
      </c>
      <c r="K73" s="944">
        <v>5.0</v>
      </c>
      <c r="L73" s="944">
        <v>2.0</v>
      </c>
      <c r="M73" s="944">
        <v>726.0</v>
      </c>
      <c r="N73" s="944">
        <v>884.0</v>
      </c>
      <c r="O73" s="944">
        <v>36.0</v>
      </c>
      <c r="P73" s="944">
        <v>501.0</v>
      </c>
      <c r="Q73" s="944">
        <v>0.0</v>
      </c>
      <c r="R73" s="944">
        <v>1.0</v>
      </c>
      <c r="S73" s="944">
        <v>0.0</v>
      </c>
      <c r="T73" s="944">
        <v>0.0</v>
      </c>
      <c r="U73" s="944">
        <v>0.0</v>
      </c>
      <c r="V73" s="944">
        <v>0.0</v>
      </c>
      <c r="W73" s="944">
        <v>0.0</v>
      </c>
      <c r="X73" s="944">
        <v>5.0</v>
      </c>
      <c r="Y73" s="944">
        <v>0.0</v>
      </c>
      <c r="Z73" s="944">
        <v>0.0</v>
      </c>
      <c r="AA73" s="944">
        <v>0.0</v>
      </c>
      <c r="AB73" s="944">
        <v>0.0</v>
      </c>
      <c r="AC73" s="944">
        <v>0.0</v>
      </c>
      <c r="AD73" s="944">
        <v>0.0</v>
      </c>
      <c r="AE73" s="944">
        <v>0.0</v>
      </c>
      <c r="AF73" s="944">
        <v>0.0</v>
      </c>
      <c r="AG73" s="944">
        <v>0.0</v>
      </c>
      <c r="AH73" s="944">
        <v>1.0</v>
      </c>
      <c r="AI73" s="882">
        <v>0.0</v>
      </c>
      <c r="AJ73" s="882">
        <v>8.0</v>
      </c>
      <c r="AK73" s="948">
        <v>1.0</v>
      </c>
      <c r="AL73" s="941">
        <v>2.0</v>
      </c>
      <c r="AM73" s="941">
        <v>1.0</v>
      </c>
    </row>
    <row r="74">
      <c r="A74" s="946" t="s">
        <v>117</v>
      </c>
      <c r="B74" s="939">
        <v>1.0</v>
      </c>
      <c r="C74" s="939">
        <v>0.0</v>
      </c>
      <c r="D74" s="939">
        <v>1.0</v>
      </c>
      <c r="E74" s="939">
        <v>0.0</v>
      </c>
      <c r="F74" s="939">
        <v>7.0</v>
      </c>
      <c r="G74" s="939">
        <v>93.0</v>
      </c>
      <c r="H74" s="939">
        <v>79.0</v>
      </c>
      <c r="I74" s="939">
        <v>14.0</v>
      </c>
      <c r="J74" s="939">
        <v>3.0</v>
      </c>
      <c r="K74" s="939">
        <v>8.0</v>
      </c>
      <c r="L74" s="939">
        <v>3.0</v>
      </c>
      <c r="M74" s="939">
        <v>1198.0</v>
      </c>
      <c r="N74" s="939">
        <v>1497.0</v>
      </c>
      <c r="O74" s="939">
        <v>15.0</v>
      </c>
      <c r="P74" s="939">
        <v>217.0</v>
      </c>
      <c r="Q74" s="939">
        <v>0.0</v>
      </c>
      <c r="R74" s="939">
        <v>1.0</v>
      </c>
      <c r="S74" s="939">
        <v>0.0</v>
      </c>
      <c r="T74" s="939">
        <v>0.0</v>
      </c>
      <c r="U74" s="939">
        <v>0.0</v>
      </c>
      <c r="V74" s="939">
        <v>0.0</v>
      </c>
      <c r="W74" s="939">
        <v>0.0</v>
      </c>
      <c r="X74" s="939">
        <v>12.0</v>
      </c>
      <c r="Y74" s="939">
        <v>1.0</v>
      </c>
      <c r="Z74" s="939">
        <v>0.0</v>
      </c>
      <c r="AA74" s="939">
        <v>0.0</v>
      </c>
      <c r="AB74" s="939">
        <v>0.0</v>
      </c>
      <c r="AC74" s="939">
        <v>0.0</v>
      </c>
      <c r="AD74" s="939">
        <v>0.0</v>
      </c>
      <c r="AE74" s="939">
        <v>0.0</v>
      </c>
      <c r="AF74" s="939">
        <v>0.0</v>
      </c>
      <c r="AG74" s="939">
        <v>0.0</v>
      </c>
      <c r="AH74" s="939">
        <v>3.0</v>
      </c>
      <c r="AI74" s="895">
        <v>0.0</v>
      </c>
      <c r="AJ74" s="895">
        <v>10.0</v>
      </c>
      <c r="AK74" s="947">
        <v>15.0</v>
      </c>
      <c r="AL74" s="941">
        <v>1.0</v>
      </c>
      <c r="AM74" s="941">
        <v>0.0</v>
      </c>
    </row>
    <row r="75">
      <c r="A75" s="935" t="s">
        <v>139</v>
      </c>
      <c r="B75" s="941">
        <v>1.0</v>
      </c>
      <c r="C75" s="941">
        <v>0.0</v>
      </c>
      <c r="D75" s="941">
        <v>1.0</v>
      </c>
      <c r="E75" s="941">
        <v>0.0</v>
      </c>
      <c r="F75" s="941">
        <v>1.0</v>
      </c>
      <c r="G75" s="941">
        <v>90.0</v>
      </c>
      <c r="H75" s="941">
        <v>92.0</v>
      </c>
      <c r="I75" s="941">
        <v>-2.0</v>
      </c>
      <c r="J75" s="941">
        <v>4.0</v>
      </c>
      <c r="K75" s="941">
        <v>4.0</v>
      </c>
      <c r="L75" s="941">
        <v>4.0</v>
      </c>
      <c r="M75" s="941">
        <v>1162.0</v>
      </c>
      <c r="N75" s="941">
        <v>1497.0</v>
      </c>
      <c r="O75" s="941">
        <v>12.0</v>
      </c>
      <c r="P75" s="941">
        <v>143.0</v>
      </c>
      <c r="Q75" s="941">
        <v>0.0</v>
      </c>
      <c r="R75" s="941">
        <v>0.0</v>
      </c>
      <c r="S75" s="941">
        <v>0.0</v>
      </c>
      <c r="T75" s="941">
        <v>0.0</v>
      </c>
      <c r="U75" s="941">
        <v>0.0</v>
      </c>
      <c r="V75" s="941">
        <v>0.0</v>
      </c>
      <c r="W75" s="941">
        <v>0.0</v>
      </c>
      <c r="X75" s="941">
        <v>14.0</v>
      </c>
      <c r="Y75" s="941">
        <v>2.0</v>
      </c>
      <c r="Z75" s="941">
        <v>1.0</v>
      </c>
      <c r="AA75" s="941">
        <v>0.0</v>
      </c>
      <c r="AB75" s="941">
        <v>0.0</v>
      </c>
      <c r="AC75" s="941">
        <v>0.0</v>
      </c>
      <c r="AD75" s="941">
        <v>0.0</v>
      </c>
      <c r="AE75" s="941">
        <v>0.0</v>
      </c>
      <c r="AF75" s="941">
        <v>0.0</v>
      </c>
      <c r="AG75" s="941">
        <v>0.0</v>
      </c>
      <c r="AH75" s="941">
        <v>1.0</v>
      </c>
      <c r="AI75" s="941">
        <v>0.0</v>
      </c>
      <c r="AJ75" s="941">
        <v>9.0</v>
      </c>
      <c r="AK75" s="942">
        <v>7.0</v>
      </c>
      <c r="AL75" s="941">
        <v>0.0</v>
      </c>
      <c r="AM75" s="941">
        <v>0.0</v>
      </c>
    </row>
    <row r="76">
      <c r="A76" s="935" t="s">
        <v>128</v>
      </c>
      <c r="B76" s="941">
        <v>1.0</v>
      </c>
      <c r="C76" s="941">
        <v>0.0</v>
      </c>
      <c r="D76" s="941">
        <v>1.0</v>
      </c>
      <c r="E76" s="941">
        <v>0.0</v>
      </c>
      <c r="F76" s="941">
        <v>1.0</v>
      </c>
      <c r="G76" s="941">
        <v>82.0</v>
      </c>
      <c r="H76" s="941">
        <v>95.0</v>
      </c>
      <c r="I76" s="941">
        <v>-13.0</v>
      </c>
      <c r="J76" s="941">
        <v>8.0</v>
      </c>
      <c r="K76" s="941">
        <v>4.0</v>
      </c>
      <c r="L76" s="941">
        <v>0.0</v>
      </c>
      <c r="M76" s="941">
        <v>1146.0</v>
      </c>
      <c r="N76" s="941">
        <v>1497.0</v>
      </c>
      <c r="O76" s="941">
        <v>12.0</v>
      </c>
      <c r="P76" s="941">
        <v>23.0</v>
      </c>
      <c r="Q76" s="941">
        <v>0.0</v>
      </c>
      <c r="R76" s="941">
        <v>0.0</v>
      </c>
      <c r="S76" s="941">
        <v>0.0</v>
      </c>
      <c r="T76" s="941">
        <v>0.0</v>
      </c>
      <c r="U76" s="941">
        <v>0.0</v>
      </c>
      <c r="V76" s="941">
        <v>0.0</v>
      </c>
      <c r="W76" s="941">
        <v>0.0</v>
      </c>
      <c r="X76" s="941">
        <v>8.0</v>
      </c>
      <c r="Y76" s="941">
        <v>2.0</v>
      </c>
      <c r="Z76" s="941">
        <v>0.0</v>
      </c>
      <c r="AA76" s="941">
        <v>0.0</v>
      </c>
      <c r="AB76" s="941">
        <v>0.0</v>
      </c>
      <c r="AC76" s="941">
        <v>0.0</v>
      </c>
      <c r="AD76" s="941">
        <v>0.0</v>
      </c>
      <c r="AE76" s="941">
        <v>0.0</v>
      </c>
      <c r="AF76" s="941">
        <v>0.0</v>
      </c>
      <c r="AG76" s="941">
        <v>0.0</v>
      </c>
      <c r="AH76" s="941">
        <v>5.0</v>
      </c>
      <c r="AI76" s="941">
        <v>0.0</v>
      </c>
      <c r="AJ76" s="941">
        <v>10.0</v>
      </c>
      <c r="AK76" s="942">
        <v>12.0</v>
      </c>
      <c r="AL76" s="941">
        <v>0.0</v>
      </c>
      <c r="AM76" s="941">
        <v>0.0</v>
      </c>
    </row>
    <row r="77">
      <c r="A77" s="935" t="s">
        <v>150</v>
      </c>
      <c r="B77" s="941">
        <v>1.0</v>
      </c>
      <c r="C77" s="941">
        <v>0.0</v>
      </c>
      <c r="D77" s="941">
        <v>1.0</v>
      </c>
      <c r="E77" s="941">
        <v>0.0</v>
      </c>
      <c r="F77" s="941">
        <v>1.0</v>
      </c>
      <c r="G77" s="941">
        <v>63.0</v>
      </c>
      <c r="H77" s="941">
        <v>98.0</v>
      </c>
      <c r="I77" s="941">
        <v>-35.0</v>
      </c>
      <c r="J77" s="941">
        <v>3.0</v>
      </c>
      <c r="K77" s="941">
        <v>5.0</v>
      </c>
      <c r="L77" s="941">
        <v>0.0</v>
      </c>
      <c r="M77" s="941">
        <v>1140.0</v>
      </c>
      <c r="N77" s="941">
        <v>1497.0</v>
      </c>
      <c r="O77" s="941">
        <v>11.0</v>
      </c>
      <c r="P77" s="941">
        <v>73.0</v>
      </c>
      <c r="Q77" s="941">
        <v>0.0</v>
      </c>
      <c r="R77" s="941">
        <v>1.0</v>
      </c>
      <c r="S77" s="941">
        <v>0.0</v>
      </c>
      <c r="T77" s="941">
        <v>0.0</v>
      </c>
      <c r="U77" s="941">
        <v>0.0</v>
      </c>
      <c r="V77" s="941">
        <v>1.0</v>
      </c>
      <c r="W77" s="941">
        <v>0.0</v>
      </c>
      <c r="X77" s="941">
        <v>3.0</v>
      </c>
      <c r="Y77" s="941">
        <v>0.0</v>
      </c>
      <c r="Z77" s="941">
        <v>0.0</v>
      </c>
      <c r="AA77" s="941">
        <v>0.0</v>
      </c>
      <c r="AB77" s="941">
        <v>0.0</v>
      </c>
      <c r="AC77" s="941">
        <v>0.0</v>
      </c>
      <c r="AD77" s="941">
        <v>0.0</v>
      </c>
      <c r="AE77" s="941">
        <v>0.0</v>
      </c>
      <c r="AF77" s="941">
        <v>0.0</v>
      </c>
      <c r="AG77" s="941">
        <v>0.0</v>
      </c>
      <c r="AH77" s="941">
        <v>2.0</v>
      </c>
      <c r="AI77" s="941">
        <v>0.0</v>
      </c>
      <c r="AJ77" s="941">
        <v>3.0</v>
      </c>
      <c r="AK77" s="942">
        <v>6.0</v>
      </c>
      <c r="AL77" s="941">
        <v>0.0</v>
      </c>
      <c r="AM77" s="941">
        <v>0.0</v>
      </c>
    </row>
    <row r="78">
      <c r="A78" s="935" t="s">
        <v>392</v>
      </c>
      <c r="B78" s="941">
        <v>1.0</v>
      </c>
      <c r="C78" s="941">
        <v>1.0</v>
      </c>
      <c r="D78" s="941">
        <v>0.0</v>
      </c>
      <c r="E78" s="941">
        <v>0.0</v>
      </c>
      <c r="F78" s="941">
        <v>0.0</v>
      </c>
      <c r="G78" s="941">
        <v>79.0</v>
      </c>
      <c r="H78" s="941">
        <v>121.0</v>
      </c>
      <c r="I78" s="941">
        <v>-42.0</v>
      </c>
      <c r="J78" s="941">
        <v>7.0</v>
      </c>
      <c r="K78" s="941">
        <v>4.0</v>
      </c>
      <c r="L78" s="941">
        <v>1.0</v>
      </c>
      <c r="M78" s="941">
        <v>1071.0</v>
      </c>
      <c r="N78" s="941">
        <v>1497.0</v>
      </c>
      <c r="O78" s="941">
        <v>8.0</v>
      </c>
      <c r="P78" s="941">
        <v>0.0</v>
      </c>
      <c r="Q78" s="941">
        <v>0.0</v>
      </c>
      <c r="R78" s="941">
        <v>0.0</v>
      </c>
      <c r="S78" s="941">
        <v>0.0</v>
      </c>
      <c r="T78" s="941">
        <v>0.0</v>
      </c>
      <c r="U78" s="941">
        <v>0.0</v>
      </c>
      <c r="V78" s="941">
        <v>0.0</v>
      </c>
      <c r="W78" s="941">
        <v>0.0</v>
      </c>
      <c r="X78" s="941">
        <v>10.0</v>
      </c>
      <c r="Y78" s="941">
        <v>3.0</v>
      </c>
      <c r="Z78" s="941">
        <v>2.0</v>
      </c>
      <c r="AA78" s="941">
        <v>0.0</v>
      </c>
      <c r="AB78" s="941">
        <v>0.0</v>
      </c>
      <c r="AC78" s="941">
        <v>0.0</v>
      </c>
      <c r="AD78" s="941">
        <v>0.0</v>
      </c>
      <c r="AE78" s="941">
        <v>0.0</v>
      </c>
      <c r="AF78" s="941">
        <v>0.0</v>
      </c>
      <c r="AG78" s="941">
        <v>0.0</v>
      </c>
      <c r="AH78" s="941">
        <v>1.0</v>
      </c>
      <c r="AI78" s="941">
        <v>0.0</v>
      </c>
      <c r="AJ78" s="941">
        <v>5.0</v>
      </c>
      <c r="AK78" s="942">
        <v>12.0</v>
      </c>
      <c r="AL78" s="941">
        <v>0.0</v>
      </c>
      <c r="AM78" s="941">
        <v>1.0</v>
      </c>
    </row>
    <row r="79">
      <c r="A79" s="935" t="s">
        <v>138</v>
      </c>
      <c r="B79" s="941">
        <v>1.0</v>
      </c>
      <c r="C79" s="941">
        <v>1.0</v>
      </c>
      <c r="D79" s="941">
        <v>0.0</v>
      </c>
      <c r="E79" s="941">
        <v>0.0</v>
      </c>
      <c r="F79" s="941">
        <v>0.0</v>
      </c>
      <c r="G79" s="941">
        <v>98.0</v>
      </c>
      <c r="H79" s="941">
        <v>94.0</v>
      </c>
      <c r="I79" s="941">
        <v>4.0</v>
      </c>
      <c r="J79" s="941">
        <v>8.0</v>
      </c>
      <c r="K79" s="941">
        <v>5.0</v>
      </c>
      <c r="L79" s="941">
        <v>2.0</v>
      </c>
      <c r="M79" s="941">
        <v>1147.0</v>
      </c>
      <c r="N79" s="941">
        <v>1497.0</v>
      </c>
      <c r="O79" s="941">
        <v>12.0</v>
      </c>
      <c r="P79" s="941">
        <v>13.0</v>
      </c>
      <c r="Q79" s="941">
        <v>0.0</v>
      </c>
      <c r="R79" s="941">
        <v>1.0</v>
      </c>
      <c r="S79" s="941">
        <v>0.0</v>
      </c>
      <c r="T79" s="941">
        <v>0.0</v>
      </c>
      <c r="U79" s="941">
        <v>0.0</v>
      </c>
      <c r="V79" s="941">
        <v>1.0</v>
      </c>
      <c r="W79" s="941">
        <v>0.0</v>
      </c>
      <c r="X79" s="941">
        <v>12.0</v>
      </c>
      <c r="Y79" s="941">
        <v>3.0</v>
      </c>
      <c r="Z79" s="941">
        <v>0.0</v>
      </c>
      <c r="AA79" s="941">
        <v>0.0</v>
      </c>
      <c r="AB79" s="941">
        <v>0.0</v>
      </c>
      <c r="AC79" s="941">
        <v>0.0</v>
      </c>
      <c r="AD79" s="941">
        <v>0.0</v>
      </c>
      <c r="AE79" s="941">
        <v>0.0</v>
      </c>
      <c r="AF79" s="941">
        <v>0.0</v>
      </c>
      <c r="AG79" s="941">
        <v>0.0</v>
      </c>
      <c r="AH79" s="941">
        <v>11.0</v>
      </c>
      <c r="AI79" s="941">
        <v>0.0</v>
      </c>
      <c r="AJ79" s="941">
        <v>8.0</v>
      </c>
      <c r="AK79" s="942">
        <v>6.0</v>
      </c>
      <c r="AL79" s="941">
        <v>1.0</v>
      </c>
      <c r="AM79" s="941">
        <v>1.0</v>
      </c>
    </row>
    <row r="80">
      <c r="A80" s="935" t="s">
        <v>418</v>
      </c>
      <c r="B80" s="941">
        <v>1.0</v>
      </c>
      <c r="C80" s="941">
        <v>1.0</v>
      </c>
      <c r="D80" s="941">
        <v>0.0</v>
      </c>
      <c r="E80" s="941">
        <v>1.0</v>
      </c>
      <c r="F80" s="941">
        <v>1.0</v>
      </c>
      <c r="G80" s="941">
        <v>111.0</v>
      </c>
      <c r="H80" s="941">
        <v>82.0</v>
      </c>
      <c r="I80" s="941">
        <v>29.0</v>
      </c>
      <c r="J80" s="941">
        <v>17.0</v>
      </c>
      <c r="K80" s="941">
        <v>7.0</v>
      </c>
      <c r="L80" s="941">
        <v>3.0</v>
      </c>
      <c r="M80" s="941">
        <v>1182.0</v>
      </c>
      <c r="N80" s="941">
        <v>1497.0</v>
      </c>
      <c r="O80" s="941">
        <v>14.0</v>
      </c>
      <c r="P80" s="941">
        <v>20.0</v>
      </c>
      <c r="Q80" s="941">
        <v>0.0</v>
      </c>
      <c r="R80" s="941">
        <v>4.0</v>
      </c>
      <c r="S80" s="941">
        <v>0.0</v>
      </c>
      <c r="T80" s="941">
        <v>0.0</v>
      </c>
      <c r="U80" s="941">
        <v>0.0</v>
      </c>
      <c r="V80" s="941">
        <v>4.0</v>
      </c>
      <c r="W80" s="941">
        <v>0.0</v>
      </c>
      <c r="X80" s="941">
        <v>24.0</v>
      </c>
      <c r="Y80" s="941">
        <v>1.0</v>
      </c>
      <c r="Z80" s="941">
        <v>1.0</v>
      </c>
      <c r="AA80" s="941">
        <v>1.0</v>
      </c>
      <c r="AB80" s="941">
        <v>0.0</v>
      </c>
      <c r="AC80" s="941">
        <v>0.0</v>
      </c>
      <c r="AD80" s="941">
        <v>0.0</v>
      </c>
      <c r="AE80" s="941">
        <v>0.0</v>
      </c>
      <c r="AF80" s="941">
        <v>0.0</v>
      </c>
      <c r="AG80" s="941">
        <v>0.0</v>
      </c>
      <c r="AH80" s="941">
        <v>7.0</v>
      </c>
      <c r="AI80" s="941">
        <v>0.0</v>
      </c>
      <c r="AJ80" s="941">
        <v>16.0</v>
      </c>
      <c r="AK80" s="942">
        <v>11.0</v>
      </c>
      <c r="AL80" s="941">
        <v>0.0</v>
      </c>
      <c r="AM80" s="941">
        <v>1.0</v>
      </c>
    </row>
    <row r="81">
      <c r="A81" s="943" t="s">
        <v>149</v>
      </c>
      <c r="B81" s="944">
        <v>1.0</v>
      </c>
      <c r="C81" s="944">
        <v>1.0</v>
      </c>
      <c r="D81" s="944">
        <v>0.0</v>
      </c>
      <c r="E81" s="944">
        <v>4.0</v>
      </c>
      <c r="F81" s="944">
        <v>17.0</v>
      </c>
      <c r="G81" s="944">
        <v>58.0</v>
      </c>
      <c r="H81" s="944">
        <v>42.0</v>
      </c>
      <c r="I81" s="944">
        <v>16.0</v>
      </c>
      <c r="J81" s="944">
        <v>0.0</v>
      </c>
      <c r="K81" s="944">
        <v>7.0</v>
      </c>
      <c r="L81" s="944">
        <v>1.0</v>
      </c>
      <c r="M81" s="944">
        <v>1300.0</v>
      </c>
      <c r="N81" s="944">
        <v>1497.0</v>
      </c>
      <c r="O81" s="944">
        <v>30.0</v>
      </c>
      <c r="P81" s="944">
        <v>848.0</v>
      </c>
      <c r="Q81" s="944">
        <v>0.0</v>
      </c>
      <c r="R81" s="944">
        <v>1.0</v>
      </c>
      <c r="S81" s="944">
        <v>0.0</v>
      </c>
      <c r="T81" s="944">
        <v>0.0</v>
      </c>
      <c r="U81" s="944">
        <v>0.0</v>
      </c>
      <c r="V81" s="944">
        <v>0.0</v>
      </c>
      <c r="W81" s="944">
        <v>0.0</v>
      </c>
      <c r="X81" s="944">
        <v>6.0</v>
      </c>
      <c r="Y81" s="944">
        <v>0.0</v>
      </c>
      <c r="Z81" s="944">
        <v>0.0</v>
      </c>
      <c r="AA81" s="944">
        <v>0.0</v>
      </c>
      <c r="AB81" s="944">
        <v>0.0</v>
      </c>
      <c r="AC81" s="944">
        <v>0.0</v>
      </c>
      <c r="AD81" s="944">
        <v>0.0</v>
      </c>
      <c r="AE81" s="944">
        <v>0.0</v>
      </c>
      <c r="AF81" s="944">
        <v>0.0</v>
      </c>
      <c r="AG81" s="944">
        <v>0.0</v>
      </c>
      <c r="AH81" s="944">
        <v>2.0</v>
      </c>
      <c r="AI81" s="882">
        <v>0.0</v>
      </c>
      <c r="AJ81" s="882">
        <v>10.0</v>
      </c>
      <c r="AK81" s="948">
        <v>4.0</v>
      </c>
      <c r="AL81" s="941">
        <v>3.0</v>
      </c>
      <c r="AM81" s="941">
        <v>1.0</v>
      </c>
    </row>
    <row r="82">
      <c r="A82" s="946" t="s">
        <v>131</v>
      </c>
      <c r="B82" s="939">
        <v>1.0</v>
      </c>
      <c r="C82" s="939">
        <v>0.0</v>
      </c>
      <c r="D82" s="939">
        <v>1.0</v>
      </c>
      <c r="E82" s="939">
        <v>0.0</v>
      </c>
      <c r="F82" s="939">
        <v>0.0</v>
      </c>
      <c r="G82" s="939">
        <v>325.0</v>
      </c>
      <c r="H82" s="939">
        <v>336.0</v>
      </c>
      <c r="I82" s="939">
        <v>-11.0</v>
      </c>
      <c r="J82" s="939">
        <v>18.0</v>
      </c>
      <c r="K82" s="939">
        <v>5.0</v>
      </c>
      <c r="L82" s="939">
        <v>7.0</v>
      </c>
      <c r="M82" s="939">
        <v>4902.0</v>
      </c>
      <c r="N82" s="939">
        <v>6030.0</v>
      </c>
      <c r="O82" s="939">
        <v>14.0</v>
      </c>
      <c r="P82" s="939">
        <v>18.0</v>
      </c>
      <c r="Q82" s="939">
        <v>0.0</v>
      </c>
      <c r="R82" s="939">
        <v>5.0</v>
      </c>
      <c r="S82" s="939">
        <v>0.0</v>
      </c>
      <c r="T82" s="939">
        <v>0.0</v>
      </c>
      <c r="U82" s="939">
        <v>0.0</v>
      </c>
      <c r="V82" s="939">
        <v>5.0</v>
      </c>
      <c r="W82" s="939">
        <v>0.0</v>
      </c>
      <c r="X82" s="939">
        <v>42.0</v>
      </c>
      <c r="Y82" s="939">
        <v>10.0</v>
      </c>
      <c r="Z82" s="939">
        <v>1.0</v>
      </c>
      <c r="AA82" s="939">
        <v>0.0</v>
      </c>
      <c r="AB82" s="939">
        <v>0.0</v>
      </c>
      <c r="AC82" s="939">
        <v>0.0</v>
      </c>
      <c r="AD82" s="939">
        <v>0.0</v>
      </c>
      <c r="AE82" s="939">
        <v>0.0</v>
      </c>
      <c r="AF82" s="939">
        <v>0.0</v>
      </c>
      <c r="AG82" s="939">
        <v>0.0</v>
      </c>
      <c r="AH82" s="939">
        <v>6.0</v>
      </c>
      <c r="AI82" s="895">
        <v>0.0</v>
      </c>
      <c r="AJ82" s="895">
        <v>38.0</v>
      </c>
      <c r="AK82" s="947">
        <v>51.0</v>
      </c>
      <c r="AL82" s="941">
        <v>1.0</v>
      </c>
      <c r="AM82" s="941">
        <v>0.0</v>
      </c>
    </row>
    <row r="83">
      <c r="A83" s="935" t="s">
        <v>142</v>
      </c>
      <c r="B83" s="941">
        <v>1.0</v>
      </c>
      <c r="C83" s="941">
        <v>0.0</v>
      </c>
      <c r="D83" s="941">
        <v>1.0</v>
      </c>
      <c r="E83" s="941">
        <v>0.0</v>
      </c>
      <c r="F83" s="941">
        <v>0.0</v>
      </c>
      <c r="G83" s="941">
        <v>277.0</v>
      </c>
      <c r="H83" s="941">
        <v>320.0</v>
      </c>
      <c r="I83" s="941">
        <v>-43.0</v>
      </c>
      <c r="J83" s="941">
        <v>21.0</v>
      </c>
      <c r="K83" s="941">
        <v>6.0</v>
      </c>
      <c r="L83" s="941">
        <v>5.0</v>
      </c>
      <c r="M83" s="941">
        <v>4956.0</v>
      </c>
      <c r="N83" s="941">
        <v>6030.0</v>
      </c>
      <c r="O83" s="941">
        <v>15.0</v>
      </c>
      <c r="P83" s="941">
        <v>29.0</v>
      </c>
      <c r="Q83" s="941">
        <v>0.0</v>
      </c>
      <c r="R83" s="941">
        <v>2.0</v>
      </c>
      <c r="S83" s="941">
        <v>0.0</v>
      </c>
      <c r="T83" s="941">
        <v>0.0</v>
      </c>
      <c r="U83" s="941">
        <v>0.0</v>
      </c>
      <c r="V83" s="941">
        <v>2.0</v>
      </c>
      <c r="W83" s="941">
        <v>0.0</v>
      </c>
      <c r="X83" s="941">
        <v>34.0</v>
      </c>
      <c r="Y83" s="941">
        <v>3.0</v>
      </c>
      <c r="Z83" s="941">
        <v>0.0</v>
      </c>
      <c r="AA83" s="941">
        <v>0.0</v>
      </c>
      <c r="AB83" s="941">
        <v>0.0</v>
      </c>
      <c r="AC83" s="941">
        <v>0.0</v>
      </c>
      <c r="AD83" s="941">
        <v>0.0</v>
      </c>
      <c r="AE83" s="941">
        <v>0.0</v>
      </c>
      <c r="AF83" s="941">
        <v>0.0</v>
      </c>
      <c r="AG83" s="941">
        <v>0.0</v>
      </c>
      <c r="AH83" s="941">
        <v>3.0</v>
      </c>
      <c r="AI83" s="941">
        <v>0.0</v>
      </c>
      <c r="AJ83" s="941">
        <v>39.0</v>
      </c>
      <c r="AK83" s="942">
        <v>40.0</v>
      </c>
      <c r="AL83" s="941">
        <v>0.0</v>
      </c>
      <c r="AM83" s="941">
        <v>0.0</v>
      </c>
    </row>
    <row r="84">
      <c r="A84" s="935" t="s">
        <v>120</v>
      </c>
      <c r="B84" s="941">
        <v>1.0</v>
      </c>
      <c r="C84" s="941">
        <v>0.0</v>
      </c>
      <c r="D84" s="941">
        <v>1.0</v>
      </c>
      <c r="E84" s="941">
        <v>0.0</v>
      </c>
      <c r="F84" s="941">
        <v>0.0</v>
      </c>
      <c r="G84" s="941">
        <v>350.0</v>
      </c>
      <c r="H84" s="941">
        <v>266.0</v>
      </c>
      <c r="I84" s="941">
        <v>84.0</v>
      </c>
      <c r="J84" s="941">
        <v>23.0</v>
      </c>
      <c r="K84" s="941">
        <v>6.0</v>
      </c>
      <c r="L84" s="941">
        <v>5.0</v>
      </c>
      <c r="M84" s="941">
        <v>5118.0</v>
      </c>
      <c r="N84" s="941">
        <v>6030.0</v>
      </c>
      <c r="O84" s="941">
        <v>19.0</v>
      </c>
      <c r="P84" s="941">
        <v>7.0</v>
      </c>
      <c r="Q84" s="941">
        <v>0.0</v>
      </c>
      <c r="R84" s="941">
        <v>7.0</v>
      </c>
      <c r="S84" s="941">
        <v>0.0</v>
      </c>
      <c r="T84" s="941">
        <v>0.0</v>
      </c>
      <c r="U84" s="941">
        <v>0.0</v>
      </c>
      <c r="V84" s="941">
        <v>6.0</v>
      </c>
      <c r="W84" s="941">
        <v>0.0</v>
      </c>
      <c r="X84" s="941">
        <v>58.0</v>
      </c>
      <c r="Y84" s="941">
        <v>8.0</v>
      </c>
      <c r="Z84" s="941">
        <v>0.0</v>
      </c>
      <c r="AA84" s="941">
        <v>0.0</v>
      </c>
      <c r="AB84" s="941">
        <v>0.0</v>
      </c>
      <c r="AC84" s="941">
        <v>0.0</v>
      </c>
      <c r="AD84" s="941">
        <v>0.0</v>
      </c>
      <c r="AE84" s="941">
        <v>0.0</v>
      </c>
      <c r="AF84" s="941">
        <v>0.0</v>
      </c>
      <c r="AG84" s="941">
        <v>0.0</v>
      </c>
      <c r="AH84" s="941">
        <v>8.0</v>
      </c>
      <c r="AI84" s="941">
        <v>0.0</v>
      </c>
      <c r="AJ84" s="941">
        <v>43.0</v>
      </c>
      <c r="AK84" s="942">
        <v>50.0</v>
      </c>
      <c r="AL84" s="941">
        <v>2.0</v>
      </c>
      <c r="AM84" s="941">
        <v>0.0</v>
      </c>
    </row>
    <row r="85">
      <c r="A85" s="935" t="s">
        <v>153</v>
      </c>
      <c r="B85" s="941">
        <v>1.0</v>
      </c>
      <c r="C85" s="941">
        <v>0.0</v>
      </c>
      <c r="D85" s="941">
        <v>1.0</v>
      </c>
      <c r="E85" s="941">
        <v>4.0</v>
      </c>
      <c r="F85" s="941">
        <v>5.0</v>
      </c>
      <c r="G85" s="941">
        <v>234.0</v>
      </c>
      <c r="H85" s="941">
        <v>365.0</v>
      </c>
      <c r="I85" s="941">
        <v>-131.0</v>
      </c>
      <c r="J85" s="941">
        <v>6.0</v>
      </c>
      <c r="K85" s="941">
        <v>4.0</v>
      </c>
      <c r="L85" s="941">
        <v>1.0</v>
      </c>
      <c r="M85" s="941">
        <v>4829.0</v>
      </c>
      <c r="N85" s="941">
        <v>6030.0</v>
      </c>
      <c r="O85" s="941">
        <v>13.0</v>
      </c>
      <c r="P85" s="941">
        <v>988.0</v>
      </c>
      <c r="Q85" s="941">
        <v>0.0</v>
      </c>
      <c r="R85" s="941">
        <v>0.0</v>
      </c>
      <c r="S85" s="941">
        <v>0.0</v>
      </c>
      <c r="T85" s="941">
        <v>0.0</v>
      </c>
      <c r="U85" s="941">
        <v>0.0</v>
      </c>
      <c r="V85" s="941">
        <v>0.0</v>
      </c>
      <c r="W85" s="941">
        <v>0.0</v>
      </c>
      <c r="X85" s="941">
        <v>16.0</v>
      </c>
      <c r="Y85" s="941">
        <v>2.0</v>
      </c>
      <c r="Z85" s="941">
        <v>0.0</v>
      </c>
      <c r="AA85" s="941">
        <v>0.0</v>
      </c>
      <c r="AB85" s="941">
        <v>0.0</v>
      </c>
      <c r="AC85" s="941">
        <v>0.0</v>
      </c>
      <c r="AD85" s="941">
        <v>0.0</v>
      </c>
      <c r="AE85" s="941">
        <v>0.0</v>
      </c>
      <c r="AF85" s="941">
        <v>0.0</v>
      </c>
      <c r="AG85" s="941">
        <v>0.0</v>
      </c>
      <c r="AH85" s="941">
        <v>1.0</v>
      </c>
      <c r="AI85" s="941">
        <v>0.0</v>
      </c>
      <c r="AJ85" s="941">
        <v>18.0</v>
      </c>
      <c r="AK85" s="942">
        <v>32.0</v>
      </c>
      <c r="AL85" s="941">
        <v>1.0</v>
      </c>
      <c r="AM85" s="941">
        <v>0.0</v>
      </c>
    </row>
    <row r="86">
      <c r="A86" s="935" t="s">
        <v>514</v>
      </c>
      <c r="B86" s="941">
        <v>1.0</v>
      </c>
      <c r="C86" s="941">
        <v>1.0</v>
      </c>
      <c r="D86" s="941">
        <v>0.0</v>
      </c>
      <c r="E86" s="941">
        <v>0.0</v>
      </c>
      <c r="F86" s="941">
        <v>0.0</v>
      </c>
      <c r="G86" s="941">
        <v>388.0</v>
      </c>
      <c r="H86" s="941">
        <v>436.0</v>
      </c>
      <c r="I86" s="941">
        <v>-48.0</v>
      </c>
      <c r="J86" s="941">
        <v>24.0</v>
      </c>
      <c r="K86" s="941">
        <v>6.0</v>
      </c>
      <c r="L86" s="941">
        <v>7.0</v>
      </c>
      <c r="M86" s="941">
        <v>4237.0</v>
      </c>
      <c r="N86" s="941">
        <v>5695.0</v>
      </c>
      <c r="O86" s="941">
        <v>9.0</v>
      </c>
      <c r="P86" s="941">
        <v>15.0</v>
      </c>
      <c r="Q86" s="941">
        <v>0.0</v>
      </c>
      <c r="R86" s="941">
        <v>2.0</v>
      </c>
      <c r="S86" s="941">
        <v>0.0</v>
      </c>
      <c r="T86" s="941">
        <v>0.0</v>
      </c>
      <c r="U86" s="941">
        <v>0.0</v>
      </c>
      <c r="V86" s="941">
        <v>2.0</v>
      </c>
      <c r="W86" s="941">
        <v>0.0</v>
      </c>
      <c r="X86" s="941">
        <v>59.0</v>
      </c>
      <c r="Y86" s="941">
        <v>12.0</v>
      </c>
      <c r="Z86" s="941">
        <v>3.0</v>
      </c>
      <c r="AA86" s="941">
        <v>1.0</v>
      </c>
      <c r="AB86" s="941">
        <v>0.0</v>
      </c>
      <c r="AC86" s="941">
        <v>0.0</v>
      </c>
      <c r="AD86" s="941">
        <v>0.0</v>
      </c>
      <c r="AE86" s="941">
        <v>0.0</v>
      </c>
      <c r="AF86" s="941">
        <v>0.0</v>
      </c>
      <c r="AG86" s="941">
        <v>0.0</v>
      </c>
      <c r="AH86" s="941">
        <v>33.0</v>
      </c>
      <c r="AI86" s="941">
        <v>0.0</v>
      </c>
      <c r="AJ86" s="941">
        <v>25.0</v>
      </c>
      <c r="AK86" s="942">
        <v>45.0</v>
      </c>
      <c r="AL86" s="941">
        <v>1.0</v>
      </c>
      <c r="AM86" s="941">
        <v>1.0</v>
      </c>
    </row>
    <row r="87">
      <c r="A87" s="935" t="s">
        <v>132</v>
      </c>
      <c r="B87" s="941">
        <v>1.0</v>
      </c>
      <c r="C87" s="941">
        <v>1.0</v>
      </c>
      <c r="D87" s="941">
        <v>0.0</v>
      </c>
      <c r="E87" s="941">
        <v>0.0</v>
      </c>
      <c r="F87" s="941">
        <v>2.0</v>
      </c>
      <c r="G87" s="941">
        <v>431.0</v>
      </c>
      <c r="H87" s="941">
        <v>361.0</v>
      </c>
      <c r="I87" s="941">
        <v>70.0</v>
      </c>
      <c r="J87" s="941">
        <v>26.0</v>
      </c>
      <c r="K87" s="941">
        <v>8.0</v>
      </c>
      <c r="L87" s="941">
        <v>5.0</v>
      </c>
      <c r="M87" s="941">
        <v>4835.0</v>
      </c>
      <c r="N87" s="941">
        <v>6030.0</v>
      </c>
      <c r="O87" s="941">
        <v>13.0</v>
      </c>
      <c r="P87" s="941">
        <v>106.0</v>
      </c>
      <c r="Q87" s="941">
        <v>0.0</v>
      </c>
      <c r="R87" s="941">
        <v>6.0</v>
      </c>
      <c r="S87" s="941">
        <v>0.0</v>
      </c>
      <c r="T87" s="941">
        <v>0.0</v>
      </c>
      <c r="U87" s="941">
        <v>0.0</v>
      </c>
      <c r="V87" s="941">
        <v>6.0</v>
      </c>
      <c r="W87" s="941">
        <v>0.0</v>
      </c>
      <c r="X87" s="941">
        <v>71.0</v>
      </c>
      <c r="Y87" s="941">
        <v>17.0</v>
      </c>
      <c r="Z87" s="941">
        <v>4.0</v>
      </c>
      <c r="AA87" s="941">
        <v>0.0</v>
      </c>
      <c r="AB87" s="941">
        <v>0.0</v>
      </c>
      <c r="AC87" s="941">
        <v>0.0</v>
      </c>
      <c r="AD87" s="941">
        <v>0.0</v>
      </c>
      <c r="AE87" s="941">
        <v>0.0</v>
      </c>
      <c r="AF87" s="941">
        <v>0.0</v>
      </c>
      <c r="AG87" s="941">
        <v>0.0</v>
      </c>
      <c r="AH87" s="941">
        <v>51.0</v>
      </c>
      <c r="AI87" s="941">
        <v>0.0</v>
      </c>
      <c r="AJ87" s="941">
        <v>50.0</v>
      </c>
      <c r="AK87" s="942">
        <v>45.0</v>
      </c>
      <c r="AL87" s="941">
        <v>3.0</v>
      </c>
      <c r="AM87" s="941">
        <v>1.0</v>
      </c>
    </row>
    <row r="88">
      <c r="A88" s="935" t="s">
        <v>121</v>
      </c>
      <c r="B88" s="941">
        <v>1.0</v>
      </c>
      <c r="C88" s="941">
        <v>1.0</v>
      </c>
      <c r="D88" s="941">
        <v>0.0</v>
      </c>
      <c r="E88" s="941">
        <v>1.0</v>
      </c>
      <c r="F88" s="941">
        <v>5.0</v>
      </c>
      <c r="G88" s="941">
        <v>341.0</v>
      </c>
      <c r="H88" s="941">
        <v>292.0</v>
      </c>
      <c r="I88" s="941">
        <v>49.0</v>
      </c>
      <c r="J88" s="941">
        <v>16.0</v>
      </c>
      <c r="K88" s="941">
        <v>6.0</v>
      </c>
      <c r="L88" s="941">
        <v>3.0</v>
      </c>
      <c r="M88" s="941">
        <v>5032.0</v>
      </c>
      <c r="N88" s="941">
        <v>6030.0</v>
      </c>
      <c r="O88" s="941">
        <v>17.0</v>
      </c>
      <c r="P88" s="941">
        <v>568.0</v>
      </c>
      <c r="Q88" s="941">
        <v>0.0</v>
      </c>
      <c r="R88" s="941">
        <v>3.0</v>
      </c>
      <c r="S88" s="941">
        <v>0.0</v>
      </c>
      <c r="T88" s="941">
        <v>0.0</v>
      </c>
      <c r="U88" s="941">
        <v>0.0</v>
      </c>
      <c r="V88" s="941">
        <v>1.0</v>
      </c>
      <c r="W88" s="941">
        <v>0.0</v>
      </c>
      <c r="X88" s="941">
        <v>46.0</v>
      </c>
      <c r="Y88" s="941">
        <v>4.0</v>
      </c>
      <c r="Z88" s="941">
        <v>2.0</v>
      </c>
      <c r="AA88" s="941">
        <v>0.0</v>
      </c>
      <c r="AB88" s="941">
        <v>0.0</v>
      </c>
      <c r="AC88" s="941">
        <v>0.0</v>
      </c>
      <c r="AD88" s="941">
        <v>0.0</v>
      </c>
      <c r="AE88" s="941">
        <v>0.0</v>
      </c>
      <c r="AF88" s="941">
        <v>0.0</v>
      </c>
      <c r="AG88" s="941">
        <v>0.0</v>
      </c>
      <c r="AH88" s="941">
        <v>51.0</v>
      </c>
      <c r="AI88" s="941">
        <v>0.0</v>
      </c>
      <c r="AJ88" s="941">
        <v>37.0</v>
      </c>
      <c r="AK88" s="942">
        <v>36.0</v>
      </c>
      <c r="AL88" s="941">
        <v>1.0</v>
      </c>
      <c r="AM88" s="941">
        <v>1.0</v>
      </c>
    </row>
    <row r="89">
      <c r="A89" s="943" t="s">
        <v>154</v>
      </c>
      <c r="B89" s="944">
        <v>1.0</v>
      </c>
      <c r="C89" s="944">
        <v>1.0</v>
      </c>
      <c r="D89" s="944">
        <v>0.0</v>
      </c>
      <c r="E89" s="944">
        <v>4.0</v>
      </c>
      <c r="F89" s="944">
        <v>15.0</v>
      </c>
      <c r="G89" s="944">
        <v>99.0</v>
      </c>
      <c r="H89" s="944">
        <v>125.0</v>
      </c>
      <c r="I89" s="944">
        <v>-26.0</v>
      </c>
      <c r="J89" s="944">
        <v>2.0</v>
      </c>
      <c r="K89" s="944">
        <v>5.0</v>
      </c>
      <c r="L89" s="944">
        <v>1.0</v>
      </c>
      <c r="M89" s="944">
        <v>5532.0</v>
      </c>
      <c r="N89" s="944">
        <v>6030.0</v>
      </c>
      <c r="O89" s="944">
        <v>44.0</v>
      </c>
      <c r="P89" s="944">
        <v>3951.0</v>
      </c>
      <c r="Q89" s="944">
        <v>0.0</v>
      </c>
      <c r="R89" s="944">
        <v>1.0</v>
      </c>
      <c r="S89" s="944">
        <v>0.0</v>
      </c>
      <c r="T89" s="944">
        <v>0.0</v>
      </c>
      <c r="U89" s="944">
        <v>0.0</v>
      </c>
      <c r="V89" s="944">
        <v>0.0</v>
      </c>
      <c r="W89" s="944">
        <v>0.0</v>
      </c>
      <c r="X89" s="944">
        <v>6.0</v>
      </c>
      <c r="Y89" s="944">
        <v>1.0</v>
      </c>
      <c r="Z89" s="944">
        <v>0.0</v>
      </c>
      <c r="AA89" s="944">
        <v>0.0</v>
      </c>
      <c r="AB89" s="944">
        <v>0.0</v>
      </c>
      <c r="AC89" s="944">
        <v>0.0</v>
      </c>
      <c r="AD89" s="944">
        <v>0.0</v>
      </c>
      <c r="AE89" s="944">
        <v>0.0</v>
      </c>
      <c r="AF89" s="944">
        <v>0.0</v>
      </c>
      <c r="AG89" s="944">
        <v>0.0</v>
      </c>
      <c r="AH89" s="944">
        <v>9.0</v>
      </c>
      <c r="AI89" s="882">
        <v>0.0</v>
      </c>
      <c r="AJ89" s="882">
        <v>12.0</v>
      </c>
      <c r="AK89" s="948">
        <v>15.0</v>
      </c>
      <c r="AL89" s="941">
        <v>0.0</v>
      </c>
      <c r="AM89" s="941">
        <v>1.0</v>
      </c>
    </row>
    <row r="90">
      <c r="A90" s="946" t="s">
        <v>120</v>
      </c>
      <c r="B90" s="939">
        <v>1.0</v>
      </c>
      <c r="C90" s="939">
        <v>0.0</v>
      </c>
      <c r="D90" s="939">
        <v>1.0</v>
      </c>
      <c r="E90" s="939">
        <v>0.0</v>
      </c>
      <c r="F90" s="939">
        <v>0.0</v>
      </c>
      <c r="G90" s="939">
        <v>76.0</v>
      </c>
      <c r="H90" s="939">
        <v>91.0</v>
      </c>
      <c r="I90" s="939">
        <v>-15.0</v>
      </c>
      <c r="J90" s="939">
        <v>6.0</v>
      </c>
      <c r="K90" s="939">
        <v>4.0</v>
      </c>
      <c r="L90" s="939">
        <v>1.0</v>
      </c>
      <c r="M90" s="939">
        <v>825.0</v>
      </c>
      <c r="N90" s="939">
        <v>1173.0</v>
      </c>
      <c r="O90" s="939">
        <v>9.0</v>
      </c>
      <c r="P90" s="939">
        <v>0.0</v>
      </c>
      <c r="Q90" s="939">
        <v>0.0</v>
      </c>
      <c r="R90" s="939">
        <v>0.0</v>
      </c>
      <c r="S90" s="939">
        <v>0.0</v>
      </c>
      <c r="T90" s="939">
        <v>0.0</v>
      </c>
      <c r="U90" s="939">
        <v>0.0</v>
      </c>
      <c r="V90" s="939">
        <v>0.0</v>
      </c>
      <c r="W90" s="939">
        <v>0.0</v>
      </c>
      <c r="X90" s="939">
        <v>14.0</v>
      </c>
      <c r="Y90" s="939">
        <v>1.0</v>
      </c>
      <c r="Z90" s="939">
        <v>0.0</v>
      </c>
      <c r="AA90" s="939">
        <v>0.0</v>
      </c>
      <c r="AB90" s="939">
        <v>0.0</v>
      </c>
      <c r="AC90" s="939">
        <v>0.0</v>
      </c>
      <c r="AD90" s="939">
        <v>0.0</v>
      </c>
      <c r="AE90" s="939">
        <v>0.0</v>
      </c>
      <c r="AF90" s="939">
        <v>0.0</v>
      </c>
      <c r="AG90" s="939">
        <v>0.0</v>
      </c>
      <c r="AH90" s="939">
        <v>2.0</v>
      </c>
      <c r="AI90" s="895">
        <v>0.0</v>
      </c>
      <c r="AJ90" s="895">
        <v>8.0</v>
      </c>
      <c r="AK90" s="947">
        <v>6.0</v>
      </c>
      <c r="AL90" s="941">
        <v>1.0</v>
      </c>
      <c r="AM90" s="941">
        <v>0.0</v>
      </c>
    </row>
    <row r="91">
      <c r="A91" s="935" t="s">
        <v>142</v>
      </c>
      <c r="B91" s="941">
        <v>1.0</v>
      </c>
      <c r="C91" s="941">
        <v>0.0</v>
      </c>
      <c r="D91" s="941">
        <v>1.0</v>
      </c>
      <c r="E91" s="941">
        <v>0.0</v>
      </c>
      <c r="F91" s="941">
        <v>1.0</v>
      </c>
      <c r="G91" s="941">
        <v>71.0</v>
      </c>
      <c r="H91" s="941">
        <v>74.0</v>
      </c>
      <c r="I91" s="941">
        <v>-3.0</v>
      </c>
      <c r="J91" s="941">
        <v>7.0</v>
      </c>
      <c r="K91" s="941">
        <v>4.0</v>
      </c>
      <c r="L91" s="941">
        <v>3.0</v>
      </c>
      <c r="M91" s="941">
        <v>874.0</v>
      </c>
      <c r="N91" s="941">
        <v>1173.0</v>
      </c>
      <c r="O91" s="941">
        <v>11.0</v>
      </c>
      <c r="P91" s="941">
        <v>24.0</v>
      </c>
      <c r="Q91" s="941">
        <v>0.0</v>
      </c>
      <c r="R91" s="941">
        <v>0.0</v>
      </c>
      <c r="S91" s="941">
        <v>0.0</v>
      </c>
      <c r="T91" s="941">
        <v>0.0</v>
      </c>
      <c r="U91" s="941">
        <v>0.0</v>
      </c>
      <c r="V91" s="941">
        <v>0.0</v>
      </c>
      <c r="W91" s="941">
        <v>0.0</v>
      </c>
      <c r="X91" s="941">
        <v>11.0</v>
      </c>
      <c r="Y91" s="941">
        <v>0.0</v>
      </c>
      <c r="Z91" s="941">
        <v>0.0</v>
      </c>
      <c r="AA91" s="941">
        <v>0.0</v>
      </c>
      <c r="AB91" s="941">
        <v>0.0</v>
      </c>
      <c r="AC91" s="941">
        <v>0.0</v>
      </c>
      <c r="AD91" s="941">
        <v>0.0</v>
      </c>
      <c r="AE91" s="941">
        <v>0.0</v>
      </c>
      <c r="AF91" s="941">
        <v>0.0</v>
      </c>
      <c r="AG91" s="941">
        <v>0.0</v>
      </c>
      <c r="AH91" s="941">
        <v>4.0</v>
      </c>
      <c r="AI91" s="941">
        <v>0.0</v>
      </c>
      <c r="AJ91" s="941">
        <v>9.0</v>
      </c>
      <c r="AK91" s="942">
        <v>12.0</v>
      </c>
      <c r="AL91" s="941">
        <v>1.0</v>
      </c>
      <c r="AM91" s="941">
        <v>0.0</v>
      </c>
    </row>
    <row r="92">
      <c r="A92" s="935" t="s">
        <v>131</v>
      </c>
      <c r="B92" s="941">
        <v>1.0</v>
      </c>
      <c r="C92" s="941">
        <v>0.0</v>
      </c>
      <c r="D92" s="941">
        <v>1.0</v>
      </c>
      <c r="E92" s="941">
        <v>0.0</v>
      </c>
      <c r="F92" s="941">
        <v>0.0</v>
      </c>
      <c r="G92" s="941">
        <v>56.0</v>
      </c>
      <c r="H92" s="941">
        <v>72.0</v>
      </c>
      <c r="I92" s="941">
        <v>-16.0</v>
      </c>
      <c r="J92" s="941">
        <v>3.0</v>
      </c>
      <c r="K92" s="941">
        <v>5.0</v>
      </c>
      <c r="L92" s="941">
        <v>4.0</v>
      </c>
      <c r="M92" s="941">
        <v>883.0</v>
      </c>
      <c r="N92" s="941">
        <v>1173.0</v>
      </c>
      <c r="O92" s="941">
        <v>12.0</v>
      </c>
      <c r="P92" s="941">
        <v>18.0</v>
      </c>
      <c r="Q92" s="941">
        <v>0.0</v>
      </c>
      <c r="R92" s="941">
        <v>1.0</v>
      </c>
      <c r="S92" s="941">
        <v>0.0</v>
      </c>
      <c r="T92" s="941">
        <v>0.0</v>
      </c>
      <c r="U92" s="941">
        <v>0.0</v>
      </c>
      <c r="V92" s="941">
        <v>0.0</v>
      </c>
      <c r="W92" s="941">
        <v>0.0</v>
      </c>
      <c r="X92" s="941">
        <v>7.0</v>
      </c>
      <c r="Y92" s="941">
        <v>0.0</v>
      </c>
      <c r="Z92" s="941">
        <v>0.0</v>
      </c>
      <c r="AA92" s="941">
        <v>0.0</v>
      </c>
      <c r="AB92" s="941">
        <v>0.0</v>
      </c>
      <c r="AC92" s="941">
        <v>0.0</v>
      </c>
      <c r="AD92" s="941">
        <v>0.0</v>
      </c>
      <c r="AE92" s="941">
        <v>0.0</v>
      </c>
      <c r="AF92" s="941">
        <v>0.0</v>
      </c>
      <c r="AG92" s="941">
        <v>0.0</v>
      </c>
      <c r="AH92" s="941">
        <v>1.0</v>
      </c>
      <c r="AI92" s="941">
        <v>0.0</v>
      </c>
      <c r="AJ92" s="941">
        <v>10.0</v>
      </c>
      <c r="AK92" s="942">
        <v>9.0</v>
      </c>
      <c r="AL92" s="941">
        <v>0.0</v>
      </c>
      <c r="AM92" s="941">
        <v>0.0</v>
      </c>
    </row>
    <row r="93">
      <c r="A93" s="935" t="s">
        <v>153</v>
      </c>
      <c r="B93" s="941">
        <v>1.0</v>
      </c>
      <c r="C93" s="941">
        <v>0.0</v>
      </c>
      <c r="D93" s="941">
        <v>1.0</v>
      </c>
      <c r="E93" s="941">
        <v>1.0</v>
      </c>
      <c r="F93" s="941">
        <v>14.0</v>
      </c>
      <c r="G93" s="941">
        <v>42.0</v>
      </c>
      <c r="H93" s="941">
        <v>50.0</v>
      </c>
      <c r="I93" s="941">
        <v>-8.0</v>
      </c>
      <c r="J93" s="941">
        <v>1.0</v>
      </c>
      <c r="K93" s="941">
        <v>5.0</v>
      </c>
      <c r="L93" s="941">
        <v>3.0</v>
      </c>
      <c r="M93" s="941">
        <v>946.0</v>
      </c>
      <c r="N93" s="941">
        <v>1173.0</v>
      </c>
      <c r="O93" s="941">
        <v>18.0</v>
      </c>
      <c r="P93" s="941">
        <v>577.0</v>
      </c>
      <c r="Q93" s="941">
        <v>0.0</v>
      </c>
      <c r="R93" s="941">
        <v>2.0</v>
      </c>
      <c r="S93" s="941">
        <v>0.0</v>
      </c>
      <c r="T93" s="941">
        <v>0.0</v>
      </c>
      <c r="U93" s="941">
        <v>0.0</v>
      </c>
      <c r="V93" s="941">
        <v>0.0</v>
      </c>
      <c r="W93" s="941">
        <v>0.0</v>
      </c>
      <c r="X93" s="941">
        <v>4.0</v>
      </c>
      <c r="Y93" s="941">
        <v>0.0</v>
      </c>
      <c r="Z93" s="941">
        <v>0.0</v>
      </c>
      <c r="AA93" s="941">
        <v>0.0</v>
      </c>
      <c r="AB93" s="941">
        <v>0.0</v>
      </c>
      <c r="AC93" s="941">
        <v>0.0</v>
      </c>
      <c r="AD93" s="941">
        <v>0.0</v>
      </c>
      <c r="AE93" s="941">
        <v>0.0</v>
      </c>
      <c r="AF93" s="941">
        <v>0.0</v>
      </c>
      <c r="AG93" s="941">
        <v>0.0</v>
      </c>
      <c r="AH93" s="941">
        <v>0.0</v>
      </c>
      <c r="AI93" s="941">
        <v>0.0</v>
      </c>
      <c r="AJ93" s="941">
        <v>13.0</v>
      </c>
      <c r="AK93" s="942">
        <v>5.0</v>
      </c>
      <c r="AL93" s="941">
        <v>0.0</v>
      </c>
      <c r="AM93" s="941">
        <v>0.0</v>
      </c>
    </row>
    <row r="94">
      <c r="A94" s="935" t="s">
        <v>152</v>
      </c>
      <c r="B94" s="941">
        <v>1.0</v>
      </c>
      <c r="C94" s="941">
        <v>1.0</v>
      </c>
      <c r="D94" s="941">
        <v>0.0</v>
      </c>
      <c r="E94" s="941">
        <v>0.0</v>
      </c>
      <c r="F94" s="941">
        <v>2.0</v>
      </c>
      <c r="G94" s="941">
        <v>70.0</v>
      </c>
      <c r="H94" s="941">
        <v>80.0</v>
      </c>
      <c r="I94" s="941">
        <v>-10.0</v>
      </c>
      <c r="J94" s="941">
        <v>2.0</v>
      </c>
      <c r="K94" s="941">
        <v>5.0</v>
      </c>
      <c r="L94" s="941">
        <v>0.0</v>
      </c>
      <c r="M94" s="941">
        <v>852.0</v>
      </c>
      <c r="N94" s="941">
        <v>1173.0</v>
      </c>
      <c r="O94" s="941">
        <v>10.0</v>
      </c>
      <c r="P94" s="941">
        <v>26.0</v>
      </c>
      <c r="Q94" s="941">
        <v>0.0</v>
      </c>
      <c r="R94" s="941">
        <v>1.0</v>
      </c>
      <c r="S94" s="941">
        <v>0.0</v>
      </c>
      <c r="T94" s="941">
        <v>0.0</v>
      </c>
      <c r="U94" s="941">
        <v>0.0</v>
      </c>
      <c r="V94" s="941">
        <v>0.0</v>
      </c>
      <c r="W94" s="941">
        <v>0.0</v>
      </c>
      <c r="X94" s="941">
        <v>8.0</v>
      </c>
      <c r="Y94" s="941">
        <v>1.0</v>
      </c>
      <c r="Z94" s="941">
        <v>0.0</v>
      </c>
      <c r="AA94" s="941">
        <v>0.0</v>
      </c>
      <c r="AB94" s="941">
        <v>0.0</v>
      </c>
      <c r="AC94" s="941">
        <v>0.0</v>
      </c>
      <c r="AD94" s="941">
        <v>0.0</v>
      </c>
      <c r="AE94" s="941">
        <v>0.0</v>
      </c>
      <c r="AF94" s="941">
        <v>0.0</v>
      </c>
      <c r="AG94" s="941">
        <v>0.0</v>
      </c>
      <c r="AH94" s="941">
        <v>0.0</v>
      </c>
      <c r="AI94" s="941">
        <v>0.0</v>
      </c>
      <c r="AJ94" s="941">
        <v>8.0</v>
      </c>
      <c r="AK94" s="942">
        <v>5.0</v>
      </c>
      <c r="AL94" s="941">
        <v>1.0</v>
      </c>
      <c r="AM94" s="941">
        <v>1.0</v>
      </c>
    </row>
    <row r="95">
      <c r="A95" s="935" t="s">
        <v>130</v>
      </c>
      <c r="B95" s="941">
        <v>1.0</v>
      </c>
      <c r="C95" s="941">
        <v>1.0</v>
      </c>
      <c r="D95" s="941">
        <v>0.0</v>
      </c>
      <c r="E95" s="941">
        <v>0.0</v>
      </c>
      <c r="F95" s="941">
        <v>0.0</v>
      </c>
      <c r="G95" s="941">
        <v>67.0</v>
      </c>
      <c r="H95" s="941">
        <v>44.0</v>
      </c>
      <c r="I95" s="941">
        <v>23.0</v>
      </c>
      <c r="J95" s="941">
        <v>1.0</v>
      </c>
      <c r="K95" s="941">
        <v>9.0</v>
      </c>
      <c r="L95" s="941">
        <v>2.0</v>
      </c>
      <c r="M95" s="941">
        <v>960.0</v>
      </c>
      <c r="N95" s="941">
        <v>1173.0</v>
      </c>
      <c r="O95" s="941">
        <v>21.0</v>
      </c>
      <c r="P95" s="941">
        <v>1.0</v>
      </c>
      <c r="Q95" s="941">
        <v>0.0</v>
      </c>
      <c r="R95" s="941">
        <v>2.0</v>
      </c>
      <c r="S95" s="941">
        <v>0.0</v>
      </c>
      <c r="T95" s="941">
        <v>0.0</v>
      </c>
      <c r="U95" s="941">
        <v>0.0</v>
      </c>
      <c r="V95" s="941">
        <v>2.0</v>
      </c>
      <c r="W95" s="941">
        <v>0.0</v>
      </c>
      <c r="X95" s="941">
        <v>10.0</v>
      </c>
      <c r="Y95" s="941">
        <v>3.0</v>
      </c>
      <c r="Z95" s="941">
        <v>0.0</v>
      </c>
      <c r="AA95" s="941">
        <v>0.0</v>
      </c>
      <c r="AB95" s="941">
        <v>0.0</v>
      </c>
      <c r="AC95" s="941">
        <v>0.0</v>
      </c>
      <c r="AD95" s="941">
        <v>0.0</v>
      </c>
      <c r="AE95" s="941">
        <v>0.0</v>
      </c>
      <c r="AF95" s="941">
        <v>0.0</v>
      </c>
      <c r="AG95" s="941">
        <v>0.0</v>
      </c>
      <c r="AH95" s="941">
        <v>6.0</v>
      </c>
      <c r="AI95" s="941">
        <v>0.0</v>
      </c>
      <c r="AJ95" s="941">
        <v>5.0</v>
      </c>
      <c r="AK95" s="942">
        <v>4.0</v>
      </c>
      <c r="AL95" s="941">
        <v>1.0</v>
      </c>
      <c r="AM95" s="941">
        <v>1.0</v>
      </c>
    </row>
    <row r="96">
      <c r="A96" s="935" t="s">
        <v>141</v>
      </c>
      <c r="B96" s="941">
        <v>1.0</v>
      </c>
      <c r="C96" s="941">
        <v>1.0</v>
      </c>
      <c r="D96" s="941">
        <v>0.0</v>
      </c>
      <c r="E96" s="941">
        <v>2.0</v>
      </c>
      <c r="F96" s="941">
        <v>0.0</v>
      </c>
      <c r="G96" s="941">
        <v>62.0</v>
      </c>
      <c r="H96" s="941">
        <v>85.0</v>
      </c>
      <c r="I96" s="941">
        <v>-23.0</v>
      </c>
      <c r="J96" s="941">
        <v>9.0</v>
      </c>
      <c r="K96" s="941">
        <v>6.0</v>
      </c>
      <c r="L96" s="941">
        <v>3.0</v>
      </c>
      <c r="M96" s="941">
        <v>835.0</v>
      </c>
      <c r="N96" s="941">
        <v>1173.0</v>
      </c>
      <c r="O96" s="941">
        <v>9.0</v>
      </c>
      <c r="P96" s="941">
        <v>46.0</v>
      </c>
      <c r="Q96" s="941">
        <v>0.0</v>
      </c>
      <c r="R96" s="941">
        <v>1.0</v>
      </c>
      <c r="S96" s="941">
        <v>0.0</v>
      </c>
      <c r="T96" s="941">
        <v>0.0</v>
      </c>
      <c r="U96" s="941">
        <v>0.0</v>
      </c>
      <c r="V96" s="941">
        <v>1.0</v>
      </c>
      <c r="W96" s="941">
        <v>0.0</v>
      </c>
      <c r="X96" s="941">
        <v>11.0</v>
      </c>
      <c r="Y96" s="941">
        <v>3.0</v>
      </c>
      <c r="Z96" s="941">
        <v>1.0</v>
      </c>
      <c r="AA96" s="941">
        <v>0.0</v>
      </c>
      <c r="AB96" s="941">
        <v>0.0</v>
      </c>
      <c r="AC96" s="941">
        <v>0.0</v>
      </c>
      <c r="AD96" s="941">
        <v>0.0</v>
      </c>
      <c r="AE96" s="941">
        <v>0.0</v>
      </c>
      <c r="AF96" s="941">
        <v>0.0</v>
      </c>
      <c r="AG96" s="941">
        <v>0.0</v>
      </c>
      <c r="AH96" s="941">
        <v>2.0</v>
      </c>
      <c r="AI96" s="941">
        <v>0.0</v>
      </c>
      <c r="AJ96" s="941">
        <v>5.0</v>
      </c>
      <c r="AK96" s="942">
        <v>12.0</v>
      </c>
      <c r="AL96" s="941">
        <v>2.0</v>
      </c>
      <c r="AM96" s="941">
        <v>1.0</v>
      </c>
    </row>
    <row r="97">
      <c r="A97" s="943" t="s">
        <v>119</v>
      </c>
      <c r="B97" s="944">
        <v>1.0</v>
      </c>
      <c r="C97" s="944">
        <v>1.0</v>
      </c>
      <c r="D97" s="944">
        <v>0.0</v>
      </c>
      <c r="E97" s="944">
        <v>3.0</v>
      </c>
      <c r="F97" s="944">
        <v>10.0</v>
      </c>
      <c r="G97" s="944">
        <v>67.0</v>
      </c>
      <c r="H97" s="944">
        <v>49.0</v>
      </c>
      <c r="I97" s="944">
        <v>18.0</v>
      </c>
      <c r="J97" s="944">
        <v>4.0</v>
      </c>
      <c r="K97" s="944">
        <v>6.0</v>
      </c>
      <c r="L97" s="944">
        <v>3.0</v>
      </c>
      <c r="M97" s="944">
        <v>946.0</v>
      </c>
      <c r="N97" s="944">
        <v>1173.0</v>
      </c>
      <c r="O97" s="944">
        <v>19.0</v>
      </c>
      <c r="P97" s="944">
        <v>287.0</v>
      </c>
      <c r="Q97" s="944">
        <v>0.0</v>
      </c>
      <c r="R97" s="944">
        <v>1.0</v>
      </c>
      <c r="S97" s="944">
        <v>0.0</v>
      </c>
      <c r="T97" s="944">
        <v>0.0</v>
      </c>
      <c r="U97" s="944">
        <v>0.0</v>
      </c>
      <c r="V97" s="944">
        <v>1.0</v>
      </c>
      <c r="W97" s="944">
        <v>0.0</v>
      </c>
      <c r="X97" s="944">
        <v>15.0</v>
      </c>
      <c r="Y97" s="944">
        <v>2.0</v>
      </c>
      <c r="Z97" s="944">
        <v>0.0</v>
      </c>
      <c r="AA97" s="944">
        <v>0.0</v>
      </c>
      <c r="AB97" s="944">
        <v>0.0</v>
      </c>
      <c r="AC97" s="944">
        <v>0.0</v>
      </c>
      <c r="AD97" s="944">
        <v>0.0</v>
      </c>
      <c r="AE97" s="944">
        <v>0.0</v>
      </c>
      <c r="AF97" s="944">
        <v>0.0</v>
      </c>
      <c r="AG97" s="944">
        <v>0.0</v>
      </c>
      <c r="AH97" s="944">
        <v>2.0</v>
      </c>
      <c r="AI97" s="882">
        <v>0.0</v>
      </c>
      <c r="AJ97" s="882">
        <v>11.0</v>
      </c>
      <c r="AK97" s="948">
        <v>9.0</v>
      </c>
      <c r="AL97" s="941">
        <v>0.0</v>
      </c>
      <c r="AM97" s="941">
        <v>1.0</v>
      </c>
    </row>
    <row r="98">
      <c r="A98" s="949" t="s">
        <v>117</v>
      </c>
      <c r="B98" s="950">
        <v>1.0</v>
      </c>
      <c r="C98" s="950">
        <v>0.0</v>
      </c>
      <c r="D98" s="950">
        <v>0.0</v>
      </c>
      <c r="E98" s="958">
        <v>0.0</v>
      </c>
      <c r="F98" s="958">
        <v>1.0</v>
      </c>
      <c r="G98" s="958">
        <v>116.0</v>
      </c>
      <c r="H98" s="958">
        <v>111.0</v>
      </c>
      <c r="I98" s="958">
        <v>5.0</v>
      </c>
      <c r="J98" s="958">
        <v>5.0</v>
      </c>
      <c r="K98" s="958">
        <v>4.0</v>
      </c>
      <c r="L98" s="958">
        <v>3.0</v>
      </c>
      <c r="M98" s="958">
        <v>1736.0</v>
      </c>
      <c r="N98" s="958">
        <v>2141.0</v>
      </c>
      <c r="O98" s="958">
        <v>15.0</v>
      </c>
      <c r="P98" s="958">
        <v>153.0</v>
      </c>
      <c r="Q98" s="958">
        <v>0.0</v>
      </c>
      <c r="R98" s="958">
        <v>0.0</v>
      </c>
      <c r="S98" s="958">
        <v>0.0</v>
      </c>
      <c r="T98" s="958">
        <v>0.0</v>
      </c>
      <c r="U98" s="958">
        <v>0.0</v>
      </c>
      <c r="V98" s="958">
        <v>0.0</v>
      </c>
      <c r="W98" s="958">
        <v>0.0</v>
      </c>
      <c r="X98" s="958">
        <v>16.0</v>
      </c>
      <c r="Y98" s="958">
        <v>0.0</v>
      </c>
      <c r="Z98" s="958">
        <v>0.0</v>
      </c>
      <c r="AA98" s="958">
        <v>0.0</v>
      </c>
      <c r="AB98" s="958">
        <v>0.0</v>
      </c>
      <c r="AC98" s="958">
        <v>0.0</v>
      </c>
      <c r="AD98" s="958">
        <v>0.0</v>
      </c>
      <c r="AE98" s="958">
        <v>0.0</v>
      </c>
      <c r="AF98" s="958">
        <v>0.0</v>
      </c>
      <c r="AG98" s="958">
        <v>0.0</v>
      </c>
      <c r="AH98" s="958">
        <v>16.0</v>
      </c>
      <c r="AI98" s="958">
        <v>1.0</v>
      </c>
      <c r="AJ98" s="958">
        <v>6.0</v>
      </c>
      <c r="AK98" s="959">
        <v>13.0</v>
      </c>
      <c r="AL98" s="960">
        <v>1.0</v>
      </c>
      <c r="AM98" s="960">
        <v>0.0</v>
      </c>
    </row>
    <row r="99">
      <c r="A99" s="953" t="s">
        <v>128</v>
      </c>
      <c r="B99" s="952">
        <v>1.0</v>
      </c>
      <c r="C99" s="952">
        <v>0.0</v>
      </c>
      <c r="D99" s="952">
        <v>0.0</v>
      </c>
      <c r="E99" s="960">
        <v>0.0</v>
      </c>
      <c r="F99" s="960">
        <v>0.0</v>
      </c>
      <c r="G99" s="960">
        <v>124.0</v>
      </c>
      <c r="H99" s="960">
        <v>128.0</v>
      </c>
      <c r="I99" s="960">
        <v>-4.0</v>
      </c>
      <c r="J99" s="960">
        <v>8.0</v>
      </c>
      <c r="K99" s="960">
        <v>5.0</v>
      </c>
      <c r="L99" s="960">
        <v>3.0</v>
      </c>
      <c r="M99" s="960">
        <v>1673.0</v>
      </c>
      <c r="N99" s="960">
        <v>2141.0</v>
      </c>
      <c r="O99" s="960">
        <v>13.0</v>
      </c>
      <c r="P99" s="960">
        <v>106.0</v>
      </c>
      <c r="Q99" s="960">
        <v>0.0</v>
      </c>
      <c r="R99" s="960">
        <v>1.0</v>
      </c>
      <c r="S99" s="960">
        <v>0.0</v>
      </c>
      <c r="T99" s="960">
        <v>0.0</v>
      </c>
      <c r="U99" s="960">
        <v>0.0</v>
      </c>
      <c r="V99" s="960">
        <v>1.0</v>
      </c>
      <c r="W99" s="960">
        <v>0.0</v>
      </c>
      <c r="X99" s="960">
        <v>20.0</v>
      </c>
      <c r="Y99" s="960">
        <v>4.0</v>
      </c>
      <c r="Z99" s="960">
        <v>0.0</v>
      </c>
      <c r="AA99" s="960">
        <v>0.0</v>
      </c>
      <c r="AB99" s="960">
        <v>0.0</v>
      </c>
      <c r="AC99" s="960">
        <v>0.0</v>
      </c>
      <c r="AD99" s="960">
        <v>0.0</v>
      </c>
      <c r="AE99" s="960">
        <v>0.0</v>
      </c>
      <c r="AF99" s="960">
        <v>0.0</v>
      </c>
      <c r="AG99" s="960">
        <v>0.0</v>
      </c>
      <c r="AH99" s="960">
        <v>13.0</v>
      </c>
      <c r="AI99" s="960">
        <v>0.0</v>
      </c>
      <c r="AJ99" s="960">
        <v>10.0</v>
      </c>
      <c r="AK99" s="961">
        <v>13.0</v>
      </c>
      <c r="AL99" s="960">
        <v>2.0</v>
      </c>
      <c r="AM99" s="960">
        <v>0.0</v>
      </c>
    </row>
    <row r="100">
      <c r="A100" s="953" t="s">
        <v>139</v>
      </c>
      <c r="B100" s="952">
        <v>1.0</v>
      </c>
      <c r="C100" s="952">
        <v>0.0</v>
      </c>
      <c r="D100" s="952">
        <v>0.0</v>
      </c>
      <c r="E100" s="960">
        <v>1.0</v>
      </c>
      <c r="F100" s="960">
        <v>0.0</v>
      </c>
      <c r="G100" s="960">
        <v>137.0</v>
      </c>
      <c r="H100" s="960">
        <v>134.0</v>
      </c>
      <c r="I100" s="960">
        <v>3.0</v>
      </c>
      <c r="J100" s="960">
        <v>5.0</v>
      </c>
      <c r="K100" s="960">
        <v>4.0</v>
      </c>
      <c r="L100" s="960">
        <v>8.0</v>
      </c>
      <c r="M100" s="960">
        <v>1660.0</v>
      </c>
      <c r="N100" s="960">
        <v>2141.0</v>
      </c>
      <c r="O100" s="960">
        <v>12.0</v>
      </c>
      <c r="P100" s="960">
        <v>22.0</v>
      </c>
      <c r="Q100" s="960">
        <v>0.0</v>
      </c>
      <c r="R100" s="960">
        <v>0.0</v>
      </c>
      <c r="S100" s="960">
        <v>0.0</v>
      </c>
      <c r="T100" s="960">
        <v>0.0</v>
      </c>
      <c r="U100" s="960">
        <v>0.0</v>
      </c>
      <c r="V100" s="960">
        <v>0.0</v>
      </c>
      <c r="W100" s="960">
        <v>0.0</v>
      </c>
      <c r="X100" s="960">
        <v>21.0</v>
      </c>
      <c r="Y100" s="960">
        <v>1.0</v>
      </c>
      <c r="Z100" s="960">
        <v>0.0</v>
      </c>
      <c r="AA100" s="960">
        <v>0.0</v>
      </c>
      <c r="AB100" s="960">
        <v>0.0</v>
      </c>
      <c r="AC100" s="960">
        <v>0.0</v>
      </c>
      <c r="AD100" s="960">
        <v>0.0</v>
      </c>
      <c r="AE100" s="960">
        <v>0.0</v>
      </c>
      <c r="AF100" s="960">
        <v>0.0</v>
      </c>
      <c r="AG100" s="960">
        <v>0.0</v>
      </c>
      <c r="AH100" s="960">
        <v>9.0</v>
      </c>
      <c r="AI100" s="960">
        <v>0.0</v>
      </c>
      <c r="AJ100" s="960">
        <v>12.0</v>
      </c>
      <c r="AK100" s="961">
        <v>24.0</v>
      </c>
      <c r="AL100" s="960">
        <v>1.0</v>
      </c>
      <c r="AM100" s="960">
        <v>0.0</v>
      </c>
    </row>
    <row r="101">
      <c r="A101" s="953" t="s">
        <v>150</v>
      </c>
      <c r="B101" s="952">
        <v>1.0</v>
      </c>
      <c r="C101" s="952">
        <v>0.0</v>
      </c>
      <c r="D101" s="952">
        <v>0.0</v>
      </c>
      <c r="E101" s="960">
        <v>1.0</v>
      </c>
      <c r="F101" s="960">
        <v>18.0</v>
      </c>
      <c r="G101" s="960">
        <v>64.0</v>
      </c>
      <c r="H101" s="960">
        <v>79.0</v>
      </c>
      <c r="I101" s="960">
        <v>-15.0</v>
      </c>
      <c r="J101" s="960">
        <v>1.0</v>
      </c>
      <c r="K101" s="960">
        <v>5.0</v>
      </c>
      <c r="L101" s="960">
        <v>1.0</v>
      </c>
      <c r="M101" s="960">
        <v>1821.0</v>
      </c>
      <c r="N101" s="960">
        <v>2141.0</v>
      </c>
      <c r="O101" s="960">
        <v>23.0</v>
      </c>
      <c r="P101" s="960">
        <v>715.0</v>
      </c>
      <c r="Q101" s="960">
        <v>0.0</v>
      </c>
      <c r="R101" s="960">
        <v>1.0</v>
      </c>
      <c r="S101" s="960">
        <v>0.0</v>
      </c>
      <c r="T101" s="960">
        <v>0.0</v>
      </c>
      <c r="U101" s="960">
        <v>0.0</v>
      </c>
      <c r="V101" s="960">
        <v>0.0</v>
      </c>
      <c r="W101" s="960">
        <v>0.0</v>
      </c>
      <c r="X101" s="960">
        <v>4.0</v>
      </c>
      <c r="Y101" s="960">
        <v>0.0</v>
      </c>
      <c r="Z101" s="960">
        <v>0.0</v>
      </c>
      <c r="AA101" s="960">
        <v>0.0</v>
      </c>
      <c r="AB101" s="960">
        <v>0.0</v>
      </c>
      <c r="AC101" s="960">
        <v>0.0</v>
      </c>
      <c r="AD101" s="960">
        <v>0.0</v>
      </c>
      <c r="AE101" s="960">
        <v>0.0</v>
      </c>
      <c r="AF101" s="960">
        <v>0.0</v>
      </c>
      <c r="AG101" s="960">
        <v>0.0</v>
      </c>
      <c r="AH101" s="960">
        <v>1.0</v>
      </c>
      <c r="AI101" s="960">
        <v>0.0</v>
      </c>
      <c r="AJ101" s="960">
        <v>6.0</v>
      </c>
      <c r="AK101" s="961">
        <v>8.0</v>
      </c>
      <c r="AL101" s="960">
        <v>0.0</v>
      </c>
      <c r="AM101" s="960">
        <v>0.0</v>
      </c>
    </row>
    <row r="102">
      <c r="A102" s="953" t="s">
        <v>156</v>
      </c>
      <c r="B102" s="952">
        <v>1.0</v>
      </c>
      <c r="C102" s="952">
        <v>0.0</v>
      </c>
      <c r="D102" s="952">
        <v>0.0</v>
      </c>
      <c r="E102" s="960">
        <v>0.0</v>
      </c>
      <c r="F102" s="960">
        <v>2.0</v>
      </c>
      <c r="G102" s="960">
        <v>102.0</v>
      </c>
      <c r="H102" s="960">
        <v>115.0</v>
      </c>
      <c r="I102" s="960">
        <v>-13.0</v>
      </c>
      <c r="J102" s="960">
        <v>10.0</v>
      </c>
      <c r="K102" s="960">
        <v>8.0</v>
      </c>
      <c r="L102" s="960">
        <v>4.0</v>
      </c>
      <c r="M102" s="960">
        <v>1718.0</v>
      </c>
      <c r="N102" s="960">
        <v>2141.0</v>
      </c>
      <c r="O102" s="960">
        <v>14.0</v>
      </c>
      <c r="P102" s="960">
        <v>11.0</v>
      </c>
      <c r="Q102" s="960">
        <v>0.0</v>
      </c>
      <c r="R102" s="960">
        <v>1.0</v>
      </c>
      <c r="S102" s="960">
        <v>0.0</v>
      </c>
      <c r="T102" s="960">
        <v>0.0</v>
      </c>
      <c r="U102" s="960">
        <v>0.0</v>
      </c>
      <c r="V102" s="960">
        <v>1.0</v>
      </c>
      <c r="W102" s="960">
        <v>0.0</v>
      </c>
      <c r="X102" s="960">
        <v>9.0</v>
      </c>
      <c r="Y102" s="960">
        <v>1.0</v>
      </c>
      <c r="Z102" s="960">
        <v>1.0</v>
      </c>
      <c r="AA102" s="960">
        <v>0.0</v>
      </c>
      <c r="AB102" s="960">
        <v>0.0</v>
      </c>
      <c r="AC102" s="960">
        <v>0.0</v>
      </c>
      <c r="AD102" s="960">
        <v>0.0</v>
      </c>
      <c r="AE102" s="960">
        <v>0.0</v>
      </c>
      <c r="AF102" s="960">
        <v>0.0</v>
      </c>
      <c r="AG102" s="960">
        <v>0.0</v>
      </c>
      <c r="AH102" s="960">
        <v>4.0</v>
      </c>
      <c r="AI102" s="960">
        <v>0.0</v>
      </c>
      <c r="AJ102" s="960">
        <v>10.0</v>
      </c>
      <c r="AK102" s="961">
        <v>16.0</v>
      </c>
      <c r="AL102" s="960">
        <v>0.0</v>
      </c>
      <c r="AM102" s="960">
        <v>1.0</v>
      </c>
    </row>
    <row r="103">
      <c r="A103" s="953" t="s">
        <v>145</v>
      </c>
      <c r="B103" s="952">
        <v>1.0</v>
      </c>
      <c r="C103" s="952">
        <v>0.0</v>
      </c>
      <c r="D103" s="952">
        <v>0.0</v>
      </c>
      <c r="E103" s="960">
        <v>0.0</v>
      </c>
      <c r="F103" s="960">
        <v>0.0</v>
      </c>
      <c r="G103" s="960">
        <v>138.0</v>
      </c>
      <c r="H103" s="960">
        <v>140.0</v>
      </c>
      <c r="I103" s="960">
        <v>-2.0</v>
      </c>
      <c r="J103" s="960">
        <v>4.0</v>
      </c>
      <c r="K103" s="960">
        <v>5.0</v>
      </c>
      <c r="L103" s="960">
        <v>1.0</v>
      </c>
      <c r="M103" s="960">
        <v>1641.0</v>
      </c>
      <c r="N103" s="960">
        <v>2141.0</v>
      </c>
      <c r="O103" s="960">
        <v>11.0</v>
      </c>
      <c r="P103" s="960">
        <v>8.0</v>
      </c>
      <c r="Q103" s="960">
        <v>0.0</v>
      </c>
      <c r="R103" s="960">
        <v>1.0</v>
      </c>
      <c r="S103" s="960">
        <v>0.0</v>
      </c>
      <c r="T103" s="960">
        <v>0.0</v>
      </c>
      <c r="U103" s="960">
        <v>0.0</v>
      </c>
      <c r="V103" s="960">
        <v>1.0</v>
      </c>
      <c r="W103" s="960">
        <v>0.0</v>
      </c>
      <c r="X103" s="960">
        <v>14.0</v>
      </c>
      <c r="Y103" s="960">
        <v>3.0</v>
      </c>
      <c r="Z103" s="960">
        <v>1.0</v>
      </c>
      <c r="AA103" s="960">
        <v>0.0</v>
      </c>
      <c r="AB103" s="960">
        <v>0.0</v>
      </c>
      <c r="AC103" s="960">
        <v>0.0</v>
      </c>
      <c r="AD103" s="960">
        <v>0.0</v>
      </c>
      <c r="AE103" s="960">
        <v>0.0</v>
      </c>
      <c r="AF103" s="960">
        <v>0.0</v>
      </c>
      <c r="AG103" s="960">
        <v>0.0</v>
      </c>
      <c r="AH103" s="960">
        <v>1.0</v>
      </c>
      <c r="AI103" s="960">
        <v>0.0</v>
      </c>
      <c r="AJ103" s="960">
        <v>15.0</v>
      </c>
      <c r="AK103" s="961">
        <v>12.0</v>
      </c>
      <c r="AL103" s="960">
        <v>0.0</v>
      </c>
      <c r="AM103" s="960">
        <v>1.0</v>
      </c>
    </row>
    <row r="104">
      <c r="A104" s="953" t="s">
        <v>419</v>
      </c>
      <c r="B104" s="952">
        <v>1.0</v>
      </c>
      <c r="C104" s="952">
        <v>0.0</v>
      </c>
      <c r="D104" s="952">
        <v>0.0</v>
      </c>
      <c r="E104" s="960">
        <v>1.0</v>
      </c>
      <c r="F104" s="960">
        <v>0.0</v>
      </c>
      <c r="G104" s="960">
        <v>120.0</v>
      </c>
      <c r="H104" s="960">
        <v>132.0</v>
      </c>
      <c r="I104" s="960">
        <v>-12.0</v>
      </c>
      <c r="J104" s="960">
        <v>3.0</v>
      </c>
      <c r="K104" s="960">
        <v>7.0</v>
      </c>
      <c r="L104" s="960">
        <v>1.0</v>
      </c>
      <c r="M104" s="960">
        <v>1663.0</v>
      </c>
      <c r="N104" s="960">
        <v>2141.0</v>
      </c>
      <c r="O104" s="960">
        <v>12.0</v>
      </c>
      <c r="P104" s="960">
        <v>13.0</v>
      </c>
      <c r="Q104" s="960">
        <v>0.0</v>
      </c>
      <c r="R104" s="960">
        <v>2.0</v>
      </c>
      <c r="S104" s="960">
        <v>0.0</v>
      </c>
      <c r="T104" s="960">
        <v>0.0</v>
      </c>
      <c r="U104" s="960">
        <v>0.0</v>
      </c>
      <c r="V104" s="960">
        <v>2.0</v>
      </c>
      <c r="W104" s="960">
        <v>0.0</v>
      </c>
      <c r="X104" s="960">
        <v>14.0</v>
      </c>
      <c r="Y104" s="960">
        <v>1.0</v>
      </c>
      <c r="Z104" s="960">
        <v>0.0</v>
      </c>
      <c r="AA104" s="960">
        <v>0.0</v>
      </c>
      <c r="AB104" s="960">
        <v>0.0</v>
      </c>
      <c r="AC104" s="960">
        <v>0.0</v>
      </c>
      <c r="AD104" s="960">
        <v>0.0</v>
      </c>
      <c r="AE104" s="960">
        <v>0.0</v>
      </c>
      <c r="AF104" s="960">
        <v>0.0</v>
      </c>
      <c r="AG104" s="960">
        <v>0.0</v>
      </c>
      <c r="AH104" s="960">
        <v>8.0</v>
      </c>
      <c r="AI104" s="960">
        <v>0.0</v>
      </c>
      <c r="AJ104" s="960">
        <v>10.0</v>
      </c>
      <c r="AK104" s="961">
        <v>13.0</v>
      </c>
      <c r="AL104" s="960">
        <v>0.0</v>
      </c>
      <c r="AM104" s="960">
        <v>1.0</v>
      </c>
    </row>
    <row r="105">
      <c r="A105" s="955" t="s">
        <v>123</v>
      </c>
      <c r="B105" s="956">
        <v>1.0</v>
      </c>
      <c r="C105" s="956">
        <v>0.0</v>
      </c>
      <c r="D105" s="956">
        <v>0.0</v>
      </c>
      <c r="E105" s="962">
        <v>2.0</v>
      </c>
      <c r="F105" s="962">
        <v>19.0</v>
      </c>
      <c r="G105" s="962">
        <v>73.0</v>
      </c>
      <c r="H105" s="962">
        <v>70.0</v>
      </c>
      <c r="I105" s="962">
        <v>3.0</v>
      </c>
      <c r="J105" s="962">
        <v>8.0</v>
      </c>
      <c r="K105" s="962">
        <v>9.0</v>
      </c>
      <c r="L105" s="962">
        <v>5.0</v>
      </c>
      <c r="M105" s="962">
        <v>1849.0</v>
      </c>
      <c r="N105" s="962">
        <v>2141.0</v>
      </c>
      <c r="O105" s="962">
        <v>26.0</v>
      </c>
      <c r="P105" s="962">
        <v>862.0</v>
      </c>
      <c r="Q105" s="962">
        <v>0.0</v>
      </c>
      <c r="R105" s="962">
        <v>2.0</v>
      </c>
      <c r="S105" s="962">
        <v>0.0</v>
      </c>
      <c r="T105" s="962">
        <v>0.0</v>
      </c>
      <c r="U105" s="962">
        <v>0.0</v>
      </c>
      <c r="V105" s="962">
        <v>1.0</v>
      </c>
      <c r="W105" s="962">
        <v>0.0</v>
      </c>
      <c r="X105" s="962">
        <v>9.0</v>
      </c>
      <c r="Y105" s="962">
        <v>2.0</v>
      </c>
      <c r="Z105" s="962">
        <v>1.0</v>
      </c>
      <c r="AA105" s="962">
        <v>0.0</v>
      </c>
      <c r="AB105" s="962">
        <v>0.0</v>
      </c>
      <c r="AC105" s="962">
        <v>0.0</v>
      </c>
      <c r="AD105" s="962">
        <v>0.0</v>
      </c>
      <c r="AE105" s="962">
        <v>0.0</v>
      </c>
      <c r="AF105" s="962">
        <v>0.0</v>
      </c>
      <c r="AG105" s="962">
        <v>0.0</v>
      </c>
      <c r="AH105" s="962">
        <v>0.0</v>
      </c>
      <c r="AI105" s="962">
        <v>0.0</v>
      </c>
      <c r="AJ105" s="962">
        <v>11.0</v>
      </c>
      <c r="AK105" s="963">
        <v>9.0</v>
      </c>
      <c r="AL105" s="960">
        <v>2.0</v>
      </c>
      <c r="AM105" s="960">
        <v>1.0</v>
      </c>
    </row>
    <row r="106">
      <c r="A106" s="946" t="s">
        <v>156</v>
      </c>
      <c r="B106" s="939">
        <v>1.0</v>
      </c>
      <c r="C106" s="939">
        <v>0.0</v>
      </c>
      <c r="D106" s="939">
        <v>1.0</v>
      </c>
      <c r="E106" s="939">
        <v>0.0</v>
      </c>
      <c r="F106" s="939">
        <v>0.0</v>
      </c>
      <c r="G106" s="939">
        <v>46.0</v>
      </c>
      <c r="H106" s="939">
        <v>52.0</v>
      </c>
      <c r="I106" s="939">
        <v>-6.0</v>
      </c>
      <c r="J106" s="939">
        <v>4.0</v>
      </c>
      <c r="K106" s="939">
        <v>3.0</v>
      </c>
      <c r="L106" s="939">
        <v>0.0</v>
      </c>
      <c r="M106" s="939">
        <v>574.0</v>
      </c>
      <c r="N106" s="939">
        <v>787.0</v>
      </c>
      <c r="O106" s="939">
        <v>11.0</v>
      </c>
      <c r="P106" s="939">
        <v>10.0</v>
      </c>
      <c r="Q106" s="939">
        <v>0.0</v>
      </c>
      <c r="R106" s="939">
        <v>0.0</v>
      </c>
      <c r="S106" s="939">
        <v>0.0</v>
      </c>
      <c r="T106" s="939">
        <v>0.0</v>
      </c>
      <c r="U106" s="939">
        <v>0.0</v>
      </c>
      <c r="V106" s="939">
        <v>0.0</v>
      </c>
      <c r="W106" s="939">
        <v>0.0</v>
      </c>
      <c r="X106" s="939">
        <v>4.0</v>
      </c>
      <c r="Y106" s="939">
        <v>0.0</v>
      </c>
      <c r="Z106" s="939">
        <v>0.0</v>
      </c>
      <c r="AA106" s="939">
        <v>0.0</v>
      </c>
      <c r="AB106" s="939">
        <v>0.0</v>
      </c>
      <c r="AC106" s="939">
        <v>0.0</v>
      </c>
      <c r="AD106" s="939">
        <v>0.0</v>
      </c>
      <c r="AE106" s="939">
        <v>0.0</v>
      </c>
      <c r="AF106" s="939">
        <v>0.0</v>
      </c>
      <c r="AG106" s="939">
        <v>0.0</v>
      </c>
      <c r="AH106" s="939">
        <v>2.0</v>
      </c>
      <c r="AI106" s="939">
        <v>0.0</v>
      </c>
      <c r="AJ106" s="939">
        <v>4.0</v>
      </c>
      <c r="AK106" s="940">
        <v>4.0</v>
      </c>
      <c r="AL106" s="941">
        <v>0.0</v>
      </c>
      <c r="AM106" s="941">
        <v>1.0</v>
      </c>
    </row>
    <row r="107">
      <c r="A107" s="935" t="s">
        <v>145</v>
      </c>
      <c r="B107" s="941">
        <v>1.0</v>
      </c>
      <c r="C107" s="941">
        <v>0.0</v>
      </c>
      <c r="D107" s="941">
        <v>1.0</v>
      </c>
      <c r="E107" s="941">
        <v>0.0</v>
      </c>
      <c r="F107" s="941">
        <v>0.0</v>
      </c>
      <c r="G107" s="941">
        <v>61.0</v>
      </c>
      <c r="H107" s="941">
        <v>56.0</v>
      </c>
      <c r="I107" s="941">
        <v>5.0</v>
      </c>
      <c r="J107" s="941">
        <v>0.0</v>
      </c>
      <c r="K107" s="941">
        <v>5.0</v>
      </c>
      <c r="L107" s="941">
        <v>0.0</v>
      </c>
      <c r="M107" s="941">
        <v>563.0</v>
      </c>
      <c r="N107" s="941">
        <v>787.0</v>
      </c>
      <c r="O107" s="941">
        <v>10.0</v>
      </c>
      <c r="P107" s="941">
        <v>14.0</v>
      </c>
      <c r="Q107" s="941">
        <v>0.0</v>
      </c>
      <c r="R107" s="941">
        <v>1.0</v>
      </c>
      <c r="S107" s="941">
        <v>0.0</v>
      </c>
      <c r="T107" s="941">
        <v>0.0</v>
      </c>
      <c r="U107" s="941">
        <v>0.0</v>
      </c>
      <c r="V107" s="941">
        <v>1.0</v>
      </c>
      <c r="W107" s="941">
        <v>0.0</v>
      </c>
      <c r="X107" s="941">
        <v>10.0</v>
      </c>
      <c r="Y107" s="941">
        <v>3.0</v>
      </c>
      <c r="Z107" s="941">
        <v>1.0</v>
      </c>
      <c r="AA107" s="941">
        <v>1.0</v>
      </c>
      <c r="AB107" s="941">
        <v>0.0</v>
      </c>
      <c r="AC107" s="941">
        <v>0.0</v>
      </c>
      <c r="AD107" s="941">
        <v>0.0</v>
      </c>
      <c r="AE107" s="941">
        <v>0.0</v>
      </c>
      <c r="AF107" s="941">
        <v>0.0</v>
      </c>
      <c r="AG107" s="941">
        <v>0.0</v>
      </c>
      <c r="AH107" s="941">
        <v>1.0</v>
      </c>
      <c r="AI107" s="941">
        <v>0.0</v>
      </c>
      <c r="AJ107" s="941">
        <v>5.0</v>
      </c>
      <c r="AK107" s="942">
        <v>5.0</v>
      </c>
      <c r="AL107" s="941">
        <v>1.0</v>
      </c>
      <c r="AM107" s="941">
        <v>1.0</v>
      </c>
    </row>
    <row r="108">
      <c r="A108" s="935" t="s">
        <v>123</v>
      </c>
      <c r="B108" s="941">
        <v>1.0</v>
      </c>
      <c r="C108" s="941">
        <v>0.0</v>
      </c>
      <c r="D108" s="941">
        <v>1.0</v>
      </c>
      <c r="E108" s="941">
        <v>0.0</v>
      </c>
      <c r="F108" s="941">
        <v>11.0</v>
      </c>
      <c r="G108" s="941">
        <v>24.0</v>
      </c>
      <c r="H108" s="941">
        <v>19.0</v>
      </c>
      <c r="I108" s="941">
        <v>5.0</v>
      </c>
      <c r="J108" s="941">
        <v>1.0</v>
      </c>
      <c r="K108" s="941">
        <v>7.0</v>
      </c>
      <c r="L108" s="941">
        <v>1.0</v>
      </c>
      <c r="M108" s="941">
        <v>674.0</v>
      </c>
      <c r="N108" s="941">
        <v>787.0</v>
      </c>
      <c r="O108" s="941">
        <v>35.0</v>
      </c>
      <c r="P108" s="941">
        <v>492.0</v>
      </c>
      <c r="Q108" s="941">
        <v>0.0</v>
      </c>
      <c r="R108" s="941">
        <v>2.0</v>
      </c>
      <c r="S108" s="941">
        <v>0.0</v>
      </c>
      <c r="T108" s="941">
        <v>0.0</v>
      </c>
      <c r="U108" s="941">
        <v>0.0</v>
      </c>
      <c r="V108" s="941">
        <v>0.0</v>
      </c>
      <c r="W108" s="941">
        <v>0.0</v>
      </c>
      <c r="X108" s="941">
        <v>4.0</v>
      </c>
      <c r="Y108" s="941">
        <v>0.0</v>
      </c>
      <c r="Z108" s="941">
        <v>0.0</v>
      </c>
      <c r="AA108" s="941">
        <v>0.0</v>
      </c>
      <c r="AB108" s="941">
        <v>0.0</v>
      </c>
      <c r="AC108" s="941">
        <v>0.0</v>
      </c>
      <c r="AD108" s="941">
        <v>0.0</v>
      </c>
      <c r="AE108" s="941">
        <v>0.0</v>
      </c>
      <c r="AF108" s="941">
        <v>0.0</v>
      </c>
      <c r="AG108" s="941">
        <v>0.0</v>
      </c>
      <c r="AH108" s="941">
        <v>0.0</v>
      </c>
      <c r="AI108" s="941">
        <v>0.0</v>
      </c>
      <c r="AJ108" s="941">
        <v>8.0</v>
      </c>
      <c r="AK108" s="942">
        <v>2.0</v>
      </c>
      <c r="AL108" s="941">
        <v>0.0</v>
      </c>
      <c r="AM108" s="941">
        <v>1.0</v>
      </c>
    </row>
    <row r="109">
      <c r="A109" s="935" t="s">
        <v>419</v>
      </c>
      <c r="B109" s="941">
        <v>1.0</v>
      </c>
      <c r="C109" s="941">
        <v>0.0</v>
      </c>
      <c r="D109" s="941">
        <v>1.0</v>
      </c>
      <c r="E109" s="941">
        <v>1.0</v>
      </c>
      <c r="F109" s="941">
        <v>0.0</v>
      </c>
      <c r="G109" s="941">
        <v>48.0</v>
      </c>
      <c r="H109" s="941">
        <v>55.0</v>
      </c>
      <c r="I109" s="941">
        <v>-7.0</v>
      </c>
      <c r="J109" s="941">
        <v>1.0</v>
      </c>
      <c r="K109" s="941">
        <v>4.0</v>
      </c>
      <c r="L109" s="941">
        <v>0.0</v>
      </c>
      <c r="M109" s="941">
        <v>565.0</v>
      </c>
      <c r="N109" s="941">
        <v>787.0</v>
      </c>
      <c r="O109" s="941">
        <v>10.0</v>
      </c>
      <c r="P109" s="941">
        <v>25.0</v>
      </c>
      <c r="Q109" s="941">
        <v>0.0</v>
      </c>
      <c r="R109" s="941">
        <v>0.0</v>
      </c>
      <c r="S109" s="941">
        <v>0.0</v>
      </c>
      <c r="T109" s="941">
        <v>0.0</v>
      </c>
      <c r="U109" s="941">
        <v>0.0</v>
      </c>
      <c r="V109" s="941">
        <v>0.0</v>
      </c>
      <c r="W109" s="941">
        <v>0.0</v>
      </c>
      <c r="X109" s="941">
        <v>9.0</v>
      </c>
      <c r="Y109" s="941">
        <v>0.0</v>
      </c>
      <c r="Z109" s="941">
        <v>0.0</v>
      </c>
      <c r="AA109" s="941">
        <v>0.0</v>
      </c>
      <c r="AB109" s="941">
        <v>0.0</v>
      </c>
      <c r="AC109" s="941">
        <v>0.0</v>
      </c>
      <c r="AD109" s="941">
        <v>0.0</v>
      </c>
      <c r="AE109" s="941">
        <v>0.0</v>
      </c>
      <c r="AF109" s="941">
        <v>0.0</v>
      </c>
      <c r="AG109" s="941">
        <v>0.0</v>
      </c>
      <c r="AH109" s="941">
        <v>2.0</v>
      </c>
      <c r="AI109" s="941">
        <v>0.0</v>
      </c>
      <c r="AJ109" s="941">
        <v>0.0</v>
      </c>
      <c r="AK109" s="942">
        <v>11.0</v>
      </c>
      <c r="AL109" s="941">
        <v>1.0</v>
      </c>
      <c r="AM109" s="941">
        <v>1.0</v>
      </c>
    </row>
    <row r="110">
      <c r="A110" s="935" t="s">
        <v>117</v>
      </c>
      <c r="B110" s="941">
        <v>1.0</v>
      </c>
      <c r="C110" s="941">
        <v>1.0</v>
      </c>
      <c r="D110" s="941">
        <v>0.0</v>
      </c>
      <c r="E110" s="941">
        <v>0.0</v>
      </c>
      <c r="F110" s="941">
        <v>0.0</v>
      </c>
      <c r="G110" s="941">
        <v>37.0</v>
      </c>
      <c r="H110" s="941">
        <v>52.0</v>
      </c>
      <c r="I110" s="941">
        <v>-15.0</v>
      </c>
      <c r="J110" s="941">
        <v>3.0</v>
      </c>
      <c r="K110" s="941">
        <v>6.0</v>
      </c>
      <c r="L110" s="941">
        <v>1.0</v>
      </c>
      <c r="M110" s="941">
        <v>575.0</v>
      </c>
      <c r="N110" s="941">
        <v>787.0</v>
      </c>
      <c r="O110" s="941">
        <v>11.0</v>
      </c>
      <c r="P110" s="941">
        <v>8.0</v>
      </c>
      <c r="Q110" s="941">
        <v>0.0</v>
      </c>
      <c r="R110" s="941">
        <v>1.0</v>
      </c>
      <c r="S110" s="941">
        <v>0.0</v>
      </c>
      <c r="T110" s="941">
        <v>0.0</v>
      </c>
      <c r="U110" s="941">
        <v>0.0</v>
      </c>
      <c r="V110" s="941">
        <v>1.0</v>
      </c>
      <c r="W110" s="941">
        <v>0.0</v>
      </c>
      <c r="X110" s="941">
        <v>4.0</v>
      </c>
      <c r="Y110" s="941">
        <v>1.0</v>
      </c>
      <c r="Z110" s="941">
        <v>1.0</v>
      </c>
      <c r="AA110" s="941">
        <v>0.0</v>
      </c>
      <c r="AB110" s="941">
        <v>0.0</v>
      </c>
      <c r="AC110" s="941">
        <v>0.0</v>
      </c>
      <c r="AD110" s="941">
        <v>0.0</v>
      </c>
      <c r="AE110" s="941">
        <v>0.0</v>
      </c>
      <c r="AF110" s="941">
        <v>0.0</v>
      </c>
      <c r="AG110" s="941">
        <v>0.0</v>
      </c>
      <c r="AH110" s="941">
        <v>5.0</v>
      </c>
      <c r="AI110" s="941">
        <v>0.0</v>
      </c>
      <c r="AJ110" s="941">
        <v>4.0</v>
      </c>
      <c r="AK110" s="942">
        <v>5.0</v>
      </c>
      <c r="AL110" s="941">
        <v>1.0</v>
      </c>
      <c r="AM110" s="941">
        <v>0.0</v>
      </c>
    </row>
    <row r="111">
      <c r="A111" s="935" t="s">
        <v>139</v>
      </c>
      <c r="B111" s="941">
        <v>1.0</v>
      </c>
      <c r="C111" s="941">
        <v>1.0</v>
      </c>
      <c r="D111" s="941">
        <v>0.0</v>
      </c>
      <c r="E111" s="941">
        <v>0.0</v>
      </c>
      <c r="F111" s="941">
        <v>0.0</v>
      </c>
      <c r="G111" s="941">
        <v>48.0</v>
      </c>
      <c r="H111" s="941">
        <v>53.0</v>
      </c>
      <c r="I111" s="941">
        <v>-5.0</v>
      </c>
      <c r="J111" s="941">
        <v>5.0</v>
      </c>
      <c r="K111" s="941">
        <v>3.0</v>
      </c>
      <c r="L111" s="941">
        <v>3.0</v>
      </c>
      <c r="M111" s="941">
        <v>564.0</v>
      </c>
      <c r="N111" s="941">
        <v>787.0</v>
      </c>
      <c r="O111" s="941">
        <v>10.0</v>
      </c>
      <c r="P111" s="941">
        <v>1.0</v>
      </c>
      <c r="Q111" s="941">
        <v>0.0</v>
      </c>
      <c r="R111" s="941">
        <v>0.0</v>
      </c>
      <c r="S111" s="941">
        <v>0.0</v>
      </c>
      <c r="T111" s="941">
        <v>0.0</v>
      </c>
      <c r="U111" s="941">
        <v>0.0</v>
      </c>
      <c r="V111" s="941">
        <v>0.0</v>
      </c>
      <c r="W111" s="941">
        <v>0.0</v>
      </c>
      <c r="X111" s="941">
        <v>6.0</v>
      </c>
      <c r="Y111" s="941">
        <v>1.0</v>
      </c>
      <c r="Z111" s="941">
        <v>0.0</v>
      </c>
      <c r="AA111" s="941">
        <v>0.0</v>
      </c>
      <c r="AB111" s="941">
        <v>0.0</v>
      </c>
      <c r="AC111" s="941">
        <v>0.0</v>
      </c>
      <c r="AD111" s="941">
        <v>0.0</v>
      </c>
      <c r="AE111" s="941">
        <v>0.0</v>
      </c>
      <c r="AF111" s="941">
        <v>0.0</v>
      </c>
      <c r="AG111" s="941">
        <v>0.0</v>
      </c>
      <c r="AH111" s="941">
        <v>3.0</v>
      </c>
      <c r="AI111" s="941">
        <v>0.0</v>
      </c>
      <c r="AJ111" s="941">
        <v>0.0</v>
      </c>
      <c r="AK111" s="942">
        <v>8.0</v>
      </c>
      <c r="AL111" s="941">
        <v>0.0</v>
      </c>
      <c r="AM111" s="941">
        <v>0.0</v>
      </c>
    </row>
    <row r="112">
      <c r="A112" s="935" t="s">
        <v>128</v>
      </c>
      <c r="B112" s="941">
        <v>1.0</v>
      </c>
      <c r="C112" s="941">
        <v>1.0</v>
      </c>
      <c r="D112" s="941">
        <v>0.0</v>
      </c>
      <c r="E112" s="941">
        <v>0.0</v>
      </c>
      <c r="F112" s="941">
        <v>0.0</v>
      </c>
      <c r="G112" s="941">
        <v>51.0</v>
      </c>
      <c r="H112" s="941">
        <v>44.0</v>
      </c>
      <c r="I112" s="941">
        <v>7.0</v>
      </c>
      <c r="J112" s="941">
        <v>5.0</v>
      </c>
      <c r="K112" s="941">
        <v>4.0</v>
      </c>
      <c r="L112" s="941">
        <v>1.0</v>
      </c>
      <c r="M112" s="941">
        <v>600.0</v>
      </c>
      <c r="N112" s="941">
        <v>787.0</v>
      </c>
      <c r="O112" s="941">
        <v>13.0</v>
      </c>
      <c r="P112" s="941">
        <v>1.0</v>
      </c>
      <c r="Q112" s="941">
        <v>0.0</v>
      </c>
      <c r="R112" s="941">
        <v>0.0</v>
      </c>
      <c r="S112" s="941">
        <v>0.0</v>
      </c>
      <c r="T112" s="941">
        <v>0.0</v>
      </c>
      <c r="U112" s="941">
        <v>0.0</v>
      </c>
      <c r="V112" s="941">
        <v>0.0</v>
      </c>
      <c r="W112" s="941">
        <v>0.0</v>
      </c>
      <c r="X112" s="941">
        <v>7.0</v>
      </c>
      <c r="Y112" s="941">
        <v>2.0</v>
      </c>
      <c r="Z112" s="941">
        <v>0.0</v>
      </c>
      <c r="AA112" s="941">
        <v>0.0</v>
      </c>
      <c r="AB112" s="941">
        <v>0.0</v>
      </c>
      <c r="AC112" s="941">
        <v>0.0</v>
      </c>
      <c r="AD112" s="941">
        <v>0.0</v>
      </c>
      <c r="AE112" s="941">
        <v>0.0</v>
      </c>
      <c r="AF112" s="941">
        <v>0.0</v>
      </c>
      <c r="AG112" s="941">
        <v>0.0</v>
      </c>
      <c r="AH112" s="941">
        <v>4.0</v>
      </c>
      <c r="AI112" s="941">
        <v>0.0</v>
      </c>
      <c r="AJ112" s="941">
        <v>8.0</v>
      </c>
      <c r="AK112" s="942">
        <v>4.0</v>
      </c>
      <c r="AL112" s="941">
        <v>0.0</v>
      </c>
      <c r="AM112" s="941">
        <v>0.0</v>
      </c>
    </row>
    <row r="113">
      <c r="A113" s="943" t="s">
        <v>150</v>
      </c>
      <c r="B113" s="944">
        <v>1.0</v>
      </c>
      <c r="C113" s="944">
        <v>1.0</v>
      </c>
      <c r="D113" s="944">
        <v>0.0</v>
      </c>
      <c r="E113" s="944">
        <v>3.0</v>
      </c>
      <c r="F113" s="944">
        <v>5.0</v>
      </c>
      <c r="G113" s="944">
        <v>38.0</v>
      </c>
      <c r="H113" s="944">
        <v>41.0</v>
      </c>
      <c r="I113" s="944">
        <v>-3.0</v>
      </c>
      <c r="J113" s="944">
        <v>1.0</v>
      </c>
      <c r="K113" s="944">
        <v>4.0</v>
      </c>
      <c r="L113" s="944">
        <v>0.0</v>
      </c>
      <c r="M113" s="944">
        <v>613.0</v>
      </c>
      <c r="N113" s="944">
        <v>787.0</v>
      </c>
      <c r="O113" s="944">
        <v>14.0</v>
      </c>
      <c r="P113" s="944">
        <v>119.0</v>
      </c>
      <c r="Q113" s="944">
        <v>0.0</v>
      </c>
      <c r="R113" s="944">
        <v>0.0</v>
      </c>
      <c r="S113" s="944">
        <v>0.0</v>
      </c>
      <c r="T113" s="944">
        <v>0.0</v>
      </c>
      <c r="U113" s="944">
        <v>0.0</v>
      </c>
      <c r="V113" s="944">
        <v>0.0</v>
      </c>
      <c r="W113" s="944">
        <v>0.0</v>
      </c>
      <c r="X113" s="944">
        <v>5.0</v>
      </c>
      <c r="Y113" s="944">
        <v>1.0</v>
      </c>
      <c r="Z113" s="944">
        <v>0.0</v>
      </c>
      <c r="AA113" s="944">
        <v>0.0</v>
      </c>
      <c r="AB113" s="944">
        <v>0.0</v>
      </c>
      <c r="AC113" s="944">
        <v>0.0</v>
      </c>
      <c r="AD113" s="944">
        <v>0.0</v>
      </c>
      <c r="AE113" s="944">
        <v>0.0</v>
      </c>
      <c r="AF113" s="944">
        <v>0.0</v>
      </c>
      <c r="AG113" s="944">
        <v>0.0</v>
      </c>
      <c r="AH113" s="944">
        <v>3.0</v>
      </c>
      <c r="AI113" s="944">
        <v>0.0</v>
      </c>
      <c r="AJ113" s="944">
        <v>6.0</v>
      </c>
      <c r="AK113" s="945">
        <v>2.0</v>
      </c>
      <c r="AL113" s="941">
        <v>1.0</v>
      </c>
      <c r="AM113" s="941">
        <v>0.0</v>
      </c>
    </row>
    <row r="114">
      <c r="A114" s="946" t="s">
        <v>115</v>
      </c>
      <c r="B114" s="939">
        <v>1.0</v>
      </c>
      <c r="C114" s="939">
        <v>0.0</v>
      </c>
      <c r="D114" s="939">
        <v>1.0</v>
      </c>
      <c r="E114" s="939">
        <v>0.0</v>
      </c>
      <c r="F114" s="939">
        <v>0.0</v>
      </c>
      <c r="G114" s="939">
        <v>67.0</v>
      </c>
      <c r="H114" s="939">
        <v>105.0</v>
      </c>
      <c r="I114" s="939">
        <v>-38.0</v>
      </c>
      <c r="J114" s="939">
        <v>11.0</v>
      </c>
      <c r="K114" s="939">
        <v>4.0</v>
      </c>
      <c r="L114" s="939">
        <v>1.0</v>
      </c>
      <c r="M114" s="939">
        <v>1254.0</v>
      </c>
      <c r="N114" s="939">
        <v>1677.0</v>
      </c>
      <c r="O114" s="939">
        <v>11.0</v>
      </c>
      <c r="P114" s="939">
        <v>7.0</v>
      </c>
      <c r="Q114" s="939">
        <v>0.0</v>
      </c>
      <c r="R114" s="939">
        <v>0.0</v>
      </c>
      <c r="S114" s="939">
        <v>0.0</v>
      </c>
      <c r="T114" s="939">
        <v>0.0</v>
      </c>
      <c r="U114" s="939">
        <v>0.0</v>
      </c>
      <c r="V114" s="939">
        <v>0.0</v>
      </c>
      <c r="W114" s="939">
        <v>0.0</v>
      </c>
      <c r="X114" s="939">
        <v>9.0</v>
      </c>
      <c r="Y114" s="939">
        <v>2.0</v>
      </c>
      <c r="Z114" s="939">
        <v>0.0</v>
      </c>
      <c r="AA114" s="939">
        <v>0.0</v>
      </c>
      <c r="AB114" s="939">
        <v>0.0</v>
      </c>
      <c r="AC114" s="939">
        <v>0.0</v>
      </c>
      <c r="AD114" s="939">
        <v>0.0</v>
      </c>
      <c r="AE114" s="939">
        <v>0.0</v>
      </c>
      <c r="AF114" s="939">
        <v>0.0</v>
      </c>
      <c r="AG114" s="939">
        <v>0.0</v>
      </c>
      <c r="AH114" s="939">
        <v>0.0</v>
      </c>
      <c r="AI114" s="895">
        <v>0.0</v>
      </c>
      <c r="AJ114" s="895">
        <v>11.0</v>
      </c>
      <c r="AK114" s="947">
        <v>7.0</v>
      </c>
      <c r="AL114" s="941">
        <v>1.0</v>
      </c>
      <c r="AM114" s="941">
        <v>1.0</v>
      </c>
    </row>
    <row r="115">
      <c r="A115" s="935" t="s">
        <v>418</v>
      </c>
      <c r="B115" s="941">
        <v>1.0</v>
      </c>
      <c r="C115" s="941">
        <v>0.0</v>
      </c>
      <c r="D115" s="941">
        <v>1.0</v>
      </c>
      <c r="E115" s="941">
        <v>0.0</v>
      </c>
      <c r="F115" s="941">
        <v>1.0</v>
      </c>
      <c r="G115" s="941">
        <v>96.0</v>
      </c>
      <c r="H115" s="941">
        <v>98.0</v>
      </c>
      <c r="I115" s="941">
        <v>-2.0</v>
      </c>
      <c r="J115" s="941">
        <v>2.0</v>
      </c>
      <c r="K115" s="941">
        <v>5.0</v>
      </c>
      <c r="L115" s="941">
        <v>1.0</v>
      </c>
      <c r="M115" s="941">
        <v>1273.0</v>
      </c>
      <c r="N115" s="941">
        <v>1677.0</v>
      </c>
      <c r="O115" s="941">
        <v>12.0</v>
      </c>
      <c r="P115" s="941">
        <v>2.0</v>
      </c>
      <c r="Q115" s="941">
        <v>0.0</v>
      </c>
      <c r="R115" s="941">
        <v>2.0</v>
      </c>
      <c r="S115" s="941">
        <v>0.0</v>
      </c>
      <c r="T115" s="941">
        <v>0.0</v>
      </c>
      <c r="U115" s="941">
        <v>0.0</v>
      </c>
      <c r="V115" s="941">
        <v>1.0</v>
      </c>
      <c r="W115" s="941">
        <v>0.0</v>
      </c>
      <c r="X115" s="941">
        <v>15.0</v>
      </c>
      <c r="Y115" s="941">
        <v>0.0</v>
      </c>
      <c r="Z115" s="941">
        <v>0.0</v>
      </c>
      <c r="AA115" s="941">
        <v>0.0</v>
      </c>
      <c r="AB115" s="941">
        <v>0.0</v>
      </c>
      <c r="AC115" s="941">
        <v>0.0</v>
      </c>
      <c r="AD115" s="941">
        <v>0.0</v>
      </c>
      <c r="AE115" s="941">
        <v>0.0</v>
      </c>
      <c r="AF115" s="941">
        <v>0.0</v>
      </c>
      <c r="AG115" s="941">
        <v>0.0</v>
      </c>
      <c r="AH115" s="941">
        <v>3.0</v>
      </c>
      <c r="AI115" s="941">
        <v>0.0</v>
      </c>
      <c r="AJ115" s="941">
        <v>13.0</v>
      </c>
      <c r="AK115" s="942">
        <v>17.0</v>
      </c>
      <c r="AL115" s="941">
        <v>0.0</v>
      </c>
      <c r="AM115" s="941">
        <v>1.0</v>
      </c>
    </row>
    <row r="116">
      <c r="A116" s="935" t="s">
        <v>137</v>
      </c>
      <c r="B116" s="941">
        <v>1.0</v>
      </c>
      <c r="C116" s="941">
        <v>0.0</v>
      </c>
      <c r="D116" s="941">
        <v>1.0</v>
      </c>
      <c r="E116" s="941">
        <v>0.0</v>
      </c>
      <c r="F116" s="941">
        <v>0.0</v>
      </c>
      <c r="G116" s="941">
        <v>83.0</v>
      </c>
      <c r="H116" s="941">
        <v>119.0</v>
      </c>
      <c r="I116" s="941">
        <v>-36.0</v>
      </c>
      <c r="J116" s="941">
        <v>8.0</v>
      </c>
      <c r="K116" s="941">
        <v>4.0</v>
      </c>
      <c r="L116" s="941">
        <v>1.0</v>
      </c>
      <c r="M116" s="941">
        <v>1214.0</v>
      </c>
      <c r="N116" s="941">
        <v>1677.0</v>
      </c>
      <c r="O116" s="941">
        <v>10.0</v>
      </c>
      <c r="P116" s="941">
        <v>9.0</v>
      </c>
      <c r="Q116" s="941">
        <v>0.0</v>
      </c>
      <c r="R116" s="941">
        <v>0.0</v>
      </c>
      <c r="S116" s="941">
        <v>0.0</v>
      </c>
      <c r="T116" s="941">
        <v>0.0</v>
      </c>
      <c r="U116" s="941">
        <v>0.0</v>
      </c>
      <c r="V116" s="941">
        <v>0.0</v>
      </c>
      <c r="W116" s="941">
        <v>0.0</v>
      </c>
      <c r="X116" s="941">
        <v>8.0</v>
      </c>
      <c r="Y116" s="941">
        <v>1.0</v>
      </c>
      <c r="Z116" s="941">
        <v>1.0</v>
      </c>
      <c r="AA116" s="941">
        <v>0.0</v>
      </c>
      <c r="AB116" s="941">
        <v>0.0</v>
      </c>
      <c r="AC116" s="941">
        <v>0.0</v>
      </c>
      <c r="AD116" s="941">
        <v>0.0</v>
      </c>
      <c r="AE116" s="941">
        <v>0.0</v>
      </c>
      <c r="AF116" s="941">
        <v>0.0</v>
      </c>
      <c r="AG116" s="941">
        <v>0.0</v>
      </c>
      <c r="AH116" s="941">
        <v>3.0</v>
      </c>
      <c r="AI116" s="941">
        <v>0.0</v>
      </c>
      <c r="AJ116" s="941">
        <v>5.0</v>
      </c>
      <c r="AK116" s="942">
        <v>12.0</v>
      </c>
      <c r="AL116" s="941">
        <v>1.0</v>
      </c>
      <c r="AM116" s="941">
        <v>1.0</v>
      </c>
    </row>
    <row r="117">
      <c r="A117" s="935" t="s">
        <v>420</v>
      </c>
      <c r="B117" s="941">
        <v>1.0</v>
      </c>
      <c r="C117" s="941">
        <v>0.0</v>
      </c>
      <c r="D117" s="941">
        <v>1.0</v>
      </c>
      <c r="E117" s="941">
        <v>3.0</v>
      </c>
      <c r="F117" s="941">
        <v>10.0</v>
      </c>
      <c r="G117" s="941">
        <v>66.0</v>
      </c>
      <c r="H117" s="941">
        <v>61.0</v>
      </c>
      <c r="I117" s="941">
        <v>5.0</v>
      </c>
      <c r="J117" s="941">
        <v>4.0</v>
      </c>
      <c r="K117" s="941">
        <v>4.0</v>
      </c>
      <c r="L117" s="941">
        <v>3.0</v>
      </c>
      <c r="M117" s="941">
        <v>1391.0</v>
      </c>
      <c r="N117" s="941">
        <v>1677.0</v>
      </c>
      <c r="O117" s="941">
        <v>22.0</v>
      </c>
      <c r="P117" s="941">
        <v>600.0</v>
      </c>
      <c r="Q117" s="941">
        <v>0.0</v>
      </c>
      <c r="R117" s="941">
        <v>0.0</v>
      </c>
      <c r="S117" s="941">
        <v>0.0</v>
      </c>
      <c r="T117" s="941">
        <v>0.0</v>
      </c>
      <c r="U117" s="941">
        <v>0.0</v>
      </c>
      <c r="V117" s="941">
        <v>0.0</v>
      </c>
      <c r="W117" s="941">
        <v>0.0</v>
      </c>
      <c r="X117" s="941">
        <v>8.0</v>
      </c>
      <c r="Y117" s="941">
        <v>0.0</v>
      </c>
      <c r="Z117" s="941">
        <v>0.0</v>
      </c>
      <c r="AA117" s="941">
        <v>0.0</v>
      </c>
      <c r="AB117" s="941">
        <v>0.0</v>
      </c>
      <c r="AC117" s="941">
        <v>0.0</v>
      </c>
      <c r="AD117" s="941">
        <v>0.0</v>
      </c>
      <c r="AE117" s="941">
        <v>0.0</v>
      </c>
      <c r="AF117" s="941">
        <v>0.0</v>
      </c>
      <c r="AG117" s="941">
        <v>0.0</v>
      </c>
      <c r="AH117" s="941">
        <v>0.0</v>
      </c>
      <c r="AI117" s="941">
        <v>0.0</v>
      </c>
      <c r="AJ117" s="941">
        <v>13.0</v>
      </c>
      <c r="AK117" s="942">
        <v>8.0</v>
      </c>
      <c r="AL117" s="941">
        <v>2.0</v>
      </c>
      <c r="AM117" s="941">
        <v>1.0</v>
      </c>
    </row>
    <row r="118">
      <c r="A118" s="935" t="s">
        <v>151</v>
      </c>
      <c r="B118" s="941">
        <v>1.0</v>
      </c>
      <c r="C118" s="941">
        <v>1.0</v>
      </c>
      <c r="D118" s="941">
        <v>0.0</v>
      </c>
      <c r="E118" s="941">
        <v>1.0</v>
      </c>
      <c r="F118" s="941">
        <v>0.0</v>
      </c>
      <c r="G118" s="941">
        <v>100.0</v>
      </c>
      <c r="H118" s="941">
        <v>96.0</v>
      </c>
      <c r="I118" s="941">
        <v>4.0</v>
      </c>
      <c r="J118" s="941">
        <v>10.0</v>
      </c>
      <c r="K118" s="941">
        <v>7.0</v>
      </c>
      <c r="L118" s="941">
        <v>2.0</v>
      </c>
      <c r="M118" s="941">
        <v>1282.0</v>
      </c>
      <c r="N118" s="941">
        <v>1677.0</v>
      </c>
      <c r="O118" s="941">
        <v>13.0</v>
      </c>
      <c r="P118" s="941">
        <v>4.0</v>
      </c>
      <c r="Q118" s="941">
        <v>0.0</v>
      </c>
      <c r="R118" s="941">
        <v>2.0</v>
      </c>
      <c r="S118" s="941">
        <v>0.0</v>
      </c>
      <c r="T118" s="941">
        <v>0.0</v>
      </c>
      <c r="U118" s="941">
        <v>0.0</v>
      </c>
      <c r="V118" s="941">
        <v>2.0</v>
      </c>
      <c r="W118" s="941">
        <v>0.0</v>
      </c>
      <c r="X118" s="941">
        <v>18.0</v>
      </c>
      <c r="Y118" s="941">
        <v>5.0</v>
      </c>
      <c r="Z118" s="941">
        <v>2.0</v>
      </c>
      <c r="AA118" s="941">
        <v>0.0</v>
      </c>
      <c r="AB118" s="941">
        <v>0.0</v>
      </c>
      <c r="AC118" s="941">
        <v>0.0</v>
      </c>
      <c r="AD118" s="941">
        <v>0.0</v>
      </c>
      <c r="AE118" s="941">
        <v>0.0</v>
      </c>
      <c r="AF118" s="941">
        <v>0.0</v>
      </c>
      <c r="AG118" s="941">
        <v>0.0</v>
      </c>
      <c r="AH118" s="941">
        <v>3.0</v>
      </c>
      <c r="AI118" s="941">
        <v>0.0</v>
      </c>
      <c r="AJ118" s="941">
        <v>9.0</v>
      </c>
      <c r="AK118" s="942">
        <v>9.0</v>
      </c>
      <c r="AL118" s="941">
        <v>0.0</v>
      </c>
      <c r="AM118" s="941">
        <v>0.0</v>
      </c>
    </row>
    <row r="119">
      <c r="A119" s="935" t="s">
        <v>129</v>
      </c>
      <c r="B119" s="941">
        <v>1.0</v>
      </c>
      <c r="C119" s="941">
        <v>1.0</v>
      </c>
      <c r="D119" s="941">
        <v>0.0</v>
      </c>
      <c r="E119" s="941">
        <v>1.0</v>
      </c>
      <c r="F119" s="941">
        <v>2.0</v>
      </c>
      <c r="G119" s="941">
        <v>93.0</v>
      </c>
      <c r="H119" s="941">
        <v>80.0</v>
      </c>
      <c r="I119" s="941">
        <v>13.0</v>
      </c>
      <c r="J119" s="941">
        <v>4.0</v>
      </c>
      <c r="K119" s="941">
        <v>4.0</v>
      </c>
      <c r="L119" s="941">
        <v>1.0</v>
      </c>
      <c r="M119" s="941">
        <v>1327.0</v>
      </c>
      <c r="N119" s="941">
        <v>1677.0</v>
      </c>
      <c r="O119" s="941">
        <v>16.0</v>
      </c>
      <c r="P119" s="941">
        <v>310.0</v>
      </c>
      <c r="Q119" s="941">
        <v>0.0</v>
      </c>
      <c r="R119" s="941">
        <v>0.0</v>
      </c>
      <c r="S119" s="941">
        <v>0.0</v>
      </c>
      <c r="T119" s="941">
        <v>0.0</v>
      </c>
      <c r="U119" s="941">
        <v>0.0</v>
      </c>
      <c r="V119" s="941">
        <v>0.0</v>
      </c>
      <c r="W119" s="941">
        <v>0.0</v>
      </c>
      <c r="X119" s="941">
        <v>21.0</v>
      </c>
      <c r="Y119" s="941">
        <v>1.0</v>
      </c>
      <c r="Z119" s="941">
        <v>0.0</v>
      </c>
      <c r="AA119" s="941">
        <v>0.0</v>
      </c>
      <c r="AB119" s="941">
        <v>0.0</v>
      </c>
      <c r="AC119" s="941">
        <v>0.0</v>
      </c>
      <c r="AD119" s="941">
        <v>0.0</v>
      </c>
      <c r="AE119" s="941">
        <v>0.0</v>
      </c>
      <c r="AF119" s="941">
        <v>0.0</v>
      </c>
      <c r="AG119" s="941">
        <v>0.0</v>
      </c>
      <c r="AH119" s="941">
        <v>0.0</v>
      </c>
      <c r="AI119" s="941">
        <v>0.0</v>
      </c>
      <c r="AJ119" s="941">
        <v>9.0</v>
      </c>
      <c r="AK119" s="942">
        <v>14.0</v>
      </c>
      <c r="AL119" s="941">
        <v>0.0</v>
      </c>
      <c r="AM119" s="941">
        <v>0.0</v>
      </c>
    </row>
    <row r="120">
      <c r="A120" s="935" t="s">
        <v>118</v>
      </c>
      <c r="B120" s="941">
        <v>1.0</v>
      </c>
      <c r="C120" s="941">
        <v>1.0</v>
      </c>
      <c r="D120" s="941">
        <v>0.0</v>
      </c>
      <c r="E120" s="941">
        <v>1.0</v>
      </c>
      <c r="F120" s="941">
        <v>16.0</v>
      </c>
      <c r="G120" s="941">
        <v>101.0</v>
      </c>
      <c r="H120" s="941">
        <v>69.0</v>
      </c>
      <c r="I120" s="941">
        <v>32.0</v>
      </c>
      <c r="J120" s="941">
        <v>2.0</v>
      </c>
      <c r="K120" s="941">
        <v>12.0</v>
      </c>
      <c r="L120" s="941">
        <v>0.0</v>
      </c>
      <c r="M120" s="941">
        <v>1362.0</v>
      </c>
      <c r="N120" s="941">
        <v>1677.0</v>
      </c>
      <c r="O120" s="941">
        <v>19.0</v>
      </c>
      <c r="P120" s="941">
        <v>505.0</v>
      </c>
      <c r="Q120" s="941">
        <v>0.0</v>
      </c>
      <c r="R120" s="941">
        <v>4.0</v>
      </c>
      <c r="S120" s="941">
        <v>1.0</v>
      </c>
      <c r="T120" s="941">
        <v>0.0</v>
      </c>
      <c r="U120" s="941">
        <v>0.0</v>
      </c>
      <c r="V120" s="941">
        <v>1.0</v>
      </c>
      <c r="W120" s="941">
        <v>0.0</v>
      </c>
      <c r="X120" s="941">
        <v>20.0</v>
      </c>
      <c r="Y120" s="941">
        <v>5.0</v>
      </c>
      <c r="Z120" s="941">
        <v>1.0</v>
      </c>
      <c r="AA120" s="941">
        <v>0.0</v>
      </c>
      <c r="AB120" s="941">
        <v>0.0</v>
      </c>
      <c r="AC120" s="941">
        <v>0.0</v>
      </c>
      <c r="AD120" s="941">
        <v>0.0</v>
      </c>
      <c r="AE120" s="941">
        <v>0.0</v>
      </c>
      <c r="AF120" s="941">
        <v>0.0</v>
      </c>
      <c r="AG120" s="941">
        <v>0.0</v>
      </c>
      <c r="AH120" s="941">
        <v>2.0</v>
      </c>
      <c r="AI120" s="941">
        <v>0.0</v>
      </c>
      <c r="AJ120" s="941">
        <v>12.0</v>
      </c>
      <c r="AK120" s="942">
        <v>9.0</v>
      </c>
      <c r="AL120" s="941">
        <v>1.0</v>
      </c>
      <c r="AM120" s="941">
        <v>0.0</v>
      </c>
    </row>
    <row r="121" ht="15.0" customHeight="1">
      <c r="A121" s="943" t="s">
        <v>140</v>
      </c>
      <c r="B121" s="944">
        <v>1.0</v>
      </c>
      <c r="C121" s="944">
        <v>1.0</v>
      </c>
      <c r="D121" s="944">
        <v>0.0</v>
      </c>
      <c r="E121" s="944">
        <v>2.0</v>
      </c>
      <c r="F121" s="944">
        <v>0.0</v>
      </c>
      <c r="G121" s="944">
        <v>76.0</v>
      </c>
      <c r="H121" s="944">
        <v>84.0</v>
      </c>
      <c r="I121" s="944">
        <v>-8.0</v>
      </c>
      <c r="J121" s="944">
        <v>3.0</v>
      </c>
      <c r="K121" s="944">
        <v>6.0</v>
      </c>
      <c r="L121" s="944">
        <v>2.0</v>
      </c>
      <c r="M121" s="944">
        <v>1319.0</v>
      </c>
      <c r="N121" s="944">
        <v>1677.0</v>
      </c>
      <c r="O121" s="944">
        <v>15.0</v>
      </c>
      <c r="P121" s="944">
        <v>11.0</v>
      </c>
      <c r="Q121" s="944">
        <v>0.0</v>
      </c>
      <c r="R121" s="944">
        <v>1.0</v>
      </c>
      <c r="S121" s="944">
        <v>0.0</v>
      </c>
      <c r="T121" s="944">
        <v>0.0</v>
      </c>
      <c r="U121" s="944">
        <v>0.0</v>
      </c>
      <c r="V121" s="944">
        <v>1.0</v>
      </c>
      <c r="W121" s="944">
        <v>0.0</v>
      </c>
      <c r="X121" s="944">
        <v>11.0</v>
      </c>
      <c r="Y121" s="944">
        <v>3.0</v>
      </c>
      <c r="Z121" s="944">
        <v>0.0</v>
      </c>
      <c r="AA121" s="944">
        <v>0.0</v>
      </c>
      <c r="AB121" s="944">
        <v>0.0</v>
      </c>
      <c r="AC121" s="944">
        <v>0.0</v>
      </c>
      <c r="AD121" s="944">
        <v>0.0</v>
      </c>
      <c r="AE121" s="944">
        <v>0.0</v>
      </c>
      <c r="AF121" s="944">
        <v>0.0</v>
      </c>
      <c r="AG121" s="944">
        <v>0.0</v>
      </c>
      <c r="AH121" s="944">
        <v>2.0</v>
      </c>
      <c r="AI121" s="882">
        <v>0.0</v>
      </c>
      <c r="AJ121" s="882">
        <v>6.0</v>
      </c>
      <c r="AK121" s="948">
        <v>12.0</v>
      </c>
      <c r="AL121" s="941">
        <v>3.0</v>
      </c>
      <c r="AM121" s="941">
        <v>0.0</v>
      </c>
    </row>
    <row r="122">
      <c r="A122" s="946" t="s">
        <v>141</v>
      </c>
      <c r="B122" s="939">
        <v>1.0</v>
      </c>
      <c r="C122" s="939">
        <v>0.0</v>
      </c>
      <c r="D122" s="939">
        <v>1.0</v>
      </c>
      <c r="E122" s="939">
        <v>0.0</v>
      </c>
      <c r="F122" s="939">
        <v>1.0</v>
      </c>
      <c r="G122" s="939">
        <v>129.0</v>
      </c>
      <c r="H122" s="939">
        <v>189.0</v>
      </c>
      <c r="I122" s="939">
        <v>-60.0</v>
      </c>
      <c r="J122" s="939">
        <v>8.0</v>
      </c>
      <c r="K122" s="939">
        <v>5.0</v>
      </c>
      <c r="L122" s="939">
        <v>2.0</v>
      </c>
      <c r="M122" s="939">
        <v>1902.0</v>
      </c>
      <c r="N122" s="939">
        <v>2579.0</v>
      </c>
      <c r="O122" s="939">
        <v>10.0</v>
      </c>
      <c r="P122" s="939">
        <v>29.0</v>
      </c>
      <c r="Q122" s="939">
        <v>0.0</v>
      </c>
      <c r="R122" s="939">
        <v>1.0</v>
      </c>
      <c r="S122" s="939">
        <v>0.0</v>
      </c>
      <c r="T122" s="939">
        <v>0.0</v>
      </c>
      <c r="U122" s="939">
        <v>0.0</v>
      </c>
      <c r="V122" s="939">
        <v>1.0</v>
      </c>
      <c r="W122" s="939">
        <v>0.0</v>
      </c>
      <c r="X122" s="939">
        <v>13.0</v>
      </c>
      <c r="Y122" s="939">
        <v>1.0</v>
      </c>
      <c r="Z122" s="939">
        <v>0.0</v>
      </c>
      <c r="AA122" s="939">
        <v>0.0</v>
      </c>
      <c r="AB122" s="939">
        <v>0.0</v>
      </c>
      <c r="AC122" s="939">
        <v>0.0</v>
      </c>
      <c r="AD122" s="939">
        <v>0.0</v>
      </c>
      <c r="AE122" s="939">
        <v>0.0</v>
      </c>
      <c r="AF122" s="939">
        <v>0.0</v>
      </c>
      <c r="AG122" s="939">
        <v>0.0</v>
      </c>
      <c r="AH122" s="939">
        <v>0.0</v>
      </c>
      <c r="AI122" s="939">
        <v>0.0</v>
      </c>
      <c r="AJ122" s="939">
        <v>9.0</v>
      </c>
      <c r="AK122" s="939">
        <v>18.0</v>
      </c>
      <c r="AL122" s="939">
        <v>2.0</v>
      </c>
      <c r="AM122" s="940">
        <v>1.0</v>
      </c>
    </row>
    <row r="123">
      <c r="A123" s="935" t="s">
        <v>152</v>
      </c>
      <c r="B123" s="941">
        <v>1.0</v>
      </c>
      <c r="C123" s="941">
        <v>0.0</v>
      </c>
      <c r="D123" s="941">
        <v>1.0</v>
      </c>
      <c r="E123" s="941">
        <v>0.0</v>
      </c>
      <c r="F123" s="941">
        <v>1.0</v>
      </c>
      <c r="G123" s="941">
        <v>124.0</v>
      </c>
      <c r="H123" s="941">
        <v>179.0</v>
      </c>
      <c r="I123" s="941">
        <v>-55.0</v>
      </c>
      <c r="J123" s="941">
        <v>1.0</v>
      </c>
      <c r="K123" s="941">
        <v>3.0</v>
      </c>
      <c r="L123" s="941">
        <v>0.0</v>
      </c>
      <c r="M123" s="941">
        <v>1937.0</v>
      </c>
      <c r="N123" s="941">
        <v>2579.0</v>
      </c>
      <c r="O123" s="941">
        <v>10.0</v>
      </c>
      <c r="P123" s="941">
        <v>13.0</v>
      </c>
      <c r="Q123" s="941">
        <v>0.0</v>
      </c>
      <c r="R123" s="941">
        <v>0.0</v>
      </c>
      <c r="S123" s="941">
        <v>0.0</v>
      </c>
      <c r="T123" s="941">
        <v>0.0</v>
      </c>
      <c r="U123" s="941">
        <v>0.0</v>
      </c>
      <c r="V123" s="941">
        <v>0.0</v>
      </c>
      <c r="W123" s="941">
        <v>0.0</v>
      </c>
      <c r="X123" s="941">
        <v>12.0</v>
      </c>
      <c r="Y123" s="941">
        <v>1.0</v>
      </c>
      <c r="Z123" s="941">
        <v>0.0</v>
      </c>
      <c r="AA123" s="941">
        <v>0.0</v>
      </c>
      <c r="AB123" s="941">
        <v>0.0</v>
      </c>
      <c r="AC123" s="941">
        <v>0.0</v>
      </c>
      <c r="AD123" s="941">
        <v>0.0</v>
      </c>
      <c r="AE123" s="941">
        <v>0.0</v>
      </c>
      <c r="AF123" s="941">
        <v>0.0</v>
      </c>
      <c r="AG123" s="941">
        <v>0.0</v>
      </c>
      <c r="AH123" s="941">
        <v>8.0</v>
      </c>
      <c r="AI123" s="941">
        <v>0.0</v>
      </c>
      <c r="AJ123" s="941">
        <v>11.0</v>
      </c>
      <c r="AK123" s="941">
        <v>13.0</v>
      </c>
      <c r="AL123" s="941">
        <v>1.0</v>
      </c>
      <c r="AM123" s="942">
        <v>1.0</v>
      </c>
    </row>
    <row r="124">
      <c r="A124" s="935" t="s">
        <v>130</v>
      </c>
      <c r="B124" s="941">
        <v>1.0</v>
      </c>
      <c r="C124" s="941">
        <v>0.0</v>
      </c>
      <c r="D124" s="941">
        <v>1.0</v>
      </c>
      <c r="E124" s="941">
        <v>0.0</v>
      </c>
      <c r="F124" s="941">
        <v>0.0</v>
      </c>
      <c r="G124" s="941">
        <v>134.0</v>
      </c>
      <c r="H124" s="941">
        <v>117.0</v>
      </c>
      <c r="I124" s="941">
        <v>17.0</v>
      </c>
      <c r="J124" s="941">
        <v>10.0</v>
      </c>
      <c r="K124" s="941">
        <v>5.0</v>
      </c>
      <c r="L124" s="941">
        <v>5.0</v>
      </c>
      <c r="M124" s="941">
        <v>2122.0</v>
      </c>
      <c r="N124" s="941">
        <v>2579.0</v>
      </c>
      <c r="O124" s="941">
        <v>18.0</v>
      </c>
      <c r="P124" s="941">
        <v>4.0</v>
      </c>
      <c r="Q124" s="941">
        <v>0.0</v>
      </c>
      <c r="R124" s="941">
        <v>2.0</v>
      </c>
      <c r="S124" s="941">
        <v>0.0</v>
      </c>
      <c r="T124" s="941">
        <v>0.0</v>
      </c>
      <c r="U124" s="941">
        <v>0.0</v>
      </c>
      <c r="V124" s="941">
        <v>2.0</v>
      </c>
      <c r="W124" s="941">
        <v>0.0</v>
      </c>
      <c r="X124" s="941">
        <v>16.0</v>
      </c>
      <c r="Y124" s="941">
        <v>1.0</v>
      </c>
      <c r="Z124" s="941">
        <v>0.0</v>
      </c>
      <c r="AA124" s="941">
        <v>0.0</v>
      </c>
      <c r="AB124" s="941">
        <v>0.0</v>
      </c>
      <c r="AC124" s="941">
        <v>0.0</v>
      </c>
      <c r="AD124" s="941">
        <v>0.0</v>
      </c>
      <c r="AE124" s="941">
        <v>0.0</v>
      </c>
      <c r="AF124" s="941">
        <v>0.0</v>
      </c>
      <c r="AG124" s="941">
        <v>0.0</v>
      </c>
      <c r="AH124" s="941">
        <v>4.0</v>
      </c>
      <c r="AI124" s="941">
        <v>0.0</v>
      </c>
      <c r="AJ124" s="941">
        <v>18.0</v>
      </c>
      <c r="AK124" s="941">
        <v>20.0</v>
      </c>
      <c r="AL124" s="941">
        <v>2.0</v>
      </c>
      <c r="AM124" s="942">
        <v>1.0</v>
      </c>
    </row>
    <row r="125">
      <c r="A125" s="935" t="s">
        <v>119</v>
      </c>
      <c r="B125" s="941">
        <v>1.0</v>
      </c>
      <c r="C125" s="941">
        <v>0.0</v>
      </c>
      <c r="D125" s="941">
        <v>1.0</v>
      </c>
      <c r="E125" s="941">
        <v>3.0</v>
      </c>
      <c r="F125" s="941">
        <v>19.0</v>
      </c>
      <c r="G125" s="941">
        <v>117.0</v>
      </c>
      <c r="H125" s="941">
        <v>124.0</v>
      </c>
      <c r="I125" s="941">
        <v>-7.0</v>
      </c>
      <c r="J125" s="941">
        <v>6.0</v>
      </c>
      <c r="K125" s="941">
        <v>5.0</v>
      </c>
      <c r="L125" s="941">
        <v>7.0</v>
      </c>
      <c r="M125" s="941">
        <v>2106.0</v>
      </c>
      <c r="N125" s="941">
        <v>2579.0</v>
      </c>
      <c r="O125" s="941">
        <v>16.0</v>
      </c>
      <c r="P125" s="941">
        <v>683.0</v>
      </c>
      <c r="Q125" s="941">
        <v>0.0</v>
      </c>
      <c r="R125" s="941">
        <v>2.0</v>
      </c>
      <c r="S125" s="941">
        <v>0.0</v>
      </c>
      <c r="T125" s="941">
        <v>0.0</v>
      </c>
      <c r="U125" s="941">
        <v>0.0</v>
      </c>
      <c r="V125" s="941">
        <v>0.0</v>
      </c>
      <c r="W125" s="941">
        <v>0.0</v>
      </c>
      <c r="X125" s="941">
        <v>19.0</v>
      </c>
      <c r="Y125" s="941">
        <v>0.0</v>
      </c>
      <c r="Z125" s="941">
        <v>0.0</v>
      </c>
      <c r="AA125" s="941">
        <v>0.0</v>
      </c>
      <c r="AB125" s="941">
        <v>0.0</v>
      </c>
      <c r="AC125" s="941">
        <v>0.0</v>
      </c>
      <c r="AD125" s="941">
        <v>0.0</v>
      </c>
      <c r="AE125" s="941">
        <v>0.0</v>
      </c>
      <c r="AF125" s="941">
        <v>0.0</v>
      </c>
      <c r="AG125" s="941">
        <v>0.0</v>
      </c>
      <c r="AH125" s="941">
        <v>2.0</v>
      </c>
      <c r="AI125" s="941">
        <v>0.0</v>
      </c>
      <c r="AJ125" s="941">
        <v>22.0</v>
      </c>
      <c r="AK125" s="941">
        <v>22.0</v>
      </c>
      <c r="AL125" s="941">
        <v>0.0</v>
      </c>
      <c r="AM125" s="942">
        <v>1.0</v>
      </c>
    </row>
    <row r="126">
      <c r="A126" s="935" t="s">
        <v>418</v>
      </c>
      <c r="B126" s="941">
        <v>1.0</v>
      </c>
      <c r="C126" s="941">
        <v>1.0</v>
      </c>
      <c r="D126" s="941">
        <v>0.0</v>
      </c>
      <c r="E126" s="941">
        <v>0.0</v>
      </c>
      <c r="F126" s="941">
        <v>0.0</v>
      </c>
      <c r="G126" s="941">
        <v>205.0</v>
      </c>
      <c r="H126" s="941">
        <v>146.0</v>
      </c>
      <c r="I126" s="941">
        <v>59.0</v>
      </c>
      <c r="J126" s="941">
        <v>5.0</v>
      </c>
      <c r="K126" s="941">
        <v>8.0</v>
      </c>
      <c r="L126" s="941">
        <v>7.0</v>
      </c>
      <c r="M126" s="941">
        <v>2040.0</v>
      </c>
      <c r="N126" s="941">
        <v>2579.0</v>
      </c>
      <c r="O126" s="941">
        <v>13.0</v>
      </c>
      <c r="P126" s="941">
        <v>6.0</v>
      </c>
      <c r="Q126" s="941">
        <v>0.0</v>
      </c>
      <c r="R126" s="941">
        <v>4.0</v>
      </c>
      <c r="S126" s="941">
        <v>0.0</v>
      </c>
      <c r="T126" s="941">
        <v>0.0</v>
      </c>
      <c r="U126" s="941">
        <v>0.0</v>
      </c>
      <c r="V126" s="941">
        <v>4.0</v>
      </c>
      <c r="W126" s="941">
        <v>0.0</v>
      </c>
      <c r="X126" s="941">
        <v>36.0</v>
      </c>
      <c r="Y126" s="941">
        <v>9.0</v>
      </c>
      <c r="Z126" s="941">
        <v>1.0</v>
      </c>
      <c r="AA126" s="941">
        <v>0.0</v>
      </c>
      <c r="AB126" s="941">
        <v>0.0</v>
      </c>
      <c r="AC126" s="941">
        <v>0.0</v>
      </c>
      <c r="AD126" s="941">
        <v>0.0</v>
      </c>
      <c r="AE126" s="941">
        <v>0.0</v>
      </c>
      <c r="AF126" s="941">
        <v>0.0</v>
      </c>
      <c r="AG126" s="941">
        <v>0.0</v>
      </c>
      <c r="AH126" s="941">
        <v>8.0</v>
      </c>
      <c r="AI126" s="941">
        <v>0.0</v>
      </c>
      <c r="AJ126" s="941">
        <v>26.0</v>
      </c>
      <c r="AK126" s="941">
        <v>22.0</v>
      </c>
      <c r="AL126" s="941">
        <v>2.0</v>
      </c>
      <c r="AM126" s="942">
        <v>0.0</v>
      </c>
    </row>
    <row r="127">
      <c r="A127" s="935" t="s">
        <v>138</v>
      </c>
      <c r="B127" s="941">
        <v>1.0</v>
      </c>
      <c r="C127" s="941">
        <v>1.0</v>
      </c>
      <c r="D127" s="941">
        <v>0.0</v>
      </c>
      <c r="E127" s="941">
        <v>0.0</v>
      </c>
      <c r="F127" s="941">
        <v>0.0</v>
      </c>
      <c r="G127" s="941">
        <v>181.0</v>
      </c>
      <c r="H127" s="941">
        <v>137.0</v>
      </c>
      <c r="I127" s="941">
        <v>44.0</v>
      </c>
      <c r="J127" s="941">
        <v>15.0</v>
      </c>
      <c r="K127" s="941">
        <v>7.0</v>
      </c>
      <c r="L127" s="941">
        <v>2.0</v>
      </c>
      <c r="M127" s="941">
        <v>2058.0</v>
      </c>
      <c r="N127" s="941">
        <v>2579.0</v>
      </c>
      <c r="O127" s="941">
        <v>15.0</v>
      </c>
      <c r="P127" s="941">
        <v>30.0</v>
      </c>
      <c r="Q127" s="941">
        <v>0.0</v>
      </c>
      <c r="R127" s="941">
        <v>3.0</v>
      </c>
      <c r="S127" s="941">
        <v>0.0</v>
      </c>
      <c r="T127" s="941">
        <v>0.0</v>
      </c>
      <c r="U127" s="941">
        <v>0.0</v>
      </c>
      <c r="V127" s="941">
        <v>3.0</v>
      </c>
      <c r="W127" s="941">
        <v>0.0</v>
      </c>
      <c r="X127" s="941">
        <v>27.0</v>
      </c>
      <c r="Y127" s="941">
        <v>5.0</v>
      </c>
      <c r="Z127" s="941">
        <v>3.0</v>
      </c>
      <c r="AA127" s="941">
        <v>0.0</v>
      </c>
      <c r="AB127" s="941">
        <v>0.0</v>
      </c>
      <c r="AC127" s="941">
        <v>0.0</v>
      </c>
      <c r="AD127" s="941">
        <v>0.0</v>
      </c>
      <c r="AE127" s="941">
        <v>0.0</v>
      </c>
      <c r="AF127" s="941">
        <v>0.0</v>
      </c>
      <c r="AG127" s="941">
        <v>0.0</v>
      </c>
      <c r="AH127" s="941">
        <v>6.0</v>
      </c>
      <c r="AI127" s="941">
        <v>0.0</v>
      </c>
      <c r="AJ127" s="941">
        <v>19.0</v>
      </c>
      <c r="AK127" s="941">
        <v>23.0</v>
      </c>
      <c r="AL127" s="941">
        <v>0.0</v>
      </c>
      <c r="AM127" s="942">
        <v>0.0</v>
      </c>
    </row>
    <row r="128">
      <c r="A128" s="935" t="s">
        <v>392</v>
      </c>
      <c r="B128" s="941">
        <v>1.0</v>
      </c>
      <c r="C128" s="941">
        <v>1.0</v>
      </c>
      <c r="D128" s="941">
        <v>0.0</v>
      </c>
      <c r="E128" s="941">
        <v>0.0</v>
      </c>
      <c r="F128" s="941">
        <v>0.0</v>
      </c>
      <c r="G128" s="941">
        <v>141.0</v>
      </c>
      <c r="H128" s="941">
        <v>186.0</v>
      </c>
      <c r="I128" s="941">
        <v>-45.0</v>
      </c>
      <c r="J128" s="941">
        <v>14.0</v>
      </c>
      <c r="K128" s="941">
        <v>6.0</v>
      </c>
      <c r="L128" s="941">
        <v>0.0</v>
      </c>
      <c r="M128" s="941">
        <v>1916.0</v>
      </c>
      <c r="N128" s="941">
        <v>2579.0</v>
      </c>
      <c r="O128" s="941">
        <v>10.0</v>
      </c>
      <c r="P128" s="941">
        <v>0.0</v>
      </c>
      <c r="Q128" s="941">
        <v>0.0</v>
      </c>
      <c r="R128" s="941">
        <v>2.0</v>
      </c>
      <c r="S128" s="941">
        <v>0.0</v>
      </c>
      <c r="T128" s="941">
        <v>0.0</v>
      </c>
      <c r="U128" s="941">
        <v>0.0</v>
      </c>
      <c r="V128" s="941">
        <v>2.0</v>
      </c>
      <c r="W128" s="941">
        <v>0.0</v>
      </c>
      <c r="X128" s="941">
        <v>26.0</v>
      </c>
      <c r="Y128" s="941">
        <v>3.0</v>
      </c>
      <c r="Z128" s="941">
        <v>0.0</v>
      </c>
      <c r="AA128" s="941">
        <v>0.0</v>
      </c>
      <c r="AB128" s="941">
        <v>0.0</v>
      </c>
      <c r="AC128" s="941">
        <v>0.0</v>
      </c>
      <c r="AD128" s="941">
        <v>0.0</v>
      </c>
      <c r="AE128" s="941">
        <v>0.0</v>
      </c>
      <c r="AF128" s="941">
        <v>0.0</v>
      </c>
      <c r="AG128" s="941">
        <v>0.0</v>
      </c>
      <c r="AH128" s="941">
        <v>3.0</v>
      </c>
      <c r="AI128" s="941">
        <v>0.0</v>
      </c>
      <c r="AJ128" s="941">
        <v>13.0</v>
      </c>
      <c r="AK128" s="941">
        <v>18.0</v>
      </c>
      <c r="AL128" s="941">
        <v>0.0</v>
      </c>
      <c r="AM128" s="942">
        <v>0.0</v>
      </c>
    </row>
    <row r="129">
      <c r="A129" s="943" t="s">
        <v>149</v>
      </c>
      <c r="B129" s="944">
        <v>1.0</v>
      </c>
      <c r="C129" s="944">
        <v>1.0</v>
      </c>
      <c r="D129" s="944">
        <v>0.0</v>
      </c>
      <c r="E129" s="944">
        <v>5.0</v>
      </c>
      <c r="F129" s="944">
        <v>13.0</v>
      </c>
      <c r="G129" s="944">
        <v>61.0</v>
      </c>
      <c r="H129" s="944">
        <v>54.0</v>
      </c>
      <c r="I129" s="944">
        <v>7.0</v>
      </c>
      <c r="J129" s="944">
        <v>4.0</v>
      </c>
      <c r="K129" s="944">
        <v>5.0</v>
      </c>
      <c r="L129" s="944">
        <v>0.0</v>
      </c>
      <c r="M129" s="944">
        <v>2302.0</v>
      </c>
      <c r="N129" s="944">
        <v>2579.0</v>
      </c>
      <c r="O129" s="944">
        <v>42.0</v>
      </c>
      <c r="P129" s="944">
        <v>1550.0</v>
      </c>
      <c r="Q129" s="944">
        <v>0.0</v>
      </c>
      <c r="R129" s="944">
        <v>1.0</v>
      </c>
      <c r="S129" s="944">
        <v>0.0</v>
      </c>
      <c r="T129" s="944">
        <v>0.0</v>
      </c>
      <c r="U129" s="944">
        <v>0.0</v>
      </c>
      <c r="V129" s="944">
        <v>0.0</v>
      </c>
      <c r="W129" s="944">
        <v>0.0</v>
      </c>
      <c r="X129" s="944">
        <v>5.0</v>
      </c>
      <c r="Y129" s="944">
        <v>0.0</v>
      </c>
      <c r="Z129" s="944">
        <v>0.0</v>
      </c>
      <c r="AA129" s="944">
        <v>0.0</v>
      </c>
      <c r="AB129" s="944">
        <v>0.0</v>
      </c>
      <c r="AC129" s="944">
        <v>0.0</v>
      </c>
      <c r="AD129" s="944">
        <v>0.0</v>
      </c>
      <c r="AE129" s="944">
        <v>0.0</v>
      </c>
      <c r="AF129" s="944">
        <v>0.0</v>
      </c>
      <c r="AG129" s="944">
        <v>0.0</v>
      </c>
      <c r="AH129" s="944">
        <v>1.0</v>
      </c>
      <c r="AI129" s="944">
        <v>0.0</v>
      </c>
      <c r="AJ129" s="944">
        <v>13.0</v>
      </c>
      <c r="AK129" s="944">
        <v>4.0</v>
      </c>
      <c r="AL129" s="944">
        <v>1.0</v>
      </c>
      <c r="AM129" s="945">
        <v>0.0</v>
      </c>
    </row>
    <row r="130">
      <c r="A130" s="946" t="s">
        <v>141</v>
      </c>
      <c r="B130" s="939">
        <v>1.0</v>
      </c>
      <c r="C130" s="939">
        <v>0.0</v>
      </c>
      <c r="D130" s="939">
        <v>1.0</v>
      </c>
      <c r="E130" s="939">
        <v>0.0</v>
      </c>
      <c r="F130" s="939">
        <v>1.0</v>
      </c>
      <c r="G130" s="939">
        <v>105.0</v>
      </c>
      <c r="H130" s="939">
        <v>113.0</v>
      </c>
      <c r="I130" s="939">
        <v>-8.0</v>
      </c>
      <c r="J130" s="939">
        <v>7.0</v>
      </c>
      <c r="K130" s="939">
        <v>4.0</v>
      </c>
      <c r="L130" s="939">
        <v>1.0</v>
      </c>
      <c r="M130" s="939">
        <v>1283.0</v>
      </c>
      <c r="N130" s="939">
        <v>1711.0</v>
      </c>
      <c r="O130" s="939">
        <v>11.0</v>
      </c>
      <c r="P130" s="939">
        <v>10.0</v>
      </c>
      <c r="Q130" s="939">
        <v>0.0</v>
      </c>
      <c r="R130" s="939">
        <v>0.0</v>
      </c>
      <c r="S130" s="939">
        <v>0.0</v>
      </c>
      <c r="T130" s="939">
        <v>0.0</v>
      </c>
      <c r="U130" s="939">
        <v>0.0</v>
      </c>
      <c r="V130" s="939">
        <v>0.0</v>
      </c>
      <c r="W130" s="939">
        <v>0.0</v>
      </c>
      <c r="X130" s="939">
        <v>22.0</v>
      </c>
      <c r="Y130" s="939">
        <v>2.0</v>
      </c>
      <c r="Z130" s="939">
        <v>0.0</v>
      </c>
      <c r="AA130" s="939">
        <v>0.0</v>
      </c>
      <c r="AB130" s="939">
        <v>0.0</v>
      </c>
      <c r="AC130" s="939">
        <v>0.0</v>
      </c>
      <c r="AD130" s="939">
        <v>0.0</v>
      </c>
      <c r="AE130" s="939">
        <v>0.0</v>
      </c>
      <c r="AF130" s="939">
        <v>0.0</v>
      </c>
      <c r="AG130" s="939">
        <v>0.0</v>
      </c>
      <c r="AH130" s="939">
        <v>6.0</v>
      </c>
      <c r="AI130" s="939">
        <v>0.0</v>
      </c>
      <c r="AJ130" s="939">
        <v>24.0</v>
      </c>
      <c r="AK130" s="939">
        <v>17.0</v>
      </c>
      <c r="AL130" s="939">
        <v>0.0</v>
      </c>
      <c r="AM130" s="940">
        <v>0.0</v>
      </c>
    </row>
    <row r="131">
      <c r="A131" s="935" t="s">
        <v>130</v>
      </c>
      <c r="B131" s="941">
        <v>1.0</v>
      </c>
      <c r="C131" s="941">
        <v>0.0</v>
      </c>
      <c r="D131" s="941">
        <v>1.0</v>
      </c>
      <c r="E131" s="941">
        <v>0.0</v>
      </c>
      <c r="F131" s="941">
        <v>0.0</v>
      </c>
      <c r="G131" s="941">
        <v>92.0</v>
      </c>
      <c r="H131" s="941">
        <v>85.0</v>
      </c>
      <c r="I131" s="941">
        <v>7.0</v>
      </c>
      <c r="J131" s="941">
        <v>5.0</v>
      </c>
      <c r="K131" s="941">
        <v>5.0</v>
      </c>
      <c r="L131" s="941">
        <v>4.0</v>
      </c>
      <c r="M131" s="941">
        <v>1365.0</v>
      </c>
      <c r="N131" s="941">
        <v>1711.0</v>
      </c>
      <c r="O131" s="941">
        <v>16.0</v>
      </c>
      <c r="P131" s="941">
        <v>10.0</v>
      </c>
      <c r="Q131" s="941">
        <v>0.0</v>
      </c>
      <c r="R131" s="941">
        <v>2.0</v>
      </c>
      <c r="S131" s="941">
        <v>0.0</v>
      </c>
      <c r="T131" s="941">
        <v>0.0</v>
      </c>
      <c r="U131" s="941">
        <v>0.0</v>
      </c>
      <c r="V131" s="941">
        <v>1.0</v>
      </c>
      <c r="W131" s="941">
        <v>0.0</v>
      </c>
      <c r="X131" s="941">
        <v>10.0</v>
      </c>
      <c r="Y131" s="941">
        <v>0.0</v>
      </c>
      <c r="Z131" s="941">
        <v>0.0</v>
      </c>
      <c r="AA131" s="941">
        <v>0.0</v>
      </c>
      <c r="AB131" s="941">
        <v>0.0</v>
      </c>
      <c r="AC131" s="941">
        <v>0.0</v>
      </c>
      <c r="AD131" s="941">
        <v>0.0</v>
      </c>
      <c r="AE131" s="941">
        <v>0.0</v>
      </c>
      <c r="AF131" s="941">
        <v>0.0</v>
      </c>
      <c r="AG131" s="941">
        <v>0.0</v>
      </c>
      <c r="AH131" s="941">
        <v>6.0</v>
      </c>
      <c r="AI131" s="941">
        <v>0.0</v>
      </c>
      <c r="AJ131" s="941">
        <v>13.0</v>
      </c>
      <c r="AK131" s="941">
        <v>11.0</v>
      </c>
      <c r="AL131" s="941">
        <v>1.0</v>
      </c>
      <c r="AM131" s="942">
        <v>0.0</v>
      </c>
    </row>
    <row r="132">
      <c r="A132" s="935" t="s">
        <v>152</v>
      </c>
      <c r="B132" s="941">
        <v>1.0</v>
      </c>
      <c r="C132" s="941">
        <v>0.0</v>
      </c>
      <c r="D132" s="941">
        <v>1.0</v>
      </c>
      <c r="E132" s="941">
        <v>0.0</v>
      </c>
      <c r="F132" s="941">
        <v>0.0</v>
      </c>
      <c r="G132" s="941">
        <v>76.0</v>
      </c>
      <c r="H132" s="941">
        <v>121.0</v>
      </c>
      <c r="I132" s="941">
        <v>-45.0</v>
      </c>
      <c r="J132" s="941">
        <v>8.0</v>
      </c>
      <c r="K132" s="941">
        <v>4.0</v>
      </c>
      <c r="L132" s="941">
        <v>1.0</v>
      </c>
      <c r="M132" s="941">
        <v>1252.0</v>
      </c>
      <c r="N132" s="941">
        <v>1711.0</v>
      </c>
      <c r="O132" s="941">
        <v>10.0</v>
      </c>
      <c r="P132" s="941">
        <v>0.0</v>
      </c>
      <c r="Q132" s="941">
        <v>0.0</v>
      </c>
      <c r="R132" s="941">
        <v>0.0</v>
      </c>
      <c r="S132" s="941">
        <v>0.0</v>
      </c>
      <c r="T132" s="941">
        <v>0.0</v>
      </c>
      <c r="U132" s="941">
        <v>0.0</v>
      </c>
      <c r="V132" s="941">
        <v>0.0</v>
      </c>
      <c r="W132" s="941">
        <v>0.0</v>
      </c>
      <c r="X132" s="941">
        <v>11.0</v>
      </c>
      <c r="Y132" s="941">
        <v>1.0</v>
      </c>
      <c r="Z132" s="941">
        <v>1.0</v>
      </c>
      <c r="AA132" s="941">
        <v>0.0</v>
      </c>
      <c r="AB132" s="941">
        <v>0.0</v>
      </c>
      <c r="AC132" s="941">
        <v>0.0</v>
      </c>
      <c r="AD132" s="941">
        <v>0.0</v>
      </c>
      <c r="AE132" s="941">
        <v>0.0</v>
      </c>
      <c r="AF132" s="941">
        <v>0.0</v>
      </c>
      <c r="AG132" s="941">
        <v>0.0</v>
      </c>
      <c r="AH132" s="941">
        <v>3.0</v>
      </c>
      <c r="AI132" s="941">
        <v>0.0</v>
      </c>
      <c r="AJ132" s="941">
        <v>10.0</v>
      </c>
      <c r="AK132" s="941">
        <v>11.0</v>
      </c>
      <c r="AL132" s="941">
        <v>0.0</v>
      </c>
      <c r="AM132" s="942">
        <v>0.0</v>
      </c>
    </row>
    <row r="133">
      <c r="A133" s="935" t="s">
        <v>119</v>
      </c>
      <c r="B133" s="941">
        <v>1.0</v>
      </c>
      <c r="C133" s="941">
        <v>0.0</v>
      </c>
      <c r="D133" s="941">
        <v>1.0</v>
      </c>
      <c r="E133" s="941">
        <v>2.0</v>
      </c>
      <c r="F133" s="941">
        <v>16.0</v>
      </c>
      <c r="G133" s="941">
        <v>66.0</v>
      </c>
      <c r="H133" s="941">
        <v>75.0</v>
      </c>
      <c r="I133" s="941">
        <v>-9.0</v>
      </c>
      <c r="J133" s="941">
        <v>4.0</v>
      </c>
      <c r="K133" s="941">
        <v>8.0</v>
      </c>
      <c r="L133" s="941">
        <v>2.0</v>
      </c>
      <c r="M133" s="941">
        <v>1397.0</v>
      </c>
      <c r="N133" s="941">
        <v>1711.0</v>
      </c>
      <c r="O133" s="941">
        <v>18.0</v>
      </c>
      <c r="P133" s="941">
        <v>605.0</v>
      </c>
      <c r="Q133" s="941">
        <v>0.0</v>
      </c>
      <c r="R133" s="941">
        <v>1.0</v>
      </c>
      <c r="S133" s="941">
        <v>0.0</v>
      </c>
      <c r="T133" s="941">
        <v>0.0</v>
      </c>
      <c r="U133" s="941">
        <v>0.0</v>
      </c>
      <c r="V133" s="941">
        <v>0.0</v>
      </c>
      <c r="W133" s="941">
        <v>0.0</v>
      </c>
      <c r="X133" s="941">
        <v>6.0</v>
      </c>
      <c r="Y133" s="941">
        <v>0.0</v>
      </c>
      <c r="Z133" s="941">
        <v>0.0</v>
      </c>
      <c r="AA133" s="941">
        <v>0.0</v>
      </c>
      <c r="AB133" s="941">
        <v>0.0</v>
      </c>
      <c r="AC133" s="941">
        <v>0.0</v>
      </c>
      <c r="AD133" s="941">
        <v>0.0</v>
      </c>
      <c r="AE133" s="941">
        <v>0.0</v>
      </c>
      <c r="AF133" s="941">
        <v>0.0</v>
      </c>
      <c r="AG133" s="941">
        <v>0.0</v>
      </c>
      <c r="AH133" s="941">
        <v>1.0</v>
      </c>
      <c r="AI133" s="941">
        <v>0.0</v>
      </c>
      <c r="AJ133" s="941">
        <v>10.0</v>
      </c>
      <c r="AK133" s="941">
        <v>8.0</v>
      </c>
      <c r="AL133" s="941">
        <v>4.0</v>
      </c>
      <c r="AM133" s="942">
        <v>0.0</v>
      </c>
    </row>
    <row r="134">
      <c r="A134" s="935" t="s">
        <v>514</v>
      </c>
      <c r="B134" s="941">
        <v>1.0</v>
      </c>
      <c r="C134" s="941">
        <v>1.0</v>
      </c>
      <c r="D134" s="941">
        <v>0.0</v>
      </c>
      <c r="E134" s="941">
        <v>0.0</v>
      </c>
      <c r="F134" s="941">
        <v>0.0</v>
      </c>
      <c r="G134" s="941">
        <v>116.0</v>
      </c>
      <c r="H134" s="941">
        <v>126.0</v>
      </c>
      <c r="I134" s="941">
        <v>-10.0</v>
      </c>
      <c r="J134" s="941">
        <v>6.0</v>
      </c>
      <c r="K134" s="941">
        <v>4.0</v>
      </c>
      <c r="L134" s="941">
        <v>3.0</v>
      </c>
      <c r="M134" s="941">
        <v>1235.0</v>
      </c>
      <c r="N134" s="941">
        <v>1711.0</v>
      </c>
      <c r="O134" s="941">
        <v>9.0</v>
      </c>
      <c r="P134" s="941">
        <v>6.0</v>
      </c>
      <c r="Q134" s="941">
        <v>0.0</v>
      </c>
      <c r="R134" s="941">
        <v>0.0</v>
      </c>
      <c r="S134" s="941">
        <v>0.0</v>
      </c>
      <c r="T134" s="941">
        <v>0.0</v>
      </c>
      <c r="U134" s="941">
        <v>0.0</v>
      </c>
      <c r="V134" s="941">
        <v>0.0</v>
      </c>
      <c r="W134" s="941">
        <v>0.0</v>
      </c>
      <c r="X134" s="941">
        <v>19.0</v>
      </c>
      <c r="Y134" s="941">
        <v>4.0</v>
      </c>
      <c r="Z134" s="941">
        <v>0.0</v>
      </c>
      <c r="AA134" s="941">
        <v>0.0</v>
      </c>
      <c r="AB134" s="941">
        <v>0.0</v>
      </c>
      <c r="AC134" s="941">
        <v>0.0</v>
      </c>
      <c r="AD134" s="941">
        <v>0.0</v>
      </c>
      <c r="AE134" s="941">
        <v>0.0</v>
      </c>
      <c r="AF134" s="941">
        <v>0.0</v>
      </c>
      <c r="AG134" s="941">
        <v>0.0</v>
      </c>
      <c r="AH134" s="941">
        <v>3.0</v>
      </c>
      <c r="AI134" s="941">
        <v>0.0</v>
      </c>
      <c r="AJ134" s="941">
        <v>11.0</v>
      </c>
      <c r="AK134" s="941">
        <v>17.0</v>
      </c>
      <c r="AL134" s="941">
        <v>0.0</v>
      </c>
      <c r="AM134" s="942">
        <v>1.0</v>
      </c>
    </row>
    <row r="135">
      <c r="A135" s="935" t="s">
        <v>121</v>
      </c>
      <c r="B135" s="941">
        <v>1.0</v>
      </c>
      <c r="C135" s="941">
        <v>1.0</v>
      </c>
      <c r="D135" s="941">
        <v>0.0</v>
      </c>
      <c r="E135" s="941">
        <v>0.0</v>
      </c>
      <c r="F135" s="941">
        <v>1.0</v>
      </c>
      <c r="G135" s="941">
        <v>102.0</v>
      </c>
      <c r="H135" s="941">
        <v>73.0</v>
      </c>
      <c r="I135" s="941">
        <v>29.0</v>
      </c>
      <c r="J135" s="941">
        <v>9.0</v>
      </c>
      <c r="K135" s="941">
        <v>7.0</v>
      </c>
      <c r="L135" s="941">
        <v>2.0</v>
      </c>
      <c r="M135" s="941">
        <v>1402.0</v>
      </c>
      <c r="N135" s="941">
        <v>1711.0</v>
      </c>
      <c r="O135" s="941">
        <v>19.0</v>
      </c>
      <c r="P135" s="941">
        <v>37.0</v>
      </c>
      <c r="Q135" s="941">
        <v>0.0</v>
      </c>
      <c r="R135" s="941">
        <v>4.0</v>
      </c>
      <c r="S135" s="941">
        <v>0.0</v>
      </c>
      <c r="T135" s="941">
        <v>0.0</v>
      </c>
      <c r="U135" s="941">
        <v>0.0</v>
      </c>
      <c r="V135" s="941">
        <v>3.0</v>
      </c>
      <c r="W135" s="941">
        <v>0.0</v>
      </c>
      <c r="X135" s="941">
        <v>19.0</v>
      </c>
      <c r="Y135" s="941">
        <v>3.0</v>
      </c>
      <c r="Z135" s="941">
        <v>1.0</v>
      </c>
      <c r="AA135" s="941">
        <v>1.0</v>
      </c>
      <c r="AB135" s="941">
        <v>1.0</v>
      </c>
      <c r="AC135" s="941">
        <v>0.0</v>
      </c>
      <c r="AD135" s="941">
        <v>0.0</v>
      </c>
      <c r="AE135" s="941">
        <v>0.0</v>
      </c>
      <c r="AF135" s="941">
        <v>0.0</v>
      </c>
      <c r="AG135" s="941">
        <v>0.0</v>
      </c>
      <c r="AH135" s="941">
        <v>3.0</v>
      </c>
      <c r="AI135" s="941">
        <v>0.0</v>
      </c>
      <c r="AJ135" s="941">
        <v>12.0</v>
      </c>
      <c r="AK135" s="941">
        <v>11.0</v>
      </c>
      <c r="AL135" s="941">
        <v>0.0</v>
      </c>
      <c r="AM135" s="942">
        <v>1.0</v>
      </c>
    </row>
    <row r="136">
      <c r="A136" s="935" t="s">
        <v>132</v>
      </c>
      <c r="B136" s="941">
        <v>1.0</v>
      </c>
      <c r="C136" s="941">
        <v>1.0</v>
      </c>
      <c r="D136" s="941">
        <v>0.0</v>
      </c>
      <c r="E136" s="941">
        <v>1.0</v>
      </c>
      <c r="F136" s="941">
        <v>0.0</v>
      </c>
      <c r="G136" s="941">
        <v>119.0</v>
      </c>
      <c r="H136" s="941">
        <v>103.0</v>
      </c>
      <c r="I136" s="941">
        <v>16.0</v>
      </c>
      <c r="J136" s="941">
        <v>9.0</v>
      </c>
      <c r="K136" s="941">
        <v>7.0</v>
      </c>
      <c r="L136" s="941">
        <v>3.0</v>
      </c>
      <c r="M136" s="941">
        <v>1309.0</v>
      </c>
      <c r="N136" s="941">
        <v>1711.0</v>
      </c>
      <c r="O136" s="941">
        <v>12.0</v>
      </c>
      <c r="P136" s="941">
        <v>0.0</v>
      </c>
      <c r="Q136" s="941">
        <v>0.0</v>
      </c>
      <c r="R136" s="941">
        <v>2.0</v>
      </c>
      <c r="S136" s="941">
        <v>0.0</v>
      </c>
      <c r="T136" s="941">
        <v>0.0</v>
      </c>
      <c r="U136" s="941">
        <v>0.0</v>
      </c>
      <c r="V136" s="941">
        <v>2.0</v>
      </c>
      <c r="W136" s="941">
        <v>0.0</v>
      </c>
      <c r="X136" s="941">
        <v>23.0</v>
      </c>
      <c r="Y136" s="941">
        <v>7.0</v>
      </c>
      <c r="Z136" s="941">
        <v>2.0</v>
      </c>
      <c r="AA136" s="941">
        <v>0.0</v>
      </c>
      <c r="AB136" s="941">
        <v>0.0</v>
      </c>
      <c r="AC136" s="941">
        <v>0.0</v>
      </c>
      <c r="AD136" s="941">
        <v>0.0</v>
      </c>
      <c r="AE136" s="941">
        <v>0.0</v>
      </c>
      <c r="AF136" s="941">
        <v>0.0</v>
      </c>
      <c r="AG136" s="941">
        <v>0.0</v>
      </c>
      <c r="AH136" s="941">
        <v>5.0</v>
      </c>
      <c r="AI136" s="941">
        <v>0.0</v>
      </c>
      <c r="AJ136" s="941">
        <v>7.0</v>
      </c>
      <c r="AK136" s="941">
        <v>13.0</v>
      </c>
      <c r="AL136" s="941">
        <v>2.0</v>
      </c>
      <c r="AM136" s="942">
        <v>1.0</v>
      </c>
    </row>
    <row r="137">
      <c r="A137" s="943" t="s">
        <v>154</v>
      </c>
      <c r="B137" s="944">
        <v>1.0</v>
      </c>
      <c r="C137" s="944">
        <v>1.0</v>
      </c>
      <c r="D137" s="944">
        <v>0.0</v>
      </c>
      <c r="E137" s="944">
        <v>4.0</v>
      </c>
      <c r="F137" s="944">
        <v>6.0</v>
      </c>
      <c r="G137" s="944">
        <v>37.0</v>
      </c>
      <c r="H137" s="944">
        <v>50.0</v>
      </c>
      <c r="I137" s="944">
        <v>-13.0</v>
      </c>
      <c r="J137" s="944">
        <v>1.0</v>
      </c>
      <c r="K137" s="944">
        <v>3.0</v>
      </c>
      <c r="L137" s="944">
        <v>0.0</v>
      </c>
      <c r="M137" s="944">
        <v>1465.0</v>
      </c>
      <c r="N137" s="944">
        <v>1711.0</v>
      </c>
      <c r="O137" s="944">
        <v>29.0</v>
      </c>
      <c r="P137" s="944">
        <v>848.0</v>
      </c>
      <c r="Q137" s="944">
        <v>0.0</v>
      </c>
      <c r="R137" s="944">
        <v>0.0</v>
      </c>
      <c r="S137" s="944">
        <v>0.0</v>
      </c>
      <c r="T137" s="944">
        <v>0.0</v>
      </c>
      <c r="U137" s="944">
        <v>0.0</v>
      </c>
      <c r="V137" s="944">
        <v>0.0</v>
      </c>
      <c r="W137" s="944">
        <v>0.0</v>
      </c>
      <c r="X137" s="944">
        <v>2.0</v>
      </c>
      <c r="Y137" s="944">
        <v>0.0</v>
      </c>
      <c r="Z137" s="944">
        <v>0.0</v>
      </c>
      <c r="AA137" s="944">
        <v>0.0</v>
      </c>
      <c r="AB137" s="944">
        <v>0.0</v>
      </c>
      <c r="AC137" s="944">
        <v>0.0</v>
      </c>
      <c r="AD137" s="944">
        <v>0.0</v>
      </c>
      <c r="AE137" s="944">
        <v>0.0</v>
      </c>
      <c r="AF137" s="944">
        <v>0.0</v>
      </c>
      <c r="AG137" s="944">
        <v>0.0</v>
      </c>
      <c r="AH137" s="944">
        <v>2.0</v>
      </c>
      <c r="AI137" s="944">
        <v>0.0</v>
      </c>
      <c r="AJ137" s="944">
        <v>3.0</v>
      </c>
      <c r="AK137" s="944">
        <v>5.0</v>
      </c>
      <c r="AL137" s="944">
        <v>0.0</v>
      </c>
      <c r="AM137" s="945">
        <v>1.0</v>
      </c>
    </row>
    <row r="138">
      <c r="A138" s="964" t="s">
        <v>420</v>
      </c>
      <c r="B138" s="941">
        <v>1.0</v>
      </c>
      <c r="C138" s="941">
        <v>1.0</v>
      </c>
      <c r="D138" s="941">
        <v>0.0</v>
      </c>
      <c r="E138" s="941">
        <v>5.0</v>
      </c>
      <c r="F138" s="941">
        <v>14.0</v>
      </c>
      <c r="G138" s="952">
        <v>30.0</v>
      </c>
      <c r="H138" s="952">
        <v>15.0</v>
      </c>
      <c r="I138" s="952">
        <v>15.0</v>
      </c>
      <c r="J138" s="952">
        <v>2.0</v>
      </c>
      <c r="K138" s="952">
        <v>5.0</v>
      </c>
      <c r="L138" s="952">
        <v>1.0</v>
      </c>
      <c r="M138" s="952">
        <v>770.0</v>
      </c>
      <c r="N138" s="952">
        <v>884.0</v>
      </c>
      <c r="O138" s="952">
        <v>51.0</v>
      </c>
      <c r="P138" s="952">
        <v>524.0</v>
      </c>
      <c r="Q138" s="952">
        <v>0.0</v>
      </c>
      <c r="R138" s="952">
        <v>1.0</v>
      </c>
      <c r="S138" s="952">
        <v>0.0</v>
      </c>
      <c r="T138" s="952">
        <v>0.0</v>
      </c>
      <c r="U138" s="952">
        <v>0.0</v>
      </c>
      <c r="V138" s="952">
        <v>0.0</v>
      </c>
      <c r="W138" s="952">
        <v>0.0</v>
      </c>
      <c r="X138" s="952">
        <v>3.0</v>
      </c>
      <c r="Y138" s="952">
        <v>0.0</v>
      </c>
      <c r="Z138" s="952">
        <v>0.0</v>
      </c>
      <c r="AA138" s="952">
        <v>0.0</v>
      </c>
      <c r="AB138" s="952">
        <v>0.0</v>
      </c>
      <c r="AC138" s="952">
        <v>0.0</v>
      </c>
      <c r="AD138" s="952">
        <v>0.0</v>
      </c>
      <c r="AE138" s="952">
        <v>0.0</v>
      </c>
      <c r="AF138" s="952">
        <v>0.0</v>
      </c>
      <c r="AG138" s="952">
        <v>0.0</v>
      </c>
      <c r="AH138" s="952">
        <v>1.0</v>
      </c>
      <c r="AI138" s="952">
        <v>0.0</v>
      </c>
      <c r="AJ138" s="952">
        <v>7.0</v>
      </c>
      <c r="AK138" s="952">
        <v>2.0</v>
      </c>
      <c r="AL138" s="952">
        <v>2.0</v>
      </c>
      <c r="AM138" s="952">
        <v>0.0</v>
      </c>
    </row>
    <row r="139">
      <c r="A139" s="965" t="s">
        <v>137</v>
      </c>
      <c r="B139" s="941">
        <v>1.0</v>
      </c>
      <c r="C139" s="941">
        <v>1.0</v>
      </c>
      <c r="D139" s="941">
        <v>0.0</v>
      </c>
      <c r="E139" s="941">
        <v>0.0</v>
      </c>
      <c r="F139" s="941">
        <v>0.0</v>
      </c>
      <c r="G139" s="952">
        <v>55.0</v>
      </c>
      <c r="H139" s="952">
        <v>55.0</v>
      </c>
      <c r="I139" s="952">
        <v>0.0</v>
      </c>
      <c r="J139" s="952">
        <v>1.0</v>
      </c>
      <c r="K139" s="952">
        <v>3.0</v>
      </c>
      <c r="L139" s="952">
        <v>0.0</v>
      </c>
      <c r="M139" s="952">
        <v>650.0</v>
      </c>
      <c r="N139" s="952">
        <v>884.0</v>
      </c>
      <c r="O139" s="952">
        <v>11.0</v>
      </c>
      <c r="P139" s="952">
        <v>12.0</v>
      </c>
      <c r="Q139" s="952">
        <v>0.0</v>
      </c>
      <c r="R139" s="952">
        <v>0.0</v>
      </c>
      <c r="S139" s="952">
        <v>0.0</v>
      </c>
      <c r="T139" s="952">
        <v>0.0</v>
      </c>
      <c r="U139" s="952">
        <v>0.0</v>
      </c>
      <c r="V139" s="952">
        <v>0.0</v>
      </c>
      <c r="W139" s="952">
        <v>0.0</v>
      </c>
      <c r="X139" s="952">
        <v>10.0</v>
      </c>
      <c r="Y139" s="952">
        <v>3.0</v>
      </c>
      <c r="Z139" s="952">
        <v>0.0</v>
      </c>
      <c r="AA139" s="952">
        <v>0.0</v>
      </c>
      <c r="AB139" s="952">
        <v>0.0</v>
      </c>
      <c r="AC139" s="952">
        <v>0.0</v>
      </c>
      <c r="AD139" s="952">
        <v>0.0</v>
      </c>
      <c r="AE139" s="952">
        <v>0.0</v>
      </c>
      <c r="AF139" s="952">
        <v>0.0</v>
      </c>
      <c r="AG139" s="952">
        <v>0.0</v>
      </c>
      <c r="AH139" s="952">
        <v>4.0</v>
      </c>
      <c r="AI139" s="952">
        <v>0.0</v>
      </c>
      <c r="AJ139" s="952">
        <v>2.0</v>
      </c>
      <c r="AK139" s="952">
        <v>7.0</v>
      </c>
      <c r="AL139" s="952">
        <v>2.0</v>
      </c>
      <c r="AM139" s="952">
        <v>0.0</v>
      </c>
    </row>
    <row r="140">
      <c r="A140" s="965" t="s">
        <v>126</v>
      </c>
      <c r="B140" s="941">
        <v>1.0</v>
      </c>
      <c r="C140" s="941">
        <v>1.0</v>
      </c>
      <c r="D140" s="941">
        <v>0.0</v>
      </c>
      <c r="E140" s="941">
        <v>0.0</v>
      </c>
      <c r="F140" s="941">
        <v>0.0</v>
      </c>
      <c r="G140" s="952">
        <v>61.0</v>
      </c>
      <c r="H140" s="952">
        <v>50.0</v>
      </c>
      <c r="I140" s="952">
        <v>11.0</v>
      </c>
      <c r="J140" s="952">
        <v>3.0</v>
      </c>
      <c r="K140" s="952">
        <v>4.0</v>
      </c>
      <c r="L140" s="952">
        <v>0.0</v>
      </c>
      <c r="M140" s="952">
        <v>672.0</v>
      </c>
      <c r="N140" s="952">
        <v>884.0</v>
      </c>
      <c r="O140" s="952">
        <v>13.0</v>
      </c>
      <c r="P140" s="952">
        <v>0.0</v>
      </c>
      <c r="Q140" s="952">
        <v>0.0</v>
      </c>
      <c r="R140" s="952">
        <v>0.0</v>
      </c>
      <c r="S140" s="952">
        <v>0.0</v>
      </c>
      <c r="T140" s="952">
        <v>0.0</v>
      </c>
      <c r="U140" s="952">
        <v>0.0</v>
      </c>
      <c r="V140" s="952">
        <v>0.0</v>
      </c>
      <c r="W140" s="952">
        <v>0.0</v>
      </c>
      <c r="X140" s="952">
        <v>8.0</v>
      </c>
      <c r="Y140" s="952">
        <v>2.0</v>
      </c>
      <c r="Z140" s="952">
        <v>0.0</v>
      </c>
      <c r="AA140" s="952">
        <v>0.0</v>
      </c>
      <c r="AB140" s="952">
        <v>0.0</v>
      </c>
      <c r="AC140" s="952">
        <v>0.0</v>
      </c>
      <c r="AD140" s="952">
        <v>0.0</v>
      </c>
      <c r="AE140" s="952">
        <v>0.0</v>
      </c>
      <c r="AF140" s="952">
        <v>0.0</v>
      </c>
      <c r="AG140" s="952">
        <v>0.0</v>
      </c>
      <c r="AH140" s="952">
        <v>1.0</v>
      </c>
      <c r="AI140" s="952">
        <v>0.0</v>
      </c>
      <c r="AJ140" s="952">
        <v>5.0</v>
      </c>
      <c r="AK140" s="952">
        <v>6.0</v>
      </c>
      <c r="AL140" s="952">
        <v>0.0</v>
      </c>
      <c r="AM140" s="952">
        <v>0.0</v>
      </c>
    </row>
    <row r="141">
      <c r="A141" s="965" t="s">
        <v>115</v>
      </c>
      <c r="B141" s="941">
        <v>1.0</v>
      </c>
      <c r="C141" s="941">
        <v>1.0</v>
      </c>
      <c r="D141" s="941">
        <v>0.0</v>
      </c>
      <c r="E141" s="941">
        <v>0.0</v>
      </c>
      <c r="F141" s="941">
        <v>0.0</v>
      </c>
      <c r="G141" s="952">
        <v>57.0</v>
      </c>
      <c r="H141" s="952">
        <v>57.0</v>
      </c>
      <c r="I141" s="952">
        <v>0.0</v>
      </c>
      <c r="J141" s="952">
        <v>4.0</v>
      </c>
      <c r="K141" s="952">
        <v>5.0</v>
      </c>
      <c r="L141" s="952">
        <v>1.0</v>
      </c>
      <c r="M141" s="952">
        <v>639.0</v>
      </c>
      <c r="N141" s="952">
        <v>884.0</v>
      </c>
      <c r="O141" s="952">
        <v>11.0</v>
      </c>
      <c r="P141" s="952">
        <v>9.0</v>
      </c>
      <c r="Q141" s="952">
        <v>0.0</v>
      </c>
      <c r="R141" s="952">
        <v>1.0</v>
      </c>
      <c r="S141" s="952">
        <v>0.0</v>
      </c>
      <c r="T141" s="952">
        <v>0.0</v>
      </c>
      <c r="U141" s="952">
        <v>0.0</v>
      </c>
      <c r="V141" s="952">
        <v>1.0</v>
      </c>
      <c r="W141" s="952">
        <v>0.0</v>
      </c>
      <c r="X141" s="952">
        <v>10.0</v>
      </c>
      <c r="Y141" s="952">
        <v>4.0</v>
      </c>
      <c r="Z141" s="952">
        <v>1.0</v>
      </c>
      <c r="AA141" s="952">
        <v>0.0</v>
      </c>
      <c r="AB141" s="952">
        <v>0.0</v>
      </c>
      <c r="AC141" s="952">
        <v>0.0</v>
      </c>
      <c r="AD141" s="952">
        <v>0.0</v>
      </c>
      <c r="AE141" s="952">
        <v>0.0</v>
      </c>
      <c r="AF141" s="952">
        <v>0.0</v>
      </c>
      <c r="AG141" s="952">
        <v>0.0</v>
      </c>
      <c r="AH141" s="952">
        <v>5.0</v>
      </c>
      <c r="AI141" s="952">
        <v>0.0</v>
      </c>
      <c r="AJ141" s="952">
        <v>4.0</v>
      </c>
      <c r="AK141" s="952">
        <v>8.0</v>
      </c>
      <c r="AL141" s="952">
        <v>1.0</v>
      </c>
      <c r="AM141" s="952">
        <v>0.0</v>
      </c>
    </row>
    <row r="142">
      <c r="A142" s="965" t="s">
        <v>131</v>
      </c>
      <c r="B142" s="941">
        <v>1.0</v>
      </c>
      <c r="C142" s="941">
        <v>0.0</v>
      </c>
      <c r="D142" s="941">
        <v>1.0</v>
      </c>
      <c r="E142" s="941">
        <v>0.0</v>
      </c>
      <c r="F142" s="941">
        <v>1.0</v>
      </c>
      <c r="G142" s="952">
        <v>42.0</v>
      </c>
      <c r="H142" s="952">
        <v>54.0</v>
      </c>
      <c r="I142" s="952">
        <v>-12.0</v>
      </c>
      <c r="J142" s="952">
        <v>6.0</v>
      </c>
      <c r="K142" s="952">
        <v>6.0</v>
      </c>
      <c r="L142" s="952">
        <v>2.0</v>
      </c>
      <c r="M142" s="952">
        <v>659.0</v>
      </c>
      <c r="N142" s="952">
        <v>884.0</v>
      </c>
      <c r="O142" s="952">
        <v>12.0</v>
      </c>
      <c r="P142" s="952">
        <v>7.0</v>
      </c>
      <c r="Q142" s="952">
        <v>0.0</v>
      </c>
      <c r="R142" s="952">
        <v>1.0</v>
      </c>
      <c r="S142" s="952">
        <v>0.0</v>
      </c>
      <c r="T142" s="952">
        <v>0.0</v>
      </c>
      <c r="U142" s="952">
        <v>0.0</v>
      </c>
      <c r="V142" s="952">
        <v>1.0</v>
      </c>
      <c r="W142" s="952">
        <v>0.0</v>
      </c>
      <c r="X142" s="952">
        <v>3.0</v>
      </c>
      <c r="Y142" s="952">
        <v>0.0</v>
      </c>
      <c r="Z142" s="952">
        <v>0.0</v>
      </c>
      <c r="AA142" s="952">
        <v>0.0</v>
      </c>
      <c r="AB142" s="952">
        <v>0.0</v>
      </c>
      <c r="AC142" s="952">
        <v>0.0</v>
      </c>
      <c r="AD142" s="952">
        <v>0.0</v>
      </c>
      <c r="AE142" s="952">
        <v>0.0</v>
      </c>
      <c r="AF142" s="952">
        <v>0.0</v>
      </c>
      <c r="AG142" s="952">
        <v>0.0</v>
      </c>
      <c r="AH142" s="952">
        <v>0.0</v>
      </c>
      <c r="AI142" s="952">
        <v>0.0</v>
      </c>
      <c r="AJ142" s="952">
        <v>1.0</v>
      </c>
      <c r="AK142" s="952">
        <v>4.0</v>
      </c>
      <c r="AL142" s="952">
        <v>0.0</v>
      </c>
      <c r="AM142" s="952">
        <v>1.0</v>
      </c>
    </row>
    <row r="143">
      <c r="A143" s="965" t="s">
        <v>142</v>
      </c>
      <c r="B143" s="941">
        <v>1.0</v>
      </c>
      <c r="C143" s="941">
        <v>0.0</v>
      </c>
      <c r="D143" s="941">
        <v>1.0</v>
      </c>
      <c r="E143" s="941">
        <v>0.0</v>
      </c>
      <c r="F143" s="941">
        <v>0.0</v>
      </c>
      <c r="G143" s="952">
        <v>34.0</v>
      </c>
      <c r="H143" s="952">
        <v>39.0</v>
      </c>
      <c r="I143" s="952">
        <v>-5.0</v>
      </c>
      <c r="J143" s="952">
        <v>3.0</v>
      </c>
      <c r="K143" s="952">
        <v>3.0</v>
      </c>
      <c r="L143" s="952">
        <v>0.0</v>
      </c>
      <c r="M143" s="952">
        <v>703.0</v>
      </c>
      <c r="N143" s="952">
        <v>884.0</v>
      </c>
      <c r="O143" s="952">
        <v>18.0</v>
      </c>
      <c r="P143" s="952">
        <v>3.0</v>
      </c>
      <c r="Q143" s="952">
        <v>0.0</v>
      </c>
      <c r="R143" s="952">
        <v>0.0</v>
      </c>
      <c r="S143" s="952">
        <v>0.0</v>
      </c>
      <c r="T143" s="952">
        <v>0.0</v>
      </c>
      <c r="U143" s="952">
        <v>0.0</v>
      </c>
      <c r="V143" s="952">
        <v>0.0</v>
      </c>
      <c r="W143" s="952">
        <v>0.0</v>
      </c>
      <c r="X143" s="952">
        <v>2.0</v>
      </c>
      <c r="Y143" s="952">
        <v>0.0</v>
      </c>
      <c r="Z143" s="952">
        <v>0.0</v>
      </c>
      <c r="AA143" s="952">
        <v>0.0</v>
      </c>
      <c r="AB143" s="952">
        <v>0.0</v>
      </c>
      <c r="AC143" s="952">
        <v>0.0</v>
      </c>
      <c r="AD143" s="952">
        <v>0.0</v>
      </c>
      <c r="AE143" s="952">
        <v>0.0</v>
      </c>
      <c r="AF143" s="952">
        <v>0.0</v>
      </c>
      <c r="AG143" s="952">
        <v>0.0</v>
      </c>
      <c r="AH143" s="952">
        <v>1.0</v>
      </c>
      <c r="AI143" s="952">
        <v>0.0</v>
      </c>
      <c r="AJ143" s="952">
        <v>4.0</v>
      </c>
      <c r="AK143" s="952">
        <v>5.0</v>
      </c>
      <c r="AL143" s="952">
        <v>0.0</v>
      </c>
      <c r="AM143" s="952">
        <v>1.0</v>
      </c>
    </row>
    <row r="144">
      <c r="A144" s="965" t="s">
        <v>153</v>
      </c>
      <c r="B144" s="941">
        <v>1.0</v>
      </c>
      <c r="C144" s="941">
        <v>0.0</v>
      </c>
      <c r="D144" s="941">
        <v>1.0</v>
      </c>
      <c r="E144" s="941">
        <v>0.0</v>
      </c>
      <c r="F144" s="941">
        <v>2.0</v>
      </c>
      <c r="G144" s="952">
        <v>39.0</v>
      </c>
      <c r="H144" s="952">
        <v>66.0</v>
      </c>
      <c r="I144" s="952">
        <v>-27.0</v>
      </c>
      <c r="J144" s="952">
        <v>1.0</v>
      </c>
      <c r="K144" s="952">
        <v>3.0</v>
      </c>
      <c r="L144" s="952">
        <v>0.0</v>
      </c>
      <c r="M144" s="952">
        <v>623.0</v>
      </c>
      <c r="N144" s="952">
        <v>884.0</v>
      </c>
      <c r="O144" s="952">
        <v>9.0</v>
      </c>
      <c r="P144" s="952">
        <v>194.0</v>
      </c>
      <c r="Q144" s="952">
        <v>0.0</v>
      </c>
      <c r="R144" s="952">
        <v>0.0</v>
      </c>
      <c r="S144" s="952">
        <v>0.0</v>
      </c>
      <c r="T144" s="952">
        <v>0.0</v>
      </c>
      <c r="U144" s="952">
        <v>0.0</v>
      </c>
      <c r="V144" s="952">
        <v>0.0</v>
      </c>
      <c r="W144" s="952">
        <v>0.0</v>
      </c>
      <c r="X144" s="952">
        <v>2.0</v>
      </c>
      <c r="Y144" s="952">
        <v>0.0</v>
      </c>
      <c r="Z144" s="952">
        <v>0.0</v>
      </c>
      <c r="AA144" s="952">
        <v>0.0</v>
      </c>
      <c r="AB144" s="952">
        <v>0.0</v>
      </c>
      <c r="AC144" s="952">
        <v>0.0</v>
      </c>
      <c r="AD144" s="952">
        <v>0.0</v>
      </c>
      <c r="AE144" s="952">
        <v>0.0</v>
      </c>
      <c r="AF144" s="952">
        <v>0.0</v>
      </c>
      <c r="AG144" s="952">
        <v>0.0</v>
      </c>
      <c r="AH144" s="952">
        <v>1.0</v>
      </c>
      <c r="AI144" s="952">
        <v>0.0</v>
      </c>
      <c r="AJ144" s="952">
        <v>9.0</v>
      </c>
      <c r="AK144" s="952">
        <v>1.0</v>
      </c>
      <c r="AL144" s="952">
        <v>0.0</v>
      </c>
      <c r="AM144" s="952">
        <v>1.0</v>
      </c>
    </row>
    <row r="145">
      <c r="A145" s="966" t="s">
        <v>120</v>
      </c>
      <c r="B145" s="941">
        <v>1.0</v>
      </c>
      <c r="C145" s="941">
        <v>0.0</v>
      </c>
      <c r="D145" s="941">
        <v>1.0</v>
      </c>
      <c r="E145" s="941">
        <v>0.0</v>
      </c>
      <c r="F145" s="941">
        <v>0.0</v>
      </c>
      <c r="G145" s="952">
        <v>56.0</v>
      </c>
      <c r="H145" s="952">
        <v>54.0</v>
      </c>
      <c r="I145" s="952">
        <v>2.0</v>
      </c>
      <c r="J145" s="952">
        <v>1.0</v>
      </c>
      <c r="K145" s="952">
        <v>4.0</v>
      </c>
      <c r="L145" s="952">
        <v>1.0</v>
      </c>
      <c r="M145" s="952">
        <v>655.0</v>
      </c>
      <c r="N145" s="952">
        <v>884.0</v>
      </c>
      <c r="O145" s="952">
        <v>12.0</v>
      </c>
      <c r="P145" s="952">
        <v>0.0</v>
      </c>
      <c r="Q145" s="952">
        <v>0.0</v>
      </c>
      <c r="R145" s="952">
        <v>0.0</v>
      </c>
      <c r="S145" s="952">
        <v>0.0</v>
      </c>
      <c r="T145" s="952">
        <v>0.0</v>
      </c>
      <c r="U145" s="952">
        <v>0.0</v>
      </c>
      <c r="V145" s="952">
        <v>0.0</v>
      </c>
      <c r="W145" s="952">
        <v>0.0</v>
      </c>
      <c r="X145" s="952">
        <v>9.0</v>
      </c>
      <c r="Y145" s="952">
        <v>1.0</v>
      </c>
      <c r="Z145" s="952">
        <v>0.0</v>
      </c>
      <c r="AA145" s="952">
        <v>0.0</v>
      </c>
      <c r="AB145" s="952">
        <v>0.0</v>
      </c>
      <c r="AC145" s="952">
        <v>0.0</v>
      </c>
      <c r="AD145" s="952">
        <v>0.0</v>
      </c>
      <c r="AE145" s="952">
        <v>0.0</v>
      </c>
      <c r="AF145" s="952">
        <v>0.0</v>
      </c>
      <c r="AG145" s="952">
        <v>0.0</v>
      </c>
      <c r="AH145" s="952">
        <v>0.0</v>
      </c>
      <c r="AI145" s="952">
        <v>0.0</v>
      </c>
      <c r="AJ145" s="952">
        <v>10.0</v>
      </c>
      <c r="AK145" s="952">
        <v>11.0</v>
      </c>
      <c r="AL145" s="952">
        <v>0.0</v>
      </c>
      <c r="AM145" s="952">
        <v>1.0</v>
      </c>
    </row>
    <row r="146">
      <c r="A146" s="964" t="s">
        <v>153</v>
      </c>
      <c r="B146" s="939">
        <v>1.0</v>
      </c>
      <c r="C146" s="939">
        <v>1.0</v>
      </c>
      <c r="D146" s="939">
        <v>0.0</v>
      </c>
      <c r="E146" s="895">
        <v>4.0</v>
      </c>
      <c r="F146" s="939">
        <v>8.0</v>
      </c>
      <c r="G146" s="950">
        <v>31.0</v>
      </c>
      <c r="H146" s="950">
        <v>35.0</v>
      </c>
      <c r="I146" s="950">
        <v>-4.0</v>
      </c>
      <c r="J146" s="950">
        <v>2.0</v>
      </c>
      <c r="K146" s="950">
        <v>3.0</v>
      </c>
      <c r="L146" s="950">
        <v>0.0</v>
      </c>
      <c r="M146" s="950">
        <v>1000.0</v>
      </c>
      <c r="N146" s="950">
        <v>1185.0</v>
      </c>
      <c r="O146" s="950">
        <v>28.0</v>
      </c>
      <c r="P146" s="950">
        <v>708.0</v>
      </c>
      <c r="Q146" s="950">
        <v>0.0</v>
      </c>
      <c r="R146" s="950">
        <v>0.0</v>
      </c>
      <c r="S146" s="950">
        <v>0.0</v>
      </c>
      <c r="T146" s="950">
        <v>0.0</v>
      </c>
      <c r="U146" s="950">
        <v>0.0</v>
      </c>
      <c r="V146" s="950">
        <v>0.0</v>
      </c>
      <c r="W146" s="950">
        <v>0.0</v>
      </c>
      <c r="X146" s="950">
        <v>2.0</v>
      </c>
      <c r="Y146" s="950">
        <v>0.0</v>
      </c>
      <c r="Z146" s="950">
        <v>0.0</v>
      </c>
      <c r="AA146" s="950">
        <v>0.0</v>
      </c>
      <c r="AB146" s="950">
        <v>0.0</v>
      </c>
      <c r="AC146" s="950">
        <v>0.0</v>
      </c>
      <c r="AD146" s="950">
        <v>0.0</v>
      </c>
      <c r="AE146" s="950">
        <v>0.0</v>
      </c>
      <c r="AF146" s="950">
        <v>0.0</v>
      </c>
      <c r="AG146" s="950">
        <v>0.0</v>
      </c>
      <c r="AH146" s="950">
        <v>2.0</v>
      </c>
      <c r="AI146" s="950">
        <v>0.0</v>
      </c>
      <c r="AJ146" s="950">
        <v>5.0</v>
      </c>
      <c r="AK146" s="950">
        <v>4.0</v>
      </c>
      <c r="AL146" s="950">
        <v>0.0</v>
      </c>
      <c r="AM146" s="951">
        <v>1.0</v>
      </c>
    </row>
    <row r="147">
      <c r="A147" s="965" t="s">
        <v>131</v>
      </c>
      <c r="B147" s="941">
        <v>1.0</v>
      </c>
      <c r="C147" s="941">
        <v>1.0</v>
      </c>
      <c r="D147" s="941">
        <v>0.0</v>
      </c>
      <c r="E147" s="941">
        <v>0.0</v>
      </c>
      <c r="F147" s="941">
        <v>0.0</v>
      </c>
      <c r="G147" s="952">
        <v>75.0</v>
      </c>
      <c r="H147" s="952">
        <v>66.0</v>
      </c>
      <c r="I147" s="952">
        <v>9.0</v>
      </c>
      <c r="J147" s="952">
        <v>4.0</v>
      </c>
      <c r="K147" s="952">
        <v>4.0</v>
      </c>
      <c r="L147" s="952">
        <v>2.0</v>
      </c>
      <c r="M147" s="952">
        <v>910.0</v>
      </c>
      <c r="N147" s="952">
        <v>1185.0</v>
      </c>
      <c r="O147" s="952">
        <v>13.0</v>
      </c>
      <c r="P147" s="952">
        <v>8.0</v>
      </c>
      <c r="Q147" s="952">
        <v>0.0</v>
      </c>
      <c r="R147" s="952">
        <v>0.0</v>
      </c>
      <c r="S147" s="952">
        <v>0.0</v>
      </c>
      <c r="T147" s="952">
        <v>0.0</v>
      </c>
      <c r="U147" s="952">
        <v>0.0</v>
      </c>
      <c r="V147" s="952">
        <v>0.0</v>
      </c>
      <c r="W147" s="952">
        <v>0.0</v>
      </c>
      <c r="X147" s="952">
        <v>13.0</v>
      </c>
      <c r="Y147" s="952">
        <v>1.0</v>
      </c>
      <c r="Z147" s="952">
        <v>0.0</v>
      </c>
      <c r="AA147" s="952">
        <v>0.0</v>
      </c>
      <c r="AB147" s="952">
        <v>0.0</v>
      </c>
      <c r="AC147" s="952">
        <v>0.0</v>
      </c>
      <c r="AD147" s="952">
        <v>0.0</v>
      </c>
      <c r="AE147" s="952">
        <v>0.0</v>
      </c>
      <c r="AF147" s="952">
        <v>0.0</v>
      </c>
      <c r="AG147" s="952">
        <v>0.0</v>
      </c>
      <c r="AH147" s="952">
        <v>1.0</v>
      </c>
      <c r="AI147" s="952">
        <v>0.0</v>
      </c>
      <c r="AJ147" s="952">
        <v>5.0</v>
      </c>
      <c r="AK147" s="952">
        <v>12.0</v>
      </c>
      <c r="AL147" s="952">
        <v>2.0</v>
      </c>
      <c r="AM147" s="954">
        <v>1.0</v>
      </c>
    </row>
    <row r="148">
      <c r="A148" s="965" t="s">
        <v>120</v>
      </c>
      <c r="B148" s="941">
        <v>1.0</v>
      </c>
      <c r="C148" s="941">
        <v>1.0</v>
      </c>
      <c r="D148" s="941">
        <v>0.0</v>
      </c>
      <c r="E148" s="941">
        <v>0.0</v>
      </c>
      <c r="F148" s="941">
        <v>0.0</v>
      </c>
      <c r="G148" s="952">
        <v>88.0</v>
      </c>
      <c r="H148" s="952">
        <v>65.0</v>
      </c>
      <c r="I148" s="952">
        <v>23.0</v>
      </c>
      <c r="J148" s="952">
        <v>6.0</v>
      </c>
      <c r="K148" s="952">
        <v>8.0</v>
      </c>
      <c r="L148" s="952">
        <v>1.0</v>
      </c>
      <c r="M148" s="952">
        <v>917.0</v>
      </c>
      <c r="N148" s="952">
        <v>1185.0</v>
      </c>
      <c r="O148" s="952">
        <v>14.0</v>
      </c>
      <c r="P148" s="952">
        <v>1.0</v>
      </c>
      <c r="Q148" s="952">
        <v>0.0</v>
      </c>
      <c r="R148" s="952">
        <v>2.0</v>
      </c>
      <c r="S148" s="952">
        <v>0.0</v>
      </c>
      <c r="T148" s="952">
        <v>0.0</v>
      </c>
      <c r="U148" s="952">
        <v>0.0</v>
      </c>
      <c r="V148" s="952">
        <v>2.0</v>
      </c>
      <c r="W148" s="952">
        <v>0.0</v>
      </c>
      <c r="X148" s="952">
        <v>14.0</v>
      </c>
      <c r="Y148" s="952">
        <v>3.0</v>
      </c>
      <c r="Z148" s="952">
        <v>2.0</v>
      </c>
      <c r="AA148" s="952">
        <v>1.0</v>
      </c>
      <c r="AB148" s="952">
        <v>0.0</v>
      </c>
      <c r="AC148" s="952">
        <v>0.0</v>
      </c>
      <c r="AD148" s="952">
        <v>0.0</v>
      </c>
      <c r="AE148" s="952">
        <v>0.0</v>
      </c>
      <c r="AF148" s="952">
        <v>0.0</v>
      </c>
      <c r="AG148" s="952">
        <v>0.0</v>
      </c>
      <c r="AH148" s="952">
        <v>3.0</v>
      </c>
      <c r="AI148" s="952">
        <v>0.0</v>
      </c>
      <c r="AJ148" s="952">
        <v>14.0</v>
      </c>
      <c r="AK148" s="952">
        <v>10.0</v>
      </c>
      <c r="AL148" s="952">
        <v>1.0</v>
      </c>
      <c r="AM148" s="954">
        <v>1.0</v>
      </c>
    </row>
    <row r="149">
      <c r="A149" s="965" t="s">
        <v>142</v>
      </c>
      <c r="B149" s="941">
        <v>1.0</v>
      </c>
      <c r="C149" s="941">
        <v>1.0</v>
      </c>
      <c r="D149" s="941">
        <v>0.0</v>
      </c>
      <c r="E149" s="941">
        <v>0.0</v>
      </c>
      <c r="F149" s="941">
        <v>0.0</v>
      </c>
      <c r="G149" s="952">
        <v>65.0</v>
      </c>
      <c r="H149" s="952">
        <v>60.0</v>
      </c>
      <c r="I149" s="952">
        <v>5.0</v>
      </c>
      <c r="J149" s="952">
        <v>1.0</v>
      </c>
      <c r="K149" s="952">
        <v>5.0</v>
      </c>
      <c r="L149" s="952">
        <v>0.0</v>
      </c>
      <c r="M149" s="952">
        <v>927.0</v>
      </c>
      <c r="N149" s="952">
        <v>1185.0</v>
      </c>
      <c r="O149" s="952">
        <v>15.0</v>
      </c>
      <c r="P149" s="952">
        <v>27.0</v>
      </c>
      <c r="Q149" s="952">
        <v>0.0</v>
      </c>
      <c r="R149" s="952">
        <v>3.0</v>
      </c>
      <c r="S149" s="952">
        <v>0.0</v>
      </c>
      <c r="T149" s="952">
        <v>0.0</v>
      </c>
      <c r="U149" s="952">
        <v>0.0</v>
      </c>
      <c r="V149" s="952">
        <v>2.0</v>
      </c>
      <c r="W149" s="952">
        <v>0.0</v>
      </c>
      <c r="X149" s="952">
        <v>12.0</v>
      </c>
      <c r="Y149" s="952">
        <v>1.0</v>
      </c>
      <c r="Z149" s="952">
        <v>0.0</v>
      </c>
      <c r="AA149" s="952">
        <v>0.0</v>
      </c>
      <c r="AB149" s="952">
        <v>0.0</v>
      </c>
      <c r="AC149" s="952">
        <v>0.0</v>
      </c>
      <c r="AD149" s="952">
        <v>0.0</v>
      </c>
      <c r="AE149" s="952">
        <v>0.0</v>
      </c>
      <c r="AF149" s="952">
        <v>0.0</v>
      </c>
      <c r="AG149" s="952">
        <v>0.0</v>
      </c>
      <c r="AH149" s="952">
        <v>3.0</v>
      </c>
      <c r="AI149" s="952">
        <v>0.0</v>
      </c>
      <c r="AJ149" s="952">
        <v>6.0</v>
      </c>
      <c r="AK149" s="952">
        <v>8.0</v>
      </c>
      <c r="AL149" s="952">
        <v>0.0</v>
      </c>
      <c r="AM149" s="954">
        <v>1.0</v>
      </c>
    </row>
    <row r="150">
      <c r="A150" s="965" t="s">
        <v>420</v>
      </c>
      <c r="B150" s="941">
        <v>1.0</v>
      </c>
      <c r="C150" s="941">
        <v>0.0</v>
      </c>
      <c r="D150" s="941">
        <v>1.0</v>
      </c>
      <c r="E150" s="941">
        <v>1.0</v>
      </c>
      <c r="F150" s="941">
        <v>6.0</v>
      </c>
      <c r="G150" s="952">
        <v>53.0</v>
      </c>
      <c r="H150" s="952">
        <v>52.0</v>
      </c>
      <c r="I150" s="952">
        <v>1.0</v>
      </c>
      <c r="J150" s="952">
        <v>7.0</v>
      </c>
      <c r="K150" s="952">
        <v>7.0</v>
      </c>
      <c r="L150" s="952">
        <v>4.0</v>
      </c>
      <c r="M150" s="952">
        <v>955.0</v>
      </c>
      <c r="N150" s="952">
        <v>1185.0</v>
      </c>
      <c r="O150" s="952">
        <v>18.0</v>
      </c>
      <c r="P150" s="952">
        <v>268.0</v>
      </c>
      <c r="Q150" s="952">
        <v>0.0</v>
      </c>
      <c r="R150" s="952">
        <v>2.0</v>
      </c>
      <c r="S150" s="952">
        <v>0.0</v>
      </c>
      <c r="T150" s="952">
        <v>0.0</v>
      </c>
      <c r="U150" s="952">
        <v>0.0</v>
      </c>
      <c r="V150" s="952">
        <v>1.0</v>
      </c>
      <c r="W150" s="952">
        <v>0.0</v>
      </c>
      <c r="X150" s="952">
        <v>8.0</v>
      </c>
      <c r="Y150" s="952">
        <v>0.0</v>
      </c>
      <c r="Z150" s="952">
        <v>0.0</v>
      </c>
      <c r="AA150" s="952">
        <v>0.0</v>
      </c>
      <c r="AB150" s="952">
        <v>0.0</v>
      </c>
      <c r="AC150" s="952">
        <v>0.0</v>
      </c>
      <c r="AD150" s="952">
        <v>0.0</v>
      </c>
      <c r="AE150" s="952">
        <v>0.0</v>
      </c>
      <c r="AF150" s="952">
        <v>0.0</v>
      </c>
      <c r="AG150" s="952">
        <v>0.0</v>
      </c>
      <c r="AH150" s="952">
        <v>0.0</v>
      </c>
      <c r="AI150" s="952">
        <v>0.0</v>
      </c>
      <c r="AJ150" s="952">
        <v>8.0</v>
      </c>
      <c r="AK150" s="952">
        <v>6.0</v>
      </c>
      <c r="AL150" s="952">
        <v>3.0</v>
      </c>
      <c r="AM150" s="954">
        <v>0.0</v>
      </c>
    </row>
    <row r="151">
      <c r="A151" s="965" t="s">
        <v>137</v>
      </c>
      <c r="B151" s="941">
        <v>1.0</v>
      </c>
      <c r="C151" s="941">
        <v>0.0</v>
      </c>
      <c r="D151" s="941">
        <v>1.0</v>
      </c>
      <c r="E151" s="941">
        <v>0.0</v>
      </c>
      <c r="F151" s="941">
        <v>0.0</v>
      </c>
      <c r="G151" s="952">
        <v>52.0</v>
      </c>
      <c r="H151" s="952">
        <v>71.0</v>
      </c>
      <c r="I151" s="952">
        <v>-19.0</v>
      </c>
      <c r="J151" s="952">
        <v>6.0</v>
      </c>
      <c r="K151" s="952">
        <v>3.0</v>
      </c>
      <c r="L151" s="952">
        <v>0.0</v>
      </c>
      <c r="M151" s="952">
        <v>890.0</v>
      </c>
      <c r="N151" s="952">
        <v>1185.0</v>
      </c>
      <c r="O151" s="952">
        <v>12.0</v>
      </c>
      <c r="P151" s="952">
        <v>5.0</v>
      </c>
      <c r="Q151" s="952">
        <v>0.0</v>
      </c>
      <c r="R151" s="952">
        <v>0.0</v>
      </c>
      <c r="S151" s="952">
        <v>0.0</v>
      </c>
      <c r="T151" s="952">
        <v>0.0</v>
      </c>
      <c r="U151" s="952">
        <v>0.0</v>
      </c>
      <c r="V151" s="952">
        <v>0.0</v>
      </c>
      <c r="W151" s="952">
        <v>0.0</v>
      </c>
      <c r="X151" s="952">
        <v>6.0</v>
      </c>
      <c r="Y151" s="952">
        <v>0.0</v>
      </c>
      <c r="Z151" s="952">
        <v>0.0</v>
      </c>
      <c r="AA151" s="952">
        <v>0.0</v>
      </c>
      <c r="AB151" s="952">
        <v>0.0</v>
      </c>
      <c r="AC151" s="952">
        <v>0.0</v>
      </c>
      <c r="AD151" s="952">
        <v>0.0</v>
      </c>
      <c r="AE151" s="952">
        <v>0.0</v>
      </c>
      <c r="AF151" s="952">
        <v>0.0</v>
      </c>
      <c r="AG151" s="952">
        <v>0.0</v>
      </c>
      <c r="AH151" s="952">
        <v>3.0</v>
      </c>
      <c r="AI151" s="952">
        <v>0.0</v>
      </c>
      <c r="AJ151" s="952">
        <v>6.0</v>
      </c>
      <c r="AK151" s="952">
        <v>8.0</v>
      </c>
      <c r="AL151" s="952">
        <v>0.0</v>
      </c>
      <c r="AM151" s="954">
        <v>0.0</v>
      </c>
    </row>
    <row r="152">
      <c r="A152" s="965" t="s">
        <v>115</v>
      </c>
      <c r="B152" s="941">
        <v>1.0</v>
      </c>
      <c r="C152" s="941">
        <v>0.0</v>
      </c>
      <c r="D152" s="941">
        <v>1.0</v>
      </c>
      <c r="E152" s="941">
        <v>0.0</v>
      </c>
      <c r="F152" s="941">
        <v>0.0</v>
      </c>
      <c r="G152" s="952">
        <v>43.0</v>
      </c>
      <c r="H152" s="952">
        <v>79.0</v>
      </c>
      <c r="I152" s="952">
        <v>-36.0</v>
      </c>
      <c r="J152" s="952">
        <v>8.0</v>
      </c>
      <c r="K152" s="952">
        <v>3.0</v>
      </c>
      <c r="L152" s="952">
        <v>1.0</v>
      </c>
      <c r="M152" s="952">
        <v>868.0</v>
      </c>
      <c r="N152" s="952">
        <v>1185.0</v>
      </c>
      <c r="O152" s="952">
        <v>10.0</v>
      </c>
      <c r="P152" s="952">
        <v>0.0</v>
      </c>
      <c r="Q152" s="952">
        <v>0.0</v>
      </c>
      <c r="R152" s="952">
        <v>0.0</v>
      </c>
      <c r="S152" s="952">
        <v>0.0</v>
      </c>
      <c r="T152" s="952">
        <v>0.0</v>
      </c>
      <c r="U152" s="952">
        <v>0.0</v>
      </c>
      <c r="V152" s="952">
        <v>0.0</v>
      </c>
      <c r="W152" s="952">
        <v>0.0</v>
      </c>
      <c r="X152" s="952">
        <v>3.0</v>
      </c>
      <c r="Y152" s="952">
        <v>0.0</v>
      </c>
      <c r="Z152" s="952">
        <v>0.0</v>
      </c>
      <c r="AA152" s="952">
        <v>0.0</v>
      </c>
      <c r="AB152" s="952">
        <v>0.0</v>
      </c>
      <c r="AC152" s="952">
        <v>0.0</v>
      </c>
      <c r="AD152" s="952">
        <v>0.0</v>
      </c>
      <c r="AE152" s="952">
        <v>0.0</v>
      </c>
      <c r="AF152" s="952">
        <v>0.0</v>
      </c>
      <c r="AG152" s="952">
        <v>0.0</v>
      </c>
      <c r="AH152" s="952">
        <v>2.0</v>
      </c>
      <c r="AI152" s="952">
        <v>0.0</v>
      </c>
      <c r="AJ152" s="952">
        <v>2.0</v>
      </c>
      <c r="AK152" s="952">
        <v>10.0</v>
      </c>
      <c r="AL152" s="952">
        <v>0.0</v>
      </c>
      <c r="AM152" s="954">
        <v>0.0</v>
      </c>
    </row>
    <row r="153">
      <c r="A153" s="966" t="s">
        <v>126</v>
      </c>
      <c r="B153" s="944">
        <v>1.0</v>
      </c>
      <c r="C153" s="944">
        <v>0.0</v>
      </c>
      <c r="D153" s="944">
        <v>1.0</v>
      </c>
      <c r="E153" s="944">
        <v>0.0</v>
      </c>
      <c r="F153" s="944">
        <v>0.0</v>
      </c>
      <c r="G153" s="956">
        <v>63.0</v>
      </c>
      <c r="H153" s="956">
        <v>73.0</v>
      </c>
      <c r="I153" s="956">
        <v>-10.0</v>
      </c>
      <c r="J153" s="956">
        <v>3.0</v>
      </c>
      <c r="K153" s="956">
        <v>4.0</v>
      </c>
      <c r="L153" s="956">
        <v>0.0</v>
      </c>
      <c r="M153" s="956">
        <v>892.0</v>
      </c>
      <c r="N153" s="956">
        <v>1185.0</v>
      </c>
      <c r="O153" s="956">
        <v>12.0</v>
      </c>
      <c r="P153" s="956">
        <v>2.0</v>
      </c>
      <c r="Q153" s="956">
        <v>0.0</v>
      </c>
      <c r="R153" s="956">
        <v>0.0</v>
      </c>
      <c r="S153" s="956">
        <v>0.0</v>
      </c>
      <c r="T153" s="956">
        <v>0.0</v>
      </c>
      <c r="U153" s="956">
        <v>0.0</v>
      </c>
      <c r="V153" s="956">
        <v>0.0</v>
      </c>
      <c r="W153" s="956">
        <v>0.0</v>
      </c>
      <c r="X153" s="956">
        <v>7.0</v>
      </c>
      <c r="Y153" s="956">
        <v>0.0</v>
      </c>
      <c r="Z153" s="956">
        <v>0.0</v>
      </c>
      <c r="AA153" s="956">
        <v>0.0</v>
      </c>
      <c r="AB153" s="956">
        <v>0.0</v>
      </c>
      <c r="AC153" s="956">
        <v>0.0</v>
      </c>
      <c r="AD153" s="956">
        <v>0.0</v>
      </c>
      <c r="AE153" s="956">
        <v>0.0</v>
      </c>
      <c r="AF153" s="956">
        <v>0.0</v>
      </c>
      <c r="AG153" s="956">
        <v>0.0</v>
      </c>
      <c r="AH153" s="956">
        <v>3.0</v>
      </c>
      <c r="AI153" s="956">
        <v>0.0</v>
      </c>
      <c r="AJ153" s="956">
        <v>5.0</v>
      </c>
      <c r="AK153" s="956">
        <v>8.0</v>
      </c>
      <c r="AL153" s="956">
        <v>0.0</v>
      </c>
      <c r="AM153" s="957">
        <v>0.0</v>
      </c>
    </row>
    <row r="154">
      <c r="A154" s="964" t="s">
        <v>420</v>
      </c>
      <c r="B154" s="895">
        <v>0.0</v>
      </c>
      <c r="C154" s="895">
        <v>0.0</v>
      </c>
      <c r="D154" s="939">
        <v>0.0</v>
      </c>
      <c r="E154" s="939">
        <v>1.0</v>
      </c>
      <c r="F154" s="939">
        <v>5.0</v>
      </c>
      <c r="G154" s="950">
        <v>33.0</v>
      </c>
      <c r="H154" s="950">
        <v>26.0</v>
      </c>
      <c r="I154" s="950">
        <v>7.0</v>
      </c>
      <c r="J154" s="950">
        <v>2.0</v>
      </c>
      <c r="K154" s="950">
        <v>5.0</v>
      </c>
      <c r="L154" s="950">
        <v>2.0</v>
      </c>
      <c r="M154" s="950">
        <v>568.0</v>
      </c>
      <c r="N154" s="950">
        <v>675.0</v>
      </c>
      <c r="O154" s="950">
        <v>21.0</v>
      </c>
      <c r="P154" s="950">
        <v>124.0</v>
      </c>
      <c r="Q154" s="950">
        <v>0.0</v>
      </c>
      <c r="R154" s="950">
        <v>1.0</v>
      </c>
      <c r="S154" s="950">
        <v>0.0</v>
      </c>
      <c r="T154" s="950">
        <v>0.0</v>
      </c>
      <c r="U154" s="950">
        <v>0.0</v>
      </c>
      <c r="V154" s="950">
        <v>0.0</v>
      </c>
      <c r="W154" s="950">
        <v>0.0</v>
      </c>
      <c r="X154" s="950">
        <v>5.0</v>
      </c>
      <c r="Y154" s="950">
        <v>0.0</v>
      </c>
      <c r="Z154" s="950">
        <v>0.0</v>
      </c>
      <c r="AA154" s="950">
        <v>0.0</v>
      </c>
      <c r="AB154" s="950">
        <v>0.0</v>
      </c>
      <c r="AC154" s="950">
        <v>0.0</v>
      </c>
      <c r="AD154" s="950">
        <v>0.0</v>
      </c>
      <c r="AE154" s="950">
        <v>0.0</v>
      </c>
      <c r="AF154" s="950">
        <v>0.0</v>
      </c>
      <c r="AG154" s="950">
        <v>0.0</v>
      </c>
      <c r="AH154" s="950">
        <v>0.0</v>
      </c>
      <c r="AI154" s="950">
        <v>0.0</v>
      </c>
      <c r="AJ154" s="950">
        <v>6.0</v>
      </c>
      <c r="AK154" s="950">
        <v>4.0</v>
      </c>
      <c r="AL154" s="950">
        <v>0.0</v>
      </c>
      <c r="AM154" s="951">
        <v>0.0</v>
      </c>
    </row>
    <row r="155">
      <c r="A155" s="965" t="s">
        <v>115</v>
      </c>
      <c r="B155" s="1">
        <v>0.0</v>
      </c>
      <c r="C155" s="1">
        <v>0.0</v>
      </c>
      <c r="D155" s="941">
        <v>0.0</v>
      </c>
      <c r="E155" s="941">
        <v>0.0</v>
      </c>
      <c r="F155" s="941">
        <v>0.0</v>
      </c>
      <c r="G155" s="952">
        <v>34.0</v>
      </c>
      <c r="H155" s="952">
        <v>41.0</v>
      </c>
      <c r="I155" s="952">
        <v>-7.0</v>
      </c>
      <c r="J155" s="952">
        <v>2.0</v>
      </c>
      <c r="K155" s="952">
        <v>3.0</v>
      </c>
      <c r="L155" s="952">
        <v>0.0</v>
      </c>
      <c r="M155" s="952">
        <v>524.0</v>
      </c>
      <c r="N155" s="952">
        <v>675.0</v>
      </c>
      <c r="O155" s="952">
        <v>12.0</v>
      </c>
      <c r="P155" s="952">
        <v>0.0</v>
      </c>
      <c r="Q155" s="952">
        <v>0.0</v>
      </c>
      <c r="R155" s="952">
        <v>0.0</v>
      </c>
      <c r="S155" s="952">
        <v>0.0</v>
      </c>
      <c r="T155" s="952">
        <v>0.0</v>
      </c>
      <c r="U155" s="952">
        <v>0.0</v>
      </c>
      <c r="V155" s="952">
        <v>0.0</v>
      </c>
      <c r="W155" s="952">
        <v>0.0</v>
      </c>
      <c r="X155" s="952">
        <v>3.0</v>
      </c>
      <c r="Y155" s="952">
        <v>0.0</v>
      </c>
      <c r="Z155" s="952">
        <v>0.0</v>
      </c>
      <c r="AA155" s="952">
        <v>0.0</v>
      </c>
      <c r="AB155" s="952">
        <v>0.0</v>
      </c>
      <c r="AC155" s="952">
        <v>0.0</v>
      </c>
      <c r="AD155" s="952">
        <v>0.0</v>
      </c>
      <c r="AE155" s="952">
        <v>0.0</v>
      </c>
      <c r="AF155" s="952">
        <v>0.0</v>
      </c>
      <c r="AG155" s="952">
        <v>0.0</v>
      </c>
      <c r="AH155" s="952">
        <v>2.0</v>
      </c>
      <c r="AI155" s="952">
        <v>0.0</v>
      </c>
      <c r="AJ155" s="952">
        <v>1.0</v>
      </c>
      <c r="AK155" s="952">
        <v>4.0</v>
      </c>
      <c r="AL155" s="952">
        <v>1.0</v>
      </c>
      <c r="AM155" s="954">
        <v>0.0</v>
      </c>
    </row>
    <row r="156">
      <c r="A156" s="965" t="s">
        <v>137</v>
      </c>
      <c r="B156" s="1">
        <v>0.0</v>
      </c>
      <c r="C156" s="1">
        <v>0.0</v>
      </c>
      <c r="D156" s="941">
        <v>0.0</v>
      </c>
      <c r="E156" s="941">
        <v>0.0</v>
      </c>
      <c r="F156" s="941">
        <v>0.0</v>
      </c>
      <c r="G156" s="952">
        <v>41.0</v>
      </c>
      <c r="H156" s="952">
        <v>39.0</v>
      </c>
      <c r="I156" s="952">
        <v>2.0</v>
      </c>
      <c r="J156" s="952">
        <v>2.0</v>
      </c>
      <c r="K156" s="952">
        <v>4.0</v>
      </c>
      <c r="L156" s="952">
        <v>1.0</v>
      </c>
      <c r="M156" s="952">
        <v>535.0</v>
      </c>
      <c r="N156" s="952">
        <v>675.0</v>
      </c>
      <c r="O156" s="952">
        <v>13.0</v>
      </c>
      <c r="P156" s="952">
        <v>0.0</v>
      </c>
      <c r="Q156" s="952">
        <v>0.0</v>
      </c>
      <c r="R156" s="952">
        <v>0.0</v>
      </c>
      <c r="S156" s="952">
        <v>0.0</v>
      </c>
      <c r="T156" s="952">
        <v>0.0</v>
      </c>
      <c r="U156" s="952">
        <v>0.0</v>
      </c>
      <c r="V156" s="952">
        <v>0.0</v>
      </c>
      <c r="W156" s="952">
        <v>0.0</v>
      </c>
      <c r="X156" s="952">
        <v>7.0</v>
      </c>
      <c r="Y156" s="952">
        <v>1.0</v>
      </c>
      <c r="Z156" s="952">
        <v>0.0</v>
      </c>
      <c r="AA156" s="952">
        <v>0.0</v>
      </c>
      <c r="AB156" s="952">
        <v>0.0</v>
      </c>
      <c r="AC156" s="952">
        <v>0.0</v>
      </c>
      <c r="AD156" s="952">
        <v>0.0</v>
      </c>
      <c r="AE156" s="952">
        <v>0.0</v>
      </c>
      <c r="AF156" s="952">
        <v>0.0</v>
      </c>
      <c r="AG156" s="952">
        <v>0.0</v>
      </c>
      <c r="AH156" s="952">
        <v>7.0</v>
      </c>
      <c r="AI156" s="952">
        <v>0.0</v>
      </c>
      <c r="AJ156" s="952">
        <v>4.0</v>
      </c>
      <c r="AK156" s="952">
        <v>9.0</v>
      </c>
      <c r="AL156" s="952">
        <v>0.0</v>
      </c>
      <c r="AM156" s="954">
        <v>0.0</v>
      </c>
    </row>
    <row r="157">
      <c r="A157" s="965" t="s">
        <v>126</v>
      </c>
      <c r="B157" s="1">
        <v>0.0</v>
      </c>
      <c r="C157" s="1">
        <v>0.0</v>
      </c>
      <c r="D157" s="941">
        <v>0.0</v>
      </c>
      <c r="E157" s="941">
        <v>0.0</v>
      </c>
      <c r="F157" s="941">
        <v>0.0</v>
      </c>
      <c r="G157" s="952">
        <v>40.0</v>
      </c>
      <c r="H157" s="952">
        <v>41.0</v>
      </c>
      <c r="I157" s="952">
        <v>-1.0</v>
      </c>
      <c r="J157" s="952">
        <v>2.0</v>
      </c>
      <c r="K157" s="952">
        <v>3.0</v>
      </c>
      <c r="L157" s="952">
        <v>1.0</v>
      </c>
      <c r="M157" s="952">
        <v>529.0</v>
      </c>
      <c r="N157" s="952">
        <v>675.0</v>
      </c>
      <c r="O157" s="952">
        <v>12.0</v>
      </c>
      <c r="P157" s="952">
        <v>5.0</v>
      </c>
      <c r="Q157" s="952">
        <v>0.0</v>
      </c>
      <c r="R157" s="952">
        <v>0.0</v>
      </c>
      <c r="S157" s="952">
        <v>0.0</v>
      </c>
      <c r="T157" s="952">
        <v>0.0</v>
      </c>
      <c r="U157" s="952">
        <v>0.0</v>
      </c>
      <c r="V157" s="952">
        <v>0.0</v>
      </c>
      <c r="W157" s="952">
        <v>0.0</v>
      </c>
      <c r="X157" s="952">
        <v>5.0</v>
      </c>
      <c r="Y157" s="952">
        <v>1.0</v>
      </c>
      <c r="Z157" s="952">
        <v>0.0</v>
      </c>
      <c r="AA157" s="952">
        <v>0.0</v>
      </c>
      <c r="AB157" s="952">
        <v>0.0</v>
      </c>
      <c r="AC157" s="952">
        <v>0.0</v>
      </c>
      <c r="AD157" s="952">
        <v>0.0</v>
      </c>
      <c r="AE157" s="952">
        <v>0.0</v>
      </c>
      <c r="AF157" s="952">
        <v>0.0</v>
      </c>
      <c r="AG157" s="952">
        <v>0.0</v>
      </c>
      <c r="AH157" s="952">
        <v>5.0</v>
      </c>
      <c r="AI157" s="952">
        <v>0.0</v>
      </c>
      <c r="AJ157" s="952">
        <v>2.0</v>
      </c>
      <c r="AK157" s="952">
        <v>3.0</v>
      </c>
      <c r="AL157" s="952">
        <v>0.0</v>
      </c>
      <c r="AM157" s="954">
        <v>0.0</v>
      </c>
    </row>
    <row r="158">
      <c r="A158" s="965" t="s">
        <v>153</v>
      </c>
      <c r="B158" s="1">
        <v>0.0</v>
      </c>
      <c r="C158" s="1">
        <v>0.0</v>
      </c>
      <c r="D158" s="941">
        <v>0.0</v>
      </c>
      <c r="E158" s="941">
        <v>1.0</v>
      </c>
      <c r="F158" s="941">
        <v>3.0</v>
      </c>
      <c r="G158" s="952">
        <v>16.0</v>
      </c>
      <c r="H158" s="952">
        <v>19.0</v>
      </c>
      <c r="I158" s="952">
        <v>-3.0</v>
      </c>
      <c r="J158" s="952">
        <v>0.0</v>
      </c>
      <c r="K158" s="952">
        <v>4.0</v>
      </c>
      <c r="L158" s="952">
        <v>0.0</v>
      </c>
      <c r="M158" s="952">
        <v>595.0</v>
      </c>
      <c r="N158" s="952">
        <v>675.0</v>
      </c>
      <c r="O158" s="952">
        <v>31.0</v>
      </c>
      <c r="P158" s="952">
        <v>451.0</v>
      </c>
      <c r="Q158" s="952">
        <v>0.0</v>
      </c>
      <c r="R158" s="952">
        <v>0.0</v>
      </c>
      <c r="S158" s="952">
        <v>0.0</v>
      </c>
      <c r="T158" s="952">
        <v>0.0</v>
      </c>
      <c r="U158" s="952">
        <v>0.0</v>
      </c>
      <c r="V158" s="952">
        <v>0.0</v>
      </c>
      <c r="W158" s="952">
        <v>0.0</v>
      </c>
      <c r="X158" s="952">
        <v>1.0</v>
      </c>
      <c r="Y158" s="952">
        <v>0.0</v>
      </c>
      <c r="Z158" s="952">
        <v>0.0</v>
      </c>
      <c r="AA158" s="952">
        <v>0.0</v>
      </c>
      <c r="AB158" s="952">
        <v>0.0</v>
      </c>
      <c r="AC158" s="952">
        <v>0.0</v>
      </c>
      <c r="AD158" s="952">
        <v>0.0</v>
      </c>
      <c r="AE158" s="952">
        <v>0.0</v>
      </c>
      <c r="AF158" s="952">
        <v>0.0</v>
      </c>
      <c r="AG158" s="952">
        <v>0.0</v>
      </c>
      <c r="AH158" s="952">
        <v>0.0</v>
      </c>
      <c r="AI158" s="952">
        <v>0.0</v>
      </c>
      <c r="AJ158" s="952">
        <v>4.0</v>
      </c>
      <c r="AK158" s="952">
        <v>2.0</v>
      </c>
      <c r="AL158" s="952">
        <v>0.0</v>
      </c>
      <c r="AM158" s="954">
        <v>1.0</v>
      </c>
    </row>
    <row r="159">
      <c r="A159" s="965" t="s">
        <v>131</v>
      </c>
      <c r="B159" s="1">
        <v>0.0</v>
      </c>
      <c r="C159" s="1">
        <v>0.0</v>
      </c>
      <c r="D159" s="941">
        <v>0.0</v>
      </c>
      <c r="E159" s="941">
        <v>0.0</v>
      </c>
      <c r="F159" s="941">
        <v>1.0</v>
      </c>
      <c r="G159" s="952">
        <v>38.0</v>
      </c>
      <c r="H159" s="952">
        <v>45.0</v>
      </c>
      <c r="I159" s="952">
        <v>-7.0</v>
      </c>
      <c r="J159" s="952">
        <v>3.0</v>
      </c>
      <c r="K159" s="952">
        <v>5.0</v>
      </c>
      <c r="L159" s="952">
        <v>1.0</v>
      </c>
      <c r="M159" s="952">
        <v>514.0</v>
      </c>
      <c r="N159" s="952">
        <v>675.0</v>
      </c>
      <c r="O159" s="952">
        <v>11.0</v>
      </c>
      <c r="P159" s="952">
        <v>4.0</v>
      </c>
      <c r="Q159" s="952">
        <v>0.0</v>
      </c>
      <c r="R159" s="952">
        <v>2.0</v>
      </c>
      <c r="S159" s="952">
        <v>0.0</v>
      </c>
      <c r="T159" s="952">
        <v>0.0</v>
      </c>
      <c r="U159" s="952">
        <v>0.0</v>
      </c>
      <c r="V159" s="952">
        <v>1.0</v>
      </c>
      <c r="W159" s="952">
        <v>0.0</v>
      </c>
      <c r="X159" s="952">
        <v>4.0</v>
      </c>
      <c r="Y159" s="952">
        <v>2.0</v>
      </c>
      <c r="Z159" s="952">
        <v>1.0</v>
      </c>
      <c r="AA159" s="952">
        <v>1.0</v>
      </c>
      <c r="AB159" s="952">
        <v>0.0</v>
      </c>
      <c r="AC159" s="952">
        <v>0.0</v>
      </c>
      <c r="AD159" s="952">
        <v>0.0</v>
      </c>
      <c r="AE159" s="952">
        <v>0.0</v>
      </c>
      <c r="AF159" s="952">
        <v>0.0</v>
      </c>
      <c r="AG159" s="952">
        <v>0.0</v>
      </c>
      <c r="AH159" s="952">
        <v>0.0</v>
      </c>
      <c r="AI159" s="952">
        <v>0.0</v>
      </c>
      <c r="AJ159" s="952">
        <v>6.0</v>
      </c>
      <c r="AK159" s="952">
        <v>2.0</v>
      </c>
      <c r="AL159" s="952">
        <v>0.0</v>
      </c>
      <c r="AM159" s="954">
        <v>1.0</v>
      </c>
    </row>
    <row r="160">
      <c r="A160" s="965" t="s">
        <v>120</v>
      </c>
      <c r="B160" s="1">
        <v>0.0</v>
      </c>
      <c r="C160" s="1">
        <v>0.0</v>
      </c>
      <c r="D160" s="941">
        <v>0.0</v>
      </c>
      <c r="E160" s="941">
        <v>0.0</v>
      </c>
      <c r="F160" s="941">
        <v>0.0</v>
      </c>
      <c r="G160" s="952">
        <v>46.0</v>
      </c>
      <c r="H160" s="952">
        <v>42.0</v>
      </c>
      <c r="I160" s="952">
        <v>4.0</v>
      </c>
      <c r="J160" s="952">
        <v>4.0</v>
      </c>
      <c r="K160" s="952">
        <v>5.0</v>
      </c>
      <c r="L160" s="952">
        <v>1.0</v>
      </c>
      <c r="M160" s="952">
        <v>526.0</v>
      </c>
      <c r="N160" s="952">
        <v>675.0</v>
      </c>
      <c r="O160" s="952">
        <v>12.0</v>
      </c>
      <c r="P160" s="952">
        <v>2.0</v>
      </c>
      <c r="Q160" s="952">
        <v>0.0</v>
      </c>
      <c r="R160" s="952">
        <v>1.0</v>
      </c>
      <c r="S160" s="952">
        <v>0.0</v>
      </c>
      <c r="T160" s="952">
        <v>0.0</v>
      </c>
      <c r="U160" s="952">
        <v>0.0</v>
      </c>
      <c r="V160" s="952">
        <v>1.0</v>
      </c>
      <c r="W160" s="952">
        <v>0.0</v>
      </c>
      <c r="X160" s="952">
        <v>6.0</v>
      </c>
      <c r="Y160" s="952">
        <v>2.0</v>
      </c>
      <c r="Z160" s="952">
        <v>1.0</v>
      </c>
      <c r="AA160" s="952">
        <v>1.0</v>
      </c>
      <c r="AB160" s="952">
        <v>0.0</v>
      </c>
      <c r="AC160" s="952">
        <v>0.0</v>
      </c>
      <c r="AD160" s="952">
        <v>0.0</v>
      </c>
      <c r="AE160" s="952">
        <v>0.0</v>
      </c>
      <c r="AF160" s="952">
        <v>0.0</v>
      </c>
      <c r="AG160" s="952">
        <v>0.0</v>
      </c>
      <c r="AH160" s="952">
        <v>2.0</v>
      </c>
      <c r="AI160" s="952">
        <v>0.0</v>
      </c>
      <c r="AJ160" s="952">
        <v>6.0</v>
      </c>
      <c r="AK160" s="952">
        <v>5.0</v>
      </c>
      <c r="AL160" s="952">
        <v>0.0</v>
      </c>
      <c r="AM160" s="954">
        <v>1.0</v>
      </c>
    </row>
    <row r="161">
      <c r="A161" s="966" t="s">
        <v>142</v>
      </c>
      <c r="B161" s="882">
        <v>0.0</v>
      </c>
      <c r="C161" s="882">
        <v>0.0</v>
      </c>
      <c r="D161" s="944">
        <v>0.0</v>
      </c>
      <c r="E161" s="944">
        <v>0.0</v>
      </c>
      <c r="F161" s="944">
        <v>0.0</v>
      </c>
      <c r="G161" s="956">
        <v>39.0</v>
      </c>
      <c r="H161" s="956">
        <v>47.0</v>
      </c>
      <c r="I161" s="956">
        <v>-8.0</v>
      </c>
      <c r="J161" s="956">
        <v>0.0</v>
      </c>
      <c r="K161" s="956">
        <v>4.0</v>
      </c>
      <c r="L161" s="956">
        <v>0.0</v>
      </c>
      <c r="M161" s="956">
        <v>505.0</v>
      </c>
      <c r="N161" s="956">
        <v>675.0</v>
      </c>
      <c r="O161" s="956">
        <v>10.0</v>
      </c>
      <c r="P161" s="956">
        <v>27.0</v>
      </c>
      <c r="Q161" s="956">
        <v>0.0</v>
      </c>
      <c r="R161" s="956">
        <v>0.0</v>
      </c>
      <c r="S161" s="956">
        <v>0.0</v>
      </c>
      <c r="T161" s="956">
        <v>0.0</v>
      </c>
      <c r="U161" s="956">
        <v>0.0</v>
      </c>
      <c r="V161" s="956">
        <v>0.0</v>
      </c>
      <c r="W161" s="956">
        <v>0.0</v>
      </c>
      <c r="X161" s="956">
        <v>6.0</v>
      </c>
      <c r="Y161" s="956">
        <v>1.0</v>
      </c>
      <c r="Z161" s="956">
        <v>0.0</v>
      </c>
      <c r="AA161" s="956">
        <v>0.0</v>
      </c>
      <c r="AB161" s="956">
        <v>0.0</v>
      </c>
      <c r="AC161" s="956">
        <v>0.0</v>
      </c>
      <c r="AD161" s="956">
        <v>0.0</v>
      </c>
      <c r="AE161" s="956">
        <v>0.0</v>
      </c>
      <c r="AF161" s="956">
        <v>0.0</v>
      </c>
      <c r="AG161" s="956">
        <v>0.0</v>
      </c>
      <c r="AH161" s="956">
        <v>0.0</v>
      </c>
      <c r="AI161" s="956">
        <v>0.0</v>
      </c>
      <c r="AJ161" s="956">
        <v>5.0</v>
      </c>
      <c r="AK161" s="956">
        <v>2.0</v>
      </c>
      <c r="AL161" s="956">
        <v>1.0</v>
      </c>
      <c r="AM161" s="957">
        <v>1.0</v>
      </c>
    </row>
    <row r="162">
      <c r="A162" s="946" t="s">
        <v>118</v>
      </c>
      <c r="B162" s="939">
        <v>1.0</v>
      </c>
      <c r="C162" s="939">
        <v>1.0</v>
      </c>
      <c r="D162" s="939">
        <v>0.0</v>
      </c>
      <c r="E162" s="939">
        <v>3.0</v>
      </c>
      <c r="F162" s="939">
        <v>24.0</v>
      </c>
      <c r="G162" s="939">
        <v>95.0</v>
      </c>
      <c r="H162" s="939">
        <v>80.0</v>
      </c>
      <c r="I162" s="939">
        <v>15.0</v>
      </c>
      <c r="J162" s="939">
        <v>8.0</v>
      </c>
      <c r="K162" s="939">
        <v>10.0</v>
      </c>
      <c r="L162" s="939">
        <v>4.0</v>
      </c>
      <c r="M162" s="939">
        <v>1939.0</v>
      </c>
      <c r="N162" s="939">
        <v>2285.0</v>
      </c>
      <c r="O162" s="939">
        <v>24.0</v>
      </c>
      <c r="P162" s="939">
        <v>1169.0</v>
      </c>
      <c r="Q162" s="939">
        <v>0.0</v>
      </c>
      <c r="R162" s="939">
        <v>3.0</v>
      </c>
      <c r="S162" s="939">
        <v>1.0</v>
      </c>
      <c r="T162" s="939">
        <v>0.0</v>
      </c>
      <c r="U162" s="939">
        <v>0.0</v>
      </c>
      <c r="V162" s="939">
        <v>0.0</v>
      </c>
      <c r="W162" s="939">
        <v>0.0</v>
      </c>
      <c r="X162" s="939">
        <v>14.0</v>
      </c>
      <c r="Y162" s="939">
        <v>2.0</v>
      </c>
      <c r="Z162" s="939">
        <v>0.0</v>
      </c>
      <c r="AA162" s="939">
        <v>0.0</v>
      </c>
      <c r="AB162" s="939">
        <v>0.0</v>
      </c>
      <c r="AC162" s="939">
        <v>0.0</v>
      </c>
      <c r="AD162" s="939">
        <v>0.0</v>
      </c>
      <c r="AE162" s="939">
        <v>0.0</v>
      </c>
      <c r="AF162" s="939">
        <v>0.0</v>
      </c>
      <c r="AG162" s="939">
        <v>0.0</v>
      </c>
      <c r="AH162" s="939">
        <v>1.0</v>
      </c>
      <c r="AI162" s="939">
        <v>0.0</v>
      </c>
      <c r="AJ162" s="939">
        <v>15.0</v>
      </c>
      <c r="AK162" s="939">
        <v>8.0</v>
      </c>
      <c r="AL162" s="939">
        <v>1.0</v>
      </c>
      <c r="AM162" s="940">
        <v>0.0</v>
      </c>
    </row>
    <row r="163">
      <c r="A163" s="935" t="s">
        <v>129</v>
      </c>
      <c r="B163" s="941">
        <v>1.0</v>
      </c>
      <c r="C163" s="941">
        <v>1.0</v>
      </c>
      <c r="D163" s="941">
        <v>0.0</v>
      </c>
      <c r="E163" s="941">
        <v>2.0</v>
      </c>
      <c r="F163" s="941">
        <v>9.0</v>
      </c>
      <c r="G163" s="941">
        <v>147.0</v>
      </c>
      <c r="H163" s="941">
        <v>121.0</v>
      </c>
      <c r="I163" s="941">
        <v>26.0</v>
      </c>
      <c r="J163" s="941">
        <v>6.0</v>
      </c>
      <c r="K163" s="941">
        <v>5.0</v>
      </c>
      <c r="L163" s="941">
        <v>2.0</v>
      </c>
      <c r="M163" s="941">
        <v>1816.0</v>
      </c>
      <c r="N163" s="941">
        <v>2285.0</v>
      </c>
      <c r="O163" s="941">
        <v>15.0</v>
      </c>
      <c r="P163" s="941">
        <v>229.0</v>
      </c>
      <c r="Q163" s="941">
        <v>0.0</v>
      </c>
      <c r="R163" s="941">
        <v>1.0</v>
      </c>
      <c r="S163" s="941">
        <v>0.0</v>
      </c>
      <c r="T163" s="941">
        <v>0.0</v>
      </c>
      <c r="U163" s="941">
        <v>0.0</v>
      </c>
      <c r="V163" s="941">
        <v>0.0</v>
      </c>
      <c r="W163" s="941">
        <v>0.0</v>
      </c>
      <c r="X163" s="941">
        <v>17.0</v>
      </c>
      <c r="Y163" s="941">
        <v>3.0</v>
      </c>
      <c r="Z163" s="941">
        <v>1.0</v>
      </c>
      <c r="AA163" s="941">
        <v>0.0</v>
      </c>
      <c r="AB163" s="941">
        <v>0.0</v>
      </c>
      <c r="AC163" s="941">
        <v>0.0</v>
      </c>
      <c r="AD163" s="941">
        <v>0.0</v>
      </c>
      <c r="AE163" s="941">
        <v>0.0</v>
      </c>
      <c r="AF163" s="941">
        <v>0.0</v>
      </c>
      <c r="AG163" s="941">
        <v>0.0</v>
      </c>
      <c r="AH163" s="941">
        <v>11.0</v>
      </c>
      <c r="AI163" s="941">
        <v>0.0</v>
      </c>
      <c r="AJ163" s="941">
        <v>25.0</v>
      </c>
      <c r="AK163" s="941">
        <v>14.0</v>
      </c>
      <c r="AL163" s="941">
        <v>0.0</v>
      </c>
      <c r="AM163" s="942">
        <v>0.0</v>
      </c>
    </row>
    <row r="164">
      <c r="A164" s="935" t="s">
        <v>151</v>
      </c>
      <c r="B164" s="941">
        <v>1.0</v>
      </c>
      <c r="C164" s="941">
        <v>1.0</v>
      </c>
      <c r="D164" s="941">
        <v>0.0</v>
      </c>
      <c r="E164" s="941">
        <v>0.0</v>
      </c>
      <c r="F164" s="941">
        <v>0.0</v>
      </c>
      <c r="G164" s="941">
        <v>160.0</v>
      </c>
      <c r="H164" s="941">
        <v>135.0</v>
      </c>
      <c r="I164" s="941">
        <v>25.0</v>
      </c>
      <c r="J164" s="941">
        <v>10.0</v>
      </c>
      <c r="K164" s="941">
        <v>6.0</v>
      </c>
      <c r="L164" s="941">
        <v>1.0</v>
      </c>
      <c r="M164" s="941">
        <v>1771.0</v>
      </c>
      <c r="N164" s="941">
        <v>2285.0</v>
      </c>
      <c r="O164" s="941">
        <v>13.0</v>
      </c>
      <c r="P164" s="941">
        <v>0.0</v>
      </c>
      <c r="Q164" s="941">
        <v>0.0</v>
      </c>
      <c r="R164" s="941">
        <v>3.0</v>
      </c>
      <c r="S164" s="941">
        <v>0.0</v>
      </c>
      <c r="T164" s="941">
        <v>0.0</v>
      </c>
      <c r="U164" s="941">
        <v>0.0</v>
      </c>
      <c r="V164" s="941">
        <v>3.0</v>
      </c>
      <c r="W164" s="941">
        <v>0.0</v>
      </c>
      <c r="X164" s="941">
        <v>21.0</v>
      </c>
      <c r="Y164" s="941">
        <v>4.0</v>
      </c>
      <c r="Z164" s="941">
        <v>1.0</v>
      </c>
      <c r="AA164" s="941">
        <v>0.0</v>
      </c>
      <c r="AB164" s="941">
        <v>0.0</v>
      </c>
      <c r="AC164" s="941">
        <v>0.0</v>
      </c>
      <c r="AD164" s="941">
        <v>0.0</v>
      </c>
      <c r="AE164" s="941">
        <v>0.0</v>
      </c>
      <c r="AF164" s="941">
        <v>0.0</v>
      </c>
      <c r="AG164" s="941">
        <v>0.0</v>
      </c>
      <c r="AH164" s="941">
        <v>13.0</v>
      </c>
      <c r="AI164" s="941">
        <v>0.0</v>
      </c>
      <c r="AJ164" s="941">
        <v>5.0</v>
      </c>
      <c r="AK164" s="941">
        <v>18.0</v>
      </c>
      <c r="AL164" s="941">
        <v>1.0</v>
      </c>
      <c r="AM164" s="942">
        <v>0.0</v>
      </c>
    </row>
    <row r="165">
      <c r="A165" s="935" t="s">
        <v>140</v>
      </c>
      <c r="B165" s="941">
        <v>1.0</v>
      </c>
      <c r="C165" s="941">
        <v>1.0</v>
      </c>
      <c r="D165" s="941">
        <v>0.0</v>
      </c>
      <c r="E165" s="941">
        <v>0.0</v>
      </c>
      <c r="F165" s="941">
        <v>1.0</v>
      </c>
      <c r="G165" s="941">
        <v>118.0</v>
      </c>
      <c r="H165" s="941">
        <v>119.0</v>
      </c>
      <c r="I165" s="941">
        <v>-1.0</v>
      </c>
      <c r="J165" s="941">
        <v>14.0</v>
      </c>
      <c r="K165" s="941">
        <v>4.0</v>
      </c>
      <c r="L165" s="941">
        <v>3.0</v>
      </c>
      <c r="M165" s="941">
        <v>1817.0</v>
      </c>
      <c r="N165" s="941">
        <v>2285.0</v>
      </c>
      <c r="O165" s="941">
        <v>15.0</v>
      </c>
      <c r="P165" s="941">
        <v>14.0</v>
      </c>
      <c r="Q165" s="941">
        <v>0.0</v>
      </c>
      <c r="R165" s="941">
        <v>0.0</v>
      </c>
      <c r="S165" s="941">
        <v>0.0</v>
      </c>
      <c r="T165" s="941">
        <v>0.0</v>
      </c>
      <c r="U165" s="941">
        <v>0.0</v>
      </c>
      <c r="V165" s="941">
        <v>0.0</v>
      </c>
      <c r="W165" s="941">
        <v>0.0</v>
      </c>
      <c r="X165" s="941">
        <v>17.0</v>
      </c>
      <c r="Y165" s="941">
        <v>1.0</v>
      </c>
      <c r="Z165" s="941">
        <v>0.0</v>
      </c>
      <c r="AA165" s="941">
        <v>0.0</v>
      </c>
      <c r="AB165" s="941">
        <v>0.0</v>
      </c>
      <c r="AC165" s="941">
        <v>0.0</v>
      </c>
      <c r="AD165" s="941">
        <v>0.0</v>
      </c>
      <c r="AE165" s="941">
        <v>0.0</v>
      </c>
      <c r="AF165" s="941">
        <v>0.0</v>
      </c>
      <c r="AG165" s="941">
        <v>0.0</v>
      </c>
      <c r="AH165" s="941">
        <v>0.0</v>
      </c>
      <c r="AI165" s="941">
        <v>0.0</v>
      </c>
      <c r="AJ165" s="941">
        <v>10.0</v>
      </c>
      <c r="AK165" s="941">
        <v>19.0</v>
      </c>
      <c r="AL165" s="941">
        <v>0.0</v>
      </c>
      <c r="AM165" s="942">
        <v>0.0</v>
      </c>
    </row>
    <row r="166">
      <c r="A166" s="935" t="s">
        <v>128</v>
      </c>
      <c r="B166" s="941">
        <v>1.0</v>
      </c>
      <c r="C166" s="941">
        <v>0.0</v>
      </c>
      <c r="D166" s="941">
        <v>1.0</v>
      </c>
      <c r="E166" s="941">
        <v>2.0</v>
      </c>
      <c r="F166" s="941">
        <v>2.0</v>
      </c>
      <c r="G166" s="941">
        <v>141.0</v>
      </c>
      <c r="H166" s="941">
        <v>146.0</v>
      </c>
      <c r="I166" s="941">
        <v>-5.0</v>
      </c>
      <c r="J166" s="941">
        <v>8.0</v>
      </c>
      <c r="K166" s="941">
        <v>5.0</v>
      </c>
      <c r="L166" s="941">
        <v>1.0</v>
      </c>
      <c r="M166" s="941">
        <v>1738.0</v>
      </c>
      <c r="N166" s="941">
        <v>2285.0</v>
      </c>
      <c r="O166" s="941">
        <v>11.0</v>
      </c>
      <c r="P166" s="941">
        <v>57.0</v>
      </c>
      <c r="Q166" s="941">
        <v>0.0</v>
      </c>
      <c r="R166" s="941">
        <v>2.0</v>
      </c>
      <c r="S166" s="941">
        <v>0.0</v>
      </c>
      <c r="T166" s="941">
        <v>0.0</v>
      </c>
      <c r="U166" s="941">
        <v>0.0</v>
      </c>
      <c r="V166" s="941">
        <v>0.0</v>
      </c>
      <c r="W166" s="941">
        <v>0.0</v>
      </c>
      <c r="X166" s="941">
        <v>23.0</v>
      </c>
      <c r="Y166" s="941">
        <v>5.0</v>
      </c>
      <c r="Z166" s="941">
        <v>1.0</v>
      </c>
      <c r="AA166" s="941">
        <v>0.0</v>
      </c>
      <c r="AB166" s="941">
        <v>0.0</v>
      </c>
      <c r="AC166" s="941">
        <v>0.0</v>
      </c>
      <c r="AD166" s="941">
        <v>0.0</v>
      </c>
      <c r="AE166" s="941">
        <v>0.0</v>
      </c>
      <c r="AF166" s="941">
        <v>0.0</v>
      </c>
      <c r="AG166" s="941">
        <v>0.0</v>
      </c>
      <c r="AH166" s="941">
        <v>1.0</v>
      </c>
      <c r="AI166" s="941">
        <v>0.0</v>
      </c>
      <c r="AJ166" s="941">
        <v>17.0</v>
      </c>
      <c r="AK166" s="941">
        <v>17.0</v>
      </c>
      <c r="AL166" s="941">
        <v>2.0</v>
      </c>
      <c r="AM166" s="942">
        <v>1.0</v>
      </c>
    </row>
    <row r="167">
      <c r="A167" s="935" t="s">
        <v>150</v>
      </c>
      <c r="B167" s="941">
        <v>1.0</v>
      </c>
      <c r="C167" s="941">
        <v>0.0</v>
      </c>
      <c r="D167" s="941">
        <v>1.0</v>
      </c>
      <c r="E167" s="941">
        <v>1.0</v>
      </c>
      <c r="F167" s="941">
        <v>15.0</v>
      </c>
      <c r="G167" s="941">
        <v>83.0</v>
      </c>
      <c r="H167" s="941">
        <v>110.0</v>
      </c>
      <c r="I167" s="941">
        <v>-27.0</v>
      </c>
      <c r="J167" s="941">
        <v>5.0</v>
      </c>
      <c r="K167" s="941">
        <v>6.0</v>
      </c>
      <c r="L167" s="941">
        <v>1.0</v>
      </c>
      <c r="M167" s="941">
        <v>1841.0</v>
      </c>
      <c r="N167" s="941">
        <v>2285.0</v>
      </c>
      <c r="O167" s="941">
        <v>16.0</v>
      </c>
      <c r="P167" s="941">
        <v>521.0</v>
      </c>
      <c r="Q167" s="941">
        <v>0.0</v>
      </c>
      <c r="R167" s="941">
        <v>2.0</v>
      </c>
      <c r="S167" s="941">
        <v>0.0</v>
      </c>
      <c r="T167" s="941">
        <v>0.0</v>
      </c>
      <c r="U167" s="941">
        <v>0.0</v>
      </c>
      <c r="V167" s="941">
        <v>1.0</v>
      </c>
      <c r="W167" s="941">
        <v>0.0</v>
      </c>
      <c r="X167" s="941">
        <v>11.0</v>
      </c>
      <c r="Y167" s="941">
        <v>2.0</v>
      </c>
      <c r="Z167" s="941">
        <v>0.0</v>
      </c>
      <c r="AA167" s="941">
        <v>0.0</v>
      </c>
      <c r="AB167" s="941">
        <v>0.0</v>
      </c>
      <c r="AC167" s="941">
        <v>0.0</v>
      </c>
      <c r="AD167" s="941">
        <v>0.0</v>
      </c>
      <c r="AE167" s="941">
        <v>0.0</v>
      </c>
      <c r="AF167" s="941">
        <v>0.0</v>
      </c>
      <c r="AG167" s="941">
        <v>0.0</v>
      </c>
      <c r="AH167" s="941">
        <v>1.0</v>
      </c>
      <c r="AI167" s="941">
        <v>0.0</v>
      </c>
      <c r="AJ167" s="941">
        <v>17.0</v>
      </c>
      <c r="AK167" s="941">
        <v>7.0</v>
      </c>
      <c r="AL167" s="941">
        <v>1.0</v>
      </c>
      <c r="AM167" s="942">
        <v>1.0</v>
      </c>
    </row>
    <row r="168">
      <c r="A168" s="935" t="s">
        <v>117</v>
      </c>
      <c r="B168" s="941">
        <v>1.0</v>
      </c>
      <c r="C168" s="941">
        <v>0.0</v>
      </c>
      <c r="D168" s="941">
        <v>1.0</v>
      </c>
      <c r="E168" s="941">
        <v>0.0</v>
      </c>
      <c r="F168" s="941">
        <v>1.0</v>
      </c>
      <c r="G168" s="941">
        <v>92.0</v>
      </c>
      <c r="H168" s="941">
        <v>139.0</v>
      </c>
      <c r="I168" s="941">
        <v>-47.0</v>
      </c>
      <c r="J168" s="941">
        <v>6.0</v>
      </c>
      <c r="K168" s="941">
        <v>4.0</v>
      </c>
      <c r="L168" s="941">
        <v>5.0</v>
      </c>
      <c r="M168" s="941">
        <v>1760.0</v>
      </c>
      <c r="N168" s="941">
        <v>2285.0</v>
      </c>
      <c r="O168" s="941">
        <v>12.0</v>
      </c>
      <c r="P168" s="941">
        <v>21.0</v>
      </c>
      <c r="Q168" s="941">
        <v>0.0</v>
      </c>
      <c r="R168" s="941">
        <v>0.0</v>
      </c>
      <c r="S168" s="941">
        <v>0.0</v>
      </c>
      <c r="T168" s="941">
        <v>0.0</v>
      </c>
      <c r="U168" s="941">
        <v>0.0</v>
      </c>
      <c r="V168" s="941">
        <v>0.0</v>
      </c>
      <c r="W168" s="941">
        <v>0.0</v>
      </c>
      <c r="X168" s="941">
        <v>11.0</v>
      </c>
      <c r="Y168" s="941">
        <v>2.0</v>
      </c>
      <c r="Z168" s="941">
        <v>0.0</v>
      </c>
      <c r="AA168" s="941">
        <v>0.0</v>
      </c>
      <c r="AB168" s="941">
        <v>0.0</v>
      </c>
      <c r="AC168" s="941">
        <v>0.0</v>
      </c>
      <c r="AD168" s="941">
        <v>0.0</v>
      </c>
      <c r="AE168" s="941">
        <v>0.0</v>
      </c>
      <c r="AF168" s="941">
        <v>0.0</v>
      </c>
      <c r="AG168" s="941">
        <v>0.0</v>
      </c>
      <c r="AH168" s="941">
        <v>1.0</v>
      </c>
      <c r="AI168" s="941">
        <v>0.0</v>
      </c>
      <c r="AJ168" s="941">
        <v>9.0</v>
      </c>
      <c r="AK168" s="941">
        <v>16.0</v>
      </c>
      <c r="AL168" s="941">
        <v>1.0</v>
      </c>
      <c r="AM168" s="942">
        <v>1.0</v>
      </c>
    </row>
    <row r="169">
      <c r="A169" s="943" t="s">
        <v>139</v>
      </c>
      <c r="B169" s="944">
        <v>1.0</v>
      </c>
      <c r="C169" s="944">
        <v>0.0</v>
      </c>
      <c r="D169" s="944">
        <v>1.0</v>
      </c>
      <c r="E169" s="944">
        <v>0.0</v>
      </c>
      <c r="F169" s="944">
        <v>0.0</v>
      </c>
      <c r="G169" s="944">
        <v>117.0</v>
      </c>
      <c r="H169" s="944">
        <v>147.0</v>
      </c>
      <c r="I169" s="944">
        <v>-30.0</v>
      </c>
      <c r="J169" s="944">
        <v>9.0</v>
      </c>
      <c r="K169" s="944">
        <v>4.0</v>
      </c>
      <c r="L169" s="944">
        <v>6.0</v>
      </c>
      <c r="M169" s="944">
        <v>1734.0</v>
      </c>
      <c r="N169" s="944">
        <v>2285.0</v>
      </c>
      <c r="O169" s="944">
        <v>11.0</v>
      </c>
      <c r="P169" s="944">
        <v>29.0</v>
      </c>
      <c r="Q169" s="944">
        <v>0.0</v>
      </c>
      <c r="R169" s="944">
        <v>0.0</v>
      </c>
      <c r="S169" s="944">
        <v>0.0</v>
      </c>
      <c r="T169" s="944">
        <v>0.0</v>
      </c>
      <c r="U169" s="944">
        <v>0.0</v>
      </c>
      <c r="V169" s="944">
        <v>0.0</v>
      </c>
      <c r="W169" s="944">
        <v>0.0</v>
      </c>
      <c r="X169" s="944">
        <v>17.0</v>
      </c>
      <c r="Y169" s="944">
        <v>3.0</v>
      </c>
      <c r="Z169" s="944">
        <v>0.0</v>
      </c>
      <c r="AA169" s="944">
        <v>0.0</v>
      </c>
      <c r="AB169" s="944">
        <v>0.0</v>
      </c>
      <c r="AC169" s="944">
        <v>0.0</v>
      </c>
      <c r="AD169" s="944">
        <v>0.0</v>
      </c>
      <c r="AE169" s="944">
        <v>0.0</v>
      </c>
      <c r="AF169" s="944">
        <v>0.0</v>
      </c>
      <c r="AG169" s="944">
        <v>0.0</v>
      </c>
      <c r="AH169" s="944">
        <v>0.0</v>
      </c>
      <c r="AI169" s="944">
        <v>0.0</v>
      </c>
      <c r="AJ169" s="944">
        <v>11.0</v>
      </c>
      <c r="AK169" s="944">
        <v>20.0</v>
      </c>
      <c r="AL169" s="944">
        <v>2.0</v>
      </c>
      <c r="AM169" s="945">
        <v>1.0</v>
      </c>
    </row>
    <row r="170">
      <c r="A170" s="946" t="s">
        <v>118</v>
      </c>
      <c r="B170" s="939">
        <v>1.0</v>
      </c>
      <c r="C170" s="939">
        <v>1.0</v>
      </c>
      <c r="D170" s="939">
        <v>0.0</v>
      </c>
      <c r="E170" s="939">
        <v>4.0</v>
      </c>
      <c r="F170" s="939">
        <v>27.0</v>
      </c>
      <c r="G170" s="939">
        <v>137.0</v>
      </c>
      <c r="H170" s="939">
        <v>119.0</v>
      </c>
      <c r="I170" s="939">
        <v>18.0</v>
      </c>
      <c r="J170" s="939">
        <v>7.0</v>
      </c>
      <c r="K170" s="939">
        <v>7.0</v>
      </c>
      <c r="L170" s="939">
        <v>0.0</v>
      </c>
      <c r="M170" s="939">
        <v>2466.0</v>
      </c>
      <c r="N170" s="939">
        <v>2913.0</v>
      </c>
      <c r="O170" s="939">
        <v>20.0</v>
      </c>
      <c r="P170" s="939">
        <v>1189.0</v>
      </c>
      <c r="Q170" s="939">
        <v>0.0</v>
      </c>
      <c r="R170" s="939">
        <v>5.0</v>
      </c>
      <c r="S170" s="939">
        <v>0.0</v>
      </c>
      <c r="T170" s="939">
        <v>0.0</v>
      </c>
      <c r="U170" s="939">
        <v>0.0</v>
      </c>
      <c r="V170" s="939">
        <v>0.0</v>
      </c>
      <c r="W170" s="939">
        <v>0.0</v>
      </c>
      <c r="X170" s="939">
        <v>17.0</v>
      </c>
      <c r="Y170" s="939">
        <v>0.0</v>
      </c>
      <c r="Z170" s="939">
        <v>0.0</v>
      </c>
      <c r="AA170" s="939">
        <v>0.0</v>
      </c>
      <c r="AB170" s="939">
        <v>0.0</v>
      </c>
      <c r="AC170" s="939">
        <v>0.0</v>
      </c>
      <c r="AD170" s="939">
        <v>0.0</v>
      </c>
      <c r="AE170" s="939">
        <v>0.0</v>
      </c>
      <c r="AF170" s="939">
        <v>0.0</v>
      </c>
      <c r="AG170" s="939">
        <v>0.0</v>
      </c>
      <c r="AH170" s="939">
        <v>2.0</v>
      </c>
      <c r="AI170" s="939">
        <v>0.0</v>
      </c>
      <c r="AJ170" s="939">
        <v>23.0</v>
      </c>
      <c r="AK170" s="939">
        <v>15.0</v>
      </c>
      <c r="AL170" s="939">
        <v>1.0</v>
      </c>
      <c r="AM170" s="940">
        <v>0.0</v>
      </c>
    </row>
    <row r="171">
      <c r="A171" s="935" t="s">
        <v>151</v>
      </c>
      <c r="B171" s="941">
        <v>1.0</v>
      </c>
      <c r="C171" s="941">
        <v>1.0</v>
      </c>
      <c r="D171" s="941">
        <v>0.0</v>
      </c>
      <c r="E171" s="941">
        <v>1.0</v>
      </c>
      <c r="F171" s="941">
        <v>1.0</v>
      </c>
      <c r="G171" s="941">
        <v>155.0</v>
      </c>
      <c r="H171" s="941">
        <v>175.0</v>
      </c>
      <c r="I171" s="941">
        <v>-20.0</v>
      </c>
      <c r="J171" s="941">
        <v>9.0</v>
      </c>
      <c r="K171" s="941">
        <v>7.0</v>
      </c>
      <c r="L171" s="941">
        <v>2.0</v>
      </c>
      <c r="M171" s="941">
        <v>2299.0</v>
      </c>
      <c r="N171" s="941">
        <v>2913.0</v>
      </c>
      <c r="O171" s="941">
        <v>13.0</v>
      </c>
      <c r="P171" s="941">
        <v>11.0</v>
      </c>
      <c r="Q171" s="941">
        <v>0.0</v>
      </c>
      <c r="R171" s="941">
        <v>2.0</v>
      </c>
      <c r="S171" s="941">
        <v>0.0</v>
      </c>
      <c r="T171" s="941">
        <v>0.0</v>
      </c>
      <c r="U171" s="941">
        <v>0.0</v>
      </c>
      <c r="V171" s="941">
        <v>2.0</v>
      </c>
      <c r="W171" s="941">
        <v>0.0</v>
      </c>
      <c r="X171" s="941">
        <v>25.0</v>
      </c>
      <c r="Y171" s="941">
        <v>1.0</v>
      </c>
      <c r="Z171" s="941">
        <v>0.0</v>
      </c>
      <c r="AA171" s="941">
        <v>0.0</v>
      </c>
      <c r="AB171" s="941">
        <v>0.0</v>
      </c>
      <c r="AC171" s="941">
        <v>0.0</v>
      </c>
      <c r="AD171" s="941">
        <v>0.0</v>
      </c>
      <c r="AE171" s="941">
        <v>0.0</v>
      </c>
      <c r="AF171" s="941">
        <v>0.0</v>
      </c>
      <c r="AG171" s="941">
        <v>0.0</v>
      </c>
      <c r="AH171" s="941">
        <v>2.0</v>
      </c>
      <c r="AI171" s="941">
        <v>0.0</v>
      </c>
      <c r="AJ171" s="941">
        <v>18.0</v>
      </c>
      <c r="AK171" s="941">
        <v>18.0</v>
      </c>
      <c r="AL171" s="941">
        <v>0.0</v>
      </c>
      <c r="AM171" s="942">
        <v>0.0</v>
      </c>
    </row>
    <row r="172">
      <c r="A172" s="935" t="s">
        <v>140</v>
      </c>
      <c r="B172" s="941">
        <v>1.0</v>
      </c>
      <c r="C172" s="941">
        <v>1.0</v>
      </c>
      <c r="D172" s="941">
        <v>0.0</v>
      </c>
      <c r="E172" s="941">
        <v>0.0</v>
      </c>
      <c r="F172" s="941">
        <v>0.0</v>
      </c>
      <c r="G172" s="941">
        <v>158.0</v>
      </c>
      <c r="H172" s="941">
        <v>150.0</v>
      </c>
      <c r="I172" s="941">
        <v>8.0</v>
      </c>
      <c r="J172" s="941">
        <v>14.0</v>
      </c>
      <c r="K172" s="941">
        <v>6.0</v>
      </c>
      <c r="L172" s="941">
        <v>2.0</v>
      </c>
      <c r="M172" s="941">
        <v>2370.0</v>
      </c>
      <c r="N172" s="941">
        <v>2913.0</v>
      </c>
      <c r="O172" s="941">
        <v>15.0</v>
      </c>
      <c r="P172" s="941">
        <v>38.0</v>
      </c>
      <c r="Q172" s="941">
        <v>0.0</v>
      </c>
      <c r="R172" s="941">
        <v>3.0</v>
      </c>
      <c r="S172" s="941">
        <v>0.0</v>
      </c>
      <c r="T172" s="941">
        <v>0.0</v>
      </c>
      <c r="U172" s="941">
        <v>0.0</v>
      </c>
      <c r="V172" s="941">
        <v>3.0</v>
      </c>
      <c r="W172" s="941">
        <v>0.0</v>
      </c>
      <c r="X172" s="941">
        <v>25.0</v>
      </c>
      <c r="Y172" s="941">
        <v>4.0</v>
      </c>
      <c r="Z172" s="941">
        <v>0.0</v>
      </c>
      <c r="AA172" s="941">
        <v>0.0</v>
      </c>
      <c r="AB172" s="941">
        <v>0.0</v>
      </c>
      <c r="AC172" s="941">
        <v>0.0</v>
      </c>
      <c r="AD172" s="941">
        <v>0.0</v>
      </c>
      <c r="AE172" s="941">
        <v>0.0</v>
      </c>
      <c r="AF172" s="941">
        <v>0.0</v>
      </c>
      <c r="AG172" s="941">
        <v>0.0</v>
      </c>
      <c r="AH172" s="941">
        <v>9.0</v>
      </c>
      <c r="AI172" s="941">
        <v>0.0</v>
      </c>
      <c r="AJ172" s="941">
        <v>16.0</v>
      </c>
      <c r="AK172" s="941">
        <v>27.0</v>
      </c>
      <c r="AL172" s="941">
        <v>0.0</v>
      </c>
      <c r="AM172" s="942">
        <v>0.0</v>
      </c>
    </row>
    <row r="173">
      <c r="A173" s="935" t="s">
        <v>129</v>
      </c>
      <c r="B173" s="941">
        <v>1.0</v>
      </c>
      <c r="C173" s="941">
        <v>1.0</v>
      </c>
      <c r="D173" s="941">
        <v>0.0</v>
      </c>
      <c r="E173" s="941">
        <v>0.0</v>
      </c>
      <c r="F173" s="941">
        <v>2.0</v>
      </c>
      <c r="G173" s="941">
        <v>208.0</v>
      </c>
      <c r="H173" s="941">
        <v>185.0</v>
      </c>
      <c r="I173" s="941">
        <v>23.0</v>
      </c>
      <c r="J173" s="941">
        <v>13.0</v>
      </c>
      <c r="K173" s="941">
        <v>8.0</v>
      </c>
      <c r="L173" s="941">
        <v>5.0</v>
      </c>
      <c r="M173" s="941">
        <v>2262.0</v>
      </c>
      <c r="N173" s="941">
        <v>2913.0</v>
      </c>
      <c r="O173" s="941">
        <v>12.0</v>
      </c>
      <c r="P173" s="941">
        <v>26.0</v>
      </c>
      <c r="Q173" s="941">
        <v>0.0</v>
      </c>
      <c r="R173" s="941">
        <v>5.0</v>
      </c>
      <c r="S173" s="941">
        <v>0.0</v>
      </c>
      <c r="T173" s="941">
        <v>0.0</v>
      </c>
      <c r="U173" s="941">
        <v>0.0</v>
      </c>
      <c r="V173" s="941">
        <v>4.0</v>
      </c>
      <c r="W173" s="941">
        <v>0.0</v>
      </c>
      <c r="X173" s="941">
        <v>40.0</v>
      </c>
      <c r="Y173" s="941">
        <v>12.0</v>
      </c>
      <c r="Z173" s="941">
        <v>2.0</v>
      </c>
      <c r="AA173" s="941">
        <v>0.0</v>
      </c>
      <c r="AB173" s="941">
        <v>0.0</v>
      </c>
      <c r="AC173" s="941">
        <v>0.0</v>
      </c>
      <c r="AD173" s="941">
        <v>0.0</v>
      </c>
      <c r="AE173" s="941">
        <v>0.0</v>
      </c>
      <c r="AF173" s="941">
        <v>0.0</v>
      </c>
      <c r="AG173" s="941">
        <v>0.0</v>
      </c>
      <c r="AH173" s="941">
        <v>4.0</v>
      </c>
      <c r="AI173" s="941">
        <v>0.0</v>
      </c>
      <c r="AJ173" s="941">
        <v>24.0</v>
      </c>
      <c r="AK173" s="941">
        <v>28.0</v>
      </c>
      <c r="AL173" s="941">
        <v>2.0</v>
      </c>
      <c r="AM173" s="942">
        <v>0.0</v>
      </c>
    </row>
    <row r="174">
      <c r="A174" s="935" t="s">
        <v>114</v>
      </c>
      <c r="B174" s="941">
        <v>1.0</v>
      </c>
      <c r="C174" s="941">
        <v>0.0</v>
      </c>
      <c r="D174" s="941">
        <v>1.0</v>
      </c>
      <c r="E174" s="941">
        <v>2.0</v>
      </c>
      <c r="F174" s="941">
        <v>26.0</v>
      </c>
      <c r="G174" s="941">
        <v>85.0</v>
      </c>
      <c r="H174" s="941">
        <v>97.0</v>
      </c>
      <c r="I174" s="941">
        <v>-12.0</v>
      </c>
      <c r="J174" s="941">
        <v>6.0</v>
      </c>
      <c r="K174" s="941">
        <v>9.0</v>
      </c>
      <c r="L174" s="941">
        <v>0.0</v>
      </c>
      <c r="M174" s="941">
        <v>2528.0</v>
      </c>
      <c r="N174" s="941">
        <v>2913.0</v>
      </c>
      <c r="O174" s="941">
        <v>26.0</v>
      </c>
      <c r="P174" s="941">
        <v>1301.0</v>
      </c>
      <c r="Q174" s="941">
        <v>0.0</v>
      </c>
      <c r="R174" s="941">
        <v>2.0</v>
      </c>
      <c r="S174" s="941">
        <v>0.0</v>
      </c>
      <c r="T174" s="941">
        <v>0.0</v>
      </c>
      <c r="U174" s="941">
        <v>0.0</v>
      </c>
      <c r="V174" s="941">
        <v>0.0</v>
      </c>
      <c r="W174" s="941">
        <v>0.0</v>
      </c>
      <c r="X174" s="941">
        <v>11.0</v>
      </c>
      <c r="Y174" s="941">
        <v>1.0</v>
      </c>
      <c r="Z174" s="941">
        <v>0.0</v>
      </c>
      <c r="AA174" s="941">
        <v>0.0</v>
      </c>
      <c r="AB174" s="941">
        <v>0.0</v>
      </c>
      <c r="AC174" s="941">
        <v>0.0</v>
      </c>
      <c r="AD174" s="941">
        <v>0.0</v>
      </c>
      <c r="AE174" s="941">
        <v>0.0</v>
      </c>
      <c r="AF174" s="941">
        <v>0.0</v>
      </c>
      <c r="AG174" s="941">
        <v>0.0</v>
      </c>
      <c r="AH174" s="941">
        <v>2.0</v>
      </c>
      <c r="AI174" s="941">
        <v>0.0</v>
      </c>
      <c r="AJ174" s="941">
        <v>22.0</v>
      </c>
      <c r="AK174" s="941">
        <v>7.0</v>
      </c>
      <c r="AL174" s="941">
        <v>1.0</v>
      </c>
      <c r="AM174" s="942">
        <v>1.0</v>
      </c>
    </row>
    <row r="175">
      <c r="A175" s="935" t="s">
        <v>125</v>
      </c>
      <c r="B175" s="941">
        <v>1.0</v>
      </c>
      <c r="C175" s="941">
        <v>0.0</v>
      </c>
      <c r="D175" s="941">
        <v>1.0</v>
      </c>
      <c r="E175" s="941">
        <v>0.0</v>
      </c>
      <c r="F175" s="941">
        <v>0.0</v>
      </c>
      <c r="G175" s="941">
        <v>205.0</v>
      </c>
      <c r="H175" s="941">
        <v>173.0</v>
      </c>
      <c r="I175" s="941">
        <v>32.0</v>
      </c>
      <c r="J175" s="941">
        <v>16.0</v>
      </c>
      <c r="K175" s="941">
        <v>6.0</v>
      </c>
      <c r="L175" s="941">
        <v>8.0</v>
      </c>
      <c r="M175" s="941">
        <v>2305.0</v>
      </c>
      <c r="N175" s="941">
        <v>2913.0</v>
      </c>
      <c r="O175" s="941">
        <v>13.0</v>
      </c>
      <c r="P175" s="941">
        <v>21.0</v>
      </c>
      <c r="Q175" s="941">
        <v>0.0</v>
      </c>
      <c r="R175" s="941">
        <v>5.0</v>
      </c>
      <c r="S175" s="941">
        <v>0.0</v>
      </c>
      <c r="T175" s="941">
        <v>0.0</v>
      </c>
      <c r="U175" s="941">
        <v>0.0</v>
      </c>
      <c r="V175" s="941">
        <v>5.0</v>
      </c>
      <c r="W175" s="941">
        <v>0.0</v>
      </c>
      <c r="X175" s="941">
        <v>34.0</v>
      </c>
      <c r="Y175" s="941">
        <v>6.0</v>
      </c>
      <c r="Z175" s="941">
        <v>1.0</v>
      </c>
      <c r="AA175" s="941">
        <v>0.0</v>
      </c>
      <c r="AB175" s="941">
        <v>0.0</v>
      </c>
      <c r="AC175" s="941">
        <v>0.0</v>
      </c>
      <c r="AD175" s="941">
        <v>0.0</v>
      </c>
      <c r="AE175" s="941">
        <v>0.0</v>
      </c>
      <c r="AF175" s="941">
        <v>0.0</v>
      </c>
      <c r="AG175" s="941">
        <v>0.0</v>
      </c>
      <c r="AH175" s="941">
        <v>10.0</v>
      </c>
      <c r="AI175" s="941">
        <v>0.0</v>
      </c>
      <c r="AJ175" s="941">
        <v>17.0</v>
      </c>
      <c r="AK175" s="941">
        <v>32.0</v>
      </c>
      <c r="AL175" s="941">
        <v>0.0</v>
      </c>
      <c r="AM175" s="942">
        <v>1.0</v>
      </c>
    </row>
    <row r="176">
      <c r="A176" s="935" t="s">
        <v>136</v>
      </c>
      <c r="B176" s="941">
        <v>1.0</v>
      </c>
      <c r="C176" s="941">
        <v>0.0</v>
      </c>
      <c r="D176" s="941">
        <v>1.0</v>
      </c>
      <c r="E176" s="941">
        <v>0.0</v>
      </c>
      <c r="F176" s="941">
        <v>0.0</v>
      </c>
      <c r="G176" s="941">
        <v>204.0</v>
      </c>
      <c r="H176" s="941">
        <v>223.0</v>
      </c>
      <c r="I176" s="941">
        <v>-19.0</v>
      </c>
      <c r="J176" s="941">
        <v>8.0</v>
      </c>
      <c r="K176" s="941">
        <v>5.0</v>
      </c>
      <c r="L176" s="941">
        <v>2.0</v>
      </c>
      <c r="M176" s="941">
        <v>2147.0</v>
      </c>
      <c r="N176" s="941">
        <v>2913.0</v>
      </c>
      <c r="O176" s="941">
        <v>9.0</v>
      </c>
      <c r="P176" s="941">
        <v>43.0</v>
      </c>
      <c r="Q176" s="941">
        <v>0.0</v>
      </c>
      <c r="R176" s="941">
        <v>1.0</v>
      </c>
      <c r="S176" s="941">
        <v>0.0</v>
      </c>
      <c r="T176" s="941">
        <v>0.0</v>
      </c>
      <c r="U176" s="941">
        <v>0.0</v>
      </c>
      <c r="V176" s="941">
        <v>1.0</v>
      </c>
      <c r="W176" s="941">
        <v>0.0</v>
      </c>
      <c r="X176" s="941">
        <v>35.0</v>
      </c>
      <c r="Y176" s="941">
        <v>6.0</v>
      </c>
      <c r="Z176" s="941">
        <v>1.0</v>
      </c>
      <c r="AA176" s="941">
        <v>0.0</v>
      </c>
      <c r="AB176" s="941">
        <v>0.0</v>
      </c>
      <c r="AC176" s="941">
        <v>0.0</v>
      </c>
      <c r="AD176" s="941">
        <v>0.0</v>
      </c>
      <c r="AE176" s="941">
        <v>0.0</v>
      </c>
      <c r="AF176" s="941">
        <v>0.0</v>
      </c>
      <c r="AG176" s="941">
        <v>0.0</v>
      </c>
      <c r="AH176" s="941">
        <v>7.0</v>
      </c>
      <c r="AI176" s="941">
        <v>0.0</v>
      </c>
      <c r="AJ176" s="941">
        <v>22.0</v>
      </c>
      <c r="AK176" s="941">
        <v>28.0</v>
      </c>
      <c r="AL176" s="941">
        <v>2.0</v>
      </c>
      <c r="AM176" s="942">
        <v>1.0</v>
      </c>
    </row>
    <row r="177">
      <c r="A177" s="935" t="s">
        <v>147</v>
      </c>
      <c r="B177" s="941">
        <v>1.0</v>
      </c>
      <c r="C177" s="941">
        <v>0.0</v>
      </c>
      <c r="D177" s="941">
        <v>1.0</v>
      </c>
      <c r="E177" s="941">
        <v>0.0</v>
      </c>
      <c r="F177" s="941">
        <v>0.0</v>
      </c>
      <c r="G177" s="941">
        <v>119.0</v>
      </c>
      <c r="H177" s="941">
        <v>190.0</v>
      </c>
      <c r="I177" s="941">
        <v>-71.0</v>
      </c>
      <c r="J177" s="941">
        <v>6.0</v>
      </c>
      <c r="K177" s="941">
        <v>5.0</v>
      </c>
      <c r="L177" s="941">
        <v>3.0</v>
      </c>
      <c r="M177" s="941">
        <v>2255.0</v>
      </c>
      <c r="N177" s="941">
        <v>2913.0</v>
      </c>
      <c r="O177" s="941">
        <v>11.0</v>
      </c>
      <c r="P177" s="941">
        <v>38.0</v>
      </c>
      <c r="Q177" s="941">
        <v>0.0</v>
      </c>
      <c r="R177" s="941">
        <v>1.0</v>
      </c>
      <c r="S177" s="941">
        <v>0.0</v>
      </c>
      <c r="T177" s="941">
        <v>0.0</v>
      </c>
      <c r="U177" s="941">
        <v>0.0</v>
      </c>
      <c r="V177" s="941">
        <v>0.0</v>
      </c>
      <c r="W177" s="941">
        <v>0.0</v>
      </c>
      <c r="X177" s="941">
        <v>16.0</v>
      </c>
      <c r="Y177" s="941">
        <v>1.0</v>
      </c>
      <c r="Z177" s="941">
        <v>0.0</v>
      </c>
      <c r="AA177" s="941">
        <v>0.0</v>
      </c>
      <c r="AB177" s="941">
        <v>0.0</v>
      </c>
      <c r="AC177" s="941">
        <v>0.0</v>
      </c>
      <c r="AD177" s="941">
        <v>0.0</v>
      </c>
      <c r="AE177" s="941">
        <v>0.0</v>
      </c>
      <c r="AF177" s="941">
        <v>0.0</v>
      </c>
      <c r="AG177" s="941">
        <v>0.0</v>
      </c>
      <c r="AH177" s="941">
        <v>7.0</v>
      </c>
      <c r="AI177" s="941">
        <v>0.0</v>
      </c>
      <c r="AJ177" s="941">
        <v>12.0</v>
      </c>
      <c r="AK177" s="941">
        <v>21.0</v>
      </c>
      <c r="AL177" s="941">
        <v>1.0</v>
      </c>
      <c r="AM177" s="942">
        <v>1.0</v>
      </c>
    </row>
    <row r="178">
      <c r="A178" s="946" t="s">
        <v>149</v>
      </c>
      <c r="B178" s="939">
        <v>1.0</v>
      </c>
      <c r="C178" s="939">
        <v>1.0</v>
      </c>
      <c r="D178" s="939">
        <v>0.0</v>
      </c>
      <c r="E178" s="939">
        <v>3.0</v>
      </c>
      <c r="F178" s="939">
        <v>28.0</v>
      </c>
      <c r="G178" s="939">
        <v>61.0</v>
      </c>
      <c r="H178" s="939">
        <v>40.0</v>
      </c>
      <c r="I178" s="939">
        <v>21.0</v>
      </c>
      <c r="J178" s="939">
        <v>2.0</v>
      </c>
      <c r="K178" s="939">
        <v>10.0</v>
      </c>
      <c r="L178" s="939">
        <v>1.0</v>
      </c>
      <c r="M178" s="939">
        <v>2072.0</v>
      </c>
      <c r="N178" s="939">
        <v>2262.0</v>
      </c>
      <c r="O178" s="939">
        <v>51.0</v>
      </c>
      <c r="P178" s="939">
        <v>1512.0</v>
      </c>
      <c r="Q178" s="939">
        <v>0.0</v>
      </c>
      <c r="R178" s="939">
        <v>2.0</v>
      </c>
      <c r="S178" s="939">
        <v>1.0</v>
      </c>
      <c r="T178" s="939">
        <v>0.0</v>
      </c>
      <c r="U178" s="939">
        <v>0.0</v>
      </c>
      <c r="V178" s="939">
        <v>0.0</v>
      </c>
      <c r="W178" s="939">
        <v>0.0</v>
      </c>
      <c r="X178" s="939">
        <v>4.0</v>
      </c>
      <c r="Y178" s="939">
        <v>0.0</v>
      </c>
      <c r="Z178" s="939">
        <v>0.0</v>
      </c>
      <c r="AA178" s="939">
        <v>0.0</v>
      </c>
      <c r="AB178" s="939">
        <v>0.0</v>
      </c>
      <c r="AC178" s="939">
        <v>0.0</v>
      </c>
      <c r="AD178" s="939">
        <v>0.0</v>
      </c>
      <c r="AE178" s="939">
        <v>0.0</v>
      </c>
      <c r="AF178" s="939">
        <v>0.0</v>
      </c>
      <c r="AG178" s="939">
        <v>0.0</v>
      </c>
      <c r="AH178" s="939">
        <v>0.0</v>
      </c>
      <c r="AI178" s="939">
        <v>0.0</v>
      </c>
      <c r="AJ178" s="939">
        <v>14.0</v>
      </c>
      <c r="AK178" s="939">
        <v>7.0</v>
      </c>
      <c r="AL178" s="939">
        <v>0.0</v>
      </c>
      <c r="AM178" s="940">
        <v>1.0</v>
      </c>
    </row>
    <row r="179">
      <c r="A179" s="935" t="s">
        <v>138</v>
      </c>
      <c r="B179" s="941">
        <v>1.0</v>
      </c>
      <c r="C179" s="941">
        <v>1.0</v>
      </c>
      <c r="D179" s="941">
        <v>0.0</v>
      </c>
      <c r="E179" s="941">
        <v>2.0</v>
      </c>
      <c r="F179" s="941">
        <v>1.0</v>
      </c>
      <c r="G179" s="941">
        <v>159.0</v>
      </c>
      <c r="H179" s="941">
        <v>133.0</v>
      </c>
      <c r="I179" s="941">
        <v>26.0</v>
      </c>
      <c r="J179" s="941">
        <v>17.0</v>
      </c>
      <c r="K179" s="941">
        <v>6.0</v>
      </c>
      <c r="L179" s="941">
        <v>1.0</v>
      </c>
      <c r="M179" s="941">
        <v>1801.0</v>
      </c>
      <c r="N179" s="941">
        <v>2262.0</v>
      </c>
      <c r="O179" s="941">
        <v>13.0</v>
      </c>
      <c r="P179" s="941">
        <v>13.0</v>
      </c>
      <c r="Q179" s="941">
        <v>0.0</v>
      </c>
      <c r="R179" s="941">
        <v>4.0</v>
      </c>
      <c r="S179" s="941">
        <v>0.0</v>
      </c>
      <c r="T179" s="941">
        <v>0.0</v>
      </c>
      <c r="U179" s="941">
        <v>0.0</v>
      </c>
      <c r="V179" s="941">
        <v>4.0</v>
      </c>
      <c r="W179" s="941">
        <v>0.0</v>
      </c>
      <c r="X179" s="941">
        <v>31.0</v>
      </c>
      <c r="Y179" s="941">
        <v>6.0</v>
      </c>
      <c r="Z179" s="941">
        <v>1.0</v>
      </c>
      <c r="AA179" s="941">
        <v>0.0</v>
      </c>
      <c r="AB179" s="941">
        <v>0.0</v>
      </c>
      <c r="AC179" s="941">
        <v>0.0</v>
      </c>
      <c r="AD179" s="941">
        <v>0.0</v>
      </c>
      <c r="AE179" s="941">
        <v>0.0</v>
      </c>
      <c r="AF179" s="941">
        <v>0.0</v>
      </c>
      <c r="AG179" s="941">
        <v>0.0</v>
      </c>
      <c r="AH179" s="941">
        <v>4.0</v>
      </c>
      <c r="AI179" s="941">
        <v>0.0</v>
      </c>
      <c r="AJ179" s="941">
        <v>19.0</v>
      </c>
      <c r="AK179" s="941">
        <v>15.0</v>
      </c>
      <c r="AL179" s="941">
        <v>3.0</v>
      </c>
      <c r="AM179" s="942">
        <v>1.0</v>
      </c>
    </row>
    <row r="180">
      <c r="A180" s="935" t="s">
        <v>418</v>
      </c>
      <c r="B180" s="941">
        <v>1.0</v>
      </c>
      <c r="C180" s="941">
        <v>1.0</v>
      </c>
      <c r="D180" s="941">
        <v>0.0</v>
      </c>
      <c r="E180" s="941">
        <v>0.0</v>
      </c>
      <c r="F180" s="941">
        <v>0.0</v>
      </c>
      <c r="G180" s="941">
        <v>160.0</v>
      </c>
      <c r="H180" s="941">
        <v>109.0</v>
      </c>
      <c r="I180" s="941">
        <v>51.0</v>
      </c>
      <c r="J180" s="941">
        <v>9.0</v>
      </c>
      <c r="K180" s="941">
        <v>8.0</v>
      </c>
      <c r="L180" s="941">
        <v>3.0</v>
      </c>
      <c r="M180" s="941">
        <v>1871.0</v>
      </c>
      <c r="N180" s="941">
        <v>2262.0</v>
      </c>
      <c r="O180" s="941">
        <v>17.0</v>
      </c>
      <c r="P180" s="941">
        <v>13.0</v>
      </c>
      <c r="Q180" s="941">
        <v>0.0</v>
      </c>
      <c r="R180" s="941">
        <v>5.0</v>
      </c>
      <c r="S180" s="941">
        <v>0.0</v>
      </c>
      <c r="T180" s="941">
        <v>0.0</v>
      </c>
      <c r="U180" s="941">
        <v>0.0</v>
      </c>
      <c r="V180" s="941">
        <v>5.0</v>
      </c>
      <c r="W180" s="941">
        <v>0.0</v>
      </c>
      <c r="X180" s="941">
        <v>29.0</v>
      </c>
      <c r="Y180" s="941">
        <v>4.0</v>
      </c>
      <c r="Z180" s="941">
        <v>2.0</v>
      </c>
      <c r="AA180" s="941">
        <v>0.0</v>
      </c>
      <c r="AB180" s="941">
        <v>0.0</v>
      </c>
      <c r="AC180" s="941">
        <v>0.0</v>
      </c>
      <c r="AD180" s="941">
        <v>0.0</v>
      </c>
      <c r="AE180" s="941">
        <v>0.0</v>
      </c>
      <c r="AF180" s="941">
        <v>0.0</v>
      </c>
      <c r="AG180" s="941">
        <v>0.0</v>
      </c>
      <c r="AH180" s="941">
        <v>10.0</v>
      </c>
      <c r="AI180" s="941">
        <v>0.0</v>
      </c>
      <c r="AJ180" s="941">
        <v>21.0</v>
      </c>
      <c r="AK180" s="941">
        <v>18.0</v>
      </c>
      <c r="AL180" s="941">
        <v>2.0</v>
      </c>
      <c r="AM180" s="942">
        <v>1.0</v>
      </c>
    </row>
    <row r="181">
      <c r="A181" s="935" t="s">
        <v>392</v>
      </c>
      <c r="B181" s="941">
        <v>1.0</v>
      </c>
      <c r="C181" s="941">
        <v>1.0</v>
      </c>
      <c r="D181" s="941">
        <v>0.0</v>
      </c>
      <c r="E181" s="941">
        <v>0.0</v>
      </c>
      <c r="F181" s="941">
        <v>0.0</v>
      </c>
      <c r="G181" s="941">
        <v>134.0</v>
      </c>
      <c r="H181" s="941">
        <v>172.0</v>
      </c>
      <c r="I181" s="941">
        <v>-38.0</v>
      </c>
      <c r="J181" s="941">
        <v>10.0</v>
      </c>
      <c r="K181" s="941">
        <v>4.0</v>
      </c>
      <c r="L181" s="941">
        <v>1.0</v>
      </c>
      <c r="M181" s="941">
        <v>1680.0</v>
      </c>
      <c r="N181" s="941">
        <v>2262.0</v>
      </c>
      <c r="O181" s="941">
        <v>9.0</v>
      </c>
      <c r="P181" s="941">
        <v>7.0</v>
      </c>
      <c r="Q181" s="941">
        <v>0.0</v>
      </c>
      <c r="R181" s="941">
        <v>0.0</v>
      </c>
      <c r="S181" s="941">
        <v>0.0</v>
      </c>
      <c r="T181" s="941">
        <v>0.0</v>
      </c>
      <c r="U181" s="941">
        <v>0.0</v>
      </c>
      <c r="V181" s="941">
        <v>0.0</v>
      </c>
      <c r="W181" s="941">
        <v>0.0</v>
      </c>
      <c r="X181" s="941">
        <v>17.0</v>
      </c>
      <c r="Y181" s="941">
        <v>4.0</v>
      </c>
      <c r="Z181" s="941">
        <v>2.0</v>
      </c>
      <c r="AA181" s="941">
        <v>0.0</v>
      </c>
      <c r="AB181" s="941">
        <v>0.0</v>
      </c>
      <c r="AC181" s="941">
        <v>0.0</v>
      </c>
      <c r="AD181" s="941">
        <v>0.0</v>
      </c>
      <c r="AE181" s="941">
        <v>0.0</v>
      </c>
      <c r="AF181" s="941">
        <v>0.0</v>
      </c>
      <c r="AG181" s="941">
        <v>0.0</v>
      </c>
      <c r="AH181" s="941">
        <v>2.0</v>
      </c>
      <c r="AI181" s="941">
        <v>0.0</v>
      </c>
      <c r="AJ181" s="941">
        <v>10.0</v>
      </c>
      <c r="AK181" s="941">
        <v>26.0</v>
      </c>
      <c r="AL181" s="941">
        <v>0.0</v>
      </c>
      <c r="AM181" s="942">
        <v>1.0</v>
      </c>
    </row>
    <row r="182">
      <c r="A182" s="935" t="s">
        <v>147</v>
      </c>
      <c r="B182" s="941">
        <v>1.0</v>
      </c>
      <c r="C182" s="941">
        <v>0.0</v>
      </c>
      <c r="D182" s="941">
        <v>1.0</v>
      </c>
      <c r="E182" s="941">
        <v>0.0</v>
      </c>
      <c r="F182" s="941">
        <v>0.0</v>
      </c>
      <c r="G182" s="941">
        <v>89.0</v>
      </c>
      <c r="H182" s="941">
        <v>138.0</v>
      </c>
      <c r="I182" s="941">
        <v>-49.0</v>
      </c>
      <c r="J182" s="941">
        <v>3.0</v>
      </c>
      <c r="K182" s="941">
        <v>5.0</v>
      </c>
      <c r="L182" s="941">
        <v>3.0</v>
      </c>
      <c r="M182" s="941">
        <v>1791.0</v>
      </c>
      <c r="N182" s="941">
        <v>2262.0</v>
      </c>
      <c r="O182" s="941">
        <v>12.0</v>
      </c>
      <c r="P182" s="941">
        <v>0.0</v>
      </c>
      <c r="Q182" s="941">
        <v>0.0</v>
      </c>
      <c r="R182" s="941">
        <v>1.0</v>
      </c>
      <c r="S182" s="941">
        <v>0.0</v>
      </c>
      <c r="T182" s="941">
        <v>0.0</v>
      </c>
      <c r="U182" s="941">
        <v>0.0</v>
      </c>
      <c r="V182" s="941">
        <v>1.0</v>
      </c>
      <c r="W182" s="941">
        <v>0.0</v>
      </c>
      <c r="X182" s="941">
        <v>4.0</v>
      </c>
      <c r="Y182" s="941">
        <v>1.0</v>
      </c>
      <c r="Z182" s="941">
        <v>1.0</v>
      </c>
      <c r="AA182" s="941">
        <v>0.0</v>
      </c>
      <c r="AB182" s="941">
        <v>0.0</v>
      </c>
      <c r="AC182" s="941">
        <v>0.0</v>
      </c>
      <c r="AD182" s="941">
        <v>0.0</v>
      </c>
      <c r="AE182" s="941">
        <v>0.0</v>
      </c>
      <c r="AF182" s="941">
        <v>0.0</v>
      </c>
      <c r="AG182" s="941">
        <v>0.0</v>
      </c>
      <c r="AH182" s="941">
        <v>1.0</v>
      </c>
      <c r="AI182" s="941">
        <v>0.0</v>
      </c>
      <c r="AJ182" s="941">
        <v>6.0</v>
      </c>
      <c r="AK182" s="941">
        <v>12.0</v>
      </c>
      <c r="AL182" s="941">
        <v>0.0</v>
      </c>
      <c r="AM182" s="942">
        <v>0.0</v>
      </c>
    </row>
    <row r="183">
      <c r="A183" s="935" t="s">
        <v>136</v>
      </c>
      <c r="B183" s="941">
        <v>1.0</v>
      </c>
      <c r="C183" s="941">
        <v>0.0</v>
      </c>
      <c r="D183" s="941">
        <v>1.0</v>
      </c>
      <c r="E183" s="941">
        <v>0.0</v>
      </c>
      <c r="F183" s="941">
        <v>0.0</v>
      </c>
      <c r="G183" s="941">
        <v>152.0</v>
      </c>
      <c r="H183" s="941">
        <v>171.0</v>
      </c>
      <c r="I183" s="941">
        <v>-19.0</v>
      </c>
      <c r="J183" s="941">
        <v>5.0</v>
      </c>
      <c r="K183" s="941">
        <v>4.0</v>
      </c>
      <c r="L183" s="941">
        <v>1.0</v>
      </c>
      <c r="M183" s="941">
        <v>1685.0</v>
      </c>
      <c r="N183" s="941">
        <v>2262.0</v>
      </c>
      <c r="O183" s="941">
        <v>9.0</v>
      </c>
      <c r="P183" s="941">
        <v>13.0</v>
      </c>
      <c r="Q183" s="941">
        <v>0.0</v>
      </c>
      <c r="R183" s="941">
        <v>0.0</v>
      </c>
      <c r="S183" s="941">
        <v>0.0</v>
      </c>
      <c r="T183" s="941">
        <v>0.0</v>
      </c>
      <c r="U183" s="941">
        <v>0.0</v>
      </c>
      <c r="V183" s="941">
        <v>0.0</v>
      </c>
      <c r="W183" s="941">
        <v>0.0</v>
      </c>
      <c r="X183" s="941">
        <v>26.0</v>
      </c>
      <c r="Y183" s="941">
        <v>3.0</v>
      </c>
      <c r="Z183" s="941">
        <v>0.0</v>
      </c>
      <c r="AA183" s="941">
        <v>0.0</v>
      </c>
      <c r="AB183" s="941">
        <v>0.0</v>
      </c>
      <c r="AC183" s="941">
        <v>0.0</v>
      </c>
      <c r="AD183" s="941">
        <v>0.0</v>
      </c>
      <c r="AE183" s="941">
        <v>0.0</v>
      </c>
      <c r="AF183" s="941">
        <v>0.0</v>
      </c>
      <c r="AG183" s="941">
        <v>0.0</v>
      </c>
      <c r="AH183" s="941">
        <v>2.0</v>
      </c>
      <c r="AI183" s="941">
        <v>0.0</v>
      </c>
      <c r="AJ183" s="941">
        <v>14.0</v>
      </c>
      <c r="AK183" s="941">
        <v>23.0</v>
      </c>
      <c r="AL183" s="941">
        <v>0.0</v>
      </c>
      <c r="AM183" s="942">
        <v>0.0</v>
      </c>
    </row>
    <row r="184">
      <c r="A184" s="935" t="s">
        <v>125</v>
      </c>
      <c r="B184" s="941">
        <v>1.0</v>
      </c>
      <c r="C184" s="941">
        <v>0.0</v>
      </c>
      <c r="D184" s="941">
        <v>1.0</v>
      </c>
      <c r="E184" s="941">
        <v>0.0</v>
      </c>
      <c r="F184" s="941">
        <v>1.0</v>
      </c>
      <c r="G184" s="941">
        <v>118.0</v>
      </c>
      <c r="H184" s="941">
        <v>124.0</v>
      </c>
      <c r="I184" s="941">
        <v>-6.0</v>
      </c>
      <c r="J184" s="941">
        <v>10.0</v>
      </c>
      <c r="K184" s="941">
        <v>6.0</v>
      </c>
      <c r="L184" s="941">
        <v>5.0</v>
      </c>
      <c r="M184" s="941">
        <v>1828.0</v>
      </c>
      <c r="N184" s="941">
        <v>2262.0</v>
      </c>
      <c r="O184" s="941">
        <v>14.0</v>
      </c>
      <c r="P184" s="941">
        <v>9.0</v>
      </c>
      <c r="Q184" s="941">
        <v>0.0</v>
      </c>
      <c r="R184" s="941">
        <v>3.0</v>
      </c>
      <c r="S184" s="941">
        <v>0.0</v>
      </c>
      <c r="T184" s="941">
        <v>0.0</v>
      </c>
      <c r="U184" s="941">
        <v>0.0</v>
      </c>
      <c r="V184" s="941">
        <v>3.0</v>
      </c>
      <c r="W184" s="941">
        <v>0.0</v>
      </c>
      <c r="X184" s="941">
        <v>16.0</v>
      </c>
      <c r="Y184" s="941">
        <v>4.0</v>
      </c>
      <c r="Z184" s="941">
        <v>2.0</v>
      </c>
      <c r="AA184" s="941">
        <v>1.0</v>
      </c>
      <c r="AB184" s="941">
        <v>1.0</v>
      </c>
      <c r="AC184" s="941">
        <v>0.0</v>
      </c>
      <c r="AD184" s="941">
        <v>0.0</v>
      </c>
      <c r="AE184" s="941">
        <v>0.0</v>
      </c>
      <c r="AF184" s="941">
        <v>0.0</v>
      </c>
      <c r="AG184" s="941">
        <v>0.0</v>
      </c>
      <c r="AH184" s="941">
        <v>2.0</v>
      </c>
      <c r="AI184" s="941">
        <v>0.0</v>
      </c>
      <c r="AJ184" s="941">
        <v>10.0</v>
      </c>
      <c r="AK184" s="941">
        <v>19.0</v>
      </c>
      <c r="AL184" s="941">
        <v>0.0</v>
      </c>
      <c r="AM184" s="942">
        <v>0.0</v>
      </c>
    </row>
    <row r="185">
      <c r="A185" s="943" t="s">
        <v>114</v>
      </c>
      <c r="B185" s="944">
        <v>1.0</v>
      </c>
      <c r="C185" s="944">
        <v>0.0</v>
      </c>
      <c r="D185" s="944">
        <v>1.0</v>
      </c>
      <c r="E185" s="944">
        <v>0.0</v>
      </c>
      <c r="F185" s="944">
        <v>8.0</v>
      </c>
      <c r="G185" s="944">
        <v>83.0</v>
      </c>
      <c r="H185" s="944">
        <v>100.0</v>
      </c>
      <c r="I185" s="944">
        <v>-17.0</v>
      </c>
      <c r="J185" s="944">
        <v>6.0</v>
      </c>
      <c r="K185" s="944">
        <v>6.0</v>
      </c>
      <c r="L185" s="944">
        <v>1.0</v>
      </c>
      <c r="M185" s="944">
        <v>1901.0</v>
      </c>
      <c r="N185" s="944">
        <v>2262.0</v>
      </c>
      <c r="O185" s="944">
        <v>19.0</v>
      </c>
      <c r="P185" s="944">
        <v>518.0</v>
      </c>
      <c r="Q185" s="944">
        <v>0.0</v>
      </c>
      <c r="R185" s="944">
        <v>1.0</v>
      </c>
      <c r="S185" s="944">
        <v>0.0</v>
      </c>
      <c r="T185" s="944">
        <v>0.0</v>
      </c>
      <c r="U185" s="944">
        <v>0.0</v>
      </c>
      <c r="V185" s="944">
        <v>0.0</v>
      </c>
      <c r="W185" s="944">
        <v>0.0</v>
      </c>
      <c r="X185" s="944">
        <v>7.0</v>
      </c>
      <c r="Y185" s="944">
        <v>3.0</v>
      </c>
      <c r="Z185" s="944">
        <v>0.0</v>
      </c>
      <c r="AA185" s="944">
        <v>0.0</v>
      </c>
      <c r="AB185" s="944">
        <v>0.0</v>
      </c>
      <c r="AC185" s="944">
        <v>0.0</v>
      </c>
      <c r="AD185" s="944">
        <v>0.0</v>
      </c>
      <c r="AE185" s="944">
        <v>0.0</v>
      </c>
      <c r="AF185" s="944">
        <v>0.0</v>
      </c>
      <c r="AG185" s="944">
        <v>0.0</v>
      </c>
      <c r="AH185" s="944">
        <v>0.0</v>
      </c>
      <c r="AI185" s="944">
        <v>0.0</v>
      </c>
      <c r="AJ185" s="944">
        <v>16.0</v>
      </c>
      <c r="AK185" s="944">
        <v>18.0</v>
      </c>
      <c r="AL185" s="944">
        <v>0.0</v>
      </c>
      <c r="AM185" s="945">
        <v>0.0</v>
      </c>
    </row>
    <row r="186">
      <c r="A186" s="946" t="s">
        <v>149</v>
      </c>
      <c r="B186" s="939">
        <v>1.0</v>
      </c>
      <c r="C186" s="939">
        <v>1.0</v>
      </c>
      <c r="D186" s="939">
        <v>0.0</v>
      </c>
      <c r="E186" s="939">
        <v>5.0</v>
      </c>
      <c r="F186" s="939">
        <v>26.0</v>
      </c>
      <c r="G186" s="939">
        <v>65.0</v>
      </c>
      <c r="H186" s="939">
        <v>49.0</v>
      </c>
      <c r="I186" s="939">
        <v>16.0</v>
      </c>
      <c r="J186" s="939">
        <v>3.0</v>
      </c>
      <c r="K186" s="939">
        <v>10.0</v>
      </c>
      <c r="L186" s="939">
        <v>0.0</v>
      </c>
      <c r="M186" s="939">
        <v>1957.0</v>
      </c>
      <c r="N186" s="939">
        <v>2189.0</v>
      </c>
      <c r="O186" s="939">
        <v>39.0</v>
      </c>
      <c r="P186" s="939">
        <v>1289.0</v>
      </c>
      <c r="Q186" s="939">
        <v>0.0</v>
      </c>
      <c r="R186" s="939">
        <v>2.0</v>
      </c>
      <c r="S186" s="939">
        <v>1.0</v>
      </c>
      <c r="T186" s="939">
        <v>0.0</v>
      </c>
      <c r="U186" s="939">
        <v>0.0</v>
      </c>
      <c r="V186" s="939">
        <v>0.0</v>
      </c>
      <c r="W186" s="939">
        <v>0.0</v>
      </c>
      <c r="X186" s="939">
        <v>7.0</v>
      </c>
      <c r="Y186" s="939">
        <v>0.0</v>
      </c>
      <c r="Z186" s="939">
        <v>0.0</v>
      </c>
      <c r="AA186" s="939">
        <v>0.0</v>
      </c>
      <c r="AB186" s="939">
        <v>0.0</v>
      </c>
      <c r="AC186" s="939">
        <v>0.0</v>
      </c>
      <c r="AD186" s="939">
        <v>0.0</v>
      </c>
      <c r="AE186" s="939">
        <v>0.0</v>
      </c>
      <c r="AF186" s="939">
        <v>0.0</v>
      </c>
      <c r="AG186" s="939">
        <v>0.0</v>
      </c>
      <c r="AH186" s="939">
        <v>1.0</v>
      </c>
      <c r="AI186" s="939">
        <v>0.0</v>
      </c>
      <c r="AJ186" s="939">
        <v>12.0</v>
      </c>
      <c r="AK186" s="939">
        <v>10.0</v>
      </c>
      <c r="AL186" s="939">
        <v>1.0</v>
      </c>
      <c r="AM186" s="940">
        <v>1.0</v>
      </c>
    </row>
    <row r="187">
      <c r="A187" s="935" t="s">
        <v>138</v>
      </c>
      <c r="B187" s="941">
        <v>1.0</v>
      </c>
      <c r="C187" s="941">
        <v>1.0</v>
      </c>
      <c r="D187" s="941">
        <v>0.0</v>
      </c>
      <c r="E187" s="941">
        <v>0.0</v>
      </c>
      <c r="F187" s="941">
        <v>1.0</v>
      </c>
      <c r="G187" s="941">
        <v>139.0</v>
      </c>
      <c r="H187" s="941">
        <v>138.0</v>
      </c>
      <c r="I187" s="941">
        <v>1.0</v>
      </c>
      <c r="J187" s="941">
        <v>7.0</v>
      </c>
      <c r="K187" s="941">
        <v>5.0</v>
      </c>
      <c r="L187" s="941">
        <v>1.0</v>
      </c>
      <c r="M187" s="941">
        <v>1682.0</v>
      </c>
      <c r="N187" s="941">
        <v>2189.0</v>
      </c>
      <c r="O187" s="941">
        <v>12.0</v>
      </c>
      <c r="P187" s="941">
        <v>25.0</v>
      </c>
      <c r="Q187" s="941">
        <v>0.0</v>
      </c>
      <c r="R187" s="941">
        <v>1.0</v>
      </c>
      <c r="S187" s="941">
        <v>0.0</v>
      </c>
      <c r="T187" s="941">
        <v>0.0</v>
      </c>
      <c r="U187" s="941">
        <v>0.0</v>
      </c>
      <c r="V187" s="941">
        <v>1.0</v>
      </c>
      <c r="W187" s="941">
        <v>0.0</v>
      </c>
      <c r="X187" s="941">
        <v>14.0</v>
      </c>
      <c r="Y187" s="941">
        <v>1.0</v>
      </c>
      <c r="Z187" s="941">
        <v>0.0</v>
      </c>
      <c r="AA187" s="941">
        <v>0.0</v>
      </c>
      <c r="AB187" s="941">
        <v>0.0</v>
      </c>
      <c r="AC187" s="941">
        <v>0.0</v>
      </c>
      <c r="AD187" s="941">
        <v>0.0</v>
      </c>
      <c r="AE187" s="941">
        <v>0.0</v>
      </c>
      <c r="AF187" s="941">
        <v>0.0</v>
      </c>
      <c r="AG187" s="941">
        <v>0.0</v>
      </c>
      <c r="AH187" s="941">
        <v>2.0</v>
      </c>
      <c r="AI187" s="941">
        <v>0.0</v>
      </c>
      <c r="AJ187" s="941">
        <v>14.0</v>
      </c>
      <c r="AK187" s="941">
        <v>16.0</v>
      </c>
      <c r="AL187" s="941">
        <v>1.0</v>
      </c>
      <c r="AM187" s="942">
        <v>1.0</v>
      </c>
    </row>
    <row r="188">
      <c r="A188" s="935" t="s">
        <v>392</v>
      </c>
      <c r="B188" s="941">
        <v>1.0</v>
      </c>
      <c r="C188" s="941">
        <v>1.0</v>
      </c>
      <c r="D188" s="941">
        <v>0.0</v>
      </c>
      <c r="E188" s="941">
        <v>0.0</v>
      </c>
      <c r="F188" s="941">
        <v>0.0</v>
      </c>
      <c r="G188" s="941">
        <v>156.0</v>
      </c>
      <c r="H188" s="941">
        <v>150.0</v>
      </c>
      <c r="I188" s="941">
        <v>6.0</v>
      </c>
      <c r="J188" s="941">
        <v>11.0</v>
      </c>
      <c r="K188" s="941">
        <v>6.0</v>
      </c>
      <c r="L188" s="941">
        <v>1.0</v>
      </c>
      <c r="M188" s="941">
        <v>1643.0</v>
      </c>
      <c r="N188" s="941">
        <v>2189.0</v>
      </c>
      <c r="O188" s="941">
        <v>10.0</v>
      </c>
      <c r="P188" s="941">
        <v>2.0</v>
      </c>
      <c r="Q188" s="941">
        <v>0.0</v>
      </c>
      <c r="R188" s="941">
        <v>5.0</v>
      </c>
      <c r="S188" s="941">
        <v>0.0</v>
      </c>
      <c r="T188" s="941">
        <v>0.0</v>
      </c>
      <c r="U188" s="941">
        <v>0.0</v>
      </c>
      <c r="V188" s="941">
        <v>4.0</v>
      </c>
      <c r="W188" s="941">
        <v>0.0</v>
      </c>
      <c r="X188" s="941">
        <v>26.0</v>
      </c>
      <c r="Y188" s="941">
        <v>7.0</v>
      </c>
      <c r="Z188" s="941">
        <v>1.0</v>
      </c>
      <c r="AA188" s="941">
        <v>0.0</v>
      </c>
      <c r="AB188" s="941">
        <v>0.0</v>
      </c>
      <c r="AC188" s="941">
        <v>0.0</v>
      </c>
      <c r="AD188" s="941">
        <v>0.0</v>
      </c>
      <c r="AE188" s="941">
        <v>0.0</v>
      </c>
      <c r="AF188" s="941">
        <v>0.0</v>
      </c>
      <c r="AG188" s="941">
        <v>0.0</v>
      </c>
      <c r="AH188" s="941">
        <v>4.0</v>
      </c>
      <c r="AI188" s="941">
        <v>0.0</v>
      </c>
      <c r="AJ188" s="941">
        <v>7.0</v>
      </c>
      <c r="AK188" s="941">
        <v>31.0</v>
      </c>
      <c r="AL188" s="941">
        <v>1.0</v>
      </c>
      <c r="AM188" s="942">
        <v>1.0</v>
      </c>
    </row>
    <row r="189">
      <c r="A189" s="935" t="s">
        <v>418</v>
      </c>
      <c r="B189" s="941">
        <v>1.0</v>
      </c>
      <c r="C189" s="941">
        <v>1.0</v>
      </c>
      <c r="D189" s="941">
        <v>0.0</v>
      </c>
      <c r="E189" s="941">
        <v>0.0</v>
      </c>
      <c r="F189" s="941">
        <v>0.0</v>
      </c>
      <c r="G189" s="941">
        <v>133.0</v>
      </c>
      <c r="H189" s="941">
        <v>107.0</v>
      </c>
      <c r="I189" s="941">
        <v>26.0</v>
      </c>
      <c r="J189" s="941">
        <v>8.0</v>
      </c>
      <c r="K189" s="941">
        <v>6.0</v>
      </c>
      <c r="L189" s="941">
        <v>2.0</v>
      </c>
      <c r="M189" s="941">
        <v>1775.0</v>
      </c>
      <c r="N189" s="941">
        <v>2189.0</v>
      </c>
      <c r="O189" s="941">
        <v>16.0</v>
      </c>
      <c r="P189" s="941">
        <v>18.0</v>
      </c>
      <c r="Q189" s="941">
        <v>0.0</v>
      </c>
      <c r="R189" s="941">
        <v>3.0</v>
      </c>
      <c r="S189" s="941">
        <v>0.0</v>
      </c>
      <c r="T189" s="941">
        <v>0.0</v>
      </c>
      <c r="U189" s="941">
        <v>0.0</v>
      </c>
      <c r="V189" s="941">
        <v>3.0</v>
      </c>
      <c r="W189" s="941">
        <v>0.0</v>
      </c>
      <c r="X189" s="941">
        <v>19.0</v>
      </c>
      <c r="Y189" s="941">
        <v>2.0</v>
      </c>
      <c r="Z189" s="941">
        <v>1.0</v>
      </c>
      <c r="AA189" s="941">
        <v>0.0</v>
      </c>
      <c r="AB189" s="941">
        <v>0.0</v>
      </c>
      <c r="AC189" s="941">
        <v>0.0</v>
      </c>
      <c r="AD189" s="941">
        <v>0.0</v>
      </c>
      <c r="AE189" s="941">
        <v>0.0</v>
      </c>
      <c r="AF189" s="941">
        <v>0.0</v>
      </c>
      <c r="AG189" s="941">
        <v>0.0</v>
      </c>
      <c r="AH189" s="941">
        <v>6.0</v>
      </c>
      <c r="AI189" s="941">
        <v>0.0</v>
      </c>
      <c r="AJ189" s="941">
        <v>20.0</v>
      </c>
      <c r="AK189" s="941">
        <v>13.0</v>
      </c>
      <c r="AL189" s="941">
        <v>1.0</v>
      </c>
      <c r="AM189" s="942">
        <v>1.0</v>
      </c>
    </row>
    <row r="190">
      <c r="A190" s="935" t="s">
        <v>123</v>
      </c>
      <c r="B190" s="941">
        <v>1.0</v>
      </c>
      <c r="C190" s="941">
        <v>0.0</v>
      </c>
      <c r="D190" s="941">
        <v>1.0</v>
      </c>
      <c r="E190" s="941">
        <v>2.0</v>
      </c>
      <c r="F190" s="941">
        <v>19.0</v>
      </c>
      <c r="G190" s="941">
        <v>106.0</v>
      </c>
      <c r="H190" s="941">
        <v>98.0</v>
      </c>
      <c r="I190" s="941">
        <v>8.0</v>
      </c>
      <c r="J190" s="941">
        <v>5.0</v>
      </c>
      <c r="K190" s="941">
        <v>6.0</v>
      </c>
      <c r="L190" s="941">
        <v>5.0</v>
      </c>
      <c r="M190" s="941">
        <v>1802.0</v>
      </c>
      <c r="N190" s="941">
        <v>2189.0</v>
      </c>
      <c r="O190" s="941">
        <v>18.0</v>
      </c>
      <c r="P190" s="941">
        <v>637.0</v>
      </c>
      <c r="Q190" s="941">
        <v>0.0</v>
      </c>
      <c r="R190" s="941">
        <v>2.0</v>
      </c>
      <c r="S190" s="941">
        <v>0.0</v>
      </c>
      <c r="T190" s="941">
        <v>0.0</v>
      </c>
      <c r="U190" s="941">
        <v>0.0</v>
      </c>
      <c r="V190" s="941">
        <v>0.0</v>
      </c>
      <c r="W190" s="941">
        <v>0.0</v>
      </c>
      <c r="X190" s="941">
        <v>13.0</v>
      </c>
      <c r="Y190" s="941">
        <v>7.0</v>
      </c>
      <c r="Z190" s="941">
        <v>1.0</v>
      </c>
      <c r="AA190" s="941">
        <v>0.0</v>
      </c>
      <c r="AB190" s="941">
        <v>0.0</v>
      </c>
      <c r="AC190" s="941">
        <v>0.0</v>
      </c>
      <c r="AD190" s="941">
        <v>0.0</v>
      </c>
      <c r="AE190" s="941">
        <v>0.0</v>
      </c>
      <c r="AF190" s="941">
        <v>0.0</v>
      </c>
      <c r="AG190" s="941">
        <v>0.0</v>
      </c>
      <c r="AH190" s="941">
        <v>3.0</v>
      </c>
      <c r="AI190" s="941">
        <v>0.0</v>
      </c>
      <c r="AJ190" s="941">
        <v>18.0</v>
      </c>
      <c r="AK190" s="941">
        <v>11.0</v>
      </c>
      <c r="AL190" s="941">
        <v>0.0</v>
      </c>
      <c r="AM190" s="942">
        <v>0.0</v>
      </c>
    </row>
    <row r="191">
      <c r="A191" s="935" t="s">
        <v>419</v>
      </c>
      <c r="B191" s="941">
        <v>1.0</v>
      </c>
      <c r="C191" s="941">
        <v>0.0</v>
      </c>
      <c r="D191" s="941">
        <v>1.0</v>
      </c>
      <c r="E191" s="941">
        <v>0.0</v>
      </c>
      <c r="F191" s="941">
        <v>0.0</v>
      </c>
      <c r="G191" s="941">
        <v>125.0</v>
      </c>
      <c r="H191" s="941">
        <v>129.0</v>
      </c>
      <c r="I191" s="941">
        <v>-4.0</v>
      </c>
      <c r="J191" s="941">
        <v>11.0</v>
      </c>
      <c r="K191" s="941">
        <v>4.0</v>
      </c>
      <c r="L191" s="941">
        <v>2.0</v>
      </c>
      <c r="M191" s="941">
        <v>1709.0</v>
      </c>
      <c r="N191" s="941">
        <v>2189.0</v>
      </c>
      <c r="O191" s="941">
        <v>13.0</v>
      </c>
      <c r="P191" s="941">
        <v>3.0</v>
      </c>
      <c r="Q191" s="941">
        <v>0.0</v>
      </c>
      <c r="R191" s="941">
        <v>0.0</v>
      </c>
      <c r="S191" s="941">
        <v>0.0</v>
      </c>
      <c r="T191" s="941">
        <v>0.0</v>
      </c>
      <c r="U191" s="941">
        <v>0.0</v>
      </c>
      <c r="V191" s="941">
        <v>0.0</v>
      </c>
      <c r="W191" s="941">
        <v>0.0</v>
      </c>
      <c r="X191" s="941">
        <v>13.0</v>
      </c>
      <c r="Y191" s="941">
        <v>0.0</v>
      </c>
      <c r="Z191" s="941">
        <v>0.0</v>
      </c>
      <c r="AA191" s="941">
        <v>0.0</v>
      </c>
      <c r="AB191" s="941">
        <v>0.0</v>
      </c>
      <c r="AC191" s="941">
        <v>0.0</v>
      </c>
      <c r="AD191" s="941">
        <v>0.0</v>
      </c>
      <c r="AE191" s="941">
        <v>0.0</v>
      </c>
      <c r="AF191" s="941">
        <v>0.0</v>
      </c>
      <c r="AG191" s="941">
        <v>0.0</v>
      </c>
      <c r="AH191" s="941">
        <v>1.0</v>
      </c>
      <c r="AI191" s="941">
        <v>0.0</v>
      </c>
      <c r="AJ191" s="941">
        <v>7.0</v>
      </c>
      <c r="AK191" s="941">
        <v>19.0</v>
      </c>
      <c r="AL191" s="941">
        <v>1.0</v>
      </c>
      <c r="AM191" s="942">
        <v>0.0</v>
      </c>
    </row>
    <row r="192">
      <c r="A192" s="935" t="s">
        <v>152</v>
      </c>
      <c r="B192" s="941">
        <v>1.0</v>
      </c>
      <c r="C192" s="941">
        <v>0.0</v>
      </c>
      <c r="D192" s="941">
        <v>1.0</v>
      </c>
      <c r="E192" s="941">
        <v>0.0</v>
      </c>
      <c r="F192" s="941">
        <v>1.0</v>
      </c>
      <c r="G192" s="941">
        <v>88.0</v>
      </c>
      <c r="H192" s="941">
        <v>139.0</v>
      </c>
      <c r="I192" s="941">
        <v>-51.0</v>
      </c>
      <c r="J192" s="941">
        <v>10.0</v>
      </c>
      <c r="K192" s="941">
        <v>3.0</v>
      </c>
      <c r="L192" s="941">
        <v>1.0</v>
      </c>
      <c r="M192" s="941">
        <v>1679.0</v>
      </c>
      <c r="N192" s="941">
        <v>2189.0</v>
      </c>
      <c r="O192" s="941">
        <v>12.0</v>
      </c>
      <c r="P192" s="941">
        <v>7.0</v>
      </c>
      <c r="Q192" s="941">
        <v>0.0</v>
      </c>
      <c r="R192" s="941">
        <v>0.0</v>
      </c>
      <c r="S192" s="941">
        <v>0.0</v>
      </c>
      <c r="T192" s="941">
        <v>0.0</v>
      </c>
      <c r="U192" s="941">
        <v>0.0</v>
      </c>
      <c r="V192" s="941">
        <v>0.0</v>
      </c>
      <c r="W192" s="941">
        <v>0.0</v>
      </c>
      <c r="X192" s="941">
        <v>9.0</v>
      </c>
      <c r="Y192" s="941">
        <v>0.0</v>
      </c>
      <c r="Z192" s="941">
        <v>0.0</v>
      </c>
      <c r="AA192" s="941">
        <v>0.0</v>
      </c>
      <c r="AB192" s="941">
        <v>0.0</v>
      </c>
      <c r="AC192" s="941">
        <v>0.0</v>
      </c>
      <c r="AD192" s="941">
        <v>0.0</v>
      </c>
      <c r="AE192" s="941">
        <v>0.0</v>
      </c>
      <c r="AF192" s="941">
        <v>0.0</v>
      </c>
      <c r="AG192" s="941">
        <v>0.0</v>
      </c>
      <c r="AH192" s="941">
        <v>2.0</v>
      </c>
      <c r="AI192" s="941">
        <v>0.0</v>
      </c>
      <c r="AJ192" s="941">
        <v>11.0</v>
      </c>
      <c r="AK192" s="941">
        <v>17.0</v>
      </c>
      <c r="AL192" s="941">
        <v>1.0</v>
      </c>
      <c r="AM192" s="942">
        <v>0.0</v>
      </c>
    </row>
    <row r="193">
      <c r="A193" s="943" t="s">
        <v>145</v>
      </c>
      <c r="B193" s="944">
        <v>1.0</v>
      </c>
      <c r="C193" s="944">
        <v>0.0</v>
      </c>
      <c r="D193" s="944">
        <v>1.0</v>
      </c>
      <c r="E193" s="944">
        <v>0.0</v>
      </c>
      <c r="F193" s="944">
        <v>0.0</v>
      </c>
      <c r="G193" s="944">
        <v>113.0</v>
      </c>
      <c r="H193" s="944">
        <v>142.0</v>
      </c>
      <c r="I193" s="944">
        <v>-29.0</v>
      </c>
      <c r="J193" s="944">
        <v>6.0</v>
      </c>
      <c r="K193" s="944">
        <v>5.0</v>
      </c>
      <c r="L193" s="944">
        <v>1.0</v>
      </c>
      <c r="M193" s="944">
        <v>1666.0</v>
      </c>
      <c r="N193" s="944">
        <v>2189.0</v>
      </c>
      <c r="O193" s="944">
        <v>11.0</v>
      </c>
      <c r="P193" s="944">
        <v>7.0</v>
      </c>
      <c r="Q193" s="944">
        <v>0.0</v>
      </c>
      <c r="R193" s="944">
        <v>2.0</v>
      </c>
      <c r="S193" s="944">
        <v>0.0</v>
      </c>
      <c r="T193" s="944">
        <v>0.0</v>
      </c>
      <c r="U193" s="944">
        <v>0.0</v>
      </c>
      <c r="V193" s="944">
        <v>0.0</v>
      </c>
      <c r="W193" s="944">
        <v>0.0</v>
      </c>
      <c r="X193" s="944">
        <v>15.0</v>
      </c>
      <c r="Y193" s="944">
        <v>3.0</v>
      </c>
      <c r="Z193" s="944">
        <v>0.0</v>
      </c>
      <c r="AA193" s="944">
        <v>0.0</v>
      </c>
      <c r="AB193" s="944">
        <v>0.0</v>
      </c>
      <c r="AC193" s="944">
        <v>0.0</v>
      </c>
      <c r="AD193" s="944">
        <v>0.0</v>
      </c>
      <c r="AE193" s="944">
        <v>0.0</v>
      </c>
      <c r="AF193" s="944">
        <v>0.0</v>
      </c>
      <c r="AG193" s="944">
        <v>0.0</v>
      </c>
      <c r="AH193" s="944">
        <v>3.0</v>
      </c>
      <c r="AI193" s="944">
        <v>0.0</v>
      </c>
      <c r="AJ193" s="944">
        <v>19.0</v>
      </c>
      <c r="AK193" s="944">
        <v>17.0</v>
      </c>
      <c r="AL193" s="944">
        <v>1.0</v>
      </c>
      <c r="AM193" s="945">
        <v>0.0</v>
      </c>
    </row>
    <row r="194">
      <c r="A194" s="946" t="s">
        <v>139</v>
      </c>
      <c r="B194" s="939">
        <v>1.0</v>
      </c>
      <c r="C194" s="939">
        <v>1.0</v>
      </c>
      <c r="D194" s="939">
        <v>0.0</v>
      </c>
      <c r="E194" s="939">
        <v>2.0</v>
      </c>
      <c r="F194" s="939">
        <v>2.0</v>
      </c>
      <c r="G194" s="939">
        <v>78.0</v>
      </c>
      <c r="H194" s="939">
        <v>71.0</v>
      </c>
      <c r="I194" s="939">
        <v>7.0</v>
      </c>
      <c r="J194" s="939">
        <v>5.0</v>
      </c>
      <c r="K194" s="939">
        <v>5.0</v>
      </c>
      <c r="L194" s="939">
        <v>2.0</v>
      </c>
      <c r="M194" s="939">
        <v>809.0</v>
      </c>
      <c r="N194" s="939">
        <v>1117.0</v>
      </c>
      <c r="O194" s="939">
        <v>11.0</v>
      </c>
      <c r="P194" s="939">
        <v>42.0</v>
      </c>
      <c r="Q194" s="939">
        <v>0.0</v>
      </c>
      <c r="R194" s="939">
        <v>3.0</v>
      </c>
      <c r="S194" s="939">
        <v>0.0</v>
      </c>
      <c r="T194" s="939">
        <v>0.0</v>
      </c>
      <c r="U194" s="939">
        <v>0.0</v>
      </c>
      <c r="V194" s="939">
        <v>2.0</v>
      </c>
      <c r="W194" s="939">
        <v>0.0</v>
      </c>
      <c r="X194" s="939">
        <v>11.0</v>
      </c>
      <c r="Y194" s="939">
        <v>4.0</v>
      </c>
      <c r="Z194" s="939">
        <v>1.0</v>
      </c>
      <c r="AA194" s="939">
        <v>0.0</v>
      </c>
      <c r="AB194" s="939">
        <v>0.0</v>
      </c>
      <c r="AC194" s="939">
        <v>0.0</v>
      </c>
      <c r="AD194" s="939">
        <v>0.0</v>
      </c>
      <c r="AE194" s="939">
        <v>0.0</v>
      </c>
      <c r="AF194" s="939">
        <v>0.0</v>
      </c>
      <c r="AG194" s="939">
        <v>0.0</v>
      </c>
      <c r="AH194" s="939">
        <v>2.0</v>
      </c>
      <c r="AI194" s="939">
        <v>0.0</v>
      </c>
      <c r="AJ194" s="939">
        <v>8.0</v>
      </c>
      <c r="AK194" s="939">
        <v>6.0</v>
      </c>
      <c r="AL194" s="939">
        <v>1.0</v>
      </c>
      <c r="AM194" s="940">
        <v>1.0</v>
      </c>
    </row>
    <row r="195">
      <c r="A195" s="935" t="s">
        <v>150</v>
      </c>
      <c r="B195" s="941">
        <v>1.0</v>
      </c>
      <c r="C195" s="941">
        <v>1.0</v>
      </c>
      <c r="D195" s="941">
        <v>0.0</v>
      </c>
      <c r="E195" s="941">
        <v>2.0</v>
      </c>
      <c r="F195" s="941">
        <v>2.0</v>
      </c>
      <c r="G195" s="941">
        <v>57.0</v>
      </c>
      <c r="H195" s="941">
        <v>53.0</v>
      </c>
      <c r="I195" s="941">
        <v>4.0</v>
      </c>
      <c r="J195" s="941">
        <v>2.0</v>
      </c>
      <c r="K195" s="941">
        <v>9.0</v>
      </c>
      <c r="L195" s="941">
        <v>1.0</v>
      </c>
      <c r="M195" s="941">
        <v>861.0</v>
      </c>
      <c r="N195" s="941">
        <v>1117.0</v>
      </c>
      <c r="O195" s="941">
        <v>16.0</v>
      </c>
      <c r="P195" s="941">
        <v>117.0</v>
      </c>
      <c r="Q195" s="941">
        <v>0.0</v>
      </c>
      <c r="R195" s="941">
        <v>3.0</v>
      </c>
      <c r="S195" s="941">
        <v>0.0</v>
      </c>
      <c r="T195" s="941">
        <v>0.0</v>
      </c>
      <c r="U195" s="941">
        <v>0.0</v>
      </c>
      <c r="V195" s="941">
        <v>3.0</v>
      </c>
      <c r="W195" s="941">
        <v>0.0</v>
      </c>
      <c r="X195" s="941">
        <v>7.0</v>
      </c>
      <c r="Y195" s="941">
        <v>2.0</v>
      </c>
      <c r="Z195" s="941">
        <v>2.0</v>
      </c>
      <c r="AA195" s="941">
        <v>2.0</v>
      </c>
      <c r="AB195" s="941">
        <v>1.0</v>
      </c>
      <c r="AC195" s="941">
        <v>0.0</v>
      </c>
      <c r="AD195" s="941">
        <v>0.0</v>
      </c>
      <c r="AE195" s="941">
        <v>0.0</v>
      </c>
      <c r="AF195" s="941">
        <v>0.0</v>
      </c>
      <c r="AG195" s="941">
        <v>0.0</v>
      </c>
      <c r="AH195" s="941">
        <v>0.0</v>
      </c>
      <c r="AI195" s="941">
        <v>0.0</v>
      </c>
      <c r="AJ195" s="941">
        <v>7.0</v>
      </c>
      <c r="AK195" s="941">
        <v>6.0</v>
      </c>
      <c r="AL195" s="941">
        <v>0.0</v>
      </c>
      <c r="AM195" s="942">
        <v>1.0</v>
      </c>
    </row>
    <row r="196">
      <c r="A196" s="935" t="s">
        <v>128</v>
      </c>
      <c r="B196" s="941">
        <v>1.0</v>
      </c>
      <c r="C196" s="941">
        <v>1.0</v>
      </c>
      <c r="D196" s="941">
        <v>0.0</v>
      </c>
      <c r="E196" s="941">
        <v>1.0</v>
      </c>
      <c r="F196" s="941">
        <v>1.0</v>
      </c>
      <c r="G196" s="941">
        <v>76.0</v>
      </c>
      <c r="H196" s="941">
        <v>63.0</v>
      </c>
      <c r="I196" s="941">
        <v>13.0</v>
      </c>
      <c r="J196" s="941">
        <v>10.0</v>
      </c>
      <c r="K196" s="941">
        <v>6.0</v>
      </c>
      <c r="L196" s="941">
        <v>1.0</v>
      </c>
      <c r="M196" s="941">
        <v>836.0</v>
      </c>
      <c r="N196" s="941">
        <v>1117.0</v>
      </c>
      <c r="O196" s="941">
        <v>13.0</v>
      </c>
      <c r="P196" s="941">
        <v>10.0</v>
      </c>
      <c r="Q196" s="941">
        <v>0.0</v>
      </c>
      <c r="R196" s="941">
        <v>1.0</v>
      </c>
      <c r="S196" s="941">
        <v>0.0</v>
      </c>
      <c r="T196" s="941">
        <v>0.0</v>
      </c>
      <c r="U196" s="941">
        <v>0.0</v>
      </c>
      <c r="V196" s="941">
        <v>1.0</v>
      </c>
      <c r="W196" s="941">
        <v>0.0</v>
      </c>
      <c r="X196" s="941">
        <v>8.0</v>
      </c>
      <c r="Y196" s="941">
        <v>1.0</v>
      </c>
      <c r="Z196" s="941">
        <v>0.0</v>
      </c>
      <c r="AA196" s="941">
        <v>0.0</v>
      </c>
      <c r="AB196" s="941">
        <v>0.0</v>
      </c>
      <c r="AC196" s="941">
        <v>0.0</v>
      </c>
      <c r="AD196" s="941">
        <v>0.0</v>
      </c>
      <c r="AE196" s="941">
        <v>0.0</v>
      </c>
      <c r="AF196" s="941">
        <v>0.0</v>
      </c>
      <c r="AG196" s="941">
        <v>0.0</v>
      </c>
      <c r="AH196" s="941">
        <v>1.0</v>
      </c>
      <c r="AI196" s="941">
        <v>0.0</v>
      </c>
      <c r="AJ196" s="941">
        <v>5.0</v>
      </c>
      <c r="AK196" s="941">
        <v>6.0</v>
      </c>
      <c r="AL196" s="941">
        <v>1.0</v>
      </c>
      <c r="AM196" s="942">
        <v>1.0</v>
      </c>
    </row>
    <row r="197">
      <c r="A197" s="935" t="s">
        <v>117</v>
      </c>
      <c r="B197" s="941">
        <v>1.0</v>
      </c>
      <c r="C197" s="941">
        <v>1.0</v>
      </c>
      <c r="D197" s="941">
        <v>0.0</v>
      </c>
      <c r="E197" s="941">
        <v>0.0</v>
      </c>
      <c r="F197" s="941">
        <v>3.0</v>
      </c>
      <c r="G197" s="941">
        <v>46.0</v>
      </c>
      <c r="H197" s="941">
        <v>51.0</v>
      </c>
      <c r="I197" s="941">
        <v>-5.0</v>
      </c>
      <c r="J197" s="941">
        <v>5.0</v>
      </c>
      <c r="K197" s="941">
        <v>4.0</v>
      </c>
      <c r="L197" s="941">
        <v>3.0</v>
      </c>
      <c r="M197" s="941">
        <v>864.0</v>
      </c>
      <c r="N197" s="941">
        <v>1117.0</v>
      </c>
      <c r="O197" s="941">
        <v>16.0</v>
      </c>
      <c r="P197" s="941">
        <v>153.0</v>
      </c>
      <c r="Q197" s="941">
        <v>0.0</v>
      </c>
      <c r="R197" s="941">
        <v>0.0</v>
      </c>
      <c r="S197" s="941">
        <v>0.0</v>
      </c>
      <c r="T197" s="941">
        <v>0.0</v>
      </c>
      <c r="U197" s="941">
        <v>0.0</v>
      </c>
      <c r="V197" s="941">
        <v>0.0</v>
      </c>
      <c r="W197" s="941">
        <v>0.0</v>
      </c>
      <c r="X197" s="941">
        <v>5.0</v>
      </c>
      <c r="Y197" s="941">
        <v>1.0</v>
      </c>
      <c r="Z197" s="941">
        <v>0.0</v>
      </c>
      <c r="AA197" s="941">
        <v>0.0</v>
      </c>
      <c r="AB197" s="941">
        <v>0.0</v>
      </c>
      <c r="AC197" s="941">
        <v>0.0</v>
      </c>
      <c r="AD197" s="941">
        <v>0.0</v>
      </c>
      <c r="AE197" s="941">
        <v>0.0</v>
      </c>
      <c r="AF197" s="941">
        <v>0.0</v>
      </c>
      <c r="AG197" s="941">
        <v>0.0</v>
      </c>
      <c r="AH197" s="941">
        <v>4.0</v>
      </c>
      <c r="AI197" s="941">
        <v>0.0</v>
      </c>
      <c r="AJ197" s="941">
        <v>8.0</v>
      </c>
      <c r="AK197" s="941">
        <v>7.0</v>
      </c>
      <c r="AL197" s="941">
        <v>0.0</v>
      </c>
      <c r="AM197" s="942">
        <v>1.0</v>
      </c>
    </row>
    <row r="198">
      <c r="A198" s="935" t="s">
        <v>420</v>
      </c>
      <c r="B198" s="941">
        <v>1.0</v>
      </c>
      <c r="C198" s="941">
        <v>0.0</v>
      </c>
      <c r="D198" s="941">
        <v>1.0</v>
      </c>
      <c r="E198" s="941">
        <v>2.0</v>
      </c>
      <c r="F198" s="941">
        <v>11.0</v>
      </c>
      <c r="G198" s="941">
        <v>26.0</v>
      </c>
      <c r="H198" s="941">
        <v>37.0</v>
      </c>
      <c r="I198" s="941">
        <v>-11.0</v>
      </c>
      <c r="J198" s="941">
        <v>1.0</v>
      </c>
      <c r="K198" s="941">
        <v>7.0</v>
      </c>
      <c r="L198" s="941">
        <v>1.0</v>
      </c>
      <c r="M198" s="941">
        <v>915.0</v>
      </c>
      <c r="N198" s="941">
        <v>1117.0</v>
      </c>
      <c r="O198" s="941">
        <v>24.0</v>
      </c>
      <c r="P198" s="941">
        <v>589.0</v>
      </c>
      <c r="Q198" s="941">
        <v>0.0</v>
      </c>
      <c r="R198" s="941">
        <v>1.0</v>
      </c>
      <c r="S198" s="941">
        <v>0.0</v>
      </c>
      <c r="T198" s="941">
        <v>0.0</v>
      </c>
      <c r="U198" s="941">
        <v>0.0</v>
      </c>
      <c r="V198" s="941">
        <v>0.0</v>
      </c>
      <c r="W198" s="941">
        <v>0.0</v>
      </c>
      <c r="X198" s="941">
        <v>3.0</v>
      </c>
      <c r="Y198" s="941">
        <v>0.0</v>
      </c>
      <c r="Z198" s="941">
        <v>0.0</v>
      </c>
      <c r="AA198" s="941">
        <v>0.0</v>
      </c>
      <c r="AB198" s="941">
        <v>0.0</v>
      </c>
      <c r="AC198" s="941">
        <v>0.0</v>
      </c>
      <c r="AD198" s="941">
        <v>0.0</v>
      </c>
      <c r="AE198" s="941">
        <v>0.0</v>
      </c>
      <c r="AF198" s="941">
        <v>0.0</v>
      </c>
      <c r="AG198" s="941">
        <v>0.0</v>
      </c>
      <c r="AH198" s="941">
        <v>1.0</v>
      </c>
      <c r="AI198" s="941">
        <v>0.0</v>
      </c>
      <c r="AJ198" s="941">
        <v>7.0</v>
      </c>
      <c r="AK198" s="941">
        <v>0.0</v>
      </c>
      <c r="AL198" s="941">
        <v>1.0</v>
      </c>
      <c r="AM198" s="942">
        <v>0.0</v>
      </c>
    </row>
    <row r="199">
      <c r="A199" s="935" t="s">
        <v>137</v>
      </c>
      <c r="B199" s="941">
        <v>1.0</v>
      </c>
      <c r="C199" s="941">
        <v>0.0</v>
      </c>
      <c r="D199" s="941">
        <v>1.0</v>
      </c>
      <c r="E199" s="941">
        <v>0.0</v>
      </c>
      <c r="F199" s="941">
        <v>1.0</v>
      </c>
      <c r="G199" s="941">
        <v>71.0</v>
      </c>
      <c r="H199" s="941">
        <v>72.0</v>
      </c>
      <c r="I199" s="941">
        <v>-1.0</v>
      </c>
      <c r="J199" s="941">
        <v>2.0</v>
      </c>
      <c r="K199" s="941">
        <v>4.0</v>
      </c>
      <c r="L199" s="941">
        <v>2.0</v>
      </c>
      <c r="M199" s="941">
        <v>802.0</v>
      </c>
      <c r="N199" s="941">
        <v>1117.0</v>
      </c>
      <c r="O199" s="941">
        <v>11.0</v>
      </c>
      <c r="P199" s="941">
        <v>10.0</v>
      </c>
      <c r="Q199" s="941">
        <v>0.0</v>
      </c>
      <c r="R199" s="941">
        <v>0.0</v>
      </c>
      <c r="S199" s="941">
        <v>0.0</v>
      </c>
      <c r="T199" s="941">
        <v>0.0</v>
      </c>
      <c r="U199" s="941">
        <v>0.0</v>
      </c>
      <c r="V199" s="941">
        <v>0.0</v>
      </c>
      <c r="W199" s="941">
        <v>0.0</v>
      </c>
      <c r="X199" s="941">
        <v>12.0</v>
      </c>
      <c r="Y199" s="941">
        <v>1.0</v>
      </c>
      <c r="Z199" s="941">
        <v>0.0</v>
      </c>
      <c r="AA199" s="941">
        <v>0.0</v>
      </c>
      <c r="AB199" s="941">
        <v>0.0</v>
      </c>
      <c r="AC199" s="941">
        <v>0.0</v>
      </c>
      <c r="AD199" s="941">
        <v>0.0</v>
      </c>
      <c r="AE199" s="941">
        <v>0.0</v>
      </c>
      <c r="AF199" s="941">
        <v>0.0</v>
      </c>
      <c r="AG199" s="941">
        <v>0.0</v>
      </c>
      <c r="AH199" s="941">
        <v>3.0</v>
      </c>
      <c r="AI199" s="941">
        <v>0.0</v>
      </c>
      <c r="AJ199" s="941">
        <v>6.0</v>
      </c>
      <c r="AK199" s="941">
        <v>11.0</v>
      </c>
      <c r="AL199" s="941">
        <v>1.0</v>
      </c>
      <c r="AM199" s="942">
        <v>0.0</v>
      </c>
    </row>
    <row r="200">
      <c r="A200" s="935" t="s">
        <v>126</v>
      </c>
      <c r="B200" s="941">
        <v>1.0</v>
      </c>
      <c r="C200" s="941">
        <v>0.0</v>
      </c>
      <c r="D200" s="941">
        <v>1.0</v>
      </c>
      <c r="E200" s="941">
        <v>0.0</v>
      </c>
      <c r="F200" s="941">
        <v>1.0</v>
      </c>
      <c r="G200" s="941">
        <v>54.0</v>
      </c>
      <c r="H200" s="941">
        <v>79.0</v>
      </c>
      <c r="I200" s="941">
        <v>-25.0</v>
      </c>
      <c r="J200" s="941">
        <v>6.0</v>
      </c>
      <c r="K200" s="941">
        <v>3.0</v>
      </c>
      <c r="L200" s="941">
        <v>5.0</v>
      </c>
      <c r="M200" s="941">
        <v>788.0</v>
      </c>
      <c r="N200" s="941">
        <v>1117.0</v>
      </c>
      <c r="O200" s="941">
        <v>9.0</v>
      </c>
      <c r="P200" s="941">
        <v>10.0</v>
      </c>
      <c r="Q200" s="941">
        <v>0.0</v>
      </c>
      <c r="R200" s="941">
        <v>0.0</v>
      </c>
      <c r="S200" s="941">
        <v>0.0</v>
      </c>
      <c r="T200" s="941">
        <v>0.0</v>
      </c>
      <c r="U200" s="941">
        <v>0.0</v>
      </c>
      <c r="V200" s="941">
        <v>0.0</v>
      </c>
      <c r="W200" s="941">
        <v>0.0</v>
      </c>
      <c r="X200" s="941">
        <v>6.0</v>
      </c>
      <c r="Y200" s="941">
        <v>0.0</v>
      </c>
      <c r="Z200" s="941">
        <v>0.0</v>
      </c>
      <c r="AA200" s="941">
        <v>0.0</v>
      </c>
      <c r="AB200" s="941">
        <v>0.0</v>
      </c>
      <c r="AC200" s="941">
        <v>0.0</v>
      </c>
      <c r="AD200" s="941">
        <v>0.0</v>
      </c>
      <c r="AE200" s="941">
        <v>0.0</v>
      </c>
      <c r="AF200" s="941">
        <v>0.0</v>
      </c>
      <c r="AG200" s="941">
        <v>0.0</v>
      </c>
      <c r="AH200" s="941">
        <v>1.0</v>
      </c>
      <c r="AI200" s="941">
        <v>0.0</v>
      </c>
      <c r="AJ200" s="941">
        <v>7.0</v>
      </c>
      <c r="AK200" s="941">
        <v>9.0</v>
      </c>
      <c r="AL200" s="941">
        <v>1.0</v>
      </c>
      <c r="AM200" s="942">
        <v>0.0</v>
      </c>
    </row>
    <row r="201">
      <c r="A201" s="943" t="s">
        <v>115</v>
      </c>
      <c r="B201" s="944">
        <v>1.0</v>
      </c>
      <c r="C201" s="944">
        <v>0.0</v>
      </c>
      <c r="D201" s="944">
        <v>1.0</v>
      </c>
      <c r="E201" s="944">
        <v>0.0</v>
      </c>
      <c r="F201" s="944">
        <v>1.0</v>
      </c>
      <c r="G201" s="944">
        <v>70.0</v>
      </c>
      <c r="H201" s="944">
        <v>86.0</v>
      </c>
      <c r="I201" s="944">
        <v>-16.0</v>
      </c>
      <c r="J201" s="944">
        <v>3.0</v>
      </c>
      <c r="K201" s="944">
        <v>4.0</v>
      </c>
      <c r="L201" s="944">
        <v>0.0</v>
      </c>
      <c r="M201" s="944">
        <v>767.0</v>
      </c>
      <c r="N201" s="944">
        <v>1117.0</v>
      </c>
      <c r="O201" s="944">
        <v>8.0</v>
      </c>
      <c r="P201" s="944">
        <v>0.0</v>
      </c>
      <c r="Q201" s="944">
        <v>0.0</v>
      </c>
      <c r="R201" s="944">
        <v>0.0</v>
      </c>
      <c r="S201" s="944">
        <v>0.0</v>
      </c>
      <c r="T201" s="944">
        <v>0.0</v>
      </c>
      <c r="U201" s="944">
        <v>0.0</v>
      </c>
      <c r="V201" s="944">
        <v>0.0</v>
      </c>
      <c r="W201" s="944">
        <v>0.0</v>
      </c>
      <c r="X201" s="944">
        <v>11.0</v>
      </c>
      <c r="Y201" s="944">
        <v>2.0</v>
      </c>
      <c r="Z201" s="944">
        <v>0.0</v>
      </c>
      <c r="AA201" s="944">
        <v>0.0</v>
      </c>
      <c r="AB201" s="944">
        <v>0.0</v>
      </c>
      <c r="AC201" s="944">
        <v>0.0</v>
      </c>
      <c r="AD201" s="944">
        <v>0.0</v>
      </c>
      <c r="AE201" s="944">
        <v>0.0</v>
      </c>
      <c r="AF201" s="944">
        <v>0.0</v>
      </c>
      <c r="AG201" s="944">
        <v>0.0</v>
      </c>
      <c r="AH201" s="944">
        <v>1.0</v>
      </c>
      <c r="AI201" s="944">
        <v>0.0</v>
      </c>
      <c r="AJ201" s="944">
        <v>3.0</v>
      </c>
      <c r="AK201" s="944">
        <v>14.0</v>
      </c>
      <c r="AL201" s="944">
        <v>2.0</v>
      </c>
      <c r="AM201" s="945">
        <v>0.0</v>
      </c>
    </row>
    <row r="202">
      <c r="A202" s="946" t="s">
        <v>149</v>
      </c>
      <c r="B202" s="939">
        <v>1.0</v>
      </c>
      <c r="C202" s="939">
        <v>1.0</v>
      </c>
      <c r="D202" s="939">
        <v>0.0</v>
      </c>
      <c r="E202" s="939">
        <v>4.0</v>
      </c>
      <c r="F202" s="939">
        <v>3.0</v>
      </c>
      <c r="G202" s="939">
        <v>41.0</v>
      </c>
      <c r="H202" s="939">
        <v>26.0</v>
      </c>
      <c r="I202" s="939">
        <v>15.0</v>
      </c>
      <c r="J202" s="939">
        <v>0.0</v>
      </c>
      <c r="K202" s="939">
        <v>6.0</v>
      </c>
      <c r="L202" s="939">
        <v>0.0</v>
      </c>
      <c r="M202" s="939">
        <v>775.0</v>
      </c>
      <c r="N202" s="939">
        <v>950.0</v>
      </c>
      <c r="O202" s="939">
        <v>29.0</v>
      </c>
      <c r="P202" s="939">
        <v>261.0</v>
      </c>
      <c r="Q202" s="939">
        <v>0.0</v>
      </c>
      <c r="R202" s="939">
        <v>3.0</v>
      </c>
      <c r="S202" s="939">
        <v>0.0</v>
      </c>
      <c r="T202" s="939">
        <v>0.0</v>
      </c>
      <c r="U202" s="939">
        <v>0.0</v>
      </c>
      <c r="V202" s="939">
        <v>3.0</v>
      </c>
      <c r="W202" s="939">
        <v>0.0</v>
      </c>
      <c r="X202" s="939">
        <v>5.0</v>
      </c>
      <c r="Y202" s="939">
        <v>2.0</v>
      </c>
      <c r="Z202" s="939">
        <v>1.0</v>
      </c>
      <c r="AA202" s="939">
        <v>0.0</v>
      </c>
      <c r="AB202" s="939">
        <v>0.0</v>
      </c>
      <c r="AC202" s="939">
        <v>0.0</v>
      </c>
      <c r="AD202" s="939">
        <v>0.0</v>
      </c>
      <c r="AE202" s="939">
        <v>0.0</v>
      </c>
      <c r="AF202" s="939">
        <v>0.0</v>
      </c>
      <c r="AG202" s="939">
        <v>0.0</v>
      </c>
      <c r="AH202" s="939">
        <v>0.0</v>
      </c>
      <c r="AI202" s="939">
        <v>0.0</v>
      </c>
      <c r="AJ202" s="939">
        <v>9.0</v>
      </c>
      <c r="AK202" s="939">
        <v>8.0</v>
      </c>
      <c r="AL202" s="939">
        <v>1.0</v>
      </c>
      <c r="AM202" s="940">
        <v>1.0</v>
      </c>
    </row>
    <row r="203">
      <c r="A203" s="935" t="s">
        <v>138</v>
      </c>
      <c r="B203" s="941">
        <v>1.0</v>
      </c>
      <c r="C203" s="941">
        <v>1.0</v>
      </c>
      <c r="D203" s="941">
        <v>0.0</v>
      </c>
      <c r="E203" s="941">
        <v>1.0</v>
      </c>
      <c r="F203" s="941">
        <v>1.0</v>
      </c>
      <c r="G203" s="941">
        <v>55.0</v>
      </c>
      <c r="H203" s="941">
        <v>42.0</v>
      </c>
      <c r="I203" s="941">
        <v>13.0</v>
      </c>
      <c r="J203" s="941">
        <v>7.0</v>
      </c>
      <c r="K203" s="941">
        <v>5.0</v>
      </c>
      <c r="L203" s="941">
        <v>1.0</v>
      </c>
      <c r="M203" s="941">
        <v>725.0</v>
      </c>
      <c r="N203" s="941">
        <v>950.0</v>
      </c>
      <c r="O203" s="941">
        <v>17.0</v>
      </c>
      <c r="P203" s="941">
        <v>5.0</v>
      </c>
      <c r="Q203" s="941">
        <v>0.0</v>
      </c>
      <c r="R203" s="941">
        <v>1.0</v>
      </c>
      <c r="S203" s="941">
        <v>0.0</v>
      </c>
      <c r="T203" s="941">
        <v>0.0</v>
      </c>
      <c r="U203" s="941">
        <v>0.0</v>
      </c>
      <c r="V203" s="941">
        <v>0.0</v>
      </c>
      <c r="W203" s="941">
        <v>0.0</v>
      </c>
      <c r="X203" s="941">
        <v>12.0</v>
      </c>
      <c r="Y203" s="941">
        <v>3.0</v>
      </c>
      <c r="Z203" s="941">
        <v>2.0</v>
      </c>
      <c r="AA203" s="941">
        <v>0.0</v>
      </c>
      <c r="AB203" s="941">
        <v>0.0</v>
      </c>
      <c r="AC203" s="941">
        <v>0.0</v>
      </c>
      <c r="AD203" s="941">
        <v>0.0</v>
      </c>
      <c r="AE203" s="941">
        <v>0.0</v>
      </c>
      <c r="AF203" s="941">
        <v>0.0</v>
      </c>
      <c r="AG203" s="941">
        <v>0.0</v>
      </c>
      <c r="AH203" s="941">
        <v>4.0</v>
      </c>
      <c r="AI203" s="941">
        <v>0.0</v>
      </c>
      <c r="AJ203" s="941">
        <v>4.0</v>
      </c>
      <c r="AK203" s="941">
        <v>5.0</v>
      </c>
      <c r="AL203" s="941">
        <v>1.0</v>
      </c>
      <c r="AM203" s="942">
        <v>1.0</v>
      </c>
    </row>
    <row r="204">
      <c r="A204" s="935" t="s">
        <v>418</v>
      </c>
      <c r="B204" s="941">
        <v>1.0</v>
      </c>
      <c r="C204" s="941">
        <v>1.0</v>
      </c>
      <c r="D204" s="941">
        <v>0.0</v>
      </c>
      <c r="E204" s="941">
        <v>0.0</v>
      </c>
      <c r="F204" s="941">
        <v>0.0</v>
      </c>
      <c r="G204" s="941">
        <v>45.0</v>
      </c>
      <c r="H204" s="941">
        <v>37.0</v>
      </c>
      <c r="I204" s="941">
        <v>8.0</v>
      </c>
      <c r="J204" s="941">
        <v>5.0</v>
      </c>
      <c r="K204" s="941">
        <v>8.0</v>
      </c>
      <c r="L204" s="941">
        <v>2.0</v>
      </c>
      <c r="M204" s="941">
        <v>745.0</v>
      </c>
      <c r="N204" s="941">
        <v>950.0</v>
      </c>
      <c r="O204" s="941">
        <v>20.0</v>
      </c>
      <c r="P204" s="941">
        <v>12.0</v>
      </c>
      <c r="Q204" s="941">
        <v>0.0</v>
      </c>
      <c r="R204" s="941">
        <v>2.0</v>
      </c>
      <c r="S204" s="941">
        <v>0.0</v>
      </c>
      <c r="T204" s="941">
        <v>0.0</v>
      </c>
      <c r="U204" s="941">
        <v>0.0</v>
      </c>
      <c r="V204" s="941">
        <v>2.0</v>
      </c>
      <c r="W204" s="941">
        <v>0.0</v>
      </c>
      <c r="X204" s="941">
        <v>10.0</v>
      </c>
      <c r="Y204" s="941">
        <v>2.0</v>
      </c>
      <c r="Z204" s="941">
        <v>1.0</v>
      </c>
      <c r="AA204" s="941">
        <v>0.0</v>
      </c>
      <c r="AB204" s="941">
        <v>0.0</v>
      </c>
      <c r="AC204" s="941">
        <v>0.0</v>
      </c>
      <c r="AD204" s="941">
        <v>0.0</v>
      </c>
      <c r="AE204" s="941">
        <v>0.0</v>
      </c>
      <c r="AF204" s="941">
        <v>0.0</v>
      </c>
      <c r="AG204" s="941">
        <v>0.0</v>
      </c>
      <c r="AH204" s="941">
        <v>2.0</v>
      </c>
      <c r="AI204" s="941">
        <v>0.0</v>
      </c>
      <c r="AJ204" s="941">
        <v>3.0</v>
      </c>
      <c r="AK204" s="941">
        <v>9.0</v>
      </c>
      <c r="AL204" s="941">
        <v>0.0</v>
      </c>
      <c r="AM204" s="942">
        <v>1.0</v>
      </c>
    </row>
    <row r="205">
      <c r="A205" s="935" t="s">
        <v>392</v>
      </c>
      <c r="B205" s="941">
        <v>1.0</v>
      </c>
      <c r="C205" s="941">
        <v>1.0</v>
      </c>
      <c r="D205" s="941">
        <v>0.0</v>
      </c>
      <c r="E205" s="941">
        <v>0.0</v>
      </c>
      <c r="F205" s="941">
        <v>0.0</v>
      </c>
      <c r="G205" s="941">
        <v>49.0</v>
      </c>
      <c r="H205" s="941">
        <v>68.0</v>
      </c>
      <c r="I205" s="941">
        <v>-19.0</v>
      </c>
      <c r="J205" s="941">
        <v>5.0</v>
      </c>
      <c r="K205" s="941">
        <v>3.0</v>
      </c>
      <c r="L205" s="941">
        <v>1.0</v>
      </c>
      <c r="M205" s="941">
        <v>654.0</v>
      </c>
      <c r="N205" s="941">
        <v>950.0</v>
      </c>
      <c r="O205" s="941">
        <v>9.0</v>
      </c>
      <c r="P205" s="941">
        <v>0.0</v>
      </c>
      <c r="Q205" s="941">
        <v>0.0</v>
      </c>
      <c r="R205" s="941">
        <v>0.0</v>
      </c>
      <c r="S205" s="941">
        <v>0.0</v>
      </c>
      <c r="T205" s="941">
        <v>0.0</v>
      </c>
      <c r="U205" s="941">
        <v>0.0</v>
      </c>
      <c r="V205" s="941">
        <v>0.0</v>
      </c>
      <c r="W205" s="941">
        <v>0.0</v>
      </c>
      <c r="X205" s="941">
        <v>8.0</v>
      </c>
      <c r="Y205" s="941">
        <v>3.0</v>
      </c>
      <c r="Z205" s="941">
        <v>0.0</v>
      </c>
      <c r="AA205" s="941">
        <v>0.0</v>
      </c>
      <c r="AB205" s="941">
        <v>0.0</v>
      </c>
      <c r="AC205" s="941">
        <v>0.0</v>
      </c>
      <c r="AD205" s="941">
        <v>0.0</v>
      </c>
      <c r="AE205" s="941">
        <v>0.0</v>
      </c>
      <c r="AF205" s="941">
        <v>0.0</v>
      </c>
      <c r="AG205" s="941">
        <v>0.0</v>
      </c>
      <c r="AH205" s="941">
        <v>4.0</v>
      </c>
      <c r="AI205" s="941">
        <v>0.0</v>
      </c>
      <c r="AJ205" s="941">
        <v>6.0</v>
      </c>
      <c r="AK205" s="941">
        <v>8.0</v>
      </c>
      <c r="AL205" s="941">
        <v>0.0</v>
      </c>
      <c r="AM205" s="942">
        <v>1.0</v>
      </c>
    </row>
    <row r="206">
      <c r="A206" s="935" t="s">
        <v>153</v>
      </c>
      <c r="B206" s="941">
        <v>1.0</v>
      </c>
      <c r="C206" s="941">
        <v>0.0</v>
      </c>
      <c r="D206" s="941">
        <v>1.0</v>
      </c>
      <c r="E206" s="941">
        <v>2.0</v>
      </c>
      <c r="F206" s="941">
        <v>7.0</v>
      </c>
      <c r="G206" s="941">
        <v>33.0</v>
      </c>
      <c r="H206" s="941">
        <v>40.0</v>
      </c>
      <c r="I206" s="941">
        <v>-7.0</v>
      </c>
      <c r="J206" s="941">
        <v>2.0</v>
      </c>
      <c r="K206" s="941">
        <v>5.0</v>
      </c>
      <c r="L206" s="941">
        <v>1.0</v>
      </c>
      <c r="M206" s="941">
        <v>738.0</v>
      </c>
      <c r="N206" s="941">
        <v>950.0</v>
      </c>
      <c r="O206" s="941">
        <v>18.0</v>
      </c>
      <c r="P206" s="941">
        <v>451.0</v>
      </c>
      <c r="Q206" s="941">
        <v>0.0</v>
      </c>
      <c r="R206" s="941">
        <v>1.0</v>
      </c>
      <c r="S206" s="941">
        <v>0.0</v>
      </c>
      <c r="T206" s="941">
        <v>0.0</v>
      </c>
      <c r="U206" s="941">
        <v>0.0</v>
      </c>
      <c r="V206" s="941">
        <v>0.0</v>
      </c>
      <c r="W206" s="941">
        <v>0.0</v>
      </c>
      <c r="X206" s="941">
        <v>2.0</v>
      </c>
      <c r="Y206" s="941">
        <v>2.0</v>
      </c>
      <c r="Z206" s="941">
        <v>1.0</v>
      </c>
      <c r="AA206" s="941">
        <v>1.0</v>
      </c>
      <c r="AB206" s="941">
        <v>0.0</v>
      </c>
      <c r="AC206" s="941">
        <v>0.0</v>
      </c>
      <c r="AD206" s="941">
        <v>0.0</v>
      </c>
      <c r="AE206" s="941">
        <v>0.0</v>
      </c>
      <c r="AF206" s="941">
        <v>0.0</v>
      </c>
      <c r="AG206" s="941">
        <v>0.0</v>
      </c>
      <c r="AH206" s="941">
        <v>1.0</v>
      </c>
      <c r="AI206" s="941">
        <v>0.0</v>
      </c>
      <c r="AJ206" s="941">
        <v>4.0</v>
      </c>
      <c r="AK206" s="941">
        <v>5.0</v>
      </c>
      <c r="AL206" s="941">
        <v>1.0</v>
      </c>
      <c r="AM206" s="942">
        <v>0.0</v>
      </c>
    </row>
    <row r="207">
      <c r="A207" s="935" t="s">
        <v>120</v>
      </c>
      <c r="B207" s="941">
        <v>1.0</v>
      </c>
      <c r="C207" s="941">
        <v>0.0</v>
      </c>
      <c r="D207" s="941">
        <v>1.0</v>
      </c>
      <c r="E207" s="941">
        <v>0.0</v>
      </c>
      <c r="F207" s="941">
        <v>0.0</v>
      </c>
      <c r="G207" s="941">
        <v>44.0</v>
      </c>
      <c r="H207" s="941">
        <v>50.0</v>
      </c>
      <c r="I207" s="941">
        <v>-6.0</v>
      </c>
      <c r="J207" s="941">
        <v>1.0</v>
      </c>
      <c r="K207" s="941">
        <v>6.0</v>
      </c>
      <c r="L207" s="941">
        <v>1.0</v>
      </c>
      <c r="M207" s="941">
        <v>700.0</v>
      </c>
      <c r="N207" s="941">
        <v>950.0</v>
      </c>
      <c r="O207" s="941">
        <v>14.0</v>
      </c>
      <c r="P207" s="941">
        <v>0.0</v>
      </c>
      <c r="Q207" s="941">
        <v>0.0</v>
      </c>
      <c r="R207" s="941">
        <v>1.0</v>
      </c>
      <c r="S207" s="941">
        <v>0.0</v>
      </c>
      <c r="T207" s="941">
        <v>0.0</v>
      </c>
      <c r="U207" s="941">
        <v>0.0</v>
      </c>
      <c r="V207" s="941">
        <v>1.0</v>
      </c>
      <c r="W207" s="941">
        <v>0.0</v>
      </c>
      <c r="X207" s="941">
        <v>6.0</v>
      </c>
      <c r="Y207" s="941">
        <v>0.0</v>
      </c>
      <c r="Z207" s="941">
        <v>0.0</v>
      </c>
      <c r="AA207" s="941">
        <v>0.0</v>
      </c>
      <c r="AB207" s="941">
        <v>0.0</v>
      </c>
      <c r="AC207" s="941">
        <v>0.0</v>
      </c>
      <c r="AD207" s="941">
        <v>0.0</v>
      </c>
      <c r="AE207" s="941">
        <v>0.0</v>
      </c>
      <c r="AF207" s="941">
        <v>0.0</v>
      </c>
      <c r="AG207" s="941">
        <v>0.0</v>
      </c>
      <c r="AH207" s="941">
        <v>0.0</v>
      </c>
      <c r="AI207" s="941">
        <v>0.0</v>
      </c>
      <c r="AJ207" s="941">
        <v>3.0</v>
      </c>
      <c r="AK207" s="941">
        <v>9.0</v>
      </c>
      <c r="AL207" s="941">
        <v>2.0</v>
      </c>
      <c r="AM207" s="942">
        <v>0.0</v>
      </c>
    </row>
    <row r="208">
      <c r="A208" s="935" t="s">
        <v>142</v>
      </c>
      <c r="B208" s="941">
        <v>1.0</v>
      </c>
      <c r="C208" s="941">
        <v>0.0</v>
      </c>
      <c r="D208" s="941">
        <v>1.0</v>
      </c>
      <c r="E208" s="941">
        <v>0.0</v>
      </c>
      <c r="F208" s="941">
        <v>1.0</v>
      </c>
      <c r="G208" s="941">
        <v>48.0</v>
      </c>
      <c r="H208" s="941">
        <v>58.0</v>
      </c>
      <c r="I208" s="941">
        <v>-10.0</v>
      </c>
      <c r="J208" s="941">
        <v>2.0</v>
      </c>
      <c r="K208" s="941">
        <v>5.0</v>
      </c>
      <c r="L208" s="941">
        <v>1.0</v>
      </c>
      <c r="M208" s="941">
        <v>683.0</v>
      </c>
      <c r="N208" s="941">
        <v>950.0</v>
      </c>
      <c r="O208" s="941">
        <v>11.0</v>
      </c>
      <c r="P208" s="941">
        <v>4.0</v>
      </c>
      <c r="Q208" s="941">
        <v>0.0</v>
      </c>
      <c r="R208" s="941">
        <v>1.0</v>
      </c>
      <c r="S208" s="941">
        <v>0.0</v>
      </c>
      <c r="T208" s="941">
        <v>0.0</v>
      </c>
      <c r="U208" s="941">
        <v>0.0</v>
      </c>
      <c r="V208" s="941">
        <v>1.0</v>
      </c>
      <c r="W208" s="941">
        <v>0.0</v>
      </c>
      <c r="X208" s="941">
        <v>5.0</v>
      </c>
      <c r="Y208" s="941">
        <v>1.0</v>
      </c>
      <c r="Z208" s="941">
        <v>0.0</v>
      </c>
      <c r="AA208" s="941">
        <v>0.0</v>
      </c>
      <c r="AB208" s="941">
        <v>0.0</v>
      </c>
      <c r="AC208" s="941">
        <v>0.0</v>
      </c>
      <c r="AD208" s="941">
        <v>0.0</v>
      </c>
      <c r="AE208" s="941">
        <v>0.0</v>
      </c>
      <c r="AF208" s="941">
        <v>0.0</v>
      </c>
      <c r="AG208" s="941">
        <v>0.0</v>
      </c>
      <c r="AH208" s="941">
        <v>0.0</v>
      </c>
      <c r="AI208" s="941">
        <v>0.0</v>
      </c>
      <c r="AJ208" s="941">
        <v>8.0</v>
      </c>
      <c r="AK208" s="941">
        <v>7.0</v>
      </c>
      <c r="AL208" s="941">
        <v>2.0</v>
      </c>
      <c r="AM208" s="942">
        <v>0.0</v>
      </c>
    </row>
    <row r="209">
      <c r="A209" s="943" t="s">
        <v>131</v>
      </c>
      <c r="B209" s="944">
        <v>1.0</v>
      </c>
      <c r="C209" s="944">
        <v>0.0</v>
      </c>
      <c r="D209" s="944">
        <v>1.0</v>
      </c>
      <c r="E209" s="944">
        <v>0.0</v>
      </c>
      <c r="F209" s="944">
        <v>0.0</v>
      </c>
      <c r="G209" s="944">
        <v>34.0</v>
      </c>
      <c r="H209" s="944">
        <v>51.0</v>
      </c>
      <c r="I209" s="944">
        <v>-17.0</v>
      </c>
      <c r="J209" s="944">
        <v>7.0</v>
      </c>
      <c r="K209" s="944">
        <v>5.0</v>
      </c>
      <c r="L209" s="944">
        <v>0.0</v>
      </c>
      <c r="M209" s="944">
        <v>699.0</v>
      </c>
      <c r="N209" s="944">
        <v>950.0</v>
      </c>
      <c r="O209" s="944">
        <v>13.0</v>
      </c>
      <c r="P209" s="944">
        <v>20.0</v>
      </c>
      <c r="Q209" s="944">
        <v>0.0</v>
      </c>
      <c r="R209" s="944">
        <v>1.0</v>
      </c>
      <c r="S209" s="944">
        <v>0.0</v>
      </c>
      <c r="T209" s="944">
        <v>0.0</v>
      </c>
      <c r="U209" s="944">
        <v>0.0</v>
      </c>
      <c r="V209" s="944">
        <v>1.0</v>
      </c>
      <c r="W209" s="944">
        <v>0.0</v>
      </c>
      <c r="X209" s="944">
        <v>4.0</v>
      </c>
      <c r="Y209" s="944">
        <v>0.0</v>
      </c>
      <c r="Z209" s="944">
        <v>0.0</v>
      </c>
      <c r="AA209" s="944">
        <v>0.0</v>
      </c>
      <c r="AB209" s="944">
        <v>0.0</v>
      </c>
      <c r="AC209" s="944">
        <v>0.0</v>
      </c>
      <c r="AD209" s="944">
        <v>0.0</v>
      </c>
      <c r="AE209" s="944">
        <v>0.0</v>
      </c>
      <c r="AF209" s="944">
        <v>0.0</v>
      </c>
      <c r="AG209" s="944">
        <v>0.0</v>
      </c>
      <c r="AH209" s="944">
        <v>1.0</v>
      </c>
      <c r="AI209" s="944">
        <v>0.0</v>
      </c>
      <c r="AJ209" s="944">
        <v>3.0</v>
      </c>
      <c r="AK209" s="944">
        <v>5.0</v>
      </c>
      <c r="AL209" s="944">
        <v>0.0</v>
      </c>
      <c r="AM209" s="945">
        <v>0.0</v>
      </c>
    </row>
    <row r="210">
      <c r="A210" s="946" t="s">
        <v>114</v>
      </c>
      <c r="B210" s="939">
        <v>1.0</v>
      </c>
      <c r="C210" s="939">
        <v>1.0</v>
      </c>
      <c r="D210" s="939">
        <v>0.0</v>
      </c>
      <c r="E210" s="939">
        <v>5.0</v>
      </c>
      <c r="F210" s="939">
        <v>24.0</v>
      </c>
      <c r="G210" s="939">
        <v>63.0</v>
      </c>
      <c r="H210" s="939">
        <v>49.0</v>
      </c>
      <c r="I210" s="939">
        <v>14.0</v>
      </c>
      <c r="J210" s="939">
        <v>5.0</v>
      </c>
      <c r="K210" s="939">
        <v>12.0</v>
      </c>
      <c r="L210" s="939">
        <v>1.0</v>
      </c>
      <c r="M210" s="939">
        <v>1400.0</v>
      </c>
      <c r="N210" s="939">
        <v>1645.0</v>
      </c>
      <c r="O210" s="939">
        <v>28.0</v>
      </c>
      <c r="P210" s="939">
        <v>807.0</v>
      </c>
      <c r="Q210" s="939">
        <v>0.0</v>
      </c>
      <c r="R210" s="939">
        <v>3.0</v>
      </c>
      <c r="S210" s="939">
        <v>1.0</v>
      </c>
      <c r="T210" s="939">
        <v>0.0</v>
      </c>
      <c r="U210" s="939">
        <v>0.0</v>
      </c>
      <c r="V210" s="939">
        <v>0.0</v>
      </c>
      <c r="W210" s="939">
        <v>0.0</v>
      </c>
      <c r="X210" s="939">
        <v>9.0</v>
      </c>
      <c r="Y210" s="939">
        <v>1.0</v>
      </c>
      <c r="Z210" s="939">
        <v>0.0</v>
      </c>
      <c r="AA210" s="939">
        <v>0.0</v>
      </c>
      <c r="AB210" s="939">
        <v>0.0</v>
      </c>
      <c r="AC210" s="939">
        <v>0.0</v>
      </c>
      <c r="AD210" s="939">
        <v>0.0</v>
      </c>
      <c r="AE210" s="939">
        <v>0.0</v>
      </c>
      <c r="AF210" s="939">
        <v>0.0</v>
      </c>
      <c r="AG210" s="939">
        <v>0.0</v>
      </c>
      <c r="AH210" s="939">
        <v>1.0</v>
      </c>
      <c r="AI210" s="939">
        <v>0.0</v>
      </c>
      <c r="AJ210" s="939">
        <v>15.0</v>
      </c>
      <c r="AK210" s="939">
        <v>7.0</v>
      </c>
      <c r="AL210" s="939">
        <v>0.0</v>
      </c>
      <c r="AM210" s="940">
        <v>1.0</v>
      </c>
    </row>
    <row r="211">
      <c r="A211" s="935" t="s">
        <v>147</v>
      </c>
      <c r="B211" s="941">
        <v>1.0</v>
      </c>
      <c r="C211" s="941">
        <v>1.0</v>
      </c>
      <c r="D211" s="941">
        <v>0.0</v>
      </c>
      <c r="E211" s="941">
        <v>0.0</v>
      </c>
      <c r="F211" s="941">
        <v>0.0</v>
      </c>
      <c r="G211" s="941">
        <v>74.0</v>
      </c>
      <c r="H211" s="941">
        <v>98.0</v>
      </c>
      <c r="I211" s="941">
        <v>-24.0</v>
      </c>
      <c r="J211" s="941">
        <v>2.0</v>
      </c>
      <c r="K211" s="941">
        <v>4.0</v>
      </c>
      <c r="L211" s="941">
        <v>0.0</v>
      </c>
      <c r="M211" s="941">
        <v>1262.0</v>
      </c>
      <c r="N211" s="941">
        <v>1645.0</v>
      </c>
      <c r="O211" s="941">
        <v>12.0</v>
      </c>
      <c r="P211" s="941">
        <v>2.0</v>
      </c>
      <c r="Q211" s="941">
        <v>0.0</v>
      </c>
      <c r="R211" s="941">
        <v>0.0</v>
      </c>
      <c r="S211" s="941">
        <v>0.0</v>
      </c>
      <c r="T211" s="941">
        <v>0.0</v>
      </c>
      <c r="U211" s="941">
        <v>0.0</v>
      </c>
      <c r="V211" s="941">
        <v>0.0</v>
      </c>
      <c r="W211" s="941">
        <v>0.0</v>
      </c>
      <c r="X211" s="941">
        <v>8.0</v>
      </c>
      <c r="Y211" s="941">
        <v>0.0</v>
      </c>
      <c r="Z211" s="941">
        <v>0.0</v>
      </c>
      <c r="AA211" s="941">
        <v>0.0</v>
      </c>
      <c r="AB211" s="941">
        <v>0.0</v>
      </c>
      <c r="AC211" s="941">
        <v>0.0</v>
      </c>
      <c r="AD211" s="941">
        <v>0.0</v>
      </c>
      <c r="AE211" s="941">
        <v>0.0</v>
      </c>
      <c r="AF211" s="941">
        <v>0.0</v>
      </c>
      <c r="AG211" s="941">
        <v>0.0</v>
      </c>
      <c r="AH211" s="941">
        <v>4.0</v>
      </c>
      <c r="AI211" s="941">
        <v>0.0</v>
      </c>
      <c r="AJ211" s="941">
        <v>10.0</v>
      </c>
      <c r="AK211" s="941">
        <v>7.0</v>
      </c>
      <c r="AL211" s="941">
        <v>1.0</v>
      </c>
      <c r="AM211" s="942">
        <v>1.0</v>
      </c>
    </row>
    <row r="212">
      <c r="A212" s="935" t="s">
        <v>136</v>
      </c>
      <c r="B212" s="941">
        <v>1.0</v>
      </c>
      <c r="C212" s="941">
        <v>1.0</v>
      </c>
      <c r="D212" s="941">
        <v>0.0</v>
      </c>
      <c r="E212" s="941">
        <v>0.0</v>
      </c>
      <c r="F212" s="941">
        <v>1.0</v>
      </c>
      <c r="G212" s="941">
        <v>101.0</v>
      </c>
      <c r="H212" s="941">
        <v>120.0</v>
      </c>
      <c r="I212" s="941">
        <v>-19.0</v>
      </c>
      <c r="J212" s="941">
        <v>4.0</v>
      </c>
      <c r="K212" s="941">
        <v>6.0</v>
      </c>
      <c r="L212" s="941">
        <v>0.0</v>
      </c>
      <c r="M212" s="941">
        <v>1182.0</v>
      </c>
      <c r="N212" s="941">
        <v>1645.0</v>
      </c>
      <c r="O212" s="941">
        <v>9.0</v>
      </c>
      <c r="P212" s="941">
        <v>25.0</v>
      </c>
      <c r="Q212" s="941">
        <v>0.0</v>
      </c>
      <c r="R212" s="941">
        <v>2.0</v>
      </c>
      <c r="S212" s="941">
        <v>0.0</v>
      </c>
      <c r="T212" s="941">
        <v>0.0</v>
      </c>
      <c r="U212" s="941">
        <v>0.0</v>
      </c>
      <c r="V212" s="941">
        <v>2.0</v>
      </c>
      <c r="W212" s="941">
        <v>0.0</v>
      </c>
      <c r="X212" s="941">
        <v>14.0</v>
      </c>
      <c r="Y212" s="941">
        <v>5.0</v>
      </c>
      <c r="Z212" s="941">
        <v>2.0</v>
      </c>
      <c r="AA212" s="941">
        <v>0.0</v>
      </c>
      <c r="AB212" s="941">
        <v>0.0</v>
      </c>
      <c r="AC212" s="941">
        <v>0.0</v>
      </c>
      <c r="AD212" s="941">
        <v>0.0</v>
      </c>
      <c r="AE212" s="941">
        <v>0.0</v>
      </c>
      <c r="AF212" s="941">
        <v>0.0</v>
      </c>
      <c r="AG212" s="941">
        <v>0.0</v>
      </c>
      <c r="AH212" s="941">
        <v>2.0</v>
      </c>
      <c r="AI212" s="941">
        <v>0.0</v>
      </c>
      <c r="AJ212" s="941">
        <v>7.0</v>
      </c>
      <c r="AK212" s="941">
        <v>8.0</v>
      </c>
      <c r="AL212" s="941">
        <v>0.0</v>
      </c>
      <c r="AM212" s="942">
        <v>1.0</v>
      </c>
    </row>
    <row r="213">
      <c r="A213" s="935" t="s">
        <v>418</v>
      </c>
      <c r="B213" s="941">
        <v>1.0</v>
      </c>
      <c r="C213" s="941">
        <v>1.0</v>
      </c>
      <c r="D213" s="941">
        <v>0.0</v>
      </c>
      <c r="E213" s="941">
        <v>0.0</v>
      </c>
      <c r="F213" s="941">
        <v>1.0</v>
      </c>
      <c r="G213" s="941">
        <v>100.0</v>
      </c>
      <c r="H213" s="941">
        <v>84.0</v>
      </c>
      <c r="I213" s="941">
        <v>16.0</v>
      </c>
      <c r="J213" s="941">
        <v>9.0</v>
      </c>
      <c r="K213" s="941">
        <v>5.0</v>
      </c>
      <c r="L213" s="941">
        <v>2.0</v>
      </c>
      <c r="M213" s="941">
        <v>1299.0</v>
      </c>
      <c r="N213" s="941">
        <v>1645.0</v>
      </c>
      <c r="O213" s="941">
        <v>15.0</v>
      </c>
      <c r="P213" s="941">
        <v>0.0</v>
      </c>
      <c r="Q213" s="941">
        <v>0.0</v>
      </c>
      <c r="R213" s="941">
        <v>1.0</v>
      </c>
      <c r="S213" s="941">
        <v>0.0</v>
      </c>
      <c r="T213" s="941">
        <v>0.0</v>
      </c>
      <c r="U213" s="941">
        <v>0.0</v>
      </c>
      <c r="V213" s="941">
        <v>1.0</v>
      </c>
      <c r="W213" s="941">
        <v>0.0</v>
      </c>
      <c r="X213" s="941">
        <v>17.0</v>
      </c>
      <c r="Y213" s="941">
        <v>4.0</v>
      </c>
      <c r="Z213" s="941">
        <v>0.0</v>
      </c>
      <c r="AA213" s="941">
        <v>0.0</v>
      </c>
      <c r="AB213" s="941">
        <v>0.0</v>
      </c>
      <c r="AC213" s="941">
        <v>0.0</v>
      </c>
      <c r="AD213" s="941">
        <v>0.0</v>
      </c>
      <c r="AE213" s="941">
        <v>0.0</v>
      </c>
      <c r="AF213" s="941">
        <v>0.0</v>
      </c>
      <c r="AG213" s="941">
        <v>0.0</v>
      </c>
      <c r="AH213" s="941">
        <v>5.0</v>
      </c>
      <c r="AI213" s="941">
        <v>0.0</v>
      </c>
      <c r="AJ213" s="941">
        <v>9.0</v>
      </c>
      <c r="AK213" s="941">
        <v>8.0</v>
      </c>
      <c r="AL213" s="941">
        <v>1.0</v>
      </c>
      <c r="AM213" s="942">
        <v>1.0</v>
      </c>
    </row>
    <row r="214">
      <c r="A214" s="935" t="s">
        <v>137</v>
      </c>
      <c r="B214" s="941">
        <v>1.0</v>
      </c>
      <c r="C214" s="941">
        <v>0.0</v>
      </c>
      <c r="D214" s="941">
        <v>1.0</v>
      </c>
      <c r="E214" s="941">
        <v>1.0</v>
      </c>
      <c r="F214" s="941">
        <v>2.0</v>
      </c>
      <c r="G214" s="941">
        <v>82.0</v>
      </c>
      <c r="H214" s="941">
        <v>96.0</v>
      </c>
      <c r="I214" s="941">
        <v>-14.0</v>
      </c>
      <c r="J214" s="941">
        <v>4.0</v>
      </c>
      <c r="K214" s="941">
        <v>6.0</v>
      </c>
      <c r="L214" s="941">
        <v>1.0</v>
      </c>
      <c r="M214" s="941">
        <v>1272.0</v>
      </c>
      <c r="N214" s="941">
        <v>1645.0</v>
      </c>
      <c r="O214" s="941">
        <v>13.0</v>
      </c>
      <c r="P214" s="941">
        <v>33.0</v>
      </c>
      <c r="Q214" s="941">
        <v>0.0</v>
      </c>
      <c r="R214" s="941">
        <v>1.0</v>
      </c>
      <c r="S214" s="941">
        <v>0.0</v>
      </c>
      <c r="T214" s="941">
        <v>0.0</v>
      </c>
      <c r="U214" s="941">
        <v>0.0</v>
      </c>
      <c r="V214" s="941">
        <v>1.0</v>
      </c>
      <c r="W214" s="941">
        <v>0.0</v>
      </c>
      <c r="X214" s="941">
        <v>11.0</v>
      </c>
      <c r="Y214" s="941">
        <v>1.0</v>
      </c>
      <c r="Z214" s="941">
        <v>0.0</v>
      </c>
      <c r="AA214" s="941">
        <v>0.0</v>
      </c>
      <c r="AB214" s="941">
        <v>0.0</v>
      </c>
      <c r="AC214" s="941">
        <v>0.0</v>
      </c>
      <c r="AD214" s="941">
        <v>0.0</v>
      </c>
      <c r="AE214" s="941">
        <v>0.0</v>
      </c>
      <c r="AF214" s="941">
        <v>0.0</v>
      </c>
      <c r="AG214" s="941">
        <v>0.0</v>
      </c>
      <c r="AH214" s="941">
        <v>1.0</v>
      </c>
      <c r="AI214" s="941">
        <v>0.0</v>
      </c>
      <c r="AJ214" s="941">
        <v>11.0</v>
      </c>
      <c r="AK214" s="941">
        <v>7.0</v>
      </c>
      <c r="AL214" s="941">
        <v>0.0</v>
      </c>
      <c r="AM214" s="942">
        <v>0.0</v>
      </c>
    </row>
    <row r="215">
      <c r="A215" s="935" t="s">
        <v>420</v>
      </c>
      <c r="B215" s="941">
        <v>1.0</v>
      </c>
      <c r="C215" s="941">
        <v>0.0</v>
      </c>
      <c r="D215" s="941">
        <v>1.0</v>
      </c>
      <c r="E215" s="941">
        <v>1.0</v>
      </c>
      <c r="F215" s="941">
        <v>6.0</v>
      </c>
      <c r="G215" s="941">
        <v>59.0</v>
      </c>
      <c r="H215" s="941">
        <v>53.0</v>
      </c>
      <c r="I215" s="941">
        <v>6.0</v>
      </c>
      <c r="J215" s="941">
        <v>1.0</v>
      </c>
      <c r="K215" s="941">
        <v>9.0</v>
      </c>
      <c r="L215" s="941">
        <v>0.0</v>
      </c>
      <c r="M215" s="941">
        <v>1391.0</v>
      </c>
      <c r="N215" s="941">
        <v>1645.0</v>
      </c>
      <c r="O215" s="941">
        <v>26.0</v>
      </c>
      <c r="P215" s="941">
        <v>577.0</v>
      </c>
      <c r="Q215" s="941">
        <v>0.0</v>
      </c>
      <c r="R215" s="941">
        <v>1.0</v>
      </c>
      <c r="S215" s="941">
        <v>0.0</v>
      </c>
      <c r="T215" s="941">
        <v>0.0</v>
      </c>
      <c r="U215" s="941">
        <v>0.0</v>
      </c>
      <c r="V215" s="941">
        <v>1.0</v>
      </c>
      <c r="W215" s="941">
        <v>0.0</v>
      </c>
      <c r="X215" s="941">
        <v>6.0</v>
      </c>
      <c r="Y215" s="941">
        <v>0.0</v>
      </c>
      <c r="Z215" s="941">
        <v>0.0</v>
      </c>
      <c r="AA215" s="941">
        <v>0.0</v>
      </c>
      <c r="AB215" s="941">
        <v>0.0</v>
      </c>
      <c r="AC215" s="941">
        <v>0.0</v>
      </c>
      <c r="AD215" s="941">
        <v>0.0</v>
      </c>
      <c r="AE215" s="941">
        <v>0.0</v>
      </c>
      <c r="AF215" s="941">
        <v>0.0</v>
      </c>
      <c r="AG215" s="941">
        <v>0.0</v>
      </c>
      <c r="AH215" s="941">
        <v>0.0</v>
      </c>
      <c r="AI215" s="941">
        <v>0.0</v>
      </c>
      <c r="AJ215" s="941">
        <v>9.0</v>
      </c>
      <c r="AK215" s="941">
        <v>9.0</v>
      </c>
      <c r="AL215" s="941">
        <v>3.0</v>
      </c>
      <c r="AM215" s="942">
        <v>0.0</v>
      </c>
    </row>
    <row r="216">
      <c r="A216" s="935" t="s">
        <v>129</v>
      </c>
      <c r="B216" s="941">
        <v>1.0</v>
      </c>
      <c r="C216" s="941">
        <v>0.0</v>
      </c>
      <c r="D216" s="941">
        <v>1.0</v>
      </c>
      <c r="E216" s="941">
        <v>0.0</v>
      </c>
      <c r="F216" s="941">
        <v>0.0</v>
      </c>
      <c r="G216" s="941">
        <v>118.0</v>
      </c>
      <c r="H216" s="941">
        <v>93.0</v>
      </c>
      <c r="I216" s="941">
        <v>25.0</v>
      </c>
      <c r="J216" s="941">
        <v>7.0</v>
      </c>
      <c r="K216" s="941">
        <v>6.0</v>
      </c>
      <c r="L216" s="941">
        <v>3.0</v>
      </c>
      <c r="M216" s="941">
        <v>1277.0</v>
      </c>
      <c r="N216" s="941">
        <v>1645.0</v>
      </c>
      <c r="O216" s="941">
        <v>13.0</v>
      </c>
      <c r="P216" s="941">
        <v>7.0</v>
      </c>
      <c r="Q216" s="941">
        <v>0.0</v>
      </c>
      <c r="R216" s="941">
        <v>3.0</v>
      </c>
      <c r="S216" s="941">
        <v>0.0</v>
      </c>
      <c r="T216" s="941">
        <v>0.0</v>
      </c>
      <c r="U216" s="941">
        <v>0.0</v>
      </c>
      <c r="V216" s="941">
        <v>3.0</v>
      </c>
      <c r="W216" s="941">
        <v>0.0</v>
      </c>
      <c r="X216" s="941">
        <v>27.0</v>
      </c>
      <c r="Y216" s="941">
        <v>7.0</v>
      </c>
      <c r="Z216" s="941">
        <v>2.0</v>
      </c>
      <c r="AA216" s="941">
        <v>2.0</v>
      </c>
      <c r="AB216" s="941">
        <v>0.0</v>
      </c>
      <c r="AC216" s="941">
        <v>0.0</v>
      </c>
      <c r="AD216" s="941">
        <v>0.0</v>
      </c>
      <c r="AE216" s="941">
        <v>0.0</v>
      </c>
      <c r="AF216" s="941">
        <v>0.0</v>
      </c>
      <c r="AG216" s="941">
        <v>0.0</v>
      </c>
      <c r="AH216" s="941">
        <v>4.0</v>
      </c>
      <c r="AI216" s="941">
        <v>0.0</v>
      </c>
      <c r="AJ216" s="941">
        <v>10.0</v>
      </c>
      <c r="AK216" s="941">
        <v>17.0</v>
      </c>
      <c r="AL216" s="941">
        <v>0.0</v>
      </c>
      <c r="AM216" s="942">
        <v>0.0</v>
      </c>
    </row>
    <row r="217">
      <c r="A217" s="943" t="s">
        <v>115</v>
      </c>
      <c r="B217" s="944">
        <v>1.0</v>
      </c>
      <c r="C217" s="944">
        <v>0.0</v>
      </c>
      <c r="D217" s="944">
        <v>1.0</v>
      </c>
      <c r="E217" s="944">
        <v>0.0</v>
      </c>
      <c r="F217" s="944">
        <v>0.0</v>
      </c>
      <c r="G217" s="944">
        <v>82.0</v>
      </c>
      <c r="H217" s="944">
        <v>114.0</v>
      </c>
      <c r="I217" s="944">
        <v>-32.0</v>
      </c>
      <c r="J217" s="944">
        <v>5.0</v>
      </c>
      <c r="K217" s="944">
        <v>4.0</v>
      </c>
      <c r="L217" s="944">
        <v>2.0</v>
      </c>
      <c r="M217" s="944">
        <v>1207.0</v>
      </c>
      <c r="N217" s="944">
        <v>1645.0</v>
      </c>
      <c r="O217" s="944">
        <v>10.0</v>
      </c>
      <c r="P217" s="944">
        <v>0.0</v>
      </c>
      <c r="Q217" s="944">
        <v>0.0</v>
      </c>
      <c r="R217" s="944">
        <v>0.0</v>
      </c>
      <c r="S217" s="944">
        <v>0.0</v>
      </c>
      <c r="T217" s="944">
        <v>0.0</v>
      </c>
      <c r="U217" s="944">
        <v>0.0</v>
      </c>
      <c r="V217" s="944">
        <v>0.0</v>
      </c>
      <c r="W217" s="944">
        <v>0.0</v>
      </c>
      <c r="X217" s="944">
        <v>11.0</v>
      </c>
      <c r="Y217" s="944">
        <v>2.0</v>
      </c>
      <c r="Z217" s="944">
        <v>0.0</v>
      </c>
      <c r="AA217" s="944">
        <v>0.0</v>
      </c>
      <c r="AB217" s="944">
        <v>0.0</v>
      </c>
      <c r="AC217" s="944">
        <v>0.0</v>
      </c>
      <c r="AD217" s="944">
        <v>0.0</v>
      </c>
      <c r="AE217" s="944">
        <v>0.0</v>
      </c>
      <c r="AF217" s="944">
        <v>0.0</v>
      </c>
      <c r="AG217" s="944">
        <v>0.0</v>
      </c>
      <c r="AH217" s="944">
        <v>0.0</v>
      </c>
      <c r="AI217" s="944">
        <v>0.0</v>
      </c>
      <c r="AJ217" s="944">
        <v>7.0</v>
      </c>
      <c r="AK217" s="944">
        <v>11.0</v>
      </c>
      <c r="AL217" s="944">
        <v>2.0</v>
      </c>
      <c r="AM217" s="945">
        <v>0.0</v>
      </c>
    </row>
    <row r="218">
      <c r="A218" s="946" t="s">
        <v>154</v>
      </c>
      <c r="B218" s="939">
        <v>1.0</v>
      </c>
      <c r="C218" s="939">
        <v>1.0</v>
      </c>
      <c r="D218" s="939">
        <v>0.0</v>
      </c>
      <c r="E218" s="939">
        <v>3.0</v>
      </c>
      <c r="F218" s="939">
        <v>8.0</v>
      </c>
      <c r="G218" s="939">
        <v>35.0</v>
      </c>
      <c r="H218" s="939">
        <v>49.0</v>
      </c>
      <c r="I218" s="939">
        <v>-14.0</v>
      </c>
      <c r="J218" s="939">
        <v>2.0</v>
      </c>
      <c r="K218" s="939">
        <v>3.0</v>
      </c>
      <c r="L218" s="939">
        <v>2.0</v>
      </c>
      <c r="M218" s="939">
        <v>1685.0</v>
      </c>
      <c r="N218" s="939">
        <v>1928.0</v>
      </c>
      <c r="O218" s="939">
        <v>34.0</v>
      </c>
      <c r="P218" s="939">
        <v>1136.0</v>
      </c>
      <c r="Q218" s="939">
        <v>0.0</v>
      </c>
      <c r="R218" s="939">
        <v>0.0</v>
      </c>
      <c r="S218" s="939">
        <v>0.0</v>
      </c>
      <c r="T218" s="939">
        <v>0.0</v>
      </c>
      <c r="U218" s="939">
        <v>0.0</v>
      </c>
      <c r="V218" s="939">
        <v>0.0</v>
      </c>
      <c r="W218" s="939">
        <v>0.0</v>
      </c>
      <c r="X218" s="939">
        <v>1.0</v>
      </c>
      <c r="Y218" s="939">
        <v>0.0</v>
      </c>
      <c r="Z218" s="939">
        <v>0.0</v>
      </c>
      <c r="AA218" s="939">
        <v>0.0</v>
      </c>
      <c r="AB218" s="939">
        <v>0.0</v>
      </c>
      <c r="AC218" s="939">
        <v>0.0</v>
      </c>
      <c r="AD218" s="939">
        <v>0.0</v>
      </c>
      <c r="AE218" s="939">
        <v>0.0</v>
      </c>
      <c r="AF218" s="939">
        <v>0.0</v>
      </c>
      <c r="AG218" s="939">
        <v>0.0</v>
      </c>
      <c r="AH218" s="939">
        <v>0.0</v>
      </c>
      <c r="AI218" s="939">
        <v>0.0</v>
      </c>
      <c r="AJ218" s="939">
        <v>4.0</v>
      </c>
      <c r="AK218" s="939">
        <v>6.0</v>
      </c>
      <c r="AL218" s="939">
        <v>0.0</v>
      </c>
      <c r="AM218" s="940">
        <v>1.0</v>
      </c>
    </row>
    <row r="219">
      <c r="A219" s="935" t="s">
        <v>132</v>
      </c>
      <c r="B219" s="941">
        <v>1.0</v>
      </c>
      <c r="C219" s="941">
        <v>1.0</v>
      </c>
      <c r="D219" s="941">
        <v>0.0</v>
      </c>
      <c r="E219" s="941">
        <v>1.0</v>
      </c>
      <c r="F219" s="941">
        <v>1.0</v>
      </c>
      <c r="G219" s="941">
        <v>123.0</v>
      </c>
      <c r="H219" s="941">
        <v>112.0</v>
      </c>
      <c r="I219" s="941">
        <v>11.0</v>
      </c>
      <c r="J219" s="941">
        <v>9.0</v>
      </c>
      <c r="K219" s="941">
        <v>6.0</v>
      </c>
      <c r="L219" s="941">
        <v>6.0</v>
      </c>
      <c r="M219" s="941">
        <v>1499.0</v>
      </c>
      <c r="N219" s="941">
        <v>1928.0</v>
      </c>
      <c r="O219" s="941">
        <v>13.0</v>
      </c>
      <c r="P219" s="941">
        <v>36.0</v>
      </c>
      <c r="Q219" s="941">
        <v>0.0</v>
      </c>
      <c r="R219" s="941">
        <v>1.0</v>
      </c>
      <c r="S219" s="941">
        <v>0.0</v>
      </c>
      <c r="T219" s="941">
        <v>0.0</v>
      </c>
      <c r="U219" s="941">
        <v>0.0</v>
      </c>
      <c r="V219" s="941">
        <v>1.0</v>
      </c>
      <c r="W219" s="941">
        <v>0.0</v>
      </c>
      <c r="X219" s="941">
        <v>20.0</v>
      </c>
      <c r="Y219" s="941">
        <v>2.0</v>
      </c>
      <c r="Z219" s="941">
        <v>1.0</v>
      </c>
      <c r="AA219" s="941">
        <v>0.0</v>
      </c>
      <c r="AB219" s="941">
        <v>0.0</v>
      </c>
      <c r="AC219" s="941">
        <v>0.0</v>
      </c>
      <c r="AD219" s="941">
        <v>0.0</v>
      </c>
      <c r="AE219" s="941">
        <v>0.0</v>
      </c>
      <c r="AF219" s="941">
        <v>0.0</v>
      </c>
      <c r="AG219" s="941">
        <v>0.0</v>
      </c>
      <c r="AH219" s="941">
        <v>2.0</v>
      </c>
      <c r="AI219" s="941">
        <v>0.0</v>
      </c>
      <c r="AJ219" s="941">
        <v>5.0</v>
      </c>
      <c r="AK219" s="941">
        <v>12.0</v>
      </c>
      <c r="AL219" s="941">
        <v>3.0</v>
      </c>
      <c r="AM219" s="942">
        <v>1.0</v>
      </c>
    </row>
    <row r="220">
      <c r="A220" s="935" t="s">
        <v>514</v>
      </c>
      <c r="B220" s="941">
        <v>1.0</v>
      </c>
      <c r="C220" s="941">
        <v>1.0</v>
      </c>
      <c r="D220" s="941">
        <v>0.0</v>
      </c>
      <c r="E220" s="941">
        <v>1.0</v>
      </c>
      <c r="F220" s="941">
        <v>0.0</v>
      </c>
      <c r="G220" s="941">
        <v>110.0</v>
      </c>
      <c r="H220" s="941">
        <v>130.0</v>
      </c>
      <c r="I220" s="941">
        <v>-20.0</v>
      </c>
      <c r="J220" s="941">
        <v>5.0</v>
      </c>
      <c r="K220" s="941">
        <v>4.0</v>
      </c>
      <c r="L220" s="941">
        <v>0.0</v>
      </c>
      <c r="M220" s="941">
        <v>1444.0</v>
      </c>
      <c r="N220" s="941">
        <v>1928.0</v>
      </c>
      <c r="O220" s="941">
        <v>11.0</v>
      </c>
      <c r="P220" s="941">
        <v>54.0</v>
      </c>
      <c r="Q220" s="941">
        <v>0.0</v>
      </c>
      <c r="R220" s="941">
        <v>0.0</v>
      </c>
      <c r="S220" s="941">
        <v>0.0</v>
      </c>
      <c r="T220" s="941">
        <v>0.0</v>
      </c>
      <c r="U220" s="941">
        <v>0.0</v>
      </c>
      <c r="V220" s="941">
        <v>0.0</v>
      </c>
      <c r="W220" s="941">
        <v>0.0</v>
      </c>
      <c r="X220" s="941">
        <v>17.0</v>
      </c>
      <c r="Y220" s="941">
        <v>1.0</v>
      </c>
      <c r="Z220" s="941">
        <v>0.0</v>
      </c>
      <c r="AA220" s="941">
        <v>0.0</v>
      </c>
      <c r="AB220" s="941">
        <v>0.0</v>
      </c>
      <c r="AC220" s="941">
        <v>0.0</v>
      </c>
      <c r="AD220" s="941">
        <v>0.0</v>
      </c>
      <c r="AE220" s="941">
        <v>0.0</v>
      </c>
      <c r="AF220" s="941">
        <v>0.0</v>
      </c>
      <c r="AG220" s="941">
        <v>0.0</v>
      </c>
      <c r="AH220" s="941">
        <v>3.0</v>
      </c>
      <c r="AI220" s="941">
        <v>0.0</v>
      </c>
      <c r="AJ220" s="941">
        <v>12.0</v>
      </c>
      <c r="AK220" s="941">
        <v>15.0</v>
      </c>
      <c r="AL220" s="941">
        <v>0.0</v>
      </c>
      <c r="AM220" s="942">
        <v>1.0</v>
      </c>
    </row>
    <row r="221">
      <c r="A221" s="935" t="s">
        <v>121</v>
      </c>
      <c r="B221" s="941">
        <v>1.0</v>
      </c>
      <c r="C221" s="941">
        <v>1.0</v>
      </c>
      <c r="D221" s="941">
        <v>0.0</v>
      </c>
      <c r="E221" s="941">
        <v>0.0</v>
      </c>
      <c r="F221" s="941">
        <v>0.0</v>
      </c>
      <c r="G221" s="941">
        <v>130.0</v>
      </c>
      <c r="H221" s="941">
        <v>91.0</v>
      </c>
      <c r="I221" s="941">
        <v>39.0</v>
      </c>
      <c r="J221" s="941">
        <v>9.0</v>
      </c>
      <c r="K221" s="941">
        <v>5.0</v>
      </c>
      <c r="L221" s="941">
        <v>2.0</v>
      </c>
      <c r="M221" s="941">
        <v>1558.0</v>
      </c>
      <c r="N221" s="941">
        <v>1928.0</v>
      </c>
      <c r="O221" s="941">
        <v>17.0</v>
      </c>
      <c r="P221" s="941">
        <v>35.0</v>
      </c>
      <c r="Q221" s="941">
        <v>0.0</v>
      </c>
      <c r="R221" s="941">
        <v>2.0</v>
      </c>
      <c r="S221" s="941">
        <v>0.0</v>
      </c>
      <c r="T221" s="941">
        <v>0.0</v>
      </c>
      <c r="U221" s="941">
        <v>0.0</v>
      </c>
      <c r="V221" s="941">
        <v>2.0</v>
      </c>
      <c r="W221" s="941">
        <v>0.0</v>
      </c>
      <c r="X221" s="941">
        <v>21.0</v>
      </c>
      <c r="Y221" s="941">
        <v>5.0</v>
      </c>
      <c r="Z221" s="941">
        <v>2.0</v>
      </c>
      <c r="AA221" s="941">
        <v>0.0</v>
      </c>
      <c r="AB221" s="941">
        <v>0.0</v>
      </c>
      <c r="AC221" s="941">
        <v>0.0</v>
      </c>
      <c r="AD221" s="941">
        <v>0.0</v>
      </c>
      <c r="AE221" s="941">
        <v>0.0</v>
      </c>
      <c r="AF221" s="941">
        <v>0.0</v>
      </c>
      <c r="AG221" s="941">
        <v>0.0</v>
      </c>
      <c r="AH221" s="941">
        <v>2.0</v>
      </c>
      <c r="AI221" s="941">
        <v>0.0</v>
      </c>
      <c r="AJ221" s="941">
        <v>10.0</v>
      </c>
      <c r="AK221" s="941">
        <v>10.0</v>
      </c>
      <c r="AL221" s="941">
        <v>1.0</v>
      </c>
      <c r="AM221" s="942">
        <v>1.0</v>
      </c>
    </row>
    <row r="222">
      <c r="A222" s="935" t="s">
        <v>420</v>
      </c>
      <c r="B222" s="941">
        <v>1.0</v>
      </c>
      <c r="C222" s="941">
        <v>0.0</v>
      </c>
      <c r="D222" s="941">
        <v>1.0</v>
      </c>
      <c r="E222" s="941">
        <v>2.0</v>
      </c>
      <c r="F222" s="941">
        <v>1.0</v>
      </c>
      <c r="G222" s="941">
        <v>70.0</v>
      </c>
      <c r="H222" s="941">
        <v>72.0</v>
      </c>
      <c r="I222" s="941">
        <v>-2.0</v>
      </c>
      <c r="J222" s="941">
        <v>2.0</v>
      </c>
      <c r="K222" s="941">
        <v>4.0</v>
      </c>
      <c r="L222" s="941">
        <v>2.0</v>
      </c>
      <c r="M222" s="941">
        <v>1617.0</v>
      </c>
      <c r="N222" s="941">
        <v>1928.0</v>
      </c>
      <c r="O222" s="941">
        <v>22.0</v>
      </c>
      <c r="P222" s="941">
        <v>453.0</v>
      </c>
      <c r="Q222" s="941">
        <v>0.0</v>
      </c>
      <c r="R222" s="941">
        <v>0.0</v>
      </c>
      <c r="S222" s="941">
        <v>0.0</v>
      </c>
      <c r="T222" s="941">
        <v>0.0</v>
      </c>
      <c r="U222" s="941">
        <v>0.0</v>
      </c>
      <c r="V222" s="941">
        <v>0.0</v>
      </c>
      <c r="W222" s="941">
        <v>0.0</v>
      </c>
      <c r="X222" s="941">
        <v>4.0</v>
      </c>
      <c r="Y222" s="941">
        <v>1.0</v>
      </c>
      <c r="Z222" s="941">
        <v>0.0</v>
      </c>
      <c r="AA222" s="941">
        <v>0.0</v>
      </c>
      <c r="AB222" s="941">
        <v>0.0</v>
      </c>
      <c r="AC222" s="941">
        <v>0.0</v>
      </c>
      <c r="AD222" s="941">
        <v>0.0</v>
      </c>
      <c r="AE222" s="941">
        <v>0.0</v>
      </c>
      <c r="AF222" s="941">
        <v>0.0</v>
      </c>
      <c r="AG222" s="941">
        <v>0.0</v>
      </c>
      <c r="AH222" s="941">
        <v>0.0</v>
      </c>
      <c r="AI222" s="941">
        <v>0.0</v>
      </c>
      <c r="AJ222" s="941">
        <v>18.0</v>
      </c>
      <c r="AK222" s="941">
        <v>14.0</v>
      </c>
      <c r="AL222" s="941">
        <v>2.0</v>
      </c>
      <c r="AM222" s="942">
        <v>0.0</v>
      </c>
    </row>
    <row r="223">
      <c r="A223" s="935" t="s">
        <v>137</v>
      </c>
      <c r="B223" s="941">
        <v>1.0</v>
      </c>
      <c r="C223" s="941">
        <v>0.0</v>
      </c>
      <c r="D223" s="941">
        <v>1.0</v>
      </c>
      <c r="E223" s="941">
        <v>0.0</v>
      </c>
      <c r="F223" s="941">
        <v>0.0</v>
      </c>
      <c r="G223" s="941">
        <v>90.0</v>
      </c>
      <c r="H223" s="941">
        <v>101.0</v>
      </c>
      <c r="I223" s="941">
        <v>-11.0</v>
      </c>
      <c r="J223" s="941">
        <v>9.0</v>
      </c>
      <c r="K223" s="941">
        <v>5.0</v>
      </c>
      <c r="L223" s="941">
        <v>2.0</v>
      </c>
      <c r="M223" s="941">
        <v>1531.0</v>
      </c>
      <c r="N223" s="941">
        <v>1928.0</v>
      </c>
      <c r="O223" s="941">
        <v>15.0</v>
      </c>
      <c r="P223" s="941">
        <v>27.0</v>
      </c>
      <c r="Q223" s="941">
        <v>0.0</v>
      </c>
      <c r="R223" s="941">
        <v>1.0</v>
      </c>
      <c r="S223" s="941">
        <v>0.0</v>
      </c>
      <c r="T223" s="941">
        <v>0.0</v>
      </c>
      <c r="U223" s="941">
        <v>0.0</v>
      </c>
      <c r="V223" s="941">
        <v>1.0</v>
      </c>
      <c r="W223" s="941">
        <v>0.0</v>
      </c>
      <c r="X223" s="941">
        <v>10.0</v>
      </c>
      <c r="Y223" s="941">
        <v>4.0</v>
      </c>
      <c r="Z223" s="941">
        <v>1.0</v>
      </c>
      <c r="AA223" s="941">
        <v>0.0</v>
      </c>
      <c r="AB223" s="941">
        <v>0.0</v>
      </c>
      <c r="AC223" s="941">
        <v>0.0</v>
      </c>
      <c r="AD223" s="941">
        <v>0.0</v>
      </c>
      <c r="AE223" s="941">
        <v>0.0</v>
      </c>
      <c r="AF223" s="941">
        <v>0.0</v>
      </c>
      <c r="AG223" s="941">
        <v>0.0</v>
      </c>
      <c r="AH223" s="941">
        <v>4.0</v>
      </c>
      <c r="AI223" s="941">
        <v>0.0</v>
      </c>
      <c r="AJ223" s="941">
        <v>11.0</v>
      </c>
      <c r="AK223" s="941">
        <v>16.0</v>
      </c>
      <c r="AL223" s="941">
        <v>0.0</v>
      </c>
      <c r="AM223" s="942">
        <v>0.0</v>
      </c>
    </row>
    <row r="224">
      <c r="A224" s="935" t="s">
        <v>418</v>
      </c>
      <c r="B224" s="941">
        <v>1.0</v>
      </c>
      <c r="C224" s="941">
        <v>0.0</v>
      </c>
      <c r="D224" s="941">
        <v>1.0</v>
      </c>
      <c r="E224" s="941">
        <v>0.0</v>
      </c>
      <c r="F224" s="941">
        <v>2.0</v>
      </c>
      <c r="G224" s="941">
        <v>116.0</v>
      </c>
      <c r="H224" s="941">
        <v>111.0</v>
      </c>
      <c r="I224" s="941">
        <v>5.0</v>
      </c>
      <c r="J224" s="941">
        <v>5.0</v>
      </c>
      <c r="K224" s="941">
        <v>7.0</v>
      </c>
      <c r="L224" s="941">
        <v>0.0</v>
      </c>
      <c r="M224" s="941">
        <v>1501.0</v>
      </c>
      <c r="N224" s="941">
        <v>1928.0</v>
      </c>
      <c r="O224" s="941">
        <v>13.0</v>
      </c>
      <c r="P224" s="941">
        <v>7.0</v>
      </c>
      <c r="Q224" s="941">
        <v>0.0</v>
      </c>
      <c r="R224" s="941">
        <v>1.0</v>
      </c>
      <c r="S224" s="941">
        <v>0.0</v>
      </c>
      <c r="T224" s="941">
        <v>0.0</v>
      </c>
      <c r="U224" s="941">
        <v>0.0</v>
      </c>
      <c r="V224" s="941">
        <v>1.0</v>
      </c>
      <c r="W224" s="941">
        <v>0.0</v>
      </c>
      <c r="X224" s="941">
        <v>19.0</v>
      </c>
      <c r="Y224" s="941">
        <v>2.0</v>
      </c>
      <c r="Z224" s="941">
        <v>0.0</v>
      </c>
      <c r="AA224" s="941">
        <v>0.0</v>
      </c>
      <c r="AB224" s="941">
        <v>0.0</v>
      </c>
      <c r="AC224" s="941">
        <v>0.0</v>
      </c>
      <c r="AD224" s="941">
        <v>0.0</v>
      </c>
      <c r="AE224" s="941">
        <v>0.0</v>
      </c>
      <c r="AF224" s="941">
        <v>0.0</v>
      </c>
      <c r="AG224" s="941">
        <v>0.0</v>
      </c>
      <c r="AH224" s="941">
        <v>2.0</v>
      </c>
      <c r="AI224" s="941">
        <v>0.0</v>
      </c>
      <c r="AJ224" s="941">
        <v>11.0</v>
      </c>
      <c r="AK224" s="941">
        <v>18.0</v>
      </c>
      <c r="AL224" s="941">
        <v>1.0</v>
      </c>
      <c r="AM224" s="942">
        <v>0.0</v>
      </c>
    </row>
    <row r="225">
      <c r="A225" s="943" t="s">
        <v>115</v>
      </c>
      <c r="B225" s="944">
        <v>1.0</v>
      </c>
      <c r="C225" s="944">
        <v>0.0</v>
      </c>
      <c r="D225" s="944">
        <v>1.0</v>
      </c>
      <c r="E225" s="944">
        <v>0.0</v>
      </c>
      <c r="F225" s="944">
        <v>0.0</v>
      </c>
      <c r="G225" s="944">
        <v>90.0</v>
      </c>
      <c r="H225" s="944">
        <v>128.0</v>
      </c>
      <c r="I225" s="944">
        <v>-38.0</v>
      </c>
      <c r="J225" s="944">
        <v>4.0</v>
      </c>
      <c r="K225" s="944">
        <v>3.0</v>
      </c>
      <c r="L225" s="944">
        <v>2.0</v>
      </c>
      <c r="M225" s="944">
        <v>1450.0</v>
      </c>
      <c r="N225" s="944">
        <v>1928.0</v>
      </c>
      <c r="O225" s="944">
        <v>11.0</v>
      </c>
      <c r="P225" s="944">
        <v>0.0</v>
      </c>
      <c r="Q225" s="944">
        <v>0.0</v>
      </c>
      <c r="R225" s="944">
        <v>0.0</v>
      </c>
      <c r="S225" s="944">
        <v>0.0</v>
      </c>
      <c r="T225" s="944">
        <v>0.0</v>
      </c>
      <c r="U225" s="944">
        <v>0.0</v>
      </c>
      <c r="V225" s="944">
        <v>0.0</v>
      </c>
      <c r="W225" s="944">
        <v>0.0</v>
      </c>
      <c r="X225" s="944">
        <v>10.0</v>
      </c>
      <c r="Y225" s="944">
        <v>1.0</v>
      </c>
      <c r="Z225" s="944">
        <v>0.0</v>
      </c>
      <c r="AA225" s="944">
        <v>0.0</v>
      </c>
      <c r="AB225" s="944">
        <v>0.0</v>
      </c>
      <c r="AC225" s="944">
        <v>0.0</v>
      </c>
      <c r="AD225" s="944">
        <v>0.0</v>
      </c>
      <c r="AE225" s="944">
        <v>0.0</v>
      </c>
      <c r="AF225" s="944">
        <v>0.0</v>
      </c>
      <c r="AG225" s="944">
        <v>0.0</v>
      </c>
      <c r="AH225" s="944">
        <v>3.0</v>
      </c>
      <c r="AI225" s="944">
        <v>0.0</v>
      </c>
      <c r="AJ225" s="944">
        <v>10.0</v>
      </c>
      <c r="AK225" s="944">
        <v>15.0</v>
      </c>
      <c r="AL225" s="944">
        <v>0.0</v>
      </c>
      <c r="AM225" s="945">
        <v>0.0</v>
      </c>
    </row>
    <row r="226">
      <c r="A226" s="946" t="s">
        <v>154</v>
      </c>
      <c r="B226" s="939">
        <v>1.0</v>
      </c>
      <c r="C226" s="939">
        <v>1.0</v>
      </c>
      <c r="D226" s="939">
        <v>0.0</v>
      </c>
      <c r="E226" s="939">
        <v>4.0</v>
      </c>
      <c r="F226" s="939">
        <v>2.0</v>
      </c>
      <c r="G226" s="939">
        <v>17.0</v>
      </c>
      <c r="H226" s="939">
        <v>19.0</v>
      </c>
      <c r="I226" s="939">
        <v>-2.0</v>
      </c>
      <c r="J226" s="939">
        <v>0.0</v>
      </c>
      <c r="K226" s="939">
        <v>3.0</v>
      </c>
      <c r="L226" s="939">
        <v>1.0</v>
      </c>
      <c r="M226" s="939">
        <v>653.0</v>
      </c>
      <c r="N226" s="939">
        <v>796.0</v>
      </c>
      <c r="O226" s="939">
        <v>34.0</v>
      </c>
      <c r="P226" s="939">
        <v>385.0</v>
      </c>
      <c r="Q226" s="939">
        <v>0.0</v>
      </c>
      <c r="R226" s="939">
        <v>0.0</v>
      </c>
      <c r="S226" s="939">
        <v>0.0</v>
      </c>
      <c r="T226" s="939">
        <v>0.0</v>
      </c>
      <c r="U226" s="939">
        <v>0.0</v>
      </c>
      <c r="V226" s="939">
        <v>0.0</v>
      </c>
      <c r="W226" s="939">
        <v>0.0</v>
      </c>
      <c r="X226" s="939">
        <v>2.0</v>
      </c>
      <c r="Y226" s="939">
        <v>1.0</v>
      </c>
      <c r="Z226" s="939">
        <v>0.0</v>
      </c>
      <c r="AA226" s="939">
        <v>0.0</v>
      </c>
      <c r="AB226" s="939">
        <v>0.0</v>
      </c>
      <c r="AC226" s="939">
        <v>0.0</v>
      </c>
      <c r="AD226" s="939">
        <v>0.0</v>
      </c>
      <c r="AE226" s="939">
        <v>0.0</v>
      </c>
      <c r="AF226" s="939">
        <v>0.0</v>
      </c>
      <c r="AG226" s="939">
        <v>0.0</v>
      </c>
      <c r="AH226" s="939">
        <v>0.0</v>
      </c>
      <c r="AI226" s="939">
        <v>0.0</v>
      </c>
      <c r="AJ226" s="939">
        <v>3.0</v>
      </c>
      <c r="AK226" s="939">
        <v>0.0</v>
      </c>
      <c r="AL226" s="939">
        <v>1.0</v>
      </c>
      <c r="AM226" s="940">
        <v>1.0</v>
      </c>
    </row>
    <row r="227">
      <c r="A227" s="935" t="s">
        <v>121</v>
      </c>
      <c r="B227" s="941">
        <v>1.0</v>
      </c>
      <c r="C227" s="941">
        <v>1.0</v>
      </c>
      <c r="D227" s="941">
        <v>0.0</v>
      </c>
      <c r="E227" s="941">
        <v>1.0</v>
      </c>
      <c r="F227" s="941">
        <v>0.0</v>
      </c>
      <c r="G227" s="941">
        <v>49.0</v>
      </c>
      <c r="H227" s="941">
        <v>40.0</v>
      </c>
      <c r="I227" s="941">
        <v>9.0</v>
      </c>
      <c r="J227" s="941">
        <v>5.0</v>
      </c>
      <c r="K227" s="941">
        <v>4.0</v>
      </c>
      <c r="L227" s="941">
        <v>1.0</v>
      </c>
      <c r="M227" s="941">
        <v>600.0</v>
      </c>
      <c r="N227" s="941">
        <v>796.0</v>
      </c>
      <c r="O227" s="941">
        <v>15.0</v>
      </c>
      <c r="P227" s="941">
        <v>4.0</v>
      </c>
      <c r="Q227" s="941">
        <v>0.0</v>
      </c>
      <c r="R227" s="941">
        <v>0.0</v>
      </c>
      <c r="S227" s="941">
        <v>0.0</v>
      </c>
      <c r="T227" s="941">
        <v>0.0</v>
      </c>
      <c r="U227" s="941">
        <v>0.0</v>
      </c>
      <c r="V227" s="941">
        <v>0.0</v>
      </c>
      <c r="W227" s="941">
        <v>0.0</v>
      </c>
      <c r="X227" s="941">
        <v>8.0</v>
      </c>
      <c r="Y227" s="941">
        <v>2.0</v>
      </c>
      <c r="Z227" s="941">
        <v>0.0</v>
      </c>
      <c r="AA227" s="941">
        <v>0.0</v>
      </c>
      <c r="AB227" s="941">
        <v>0.0</v>
      </c>
      <c r="AC227" s="941">
        <v>0.0</v>
      </c>
      <c r="AD227" s="941">
        <v>0.0</v>
      </c>
      <c r="AE227" s="941">
        <v>0.0</v>
      </c>
      <c r="AF227" s="941">
        <v>0.0</v>
      </c>
      <c r="AG227" s="941">
        <v>0.0</v>
      </c>
      <c r="AH227" s="941">
        <v>0.0</v>
      </c>
      <c r="AI227" s="941">
        <v>0.0</v>
      </c>
      <c r="AJ227" s="941">
        <v>5.0</v>
      </c>
      <c r="AK227" s="941">
        <v>10.0</v>
      </c>
      <c r="AL227" s="941">
        <v>1.0</v>
      </c>
      <c r="AM227" s="942">
        <v>1.0</v>
      </c>
    </row>
    <row r="228">
      <c r="A228" s="935" t="s">
        <v>132</v>
      </c>
      <c r="B228" s="941">
        <v>1.0</v>
      </c>
      <c r="C228" s="941">
        <v>1.0</v>
      </c>
      <c r="D228" s="941">
        <v>0.0</v>
      </c>
      <c r="E228" s="941">
        <v>0.0</v>
      </c>
      <c r="F228" s="941">
        <v>0.0</v>
      </c>
      <c r="G228" s="941">
        <v>57.0</v>
      </c>
      <c r="H228" s="941">
        <v>43.0</v>
      </c>
      <c r="I228" s="941">
        <v>14.0</v>
      </c>
      <c r="J228" s="941">
        <v>6.0</v>
      </c>
      <c r="K228" s="941">
        <v>6.0</v>
      </c>
      <c r="L228" s="941">
        <v>1.0</v>
      </c>
      <c r="M228" s="941">
        <v>586.0</v>
      </c>
      <c r="N228" s="941">
        <v>796.0</v>
      </c>
      <c r="O228" s="941">
        <v>13.0</v>
      </c>
      <c r="P228" s="941">
        <v>3.0</v>
      </c>
      <c r="Q228" s="941">
        <v>0.0</v>
      </c>
      <c r="R228" s="941">
        <v>2.0</v>
      </c>
      <c r="S228" s="941">
        <v>0.0</v>
      </c>
      <c r="T228" s="941">
        <v>0.0</v>
      </c>
      <c r="U228" s="941">
        <v>0.0</v>
      </c>
      <c r="V228" s="941">
        <v>2.0</v>
      </c>
      <c r="W228" s="941">
        <v>0.0</v>
      </c>
      <c r="X228" s="941">
        <v>14.0</v>
      </c>
      <c r="Y228" s="941">
        <v>4.0</v>
      </c>
      <c r="Z228" s="941">
        <v>0.0</v>
      </c>
      <c r="AA228" s="941">
        <v>0.0</v>
      </c>
      <c r="AB228" s="941">
        <v>0.0</v>
      </c>
      <c r="AC228" s="941">
        <v>0.0</v>
      </c>
      <c r="AD228" s="941">
        <v>0.0</v>
      </c>
      <c r="AE228" s="941">
        <v>0.0</v>
      </c>
      <c r="AF228" s="941">
        <v>0.0</v>
      </c>
      <c r="AG228" s="941">
        <v>0.0</v>
      </c>
      <c r="AH228" s="941">
        <v>1.0</v>
      </c>
      <c r="AI228" s="941">
        <v>0.0</v>
      </c>
      <c r="AJ228" s="941">
        <v>6.0</v>
      </c>
      <c r="AK228" s="941">
        <v>3.0</v>
      </c>
      <c r="AL228" s="941">
        <v>1.0</v>
      </c>
      <c r="AM228" s="942">
        <v>1.0</v>
      </c>
    </row>
    <row r="229">
      <c r="A229" s="935" t="s">
        <v>514</v>
      </c>
      <c r="B229" s="941">
        <v>1.0</v>
      </c>
      <c r="C229" s="941">
        <v>1.0</v>
      </c>
      <c r="D229" s="941">
        <v>0.0</v>
      </c>
      <c r="E229" s="941">
        <v>0.0</v>
      </c>
      <c r="F229" s="941">
        <v>0.0</v>
      </c>
      <c r="G229" s="941">
        <v>38.0</v>
      </c>
      <c r="H229" s="941">
        <v>56.0</v>
      </c>
      <c r="I229" s="941">
        <v>-18.0</v>
      </c>
      <c r="J229" s="941">
        <v>0.0</v>
      </c>
      <c r="K229" s="941">
        <v>2.0</v>
      </c>
      <c r="L229" s="941">
        <v>0.0</v>
      </c>
      <c r="M229" s="941">
        <v>551.0</v>
      </c>
      <c r="N229" s="941">
        <v>796.0</v>
      </c>
      <c r="O229" s="941">
        <v>9.0</v>
      </c>
      <c r="P229" s="941">
        <v>2.0</v>
      </c>
      <c r="Q229" s="941">
        <v>0.0</v>
      </c>
      <c r="R229" s="941">
        <v>0.0</v>
      </c>
      <c r="S229" s="941">
        <v>0.0</v>
      </c>
      <c r="T229" s="941">
        <v>0.0</v>
      </c>
      <c r="U229" s="941">
        <v>0.0</v>
      </c>
      <c r="V229" s="941">
        <v>0.0</v>
      </c>
      <c r="W229" s="941">
        <v>0.0</v>
      </c>
      <c r="X229" s="941">
        <v>4.0</v>
      </c>
      <c r="Y229" s="941">
        <v>0.0</v>
      </c>
      <c r="Z229" s="941">
        <v>0.0</v>
      </c>
      <c r="AA229" s="941">
        <v>0.0</v>
      </c>
      <c r="AB229" s="941">
        <v>0.0</v>
      </c>
      <c r="AC229" s="941">
        <v>0.0</v>
      </c>
      <c r="AD229" s="941">
        <v>0.0</v>
      </c>
      <c r="AE229" s="941">
        <v>0.0</v>
      </c>
      <c r="AF229" s="941">
        <v>0.0</v>
      </c>
      <c r="AG229" s="941">
        <v>0.0</v>
      </c>
      <c r="AH229" s="941">
        <v>0.0</v>
      </c>
      <c r="AI229" s="941">
        <v>0.0</v>
      </c>
      <c r="AJ229" s="941">
        <v>4.0</v>
      </c>
      <c r="AK229" s="941">
        <v>4.0</v>
      </c>
      <c r="AL229" s="941">
        <v>1.0</v>
      </c>
      <c r="AM229" s="942">
        <v>1.0</v>
      </c>
    </row>
    <row r="230">
      <c r="A230" s="935" t="s">
        <v>115</v>
      </c>
      <c r="B230" s="941">
        <v>1.0</v>
      </c>
      <c r="C230" s="941">
        <v>0.0</v>
      </c>
      <c r="D230" s="941">
        <v>1.0</v>
      </c>
      <c r="E230" s="941">
        <v>1.0</v>
      </c>
      <c r="F230" s="941">
        <v>0.0</v>
      </c>
      <c r="G230" s="941">
        <v>32.0</v>
      </c>
      <c r="H230" s="941">
        <v>55.0</v>
      </c>
      <c r="I230" s="941">
        <v>-23.0</v>
      </c>
      <c r="J230" s="941">
        <v>7.0</v>
      </c>
      <c r="K230" s="941">
        <v>2.0</v>
      </c>
      <c r="L230" s="941">
        <v>0.0</v>
      </c>
      <c r="M230" s="941">
        <v>553.0</v>
      </c>
      <c r="N230" s="941">
        <v>796.0</v>
      </c>
      <c r="O230" s="941">
        <v>10.0</v>
      </c>
      <c r="P230" s="941">
        <v>1.0</v>
      </c>
      <c r="Q230" s="941">
        <v>0.0</v>
      </c>
      <c r="R230" s="941">
        <v>0.0</v>
      </c>
      <c r="S230" s="941">
        <v>0.0</v>
      </c>
      <c r="T230" s="941">
        <v>0.0</v>
      </c>
      <c r="U230" s="941">
        <v>0.0</v>
      </c>
      <c r="V230" s="941">
        <v>0.0</v>
      </c>
      <c r="W230" s="941">
        <v>0.0</v>
      </c>
      <c r="X230" s="941">
        <v>2.0</v>
      </c>
      <c r="Y230" s="941">
        <v>0.0</v>
      </c>
      <c r="Z230" s="941">
        <v>0.0</v>
      </c>
      <c r="AA230" s="941">
        <v>0.0</v>
      </c>
      <c r="AB230" s="941">
        <v>0.0</v>
      </c>
      <c r="AC230" s="941">
        <v>0.0</v>
      </c>
      <c r="AD230" s="941">
        <v>0.0</v>
      </c>
      <c r="AE230" s="941">
        <v>0.0</v>
      </c>
      <c r="AF230" s="941">
        <v>0.0</v>
      </c>
      <c r="AG230" s="941">
        <v>0.0</v>
      </c>
      <c r="AH230" s="941">
        <v>3.0</v>
      </c>
      <c r="AI230" s="941">
        <v>0.0</v>
      </c>
      <c r="AJ230" s="941">
        <v>4.0</v>
      </c>
      <c r="AK230" s="941">
        <v>5.0</v>
      </c>
      <c r="AL230" s="941">
        <v>0.0</v>
      </c>
      <c r="AM230" s="942">
        <v>0.0</v>
      </c>
    </row>
    <row r="231">
      <c r="A231" s="935" t="s">
        <v>137</v>
      </c>
      <c r="B231" s="941">
        <v>1.0</v>
      </c>
      <c r="C231" s="941">
        <v>0.0</v>
      </c>
      <c r="D231" s="941">
        <v>1.0</v>
      </c>
      <c r="E231" s="941">
        <v>0.0</v>
      </c>
      <c r="F231" s="941">
        <v>0.0</v>
      </c>
      <c r="G231" s="941">
        <v>34.0</v>
      </c>
      <c r="H231" s="941">
        <v>43.0</v>
      </c>
      <c r="I231" s="941">
        <v>-9.0</v>
      </c>
      <c r="J231" s="941">
        <v>2.0</v>
      </c>
      <c r="K231" s="941">
        <v>4.0</v>
      </c>
      <c r="L231" s="941">
        <v>2.0</v>
      </c>
      <c r="M231" s="941">
        <v>592.0</v>
      </c>
      <c r="N231" s="941">
        <v>796.0</v>
      </c>
      <c r="O231" s="941">
        <v>13.0</v>
      </c>
      <c r="P231" s="941">
        <v>4.0</v>
      </c>
      <c r="Q231" s="941">
        <v>0.0</v>
      </c>
      <c r="R231" s="941">
        <v>0.0</v>
      </c>
      <c r="S231" s="941">
        <v>0.0</v>
      </c>
      <c r="T231" s="941">
        <v>0.0</v>
      </c>
      <c r="U231" s="941">
        <v>0.0</v>
      </c>
      <c r="V231" s="941">
        <v>0.0</v>
      </c>
      <c r="W231" s="941">
        <v>0.0</v>
      </c>
      <c r="X231" s="941">
        <v>5.0</v>
      </c>
      <c r="Y231" s="941">
        <v>1.0</v>
      </c>
      <c r="Z231" s="941">
        <v>0.0</v>
      </c>
      <c r="AA231" s="941">
        <v>0.0</v>
      </c>
      <c r="AB231" s="941">
        <v>0.0</v>
      </c>
      <c r="AC231" s="941">
        <v>0.0</v>
      </c>
      <c r="AD231" s="941">
        <v>0.0</v>
      </c>
      <c r="AE231" s="941">
        <v>0.0</v>
      </c>
      <c r="AF231" s="941">
        <v>0.0</v>
      </c>
      <c r="AG231" s="941">
        <v>0.0</v>
      </c>
      <c r="AH231" s="941">
        <v>3.0</v>
      </c>
      <c r="AI231" s="941">
        <v>0.0</v>
      </c>
      <c r="AJ231" s="941">
        <v>3.0</v>
      </c>
      <c r="AK231" s="941">
        <v>5.0</v>
      </c>
      <c r="AL231" s="941">
        <v>0.0</v>
      </c>
      <c r="AM231" s="942">
        <v>0.0</v>
      </c>
    </row>
    <row r="232">
      <c r="A232" s="935" t="s">
        <v>418</v>
      </c>
      <c r="B232" s="941">
        <v>1.0</v>
      </c>
      <c r="C232" s="941">
        <v>0.0</v>
      </c>
      <c r="D232" s="941">
        <v>1.0</v>
      </c>
      <c r="E232" s="941">
        <v>0.0</v>
      </c>
      <c r="F232" s="941">
        <v>0.0</v>
      </c>
      <c r="G232" s="941">
        <v>59.0</v>
      </c>
      <c r="H232" s="941">
        <v>45.0</v>
      </c>
      <c r="I232" s="941">
        <v>14.0</v>
      </c>
      <c r="J232" s="941">
        <v>6.0</v>
      </c>
      <c r="K232" s="941">
        <v>8.0</v>
      </c>
      <c r="L232" s="941">
        <v>1.0</v>
      </c>
      <c r="M232" s="941">
        <v>586.0</v>
      </c>
      <c r="N232" s="941">
        <v>796.0</v>
      </c>
      <c r="O232" s="941">
        <v>13.0</v>
      </c>
      <c r="P232" s="941">
        <v>0.0</v>
      </c>
      <c r="Q232" s="941">
        <v>0.0</v>
      </c>
      <c r="R232" s="941">
        <v>3.0</v>
      </c>
      <c r="S232" s="941">
        <v>0.0</v>
      </c>
      <c r="T232" s="941">
        <v>0.0</v>
      </c>
      <c r="U232" s="941">
        <v>0.0</v>
      </c>
      <c r="V232" s="941">
        <v>3.0</v>
      </c>
      <c r="W232" s="941">
        <v>0.0</v>
      </c>
      <c r="X232" s="941">
        <v>11.0</v>
      </c>
      <c r="Y232" s="941">
        <v>3.0</v>
      </c>
      <c r="Z232" s="941">
        <v>1.0</v>
      </c>
      <c r="AA232" s="941">
        <v>1.0</v>
      </c>
      <c r="AB232" s="941">
        <v>1.0</v>
      </c>
      <c r="AC232" s="941">
        <v>1.0</v>
      </c>
      <c r="AD232" s="941">
        <v>0.0</v>
      </c>
      <c r="AE232" s="941">
        <v>0.0</v>
      </c>
      <c r="AF232" s="941">
        <v>0.0</v>
      </c>
      <c r="AG232" s="941">
        <v>0.0</v>
      </c>
      <c r="AH232" s="941">
        <v>5.0</v>
      </c>
      <c r="AI232" s="941">
        <v>0.0</v>
      </c>
      <c r="AJ232" s="941">
        <v>10.0</v>
      </c>
      <c r="AK232" s="941">
        <v>4.0</v>
      </c>
      <c r="AL232" s="941">
        <v>1.0</v>
      </c>
      <c r="AM232" s="942">
        <v>0.0</v>
      </c>
    </row>
    <row r="233">
      <c r="A233" s="943" t="s">
        <v>420</v>
      </c>
      <c r="B233" s="944">
        <v>1.0</v>
      </c>
      <c r="C233" s="944">
        <v>0.0</v>
      </c>
      <c r="D233" s="944">
        <v>1.0</v>
      </c>
      <c r="E233" s="944">
        <v>0.0</v>
      </c>
      <c r="F233" s="944">
        <v>5.0</v>
      </c>
      <c r="G233" s="944">
        <v>24.0</v>
      </c>
      <c r="H233" s="944">
        <v>34.0</v>
      </c>
      <c r="I233" s="944">
        <v>-10.0</v>
      </c>
      <c r="J233" s="944">
        <v>4.0</v>
      </c>
      <c r="K233" s="944">
        <v>4.0</v>
      </c>
      <c r="L233" s="944">
        <v>2.0</v>
      </c>
      <c r="M233" s="944">
        <v>615.0</v>
      </c>
      <c r="N233" s="944">
        <v>796.0</v>
      </c>
      <c r="O233" s="944">
        <v>18.0</v>
      </c>
      <c r="P233" s="944">
        <v>247.0</v>
      </c>
      <c r="Q233" s="944">
        <v>0.0</v>
      </c>
      <c r="R233" s="944">
        <v>0.0</v>
      </c>
      <c r="S233" s="944">
        <v>0.0</v>
      </c>
      <c r="T233" s="944">
        <v>0.0</v>
      </c>
      <c r="U233" s="944">
        <v>0.0</v>
      </c>
      <c r="V233" s="944">
        <v>0.0</v>
      </c>
      <c r="W233" s="944">
        <v>0.0</v>
      </c>
      <c r="X233" s="944">
        <v>2.0</v>
      </c>
      <c r="Y233" s="944">
        <v>0.0</v>
      </c>
      <c r="Z233" s="944">
        <v>0.0</v>
      </c>
      <c r="AA233" s="944">
        <v>0.0</v>
      </c>
      <c r="AB233" s="944">
        <v>0.0</v>
      </c>
      <c r="AC233" s="944">
        <v>0.0</v>
      </c>
      <c r="AD233" s="944">
        <v>0.0</v>
      </c>
      <c r="AE233" s="944">
        <v>0.0</v>
      </c>
      <c r="AF233" s="944">
        <v>0.0</v>
      </c>
      <c r="AG233" s="944">
        <v>0.0</v>
      </c>
      <c r="AH233" s="944">
        <v>1.0</v>
      </c>
      <c r="AI233" s="944">
        <v>0.0</v>
      </c>
      <c r="AJ233" s="944">
        <v>5.0</v>
      </c>
      <c r="AK233" s="944">
        <v>3.0</v>
      </c>
      <c r="AL233" s="944">
        <v>1.0</v>
      </c>
      <c r="AM233" s="945">
        <v>0.0</v>
      </c>
    </row>
    <row r="234">
      <c r="A234" s="946" t="s">
        <v>114</v>
      </c>
      <c r="B234" s="939">
        <v>1.0</v>
      </c>
      <c r="C234" s="939">
        <v>1.0</v>
      </c>
      <c r="D234" s="939">
        <v>0.0</v>
      </c>
      <c r="E234" s="939">
        <v>5.0</v>
      </c>
      <c r="F234" s="939">
        <v>18.0</v>
      </c>
      <c r="G234" s="939">
        <v>45.0</v>
      </c>
      <c r="H234" s="939">
        <v>29.0</v>
      </c>
      <c r="I234" s="939">
        <v>16.0</v>
      </c>
      <c r="J234" s="939">
        <v>3.0</v>
      </c>
      <c r="K234" s="939">
        <v>9.0</v>
      </c>
      <c r="L234" s="939">
        <v>1.0</v>
      </c>
      <c r="M234" s="939">
        <v>1077.0</v>
      </c>
      <c r="N234" s="939">
        <v>1245.0</v>
      </c>
      <c r="O234" s="939">
        <v>37.0</v>
      </c>
      <c r="P234" s="939">
        <v>587.0</v>
      </c>
      <c r="Q234" s="939">
        <v>0.0</v>
      </c>
      <c r="R234" s="939">
        <v>1.0</v>
      </c>
      <c r="S234" s="939">
        <v>0.0</v>
      </c>
      <c r="T234" s="939">
        <v>0.0</v>
      </c>
      <c r="U234" s="939">
        <v>0.0</v>
      </c>
      <c r="V234" s="939">
        <v>0.0</v>
      </c>
      <c r="W234" s="939">
        <v>0.0</v>
      </c>
      <c r="X234" s="939">
        <v>4.0</v>
      </c>
      <c r="Y234" s="939">
        <v>0.0</v>
      </c>
      <c r="Z234" s="939">
        <v>0.0</v>
      </c>
      <c r="AA234" s="939">
        <v>0.0</v>
      </c>
      <c r="AB234" s="939">
        <v>0.0</v>
      </c>
      <c r="AC234" s="939">
        <v>0.0</v>
      </c>
      <c r="AD234" s="939">
        <v>0.0</v>
      </c>
      <c r="AE234" s="939">
        <v>0.0</v>
      </c>
      <c r="AF234" s="939">
        <v>0.0</v>
      </c>
      <c r="AG234" s="939">
        <v>0.0</v>
      </c>
      <c r="AH234" s="939">
        <v>3.0</v>
      </c>
      <c r="AI234" s="939">
        <v>0.0</v>
      </c>
      <c r="AJ234" s="939">
        <v>7.0</v>
      </c>
      <c r="AK234" s="939">
        <v>7.0</v>
      </c>
      <c r="AL234" s="939">
        <v>1.0</v>
      </c>
      <c r="AM234" s="940">
        <v>0.0</v>
      </c>
    </row>
    <row r="235">
      <c r="A235" s="935" t="s">
        <v>136</v>
      </c>
      <c r="B235" s="941">
        <v>1.0</v>
      </c>
      <c r="C235" s="941">
        <v>1.0</v>
      </c>
      <c r="D235" s="941">
        <v>0.0</v>
      </c>
      <c r="E235" s="941">
        <v>0.0</v>
      </c>
      <c r="F235" s="941">
        <v>0.0</v>
      </c>
      <c r="G235" s="941">
        <v>108.0</v>
      </c>
      <c r="H235" s="941">
        <v>91.0</v>
      </c>
      <c r="I235" s="941">
        <v>17.0</v>
      </c>
      <c r="J235" s="941">
        <v>2.0</v>
      </c>
      <c r="K235" s="941">
        <v>6.0</v>
      </c>
      <c r="L235" s="941">
        <v>1.0</v>
      </c>
      <c r="M235" s="941">
        <v>892.0</v>
      </c>
      <c r="N235" s="941">
        <v>1245.0</v>
      </c>
      <c r="O235" s="941">
        <v>9.0</v>
      </c>
      <c r="P235" s="941">
        <v>9.0</v>
      </c>
      <c r="Q235" s="941">
        <v>0.0</v>
      </c>
      <c r="R235" s="941">
        <v>2.0</v>
      </c>
      <c r="S235" s="941">
        <v>0.0</v>
      </c>
      <c r="T235" s="941">
        <v>0.0</v>
      </c>
      <c r="U235" s="941">
        <v>0.0</v>
      </c>
      <c r="V235" s="941">
        <v>2.0</v>
      </c>
      <c r="W235" s="941">
        <v>0.0</v>
      </c>
      <c r="X235" s="941">
        <v>21.0</v>
      </c>
      <c r="Y235" s="941">
        <v>8.0</v>
      </c>
      <c r="Z235" s="941">
        <v>0.0</v>
      </c>
      <c r="AA235" s="941">
        <v>0.0</v>
      </c>
      <c r="AB235" s="941">
        <v>0.0</v>
      </c>
      <c r="AC235" s="941">
        <v>0.0</v>
      </c>
      <c r="AD235" s="941">
        <v>0.0</v>
      </c>
      <c r="AE235" s="941">
        <v>0.0</v>
      </c>
      <c r="AF235" s="941">
        <v>0.0</v>
      </c>
      <c r="AG235" s="941">
        <v>0.0</v>
      </c>
      <c r="AH235" s="941">
        <v>5.0</v>
      </c>
      <c r="AI235" s="941">
        <v>0.0</v>
      </c>
      <c r="AJ235" s="941">
        <v>6.0</v>
      </c>
      <c r="AK235" s="941">
        <v>13.0</v>
      </c>
      <c r="AL235" s="941">
        <v>1.0</v>
      </c>
      <c r="AM235" s="942">
        <v>0.0</v>
      </c>
    </row>
    <row r="236">
      <c r="A236" s="935" t="s">
        <v>418</v>
      </c>
      <c r="B236" s="941">
        <v>1.0</v>
      </c>
      <c r="C236" s="941">
        <v>1.0</v>
      </c>
      <c r="D236" s="941">
        <v>0.0</v>
      </c>
      <c r="E236" s="941">
        <v>0.0</v>
      </c>
      <c r="F236" s="941">
        <v>1.0</v>
      </c>
      <c r="G236" s="941">
        <v>71.0</v>
      </c>
      <c r="H236" s="941">
        <v>66.0</v>
      </c>
      <c r="I236" s="941">
        <v>5.0</v>
      </c>
      <c r="J236" s="941">
        <v>2.0</v>
      </c>
      <c r="K236" s="941">
        <v>10.0</v>
      </c>
      <c r="L236" s="941">
        <v>2.0</v>
      </c>
      <c r="M236" s="941">
        <v>969.0</v>
      </c>
      <c r="N236" s="941">
        <v>1245.0</v>
      </c>
      <c r="O236" s="941">
        <v>14.0</v>
      </c>
      <c r="P236" s="941">
        <v>21.0</v>
      </c>
      <c r="Q236" s="941">
        <v>0.0</v>
      </c>
      <c r="R236" s="941">
        <v>2.0</v>
      </c>
      <c r="S236" s="941">
        <v>1.0</v>
      </c>
      <c r="T236" s="941">
        <v>0.0</v>
      </c>
      <c r="U236" s="941">
        <v>0.0</v>
      </c>
      <c r="V236" s="941">
        <v>2.0</v>
      </c>
      <c r="W236" s="941">
        <v>0.0</v>
      </c>
      <c r="X236" s="941">
        <v>13.0</v>
      </c>
      <c r="Y236" s="941">
        <v>2.0</v>
      </c>
      <c r="Z236" s="941">
        <v>1.0</v>
      </c>
      <c r="AA236" s="941">
        <v>1.0</v>
      </c>
      <c r="AB236" s="941">
        <v>1.0</v>
      </c>
      <c r="AC236" s="941">
        <v>0.0</v>
      </c>
      <c r="AD236" s="941">
        <v>0.0</v>
      </c>
      <c r="AE236" s="941">
        <v>0.0</v>
      </c>
      <c r="AF236" s="941">
        <v>0.0</v>
      </c>
      <c r="AG236" s="941">
        <v>2.0</v>
      </c>
      <c r="AH236" s="941">
        <v>2.0</v>
      </c>
      <c r="AI236" s="941">
        <v>0.0</v>
      </c>
      <c r="AJ236" s="941">
        <v>13.0</v>
      </c>
      <c r="AK236" s="941">
        <v>8.0</v>
      </c>
      <c r="AL236" s="941">
        <v>0.0</v>
      </c>
      <c r="AM236" s="942">
        <v>0.0</v>
      </c>
    </row>
    <row r="237">
      <c r="A237" s="935" t="s">
        <v>147</v>
      </c>
      <c r="B237" s="941">
        <v>1.0</v>
      </c>
      <c r="C237" s="941">
        <v>1.0</v>
      </c>
      <c r="D237" s="941">
        <v>0.0</v>
      </c>
      <c r="E237" s="941">
        <v>0.0</v>
      </c>
      <c r="F237" s="941">
        <v>1.0</v>
      </c>
      <c r="G237" s="941">
        <v>73.0</v>
      </c>
      <c r="H237" s="941">
        <v>71.0</v>
      </c>
      <c r="I237" s="941">
        <v>2.0</v>
      </c>
      <c r="J237" s="941">
        <v>6.0</v>
      </c>
      <c r="K237" s="941">
        <v>4.0</v>
      </c>
      <c r="L237" s="941">
        <v>0.0</v>
      </c>
      <c r="M237" s="941">
        <v>952.0</v>
      </c>
      <c r="N237" s="941">
        <v>1245.0</v>
      </c>
      <c r="O237" s="941">
        <v>13.0</v>
      </c>
      <c r="P237" s="941">
        <v>11.0</v>
      </c>
      <c r="Q237" s="941">
        <v>0.0</v>
      </c>
      <c r="R237" s="941">
        <v>0.0</v>
      </c>
      <c r="S237" s="941">
        <v>0.0</v>
      </c>
      <c r="T237" s="941">
        <v>0.0</v>
      </c>
      <c r="U237" s="941">
        <v>0.0</v>
      </c>
      <c r="V237" s="941">
        <v>0.0</v>
      </c>
      <c r="W237" s="941">
        <v>0.0</v>
      </c>
      <c r="X237" s="941">
        <v>9.0</v>
      </c>
      <c r="Y237" s="941">
        <v>4.0</v>
      </c>
      <c r="Z237" s="941">
        <v>1.0</v>
      </c>
      <c r="AA237" s="941">
        <v>0.0</v>
      </c>
      <c r="AB237" s="941">
        <v>0.0</v>
      </c>
      <c r="AC237" s="941">
        <v>0.0</v>
      </c>
      <c r="AD237" s="941">
        <v>0.0</v>
      </c>
      <c r="AE237" s="941">
        <v>0.0</v>
      </c>
      <c r="AF237" s="941">
        <v>0.0</v>
      </c>
      <c r="AG237" s="941">
        <v>0.0</v>
      </c>
      <c r="AH237" s="941">
        <v>10.0</v>
      </c>
      <c r="AI237" s="941">
        <v>0.0</v>
      </c>
      <c r="AJ237" s="941">
        <v>7.0</v>
      </c>
      <c r="AK237" s="941">
        <v>6.0</v>
      </c>
      <c r="AL237" s="941">
        <v>2.0</v>
      </c>
      <c r="AM237" s="942">
        <v>0.0</v>
      </c>
    </row>
    <row r="238">
      <c r="A238" s="935" t="s">
        <v>153</v>
      </c>
      <c r="B238" s="941">
        <v>1.0</v>
      </c>
      <c r="C238" s="941">
        <v>0.0</v>
      </c>
      <c r="D238" s="941">
        <v>1.0</v>
      </c>
      <c r="E238" s="941">
        <v>1.0</v>
      </c>
      <c r="F238" s="941">
        <v>5.0</v>
      </c>
      <c r="G238" s="941">
        <v>43.0</v>
      </c>
      <c r="H238" s="941">
        <v>72.0</v>
      </c>
      <c r="I238" s="941">
        <v>-29.0</v>
      </c>
      <c r="J238" s="941">
        <v>2.0</v>
      </c>
      <c r="K238" s="941">
        <v>3.0</v>
      </c>
      <c r="L238" s="941">
        <v>0.0</v>
      </c>
      <c r="M238" s="941">
        <v>948.0</v>
      </c>
      <c r="N238" s="941">
        <v>1245.0</v>
      </c>
      <c r="O238" s="941">
        <v>13.0</v>
      </c>
      <c r="P238" s="941">
        <v>421.0</v>
      </c>
      <c r="Q238" s="941">
        <v>0.0</v>
      </c>
      <c r="R238" s="941">
        <v>0.0</v>
      </c>
      <c r="S238" s="941">
        <v>0.0</v>
      </c>
      <c r="T238" s="941">
        <v>0.0</v>
      </c>
      <c r="U238" s="941">
        <v>0.0</v>
      </c>
      <c r="V238" s="941">
        <v>0.0</v>
      </c>
      <c r="W238" s="941">
        <v>0.0</v>
      </c>
      <c r="X238" s="941">
        <v>6.0</v>
      </c>
      <c r="Y238" s="941">
        <v>0.0</v>
      </c>
      <c r="Z238" s="941">
        <v>0.0</v>
      </c>
      <c r="AA238" s="941">
        <v>0.0</v>
      </c>
      <c r="AB238" s="941">
        <v>0.0</v>
      </c>
      <c r="AC238" s="941">
        <v>0.0</v>
      </c>
      <c r="AD238" s="941">
        <v>0.0</v>
      </c>
      <c r="AE238" s="941">
        <v>0.0</v>
      </c>
      <c r="AF238" s="941">
        <v>0.0</v>
      </c>
      <c r="AG238" s="941">
        <v>0.0</v>
      </c>
      <c r="AH238" s="941">
        <v>0.0</v>
      </c>
      <c r="AI238" s="941">
        <v>0.0</v>
      </c>
      <c r="AJ238" s="941">
        <v>4.0</v>
      </c>
      <c r="AK238" s="941">
        <v>6.0</v>
      </c>
      <c r="AL238" s="941">
        <v>0.0</v>
      </c>
      <c r="AM238" s="942">
        <v>1.0</v>
      </c>
    </row>
    <row r="239">
      <c r="A239" s="935" t="s">
        <v>145</v>
      </c>
      <c r="B239" s="941">
        <v>1.0</v>
      </c>
      <c r="C239" s="941">
        <v>0.0</v>
      </c>
      <c r="D239" s="941">
        <v>1.0</v>
      </c>
      <c r="E239" s="941">
        <v>0.0</v>
      </c>
      <c r="F239" s="941">
        <v>0.0</v>
      </c>
      <c r="G239" s="941">
        <v>75.0</v>
      </c>
      <c r="H239" s="941">
        <v>98.0</v>
      </c>
      <c r="I239" s="941">
        <v>-23.0</v>
      </c>
      <c r="J239" s="941">
        <v>8.0</v>
      </c>
      <c r="K239" s="941">
        <v>4.0</v>
      </c>
      <c r="L239" s="941">
        <v>0.0</v>
      </c>
      <c r="M239" s="941">
        <v>871.0</v>
      </c>
      <c r="N239" s="941">
        <v>1245.0</v>
      </c>
      <c r="O239" s="941">
        <v>8.0</v>
      </c>
      <c r="P239" s="941">
        <v>11.0</v>
      </c>
      <c r="Q239" s="941">
        <v>0.0</v>
      </c>
      <c r="R239" s="941">
        <v>0.0</v>
      </c>
      <c r="S239" s="941">
        <v>0.0</v>
      </c>
      <c r="T239" s="941">
        <v>0.0</v>
      </c>
      <c r="U239" s="941">
        <v>0.0</v>
      </c>
      <c r="V239" s="941">
        <v>0.0</v>
      </c>
      <c r="W239" s="941">
        <v>0.0</v>
      </c>
      <c r="X239" s="941">
        <v>11.0</v>
      </c>
      <c r="Y239" s="941">
        <v>0.0</v>
      </c>
      <c r="Z239" s="941">
        <v>0.0</v>
      </c>
      <c r="AA239" s="941">
        <v>0.0</v>
      </c>
      <c r="AB239" s="941">
        <v>0.0</v>
      </c>
      <c r="AC239" s="941">
        <v>0.0</v>
      </c>
      <c r="AD239" s="941">
        <v>0.0</v>
      </c>
      <c r="AE239" s="941">
        <v>0.0</v>
      </c>
      <c r="AF239" s="941">
        <v>0.0</v>
      </c>
      <c r="AG239" s="941">
        <v>0.0</v>
      </c>
      <c r="AH239" s="941">
        <v>3.0</v>
      </c>
      <c r="AI239" s="941">
        <v>0.0</v>
      </c>
      <c r="AJ239" s="941">
        <v>10.0</v>
      </c>
      <c r="AK239" s="941">
        <v>13.0</v>
      </c>
      <c r="AL239" s="941">
        <v>1.0</v>
      </c>
      <c r="AM239" s="942">
        <v>1.0</v>
      </c>
    </row>
    <row r="240">
      <c r="A240" s="935" t="s">
        <v>120</v>
      </c>
      <c r="B240" s="941">
        <v>1.0</v>
      </c>
      <c r="C240" s="941">
        <v>0.0</v>
      </c>
      <c r="D240" s="941">
        <v>1.0</v>
      </c>
      <c r="E240" s="941">
        <v>0.0</v>
      </c>
      <c r="F240" s="941">
        <v>0.0</v>
      </c>
      <c r="G240" s="941">
        <v>77.0</v>
      </c>
      <c r="H240" s="941">
        <v>72.0</v>
      </c>
      <c r="I240" s="941">
        <v>5.0</v>
      </c>
      <c r="J240" s="941">
        <v>6.0</v>
      </c>
      <c r="K240" s="941">
        <v>4.0</v>
      </c>
      <c r="L240" s="941">
        <v>3.0</v>
      </c>
      <c r="M240" s="941">
        <v>950.0</v>
      </c>
      <c r="N240" s="941">
        <v>1245.0</v>
      </c>
      <c r="O240" s="941">
        <v>13.0</v>
      </c>
      <c r="P240" s="941">
        <v>4.0</v>
      </c>
      <c r="Q240" s="941">
        <v>0.0</v>
      </c>
      <c r="R240" s="941">
        <v>0.0</v>
      </c>
      <c r="S240" s="941">
        <v>0.0</v>
      </c>
      <c r="T240" s="941">
        <v>0.0</v>
      </c>
      <c r="U240" s="941">
        <v>0.0</v>
      </c>
      <c r="V240" s="941">
        <v>0.0</v>
      </c>
      <c r="W240" s="941">
        <v>0.0</v>
      </c>
      <c r="X240" s="941">
        <v>9.0</v>
      </c>
      <c r="Y240" s="941">
        <v>1.0</v>
      </c>
      <c r="Z240" s="941">
        <v>0.0</v>
      </c>
      <c r="AA240" s="941">
        <v>0.0</v>
      </c>
      <c r="AB240" s="941">
        <v>0.0</v>
      </c>
      <c r="AC240" s="941">
        <v>0.0</v>
      </c>
      <c r="AD240" s="941">
        <v>0.0</v>
      </c>
      <c r="AE240" s="941">
        <v>0.0</v>
      </c>
      <c r="AF240" s="941">
        <v>0.0</v>
      </c>
      <c r="AG240" s="941">
        <v>0.0</v>
      </c>
      <c r="AH240" s="941">
        <v>0.0</v>
      </c>
      <c r="AI240" s="941">
        <v>0.0</v>
      </c>
      <c r="AJ240" s="941">
        <v>12.0</v>
      </c>
      <c r="AK240" s="941">
        <v>11.0</v>
      </c>
      <c r="AL240" s="941">
        <v>1.0</v>
      </c>
      <c r="AM240" s="942">
        <v>1.0</v>
      </c>
    </row>
    <row r="241">
      <c r="A241" s="943" t="s">
        <v>131</v>
      </c>
      <c r="B241" s="944">
        <v>1.0</v>
      </c>
      <c r="C241" s="944">
        <v>0.0</v>
      </c>
      <c r="D241" s="944">
        <v>1.0</v>
      </c>
      <c r="E241" s="944">
        <v>0.0</v>
      </c>
      <c r="F241" s="944">
        <v>0.0</v>
      </c>
      <c r="G241" s="944">
        <v>52.0</v>
      </c>
      <c r="H241" s="944">
        <v>64.0</v>
      </c>
      <c r="I241" s="944">
        <v>-12.0</v>
      </c>
      <c r="J241" s="944">
        <v>5.0</v>
      </c>
      <c r="K241" s="944">
        <v>4.0</v>
      </c>
      <c r="L241" s="944">
        <v>0.0</v>
      </c>
      <c r="M241" s="944">
        <v>976.0</v>
      </c>
      <c r="N241" s="944">
        <v>1245.0</v>
      </c>
      <c r="O241" s="944">
        <v>15.0</v>
      </c>
      <c r="P241" s="944">
        <v>6.0</v>
      </c>
      <c r="Q241" s="944">
        <v>0.0</v>
      </c>
      <c r="R241" s="944">
        <v>0.0</v>
      </c>
      <c r="S241" s="944">
        <v>0.0</v>
      </c>
      <c r="T241" s="944">
        <v>0.0</v>
      </c>
      <c r="U241" s="944">
        <v>0.0</v>
      </c>
      <c r="V241" s="944">
        <v>0.0</v>
      </c>
      <c r="W241" s="944">
        <v>0.0</v>
      </c>
      <c r="X241" s="944">
        <v>4.0</v>
      </c>
      <c r="Y241" s="944">
        <v>1.0</v>
      </c>
      <c r="Z241" s="944">
        <v>0.0</v>
      </c>
      <c r="AA241" s="944">
        <v>0.0</v>
      </c>
      <c r="AB241" s="944">
        <v>0.0</v>
      </c>
      <c r="AC241" s="944">
        <v>0.0</v>
      </c>
      <c r="AD241" s="944">
        <v>0.0</v>
      </c>
      <c r="AE241" s="944">
        <v>0.0</v>
      </c>
      <c r="AF241" s="944">
        <v>0.0</v>
      </c>
      <c r="AG241" s="944">
        <v>0.0</v>
      </c>
      <c r="AH241" s="944">
        <v>1.0</v>
      </c>
      <c r="AI241" s="944">
        <v>0.0</v>
      </c>
      <c r="AJ241" s="944">
        <v>9.0</v>
      </c>
      <c r="AK241" s="944">
        <v>6.0</v>
      </c>
      <c r="AL241" s="944">
        <v>0.0</v>
      </c>
      <c r="AM241" s="945">
        <v>1.0</v>
      </c>
    </row>
    <row r="242">
      <c r="A242" s="946" t="s">
        <v>153</v>
      </c>
      <c r="B242" s="939">
        <v>1.0</v>
      </c>
      <c r="C242" s="939">
        <v>1.0</v>
      </c>
      <c r="D242" s="939">
        <v>0.0</v>
      </c>
      <c r="E242" s="939">
        <v>5.0</v>
      </c>
      <c r="F242" s="939">
        <v>8.0</v>
      </c>
      <c r="G242" s="939">
        <v>54.0</v>
      </c>
      <c r="H242" s="939">
        <v>80.0</v>
      </c>
      <c r="I242" s="939">
        <v>-26.0</v>
      </c>
      <c r="J242" s="939">
        <v>2.0</v>
      </c>
      <c r="K242" s="939">
        <v>3.0</v>
      </c>
      <c r="L242" s="939">
        <v>1.0</v>
      </c>
      <c r="M242" s="939">
        <v>1166.0</v>
      </c>
      <c r="N242" s="939">
        <v>1497.0</v>
      </c>
      <c r="O242" s="939">
        <v>14.0</v>
      </c>
      <c r="P242" s="939">
        <v>477.0</v>
      </c>
      <c r="Q242" s="939">
        <v>0.0</v>
      </c>
      <c r="R242" s="939">
        <v>0.0</v>
      </c>
      <c r="S242" s="939">
        <v>0.0</v>
      </c>
      <c r="T242" s="939">
        <v>0.0</v>
      </c>
      <c r="U242" s="939">
        <v>0.0</v>
      </c>
      <c r="V242" s="939">
        <v>0.0</v>
      </c>
      <c r="W242" s="939">
        <v>0.0</v>
      </c>
      <c r="X242" s="939">
        <v>5.0</v>
      </c>
      <c r="Y242" s="939">
        <v>1.0</v>
      </c>
      <c r="Z242" s="939">
        <v>0.0</v>
      </c>
      <c r="AA242" s="939">
        <v>0.0</v>
      </c>
      <c r="AB242" s="939">
        <v>0.0</v>
      </c>
      <c r="AC242" s="939">
        <v>0.0</v>
      </c>
      <c r="AD242" s="939">
        <v>0.0</v>
      </c>
      <c r="AE242" s="939">
        <v>0.0</v>
      </c>
      <c r="AF242" s="939">
        <v>0.0</v>
      </c>
      <c r="AG242" s="939">
        <v>0.0</v>
      </c>
      <c r="AH242" s="939">
        <v>1.0</v>
      </c>
      <c r="AI242" s="939">
        <v>0.0</v>
      </c>
      <c r="AJ242" s="939">
        <v>3.0</v>
      </c>
      <c r="AK242" s="939">
        <v>9.0</v>
      </c>
      <c r="AL242" s="939">
        <v>1.0</v>
      </c>
      <c r="AM242" s="940">
        <v>1.0</v>
      </c>
    </row>
    <row r="243">
      <c r="A243" s="935" t="s">
        <v>145</v>
      </c>
      <c r="B243" s="941">
        <v>1.0</v>
      </c>
      <c r="C243" s="941">
        <v>1.0</v>
      </c>
      <c r="D243" s="941">
        <v>0.0</v>
      </c>
      <c r="E243" s="941">
        <v>0.0</v>
      </c>
      <c r="F243" s="941">
        <v>1.0</v>
      </c>
      <c r="G243" s="941">
        <v>122.0</v>
      </c>
      <c r="H243" s="941">
        <v>81.0</v>
      </c>
      <c r="I243" s="941">
        <v>41.0</v>
      </c>
      <c r="J243" s="941">
        <v>8.0</v>
      </c>
      <c r="K243" s="941">
        <v>6.0</v>
      </c>
      <c r="L243" s="941">
        <v>3.0</v>
      </c>
      <c r="M243" s="941">
        <v>1161.0</v>
      </c>
      <c r="N243" s="941">
        <v>1497.0</v>
      </c>
      <c r="O243" s="941">
        <v>14.0</v>
      </c>
      <c r="P243" s="941">
        <v>28.0</v>
      </c>
      <c r="Q243" s="941">
        <v>0.0</v>
      </c>
      <c r="R243" s="941">
        <v>6.0</v>
      </c>
      <c r="S243" s="941">
        <v>0.0</v>
      </c>
      <c r="T243" s="941">
        <v>0.0</v>
      </c>
      <c r="U243" s="941">
        <v>0.0</v>
      </c>
      <c r="V243" s="941">
        <v>3.0</v>
      </c>
      <c r="W243" s="941">
        <v>0.0</v>
      </c>
      <c r="X243" s="941">
        <v>23.0</v>
      </c>
      <c r="Y243" s="941">
        <v>7.0</v>
      </c>
      <c r="Z243" s="941">
        <v>2.0</v>
      </c>
      <c r="AA243" s="941">
        <v>1.0</v>
      </c>
      <c r="AB243" s="941">
        <v>0.0</v>
      </c>
      <c r="AC243" s="941">
        <v>0.0</v>
      </c>
      <c r="AD243" s="941">
        <v>0.0</v>
      </c>
      <c r="AE243" s="941">
        <v>0.0</v>
      </c>
      <c r="AF243" s="941">
        <v>0.0</v>
      </c>
      <c r="AG243" s="941">
        <v>0.0</v>
      </c>
      <c r="AH243" s="941">
        <v>4.0</v>
      </c>
      <c r="AI243" s="941">
        <v>0.0</v>
      </c>
      <c r="AJ243" s="941">
        <v>17.0</v>
      </c>
      <c r="AK243" s="941">
        <v>11.0</v>
      </c>
      <c r="AL243" s="941">
        <v>1.0</v>
      </c>
      <c r="AM243" s="942">
        <v>1.0</v>
      </c>
    </row>
    <row r="244">
      <c r="A244" s="935" t="s">
        <v>131</v>
      </c>
      <c r="B244" s="941">
        <v>1.0</v>
      </c>
      <c r="C244" s="941">
        <v>1.0</v>
      </c>
      <c r="D244" s="941">
        <v>0.0</v>
      </c>
      <c r="E244" s="941">
        <v>0.0</v>
      </c>
      <c r="F244" s="941">
        <v>0.0</v>
      </c>
      <c r="G244" s="941">
        <v>71.0</v>
      </c>
      <c r="H244" s="941">
        <v>77.0</v>
      </c>
      <c r="I244" s="941">
        <v>-6.0</v>
      </c>
      <c r="J244" s="941">
        <v>8.0</v>
      </c>
      <c r="K244" s="941">
        <v>4.0</v>
      </c>
      <c r="L244" s="941">
        <v>0.0</v>
      </c>
      <c r="M244" s="941">
        <v>1164.0</v>
      </c>
      <c r="N244" s="941">
        <v>1497.0</v>
      </c>
      <c r="O244" s="941">
        <v>15.0</v>
      </c>
      <c r="P244" s="941">
        <v>8.0</v>
      </c>
      <c r="Q244" s="941">
        <v>0.0</v>
      </c>
      <c r="R244" s="941">
        <v>0.0</v>
      </c>
      <c r="S244" s="941">
        <v>0.0</v>
      </c>
      <c r="T244" s="941">
        <v>0.0</v>
      </c>
      <c r="U244" s="941">
        <v>0.0</v>
      </c>
      <c r="V244" s="941">
        <v>0.0</v>
      </c>
      <c r="W244" s="941">
        <v>0.0</v>
      </c>
      <c r="X244" s="941">
        <v>7.0</v>
      </c>
      <c r="Y244" s="941">
        <v>1.0</v>
      </c>
      <c r="Z244" s="941">
        <v>0.0</v>
      </c>
      <c r="AA244" s="941">
        <v>0.0</v>
      </c>
      <c r="AB244" s="941">
        <v>0.0</v>
      </c>
      <c r="AC244" s="941">
        <v>0.0</v>
      </c>
      <c r="AD244" s="941">
        <v>0.0</v>
      </c>
      <c r="AE244" s="941">
        <v>0.0</v>
      </c>
      <c r="AF244" s="941">
        <v>0.0</v>
      </c>
      <c r="AG244" s="941">
        <v>0.0</v>
      </c>
      <c r="AH244" s="941">
        <v>2.0</v>
      </c>
      <c r="AI244" s="941">
        <v>0.0</v>
      </c>
      <c r="AJ244" s="941">
        <v>9.0</v>
      </c>
      <c r="AK244" s="941">
        <v>5.0</v>
      </c>
      <c r="AL244" s="941">
        <v>2.0</v>
      </c>
      <c r="AM244" s="942">
        <v>1.0</v>
      </c>
    </row>
    <row r="245">
      <c r="A245" s="935" t="s">
        <v>120</v>
      </c>
      <c r="B245" s="941">
        <v>1.0</v>
      </c>
      <c r="C245" s="941">
        <v>1.0</v>
      </c>
      <c r="D245" s="941">
        <v>0.0</v>
      </c>
      <c r="E245" s="941">
        <v>0.0</v>
      </c>
      <c r="F245" s="941">
        <v>0.0</v>
      </c>
      <c r="G245" s="941">
        <v>106.0</v>
      </c>
      <c r="H245" s="941">
        <v>70.0</v>
      </c>
      <c r="I245" s="941">
        <v>36.0</v>
      </c>
      <c r="J245" s="941">
        <v>9.0</v>
      </c>
      <c r="K245" s="941">
        <v>6.0</v>
      </c>
      <c r="L245" s="941">
        <v>3.0</v>
      </c>
      <c r="M245" s="941">
        <v>1195.0</v>
      </c>
      <c r="N245" s="941">
        <v>1497.0</v>
      </c>
      <c r="O245" s="941">
        <v>17.0</v>
      </c>
      <c r="P245" s="941">
        <v>0.0</v>
      </c>
      <c r="Q245" s="941">
        <v>0.0</v>
      </c>
      <c r="R245" s="941">
        <v>1.0</v>
      </c>
      <c r="S245" s="941">
        <v>0.0</v>
      </c>
      <c r="T245" s="941">
        <v>0.0</v>
      </c>
      <c r="U245" s="941">
        <v>0.0</v>
      </c>
      <c r="V245" s="941">
        <v>1.0</v>
      </c>
      <c r="W245" s="941">
        <v>0.0</v>
      </c>
      <c r="X245" s="941">
        <v>18.0</v>
      </c>
      <c r="Y245" s="941">
        <v>5.0</v>
      </c>
      <c r="Z245" s="941">
        <v>2.0</v>
      </c>
      <c r="AA245" s="941">
        <v>1.0</v>
      </c>
      <c r="AB245" s="941">
        <v>0.0</v>
      </c>
      <c r="AC245" s="941">
        <v>0.0</v>
      </c>
      <c r="AD245" s="941">
        <v>0.0</v>
      </c>
      <c r="AE245" s="941">
        <v>0.0</v>
      </c>
      <c r="AF245" s="941">
        <v>0.0</v>
      </c>
      <c r="AG245" s="941">
        <v>0.0</v>
      </c>
      <c r="AH245" s="941">
        <v>6.0</v>
      </c>
      <c r="AI245" s="941">
        <v>0.0</v>
      </c>
      <c r="AJ245" s="941">
        <v>19.0</v>
      </c>
      <c r="AK245" s="941">
        <v>11.0</v>
      </c>
      <c r="AL245" s="941">
        <v>0.0</v>
      </c>
      <c r="AM245" s="942">
        <v>1.0</v>
      </c>
    </row>
    <row r="246">
      <c r="A246" s="935" t="s">
        <v>117</v>
      </c>
      <c r="B246" s="941">
        <v>1.0</v>
      </c>
      <c r="C246" s="941">
        <v>0.0</v>
      </c>
      <c r="D246" s="941">
        <v>1.0</v>
      </c>
      <c r="E246" s="941">
        <v>1.0</v>
      </c>
      <c r="F246" s="941">
        <v>6.0</v>
      </c>
      <c r="G246" s="941">
        <v>55.0</v>
      </c>
      <c r="H246" s="941">
        <v>68.0</v>
      </c>
      <c r="I246" s="941">
        <v>-13.0</v>
      </c>
      <c r="J246" s="941">
        <v>6.0</v>
      </c>
      <c r="K246" s="941">
        <v>7.0</v>
      </c>
      <c r="L246" s="941">
        <v>1.0</v>
      </c>
      <c r="M246" s="941">
        <v>1200.0</v>
      </c>
      <c r="N246" s="941">
        <v>1497.0</v>
      </c>
      <c r="O246" s="941">
        <v>17.0</v>
      </c>
      <c r="P246" s="941">
        <v>407.0</v>
      </c>
      <c r="Q246" s="941">
        <v>0.0</v>
      </c>
      <c r="R246" s="941">
        <v>1.0</v>
      </c>
      <c r="S246" s="941">
        <v>0.0</v>
      </c>
      <c r="T246" s="941">
        <v>0.0</v>
      </c>
      <c r="U246" s="941">
        <v>0.0</v>
      </c>
      <c r="V246" s="941">
        <v>0.0</v>
      </c>
      <c r="W246" s="941">
        <v>0.0</v>
      </c>
      <c r="X246" s="941">
        <v>4.0</v>
      </c>
      <c r="Y246" s="941">
        <v>0.0</v>
      </c>
      <c r="Z246" s="941">
        <v>0.0</v>
      </c>
      <c r="AA246" s="941">
        <v>0.0</v>
      </c>
      <c r="AB246" s="941">
        <v>0.0</v>
      </c>
      <c r="AC246" s="941">
        <v>0.0</v>
      </c>
      <c r="AD246" s="941">
        <v>0.0</v>
      </c>
      <c r="AE246" s="941">
        <v>0.0</v>
      </c>
      <c r="AF246" s="941">
        <v>0.0</v>
      </c>
      <c r="AG246" s="941">
        <v>0.0</v>
      </c>
      <c r="AH246" s="941">
        <v>0.0</v>
      </c>
      <c r="AI246" s="941">
        <v>0.0</v>
      </c>
      <c r="AJ246" s="941">
        <v>10.0</v>
      </c>
      <c r="AK246" s="941">
        <v>8.0</v>
      </c>
      <c r="AL246" s="941">
        <v>0.0</v>
      </c>
      <c r="AM246" s="942">
        <v>0.0</v>
      </c>
    </row>
    <row r="247">
      <c r="A247" s="935" t="s">
        <v>150</v>
      </c>
      <c r="B247" s="941">
        <v>1.0</v>
      </c>
      <c r="C247" s="941">
        <v>0.0</v>
      </c>
      <c r="D247" s="941">
        <v>1.0</v>
      </c>
      <c r="E247" s="941">
        <v>1.0</v>
      </c>
      <c r="F247" s="941">
        <v>4.0</v>
      </c>
      <c r="G247" s="941">
        <v>78.0</v>
      </c>
      <c r="H247" s="941">
        <v>83.0</v>
      </c>
      <c r="I247" s="941">
        <v>-5.0</v>
      </c>
      <c r="J247" s="941">
        <v>5.0</v>
      </c>
      <c r="K247" s="941">
        <v>4.0</v>
      </c>
      <c r="L247" s="941">
        <v>1.0</v>
      </c>
      <c r="M247" s="941">
        <v>1156.0</v>
      </c>
      <c r="N247" s="941">
        <v>1497.0</v>
      </c>
      <c r="O247" s="941">
        <v>13.0</v>
      </c>
      <c r="P247" s="941">
        <v>326.0</v>
      </c>
      <c r="Q247" s="941">
        <v>0.0</v>
      </c>
      <c r="R247" s="941">
        <v>0.0</v>
      </c>
      <c r="S247" s="941">
        <v>0.0</v>
      </c>
      <c r="T247" s="941">
        <v>0.0</v>
      </c>
      <c r="U247" s="941">
        <v>0.0</v>
      </c>
      <c r="V247" s="941">
        <v>0.0</v>
      </c>
      <c r="W247" s="941">
        <v>0.0</v>
      </c>
      <c r="X247" s="941">
        <v>12.0</v>
      </c>
      <c r="Y247" s="941">
        <v>2.0</v>
      </c>
      <c r="Z247" s="941">
        <v>0.0</v>
      </c>
      <c r="AA247" s="941">
        <v>0.0</v>
      </c>
      <c r="AB247" s="941">
        <v>0.0</v>
      </c>
      <c r="AC247" s="941">
        <v>0.0</v>
      </c>
      <c r="AD247" s="941">
        <v>0.0</v>
      </c>
      <c r="AE247" s="941">
        <v>0.0</v>
      </c>
      <c r="AF247" s="941">
        <v>0.0</v>
      </c>
      <c r="AG247" s="941">
        <v>0.0</v>
      </c>
      <c r="AH247" s="941">
        <v>6.0</v>
      </c>
      <c r="AI247" s="941">
        <v>0.0</v>
      </c>
      <c r="AJ247" s="941">
        <v>5.0</v>
      </c>
      <c r="AK247" s="941">
        <v>8.0</v>
      </c>
      <c r="AL247" s="941">
        <v>1.0</v>
      </c>
      <c r="AM247" s="942">
        <v>0.0</v>
      </c>
    </row>
    <row r="248">
      <c r="A248" s="935" t="s">
        <v>166</v>
      </c>
      <c r="B248" s="941">
        <v>1.0</v>
      </c>
      <c r="C248" s="941">
        <v>0.0</v>
      </c>
      <c r="D248" s="941">
        <v>1.0</v>
      </c>
      <c r="E248" s="941">
        <v>0.0</v>
      </c>
      <c r="F248" s="941">
        <v>1.0</v>
      </c>
      <c r="G248" s="941">
        <v>74.0</v>
      </c>
      <c r="H248" s="941">
        <v>121.0</v>
      </c>
      <c r="I248" s="941">
        <v>-47.0</v>
      </c>
      <c r="J248" s="941">
        <v>2.0</v>
      </c>
      <c r="K248" s="941">
        <v>4.0</v>
      </c>
      <c r="L248" s="941">
        <v>2.0</v>
      </c>
      <c r="M248" s="941">
        <v>1043.0</v>
      </c>
      <c r="N248" s="941">
        <v>1497.0</v>
      </c>
      <c r="O248" s="941">
        <v>8.0</v>
      </c>
      <c r="P248" s="941">
        <v>19.0</v>
      </c>
      <c r="Q248" s="941">
        <v>0.0</v>
      </c>
      <c r="R248" s="941">
        <v>0.0</v>
      </c>
      <c r="S248" s="941">
        <v>0.0</v>
      </c>
      <c r="T248" s="941">
        <v>0.0</v>
      </c>
      <c r="U248" s="941">
        <v>0.0</v>
      </c>
      <c r="V248" s="941">
        <v>0.0</v>
      </c>
      <c r="W248" s="941">
        <v>0.0</v>
      </c>
      <c r="X248" s="941">
        <v>10.0</v>
      </c>
      <c r="Y248" s="941">
        <v>3.0</v>
      </c>
      <c r="Z248" s="941">
        <v>0.0</v>
      </c>
      <c r="AA248" s="941">
        <v>0.0</v>
      </c>
      <c r="AB248" s="941">
        <v>0.0</v>
      </c>
      <c r="AC248" s="941">
        <v>0.0</v>
      </c>
      <c r="AD248" s="941">
        <v>0.0</v>
      </c>
      <c r="AE248" s="941">
        <v>0.0</v>
      </c>
      <c r="AF248" s="941">
        <v>0.0</v>
      </c>
      <c r="AG248" s="941">
        <v>0.0</v>
      </c>
      <c r="AH248" s="941">
        <v>2.0</v>
      </c>
      <c r="AI248" s="941">
        <v>0.0</v>
      </c>
      <c r="AJ248" s="941">
        <v>6.0</v>
      </c>
      <c r="AK248" s="941">
        <v>10.0</v>
      </c>
      <c r="AL248" s="941">
        <v>1.0</v>
      </c>
      <c r="AM248" s="942">
        <v>0.0</v>
      </c>
    </row>
    <row r="249">
      <c r="A249" s="943" t="s">
        <v>139</v>
      </c>
      <c r="B249" s="944">
        <v>1.0</v>
      </c>
      <c r="C249" s="944">
        <v>0.0</v>
      </c>
      <c r="D249" s="944">
        <v>1.0</v>
      </c>
      <c r="E249" s="944">
        <v>0.0</v>
      </c>
      <c r="F249" s="944">
        <v>1.0</v>
      </c>
      <c r="G249" s="944">
        <v>86.0</v>
      </c>
      <c r="H249" s="944">
        <v>95.0</v>
      </c>
      <c r="I249" s="944">
        <v>-9.0</v>
      </c>
      <c r="J249" s="944">
        <v>7.0</v>
      </c>
      <c r="K249" s="944">
        <v>4.0</v>
      </c>
      <c r="L249" s="944">
        <v>2.0</v>
      </c>
      <c r="M249" s="944">
        <v>1120.0</v>
      </c>
      <c r="N249" s="944">
        <v>1497.0</v>
      </c>
      <c r="O249" s="944">
        <v>11.0</v>
      </c>
      <c r="P249" s="944">
        <v>11.0</v>
      </c>
      <c r="Q249" s="944">
        <v>0.0</v>
      </c>
      <c r="R249" s="944">
        <v>0.0</v>
      </c>
      <c r="S249" s="944">
        <v>0.0</v>
      </c>
      <c r="T249" s="944">
        <v>0.0</v>
      </c>
      <c r="U249" s="944">
        <v>0.0</v>
      </c>
      <c r="V249" s="944">
        <v>0.0</v>
      </c>
      <c r="W249" s="944">
        <v>0.0</v>
      </c>
      <c r="X249" s="944">
        <v>15.0</v>
      </c>
      <c r="Y249" s="944">
        <v>2.0</v>
      </c>
      <c r="Z249" s="944">
        <v>0.0</v>
      </c>
      <c r="AA249" s="944">
        <v>0.0</v>
      </c>
      <c r="AB249" s="944">
        <v>0.0</v>
      </c>
      <c r="AC249" s="944">
        <v>0.0</v>
      </c>
      <c r="AD249" s="944">
        <v>0.0</v>
      </c>
      <c r="AE249" s="944">
        <v>0.0</v>
      </c>
      <c r="AF249" s="944">
        <v>0.0</v>
      </c>
      <c r="AG249" s="944">
        <v>0.0</v>
      </c>
      <c r="AH249" s="944">
        <v>5.0</v>
      </c>
      <c r="AI249" s="944">
        <v>0.0</v>
      </c>
      <c r="AJ249" s="944">
        <v>6.0</v>
      </c>
      <c r="AK249" s="944">
        <v>8.0</v>
      </c>
      <c r="AL249" s="944">
        <v>1.0</v>
      </c>
      <c r="AM249" s="945">
        <v>0.0</v>
      </c>
    </row>
    <row r="250">
      <c r="A250" s="946" t="s">
        <v>114</v>
      </c>
      <c r="B250" s="939">
        <v>1.0</v>
      </c>
      <c r="C250" s="939">
        <v>1.0</v>
      </c>
      <c r="D250" s="939">
        <v>0.0</v>
      </c>
      <c r="E250" s="939">
        <v>4.0</v>
      </c>
      <c r="F250" s="939">
        <v>30.0</v>
      </c>
      <c r="G250" s="939">
        <v>79.0</v>
      </c>
      <c r="H250" s="939">
        <v>47.0</v>
      </c>
      <c r="I250" s="939">
        <v>32.0</v>
      </c>
      <c r="J250" s="939">
        <v>1.0</v>
      </c>
      <c r="K250" s="939">
        <v>12.0</v>
      </c>
      <c r="L250" s="939">
        <v>0.0</v>
      </c>
      <c r="M250" s="939">
        <v>2447.0</v>
      </c>
      <c r="N250" s="939">
        <v>2687.0</v>
      </c>
      <c r="O250" s="939">
        <v>52.0</v>
      </c>
      <c r="P250" s="939">
        <v>1572.0</v>
      </c>
      <c r="Q250" s="939">
        <v>0.0</v>
      </c>
      <c r="R250" s="939">
        <v>3.0</v>
      </c>
      <c r="S250" s="939">
        <v>1.0</v>
      </c>
      <c r="T250" s="939">
        <v>0.0</v>
      </c>
      <c r="U250" s="939">
        <v>0.0</v>
      </c>
      <c r="V250" s="939">
        <v>0.0</v>
      </c>
      <c r="W250" s="939">
        <v>0.0</v>
      </c>
      <c r="X250" s="939">
        <v>5.0</v>
      </c>
      <c r="Y250" s="939">
        <v>0.0</v>
      </c>
      <c r="Z250" s="939">
        <v>0.0</v>
      </c>
      <c r="AA250" s="939">
        <v>0.0</v>
      </c>
      <c r="AB250" s="939">
        <v>0.0</v>
      </c>
      <c r="AC250" s="939">
        <v>0.0</v>
      </c>
      <c r="AD250" s="939">
        <v>0.0</v>
      </c>
      <c r="AE250" s="939">
        <v>0.0</v>
      </c>
      <c r="AF250" s="939">
        <v>0.0</v>
      </c>
      <c r="AG250" s="939">
        <v>0.0</v>
      </c>
      <c r="AH250" s="939">
        <v>4.0</v>
      </c>
      <c r="AI250" s="939">
        <v>0.0</v>
      </c>
      <c r="AJ250" s="939">
        <v>12.0</v>
      </c>
      <c r="AK250" s="939">
        <v>11.0</v>
      </c>
      <c r="AL250" s="939">
        <v>2.0</v>
      </c>
      <c r="AM250" s="940">
        <v>0.0</v>
      </c>
    </row>
    <row r="251">
      <c r="A251" s="935" t="s">
        <v>147</v>
      </c>
      <c r="B251" s="941">
        <v>1.0</v>
      </c>
      <c r="C251" s="941">
        <v>1.0</v>
      </c>
      <c r="D251" s="941">
        <v>0.0</v>
      </c>
      <c r="E251" s="941">
        <v>1.0</v>
      </c>
      <c r="F251" s="941">
        <v>0.0</v>
      </c>
      <c r="G251" s="941">
        <v>147.0</v>
      </c>
      <c r="H251" s="941">
        <v>136.0</v>
      </c>
      <c r="I251" s="941">
        <v>11.0</v>
      </c>
      <c r="J251" s="941">
        <v>10.0</v>
      </c>
      <c r="K251" s="941">
        <v>6.0</v>
      </c>
      <c r="L251" s="941">
        <v>2.0</v>
      </c>
      <c r="M251" s="941">
        <v>2188.0</v>
      </c>
      <c r="N251" s="941">
        <v>2687.0</v>
      </c>
      <c r="O251" s="941">
        <v>16.0</v>
      </c>
      <c r="P251" s="941">
        <v>3.0</v>
      </c>
      <c r="Q251" s="941">
        <v>0.0</v>
      </c>
      <c r="R251" s="941">
        <v>3.0</v>
      </c>
      <c r="S251" s="941">
        <v>0.0</v>
      </c>
      <c r="T251" s="941">
        <v>0.0</v>
      </c>
      <c r="U251" s="941">
        <v>0.0</v>
      </c>
      <c r="V251" s="941">
        <v>3.0</v>
      </c>
      <c r="W251" s="941">
        <v>0.0</v>
      </c>
      <c r="X251" s="941">
        <v>20.0</v>
      </c>
      <c r="Y251" s="941">
        <v>3.0</v>
      </c>
      <c r="Z251" s="941">
        <v>0.0</v>
      </c>
      <c r="AA251" s="941">
        <v>0.0</v>
      </c>
      <c r="AB251" s="941">
        <v>0.0</v>
      </c>
      <c r="AC251" s="941">
        <v>0.0</v>
      </c>
      <c r="AD251" s="941">
        <v>0.0</v>
      </c>
      <c r="AE251" s="941">
        <v>0.0</v>
      </c>
      <c r="AF251" s="941">
        <v>0.0</v>
      </c>
      <c r="AG251" s="941">
        <v>0.0</v>
      </c>
      <c r="AH251" s="941">
        <v>11.0</v>
      </c>
      <c r="AI251" s="941">
        <v>0.0</v>
      </c>
      <c r="AJ251" s="941">
        <v>22.0</v>
      </c>
      <c r="AK251" s="941">
        <v>18.0</v>
      </c>
      <c r="AL251" s="941">
        <v>2.0</v>
      </c>
      <c r="AM251" s="942">
        <v>0.0</v>
      </c>
    </row>
    <row r="252">
      <c r="A252" s="935" t="s">
        <v>418</v>
      </c>
      <c r="B252" s="941">
        <v>1.0</v>
      </c>
      <c r="C252" s="941">
        <v>1.0</v>
      </c>
      <c r="D252" s="941">
        <v>0.0</v>
      </c>
      <c r="E252" s="941">
        <v>0.0</v>
      </c>
      <c r="F252" s="941">
        <v>0.0</v>
      </c>
      <c r="G252" s="941">
        <v>167.0</v>
      </c>
      <c r="H252" s="941">
        <v>129.0</v>
      </c>
      <c r="I252" s="941">
        <v>38.0</v>
      </c>
      <c r="J252" s="941">
        <v>9.0</v>
      </c>
      <c r="K252" s="941">
        <v>7.0</v>
      </c>
      <c r="L252" s="941">
        <v>2.0</v>
      </c>
      <c r="M252" s="941">
        <v>2124.0</v>
      </c>
      <c r="N252" s="941">
        <v>2603.0</v>
      </c>
      <c r="O252" s="941">
        <v>16.0</v>
      </c>
      <c r="P252" s="941">
        <v>43.0</v>
      </c>
      <c r="Q252" s="941">
        <v>0.0</v>
      </c>
      <c r="R252" s="941">
        <v>4.0</v>
      </c>
      <c r="S252" s="941">
        <v>0.0</v>
      </c>
      <c r="T252" s="941">
        <v>0.0</v>
      </c>
      <c r="U252" s="941">
        <v>0.0</v>
      </c>
      <c r="V252" s="941">
        <v>4.0</v>
      </c>
      <c r="W252" s="941">
        <v>0.0</v>
      </c>
      <c r="X252" s="941">
        <v>31.0</v>
      </c>
      <c r="Y252" s="941">
        <v>4.0</v>
      </c>
      <c r="Z252" s="941">
        <v>0.0</v>
      </c>
      <c r="AA252" s="941">
        <v>0.0</v>
      </c>
      <c r="AB252" s="941">
        <v>0.0</v>
      </c>
      <c r="AC252" s="941">
        <v>0.0</v>
      </c>
      <c r="AD252" s="941">
        <v>0.0</v>
      </c>
      <c r="AE252" s="941">
        <v>0.0</v>
      </c>
      <c r="AF252" s="941">
        <v>0.0</v>
      </c>
      <c r="AG252" s="941">
        <v>0.0</v>
      </c>
      <c r="AH252" s="941">
        <v>5.0</v>
      </c>
      <c r="AI252" s="941">
        <v>0.0</v>
      </c>
      <c r="AJ252" s="941">
        <v>17.0</v>
      </c>
      <c r="AK252" s="941">
        <v>16.0</v>
      </c>
      <c r="AL252" s="941">
        <v>0.0</v>
      </c>
      <c r="AM252" s="942">
        <v>0.0</v>
      </c>
    </row>
    <row r="253">
      <c r="A253" s="935" t="s">
        <v>136</v>
      </c>
      <c r="B253" s="941">
        <v>1.0</v>
      </c>
      <c r="C253" s="941">
        <v>1.0</v>
      </c>
      <c r="D253" s="941">
        <v>0.0</v>
      </c>
      <c r="E253" s="941">
        <v>0.0</v>
      </c>
      <c r="F253" s="941">
        <v>0.0</v>
      </c>
      <c r="G253" s="941">
        <v>196.0</v>
      </c>
      <c r="H253" s="941">
        <v>180.0</v>
      </c>
      <c r="I253" s="941">
        <v>16.0</v>
      </c>
      <c r="J253" s="941">
        <v>14.0</v>
      </c>
      <c r="K253" s="941">
        <v>6.0</v>
      </c>
      <c r="L253" s="941">
        <v>4.0</v>
      </c>
      <c r="M253" s="941">
        <v>2047.0</v>
      </c>
      <c r="N253" s="941">
        <v>2687.0</v>
      </c>
      <c r="O253" s="941">
        <v>11.0</v>
      </c>
      <c r="P253" s="941">
        <v>18.0</v>
      </c>
      <c r="Q253" s="941">
        <v>0.0</v>
      </c>
      <c r="R253" s="941">
        <v>2.0</v>
      </c>
      <c r="S253" s="941">
        <v>0.0</v>
      </c>
      <c r="T253" s="941">
        <v>0.0</v>
      </c>
      <c r="U253" s="941">
        <v>0.0</v>
      </c>
      <c r="V253" s="941">
        <v>2.0</v>
      </c>
      <c r="W253" s="941">
        <v>0.0</v>
      </c>
      <c r="X253" s="941">
        <v>40.0</v>
      </c>
      <c r="Y253" s="941">
        <v>12.0</v>
      </c>
      <c r="Z253" s="941">
        <v>2.0</v>
      </c>
      <c r="AA253" s="941">
        <v>0.0</v>
      </c>
      <c r="AB253" s="941">
        <v>0.0</v>
      </c>
      <c r="AC253" s="941">
        <v>0.0</v>
      </c>
      <c r="AD253" s="941">
        <v>0.0</v>
      </c>
      <c r="AE253" s="941">
        <v>0.0</v>
      </c>
      <c r="AF253" s="941">
        <v>0.0</v>
      </c>
      <c r="AG253" s="941">
        <v>0.0</v>
      </c>
      <c r="AH253" s="941">
        <v>6.0</v>
      </c>
      <c r="AI253" s="941">
        <v>0.0</v>
      </c>
      <c r="AJ253" s="941">
        <v>19.0</v>
      </c>
      <c r="AK253" s="941">
        <v>20.0</v>
      </c>
      <c r="AL253" s="941">
        <v>0.0</v>
      </c>
      <c r="AM253" s="942">
        <v>0.0</v>
      </c>
    </row>
    <row r="254">
      <c r="A254" s="935" t="s">
        <v>121</v>
      </c>
      <c r="B254" s="941">
        <v>1.0</v>
      </c>
      <c r="C254" s="941">
        <v>0.0</v>
      </c>
      <c r="D254" s="941">
        <v>1.0</v>
      </c>
      <c r="E254" s="941">
        <v>1.0</v>
      </c>
      <c r="F254" s="941">
        <v>2.0</v>
      </c>
      <c r="G254" s="941">
        <v>138.0</v>
      </c>
      <c r="H254" s="941">
        <v>139.0</v>
      </c>
      <c r="I254" s="941">
        <v>-1.0</v>
      </c>
      <c r="J254" s="941">
        <v>7.0</v>
      </c>
      <c r="K254" s="941">
        <v>6.0</v>
      </c>
      <c r="L254" s="941">
        <v>2.0</v>
      </c>
      <c r="M254" s="941">
        <v>2182.0</v>
      </c>
      <c r="N254" s="941">
        <v>2687.0</v>
      </c>
      <c r="O254" s="941">
        <v>15.0</v>
      </c>
      <c r="P254" s="941">
        <v>24.0</v>
      </c>
      <c r="Q254" s="941">
        <v>0.0</v>
      </c>
      <c r="R254" s="941">
        <v>2.0</v>
      </c>
      <c r="S254" s="941">
        <v>0.0</v>
      </c>
      <c r="T254" s="941">
        <v>0.0</v>
      </c>
      <c r="U254" s="941">
        <v>0.0</v>
      </c>
      <c r="V254" s="941">
        <v>2.0</v>
      </c>
      <c r="W254" s="941">
        <v>0.0</v>
      </c>
      <c r="X254" s="941">
        <v>23.0</v>
      </c>
      <c r="Y254" s="941">
        <v>4.0</v>
      </c>
      <c r="Z254" s="941">
        <v>0.0</v>
      </c>
      <c r="AA254" s="941">
        <v>0.0</v>
      </c>
      <c r="AB254" s="941">
        <v>0.0</v>
      </c>
      <c r="AC254" s="941">
        <v>0.0</v>
      </c>
      <c r="AD254" s="941">
        <v>0.0</v>
      </c>
      <c r="AE254" s="941">
        <v>0.0</v>
      </c>
      <c r="AF254" s="941">
        <v>0.0</v>
      </c>
      <c r="AG254" s="941">
        <v>0.0</v>
      </c>
      <c r="AH254" s="941">
        <v>1.0</v>
      </c>
      <c r="AI254" s="941">
        <v>0.0</v>
      </c>
      <c r="AJ254" s="941">
        <v>16.0</v>
      </c>
      <c r="AK254" s="941">
        <v>23.0</v>
      </c>
      <c r="AL254" s="941">
        <v>0.0</v>
      </c>
      <c r="AM254" s="942">
        <v>1.0</v>
      </c>
    </row>
    <row r="255">
      <c r="A255" s="935" t="s">
        <v>154</v>
      </c>
      <c r="B255" s="941">
        <v>1.0</v>
      </c>
      <c r="C255" s="941">
        <v>0.0</v>
      </c>
      <c r="D255" s="941">
        <v>1.0</v>
      </c>
      <c r="E255" s="941">
        <v>1.0</v>
      </c>
      <c r="F255" s="941">
        <v>6.0</v>
      </c>
      <c r="G255" s="941">
        <v>71.0</v>
      </c>
      <c r="H255" s="941">
        <v>117.0</v>
      </c>
      <c r="I255" s="941">
        <v>-46.0</v>
      </c>
      <c r="J255" s="941">
        <v>2.0</v>
      </c>
      <c r="K255" s="941">
        <v>5.0</v>
      </c>
      <c r="L255" s="941">
        <v>1.0</v>
      </c>
      <c r="M255" s="941">
        <v>2247.0</v>
      </c>
      <c r="N255" s="941">
        <v>2687.0</v>
      </c>
      <c r="O255" s="941">
        <v>19.0</v>
      </c>
      <c r="P255" s="941">
        <v>797.0</v>
      </c>
      <c r="Q255" s="941">
        <v>0.0</v>
      </c>
      <c r="R255" s="941">
        <v>1.0</v>
      </c>
      <c r="S255" s="941">
        <v>0.0</v>
      </c>
      <c r="T255" s="941">
        <v>0.0</v>
      </c>
      <c r="U255" s="941">
        <v>0.0</v>
      </c>
      <c r="V255" s="941">
        <v>0.0</v>
      </c>
      <c r="W255" s="941">
        <v>0.0</v>
      </c>
      <c r="X255" s="941">
        <v>5.0</v>
      </c>
      <c r="Y255" s="941">
        <v>0.0</v>
      </c>
      <c r="Z255" s="941">
        <v>0.0</v>
      </c>
      <c r="AA255" s="941">
        <v>0.0</v>
      </c>
      <c r="AB255" s="941">
        <v>0.0</v>
      </c>
      <c r="AC255" s="941">
        <v>0.0</v>
      </c>
      <c r="AD255" s="941">
        <v>0.0</v>
      </c>
      <c r="AE255" s="941">
        <v>0.0</v>
      </c>
      <c r="AF255" s="941">
        <v>0.0</v>
      </c>
      <c r="AG255" s="941">
        <v>0.0</v>
      </c>
      <c r="AH255" s="941">
        <v>0.0</v>
      </c>
      <c r="AI255" s="941">
        <v>0.0</v>
      </c>
      <c r="AJ255" s="941">
        <v>7.0</v>
      </c>
      <c r="AK255" s="941">
        <v>11.0</v>
      </c>
      <c r="AL255" s="941">
        <v>1.0</v>
      </c>
      <c r="AM255" s="942">
        <v>1.0</v>
      </c>
    </row>
    <row r="256">
      <c r="A256" s="935" t="s">
        <v>132</v>
      </c>
      <c r="B256" s="941">
        <v>1.0</v>
      </c>
      <c r="C256" s="941">
        <v>0.0</v>
      </c>
      <c r="D256" s="941">
        <v>1.0</v>
      </c>
      <c r="E256" s="941">
        <v>0.0</v>
      </c>
      <c r="F256" s="941">
        <v>0.0</v>
      </c>
      <c r="G256" s="941">
        <v>140.0</v>
      </c>
      <c r="H256" s="941">
        <v>148.0</v>
      </c>
      <c r="I256" s="941">
        <v>-8.0</v>
      </c>
      <c r="J256" s="941">
        <v>7.0</v>
      </c>
      <c r="K256" s="941">
        <v>6.0</v>
      </c>
      <c r="L256" s="941">
        <v>0.0</v>
      </c>
      <c r="M256" s="941">
        <v>2150.0</v>
      </c>
      <c r="N256" s="941">
        <v>2687.0</v>
      </c>
      <c r="O256" s="941">
        <v>14.0</v>
      </c>
      <c r="P256" s="941">
        <v>0.0</v>
      </c>
      <c r="Q256" s="941">
        <v>0.0</v>
      </c>
      <c r="R256" s="941">
        <v>1.0</v>
      </c>
      <c r="S256" s="941">
        <v>0.0</v>
      </c>
      <c r="T256" s="941">
        <v>0.0</v>
      </c>
      <c r="U256" s="941">
        <v>0.0</v>
      </c>
      <c r="V256" s="941">
        <v>1.0</v>
      </c>
      <c r="W256" s="941">
        <v>0.0</v>
      </c>
      <c r="X256" s="941">
        <v>14.0</v>
      </c>
      <c r="Y256" s="941">
        <v>3.0</v>
      </c>
      <c r="Z256" s="941">
        <v>0.0</v>
      </c>
      <c r="AA256" s="941">
        <v>0.0</v>
      </c>
      <c r="AB256" s="941">
        <v>0.0</v>
      </c>
      <c r="AC256" s="941">
        <v>0.0</v>
      </c>
      <c r="AD256" s="941">
        <v>0.0</v>
      </c>
      <c r="AE256" s="941">
        <v>0.0</v>
      </c>
      <c r="AF256" s="941">
        <v>0.0</v>
      </c>
      <c r="AG256" s="941">
        <v>0.0</v>
      </c>
      <c r="AH256" s="941">
        <v>2.0</v>
      </c>
      <c r="AI256" s="941">
        <v>0.0</v>
      </c>
      <c r="AJ256" s="941">
        <v>16.0</v>
      </c>
      <c r="AK256" s="941">
        <v>22.0</v>
      </c>
      <c r="AL256" s="941">
        <v>1.0</v>
      </c>
      <c r="AM256" s="942">
        <v>1.0</v>
      </c>
    </row>
    <row r="257">
      <c r="A257" s="943" t="s">
        <v>514</v>
      </c>
      <c r="B257" s="944">
        <v>1.0</v>
      </c>
      <c r="C257" s="944">
        <v>0.0</v>
      </c>
      <c r="D257" s="944">
        <v>1.0</v>
      </c>
      <c r="E257" s="944">
        <v>0.0</v>
      </c>
      <c r="F257" s="944">
        <v>1.0</v>
      </c>
      <c r="G257" s="944">
        <v>132.0</v>
      </c>
      <c r="H257" s="944">
        <v>198.0</v>
      </c>
      <c r="I257" s="944">
        <v>-66.0</v>
      </c>
      <c r="J257" s="944">
        <v>17.0</v>
      </c>
      <c r="K257" s="944">
        <v>3.0</v>
      </c>
      <c r="L257" s="944">
        <v>2.0</v>
      </c>
      <c r="M257" s="944">
        <v>2001.0</v>
      </c>
      <c r="N257" s="944">
        <v>2687.0</v>
      </c>
      <c r="O257" s="944">
        <v>10.0</v>
      </c>
      <c r="P257" s="944">
        <v>14.0</v>
      </c>
      <c r="Q257" s="944">
        <v>0.0</v>
      </c>
      <c r="R257" s="944">
        <v>0.0</v>
      </c>
      <c r="S257" s="944">
        <v>0.0</v>
      </c>
      <c r="T257" s="944">
        <v>0.0</v>
      </c>
      <c r="U257" s="944">
        <v>0.0</v>
      </c>
      <c r="V257" s="944">
        <v>0.0</v>
      </c>
      <c r="W257" s="944">
        <v>0.0</v>
      </c>
      <c r="X257" s="944">
        <v>23.0</v>
      </c>
      <c r="Y257" s="944">
        <v>1.0</v>
      </c>
      <c r="Z257" s="944">
        <v>0.0</v>
      </c>
      <c r="AA257" s="944">
        <v>0.0</v>
      </c>
      <c r="AB257" s="944">
        <v>0.0</v>
      </c>
      <c r="AC257" s="944">
        <v>0.0</v>
      </c>
      <c r="AD257" s="944">
        <v>0.0</v>
      </c>
      <c r="AE257" s="944">
        <v>0.0</v>
      </c>
      <c r="AF257" s="944">
        <v>0.0</v>
      </c>
      <c r="AG257" s="944">
        <v>0.0</v>
      </c>
      <c r="AH257" s="944">
        <v>1.0</v>
      </c>
      <c r="AI257" s="944">
        <v>0.0</v>
      </c>
      <c r="AJ257" s="944">
        <v>18.0</v>
      </c>
      <c r="AK257" s="944">
        <v>24.0</v>
      </c>
      <c r="AL257" s="944">
        <v>1.0</v>
      </c>
      <c r="AM257" s="945">
        <v>1.0</v>
      </c>
    </row>
    <row r="258">
      <c r="A258" s="946" t="s">
        <v>149</v>
      </c>
      <c r="B258" s="939">
        <v>1.0</v>
      </c>
      <c r="C258" s="939">
        <v>1.0</v>
      </c>
      <c r="D258" s="939">
        <v>0.0</v>
      </c>
      <c r="E258" s="939">
        <v>4.0</v>
      </c>
      <c r="F258" s="939">
        <v>29.0</v>
      </c>
      <c r="G258" s="939">
        <v>60.0</v>
      </c>
      <c r="H258" s="939">
        <v>43.0</v>
      </c>
      <c r="I258" s="939">
        <v>17.0</v>
      </c>
      <c r="J258" s="939">
        <v>3.0</v>
      </c>
      <c r="K258" s="939">
        <v>9.0</v>
      </c>
      <c r="L258" s="939">
        <v>0.0</v>
      </c>
      <c r="M258" s="939">
        <v>1615.0</v>
      </c>
      <c r="N258" s="939">
        <v>1860.0</v>
      </c>
      <c r="O258" s="939">
        <v>37.0</v>
      </c>
      <c r="P258" s="939">
        <v>909.0</v>
      </c>
      <c r="Q258" s="939">
        <v>0.0</v>
      </c>
      <c r="R258" s="939">
        <v>3.0</v>
      </c>
      <c r="S258" s="939">
        <v>0.0</v>
      </c>
      <c r="T258" s="939">
        <v>0.0</v>
      </c>
      <c r="U258" s="939">
        <v>0.0</v>
      </c>
      <c r="V258" s="939">
        <v>0.0</v>
      </c>
      <c r="W258" s="939">
        <v>0.0</v>
      </c>
      <c r="X258" s="939">
        <v>8.0</v>
      </c>
      <c r="Y258" s="939">
        <v>1.0</v>
      </c>
      <c r="Z258" s="939">
        <v>0.0</v>
      </c>
      <c r="AA258" s="939">
        <v>0.0</v>
      </c>
      <c r="AB258" s="939">
        <v>0.0</v>
      </c>
      <c r="AC258" s="939">
        <v>0.0</v>
      </c>
      <c r="AD258" s="939">
        <v>0.0</v>
      </c>
      <c r="AE258" s="939">
        <v>0.0</v>
      </c>
      <c r="AF258" s="939">
        <v>0.0</v>
      </c>
      <c r="AG258" s="939">
        <v>0.0</v>
      </c>
      <c r="AH258" s="939">
        <v>0.0</v>
      </c>
      <c r="AI258" s="939">
        <v>0.0</v>
      </c>
      <c r="AJ258" s="939">
        <v>11.0</v>
      </c>
      <c r="AK258" s="939">
        <v>4.0</v>
      </c>
      <c r="AL258" s="939">
        <v>0.0</v>
      </c>
      <c r="AM258" s="940">
        <v>1.0</v>
      </c>
    </row>
    <row r="259">
      <c r="A259" s="935" t="s">
        <v>418</v>
      </c>
      <c r="B259" s="941">
        <v>1.0</v>
      </c>
      <c r="C259" s="941">
        <v>1.0</v>
      </c>
      <c r="D259" s="941">
        <v>0.0</v>
      </c>
      <c r="E259" s="941">
        <v>1.0</v>
      </c>
      <c r="F259" s="941">
        <v>0.0</v>
      </c>
      <c r="G259" s="941">
        <v>92.0</v>
      </c>
      <c r="H259" s="941">
        <v>82.0</v>
      </c>
      <c r="I259" s="941">
        <v>10.0</v>
      </c>
      <c r="J259" s="941">
        <v>6.0</v>
      </c>
      <c r="K259" s="941">
        <v>6.0</v>
      </c>
      <c r="L259" s="941">
        <v>2.0</v>
      </c>
      <c r="M259" s="941">
        <v>1502.0</v>
      </c>
      <c r="N259" s="941">
        <v>1860.0</v>
      </c>
      <c r="O259" s="941">
        <v>18.0</v>
      </c>
      <c r="P259" s="941">
        <v>11.0</v>
      </c>
      <c r="Q259" s="941">
        <v>0.0</v>
      </c>
      <c r="R259" s="941">
        <v>2.0</v>
      </c>
      <c r="S259" s="941">
        <v>0.0</v>
      </c>
      <c r="T259" s="941">
        <v>0.0</v>
      </c>
      <c r="U259" s="941">
        <v>0.0</v>
      </c>
      <c r="V259" s="941">
        <v>2.0</v>
      </c>
      <c r="W259" s="941">
        <v>0.0</v>
      </c>
      <c r="X259" s="941">
        <v>14.0</v>
      </c>
      <c r="Y259" s="941">
        <v>2.0</v>
      </c>
      <c r="Z259" s="941">
        <v>0.0</v>
      </c>
      <c r="AA259" s="941">
        <v>0.0</v>
      </c>
      <c r="AB259" s="941">
        <v>0.0</v>
      </c>
      <c r="AC259" s="941">
        <v>0.0</v>
      </c>
      <c r="AD259" s="941">
        <v>0.0</v>
      </c>
      <c r="AE259" s="941">
        <v>0.0</v>
      </c>
      <c r="AF259" s="941">
        <v>0.0</v>
      </c>
      <c r="AG259" s="941">
        <v>0.0</v>
      </c>
      <c r="AH259" s="941">
        <v>4.0</v>
      </c>
      <c r="AI259" s="941">
        <v>0.0</v>
      </c>
      <c r="AJ259" s="941">
        <v>16.0</v>
      </c>
      <c r="AK259" s="941">
        <v>11.0</v>
      </c>
      <c r="AL259" s="941">
        <v>2.0</v>
      </c>
      <c r="AM259" s="942">
        <v>1.0</v>
      </c>
    </row>
    <row r="260">
      <c r="A260" s="935" t="s">
        <v>138</v>
      </c>
      <c r="B260" s="941">
        <v>1.0</v>
      </c>
      <c r="C260" s="941">
        <v>1.0</v>
      </c>
      <c r="D260" s="941">
        <v>0.0</v>
      </c>
      <c r="E260" s="941">
        <v>0.0</v>
      </c>
      <c r="F260" s="941">
        <v>1.0</v>
      </c>
      <c r="G260" s="941">
        <v>120.0</v>
      </c>
      <c r="H260" s="941">
        <v>105.0</v>
      </c>
      <c r="I260" s="941">
        <v>15.0</v>
      </c>
      <c r="J260" s="941">
        <v>7.0</v>
      </c>
      <c r="K260" s="941">
        <v>5.0</v>
      </c>
      <c r="L260" s="941">
        <v>0.0</v>
      </c>
      <c r="M260" s="941">
        <v>1442.0</v>
      </c>
      <c r="N260" s="941">
        <v>1860.0</v>
      </c>
      <c r="O260" s="941">
        <v>13.0</v>
      </c>
      <c r="P260" s="941">
        <v>31.0</v>
      </c>
      <c r="Q260" s="941">
        <v>0.0</v>
      </c>
      <c r="R260" s="941">
        <v>1.0</v>
      </c>
      <c r="S260" s="941">
        <v>0.0</v>
      </c>
      <c r="T260" s="941">
        <v>0.0</v>
      </c>
      <c r="U260" s="941">
        <v>0.0</v>
      </c>
      <c r="V260" s="941">
        <v>0.0</v>
      </c>
      <c r="W260" s="941">
        <v>0.0</v>
      </c>
      <c r="X260" s="941">
        <v>18.0</v>
      </c>
      <c r="Y260" s="941">
        <v>5.0</v>
      </c>
      <c r="Z260" s="941">
        <v>1.0</v>
      </c>
      <c r="AA260" s="941">
        <v>0.0</v>
      </c>
      <c r="AB260" s="941">
        <v>0.0</v>
      </c>
      <c r="AC260" s="941">
        <v>0.0</v>
      </c>
      <c r="AD260" s="941">
        <v>0.0</v>
      </c>
      <c r="AE260" s="941">
        <v>0.0</v>
      </c>
      <c r="AF260" s="941">
        <v>0.0</v>
      </c>
      <c r="AG260" s="941">
        <v>0.0</v>
      </c>
      <c r="AH260" s="941">
        <v>7.0</v>
      </c>
      <c r="AI260" s="941">
        <v>0.0</v>
      </c>
      <c r="AJ260" s="941">
        <v>8.0</v>
      </c>
      <c r="AK260" s="941">
        <v>19.0</v>
      </c>
      <c r="AL260" s="941">
        <v>2.0</v>
      </c>
      <c r="AM260" s="942">
        <v>1.0</v>
      </c>
    </row>
    <row r="261">
      <c r="A261" s="935" t="s">
        <v>392</v>
      </c>
      <c r="B261" s="941">
        <v>1.0</v>
      </c>
      <c r="C261" s="941">
        <v>1.0</v>
      </c>
      <c r="D261" s="941">
        <v>0.0</v>
      </c>
      <c r="E261" s="941">
        <v>0.0</v>
      </c>
      <c r="F261" s="941">
        <v>0.0</v>
      </c>
      <c r="G261" s="941">
        <v>96.0</v>
      </c>
      <c r="H261" s="941">
        <v>128.0</v>
      </c>
      <c r="I261" s="941">
        <v>-32.0</v>
      </c>
      <c r="J261" s="941">
        <v>4.0</v>
      </c>
      <c r="K261" s="941">
        <v>5.0</v>
      </c>
      <c r="L261" s="941">
        <v>0.0</v>
      </c>
      <c r="M261" s="941">
        <v>1375.0</v>
      </c>
      <c r="N261" s="941">
        <v>1860.0</v>
      </c>
      <c r="O261" s="941">
        <v>10.0</v>
      </c>
      <c r="P261" s="941">
        <v>0.0</v>
      </c>
      <c r="Q261" s="941">
        <v>0.0</v>
      </c>
      <c r="R261" s="941">
        <v>1.0</v>
      </c>
      <c r="S261" s="941">
        <v>0.0</v>
      </c>
      <c r="T261" s="941">
        <v>0.0</v>
      </c>
      <c r="U261" s="941">
        <v>0.0</v>
      </c>
      <c r="V261" s="941">
        <v>1.0</v>
      </c>
      <c r="W261" s="941">
        <v>0.0</v>
      </c>
      <c r="X261" s="941">
        <v>15.0</v>
      </c>
      <c r="Y261" s="941">
        <v>3.0</v>
      </c>
      <c r="Z261" s="941">
        <v>0.0</v>
      </c>
      <c r="AA261" s="941">
        <v>0.0</v>
      </c>
      <c r="AB261" s="941">
        <v>0.0</v>
      </c>
      <c r="AC261" s="941">
        <v>0.0</v>
      </c>
      <c r="AD261" s="941">
        <v>0.0</v>
      </c>
      <c r="AE261" s="941">
        <v>0.0</v>
      </c>
      <c r="AF261" s="941">
        <v>0.0</v>
      </c>
      <c r="AG261" s="941">
        <v>0.0</v>
      </c>
      <c r="AH261" s="941">
        <v>3.0</v>
      </c>
      <c r="AI261" s="941">
        <v>0.0</v>
      </c>
      <c r="AJ261" s="941">
        <v>3.0</v>
      </c>
      <c r="AK261" s="941">
        <v>17.0</v>
      </c>
      <c r="AL261" s="941">
        <v>0.0</v>
      </c>
      <c r="AM261" s="942">
        <v>1.0</v>
      </c>
    </row>
    <row r="262">
      <c r="A262" s="935" t="s">
        <v>118</v>
      </c>
      <c r="B262" s="941">
        <v>1.0</v>
      </c>
      <c r="C262" s="941">
        <v>0.0</v>
      </c>
      <c r="D262" s="941">
        <v>1.0</v>
      </c>
      <c r="E262" s="941">
        <v>2.0</v>
      </c>
      <c r="F262" s="941">
        <v>14.0</v>
      </c>
      <c r="G262" s="941">
        <v>74.0</v>
      </c>
      <c r="H262" s="941">
        <v>74.0</v>
      </c>
      <c r="I262" s="941">
        <v>0.0</v>
      </c>
      <c r="J262" s="941">
        <v>3.0</v>
      </c>
      <c r="K262" s="941">
        <v>5.0</v>
      </c>
      <c r="L262" s="941">
        <v>1.0</v>
      </c>
      <c r="M262" s="941">
        <v>1529.0</v>
      </c>
      <c r="N262" s="941">
        <v>1860.0</v>
      </c>
      <c r="O262" s="941">
        <v>20.0</v>
      </c>
      <c r="P262" s="941">
        <v>646.0</v>
      </c>
      <c r="Q262" s="941">
        <v>0.0</v>
      </c>
      <c r="R262" s="941">
        <v>1.0</v>
      </c>
      <c r="S262" s="941">
        <v>0.0</v>
      </c>
      <c r="T262" s="941">
        <v>0.0</v>
      </c>
      <c r="U262" s="941">
        <v>0.0</v>
      </c>
      <c r="V262" s="941">
        <v>0.0</v>
      </c>
      <c r="W262" s="941">
        <v>0.0</v>
      </c>
      <c r="X262" s="941">
        <v>7.0</v>
      </c>
      <c r="Y262" s="941">
        <v>2.0</v>
      </c>
      <c r="Z262" s="941">
        <v>0.0</v>
      </c>
      <c r="AA262" s="941">
        <v>0.0</v>
      </c>
      <c r="AB262" s="941">
        <v>0.0</v>
      </c>
      <c r="AC262" s="941">
        <v>0.0</v>
      </c>
      <c r="AD262" s="941">
        <v>0.0</v>
      </c>
      <c r="AE262" s="941">
        <v>0.0</v>
      </c>
      <c r="AF262" s="941">
        <v>0.0</v>
      </c>
      <c r="AG262" s="941">
        <v>0.0</v>
      </c>
      <c r="AH262" s="941">
        <v>1.0</v>
      </c>
      <c r="AI262" s="941">
        <v>0.0</v>
      </c>
      <c r="AJ262" s="941">
        <v>5.0</v>
      </c>
      <c r="AK262" s="941">
        <v>13.0</v>
      </c>
      <c r="AL262" s="941">
        <v>2.0</v>
      </c>
      <c r="AM262" s="942">
        <v>0.0</v>
      </c>
    </row>
    <row r="263">
      <c r="A263" s="935" t="s">
        <v>129</v>
      </c>
      <c r="B263" s="941">
        <v>1.0</v>
      </c>
      <c r="C263" s="941">
        <v>0.0</v>
      </c>
      <c r="D263" s="941">
        <v>1.0</v>
      </c>
      <c r="E263" s="941">
        <v>1.0</v>
      </c>
      <c r="F263" s="941">
        <v>1.0</v>
      </c>
      <c r="G263" s="941">
        <v>106.0</v>
      </c>
      <c r="H263" s="941">
        <v>103.0</v>
      </c>
      <c r="I263" s="941">
        <v>3.0</v>
      </c>
      <c r="J263" s="941">
        <v>8.0</v>
      </c>
      <c r="K263" s="941">
        <v>5.0</v>
      </c>
      <c r="L263" s="941">
        <v>1.0</v>
      </c>
      <c r="M263" s="941">
        <v>1443.0</v>
      </c>
      <c r="N263" s="941">
        <v>1860.0</v>
      </c>
      <c r="O263" s="941">
        <v>14.0</v>
      </c>
      <c r="P263" s="941">
        <v>14.0</v>
      </c>
      <c r="Q263" s="941">
        <v>0.0</v>
      </c>
      <c r="R263" s="941">
        <v>2.0</v>
      </c>
      <c r="S263" s="941">
        <v>0.0</v>
      </c>
      <c r="T263" s="941">
        <v>0.0</v>
      </c>
      <c r="U263" s="941">
        <v>0.0</v>
      </c>
      <c r="V263" s="941">
        <v>2.0</v>
      </c>
      <c r="W263" s="941">
        <v>0.0</v>
      </c>
      <c r="X263" s="941">
        <v>15.0</v>
      </c>
      <c r="Y263" s="941">
        <v>6.0</v>
      </c>
      <c r="Z263" s="941">
        <v>2.0</v>
      </c>
      <c r="AA263" s="941">
        <v>0.0</v>
      </c>
      <c r="AB263" s="941">
        <v>0.0</v>
      </c>
      <c r="AC263" s="941">
        <v>0.0</v>
      </c>
      <c r="AD263" s="941">
        <v>0.0</v>
      </c>
      <c r="AE263" s="941">
        <v>0.0</v>
      </c>
      <c r="AF263" s="941">
        <v>0.0</v>
      </c>
      <c r="AG263" s="941">
        <v>0.0</v>
      </c>
      <c r="AH263" s="941">
        <v>1.0</v>
      </c>
      <c r="AI263" s="941">
        <v>0.0</v>
      </c>
      <c r="AJ263" s="941">
        <v>12.0</v>
      </c>
      <c r="AK263" s="941">
        <v>19.0</v>
      </c>
      <c r="AL263" s="941">
        <v>0.0</v>
      </c>
      <c r="AM263" s="942">
        <v>0.0</v>
      </c>
    </row>
    <row r="264">
      <c r="A264" s="935" t="s">
        <v>151</v>
      </c>
      <c r="B264" s="941">
        <v>1.0</v>
      </c>
      <c r="C264" s="941">
        <v>0.0</v>
      </c>
      <c r="D264" s="941">
        <v>1.0</v>
      </c>
      <c r="E264" s="941">
        <v>0.0</v>
      </c>
      <c r="F264" s="941">
        <v>1.0</v>
      </c>
      <c r="G264" s="941">
        <v>82.0</v>
      </c>
      <c r="H264" s="941">
        <v>104.0</v>
      </c>
      <c r="I264" s="941">
        <v>-22.0</v>
      </c>
      <c r="J264" s="941">
        <v>4.0</v>
      </c>
      <c r="K264" s="941">
        <v>5.0</v>
      </c>
      <c r="L264" s="941">
        <v>4.0</v>
      </c>
      <c r="M264" s="941">
        <v>1442.0</v>
      </c>
      <c r="N264" s="941">
        <v>1860.0</v>
      </c>
      <c r="O264" s="941">
        <v>13.0</v>
      </c>
      <c r="P264" s="941">
        <v>4.0</v>
      </c>
      <c r="Q264" s="941">
        <v>0.0</v>
      </c>
      <c r="R264" s="941">
        <v>1.0</v>
      </c>
      <c r="S264" s="941">
        <v>0.0</v>
      </c>
      <c r="T264" s="941">
        <v>0.0</v>
      </c>
      <c r="U264" s="941">
        <v>0.0</v>
      </c>
      <c r="V264" s="941">
        <v>1.0</v>
      </c>
      <c r="W264" s="941">
        <v>0.0</v>
      </c>
      <c r="X264" s="941">
        <v>8.0</v>
      </c>
      <c r="Y264" s="941">
        <v>2.0</v>
      </c>
      <c r="Z264" s="941">
        <v>1.0</v>
      </c>
      <c r="AA264" s="941">
        <v>1.0</v>
      </c>
      <c r="AB264" s="941">
        <v>0.0</v>
      </c>
      <c r="AC264" s="941">
        <v>0.0</v>
      </c>
      <c r="AD264" s="941">
        <v>0.0</v>
      </c>
      <c r="AE264" s="941">
        <v>0.0</v>
      </c>
      <c r="AF264" s="941">
        <v>0.0</v>
      </c>
      <c r="AG264" s="941">
        <v>0.0</v>
      </c>
      <c r="AH264" s="941">
        <v>1.0</v>
      </c>
      <c r="AI264" s="941">
        <v>0.0</v>
      </c>
      <c r="AJ264" s="941">
        <v>6.0</v>
      </c>
      <c r="AK264" s="941">
        <v>7.0</v>
      </c>
      <c r="AL264" s="941">
        <v>0.0</v>
      </c>
      <c r="AM264" s="942">
        <v>0.0</v>
      </c>
    </row>
    <row r="265">
      <c r="A265" s="943" t="s">
        <v>140</v>
      </c>
      <c r="B265" s="944">
        <v>1.0</v>
      </c>
      <c r="C265" s="944">
        <v>0.0</v>
      </c>
      <c r="D265" s="944">
        <v>1.0</v>
      </c>
      <c r="E265" s="944">
        <v>0.0</v>
      </c>
      <c r="F265" s="944">
        <v>0.0</v>
      </c>
      <c r="G265" s="944">
        <v>85.0</v>
      </c>
      <c r="H265" s="944">
        <v>102.0</v>
      </c>
      <c r="I265" s="944">
        <v>-17.0</v>
      </c>
      <c r="J265" s="944">
        <v>5.0</v>
      </c>
      <c r="K265" s="944">
        <v>4.0</v>
      </c>
      <c r="L265" s="944">
        <v>0.0</v>
      </c>
      <c r="M265" s="944">
        <v>1443.0</v>
      </c>
      <c r="N265" s="944">
        <v>1860.0</v>
      </c>
      <c r="O265" s="944">
        <v>14.0</v>
      </c>
      <c r="P265" s="944">
        <v>9.0</v>
      </c>
      <c r="Q265" s="944">
        <v>0.0</v>
      </c>
      <c r="R265" s="944">
        <v>0.0</v>
      </c>
      <c r="S265" s="944">
        <v>0.0</v>
      </c>
      <c r="T265" s="944">
        <v>0.0</v>
      </c>
      <c r="U265" s="944">
        <v>0.0</v>
      </c>
      <c r="V265" s="944">
        <v>0.0</v>
      </c>
      <c r="W265" s="944">
        <v>0.0</v>
      </c>
      <c r="X265" s="944">
        <v>9.0</v>
      </c>
      <c r="Y265" s="944">
        <v>1.0</v>
      </c>
      <c r="Z265" s="944">
        <v>0.0</v>
      </c>
      <c r="AA265" s="944">
        <v>0.0</v>
      </c>
      <c r="AB265" s="944">
        <v>0.0</v>
      </c>
      <c r="AC265" s="944">
        <v>0.0</v>
      </c>
      <c r="AD265" s="944">
        <v>0.0</v>
      </c>
      <c r="AE265" s="944">
        <v>0.0</v>
      </c>
      <c r="AF265" s="944">
        <v>0.0</v>
      </c>
      <c r="AG265" s="944">
        <v>0.0</v>
      </c>
      <c r="AH265" s="944">
        <v>1.0</v>
      </c>
      <c r="AI265" s="944">
        <v>0.0</v>
      </c>
      <c r="AJ265" s="944">
        <v>10.0</v>
      </c>
      <c r="AK265" s="944">
        <v>11.0</v>
      </c>
      <c r="AL265" s="944">
        <v>1.0</v>
      </c>
      <c r="AM265" s="945">
        <v>0.0</v>
      </c>
    </row>
    <row r="266">
      <c r="A266" s="946" t="s">
        <v>149</v>
      </c>
      <c r="B266" s="939">
        <v>1.0</v>
      </c>
      <c r="C266" s="939">
        <v>1.0</v>
      </c>
      <c r="D266" s="939">
        <v>0.0</v>
      </c>
      <c r="E266" s="939">
        <v>4.0</v>
      </c>
      <c r="F266" s="939">
        <v>9.0</v>
      </c>
      <c r="G266" s="939">
        <v>64.0</v>
      </c>
      <c r="H266" s="939">
        <v>59.0</v>
      </c>
      <c r="I266" s="939">
        <v>5.0</v>
      </c>
      <c r="J266" s="939">
        <v>5.0</v>
      </c>
      <c r="K266" s="939">
        <v>6.0</v>
      </c>
      <c r="L266" s="939">
        <v>1.0</v>
      </c>
      <c r="M266" s="939">
        <v>1714.0</v>
      </c>
      <c r="N266" s="939">
        <v>2003.0</v>
      </c>
      <c r="O266" s="939">
        <v>29.0</v>
      </c>
      <c r="P266" s="939">
        <v>617.0</v>
      </c>
      <c r="Q266" s="939">
        <v>0.0</v>
      </c>
      <c r="R266" s="939">
        <v>1.0</v>
      </c>
      <c r="S266" s="939">
        <v>0.0</v>
      </c>
      <c r="T266" s="939">
        <v>0.0</v>
      </c>
      <c r="U266" s="939">
        <v>0.0</v>
      </c>
      <c r="V266" s="939">
        <v>1.0</v>
      </c>
      <c r="W266" s="939">
        <v>0.0</v>
      </c>
      <c r="X266" s="939">
        <v>6.0</v>
      </c>
      <c r="Y266" s="939">
        <v>1.0</v>
      </c>
      <c r="Z266" s="939">
        <v>1.0</v>
      </c>
      <c r="AA266" s="939">
        <v>0.0</v>
      </c>
      <c r="AB266" s="939">
        <v>0.0</v>
      </c>
      <c r="AC266" s="939">
        <v>0.0</v>
      </c>
      <c r="AD266" s="939">
        <v>0.0</v>
      </c>
      <c r="AE266" s="939">
        <v>0.0</v>
      </c>
      <c r="AF266" s="939">
        <v>0.0</v>
      </c>
      <c r="AG266" s="939">
        <v>0.0</v>
      </c>
      <c r="AH266" s="939">
        <v>1.0</v>
      </c>
      <c r="AI266" s="939">
        <v>0.0</v>
      </c>
      <c r="AJ266" s="939">
        <v>11.0</v>
      </c>
      <c r="AK266" s="939">
        <v>4.0</v>
      </c>
      <c r="AL266" s="939">
        <v>0.0</v>
      </c>
      <c r="AM266" s="940">
        <v>1.0</v>
      </c>
    </row>
    <row r="267">
      <c r="A267" s="935" t="s">
        <v>418</v>
      </c>
      <c r="B267" s="941">
        <v>1.0</v>
      </c>
      <c r="C267" s="941">
        <v>1.0</v>
      </c>
      <c r="D267" s="941">
        <v>0.0</v>
      </c>
      <c r="E267" s="941">
        <v>1.0</v>
      </c>
      <c r="F267" s="941">
        <v>0.0</v>
      </c>
      <c r="G267" s="941">
        <v>133.0</v>
      </c>
      <c r="H267" s="941">
        <v>101.0</v>
      </c>
      <c r="I267" s="941">
        <v>32.0</v>
      </c>
      <c r="J267" s="941">
        <v>9.0</v>
      </c>
      <c r="K267" s="941">
        <v>6.0</v>
      </c>
      <c r="L267" s="941">
        <v>0.0</v>
      </c>
      <c r="M267" s="941">
        <v>1596.0</v>
      </c>
      <c r="N267" s="941">
        <v>2003.0</v>
      </c>
      <c r="O267" s="941">
        <v>15.0</v>
      </c>
      <c r="P267" s="941">
        <v>11.0</v>
      </c>
      <c r="Q267" s="941">
        <v>0.0</v>
      </c>
      <c r="R267" s="941">
        <v>2.0</v>
      </c>
      <c r="S267" s="941">
        <v>0.0</v>
      </c>
      <c r="T267" s="941">
        <v>0.0</v>
      </c>
      <c r="U267" s="941">
        <v>0.0</v>
      </c>
      <c r="V267" s="941">
        <v>1.0</v>
      </c>
      <c r="W267" s="941">
        <v>0.0</v>
      </c>
      <c r="X267" s="941">
        <v>21.0</v>
      </c>
      <c r="Y267" s="941">
        <v>7.0</v>
      </c>
      <c r="Z267" s="941">
        <v>1.0</v>
      </c>
      <c r="AA267" s="941">
        <v>0.0</v>
      </c>
      <c r="AB267" s="941">
        <v>0.0</v>
      </c>
      <c r="AC267" s="941">
        <v>0.0</v>
      </c>
      <c r="AD267" s="941">
        <v>0.0</v>
      </c>
      <c r="AE267" s="941">
        <v>0.0</v>
      </c>
      <c r="AF267" s="941">
        <v>0.0</v>
      </c>
      <c r="AG267" s="941">
        <v>0.0</v>
      </c>
      <c r="AH267" s="941">
        <v>1.0</v>
      </c>
      <c r="AI267" s="941">
        <v>0.0</v>
      </c>
      <c r="AJ267" s="941">
        <v>16.0</v>
      </c>
      <c r="AK267" s="941">
        <v>15.0</v>
      </c>
      <c r="AL267" s="941">
        <v>1.0</v>
      </c>
      <c r="AM267" s="942">
        <v>1.0</v>
      </c>
    </row>
    <row r="268">
      <c r="A268" s="935" t="s">
        <v>138</v>
      </c>
      <c r="B268" s="941">
        <v>1.0</v>
      </c>
      <c r="C268" s="941">
        <v>1.0</v>
      </c>
      <c r="D268" s="941">
        <v>0.0</v>
      </c>
      <c r="E268" s="941">
        <v>0.0</v>
      </c>
      <c r="F268" s="941">
        <v>2.0</v>
      </c>
      <c r="G268" s="941">
        <v>118.0</v>
      </c>
      <c r="H268" s="941">
        <v>107.0</v>
      </c>
      <c r="I268" s="941">
        <v>11.0</v>
      </c>
      <c r="J268" s="941">
        <v>5.0</v>
      </c>
      <c r="K268" s="941">
        <v>6.0</v>
      </c>
      <c r="L268" s="941">
        <v>0.0</v>
      </c>
      <c r="M268" s="941">
        <v>1574.0</v>
      </c>
      <c r="N268" s="941">
        <v>2003.0</v>
      </c>
      <c r="O268" s="941">
        <v>14.0</v>
      </c>
      <c r="P268" s="941">
        <v>9.0</v>
      </c>
      <c r="Q268" s="941">
        <v>0.0</v>
      </c>
      <c r="R268" s="941">
        <v>6.0</v>
      </c>
      <c r="S268" s="941">
        <v>0.0</v>
      </c>
      <c r="T268" s="941">
        <v>0.0</v>
      </c>
      <c r="U268" s="941">
        <v>0.0</v>
      </c>
      <c r="V268" s="941">
        <v>4.0</v>
      </c>
      <c r="W268" s="941">
        <v>0.0</v>
      </c>
      <c r="X268" s="941">
        <v>12.0</v>
      </c>
      <c r="Y268" s="941">
        <v>1.0</v>
      </c>
      <c r="Z268" s="941">
        <v>0.0</v>
      </c>
      <c r="AA268" s="941">
        <v>0.0</v>
      </c>
      <c r="AB268" s="941">
        <v>0.0</v>
      </c>
      <c r="AC268" s="941">
        <v>0.0</v>
      </c>
      <c r="AD268" s="941">
        <v>0.0</v>
      </c>
      <c r="AE268" s="941">
        <v>0.0</v>
      </c>
      <c r="AF268" s="941">
        <v>0.0</v>
      </c>
      <c r="AG268" s="941">
        <v>0.0</v>
      </c>
      <c r="AH268" s="941">
        <v>4.0</v>
      </c>
      <c r="AI268" s="941">
        <v>0.0</v>
      </c>
      <c r="AJ268" s="941">
        <v>10.0</v>
      </c>
      <c r="AK268" s="941">
        <v>15.0</v>
      </c>
      <c r="AL268" s="941">
        <v>1.0</v>
      </c>
      <c r="AM268" s="942">
        <v>1.0</v>
      </c>
    </row>
    <row r="269">
      <c r="A269" s="935" t="s">
        <v>392</v>
      </c>
      <c r="B269" s="941">
        <v>1.0</v>
      </c>
      <c r="C269" s="941">
        <v>1.0</v>
      </c>
      <c r="D269" s="941">
        <v>0.0</v>
      </c>
      <c r="E269" s="941">
        <v>0.0</v>
      </c>
      <c r="F269" s="941">
        <v>0.0</v>
      </c>
      <c r="G269" s="941">
        <v>85.0</v>
      </c>
      <c r="H269" s="941">
        <v>123.0</v>
      </c>
      <c r="I269" s="941">
        <v>-38.0</v>
      </c>
      <c r="J269" s="941">
        <v>4.0</v>
      </c>
      <c r="K269" s="941">
        <v>5.0</v>
      </c>
      <c r="L269" s="941">
        <v>0.0</v>
      </c>
      <c r="M269" s="941">
        <v>1534.0</v>
      </c>
      <c r="N269" s="941">
        <v>2003.0</v>
      </c>
      <c r="O269" s="941">
        <v>12.0</v>
      </c>
      <c r="P269" s="941">
        <v>1.0</v>
      </c>
      <c r="Q269" s="941">
        <v>0.0</v>
      </c>
      <c r="R269" s="941">
        <v>2.0</v>
      </c>
      <c r="S269" s="941">
        <v>0.0</v>
      </c>
      <c r="T269" s="941">
        <v>0.0</v>
      </c>
      <c r="U269" s="941">
        <v>0.0</v>
      </c>
      <c r="V269" s="941">
        <v>2.0</v>
      </c>
      <c r="W269" s="941">
        <v>0.0</v>
      </c>
      <c r="X269" s="941">
        <v>13.0</v>
      </c>
      <c r="Y269" s="941">
        <v>1.0</v>
      </c>
      <c r="Z269" s="941">
        <v>0.0</v>
      </c>
      <c r="AA269" s="941">
        <v>0.0</v>
      </c>
      <c r="AB269" s="941">
        <v>0.0</v>
      </c>
      <c r="AC269" s="941">
        <v>0.0</v>
      </c>
      <c r="AD269" s="941">
        <v>0.0</v>
      </c>
      <c r="AE269" s="941">
        <v>0.0</v>
      </c>
      <c r="AF269" s="941">
        <v>0.0</v>
      </c>
      <c r="AG269" s="941">
        <v>0.0</v>
      </c>
      <c r="AH269" s="941">
        <v>1.0</v>
      </c>
      <c r="AI269" s="941">
        <v>0.0</v>
      </c>
      <c r="AJ269" s="941">
        <v>7.0</v>
      </c>
      <c r="AK269" s="941">
        <v>10.0</v>
      </c>
      <c r="AL269" s="941">
        <v>2.0</v>
      </c>
      <c r="AM269" s="942">
        <v>1.0</v>
      </c>
    </row>
    <row r="270">
      <c r="A270" s="935" t="s">
        <v>118</v>
      </c>
      <c r="B270" s="941">
        <v>1.0</v>
      </c>
      <c r="C270" s="941">
        <v>0.0</v>
      </c>
      <c r="D270" s="941">
        <v>1.0</v>
      </c>
      <c r="E270" s="941">
        <v>2.0</v>
      </c>
      <c r="F270" s="941">
        <v>19.0</v>
      </c>
      <c r="G270" s="941">
        <v>91.0</v>
      </c>
      <c r="H270" s="941">
        <v>91.0</v>
      </c>
      <c r="I270" s="941">
        <v>0.0</v>
      </c>
      <c r="J270" s="941">
        <v>5.0</v>
      </c>
      <c r="K270" s="941">
        <v>11.0</v>
      </c>
      <c r="L270" s="941">
        <v>2.0</v>
      </c>
      <c r="M270" s="941">
        <v>1624.0</v>
      </c>
      <c r="N270" s="941">
        <v>2003.0</v>
      </c>
      <c r="O270" s="941">
        <v>17.0</v>
      </c>
      <c r="P270" s="941">
        <v>727.0</v>
      </c>
      <c r="Q270" s="941">
        <v>0.0</v>
      </c>
      <c r="R270" s="941">
        <v>2.0</v>
      </c>
      <c r="S270" s="941">
        <v>1.0</v>
      </c>
      <c r="T270" s="941">
        <v>0.0</v>
      </c>
      <c r="U270" s="941">
        <v>0.0</v>
      </c>
      <c r="V270" s="941">
        <v>1.0</v>
      </c>
      <c r="W270" s="941">
        <v>0.0</v>
      </c>
      <c r="X270" s="941">
        <v>15.0</v>
      </c>
      <c r="Y270" s="941">
        <v>2.0</v>
      </c>
      <c r="Z270" s="941">
        <v>0.0</v>
      </c>
      <c r="AA270" s="941">
        <v>0.0</v>
      </c>
      <c r="AB270" s="941">
        <v>0.0</v>
      </c>
      <c r="AC270" s="941">
        <v>0.0</v>
      </c>
      <c r="AD270" s="941">
        <v>0.0</v>
      </c>
      <c r="AE270" s="941">
        <v>0.0</v>
      </c>
      <c r="AF270" s="941">
        <v>0.0</v>
      </c>
      <c r="AG270" s="941">
        <v>0.0</v>
      </c>
      <c r="AH270" s="941">
        <v>1.0</v>
      </c>
      <c r="AI270" s="941">
        <v>0.0</v>
      </c>
      <c r="AJ270" s="941">
        <v>16.0</v>
      </c>
      <c r="AK270" s="941">
        <v>11.0</v>
      </c>
      <c r="AL270" s="941">
        <v>1.0</v>
      </c>
      <c r="AM270" s="942">
        <v>0.0</v>
      </c>
    </row>
    <row r="271">
      <c r="A271" s="935" t="s">
        <v>140</v>
      </c>
      <c r="B271" s="941">
        <v>1.0</v>
      </c>
      <c r="C271" s="941">
        <v>0.0</v>
      </c>
      <c r="D271" s="941">
        <v>1.0</v>
      </c>
      <c r="E271" s="941">
        <v>1.0</v>
      </c>
      <c r="F271" s="941">
        <v>0.0</v>
      </c>
      <c r="G271" s="941">
        <v>90.0</v>
      </c>
      <c r="H271" s="941">
        <v>115.0</v>
      </c>
      <c r="I271" s="941">
        <v>-25.0</v>
      </c>
      <c r="J271" s="941">
        <v>6.0</v>
      </c>
      <c r="K271" s="941">
        <v>5.0</v>
      </c>
      <c r="L271" s="941">
        <v>0.0</v>
      </c>
      <c r="M271" s="941">
        <v>1548.0</v>
      </c>
      <c r="N271" s="941">
        <v>2003.0</v>
      </c>
      <c r="O271" s="941">
        <v>13.0</v>
      </c>
      <c r="P271" s="941">
        <v>3.0</v>
      </c>
      <c r="Q271" s="941">
        <v>0.0</v>
      </c>
      <c r="R271" s="941">
        <v>1.0</v>
      </c>
      <c r="S271" s="941">
        <v>0.0</v>
      </c>
      <c r="T271" s="941">
        <v>0.0</v>
      </c>
      <c r="U271" s="941">
        <v>0.0</v>
      </c>
      <c r="V271" s="941">
        <v>0.0</v>
      </c>
      <c r="W271" s="941">
        <v>0.0</v>
      </c>
      <c r="X271" s="941">
        <v>12.0</v>
      </c>
      <c r="Y271" s="941">
        <v>0.0</v>
      </c>
      <c r="Z271" s="941">
        <v>0.0</v>
      </c>
      <c r="AA271" s="941">
        <v>0.0</v>
      </c>
      <c r="AB271" s="941">
        <v>0.0</v>
      </c>
      <c r="AC271" s="941">
        <v>0.0</v>
      </c>
      <c r="AD271" s="941">
        <v>0.0</v>
      </c>
      <c r="AE271" s="941">
        <v>0.0</v>
      </c>
      <c r="AF271" s="941">
        <v>0.0</v>
      </c>
      <c r="AG271" s="941">
        <v>0.0</v>
      </c>
      <c r="AH271" s="941">
        <v>6.0</v>
      </c>
      <c r="AI271" s="941">
        <v>0.0</v>
      </c>
      <c r="AJ271" s="941">
        <v>7.0</v>
      </c>
      <c r="AK271" s="941">
        <v>11.0</v>
      </c>
      <c r="AL271" s="941">
        <v>0.0</v>
      </c>
      <c r="AM271" s="942">
        <v>0.0</v>
      </c>
    </row>
    <row r="272">
      <c r="A272" s="935" t="s">
        <v>151</v>
      </c>
      <c r="B272" s="941">
        <v>1.0</v>
      </c>
      <c r="C272" s="941">
        <v>0.0</v>
      </c>
      <c r="D272" s="941">
        <v>1.0</v>
      </c>
      <c r="E272" s="941">
        <v>0.0</v>
      </c>
      <c r="F272" s="941">
        <v>0.0</v>
      </c>
      <c r="G272" s="941">
        <v>92.0</v>
      </c>
      <c r="H272" s="941">
        <v>110.0</v>
      </c>
      <c r="I272" s="941">
        <v>-18.0</v>
      </c>
      <c r="J272" s="941">
        <v>6.0</v>
      </c>
      <c r="K272" s="941">
        <v>6.0</v>
      </c>
      <c r="L272" s="941">
        <v>1.0</v>
      </c>
      <c r="M272" s="941">
        <v>1566.0</v>
      </c>
      <c r="N272" s="941">
        <v>2003.0</v>
      </c>
      <c r="O272" s="941">
        <v>14.0</v>
      </c>
      <c r="P272" s="941">
        <v>5.0</v>
      </c>
      <c r="Q272" s="941">
        <v>0.0</v>
      </c>
      <c r="R272" s="941">
        <v>2.0</v>
      </c>
      <c r="S272" s="941">
        <v>0.0</v>
      </c>
      <c r="T272" s="941">
        <v>0.0</v>
      </c>
      <c r="U272" s="941">
        <v>0.0</v>
      </c>
      <c r="V272" s="941">
        <v>2.0</v>
      </c>
      <c r="W272" s="941">
        <v>0.0</v>
      </c>
      <c r="X272" s="941">
        <v>11.0</v>
      </c>
      <c r="Y272" s="941">
        <v>4.0</v>
      </c>
      <c r="Z272" s="941">
        <v>2.0</v>
      </c>
      <c r="AA272" s="941">
        <v>0.0</v>
      </c>
      <c r="AB272" s="941">
        <v>0.0</v>
      </c>
      <c r="AC272" s="941">
        <v>0.0</v>
      </c>
      <c r="AD272" s="941">
        <v>0.0</v>
      </c>
      <c r="AE272" s="941">
        <v>0.0</v>
      </c>
      <c r="AF272" s="941">
        <v>0.0</v>
      </c>
      <c r="AG272" s="941">
        <v>0.0</v>
      </c>
      <c r="AH272" s="941">
        <v>2.0</v>
      </c>
      <c r="AI272" s="941">
        <v>0.0</v>
      </c>
      <c r="AJ272" s="941">
        <v>11.0</v>
      </c>
      <c r="AK272" s="941">
        <v>9.0</v>
      </c>
      <c r="AL272" s="941">
        <v>3.0</v>
      </c>
      <c r="AM272" s="942">
        <v>0.0</v>
      </c>
    </row>
    <row r="273">
      <c r="A273" s="943" t="s">
        <v>129</v>
      </c>
      <c r="B273" s="944">
        <v>1.0</v>
      </c>
      <c r="C273" s="944">
        <v>0.0</v>
      </c>
      <c r="D273" s="944">
        <v>1.0</v>
      </c>
      <c r="E273" s="944">
        <v>0.0</v>
      </c>
      <c r="F273" s="944">
        <v>9.0</v>
      </c>
      <c r="G273" s="944">
        <v>104.0</v>
      </c>
      <c r="H273" s="944">
        <v>98.0</v>
      </c>
      <c r="I273" s="944">
        <v>6.0</v>
      </c>
      <c r="J273" s="944">
        <v>4.0</v>
      </c>
      <c r="K273" s="944">
        <v>9.0</v>
      </c>
      <c r="L273" s="944">
        <v>1.0</v>
      </c>
      <c r="M273" s="944">
        <v>1599.0</v>
      </c>
      <c r="N273" s="944">
        <v>2003.0</v>
      </c>
      <c r="O273" s="944">
        <v>16.0</v>
      </c>
      <c r="P273" s="944">
        <v>386.0</v>
      </c>
      <c r="Q273" s="944">
        <v>0.0</v>
      </c>
      <c r="R273" s="944">
        <v>1.0</v>
      </c>
      <c r="S273" s="944">
        <v>0.0</v>
      </c>
      <c r="T273" s="944">
        <v>0.0</v>
      </c>
      <c r="U273" s="944">
        <v>0.0</v>
      </c>
      <c r="V273" s="944">
        <v>0.0</v>
      </c>
      <c r="W273" s="944">
        <v>0.0</v>
      </c>
      <c r="X273" s="944">
        <v>11.0</v>
      </c>
      <c r="Y273" s="944">
        <v>1.0</v>
      </c>
      <c r="Z273" s="944">
        <v>0.0</v>
      </c>
      <c r="AA273" s="944">
        <v>0.0</v>
      </c>
      <c r="AB273" s="944">
        <v>0.0</v>
      </c>
      <c r="AC273" s="944">
        <v>0.0</v>
      </c>
      <c r="AD273" s="944">
        <v>0.0</v>
      </c>
      <c r="AE273" s="944">
        <v>0.0</v>
      </c>
      <c r="AF273" s="944">
        <v>0.0</v>
      </c>
      <c r="AG273" s="944">
        <v>0.0</v>
      </c>
      <c r="AH273" s="944">
        <v>3.0</v>
      </c>
      <c r="AI273" s="944">
        <v>0.0</v>
      </c>
      <c r="AJ273" s="944">
        <v>13.0</v>
      </c>
      <c r="AK273" s="944">
        <v>9.0</v>
      </c>
      <c r="AL273" s="944">
        <v>0.0</v>
      </c>
      <c r="AM273" s="945">
        <v>0.0</v>
      </c>
    </row>
    <row r="274">
      <c r="A274" s="946" t="s">
        <v>118</v>
      </c>
      <c r="B274" s="939">
        <v>1.0</v>
      </c>
      <c r="C274" s="939">
        <v>1.0</v>
      </c>
      <c r="D274" s="939">
        <v>0.0</v>
      </c>
      <c r="E274" s="939">
        <v>2.0</v>
      </c>
      <c r="F274" s="939">
        <v>35.0</v>
      </c>
      <c r="G274" s="939">
        <v>105.0</v>
      </c>
      <c r="H274" s="939">
        <v>67.0</v>
      </c>
      <c r="I274" s="939">
        <v>38.0</v>
      </c>
      <c r="J274" s="939">
        <v>8.0</v>
      </c>
      <c r="K274" s="939">
        <v>15.0</v>
      </c>
      <c r="L274" s="939">
        <v>1.0</v>
      </c>
      <c r="M274" s="939">
        <v>1835.0</v>
      </c>
      <c r="N274" s="939">
        <v>2130.0</v>
      </c>
      <c r="O274" s="939">
        <v>27.0</v>
      </c>
      <c r="P274" s="939">
        <v>963.0</v>
      </c>
      <c r="Q274" s="939">
        <v>0.0</v>
      </c>
      <c r="R274" s="939">
        <v>6.0</v>
      </c>
      <c r="S274" s="939">
        <v>1.0</v>
      </c>
      <c r="T274" s="939">
        <v>1.0</v>
      </c>
      <c r="U274" s="939">
        <v>0.0</v>
      </c>
      <c r="V274" s="939">
        <v>3.0</v>
      </c>
      <c r="W274" s="939">
        <v>0.0</v>
      </c>
      <c r="X274" s="939">
        <v>15.0</v>
      </c>
      <c r="Y274" s="939">
        <v>6.0</v>
      </c>
      <c r="Z274" s="939">
        <v>2.0</v>
      </c>
      <c r="AA274" s="939">
        <v>1.0</v>
      </c>
      <c r="AB274" s="939">
        <v>0.0</v>
      </c>
      <c r="AC274" s="939">
        <v>0.0</v>
      </c>
      <c r="AD274" s="939">
        <v>0.0</v>
      </c>
      <c r="AE274" s="939">
        <v>0.0</v>
      </c>
      <c r="AF274" s="939">
        <v>0.0</v>
      </c>
      <c r="AG274" s="939">
        <v>0.0</v>
      </c>
      <c r="AH274" s="939">
        <v>3.0</v>
      </c>
      <c r="AI274" s="939">
        <v>0.0</v>
      </c>
      <c r="AJ274" s="939">
        <v>12.0</v>
      </c>
      <c r="AK274" s="939">
        <v>10.0</v>
      </c>
      <c r="AL274" s="939">
        <v>0.0</v>
      </c>
      <c r="AM274" s="940">
        <v>0.0</v>
      </c>
    </row>
    <row r="275">
      <c r="A275" s="935" t="s">
        <v>129</v>
      </c>
      <c r="B275" s="941">
        <v>1.0</v>
      </c>
      <c r="C275" s="941">
        <v>1.0</v>
      </c>
      <c r="D275" s="941">
        <v>0.0</v>
      </c>
      <c r="E275" s="941">
        <v>2.0</v>
      </c>
      <c r="F275" s="941">
        <v>6.0</v>
      </c>
      <c r="G275" s="941">
        <v>151.0</v>
      </c>
      <c r="H275" s="941">
        <v>90.0</v>
      </c>
      <c r="I275" s="941">
        <v>61.0</v>
      </c>
      <c r="J275" s="941">
        <v>13.0</v>
      </c>
      <c r="K275" s="941">
        <v>9.0</v>
      </c>
      <c r="L275" s="941">
        <v>0.0</v>
      </c>
      <c r="M275" s="941">
        <v>1768.0</v>
      </c>
      <c r="N275" s="941">
        <v>2130.0</v>
      </c>
      <c r="O275" s="941">
        <v>19.0</v>
      </c>
      <c r="P275" s="941">
        <v>177.0</v>
      </c>
      <c r="Q275" s="941">
        <v>0.0</v>
      </c>
      <c r="R275" s="941">
        <v>6.0</v>
      </c>
      <c r="S275" s="941">
        <v>0.0</v>
      </c>
      <c r="T275" s="941">
        <v>0.0</v>
      </c>
      <c r="U275" s="941">
        <v>0.0</v>
      </c>
      <c r="V275" s="941">
        <v>5.0</v>
      </c>
      <c r="W275" s="941">
        <v>0.0</v>
      </c>
      <c r="X275" s="941">
        <v>33.0</v>
      </c>
      <c r="Y275" s="941">
        <v>9.0</v>
      </c>
      <c r="Z275" s="941">
        <v>3.0</v>
      </c>
      <c r="AA275" s="941">
        <v>0.0</v>
      </c>
      <c r="AB275" s="941">
        <v>0.0</v>
      </c>
      <c r="AC275" s="941">
        <v>0.0</v>
      </c>
      <c r="AD275" s="941">
        <v>0.0</v>
      </c>
      <c r="AE275" s="941">
        <v>0.0</v>
      </c>
      <c r="AF275" s="941">
        <v>0.0</v>
      </c>
      <c r="AG275" s="941">
        <v>0.0</v>
      </c>
      <c r="AH275" s="941">
        <v>13.0</v>
      </c>
      <c r="AI275" s="941">
        <v>0.0</v>
      </c>
      <c r="AJ275" s="941">
        <v>13.0</v>
      </c>
      <c r="AK275" s="941">
        <v>17.0</v>
      </c>
      <c r="AL275" s="941">
        <v>2.0</v>
      </c>
      <c r="AM275" s="942">
        <v>0.0</v>
      </c>
    </row>
    <row r="276">
      <c r="A276" s="935" t="s">
        <v>151</v>
      </c>
      <c r="B276" s="941">
        <v>1.0</v>
      </c>
      <c r="C276" s="941">
        <v>1.0</v>
      </c>
      <c r="D276" s="941">
        <v>0.0</v>
      </c>
      <c r="E276" s="941">
        <v>1.0</v>
      </c>
      <c r="F276" s="941">
        <v>0.0</v>
      </c>
      <c r="G276" s="941">
        <v>130.0</v>
      </c>
      <c r="H276" s="941">
        <v>79.0</v>
      </c>
      <c r="I276" s="941">
        <v>51.0</v>
      </c>
      <c r="J276" s="941">
        <v>3.0</v>
      </c>
      <c r="K276" s="941">
        <v>10.0</v>
      </c>
      <c r="L276" s="941">
        <v>1.0</v>
      </c>
      <c r="M276" s="941">
        <v>1797.0</v>
      </c>
      <c r="N276" s="941">
        <v>2130.0</v>
      </c>
      <c r="O276" s="941">
        <v>22.0</v>
      </c>
      <c r="P276" s="941">
        <v>6.0</v>
      </c>
      <c r="Q276" s="941">
        <v>0.0</v>
      </c>
      <c r="R276" s="941">
        <v>8.0</v>
      </c>
      <c r="S276" s="941">
        <v>1.0</v>
      </c>
      <c r="T276" s="941">
        <v>0.0</v>
      </c>
      <c r="U276" s="941">
        <v>0.0</v>
      </c>
      <c r="V276" s="941">
        <v>8.0</v>
      </c>
      <c r="W276" s="941">
        <v>0.0</v>
      </c>
      <c r="X276" s="941">
        <v>24.0</v>
      </c>
      <c r="Y276" s="941">
        <v>11.0</v>
      </c>
      <c r="Z276" s="941">
        <v>6.0</v>
      </c>
      <c r="AA276" s="941">
        <v>2.0</v>
      </c>
      <c r="AB276" s="941">
        <v>2.0</v>
      </c>
      <c r="AC276" s="941">
        <v>0.0</v>
      </c>
      <c r="AD276" s="941">
        <v>0.0</v>
      </c>
      <c r="AE276" s="941">
        <v>0.0</v>
      </c>
      <c r="AF276" s="941">
        <v>0.0</v>
      </c>
      <c r="AG276" s="941">
        <v>0.0</v>
      </c>
      <c r="AH276" s="941">
        <v>9.0</v>
      </c>
      <c r="AI276" s="941">
        <v>0.0</v>
      </c>
      <c r="AJ276" s="941">
        <v>6.0</v>
      </c>
      <c r="AK276" s="941">
        <v>10.0</v>
      </c>
      <c r="AL276" s="941">
        <v>1.0</v>
      </c>
      <c r="AM276" s="942">
        <v>0.0</v>
      </c>
    </row>
    <row r="277">
      <c r="A277" s="935" t="s">
        <v>140</v>
      </c>
      <c r="B277" s="941">
        <v>1.0</v>
      </c>
      <c r="C277" s="941">
        <v>1.0</v>
      </c>
      <c r="D277" s="941">
        <v>0.0</v>
      </c>
      <c r="E277" s="941">
        <v>0.0</v>
      </c>
      <c r="F277" s="941">
        <v>4.0</v>
      </c>
      <c r="G277" s="941">
        <v>122.0</v>
      </c>
      <c r="H277" s="941">
        <v>88.0</v>
      </c>
      <c r="I277" s="941">
        <v>34.0</v>
      </c>
      <c r="J277" s="941">
        <v>9.0</v>
      </c>
      <c r="K277" s="941">
        <v>6.0</v>
      </c>
      <c r="L277" s="941">
        <v>2.0</v>
      </c>
      <c r="M277" s="941">
        <v>1765.0</v>
      </c>
      <c r="N277" s="941">
        <v>2130.0</v>
      </c>
      <c r="O277" s="941">
        <v>20.0</v>
      </c>
      <c r="P277" s="941">
        <v>61.0</v>
      </c>
      <c r="Q277" s="941">
        <v>0.0</v>
      </c>
      <c r="R277" s="941">
        <v>4.0</v>
      </c>
      <c r="S277" s="941">
        <v>0.0</v>
      </c>
      <c r="T277" s="941">
        <v>0.0</v>
      </c>
      <c r="U277" s="941">
        <v>0.0</v>
      </c>
      <c r="V277" s="941">
        <v>3.0</v>
      </c>
      <c r="W277" s="941">
        <v>0.0</v>
      </c>
      <c r="X277" s="941">
        <v>21.0</v>
      </c>
      <c r="Y277" s="941">
        <v>5.0</v>
      </c>
      <c r="Z277" s="941">
        <v>1.0</v>
      </c>
      <c r="AA277" s="941">
        <v>1.0</v>
      </c>
      <c r="AB277" s="941">
        <v>0.0</v>
      </c>
      <c r="AC277" s="941">
        <v>0.0</v>
      </c>
      <c r="AD277" s="941">
        <v>0.0</v>
      </c>
      <c r="AE277" s="941">
        <v>0.0</v>
      </c>
      <c r="AF277" s="941">
        <v>0.0</v>
      </c>
      <c r="AG277" s="941">
        <v>0.0</v>
      </c>
      <c r="AH277" s="941">
        <v>14.0</v>
      </c>
      <c r="AI277" s="941">
        <v>0.0</v>
      </c>
      <c r="AJ277" s="941">
        <v>3.0</v>
      </c>
      <c r="AK277" s="941">
        <v>12.0</v>
      </c>
      <c r="AL277" s="941">
        <v>0.0</v>
      </c>
      <c r="AM277" s="942">
        <v>0.0</v>
      </c>
    </row>
    <row r="278">
      <c r="A278" s="935" t="s">
        <v>153</v>
      </c>
      <c r="B278" s="941">
        <v>1.0</v>
      </c>
      <c r="C278" s="941">
        <v>0.0</v>
      </c>
      <c r="D278" s="941">
        <v>1.0</v>
      </c>
      <c r="E278" s="941">
        <v>2.0</v>
      </c>
      <c r="F278" s="941">
        <v>16.0</v>
      </c>
      <c r="G278" s="941">
        <v>69.0</v>
      </c>
      <c r="H278" s="941">
        <v>131.0</v>
      </c>
      <c r="I278" s="941">
        <v>-62.0</v>
      </c>
      <c r="J278" s="941">
        <v>3.0</v>
      </c>
      <c r="K278" s="941">
        <v>5.0</v>
      </c>
      <c r="L278" s="941">
        <v>0.0</v>
      </c>
      <c r="M278" s="941">
        <v>1641.0</v>
      </c>
      <c r="N278" s="941">
        <v>2130.0</v>
      </c>
      <c r="O278" s="941">
        <v>12.0</v>
      </c>
      <c r="P278" s="941">
        <v>640.0</v>
      </c>
      <c r="Q278" s="941">
        <v>0.0</v>
      </c>
      <c r="R278" s="941">
        <v>2.0</v>
      </c>
      <c r="S278" s="941">
        <v>0.0</v>
      </c>
      <c r="T278" s="941">
        <v>0.0</v>
      </c>
      <c r="U278" s="941">
        <v>0.0</v>
      </c>
      <c r="V278" s="941">
        <v>0.0</v>
      </c>
      <c r="W278" s="941">
        <v>0.0</v>
      </c>
      <c r="X278" s="941">
        <v>8.0</v>
      </c>
      <c r="Y278" s="941">
        <v>0.0</v>
      </c>
      <c r="Z278" s="941">
        <v>0.0</v>
      </c>
      <c r="AA278" s="941">
        <v>0.0</v>
      </c>
      <c r="AB278" s="941">
        <v>0.0</v>
      </c>
      <c r="AC278" s="941">
        <v>0.0</v>
      </c>
      <c r="AD278" s="941">
        <v>0.0</v>
      </c>
      <c r="AE278" s="941">
        <v>0.0</v>
      </c>
      <c r="AF278" s="941">
        <v>0.0</v>
      </c>
      <c r="AG278" s="941">
        <v>0.0</v>
      </c>
      <c r="AH278" s="941">
        <v>0.0</v>
      </c>
      <c r="AI278" s="941">
        <v>0.0</v>
      </c>
      <c r="AJ278" s="941">
        <v>8.0</v>
      </c>
      <c r="AK278" s="941">
        <v>11.0</v>
      </c>
      <c r="AL278" s="941">
        <v>0.0</v>
      </c>
      <c r="AM278" s="942">
        <v>1.0</v>
      </c>
    </row>
    <row r="279">
      <c r="A279" s="935" t="s">
        <v>120</v>
      </c>
      <c r="B279" s="941">
        <v>1.0</v>
      </c>
      <c r="C279" s="941">
        <v>0.0</v>
      </c>
      <c r="D279" s="941">
        <v>1.0</v>
      </c>
      <c r="E279" s="941">
        <v>0.0</v>
      </c>
      <c r="F279" s="941">
        <v>3.0</v>
      </c>
      <c r="G279" s="941">
        <v>94.0</v>
      </c>
      <c r="H279" s="941">
        <v>126.0</v>
      </c>
      <c r="I279" s="941">
        <v>-32.0</v>
      </c>
      <c r="J279" s="941">
        <v>3.0</v>
      </c>
      <c r="K279" s="941">
        <v>6.0</v>
      </c>
      <c r="L279" s="941">
        <v>0.0</v>
      </c>
      <c r="M279" s="941">
        <v>1662.0</v>
      </c>
      <c r="N279" s="941">
        <v>2130.0</v>
      </c>
      <c r="O279" s="941">
        <v>13.0</v>
      </c>
      <c r="P279" s="941">
        <v>23.0</v>
      </c>
      <c r="Q279" s="941">
        <v>0.0</v>
      </c>
      <c r="R279" s="941">
        <v>2.0</v>
      </c>
      <c r="S279" s="941">
        <v>0.0</v>
      </c>
      <c r="T279" s="941">
        <v>0.0</v>
      </c>
      <c r="U279" s="941">
        <v>0.0</v>
      </c>
      <c r="V279" s="941">
        <v>2.0</v>
      </c>
      <c r="W279" s="941">
        <v>0.0</v>
      </c>
      <c r="X279" s="941">
        <v>13.0</v>
      </c>
      <c r="Y279" s="941">
        <v>4.0</v>
      </c>
      <c r="Z279" s="941">
        <v>2.0</v>
      </c>
      <c r="AA279" s="941">
        <v>0.0</v>
      </c>
      <c r="AB279" s="941">
        <v>0.0</v>
      </c>
      <c r="AC279" s="941">
        <v>0.0</v>
      </c>
      <c r="AD279" s="941">
        <v>0.0</v>
      </c>
      <c r="AE279" s="941">
        <v>0.0</v>
      </c>
      <c r="AF279" s="941">
        <v>0.0</v>
      </c>
      <c r="AG279" s="941">
        <v>0.0</v>
      </c>
      <c r="AH279" s="941">
        <v>0.0</v>
      </c>
      <c r="AI279" s="941">
        <v>0.0</v>
      </c>
      <c r="AJ279" s="941">
        <v>20.0</v>
      </c>
      <c r="AK279" s="941">
        <v>14.0</v>
      </c>
      <c r="AL279" s="941">
        <v>2.0</v>
      </c>
      <c r="AM279" s="942">
        <v>1.0</v>
      </c>
    </row>
    <row r="280">
      <c r="A280" s="935" t="s">
        <v>142</v>
      </c>
      <c r="B280" s="941">
        <v>1.0</v>
      </c>
      <c r="C280" s="941">
        <v>0.0</v>
      </c>
      <c r="D280" s="941">
        <v>1.0</v>
      </c>
      <c r="E280" s="941">
        <v>0.0</v>
      </c>
      <c r="F280" s="941">
        <v>1.0</v>
      </c>
      <c r="G280" s="941">
        <v>68.0</v>
      </c>
      <c r="H280" s="941">
        <v>129.0</v>
      </c>
      <c r="I280" s="941">
        <v>-61.0</v>
      </c>
      <c r="J280" s="941">
        <v>9.0</v>
      </c>
      <c r="K280" s="941">
        <v>4.0</v>
      </c>
      <c r="L280" s="941">
        <v>1.0</v>
      </c>
      <c r="M280" s="941">
        <v>1649.0</v>
      </c>
      <c r="N280" s="941">
        <v>2130.0</v>
      </c>
      <c r="O280" s="941">
        <v>12.0</v>
      </c>
      <c r="P280" s="941">
        <v>17.0</v>
      </c>
      <c r="Q280" s="941">
        <v>0.0</v>
      </c>
      <c r="R280" s="941">
        <v>0.0</v>
      </c>
      <c r="S280" s="941">
        <v>0.0</v>
      </c>
      <c r="T280" s="941">
        <v>0.0</v>
      </c>
      <c r="U280" s="941">
        <v>0.0</v>
      </c>
      <c r="V280" s="941">
        <v>0.0</v>
      </c>
      <c r="W280" s="941">
        <v>0.0</v>
      </c>
      <c r="X280" s="941">
        <v>7.0</v>
      </c>
      <c r="Y280" s="941">
        <v>1.0</v>
      </c>
      <c r="Z280" s="941">
        <v>0.0</v>
      </c>
      <c r="AA280" s="941">
        <v>0.0</v>
      </c>
      <c r="AB280" s="941">
        <v>0.0</v>
      </c>
      <c r="AC280" s="941">
        <v>0.0</v>
      </c>
      <c r="AD280" s="941">
        <v>0.0</v>
      </c>
      <c r="AE280" s="941">
        <v>0.0</v>
      </c>
      <c r="AF280" s="941">
        <v>0.0</v>
      </c>
      <c r="AG280" s="941">
        <v>0.0</v>
      </c>
      <c r="AH280" s="941">
        <v>3.0</v>
      </c>
      <c r="AI280" s="941">
        <v>0.0</v>
      </c>
      <c r="AJ280" s="941">
        <v>7.0</v>
      </c>
      <c r="AK280" s="941">
        <v>12.0</v>
      </c>
      <c r="AL280" s="941">
        <v>1.0</v>
      </c>
      <c r="AM280" s="942">
        <v>1.0</v>
      </c>
    </row>
    <row r="281">
      <c r="A281" s="943" t="s">
        <v>131</v>
      </c>
      <c r="B281" s="944">
        <v>1.0</v>
      </c>
      <c r="C281" s="944">
        <v>0.0</v>
      </c>
      <c r="D281" s="944">
        <v>1.0</v>
      </c>
      <c r="E281" s="944">
        <v>0.0</v>
      </c>
      <c r="F281" s="944">
        <v>0.0</v>
      </c>
      <c r="G281" s="944">
        <v>80.0</v>
      </c>
      <c r="H281" s="944">
        <v>132.0</v>
      </c>
      <c r="I281" s="944">
        <v>-52.0</v>
      </c>
      <c r="J281" s="944">
        <v>7.0</v>
      </c>
      <c r="K281" s="944">
        <v>4.0</v>
      </c>
      <c r="L281" s="944">
        <v>3.0</v>
      </c>
      <c r="M281" s="944">
        <v>1639.0</v>
      </c>
      <c r="N281" s="944">
        <v>2130.0</v>
      </c>
      <c r="O281" s="944">
        <v>12.0</v>
      </c>
      <c r="P281" s="944">
        <v>14.0</v>
      </c>
      <c r="Q281" s="944">
        <v>0.0</v>
      </c>
      <c r="R281" s="944">
        <v>0.0</v>
      </c>
      <c r="S281" s="944">
        <v>0.0</v>
      </c>
      <c r="T281" s="944">
        <v>0.0</v>
      </c>
      <c r="U281" s="944">
        <v>0.0</v>
      </c>
      <c r="V281" s="944">
        <v>0.0</v>
      </c>
      <c r="W281" s="944">
        <v>0.0</v>
      </c>
      <c r="X281" s="944">
        <v>4.0</v>
      </c>
      <c r="Y281" s="944">
        <v>1.0</v>
      </c>
      <c r="Z281" s="944">
        <v>0.0</v>
      </c>
      <c r="AA281" s="944">
        <v>0.0</v>
      </c>
      <c r="AB281" s="944">
        <v>0.0</v>
      </c>
      <c r="AC281" s="944">
        <v>0.0</v>
      </c>
      <c r="AD281" s="944">
        <v>0.0</v>
      </c>
      <c r="AE281" s="944">
        <v>0.0</v>
      </c>
      <c r="AF281" s="944">
        <v>0.0</v>
      </c>
      <c r="AG281" s="944">
        <v>0.0</v>
      </c>
      <c r="AH281" s="944">
        <v>0.0</v>
      </c>
      <c r="AI281" s="944">
        <v>0.0</v>
      </c>
      <c r="AJ281" s="944">
        <v>10.0</v>
      </c>
      <c r="AK281" s="944">
        <v>14.0</v>
      </c>
      <c r="AL281" s="944">
        <v>1.0</v>
      </c>
      <c r="AM281" s="945">
        <v>1.0</v>
      </c>
    </row>
    <row r="282">
      <c r="A282" s="946" t="s">
        <v>119</v>
      </c>
      <c r="B282" s="939">
        <v>1.0</v>
      </c>
      <c r="C282" s="939">
        <v>1.0</v>
      </c>
      <c r="D282" s="939">
        <v>0.0</v>
      </c>
      <c r="E282" s="939">
        <v>5.0</v>
      </c>
      <c r="F282" s="939">
        <v>12.0</v>
      </c>
      <c r="G282" s="939">
        <v>87.0</v>
      </c>
      <c r="H282" s="939">
        <v>89.0</v>
      </c>
      <c r="I282" s="939">
        <v>-2.0</v>
      </c>
      <c r="J282" s="939">
        <v>9.0</v>
      </c>
      <c r="K282" s="939">
        <v>5.0</v>
      </c>
      <c r="L282" s="939">
        <v>2.0</v>
      </c>
      <c r="M282" s="939">
        <v>1953.0</v>
      </c>
      <c r="N282" s="939">
        <v>2342.0</v>
      </c>
      <c r="O282" s="939">
        <v>21.0</v>
      </c>
      <c r="P282" s="939">
        <v>331.0</v>
      </c>
      <c r="Q282" s="939">
        <v>0.0</v>
      </c>
      <c r="R282" s="939">
        <v>1.0</v>
      </c>
      <c r="S282" s="939">
        <v>0.0</v>
      </c>
      <c r="T282" s="939">
        <v>0.0</v>
      </c>
      <c r="U282" s="939">
        <v>0.0</v>
      </c>
      <c r="V282" s="939">
        <v>0.0</v>
      </c>
      <c r="W282" s="939">
        <v>0.0</v>
      </c>
      <c r="X282" s="939">
        <v>10.0</v>
      </c>
      <c r="Y282" s="939">
        <v>1.0</v>
      </c>
      <c r="Z282" s="939">
        <v>0.0</v>
      </c>
      <c r="AA282" s="939">
        <v>0.0</v>
      </c>
      <c r="AB282" s="939">
        <v>0.0</v>
      </c>
      <c r="AC282" s="939">
        <v>0.0</v>
      </c>
      <c r="AD282" s="939">
        <v>0.0</v>
      </c>
      <c r="AE282" s="939">
        <v>0.0</v>
      </c>
      <c r="AF282" s="939">
        <v>0.0</v>
      </c>
      <c r="AG282" s="939">
        <v>0.0</v>
      </c>
      <c r="AH282" s="939">
        <v>1.0</v>
      </c>
      <c r="AI282" s="939">
        <v>0.0</v>
      </c>
      <c r="AJ282" s="939">
        <v>15.0</v>
      </c>
      <c r="AK282" s="939">
        <v>13.0</v>
      </c>
      <c r="AL282" s="939">
        <v>2.0</v>
      </c>
      <c r="AM282" s="940">
        <v>0.0</v>
      </c>
    </row>
    <row r="283">
      <c r="A283" s="935" t="s">
        <v>130</v>
      </c>
      <c r="B283" s="941">
        <v>1.0</v>
      </c>
      <c r="C283" s="941">
        <v>1.0</v>
      </c>
      <c r="D283" s="941">
        <v>0.0</v>
      </c>
      <c r="E283" s="941">
        <v>0.0</v>
      </c>
      <c r="F283" s="941">
        <v>0.0</v>
      </c>
      <c r="G283" s="941">
        <v>122.0</v>
      </c>
      <c r="H283" s="941">
        <v>87.0</v>
      </c>
      <c r="I283" s="941">
        <v>35.0</v>
      </c>
      <c r="J283" s="941">
        <v>8.0</v>
      </c>
      <c r="K283" s="941">
        <v>9.0</v>
      </c>
      <c r="L283" s="941">
        <v>6.0</v>
      </c>
      <c r="M283" s="941">
        <v>1954.0</v>
      </c>
      <c r="N283" s="941">
        <v>2342.0</v>
      </c>
      <c r="O283" s="941">
        <v>22.0</v>
      </c>
      <c r="P283" s="941">
        <v>1.0</v>
      </c>
      <c r="Q283" s="941">
        <v>0.0</v>
      </c>
      <c r="R283" s="941">
        <v>3.0</v>
      </c>
      <c r="S283" s="941">
        <v>0.0</v>
      </c>
      <c r="T283" s="941">
        <v>0.0</v>
      </c>
      <c r="U283" s="941">
        <v>0.0</v>
      </c>
      <c r="V283" s="941">
        <v>3.0</v>
      </c>
      <c r="W283" s="941">
        <v>0.0</v>
      </c>
      <c r="X283" s="941">
        <v>20.0</v>
      </c>
      <c r="Y283" s="941">
        <v>4.0</v>
      </c>
      <c r="Z283" s="941">
        <v>1.0</v>
      </c>
      <c r="AA283" s="941">
        <v>1.0</v>
      </c>
      <c r="AB283" s="941">
        <v>1.0</v>
      </c>
      <c r="AC283" s="941">
        <v>0.0</v>
      </c>
      <c r="AD283" s="941">
        <v>0.0</v>
      </c>
      <c r="AE283" s="941">
        <v>0.0</v>
      </c>
      <c r="AF283" s="941">
        <v>0.0</v>
      </c>
      <c r="AG283" s="941">
        <v>0.0</v>
      </c>
      <c r="AH283" s="941">
        <v>3.0</v>
      </c>
      <c r="AI283" s="941">
        <v>0.0</v>
      </c>
      <c r="AJ283" s="941">
        <v>12.0</v>
      </c>
      <c r="AK283" s="941">
        <v>11.0</v>
      </c>
      <c r="AL283" s="941">
        <v>1.0</v>
      </c>
      <c r="AM283" s="942">
        <v>0.0</v>
      </c>
    </row>
    <row r="284">
      <c r="A284" s="935" t="s">
        <v>141</v>
      </c>
      <c r="B284" s="941">
        <v>1.0</v>
      </c>
      <c r="C284" s="941">
        <v>1.0</v>
      </c>
      <c r="D284" s="941">
        <v>0.0</v>
      </c>
      <c r="E284" s="941">
        <v>0.0</v>
      </c>
      <c r="F284" s="941">
        <v>1.0</v>
      </c>
      <c r="G284" s="941">
        <v>83.0</v>
      </c>
      <c r="H284" s="941">
        <v>131.0</v>
      </c>
      <c r="I284" s="941">
        <v>-48.0</v>
      </c>
      <c r="J284" s="941">
        <v>5.0</v>
      </c>
      <c r="K284" s="941">
        <v>4.0</v>
      </c>
      <c r="L284" s="941">
        <v>3.0</v>
      </c>
      <c r="M284" s="941">
        <v>1824.0</v>
      </c>
      <c r="N284" s="941">
        <v>2342.0</v>
      </c>
      <c r="O284" s="941">
        <v>13.0</v>
      </c>
      <c r="P284" s="941">
        <v>24.0</v>
      </c>
      <c r="Q284" s="941">
        <v>0.0</v>
      </c>
      <c r="R284" s="941">
        <v>0.0</v>
      </c>
      <c r="S284" s="941">
        <v>0.0</v>
      </c>
      <c r="T284" s="941">
        <v>0.0</v>
      </c>
      <c r="U284" s="941">
        <v>0.0</v>
      </c>
      <c r="V284" s="941">
        <v>0.0</v>
      </c>
      <c r="W284" s="941">
        <v>0.0</v>
      </c>
      <c r="X284" s="941">
        <v>11.0</v>
      </c>
      <c r="Y284" s="941">
        <v>1.0</v>
      </c>
      <c r="Z284" s="941">
        <v>0.0</v>
      </c>
      <c r="AA284" s="941">
        <v>0.0</v>
      </c>
      <c r="AB284" s="941">
        <v>0.0</v>
      </c>
      <c r="AC284" s="941">
        <v>0.0</v>
      </c>
      <c r="AD284" s="941">
        <v>0.0</v>
      </c>
      <c r="AE284" s="941">
        <v>0.0</v>
      </c>
      <c r="AF284" s="941">
        <v>0.0</v>
      </c>
      <c r="AG284" s="941">
        <v>0.0</v>
      </c>
      <c r="AH284" s="941">
        <v>0.0</v>
      </c>
      <c r="AI284" s="941">
        <v>0.0</v>
      </c>
      <c r="AJ284" s="941">
        <v>8.0</v>
      </c>
      <c r="AK284" s="941">
        <v>14.0</v>
      </c>
      <c r="AL284" s="941">
        <v>0.0</v>
      </c>
      <c r="AM284" s="942">
        <v>0.0</v>
      </c>
    </row>
    <row r="285">
      <c r="A285" s="935" t="s">
        <v>152</v>
      </c>
      <c r="B285" s="941">
        <v>1.0</v>
      </c>
      <c r="C285" s="941">
        <v>1.0</v>
      </c>
      <c r="D285" s="941">
        <v>0.0</v>
      </c>
      <c r="E285" s="941">
        <v>0.0</v>
      </c>
      <c r="F285" s="941">
        <v>0.0</v>
      </c>
      <c r="G285" s="941">
        <v>92.0</v>
      </c>
      <c r="H285" s="941">
        <v>109.0</v>
      </c>
      <c r="I285" s="941">
        <v>-17.0</v>
      </c>
      <c r="J285" s="941">
        <v>4.0</v>
      </c>
      <c r="K285" s="941">
        <v>3.0</v>
      </c>
      <c r="L285" s="941">
        <v>4.0</v>
      </c>
      <c r="M285" s="941">
        <v>1889.0</v>
      </c>
      <c r="N285" s="941">
        <v>2342.0</v>
      </c>
      <c r="O285" s="941">
        <v>17.0</v>
      </c>
      <c r="P285" s="941">
        <v>4.0</v>
      </c>
      <c r="Q285" s="941">
        <v>0.0</v>
      </c>
      <c r="R285" s="941">
        <v>0.0</v>
      </c>
      <c r="S285" s="941">
        <v>0.0</v>
      </c>
      <c r="T285" s="941">
        <v>0.0</v>
      </c>
      <c r="U285" s="941">
        <v>0.0</v>
      </c>
      <c r="V285" s="941">
        <v>0.0</v>
      </c>
      <c r="W285" s="941">
        <v>0.0</v>
      </c>
      <c r="X285" s="941">
        <v>11.0</v>
      </c>
      <c r="Y285" s="941">
        <v>0.0</v>
      </c>
      <c r="Z285" s="941">
        <v>0.0</v>
      </c>
      <c r="AA285" s="941">
        <v>0.0</v>
      </c>
      <c r="AB285" s="941">
        <v>0.0</v>
      </c>
      <c r="AC285" s="941">
        <v>0.0</v>
      </c>
      <c r="AD285" s="941">
        <v>0.0</v>
      </c>
      <c r="AE285" s="941">
        <v>0.0</v>
      </c>
      <c r="AF285" s="941">
        <v>0.0</v>
      </c>
      <c r="AG285" s="941">
        <v>0.0</v>
      </c>
      <c r="AH285" s="941">
        <v>2.0</v>
      </c>
      <c r="AI285" s="941">
        <v>0.0</v>
      </c>
      <c r="AJ285" s="941">
        <v>9.0</v>
      </c>
      <c r="AK285" s="941">
        <v>13.0</v>
      </c>
      <c r="AL285" s="941">
        <v>0.0</v>
      </c>
      <c r="AM285" s="942">
        <v>0.0</v>
      </c>
    </row>
    <row r="286">
      <c r="A286" s="935" t="s">
        <v>420</v>
      </c>
      <c r="B286" s="941">
        <v>1.0</v>
      </c>
      <c r="C286" s="941">
        <v>0.0</v>
      </c>
      <c r="D286" s="941">
        <v>1.0</v>
      </c>
      <c r="E286" s="941">
        <v>4.0</v>
      </c>
      <c r="F286" s="941">
        <v>19.0</v>
      </c>
      <c r="G286" s="941">
        <v>45.0</v>
      </c>
      <c r="H286" s="941">
        <v>38.0</v>
      </c>
      <c r="I286" s="941">
        <v>7.0</v>
      </c>
      <c r="J286" s="941">
        <v>1.0</v>
      </c>
      <c r="K286" s="941">
        <v>13.0</v>
      </c>
      <c r="L286" s="941">
        <v>3.0</v>
      </c>
      <c r="M286" s="941">
        <v>2100.0</v>
      </c>
      <c r="N286" s="941">
        <v>2342.0</v>
      </c>
      <c r="O286" s="941">
        <v>55.0</v>
      </c>
      <c r="P286" s="941">
        <v>1701.0</v>
      </c>
      <c r="Q286" s="941">
        <v>0.0</v>
      </c>
      <c r="R286" s="941">
        <v>1.0</v>
      </c>
      <c r="S286" s="941">
        <v>1.0</v>
      </c>
      <c r="T286" s="941">
        <v>0.0</v>
      </c>
      <c r="U286" s="941">
        <v>0.0</v>
      </c>
      <c r="V286" s="941">
        <v>0.0</v>
      </c>
      <c r="W286" s="941">
        <v>0.0</v>
      </c>
      <c r="X286" s="941">
        <v>6.0</v>
      </c>
      <c r="Y286" s="941">
        <v>0.0</v>
      </c>
      <c r="Z286" s="941">
        <v>0.0</v>
      </c>
      <c r="AA286" s="941">
        <v>0.0</v>
      </c>
      <c r="AB286" s="941">
        <v>0.0</v>
      </c>
      <c r="AC286" s="941">
        <v>0.0</v>
      </c>
      <c r="AD286" s="941">
        <v>0.0</v>
      </c>
      <c r="AE286" s="941">
        <v>0.0</v>
      </c>
      <c r="AF286" s="941">
        <v>0.0</v>
      </c>
      <c r="AG286" s="941">
        <v>0.0</v>
      </c>
      <c r="AH286" s="941">
        <v>0.0</v>
      </c>
      <c r="AI286" s="941">
        <v>0.0</v>
      </c>
      <c r="AJ286" s="941">
        <v>10.0</v>
      </c>
      <c r="AK286" s="941">
        <v>4.0</v>
      </c>
      <c r="AL286" s="941">
        <v>3.0</v>
      </c>
      <c r="AM286" s="942">
        <v>1.0</v>
      </c>
    </row>
    <row r="287">
      <c r="A287" s="935" t="s">
        <v>137</v>
      </c>
      <c r="B287" s="941">
        <v>1.0</v>
      </c>
      <c r="C287" s="941">
        <v>0.0</v>
      </c>
      <c r="D287" s="941">
        <v>1.0</v>
      </c>
      <c r="E287" s="941">
        <v>0.0</v>
      </c>
      <c r="F287" s="941">
        <v>0.0</v>
      </c>
      <c r="G287" s="941">
        <v>112.0</v>
      </c>
      <c r="H287" s="941">
        <v>123.0</v>
      </c>
      <c r="I287" s="941">
        <v>-11.0</v>
      </c>
      <c r="J287" s="941">
        <v>9.0</v>
      </c>
      <c r="K287" s="941">
        <v>5.0</v>
      </c>
      <c r="L287" s="941">
        <v>1.0</v>
      </c>
      <c r="M287" s="941">
        <v>1859.0</v>
      </c>
      <c r="N287" s="941">
        <v>2342.0</v>
      </c>
      <c r="O287" s="941">
        <v>15.0</v>
      </c>
      <c r="P287" s="941">
        <v>2.0</v>
      </c>
      <c r="Q287" s="941">
        <v>0.0</v>
      </c>
      <c r="R287" s="941">
        <v>1.0</v>
      </c>
      <c r="S287" s="941">
        <v>0.0</v>
      </c>
      <c r="T287" s="941">
        <v>0.0</v>
      </c>
      <c r="U287" s="941">
        <v>0.0</v>
      </c>
      <c r="V287" s="941">
        <v>1.0</v>
      </c>
      <c r="W287" s="941">
        <v>0.0</v>
      </c>
      <c r="X287" s="941">
        <v>19.0</v>
      </c>
      <c r="Y287" s="941">
        <v>2.0</v>
      </c>
      <c r="Z287" s="941">
        <v>0.0</v>
      </c>
      <c r="AA287" s="941">
        <v>0.0</v>
      </c>
      <c r="AB287" s="941">
        <v>0.0</v>
      </c>
      <c r="AC287" s="941">
        <v>0.0</v>
      </c>
      <c r="AD287" s="941">
        <v>0.0</v>
      </c>
      <c r="AE287" s="941">
        <v>0.0</v>
      </c>
      <c r="AF287" s="941">
        <v>0.0</v>
      </c>
      <c r="AG287" s="941">
        <v>0.0</v>
      </c>
      <c r="AH287" s="941">
        <v>6.0</v>
      </c>
      <c r="AI287" s="941">
        <v>0.0</v>
      </c>
      <c r="AJ287" s="941">
        <v>5.0</v>
      </c>
      <c r="AK287" s="941">
        <v>14.0</v>
      </c>
      <c r="AL287" s="941">
        <v>1.0</v>
      </c>
      <c r="AM287" s="942">
        <v>1.0</v>
      </c>
    </row>
    <row r="288">
      <c r="A288" s="935" t="s">
        <v>418</v>
      </c>
      <c r="B288" s="941">
        <v>1.0</v>
      </c>
      <c r="C288" s="941">
        <v>0.0</v>
      </c>
      <c r="D288" s="941">
        <v>1.0</v>
      </c>
      <c r="E288" s="941">
        <v>0.0</v>
      </c>
      <c r="F288" s="941">
        <v>2.0</v>
      </c>
      <c r="G288" s="941">
        <v>120.0</v>
      </c>
      <c r="H288" s="941">
        <v>96.0</v>
      </c>
      <c r="I288" s="941">
        <v>24.0</v>
      </c>
      <c r="J288" s="941">
        <v>9.0</v>
      </c>
      <c r="K288" s="941">
        <v>6.0</v>
      </c>
      <c r="L288" s="941">
        <v>2.0</v>
      </c>
      <c r="M288" s="941">
        <v>1936.0</v>
      </c>
      <c r="N288" s="941">
        <v>2342.0</v>
      </c>
      <c r="O288" s="941">
        <v>20.0</v>
      </c>
      <c r="P288" s="941">
        <v>26.0</v>
      </c>
      <c r="Q288" s="941">
        <v>0.0</v>
      </c>
      <c r="R288" s="941">
        <v>4.0</v>
      </c>
      <c r="S288" s="941">
        <v>0.0</v>
      </c>
      <c r="T288" s="941">
        <v>0.0</v>
      </c>
      <c r="U288" s="941">
        <v>0.0</v>
      </c>
      <c r="V288" s="941">
        <v>4.0</v>
      </c>
      <c r="W288" s="941">
        <v>0.0</v>
      </c>
      <c r="X288" s="941">
        <v>20.0</v>
      </c>
      <c r="Y288" s="941">
        <v>3.0</v>
      </c>
      <c r="Z288" s="941">
        <v>2.0</v>
      </c>
      <c r="AA288" s="941">
        <v>0.0</v>
      </c>
      <c r="AB288" s="941">
        <v>0.0</v>
      </c>
      <c r="AC288" s="941">
        <v>0.0</v>
      </c>
      <c r="AD288" s="941">
        <v>0.0</v>
      </c>
      <c r="AE288" s="941">
        <v>0.0</v>
      </c>
      <c r="AF288" s="941">
        <v>0.0</v>
      </c>
      <c r="AG288" s="941">
        <v>0.0</v>
      </c>
      <c r="AH288" s="941">
        <v>6.0</v>
      </c>
      <c r="AI288" s="941">
        <v>0.0</v>
      </c>
      <c r="AJ288" s="941">
        <v>17.0</v>
      </c>
      <c r="AK288" s="941">
        <v>15.0</v>
      </c>
      <c r="AL288" s="941">
        <v>1.0</v>
      </c>
      <c r="AM288" s="942">
        <v>1.0</v>
      </c>
    </row>
    <row r="289">
      <c r="A289" s="943" t="s">
        <v>115</v>
      </c>
      <c r="B289" s="944">
        <v>1.0</v>
      </c>
      <c r="C289" s="944">
        <v>0.0</v>
      </c>
      <c r="D289" s="944">
        <v>1.0</v>
      </c>
      <c r="E289" s="944">
        <v>0.0</v>
      </c>
      <c r="F289" s="944">
        <v>0.0</v>
      </c>
      <c r="G289" s="944">
        <v>116.0</v>
      </c>
      <c r="H289" s="944">
        <v>148.0</v>
      </c>
      <c r="I289" s="944">
        <v>-32.0</v>
      </c>
      <c r="J289" s="944">
        <v>6.0</v>
      </c>
      <c r="K289" s="944">
        <v>4.0</v>
      </c>
      <c r="L289" s="944">
        <v>2.0</v>
      </c>
      <c r="M289" s="944">
        <v>1775.0</v>
      </c>
      <c r="N289" s="944">
        <v>2342.0</v>
      </c>
      <c r="O289" s="944">
        <v>11.0</v>
      </c>
      <c r="P289" s="944">
        <v>4.0</v>
      </c>
      <c r="Q289" s="944">
        <v>0.0</v>
      </c>
      <c r="R289" s="944">
        <v>0.0</v>
      </c>
      <c r="S289" s="944">
        <v>0.0</v>
      </c>
      <c r="T289" s="944">
        <v>0.0</v>
      </c>
      <c r="U289" s="944">
        <v>0.0</v>
      </c>
      <c r="V289" s="944">
        <v>0.0</v>
      </c>
      <c r="W289" s="944">
        <v>0.0</v>
      </c>
      <c r="X289" s="944">
        <v>16.0</v>
      </c>
      <c r="Y289" s="944">
        <v>5.0</v>
      </c>
      <c r="Z289" s="944">
        <v>1.0</v>
      </c>
      <c r="AA289" s="944">
        <v>0.0</v>
      </c>
      <c r="AB289" s="944">
        <v>0.0</v>
      </c>
      <c r="AC289" s="944">
        <v>0.0</v>
      </c>
      <c r="AD289" s="944">
        <v>0.0</v>
      </c>
      <c r="AE289" s="944">
        <v>0.0</v>
      </c>
      <c r="AF289" s="944">
        <v>0.0</v>
      </c>
      <c r="AG289" s="944">
        <v>0.0</v>
      </c>
      <c r="AH289" s="944">
        <v>3.0</v>
      </c>
      <c r="AI289" s="944">
        <v>0.0</v>
      </c>
      <c r="AJ289" s="944">
        <v>8.0</v>
      </c>
      <c r="AK289" s="944">
        <v>21.0</v>
      </c>
      <c r="AL289" s="944">
        <v>1.0</v>
      </c>
      <c r="AM289" s="945">
        <v>1.0</v>
      </c>
    </row>
    <row r="290">
      <c r="A290" s="946" t="s">
        <v>153</v>
      </c>
      <c r="B290" s="939">
        <v>1.0</v>
      </c>
      <c r="C290" s="939">
        <v>1.0</v>
      </c>
      <c r="D290" s="939">
        <v>0.0</v>
      </c>
      <c r="E290" s="939">
        <v>4.0</v>
      </c>
      <c r="F290" s="939">
        <v>6.0</v>
      </c>
      <c r="G290" s="939">
        <v>34.0</v>
      </c>
      <c r="H290" s="939">
        <v>43.0</v>
      </c>
      <c r="I290" s="939">
        <v>-9.0</v>
      </c>
      <c r="J290" s="939">
        <v>0.0</v>
      </c>
      <c r="K290" s="939">
        <v>4.0</v>
      </c>
      <c r="L290" s="939">
        <v>0.0</v>
      </c>
      <c r="M290" s="939">
        <v>802.0</v>
      </c>
      <c r="N290" s="939">
        <v>997.0</v>
      </c>
      <c r="O290" s="939">
        <v>18.0</v>
      </c>
      <c r="P290" s="939">
        <v>428.0</v>
      </c>
      <c r="Q290" s="939">
        <v>0.0</v>
      </c>
      <c r="R290" s="939">
        <v>0.0</v>
      </c>
      <c r="S290" s="939">
        <v>0.0</v>
      </c>
      <c r="T290" s="939">
        <v>0.0</v>
      </c>
      <c r="U290" s="939">
        <v>0.0</v>
      </c>
      <c r="V290" s="939">
        <v>0.0</v>
      </c>
      <c r="W290" s="939">
        <v>0.0</v>
      </c>
      <c r="X290" s="939">
        <v>2.0</v>
      </c>
      <c r="Y290" s="939">
        <v>0.0</v>
      </c>
      <c r="Z290" s="939">
        <v>0.0</v>
      </c>
      <c r="AA290" s="939">
        <v>0.0</v>
      </c>
      <c r="AB290" s="939">
        <v>0.0</v>
      </c>
      <c r="AC290" s="939">
        <v>0.0</v>
      </c>
      <c r="AD290" s="939">
        <v>0.0</v>
      </c>
      <c r="AE290" s="939">
        <v>0.0</v>
      </c>
      <c r="AF290" s="939">
        <v>0.0</v>
      </c>
      <c r="AG290" s="939">
        <v>0.0</v>
      </c>
      <c r="AH290" s="939">
        <v>0.0</v>
      </c>
      <c r="AI290" s="939">
        <v>0.0</v>
      </c>
      <c r="AJ290" s="939">
        <v>7.0</v>
      </c>
      <c r="AK290" s="939">
        <v>5.0</v>
      </c>
      <c r="AL290" s="939">
        <v>1.0</v>
      </c>
      <c r="AM290" s="940">
        <v>1.0</v>
      </c>
    </row>
    <row r="291">
      <c r="A291" s="935" t="s">
        <v>145</v>
      </c>
      <c r="B291" s="941">
        <v>1.0</v>
      </c>
      <c r="C291" s="941">
        <v>1.0</v>
      </c>
      <c r="D291" s="941">
        <v>0.0</v>
      </c>
      <c r="E291" s="941">
        <v>1.0</v>
      </c>
      <c r="F291" s="941">
        <v>0.0</v>
      </c>
      <c r="G291" s="941">
        <v>65.0</v>
      </c>
      <c r="H291" s="941">
        <v>63.0</v>
      </c>
      <c r="I291" s="941">
        <v>2.0</v>
      </c>
      <c r="J291" s="941">
        <v>9.0</v>
      </c>
      <c r="K291" s="941">
        <v>4.0</v>
      </c>
      <c r="L291" s="941">
        <v>0.0</v>
      </c>
      <c r="M291" s="941">
        <v>737.0</v>
      </c>
      <c r="N291" s="941">
        <v>997.0</v>
      </c>
      <c r="O291" s="941">
        <v>11.0</v>
      </c>
      <c r="P291" s="941">
        <v>8.0</v>
      </c>
      <c r="Q291" s="941">
        <v>0.0</v>
      </c>
      <c r="R291" s="941">
        <v>0.0</v>
      </c>
      <c r="S291" s="941">
        <v>0.0</v>
      </c>
      <c r="T291" s="941">
        <v>0.0</v>
      </c>
      <c r="U291" s="941">
        <v>0.0</v>
      </c>
      <c r="V291" s="941">
        <v>0.0</v>
      </c>
      <c r="W291" s="941">
        <v>0.0</v>
      </c>
      <c r="X291" s="941">
        <v>10.0</v>
      </c>
      <c r="Y291" s="941">
        <v>2.0</v>
      </c>
      <c r="Z291" s="941">
        <v>1.0</v>
      </c>
      <c r="AA291" s="941">
        <v>0.0</v>
      </c>
      <c r="AB291" s="941">
        <v>0.0</v>
      </c>
      <c r="AC291" s="941">
        <v>0.0</v>
      </c>
      <c r="AD291" s="941">
        <v>0.0</v>
      </c>
      <c r="AE291" s="941">
        <v>0.0</v>
      </c>
      <c r="AF291" s="941">
        <v>0.0</v>
      </c>
      <c r="AG291" s="941">
        <v>0.0</v>
      </c>
      <c r="AH291" s="941">
        <v>0.0</v>
      </c>
      <c r="AI291" s="941">
        <v>0.0</v>
      </c>
      <c r="AJ291" s="941">
        <v>10.0</v>
      </c>
      <c r="AK291" s="941">
        <v>16.0</v>
      </c>
      <c r="AL291" s="941">
        <v>0.0</v>
      </c>
      <c r="AM291" s="942">
        <v>1.0</v>
      </c>
    </row>
    <row r="292">
      <c r="A292" s="935" t="s">
        <v>138</v>
      </c>
      <c r="B292" s="941">
        <v>1.0</v>
      </c>
      <c r="C292" s="941">
        <v>1.0</v>
      </c>
      <c r="D292" s="941">
        <v>0.0</v>
      </c>
      <c r="E292" s="941">
        <v>0.0</v>
      </c>
      <c r="F292" s="941">
        <v>0.0</v>
      </c>
      <c r="G292" s="941">
        <v>61.0</v>
      </c>
      <c r="H292" s="941">
        <v>57.0</v>
      </c>
      <c r="I292" s="941">
        <v>4.0</v>
      </c>
      <c r="J292" s="941">
        <v>8.0</v>
      </c>
      <c r="K292" s="941">
        <v>4.0</v>
      </c>
      <c r="L292" s="941">
        <v>1.0</v>
      </c>
      <c r="M292" s="941">
        <v>762.0</v>
      </c>
      <c r="N292" s="941">
        <v>997.0</v>
      </c>
      <c r="O292" s="941">
        <v>13.0</v>
      </c>
      <c r="P292" s="941">
        <v>5.0</v>
      </c>
      <c r="Q292" s="941">
        <v>0.0</v>
      </c>
      <c r="R292" s="941">
        <v>0.0</v>
      </c>
      <c r="S292" s="941">
        <v>0.0</v>
      </c>
      <c r="T292" s="941">
        <v>0.0</v>
      </c>
      <c r="U292" s="941">
        <v>0.0</v>
      </c>
      <c r="V292" s="941">
        <v>0.0</v>
      </c>
      <c r="W292" s="941">
        <v>0.0</v>
      </c>
      <c r="X292" s="941">
        <v>10.0</v>
      </c>
      <c r="Y292" s="941">
        <v>0.0</v>
      </c>
      <c r="Z292" s="941">
        <v>0.0</v>
      </c>
      <c r="AA292" s="941">
        <v>0.0</v>
      </c>
      <c r="AB292" s="941">
        <v>0.0</v>
      </c>
      <c r="AC292" s="941">
        <v>0.0</v>
      </c>
      <c r="AD292" s="941">
        <v>0.0</v>
      </c>
      <c r="AE292" s="941">
        <v>0.0</v>
      </c>
      <c r="AF292" s="941">
        <v>0.0</v>
      </c>
      <c r="AG292" s="941">
        <v>0.0</v>
      </c>
      <c r="AH292" s="941">
        <v>0.0</v>
      </c>
      <c r="AI292" s="941">
        <v>0.0</v>
      </c>
      <c r="AJ292" s="941">
        <v>8.0</v>
      </c>
      <c r="AK292" s="941">
        <v>6.0</v>
      </c>
      <c r="AL292" s="941">
        <v>1.0</v>
      </c>
      <c r="AM292" s="942">
        <v>1.0</v>
      </c>
    </row>
    <row r="293">
      <c r="A293" s="935" t="s">
        <v>120</v>
      </c>
      <c r="B293" s="941">
        <v>1.0</v>
      </c>
      <c r="C293" s="941">
        <v>1.0</v>
      </c>
      <c r="D293" s="941">
        <v>0.0</v>
      </c>
      <c r="E293" s="941">
        <v>0.0</v>
      </c>
      <c r="F293" s="941">
        <v>2.0</v>
      </c>
      <c r="G293" s="941">
        <v>68.0</v>
      </c>
      <c r="H293" s="941">
        <v>52.0</v>
      </c>
      <c r="I293" s="941">
        <v>16.0</v>
      </c>
      <c r="J293" s="941">
        <v>6.0</v>
      </c>
      <c r="K293" s="941">
        <v>7.0</v>
      </c>
      <c r="L293" s="941">
        <v>1.0</v>
      </c>
      <c r="M293" s="941">
        <v>768.0</v>
      </c>
      <c r="N293" s="941">
        <v>997.0</v>
      </c>
      <c r="O293" s="941">
        <v>14.0</v>
      </c>
      <c r="P293" s="941">
        <v>4.0</v>
      </c>
      <c r="Q293" s="941">
        <v>0.0</v>
      </c>
      <c r="R293" s="941">
        <v>3.0</v>
      </c>
      <c r="S293" s="941">
        <v>0.0</v>
      </c>
      <c r="T293" s="941">
        <v>0.0</v>
      </c>
      <c r="U293" s="941">
        <v>0.0</v>
      </c>
      <c r="V293" s="941">
        <v>2.0</v>
      </c>
      <c r="W293" s="941">
        <v>0.0</v>
      </c>
      <c r="X293" s="941">
        <v>14.0</v>
      </c>
      <c r="Y293" s="941">
        <v>3.0</v>
      </c>
      <c r="Z293" s="941">
        <v>2.0</v>
      </c>
      <c r="AA293" s="941">
        <v>1.0</v>
      </c>
      <c r="AB293" s="941">
        <v>1.0</v>
      </c>
      <c r="AC293" s="941">
        <v>0.0</v>
      </c>
      <c r="AD293" s="941">
        <v>0.0</v>
      </c>
      <c r="AE293" s="941">
        <v>0.0</v>
      </c>
      <c r="AF293" s="941">
        <v>0.0</v>
      </c>
      <c r="AG293" s="941">
        <v>0.0</v>
      </c>
      <c r="AH293" s="941">
        <v>1.0</v>
      </c>
      <c r="AI293" s="941">
        <v>0.0</v>
      </c>
      <c r="AJ293" s="941">
        <v>9.0</v>
      </c>
      <c r="AK293" s="941">
        <v>7.0</v>
      </c>
      <c r="AL293" s="941">
        <v>0.0</v>
      </c>
      <c r="AM293" s="942">
        <v>1.0</v>
      </c>
    </row>
    <row r="294">
      <c r="A294" s="935" t="s">
        <v>147</v>
      </c>
      <c r="B294" s="941">
        <v>1.0</v>
      </c>
      <c r="C294" s="941">
        <v>0.0</v>
      </c>
      <c r="D294" s="941">
        <v>1.0</v>
      </c>
      <c r="E294" s="941">
        <v>0.0</v>
      </c>
      <c r="F294" s="941">
        <v>0.0</v>
      </c>
      <c r="G294" s="941">
        <v>45.0</v>
      </c>
      <c r="H294" s="941">
        <v>63.0</v>
      </c>
      <c r="I294" s="941">
        <v>-18.0</v>
      </c>
      <c r="J294" s="941">
        <v>2.0</v>
      </c>
      <c r="K294" s="941">
        <v>3.0</v>
      </c>
      <c r="L294" s="941">
        <v>0.0</v>
      </c>
      <c r="M294" s="941">
        <v>742.0</v>
      </c>
      <c r="N294" s="941">
        <v>997.0</v>
      </c>
      <c r="O294" s="941">
        <v>11.0</v>
      </c>
      <c r="P294" s="941">
        <v>5.0</v>
      </c>
      <c r="Q294" s="941">
        <v>0.0</v>
      </c>
      <c r="R294" s="941">
        <v>0.0</v>
      </c>
      <c r="S294" s="941">
        <v>0.0</v>
      </c>
      <c r="T294" s="941">
        <v>0.0</v>
      </c>
      <c r="U294" s="941">
        <v>0.0</v>
      </c>
      <c r="V294" s="941">
        <v>0.0</v>
      </c>
      <c r="W294" s="941">
        <v>0.0</v>
      </c>
      <c r="X294" s="941">
        <v>6.0</v>
      </c>
      <c r="Y294" s="941">
        <v>0.0</v>
      </c>
      <c r="Z294" s="941">
        <v>0.0</v>
      </c>
      <c r="AA294" s="941">
        <v>0.0</v>
      </c>
      <c r="AB294" s="941">
        <v>0.0</v>
      </c>
      <c r="AC294" s="941">
        <v>0.0</v>
      </c>
      <c r="AD294" s="941">
        <v>0.0</v>
      </c>
      <c r="AE294" s="941">
        <v>0.0</v>
      </c>
      <c r="AF294" s="941">
        <v>0.0</v>
      </c>
      <c r="AG294" s="941">
        <v>0.0</v>
      </c>
      <c r="AH294" s="941">
        <v>3.0</v>
      </c>
      <c r="AI294" s="941">
        <v>0.0</v>
      </c>
      <c r="AJ294" s="941">
        <v>5.0</v>
      </c>
      <c r="AK294" s="941">
        <v>10.0</v>
      </c>
      <c r="AL294" s="941">
        <v>2.0</v>
      </c>
      <c r="AM294" s="942">
        <v>0.0</v>
      </c>
    </row>
    <row r="295">
      <c r="A295" s="935" t="s">
        <v>114</v>
      </c>
      <c r="B295" s="941">
        <v>1.0</v>
      </c>
      <c r="C295" s="941">
        <v>0.0</v>
      </c>
      <c r="D295" s="941">
        <v>1.0</v>
      </c>
      <c r="E295" s="941">
        <v>0.0</v>
      </c>
      <c r="F295" s="941">
        <v>11.0</v>
      </c>
      <c r="G295" s="941">
        <v>30.0</v>
      </c>
      <c r="H295" s="941">
        <v>32.0</v>
      </c>
      <c r="I295" s="941">
        <v>-2.0</v>
      </c>
      <c r="J295" s="941">
        <v>1.0</v>
      </c>
      <c r="K295" s="941">
        <v>7.0</v>
      </c>
      <c r="L295" s="941">
        <v>1.0</v>
      </c>
      <c r="M295" s="941">
        <v>837.0</v>
      </c>
      <c r="N295" s="941">
        <v>997.0</v>
      </c>
      <c r="O295" s="941">
        <v>26.0</v>
      </c>
      <c r="P295" s="941">
        <v>402.0</v>
      </c>
      <c r="Q295" s="941">
        <v>0.0</v>
      </c>
      <c r="R295" s="941">
        <v>1.0</v>
      </c>
      <c r="S295" s="941">
        <v>0.0</v>
      </c>
      <c r="T295" s="941">
        <v>0.0</v>
      </c>
      <c r="U295" s="941">
        <v>0.0</v>
      </c>
      <c r="V295" s="941">
        <v>0.0</v>
      </c>
      <c r="W295" s="941">
        <v>0.0</v>
      </c>
      <c r="X295" s="941">
        <v>2.0</v>
      </c>
      <c r="Y295" s="941">
        <v>0.0</v>
      </c>
      <c r="Z295" s="941">
        <v>0.0</v>
      </c>
      <c r="AA295" s="941">
        <v>0.0</v>
      </c>
      <c r="AB295" s="941">
        <v>0.0</v>
      </c>
      <c r="AC295" s="941">
        <v>0.0</v>
      </c>
      <c r="AD295" s="941">
        <v>0.0</v>
      </c>
      <c r="AE295" s="941">
        <v>0.0</v>
      </c>
      <c r="AF295" s="941">
        <v>0.0</v>
      </c>
      <c r="AG295" s="941">
        <v>0.0</v>
      </c>
      <c r="AH295" s="941">
        <v>2.0</v>
      </c>
      <c r="AI295" s="941">
        <v>0.0</v>
      </c>
      <c r="AJ295" s="941">
        <v>9.0</v>
      </c>
      <c r="AK295" s="941">
        <v>6.0</v>
      </c>
      <c r="AL295" s="941">
        <v>0.0</v>
      </c>
      <c r="AM295" s="942">
        <v>0.0</v>
      </c>
    </row>
    <row r="296">
      <c r="A296" s="935" t="s">
        <v>132</v>
      </c>
      <c r="B296" s="941">
        <v>1.0</v>
      </c>
      <c r="C296" s="941">
        <v>0.0</v>
      </c>
      <c r="D296" s="941">
        <v>1.0</v>
      </c>
      <c r="E296" s="941">
        <v>0.0</v>
      </c>
      <c r="F296" s="941">
        <v>0.0</v>
      </c>
      <c r="G296" s="941">
        <v>71.0</v>
      </c>
      <c r="H296" s="941">
        <v>61.0</v>
      </c>
      <c r="I296" s="941">
        <v>10.0</v>
      </c>
      <c r="J296" s="941">
        <v>2.0</v>
      </c>
      <c r="K296" s="941">
        <v>5.0</v>
      </c>
      <c r="L296" s="941">
        <v>1.0</v>
      </c>
      <c r="M296" s="941">
        <v>755.0</v>
      </c>
      <c r="N296" s="941">
        <v>997.0</v>
      </c>
      <c r="O296" s="941">
        <v>12.0</v>
      </c>
      <c r="P296" s="941">
        <v>0.0</v>
      </c>
      <c r="Q296" s="941">
        <v>0.0</v>
      </c>
      <c r="R296" s="941">
        <v>2.0</v>
      </c>
      <c r="S296" s="941">
        <v>0.0</v>
      </c>
      <c r="T296" s="941">
        <v>0.0</v>
      </c>
      <c r="U296" s="941">
        <v>0.0</v>
      </c>
      <c r="V296" s="941">
        <v>1.0</v>
      </c>
      <c r="W296" s="941">
        <v>0.0</v>
      </c>
      <c r="X296" s="941">
        <v>12.0</v>
      </c>
      <c r="Y296" s="941">
        <v>2.0</v>
      </c>
      <c r="Z296" s="941">
        <v>1.0</v>
      </c>
      <c r="AA296" s="941">
        <v>0.0</v>
      </c>
      <c r="AB296" s="941">
        <v>0.0</v>
      </c>
      <c r="AC296" s="941">
        <v>0.0</v>
      </c>
      <c r="AD296" s="941">
        <v>0.0</v>
      </c>
      <c r="AE296" s="941">
        <v>0.0</v>
      </c>
      <c r="AF296" s="941">
        <v>0.0</v>
      </c>
      <c r="AG296" s="941">
        <v>0.0</v>
      </c>
      <c r="AH296" s="941">
        <v>4.0</v>
      </c>
      <c r="AI296" s="941">
        <v>0.0</v>
      </c>
      <c r="AJ296" s="941">
        <v>7.0</v>
      </c>
      <c r="AK296" s="941">
        <v>14.0</v>
      </c>
      <c r="AL296" s="941">
        <v>0.0</v>
      </c>
      <c r="AM296" s="942">
        <v>0.0</v>
      </c>
    </row>
    <row r="297">
      <c r="A297" s="943" t="s">
        <v>136</v>
      </c>
      <c r="B297" s="944">
        <v>1.0</v>
      </c>
      <c r="C297" s="944">
        <v>0.0</v>
      </c>
      <c r="D297" s="944">
        <v>1.0</v>
      </c>
      <c r="E297" s="944">
        <v>0.0</v>
      </c>
      <c r="F297" s="944">
        <v>1.0</v>
      </c>
      <c r="G297" s="944">
        <v>63.0</v>
      </c>
      <c r="H297" s="944">
        <v>83.0</v>
      </c>
      <c r="I297" s="944">
        <v>-20.0</v>
      </c>
      <c r="J297" s="944">
        <v>6.0</v>
      </c>
      <c r="K297" s="944">
        <v>4.0</v>
      </c>
      <c r="L297" s="944">
        <v>0.0</v>
      </c>
      <c r="M297" s="944">
        <v>687.0</v>
      </c>
      <c r="N297" s="944">
        <v>997.0</v>
      </c>
      <c r="O297" s="944">
        <v>8.0</v>
      </c>
      <c r="P297" s="944">
        <v>3.0</v>
      </c>
      <c r="Q297" s="944">
        <v>0.0</v>
      </c>
      <c r="R297" s="944">
        <v>0.0</v>
      </c>
      <c r="S297" s="944">
        <v>0.0</v>
      </c>
      <c r="T297" s="944">
        <v>0.0</v>
      </c>
      <c r="U297" s="944">
        <v>0.0</v>
      </c>
      <c r="V297" s="944">
        <v>0.0</v>
      </c>
      <c r="W297" s="944">
        <v>0.0</v>
      </c>
      <c r="X297" s="944">
        <v>11.0</v>
      </c>
      <c r="Y297" s="944">
        <v>2.0</v>
      </c>
      <c r="Z297" s="944">
        <v>1.0</v>
      </c>
      <c r="AA297" s="944">
        <v>0.0</v>
      </c>
      <c r="AB297" s="944">
        <v>0.0</v>
      </c>
      <c r="AC297" s="944">
        <v>0.0</v>
      </c>
      <c r="AD297" s="944">
        <v>0.0</v>
      </c>
      <c r="AE297" s="944">
        <v>0.0</v>
      </c>
      <c r="AF297" s="944">
        <v>0.0</v>
      </c>
      <c r="AG297" s="944">
        <v>0.0</v>
      </c>
      <c r="AH297" s="944">
        <v>4.0</v>
      </c>
      <c r="AI297" s="944">
        <v>0.0</v>
      </c>
      <c r="AJ297" s="944">
        <v>9.0</v>
      </c>
      <c r="AK297" s="944">
        <v>8.0</v>
      </c>
      <c r="AL297" s="944">
        <v>1.0</v>
      </c>
      <c r="AM297" s="945">
        <v>0.0</v>
      </c>
    </row>
    <row r="298">
      <c r="A298" s="946" t="s">
        <v>153</v>
      </c>
      <c r="B298" s="939">
        <v>1.0</v>
      </c>
      <c r="C298" s="939">
        <v>1.0</v>
      </c>
      <c r="D298" s="939">
        <v>0.0</v>
      </c>
      <c r="E298" s="939">
        <v>5.0</v>
      </c>
      <c r="F298" s="939">
        <v>20.0</v>
      </c>
      <c r="G298" s="939">
        <v>95.0</v>
      </c>
      <c r="H298" s="939">
        <v>101.0</v>
      </c>
      <c r="I298" s="939">
        <v>-6.0</v>
      </c>
      <c r="J298" s="939">
        <v>1.0</v>
      </c>
      <c r="K298" s="939">
        <v>4.0</v>
      </c>
      <c r="L298" s="939">
        <v>1.0</v>
      </c>
      <c r="M298" s="939">
        <v>2891.0</v>
      </c>
      <c r="N298" s="939">
        <v>3284.0</v>
      </c>
      <c r="O298" s="939">
        <v>28.0</v>
      </c>
      <c r="P298" s="939">
        <v>2055.0</v>
      </c>
      <c r="Q298" s="939">
        <v>0.0</v>
      </c>
      <c r="R298" s="939">
        <v>0.0</v>
      </c>
      <c r="S298" s="939">
        <v>0.0</v>
      </c>
      <c r="T298" s="939">
        <v>0.0</v>
      </c>
      <c r="U298" s="939">
        <v>0.0</v>
      </c>
      <c r="V298" s="939">
        <v>0.0</v>
      </c>
      <c r="W298" s="939">
        <v>0.0</v>
      </c>
      <c r="X298" s="939">
        <v>15.0</v>
      </c>
      <c r="Y298" s="939">
        <v>1.0</v>
      </c>
      <c r="Z298" s="939">
        <v>0.0</v>
      </c>
      <c r="AA298" s="939">
        <v>0.0</v>
      </c>
      <c r="AB298" s="939">
        <v>0.0</v>
      </c>
      <c r="AC298" s="939">
        <v>0.0</v>
      </c>
      <c r="AD298" s="939">
        <v>0.0</v>
      </c>
      <c r="AE298" s="939">
        <v>0.0</v>
      </c>
      <c r="AF298" s="939">
        <v>0.0</v>
      </c>
      <c r="AG298" s="939">
        <v>0.0</v>
      </c>
      <c r="AH298" s="939">
        <v>1.0</v>
      </c>
      <c r="AI298" s="939">
        <v>0.0</v>
      </c>
      <c r="AJ298" s="939">
        <v>13.0</v>
      </c>
      <c r="AK298" s="939">
        <v>10.0</v>
      </c>
      <c r="AL298" s="939">
        <v>1.0</v>
      </c>
      <c r="AM298" s="940">
        <v>1.0</v>
      </c>
    </row>
    <row r="299">
      <c r="A299" s="935" t="s">
        <v>145</v>
      </c>
      <c r="B299" s="941">
        <v>1.0</v>
      </c>
      <c r="C299" s="941">
        <v>1.0</v>
      </c>
      <c r="D299" s="941">
        <v>0.0</v>
      </c>
      <c r="E299" s="941">
        <v>0.0</v>
      </c>
      <c r="F299" s="941">
        <v>0.0</v>
      </c>
      <c r="G299" s="941">
        <v>242.0</v>
      </c>
      <c r="H299" s="941">
        <v>225.0</v>
      </c>
      <c r="I299" s="941">
        <v>17.0</v>
      </c>
      <c r="J299" s="941">
        <v>15.0</v>
      </c>
      <c r="K299" s="941">
        <v>7.0</v>
      </c>
      <c r="L299" s="941">
        <v>3.0</v>
      </c>
      <c r="M299" s="941">
        <v>2511.0</v>
      </c>
      <c r="N299" s="941">
        <v>3284.0</v>
      </c>
      <c r="O299" s="941">
        <v>11.0</v>
      </c>
      <c r="P299" s="941">
        <v>18.0</v>
      </c>
      <c r="Q299" s="941">
        <v>0.0</v>
      </c>
      <c r="R299" s="941">
        <v>5.0</v>
      </c>
      <c r="S299" s="941">
        <v>0.0</v>
      </c>
      <c r="T299" s="941">
        <v>0.0</v>
      </c>
      <c r="U299" s="941">
        <v>0.0</v>
      </c>
      <c r="V299" s="941">
        <v>5.0</v>
      </c>
      <c r="W299" s="941">
        <v>0.0</v>
      </c>
      <c r="X299" s="941">
        <v>40.0</v>
      </c>
      <c r="Y299" s="941">
        <v>10.0</v>
      </c>
      <c r="Z299" s="941">
        <v>2.0</v>
      </c>
      <c r="AA299" s="941">
        <v>1.0</v>
      </c>
      <c r="AB299" s="941">
        <v>0.0</v>
      </c>
      <c r="AC299" s="941">
        <v>0.0</v>
      </c>
      <c r="AD299" s="941">
        <v>0.0</v>
      </c>
      <c r="AE299" s="941">
        <v>0.0</v>
      </c>
      <c r="AF299" s="941">
        <v>0.0</v>
      </c>
      <c r="AG299" s="941">
        <v>0.0</v>
      </c>
      <c r="AH299" s="941">
        <v>9.0</v>
      </c>
      <c r="AI299" s="941">
        <v>0.0</v>
      </c>
      <c r="AJ299" s="941">
        <v>25.0</v>
      </c>
      <c r="AK299" s="941">
        <v>34.0</v>
      </c>
      <c r="AL299" s="941">
        <v>0.0</v>
      </c>
      <c r="AM299" s="942">
        <v>1.0</v>
      </c>
    </row>
    <row r="300">
      <c r="A300" s="935" t="s">
        <v>120</v>
      </c>
      <c r="B300" s="941">
        <v>1.0</v>
      </c>
      <c r="C300" s="941">
        <v>1.0</v>
      </c>
      <c r="D300" s="941">
        <v>0.0</v>
      </c>
      <c r="E300" s="941">
        <v>0.0</v>
      </c>
      <c r="F300" s="941">
        <v>0.0</v>
      </c>
      <c r="G300" s="941">
        <v>234.0</v>
      </c>
      <c r="H300" s="941">
        <v>183.0</v>
      </c>
      <c r="I300" s="941">
        <v>51.0</v>
      </c>
      <c r="J300" s="941">
        <v>22.0</v>
      </c>
      <c r="K300" s="941">
        <v>6.0</v>
      </c>
      <c r="L300" s="941">
        <v>4.0</v>
      </c>
      <c r="M300" s="941">
        <v>2642.0</v>
      </c>
      <c r="N300" s="941">
        <v>3284.0</v>
      </c>
      <c r="O300" s="941">
        <v>14.0</v>
      </c>
      <c r="P300" s="941">
        <v>17.0</v>
      </c>
      <c r="Q300" s="941">
        <v>0.0</v>
      </c>
      <c r="R300" s="941">
        <v>6.0</v>
      </c>
      <c r="S300" s="941">
        <v>0.0</v>
      </c>
      <c r="T300" s="941">
        <v>0.0</v>
      </c>
      <c r="U300" s="941">
        <v>0.0</v>
      </c>
      <c r="V300" s="941">
        <v>5.0</v>
      </c>
      <c r="W300" s="941">
        <v>0.0</v>
      </c>
      <c r="X300" s="941">
        <v>42.0</v>
      </c>
      <c r="Y300" s="941">
        <v>8.0</v>
      </c>
      <c r="Z300" s="941">
        <v>3.0</v>
      </c>
      <c r="AA300" s="941">
        <v>0.0</v>
      </c>
      <c r="AB300" s="941">
        <v>0.0</v>
      </c>
      <c r="AC300" s="941">
        <v>0.0</v>
      </c>
      <c r="AD300" s="941">
        <v>0.0</v>
      </c>
      <c r="AE300" s="941">
        <v>0.0</v>
      </c>
      <c r="AF300" s="941">
        <v>0.0</v>
      </c>
      <c r="AG300" s="941">
        <v>0.0</v>
      </c>
      <c r="AH300" s="941">
        <v>13.0</v>
      </c>
      <c r="AI300" s="941">
        <v>0.0</v>
      </c>
      <c r="AJ300" s="941">
        <v>21.0</v>
      </c>
      <c r="AK300" s="941">
        <v>39.0</v>
      </c>
      <c r="AL300" s="941">
        <v>2.0</v>
      </c>
      <c r="AM300" s="942">
        <v>1.0</v>
      </c>
    </row>
    <row r="301">
      <c r="A301" s="935" t="s">
        <v>131</v>
      </c>
      <c r="B301" s="941">
        <v>1.0</v>
      </c>
      <c r="C301" s="941">
        <v>1.0</v>
      </c>
      <c r="D301" s="941">
        <v>0.0</v>
      </c>
      <c r="E301" s="941">
        <v>0.0</v>
      </c>
      <c r="F301" s="941">
        <v>1.0</v>
      </c>
      <c r="G301" s="941">
        <v>204.0</v>
      </c>
      <c r="H301" s="941">
        <v>179.0</v>
      </c>
      <c r="I301" s="941">
        <v>25.0</v>
      </c>
      <c r="J301" s="941">
        <v>11.0</v>
      </c>
      <c r="K301" s="941">
        <v>7.0</v>
      </c>
      <c r="L301" s="941">
        <v>4.0</v>
      </c>
      <c r="M301" s="941">
        <v>2660.0</v>
      </c>
      <c r="N301" s="941">
        <v>3284.0</v>
      </c>
      <c r="O301" s="941">
        <v>14.0</v>
      </c>
      <c r="P301" s="941">
        <v>66.0</v>
      </c>
      <c r="Q301" s="941">
        <v>0.0</v>
      </c>
      <c r="R301" s="941">
        <v>4.0</v>
      </c>
      <c r="S301" s="941">
        <v>0.0</v>
      </c>
      <c r="T301" s="941">
        <v>0.0</v>
      </c>
      <c r="U301" s="941">
        <v>0.0</v>
      </c>
      <c r="V301" s="941">
        <v>3.0</v>
      </c>
      <c r="W301" s="941">
        <v>0.0</v>
      </c>
      <c r="X301" s="941">
        <v>27.0</v>
      </c>
      <c r="Y301" s="941">
        <v>3.0</v>
      </c>
      <c r="Z301" s="941">
        <v>1.0</v>
      </c>
      <c r="AA301" s="941">
        <v>0.0</v>
      </c>
      <c r="AB301" s="941">
        <v>0.0</v>
      </c>
      <c r="AC301" s="941">
        <v>0.0</v>
      </c>
      <c r="AD301" s="941">
        <v>0.0</v>
      </c>
      <c r="AE301" s="941">
        <v>0.0</v>
      </c>
      <c r="AF301" s="941">
        <v>0.0</v>
      </c>
      <c r="AG301" s="941">
        <v>0.0</v>
      </c>
      <c r="AH301" s="941">
        <v>8.0</v>
      </c>
      <c r="AI301" s="941">
        <v>0.0</v>
      </c>
      <c r="AJ301" s="941">
        <v>21.0</v>
      </c>
      <c r="AK301" s="941">
        <v>28.0</v>
      </c>
      <c r="AL301" s="941">
        <v>0.0</v>
      </c>
      <c r="AM301" s="942">
        <v>1.0</v>
      </c>
    </row>
    <row r="302">
      <c r="A302" s="935" t="s">
        <v>119</v>
      </c>
      <c r="B302" s="941">
        <v>1.0</v>
      </c>
      <c r="C302" s="941">
        <v>0.0</v>
      </c>
      <c r="D302" s="941">
        <v>1.0</v>
      </c>
      <c r="E302" s="941">
        <v>1.0</v>
      </c>
      <c r="F302" s="941">
        <v>18.0</v>
      </c>
      <c r="G302" s="941">
        <v>159.0</v>
      </c>
      <c r="H302" s="941">
        <v>160.0</v>
      </c>
      <c r="I302" s="941">
        <v>-1.0</v>
      </c>
      <c r="J302" s="941">
        <v>13.0</v>
      </c>
      <c r="K302" s="941">
        <v>7.0</v>
      </c>
      <c r="L302" s="941">
        <v>0.0</v>
      </c>
      <c r="M302" s="941">
        <v>2722.0</v>
      </c>
      <c r="N302" s="941">
        <v>3284.0</v>
      </c>
      <c r="O302" s="941">
        <v>17.0</v>
      </c>
      <c r="P302" s="941">
        <v>750.0</v>
      </c>
      <c r="Q302" s="941">
        <v>0.0</v>
      </c>
      <c r="R302" s="941">
        <v>2.0</v>
      </c>
      <c r="S302" s="941">
        <v>0.0</v>
      </c>
      <c r="T302" s="941">
        <v>0.0</v>
      </c>
      <c r="U302" s="941">
        <v>0.0</v>
      </c>
      <c r="V302" s="941">
        <v>1.0</v>
      </c>
      <c r="W302" s="941">
        <v>0.0</v>
      </c>
      <c r="X302" s="941">
        <v>22.0</v>
      </c>
      <c r="Y302" s="941">
        <v>5.0</v>
      </c>
      <c r="Z302" s="941">
        <v>0.0</v>
      </c>
      <c r="AA302" s="941">
        <v>0.0</v>
      </c>
      <c r="AB302" s="941">
        <v>0.0</v>
      </c>
      <c r="AC302" s="941">
        <v>0.0</v>
      </c>
      <c r="AD302" s="941">
        <v>0.0</v>
      </c>
      <c r="AE302" s="941">
        <v>0.0</v>
      </c>
      <c r="AF302" s="941">
        <v>0.0</v>
      </c>
      <c r="AG302" s="941">
        <v>0.0</v>
      </c>
      <c r="AH302" s="941">
        <v>2.0</v>
      </c>
      <c r="AI302" s="941">
        <v>0.0</v>
      </c>
      <c r="AJ302" s="941">
        <v>15.0</v>
      </c>
      <c r="AK302" s="941">
        <v>27.0</v>
      </c>
      <c r="AL302" s="941">
        <v>0.0</v>
      </c>
      <c r="AM302" s="942">
        <v>0.0</v>
      </c>
    </row>
    <row r="303">
      <c r="A303" s="935" t="s">
        <v>141</v>
      </c>
      <c r="B303" s="941">
        <v>1.0</v>
      </c>
      <c r="C303" s="941">
        <v>0.0</v>
      </c>
      <c r="D303" s="941">
        <v>1.0</v>
      </c>
      <c r="E303" s="941">
        <v>1.0</v>
      </c>
      <c r="F303" s="941">
        <v>2.0</v>
      </c>
      <c r="G303" s="941">
        <v>174.0</v>
      </c>
      <c r="H303" s="941">
        <v>273.0</v>
      </c>
      <c r="I303" s="941">
        <v>-99.0</v>
      </c>
      <c r="J303" s="941">
        <v>10.0</v>
      </c>
      <c r="K303" s="941">
        <v>4.0</v>
      </c>
      <c r="L303" s="941">
        <v>1.0</v>
      </c>
      <c r="M303" s="941">
        <v>2370.0</v>
      </c>
      <c r="N303" s="941">
        <v>3284.0</v>
      </c>
      <c r="O303" s="941">
        <v>8.0</v>
      </c>
      <c r="P303" s="941">
        <v>50.0</v>
      </c>
      <c r="Q303" s="941">
        <v>0.0</v>
      </c>
      <c r="R303" s="941">
        <v>0.0</v>
      </c>
      <c r="S303" s="941">
        <v>0.0</v>
      </c>
      <c r="T303" s="941">
        <v>0.0</v>
      </c>
      <c r="U303" s="941">
        <v>0.0</v>
      </c>
      <c r="V303" s="941">
        <v>0.0</v>
      </c>
      <c r="W303" s="941">
        <v>0.0</v>
      </c>
      <c r="X303" s="941">
        <v>16.0</v>
      </c>
      <c r="Y303" s="941">
        <v>3.0</v>
      </c>
      <c r="Z303" s="941">
        <v>0.0</v>
      </c>
      <c r="AA303" s="941">
        <v>0.0</v>
      </c>
      <c r="AB303" s="941">
        <v>0.0</v>
      </c>
      <c r="AC303" s="941">
        <v>0.0</v>
      </c>
      <c r="AD303" s="941">
        <v>0.0</v>
      </c>
      <c r="AE303" s="941">
        <v>0.0</v>
      </c>
      <c r="AF303" s="941">
        <v>0.0</v>
      </c>
      <c r="AG303" s="941">
        <v>0.0</v>
      </c>
      <c r="AH303" s="941">
        <v>5.0</v>
      </c>
      <c r="AI303" s="941">
        <v>0.0</v>
      </c>
      <c r="AJ303" s="941">
        <v>17.0</v>
      </c>
      <c r="AK303" s="941">
        <v>16.0</v>
      </c>
      <c r="AL303" s="941">
        <v>2.0</v>
      </c>
      <c r="AM303" s="942">
        <v>0.0</v>
      </c>
    </row>
    <row r="304">
      <c r="A304" s="935" t="s">
        <v>130</v>
      </c>
      <c r="B304" s="941">
        <v>1.0</v>
      </c>
      <c r="C304" s="941">
        <v>0.0</v>
      </c>
      <c r="D304" s="941">
        <v>1.0</v>
      </c>
      <c r="E304" s="941">
        <v>0.0</v>
      </c>
      <c r="F304" s="941">
        <v>1.0</v>
      </c>
      <c r="G304" s="941">
        <v>175.0</v>
      </c>
      <c r="H304" s="941">
        <v>146.0</v>
      </c>
      <c r="I304" s="941">
        <v>29.0</v>
      </c>
      <c r="J304" s="941">
        <v>16.0</v>
      </c>
      <c r="K304" s="941">
        <v>6.0</v>
      </c>
      <c r="L304" s="941">
        <v>10.0</v>
      </c>
      <c r="M304" s="941">
        <v>2762.0</v>
      </c>
      <c r="N304" s="941">
        <v>3284.0</v>
      </c>
      <c r="O304" s="941">
        <v>18.0</v>
      </c>
      <c r="P304" s="941">
        <v>32.0</v>
      </c>
      <c r="Q304" s="941">
        <v>0.0</v>
      </c>
      <c r="R304" s="941">
        <v>3.0</v>
      </c>
      <c r="S304" s="941">
        <v>0.0</v>
      </c>
      <c r="T304" s="941">
        <v>0.0</v>
      </c>
      <c r="U304" s="941">
        <v>0.0</v>
      </c>
      <c r="V304" s="941">
        <v>3.0</v>
      </c>
      <c r="W304" s="941">
        <v>0.0</v>
      </c>
      <c r="X304" s="941">
        <v>18.0</v>
      </c>
      <c r="Y304" s="941">
        <v>2.0</v>
      </c>
      <c r="Z304" s="941">
        <v>0.0</v>
      </c>
      <c r="AA304" s="941">
        <v>0.0</v>
      </c>
      <c r="AB304" s="941">
        <v>0.0</v>
      </c>
      <c r="AC304" s="941">
        <v>0.0</v>
      </c>
      <c r="AD304" s="941">
        <v>0.0</v>
      </c>
      <c r="AE304" s="941">
        <v>0.0</v>
      </c>
      <c r="AF304" s="941">
        <v>0.0</v>
      </c>
      <c r="AG304" s="941">
        <v>0.0</v>
      </c>
      <c r="AH304" s="941">
        <v>6.0</v>
      </c>
      <c r="AI304" s="941">
        <v>0.0</v>
      </c>
      <c r="AJ304" s="941">
        <v>33.0</v>
      </c>
      <c r="AK304" s="941">
        <v>24.0</v>
      </c>
      <c r="AL304" s="941">
        <v>2.0</v>
      </c>
      <c r="AM304" s="942">
        <v>0.0</v>
      </c>
    </row>
    <row r="305">
      <c r="A305" s="943" t="s">
        <v>152</v>
      </c>
      <c r="B305" s="944">
        <v>1.0</v>
      </c>
      <c r="C305" s="944">
        <v>0.0</v>
      </c>
      <c r="D305" s="944">
        <v>1.0</v>
      </c>
      <c r="E305" s="944">
        <v>0.0</v>
      </c>
      <c r="F305" s="944">
        <v>0.0</v>
      </c>
      <c r="G305" s="944">
        <v>161.0</v>
      </c>
      <c r="H305" s="944">
        <v>220.0</v>
      </c>
      <c r="I305" s="944">
        <v>-59.0</v>
      </c>
      <c r="J305" s="944">
        <v>7.0</v>
      </c>
      <c r="K305" s="944">
        <v>6.0</v>
      </c>
      <c r="L305" s="944">
        <v>3.0</v>
      </c>
      <c r="M305" s="944">
        <v>2532.0</v>
      </c>
      <c r="N305" s="944">
        <v>3284.0</v>
      </c>
      <c r="O305" s="944">
        <v>11.0</v>
      </c>
      <c r="P305" s="944">
        <v>3.0</v>
      </c>
      <c r="Q305" s="944">
        <v>0.0</v>
      </c>
      <c r="R305" s="944">
        <v>1.0</v>
      </c>
      <c r="S305" s="944">
        <v>0.0</v>
      </c>
      <c r="T305" s="944">
        <v>0.0</v>
      </c>
      <c r="U305" s="944">
        <v>0.0</v>
      </c>
      <c r="V305" s="944">
        <v>1.0</v>
      </c>
      <c r="W305" s="944">
        <v>0.0</v>
      </c>
      <c r="X305" s="944">
        <v>23.0</v>
      </c>
      <c r="Y305" s="944">
        <v>2.0</v>
      </c>
      <c r="Z305" s="944">
        <v>1.0</v>
      </c>
      <c r="AA305" s="944">
        <v>0.0</v>
      </c>
      <c r="AB305" s="944">
        <v>0.0</v>
      </c>
      <c r="AC305" s="944">
        <v>0.0</v>
      </c>
      <c r="AD305" s="944">
        <v>0.0</v>
      </c>
      <c r="AE305" s="944">
        <v>0.0</v>
      </c>
      <c r="AF305" s="944">
        <v>0.0</v>
      </c>
      <c r="AG305" s="944">
        <v>0.0</v>
      </c>
      <c r="AH305" s="944">
        <v>5.0</v>
      </c>
      <c r="AI305" s="944">
        <v>0.0</v>
      </c>
      <c r="AJ305" s="944">
        <v>10.0</v>
      </c>
      <c r="AK305" s="944">
        <v>31.0</v>
      </c>
      <c r="AL305" s="944">
        <v>0.0</v>
      </c>
      <c r="AM305" s="945">
        <v>0.0</v>
      </c>
    </row>
    <row r="306">
      <c r="A306" s="946" t="s">
        <v>123</v>
      </c>
      <c r="B306" s="939">
        <v>1.0</v>
      </c>
      <c r="C306" s="939">
        <v>1.0</v>
      </c>
      <c r="D306" s="939">
        <v>0.0</v>
      </c>
      <c r="E306" s="939">
        <v>3.0</v>
      </c>
      <c r="F306" s="939">
        <v>22.0</v>
      </c>
      <c r="G306" s="939">
        <v>33.0</v>
      </c>
      <c r="H306" s="939">
        <v>12.0</v>
      </c>
      <c r="I306" s="939">
        <v>21.0</v>
      </c>
      <c r="J306" s="939">
        <v>0.0</v>
      </c>
      <c r="K306" s="939">
        <v>10.0</v>
      </c>
      <c r="L306" s="939">
        <v>0.0</v>
      </c>
      <c r="M306" s="939">
        <v>595.0</v>
      </c>
      <c r="N306" s="939">
        <v>700.0</v>
      </c>
      <c r="O306" s="939">
        <v>49.0</v>
      </c>
      <c r="P306" s="939">
        <v>478.0</v>
      </c>
      <c r="Q306" s="939">
        <v>0.0</v>
      </c>
      <c r="R306" s="939">
        <v>2.0</v>
      </c>
      <c r="S306" s="939">
        <v>1.0</v>
      </c>
      <c r="T306" s="939">
        <v>0.0</v>
      </c>
      <c r="U306" s="939">
        <v>0.0</v>
      </c>
      <c r="V306" s="939">
        <v>0.0</v>
      </c>
      <c r="W306" s="939">
        <v>0.0</v>
      </c>
      <c r="X306" s="939">
        <v>6.0</v>
      </c>
      <c r="Y306" s="939">
        <v>0.0</v>
      </c>
      <c r="Z306" s="939">
        <v>0.0</v>
      </c>
      <c r="AA306" s="939">
        <v>0.0</v>
      </c>
      <c r="AB306" s="939">
        <v>0.0</v>
      </c>
      <c r="AC306" s="939">
        <v>0.0</v>
      </c>
      <c r="AD306" s="939">
        <v>0.0</v>
      </c>
      <c r="AE306" s="939">
        <v>0.0</v>
      </c>
      <c r="AF306" s="939">
        <v>0.0</v>
      </c>
      <c r="AG306" s="939">
        <v>0.0</v>
      </c>
      <c r="AH306" s="939">
        <v>1.0</v>
      </c>
      <c r="AI306" s="939">
        <v>0.0</v>
      </c>
      <c r="AJ306" s="939">
        <v>6.0</v>
      </c>
      <c r="AK306" s="939">
        <v>1.0</v>
      </c>
      <c r="AL306" s="939">
        <v>0.0</v>
      </c>
      <c r="AM306" s="940">
        <v>1.0</v>
      </c>
    </row>
    <row r="307">
      <c r="A307" s="935" t="s">
        <v>156</v>
      </c>
      <c r="B307" s="941">
        <v>1.0</v>
      </c>
      <c r="C307" s="941">
        <v>1.0</v>
      </c>
      <c r="D307" s="941">
        <v>0.0</v>
      </c>
      <c r="E307" s="941">
        <v>2.0</v>
      </c>
      <c r="F307" s="941">
        <v>0.0</v>
      </c>
      <c r="G307" s="941">
        <v>32.0</v>
      </c>
      <c r="H307" s="941">
        <v>42.0</v>
      </c>
      <c r="I307" s="941">
        <v>-10.0</v>
      </c>
      <c r="J307" s="941">
        <v>5.0</v>
      </c>
      <c r="K307" s="941">
        <v>3.0</v>
      </c>
      <c r="L307" s="941">
        <v>0.0</v>
      </c>
      <c r="M307" s="941">
        <v>502.0</v>
      </c>
      <c r="N307" s="941">
        <v>700.0</v>
      </c>
      <c r="O307" s="941">
        <v>11.0</v>
      </c>
      <c r="P307" s="941">
        <v>6.0</v>
      </c>
      <c r="Q307" s="941">
        <v>0.0</v>
      </c>
      <c r="R307" s="941">
        <v>0.0</v>
      </c>
      <c r="S307" s="941">
        <v>0.0</v>
      </c>
      <c r="T307" s="941">
        <v>0.0</v>
      </c>
      <c r="U307" s="941">
        <v>0.0</v>
      </c>
      <c r="V307" s="941">
        <v>0.0</v>
      </c>
      <c r="W307" s="941">
        <v>0.0</v>
      </c>
      <c r="X307" s="941">
        <v>5.0</v>
      </c>
      <c r="Y307" s="941">
        <v>0.0</v>
      </c>
      <c r="Z307" s="941">
        <v>0.0</v>
      </c>
      <c r="AA307" s="941">
        <v>0.0</v>
      </c>
      <c r="AB307" s="941">
        <v>0.0</v>
      </c>
      <c r="AC307" s="941">
        <v>0.0</v>
      </c>
      <c r="AD307" s="941">
        <v>0.0</v>
      </c>
      <c r="AE307" s="941">
        <v>0.0</v>
      </c>
      <c r="AF307" s="941">
        <v>0.0</v>
      </c>
      <c r="AG307" s="941">
        <v>0.0</v>
      </c>
      <c r="AH307" s="941">
        <v>3.0</v>
      </c>
      <c r="AI307" s="941">
        <v>0.0</v>
      </c>
      <c r="AJ307" s="941">
        <v>2.0</v>
      </c>
      <c r="AK307" s="941">
        <v>5.0</v>
      </c>
      <c r="AL307" s="941">
        <v>0.0</v>
      </c>
      <c r="AM307" s="942">
        <v>1.0</v>
      </c>
    </row>
    <row r="308">
      <c r="A308" s="935" t="s">
        <v>145</v>
      </c>
      <c r="B308" s="941">
        <v>1.0</v>
      </c>
      <c r="C308" s="941">
        <v>1.0</v>
      </c>
      <c r="D308" s="941">
        <v>0.0</v>
      </c>
      <c r="E308" s="941">
        <v>0.0</v>
      </c>
      <c r="F308" s="941">
        <v>0.0</v>
      </c>
      <c r="G308" s="941">
        <v>55.0</v>
      </c>
      <c r="H308" s="941">
        <v>41.0</v>
      </c>
      <c r="I308" s="941">
        <v>14.0</v>
      </c>
      <c r="J308" s="941">
        <v>7.0</v>
      </c>
      <c r="K308" s="941">
        <v>5.0</v>
      </c>
      <c r="L308" s="941">
        <v>0.0</v>
      </c>
      <c r="M308" s="941">
        <v>508.0</v>
      </c>
      <c r="N308" s="941">
        <v>700.0</v>
      </c>
      <c r="O308" s="941">
        <v>12.0</v>
      </c>
      <c r="P308" s="941">
        <v>0.0</v>
      </c>
      <c r="Q308" s="941">
        <v>0.0</v>
      </c>
      <c r="R308" s="941">
        <v>1.0</v>
      </c>
      <c r="S308" s="941">
        <v>0.0</v>
      </c>
      <c r="T308" s="941">
        <v>0.0</v>
      </c>
      <c r="U308" s="941">
        <v>0.0</v>
      </c>
      <c r="V308" s="941">
        <v>1.0</v>
      </c>
      <c r="W308" s="941">
        <v>0.0</v>
      </c>
      <c r="X308" s="941">
        <v>12.0</v>
      </c>
      <c r="Y308" s="941">
        <v>4.0</v>
      </c>
      <c r="Z308" s="941">
        <v>1.0</v>
      </c>
      <c r="AA308" s="941">
        <v>0.0</v>
      </c>
      <c r="AB308" s="941">
        <v>0.0</v>
      </c>
      <c r="AC308" s="941">
        <v>0.0</v>
      </c>
      <c r="AD308" s="941">
        <v>0.0</v>
      </c>
      <c r="AE308" s="941">
        <v>0.0</v>
      </c>
      <c r="AF308" s="941">
        <v>0.0</v>
      </c>
      <c r="AG308" s="941">
        <v>0.0</v>
      </c>
      <c r="AH308" s="941">
        <v>7.0</v>
      </c>
      <c r="AI308" s="941">
        <v>0.0</v>
      </c>
      <c r="AJ308" s="941">
        <v>7.0</v>
      </c>
      <c r="AK308" s="941">
        <v>8.0</v>
      </c>
      <c r="AL308" s="941">
        <v>0.0</v>
      </c>
      <c r="AM308" s="942">
        <v>1.0</v>
      </c>
    </row>
    <row r="309">
      <c r="A309" s="935" t="s">
        <v>138</v>
      </c>
      <c r="B309" s="941">
        <v>1.0</v>
      </c>
      <c r="C309" s="941">
        <v>1.0</v>
      </c>
      <c r="D309" s="941">
        <v>0.0</v>
      </c>
      <c r="E309" s="941">
        <v>0.0</v>
      </c>
      <c r="F309" s="941">
        <v>0.0</v>
      </c>
      <c r="G309" s="941">
        <v>56.0</v>
      </c>
      <c r="H309" s="941">
        <v>35.0</v>
      </c>
      <c r="I309" s="941">
        <v>21.0</v>
      </c>
      <c r="J309" s="941">
        <v>1.0</v>
      </c>
      <c r="K309" s="941">
        <v>5.0</v>
      </c>
      <c r="L309" s="941">
        <v>0.0</v>
      </c>
      <c r="M309" s="941">
        <v>531.0</v>
      </c>
      <c r="N309" s="941">
        <v>700.0</v>
      </c>
      <c r="O309" s="941">
        <v>15.0</v>
      </c>
      <c r="P309" s="941">
        <v>5.0</v>
      </c>
      <c r="Q309" s="941">
        <v>0.0</v>
      </c>
      <c r="R309" s="941">
        <v>1.0</v>
      </c>
      <c r="S309" s="941">
        <v>0.0</v>
      </c>
      <c r="T309" s="941">
        <v>0.0</v>
      </c>
      <c r="U309" s="941">
        <v>0.0</v>
      </c>
      <c r="V309" s="941">
        <v>0.0</v>
      </c>
      <c r="W309" s="941">
        <v>0.0</v>
      </c>
      <c r="X309" s="941">
        <v>12.0</v>
      </c>
      <c r="Y309" s="941">
        <v>4.0</v>
      </c>
      <c r="Z309" s="941">
        <v>0.0</v>
      </c>
      <c r="AA309" s="941">
        <v>0.0</v>
      </c>
      <c r="AB309" s="941">
        <v>0.0</v>
      </c>
      <c r="AC309" s="941">
        <v>0.0</v>
      </c>
      <c r="AD309" s="941">
        <v>0.0</v>
      </c>
      <c r="AE309" s="941">
        <v>0.0</v>
      </c>
      <c r="AF309" s="941">
        <v>0.0</v>
      </c>
      <c r="AG309" s="941">
        <v>0.0</v>
      </c>
      <c r="AH309" s="941">
        <v>3.0</v>
      </c>
      <c r="AI309" s="941">
        <v>0.0</v>
      </c>
      <c r="AJ309" s="941">
        <v>3.0</v>
      </c>
      <c r="AK309" s="941">
        <v>5.0</v>
      </c>
      <c r="AL309" s="941">
        <v>2.0</v>
      </c>
      <c r="AM309" s="942">
        <v>1.0</v>
      </c>
    </row>
    <row r="310">
      <c r="A310" s="935" t="s">
        <v>117</v>
      </c>
      <c r="B310" s="941">
        <v>1.0</v>
      </c>
      <c r="C310" s="941">
        <v>0.0</v>
      </c>
      <c r="D310" s="941">
        <v>1.0</v>
      </c>
      <c r="E310" s="941">
        <v>0.0</v>
      </c>
      <c r="F310" s="941">
        <v>0.0</v>
      </c>
      <c r="G310" s="941">
        <v>33.0</v>
      </c>
      <c r="H310" s="941">
        <v>44.0</v>
      </c>
      <c r="I310" s="941">
        <v>-11.0</v>
      </c>
      <c r="J310" s="941">
        <v>2.0</v>
      </c>
      <c r="K310" s="941">
        <v>4.0</v>
      </c>
      <c r="L310" s="941">
        <v>1.0</v>
      </c>
      <c r="M310" s="941">
        <v>507.0</v>
      </c>
      <c r="N310" s="941">
        <v>700.0</v>
      </c>
      <c r="O310" s="941">
        <v>11.0</v>
      </c>
      <c r="P310" s="941">
        <v>12.0</v>
      </c>
      <c r="Q310" s="941">
        <v>0.0</v>
      </c>
      <c r="R310" s="941">
        <v>0.0</v>
      </c>
      <c r="S310" s="941">
        <v>0.0</v>
      </c>
      <c r="T310" s="941">
        <v>0.0</v>
      </c>
      <c r="U310" s="941">
        <v>0.0</v>
      </c>
      <c r="V310" s="941">
        <v>0.0</v>
      </c>
      <c r="W310" s="941">
        <v>0.0</v>
      </c>
      <c r="X310" s="941">
        <v>7.0</v>
      </c>
      <c r="Y310" s="941">
        <v>3.0</v>
      </c>
      <c r="Z310" s="941">
        <v>0.0</v>
      </c>
      <c r="AA310" s="941">
        <v>0.0</v>
      </c>
      <c r="AB310" s="941">
        <v>0.0</v>
      </c>
      <c r="AC310" s="941">
        <v>0.0</v>
      </c>
      <c r="AD310" s="941">
        <v>0.0</v>
      </c>
      <c r="AE310" s="941">
        <v>0.0</v>
      </c>
      <c r="AF310" s="941">
        <v>0.0</v>
      </c>
      <c r="AG310" s="941">
        <v>0.0</v>
      </c>
      <c r="AH310" s="941">
        <v>1.0</v>
      </c>
      <c r="AI310" s="941">
        <v>0.0</v>
      </c>
      <c r="AJ310" s="941">
        <v>6.0</v>
      </c>
      <c r="AK310" s="941">
        <v>4.0</v>
      </c>
      <c r="AL310" s="941">
        <v>0.0</v>
      </c>
      <c r="AM310" s="942">
        <v>0.0</v>
      </c>
    </row>
    <row r="311">
      <c r="A311" s="935" t="s">
        <v>139</v>
      </c>
      <c r="B311" s="941">
        <v>1.0</v>
      </c>
      <c r="C311" s="941">
        <v>0.0</v>
      </c>
      <c r="D311" s="941">
        <v>1.0</v>
      </c>
      <c r="E311" s="941">
        <v>0.0</v>
      </c>
      <c r="F311" s="941">
        <v>1.0</v>
      </c>
      <c r="G311" s="941">
        <v>34.0</v>
      </c>
      <c r="H311" s="941">
        <v>42.0</v>
      </c>
      <c r="I311" s="941">
        <v>-8.0</v>
      </c>
      <c r="J311" s="941">
        <v>5.0</v>
      </c>
      <c r="K311" s="941">
        <v>3.0</v>
      </c>
      <c r="L311" s="941">
        <v>1.0</v>
      </c>
      <c r="M311" s="941">
        <v>513.0</v>
      </c>
      <c r="N311" s="941">
        <v>700.0</v>
      </c>
      <c r="O311" s="941">
        <v>12.0</v>
      </c>
      <c r="P311" s="941">
        <v>0.0</v>
      </c>
      <c r="Q311" s="941">
        <v>0.0</v>
      </c>
      <c r="R311" s="941">
        <v>0.0</v>
      </c>
      <c r="S311" s="941">
        <v>0.0</v>
      </c>
      <c r="T311" s="941">
        <v>0.0</v>
      </c>
      <c r="U311" s="941">
        <v>0.0</v>
      </c>
      <c r="V311" s="941">
        <v>0.0</v>
      </c>
      <c r="W311" s="941">
        <v>0.0</v>
      </c>
      <c r="X311" s="941">
        <v>3.0</v>
      </c>
      <c r="Y311" s="941">
        <v>0.0</v>
      </c>
      <c r="Z311" s="941">
        <v>0.0</v>
      </c>
      <c r="AA311" s="941">
        <v>0.0</v>
      </c>
      <c r="AB311" s="941">
        <v>0.0</v>
      </c>
      <c r="AC311" s="941">
        <v>0.0</v>
      </c>
      <c r="AD311" s="941">
        <v>0.0</v>
      </c>
      <c r="AE311" s="941">
        <v>0.0</v>
      </c>
      <c r="AF311" s="941">
        <v>0.0</v>
      </c>
      <c r="AG311" s="941">
        <v>0.0</v>
      </c>
      <c r="AH311" s="941">
        <v>0.0</v>
      </c>
      <c r="AI311" s="941">
        <v>0.0</v>
      </c>
      <c r="AJ311" s="941">
        <v>3.0</v>
      </c>
      <c r="AK311" s="941">
        <v>7.0</v>
      </c>
      <c r="AL311" s="941">
        <v>1.0</v>
      </c>
      <c r="AM311" s="942">
        <v>0.0</v>
      </c>
    </row>
    <row r="312">
      <c r="A312" s="935" t="s">
        <v>150</v>
      </c>
      <c r="B312" s="941">
        <v>1.0</v>
      </c>
      <c r="C312" s="941">
        <v>0.0</v>
      </c>
      <c r="D312" s="941">
        <v>1.0</v>
      </c>
      <c r="E312" s="941">
        <v>0.0</v>
      </c>
      <c r="F312" s="941">
        <v>1.0</v>
      </c>
      <c r="G312" s="941">
        <v>21.0</v>
      </c>
      <c r="H312" s="941">
        <v>51.0</v>
      </c>
      <c r="I312" s="941">
        <v>-30.0</v>
      </c>
      <c r="J312" s="941">
        <v>0.0</v>
      </c>
      <c r="K312" s="941">
        <v>2.0</v>
      </c>
      <c r="L312" s="941">
        <v>0.0</v>
      </c>
      <c r="M312" s="941">
        <v>480.0</v>
      </c>
      <c r="N312" s="941">
        <v>700.0</v>
      </c>
      <c r="O312" s="941">
        <v>9.0</v>
      </c>
      <c r="P312" s="941">
        <v>70.0</v>
      </c>
      <c r="Q312" s="941">
        <v>0.0</v>
      </c>
      <c r="R312" s="941">
        <v>0.0</v>
      </c>
      <c r="S312" s="941">
        <v>0.0</v>
      </c>
      <c r="T312" s="941">
        <v>0.0</v>
      </c>
      <c r="U312" s="941">
        <v>0.0</v>
      </c>
      <c r="V312" s="941">
        <v>0.0</v>
      </c>
      <c r="W312" s="941">
        <v>0.0</v>
      </c>
      <c r="X312" s="941">
        <v>1.0</v>
      </c>
      <c r="Y312" s="941">
        <v>0.0</v>
      </c>
      <c r="Z312" s="941">
        <v>0.0</v>
      </c>
      <c r="AA312" s="941">
        <v>0.0</v>
      </c>
      <c r="AB312" s="941">
        <v>0.0</v>
      </c>
      <c r="AC312" s="941">
        <v>0.0</v>
      </c>
      <c r="AD312" s="941">
        <v>0.0</v>
      </c>
      <c r="AE312" s="941">
        <v>0.0</v>
      </c>
      <c r="AF312" s="941">
        <v>0.0</v>
      </c>
      <c r="AG312" s="941">
        <v>0.0</v>
      </c>
      <c r="AH312" s="941">
        <v>0.0</v>
      </c>
      <c r="AI312" s="941">
        <v>0.0</v>
      </c>
      <c r="AJ312" s="941">
        <v>3.0</v>
      </c>
      <c r="AK312" s="941">
        <v>5.0</v>
      </c>
      <c r="AL312" s="941">
        <v>0.0</v>
      </c>
      <c r="AM312" s="942">
        <v>0.0</v>
      </c>
    </row>
    <row r="313">
      <c r="A313" s="943" t="s">
        <v>128</v>
      </c>
      <c r="B313" s="944">
        <v>1.0</v>
      </c>
      <c r="C313" s="944">
        <v>0.0</v>
      </c>
      <c r="D313" s="944">
        <v>1.0</v>
      </c>
      <c r="E313" s="944">
        <v>0.0</v>
      </c>
      <c r="F313" s="944">
        <v>1.0</v>
      </c>
      <c r="G313" s="944">
        <v>37.0</v>
      </c>
      <c r="H313" s="944">
        <v>49.0</v>
      </c>
      <c r="I313" s="944">
        <v>-12.0</v>
      </c>
      <c r="J313" s="944">
        <v>2.0</v>
      </c>
      <c r="K313" s="944">
        <v>4.0</v>
      </c>
      <c r="L313" s="944">
        <v>0.0</v>
      </c>
      <c r="M313" s="944">
        <v>493.0</v>
      </c>
      <c r="N313" s="944">
        <v>700.0</v>
      </c>
      <c r="O313" s="944">
        <v>10.0</v>
      </c>
      <c r="P313" s="944">
        <v>2.0</v>
      </c>
      <c r="Q313" s="944">
        <v>0.0</v>
      </c>
      <c r="R313" s="944">
        <v>0.0</v>
      </c>
      <c r="S313" s="944">
        <v>0.0</v>
      </c>
      <c r="T313" s="944">
        <v>0.0</v>
      </c>
      <c r="U313" s="944">
        <v>0.0</v>
      </c>
      <c r="V313" s="944">
        <v>0.0</v>
      </c>
      <c r="W313" s="944">
        <v>0.0</v>
      </c>
      <c r="X313" s="944">
        <v>5.0</v>
      </c>
      <c r="Y313" s="944">
        <v>1.0</v>
      </c>
      <c r="Z313" s="944">
        <v>0.0</v>
      </c>
      <c r="AA313" s="944">
        <v>0.0</v>
      </c>
      <c r="AB313" s="944">
        <v>0.0</v>
      </c>
      <c r="AC313" s="944">
        <v>0.0</v>
      </c>
      <c r="AD313" s="944">
        <v>0.0</v>
      </c>
      <c r="AE313" s="944">
        <v>0.0</v>
      </c>
      <c r="AF313" s="944">
        <v>0.0</v>
      </c>
      <c r="AG313" s="944">
        <v>0.0</v>
      </c>
      <c r="AH313" s="944">
        <v>2.0</v>
      </c>
      <c r="AI313" s="944">
        <v>0.0</v>
      </c>
      <c r="AJ313" s="944">
        <v>3.0</v>
      </c>
      <c r="AK313" s="944">
        <v>6.0</v>
      </c>
      <c r="AL313" s="944">
        <v>2.0</v>
      </c>
      <c r="AM313" s="945">
        <v>0.0</v>
      </c>
    </row>
    <row r="314">
      <c r="A314" s="946" t="s">
        <v>154</v>
      </c>
      <c r="B314" s="939">
        <v>1.0</v>
      </c>
      <c r="C314" s="939">
        <v>1.0</v>
      </c>
      <c r="D314" s="939">
        <v>0.0</v>
      </c>
      <c r="E314" s="939">
        <v>4.0</v>
      </c>
      <c r="F314" s="939">
        <v>6.0</v>
      </c>
      <c r="G314" s="939">
        <v>45.0</v>
      </c>
      <c r="H314" s="939">
        <v>55.0</v>
      </c>
      <c r="I314" s="939">
        <v>-10.0</v>
      </c>
      <c r="J314" s="939">
        <v>2.0</v>
      </c>
      <c r="K314" s="939">
        <v>5.0</v>
      </c>
      <c r="L314" s="939">
        <v>3.0</v>
      </c>
      <c r="M314" s="939">
        <v>1662.0</v>
      </c>
      <c r="N314" s="939">
        <v>1916.0</v>
      </c>
      <c r="O314" s="939">
        <v>30.0</v>
      </c>
      <c r="P314" s="939">
        <v>1011.0</v>
      </c>
      <c r="Q314" s="939">
        <v>0.0</v>
      </c>
      <c r="R314" s="939">
        <v>1.0</v>
      </c>
      <c r="S314" s="939">
        <v>0.0</v>
      </c>
      <c r="T314" s="939">
        <v>0.0</v>
      </c>
      <c r="U314" s="939">
        <v>0.0</v>
      </c>
      <c r="V314" s="939">
        <v>0.0</v>
      </c>
      <c r="W314" s="939">
        <v>0.0</v>
      </c>
      <c r="X314" s="939">
        <v>2.0</v>
      </c>
      <c r="Y314" s="939">
        <v>0.0</v>
      </c>
      <c r="Z314" s="939">
        <v>0.0</v>
      </c>
      <c r="AA314" s="939">
        <v>0.0</v>
      </c>
      <c r="AB314" s="939">
        <v>0.0</v>
      </c>
      <c r="AC314" s="939">
        <v>0.0</v>
      </c>
      <c r="AD314" s="939">
        <v>0.0</v>
      </c>
      <c r="AE314" s="939">
        <v>0.0</v>
      </c>
      <c r="AF314" s="939">
        <v>0.0</v>
      </c>
      <c r="AG314" s="939">
        <v>0.0</v>
      </c>
      <c r="AH314" s="939">
        <v>1.0</v>
      </c>
      <c r="AI314" s="939">
        <v>0.0</v>
      </c>
      <c r="AJ314" s="939">
        <v>5.0</v>
      </c>
      <c r="AK314" s="939">
        <v>7.0</v>
      </c>
      <c r="AL314" s="939">
        <v>0.0</v>
      </c>
      <c r="AM314" s="940">
        <v>0.0</v>
      </c>
    </row>
    <row r="315">
      <c r="A315" s="935" t="s">
        <v>151</v>
      </c>
      <c r="B315" s="941">
        <v>1.0</v>
      </c>
      <c r="C315" s="941">
        <v>1.0</v>
      </c>
      <c r="D315" s="941">
        <v>0.0</v>
      </c>
      <c r="E315" s="941">
        <v>1.0</v>
      </c>
      <c r="F315" s="941">
        <v>0.0</v>
      </c>
      <c r="G315" s="941">
        <v>115.0</v>
      </c>
      <c r="H315" s="941">
        <v>105.0</v>
      </c>
      <c r="I315" s="941">
        <v>10.0</v>
      </c>
      <c r="J315" s="941">
        <v>15.0</v>
      </c>
      <c r="K315" s="941">
        <v>10.0</v>
      </c>
      <c r="L315" s="941">
        <v>2.0</v>
      </c>
      <c r="M315" s="941">
        <v>1528.0</v>
      </c>
      <c r="N315" s="941">
        <v>1916.0</v>
      </c>
      <c r="O315" s="941">
        <v>14.0</v>
      </c>
      <c r="P315" s="941">
        <v>0.0</v>
      </c>
      <c r="Q315" s="941">
        <v>0.0</v>
      </c>
      <c r="R315" s="941">
        <v>3.0</v>
      </c>
      <c r="S315" s="941">
        <v>1.0</v>
      </c>
      <c r="T315" s="941">
        <v>0.0</v>
      </c>
      <c r="U315" s="941">
        <v>0.0</v>
      </c>
      <c r="V315" s="941">
        <v>3.0</v>
      </c>
      <c r="W315" s="941">
        <v>0.0</v>
      </c>
      <c r="X315" s="941">
        <v>18.0</v>
      </c>
      <c r="Y315" s="941">
        <v>4.0</v>
      </c>
      <c r="Z315" s="941">
        <v>2.0</v>
      </c>
      <c r="AA315" s="941">
        <v>0.0</v>
      </c>
      <c r="AB315" s="941">
        <v>0.0</v>
      </c>
      <c r="AC315" s="941">
        <v>0.0</v>
      </c>
      <c r="AD315" s="941">
        <v>0.0</v>
      </c>
      <c r="AE315" s="941">
        <v>0.0</v>
      </c>
      <c r="AF315" s="941">
        <v>0.0</v>
      </c>
      <c r="AG315" s="941">
        <v>0.0</v>
      </c>
      <c r="AH315" s="941">
        <v>2.0</v>
      </c>
      <c r="AI315" s="941">
        <v>0.0</v>
      </c>
      <c r="AJ315" s="941">
        <v>15.0</v>
      </c>
      <c r="AK315" s="941">
        <v>13.0</v>
      </c>
      <c r="AL315" s="941">
        <v>0.0</v>
      </c>
      <c r="AM315" s="942">
        <v>0.0</v>
      </c>
    </row>
    <row r="316">
      <c r="A316" s="935" t="s">
        <v>132</v>
      </c>
      <c r="B316" s="941">
        <v>1.0</v>
      </c>
      <c r="C316" s="941">
        <v>1.0</v>
      </c>
      <c r="D316" s="941">
        <v>0.0</v>
      </c>
      <c r="E316" s="941">
        <v>0.0</v>
      </c>
      <c r="F316" s="941">
        <v>2.0</v>
      </c>
      <c r="G316" s="941">
        <v>128.0</v>
      </c>
      <c r="H316" s="941">
        <v>115.0</v>
      </c>
      <c r="I316" s="941">
        <v>13.0</v>
      </c>
      <c r="J316" s="941">
        <v>12.0</v>
      </c>
      <c r="K316" s="941">
        <v>5.0</v>
      </c>
      <c r="L316" s="941">
        <v>3.0</v>
      </c>
      <c r="M316" s="941">
        <v>1494.0</v>
      </c>
      <c r="N316" s="941">
        <v>1916.0</v>
      </c>
      <c r="O316" s="941">
        <v>12.0</v>
      </c>
      <c r="P316" s="941">
        <v>108.0</v>
      </c>
      <c r="Q316" s="941">
        <v>0.0</v>
      </c>
      <c r="R316" s="941">
        <v>1.0</v>
      </c>
      <c r="S316" s="941">
        <v>0.0</v>
      </c>
      <c r="T316" s="941">
        <v>0.0</v>
      </c>
      <c r="U316" s="941">
        <v>0.0</v>
      </c>
      <c r="V316" s="941">
        <v>1.0</v>
      </c>
      <c r="W316" s="941">
        <v>0.0</v>
      </c>
      <c r="X316" s="941">
        <v>23.0</v>
      </c>
      <c r="Y316" s="941">
        <v>4.0</v>
      </c>
      <c r="Z316" s="941">
        <v>1.0</v>
      </c>
      <c r="AA316" s="941">
        <v>1.0</v>
      </c>
      <c r="AB316" s="941">
        <v>0.0</v>
      </c>
      <c r="AC316" s="941">
        <v>0.0</v>
      </c>
      <c r="AD316" s="941">
        <v>0.0</v>
      </c>
      <c r="AE316" s="941">
        <v>0.0</v>
      </c>
      <c r="AF316" s="941">
        <v>0.0</v>
      </c>
      <c r="AG316" s="941">
        <v>0.0</v>
      </c>
      <c r="AH316" s="941">
        <v>1.0</v>
      </c>
      <c r="AI316" s="941">
        <v>0.0</v>
      </c>
      <c r="AJ316" s="941">
        <v>15.0</v>
      </c>
      <c r="AK316" s="941">
        <v>13.0</v>
      </c>
      <c r="AL316" s="941">
        <v>1.0</v>
      </c>
      <c r="AM316" s="942">
        <v>0.0</v>
      </c>
    </row>
    <row r="317">
      <c r="A317" s="935" t="s">
        <v>121</v>
      </c>
      <c r="B317" s="941">
        <v>1.0</v>
      </c>
      <c r="C317" s="941">
        <v>1.0</v>
      </c>
      <c r="D317" s="941">
        <v>0.0</v>
      </c>
      <c r="E317" s="941">
        <v>0.0</v>
      </c>
      <c r="F317" s="941">
        <v>1.0</v>
      </c>
      <c r="G317" s="941">
        <v>145.0</v>
      </c>
      <c r="H317" s="941">
        <v>95.0</v>
      </c>
      <c r="I317" s="941">
        <v>50.0</v>
      </c>
      <c r="J317" s="941">
        <v>9.0</v>
      </c>
      <c r="K317" s="941">
        <v>8.0</v>
      </c>
      <c r="L317" s="941">
        <v>0.0</v>
      </c>
      <c r="M317" s="941">
        <v>1548.0</v>
      </c>
      <c r="N317" s="941">
        <v>1916.0</v>
      </c>
      <c r="O317" s="941">
        <v>16.0</v>
      </c>
      <c r="P317" s="941">
        <v>113.0</v>
      </c>
      <c r="Q317" s="941">
        <v>0.0</v>
      </c>
      <c r="R317" s="941">
        <v>4.0</v>
      </c>
      <c r="S317" s="941">
        <v>0.0</v>
      </c>
      <c r="T317" s="941">
        <v>0.0</v>
      </c>
      <c r="U317" s="941">
        <v>0.0</v>
      </c>
      <c r="V317" s="941">
        <v>4.0</v>
      </c>
      <c r="W317" s="941">
        <v>0.0</v>
      </c>
      <c r="X317" s="941">
        <v>28.0</v>
      </c>
      <c r="Y317" s="941">
        <v>5.0</v>
      </c>
      <c r="Z317" s="941">
        <v>1.0</v>
      </c>
      <c r="AA317" s="941">
        <v>1.0</v>
      </c>
      <c r="AB317" s="941">
        <v>1.0</v>
      </c>
      <c r="AC317" s="941">
        <v>1.0</v>
      </c>
      <c r="AD317" s="941">
        <v>0.0</v>
      </c>
      <c r="AE317" s="941">
        <v>0.0</v>
      </c>
      <c r="AF317" s="941">
        <v>0.0</v>
      </c>
      <c r="AG317" s="941">
        <v>0.0</v>
      </c>
      <c r="AH317" s="941">
        <v>4.0</v>
      </c>
      <c r="AI317" s="941">
        <v>0.0</v>
      </c>
      <c r="AJ317" s="941">
        <v>15.0</v>
      </c>
      <c r="AK317" s="941">
        <v>13.0</v>
      </c>
      <c r="AL317" s="941">
        <v>2.0</v>
      </c>
      <c r="AM317" s="942">
        <v>0.0</v>
      </c>
    </row>
    <row r="318">
      <c r="A318" s="935" t="s">
        <v>114</v>
      </c>
      <c r="B318" s="941">
        <v>1.0</v>
      </c>
      <c r="C318" s="941">
        <v>0.0</v>
      </c>
      <c r="D318" s="941">
        <v>1.0</v>
      </c>
      <c r="E318" s="941">
        <v>1.0</v>
      </c>
      <c r="F318" s="941">
        <v>2.0</v>
      </c>
      <c r="G318" s="941">
        <v>63.0</v>
      </c>
      <c r="H318" s="941">
        <v>64.0</v>
      </c>
      <c r="I318" s="941">
        <v>-1.0</v>
      </c>
      <c r="J318" s="941">
        <v>4.0</v>
      </c>
      <c r="K318" s="941">
        <v>3.0</v>
      </c>
      <c r="L318" s="941">
        <v>1.0</v>
      </c>
      <c r="M318" s="941">
        <v>1642.0</v>
      </c>
      <c r="N318" s="941">
        <v>1916.0</v>
      </c>
      <c r="O318" s="941">
        <v>25.0</v>
      </c>
      <c r="P318" s="941">
        <v>494.0</v>
      </c>
      <c r="Q318" s="941">
        <v>0.0</v>
      </c>
      <c r="R318" s="941">
        <v>0.0</v>
      </c>
      <c r="S318" s="941">
        <v>0.0</v>
      </c>
      <c r="T318" s="941">
        <v>0.0</v>
      </c>
      <c r="U318" s="941">
        <v>0.0</v>
      </c>
      <c r="V318" s="941">
        <v>0.0</v>
      </c>
      <c r="W318" s="941">
        <v>0.0</v>
      </c>
      <c r="X318" s="941">
        <v>8.0</v>
      </c>
      <c r="Y318" s="941">
        <v>0.0</v>
      </c>
      <c r="Z318" s="941">
        <v>0.0</v>
      </c>
      <c r="AA318" s="941">
        <v>0.0</v>
      </c>
      <c r="AB318" s="941">
        <v>0.0</v>
      </c>
      <c r="AC318" s="941">
        <v>0.0</v>
      </c>
      <c r="AD318" s="941">
        <v>0.0</v>
      </c>
      <c r="AE318" s="941">
        <v>0.0</v>
      </c>
      <c r="AF318" s="941">
        <v>0.0</v>
      </c>
      <c r="AG318" s="941">
        <v>0.0</v>
      </c>
      <c r="AH318" s="941">
        <v>0.0</v>
      </c>
      <c r="AI318" s="941">
        <v>0.0</v>
      </c>
      <c r="AJ318" s="941">
        <v>11.0</v>
      </c>
      <c r="AK318" s="941">
        <v>9.0</v>
      </c>
      <c r="AL318" s="941">
        <v>1.0</v>
      </c>
      <c r="AM318" s="942">
        <v>1.0</v>
      </c>
    </row>
    <row r="319">
      <c r="A319" s="935" t="s">
        <v>129</v>
      </c>
      <c r="B319" s="941">
        <v>1.0</v>
      </c>
      <c r="C319" s="941">
        <v>0.0</v>
      </c>
      <c r="D319" s="941">
        <v>1.0</v>
      </c>
      <c r="E319" s="941">
        <v>0.0</v>
      </c>
      <c r="F319" s="941">
        <v>0.0</v>
      </c>
      <c r="G319" s="941">
        <v>108.0</v>
      </c>
      <c r="H319" s="941">
        <v>101.0</v>
      </c>
      <c r="I319" s="941">
        <v>7.0</v>
      </c>
      <c r="J319" s="941">
        <v>3.0</v>
      </c>
      <c r="K319" s="941">
        <v>5.0</v>
      </c>
      <c r="L319" s="941">
        <v>2.0</v>
      </c>
      <c r="M319" s="941">
        <v>1534.0</v>
      </c>
      <c r="N319" s="941">
        <v>1916.0</v>
      </c>
      <c r="O319" s="941">
        <v>15.0</v>
      </c>
      <c r="P319" s="941">
        <v>3.0</v>
      </c>
      <c r="Q319" s="941">
        <v>0.0</v>
      </c>
      <c r="R319" s="941">
        <v>1.0</v>
      </c>
      <c r="S319" s="941">
        <v>0.0</v>
      </c>
      <c r="T319" s="941">
        <v>0.0</v>
      </c>
      <c r="U319" s="941">
        <v>0.0</v>
      </c>
      <c r="V319" s="941">
        <v>0.0</v>
      </c>
      <c r="W319" s="941">
        <v>0.0</v>
      </c>
      <c r="X319" s="941">
        <v>10.0</v>
      </c>
      <c r="Y319" s="941">
        <v>3.0</v>
      </c>
      <c r="Z319" s="941">
        <v>1.0</v>
      </c>
      <c r="AA319" s="941">
        <v>0.0</v>
      </c>
      <c r="AB319" s="941">
        <v>0.0</v>
      </c>
      <c r="AC319" s="941">
        <v>0.0</v>
      </c>
      <c r="AD319" s="941">
        <v>0.0</v>
      </c>
      <c r="AE319" s="941">
        <v>0.0</v>
      </c>
      <c r="AF319" s="941">
        <v>0.0</v>
      </c>
      <c r="AG319" s="941">
        <v>0.0</v>
      </c>
      <c r="AH319" s="941">
        <v>4.0</v>
      </c>
      <c r="AI319" s="941">
        <v>0.0</v>
      </c>
      <c r="AJ319" s="941">
        <v>13.0</v>
      </c>
      <c r="AK319" s="941">
        <v>16.0</v>
      </c>
      <c r="AL319" s="941">
        <v>1.0</v>
      </c>
      <c r="AM319" s="942">
        <v>1.0</v>
      </c>
    </row>
    <row r="320">
      <c r="A320" s="935" t="s">
        <v>147</v>
      </c>
      <c r="B320" s="941">
        <v>1.0</v>
      </c>
      <c r="C320" s="941">
        <v>0.0</v>
      </c>
      <c r="D320" s="941">
        <v>1.0</v>
      </c>
      <c r="E320" s="941">
        <v>0.0</v>
      </c>
      <c r="F320" s="941">
        <v>0.0</v>
      </c>
      <c r="G320" s="941">
        <v>82.0</v>
      </c>
      <c r="H320" s="941">
        <v>129.0</v>
      </c>
      <c r="I320" s="941">
        <v>-47.0</v>
      </c>
      <c r="J320" s="941">
        <v>7.0</v>
      </c>
      <c r="K320" s="941">
        <v>5.0</v>
      </c>
      <c r="L320" s="941">
        <v>3.0</v>
      </c>
      <c r="M320" s="941">
        <v>1452.0</v>
      </c>
      <c r="N320" s="941">
        <v>1916.0</v>
      </c>
      <c r="O320" s="941">
        <v>11.0</v>
      </c>
      <c r="P320" s="941">
        <v>0.0</v>
      </c>
      <c r="Q320" s="941">
        <v>0.0</v>
      </c>
      <c r="R320" s="941">
        <v>2.0</v>
      </c>
      <c r="S320" s="941">
        <v>0.0</v>
      </c>
      <c r="T320" s="941">
        <v>0.0</v>
      </c>
      <c r="U320" s="941">
        <v>0.0</v>
      </c>
      <c r="V320" s="941">
        <v>2.0</v>
      </c>
      <c r="W320" s="941">
        <v>0.0</v>
      </c>
      <c r="X320" s="941">
        <v>13.0</v>
      </c>
      <c r="Y320" s="941">
        <v>3.0</v>
      </c>
      <c r="Z320" s="941">
        <v>1.0</v>
      </c>
      <c r="AA320" s="941">
        <v>0.0</v>
      </c>
      <c r="AB320" s="941">
        <v>0.0</v>
      </c>
      <c r="AC320" s="941">
        <v>0.0</v>
      </c>
      <c r="AD320" s="941">
        <v>0.0</v>
      </c>
      <c r="AE320" s="941">
        <v>0.0</v>
      </c>
      <c r="AF320" s="941">
        <v>0.0</v>
      </c>
      <c r="AG320" s="941">
        <v>0.0</v>
      </c>
      <c r="AH320" s="941">
        <v>0.0</v>
      </c>
      <c r="AI320" s="941">
        <v>0.0</v>
      </c>
      <c r="AJ320" s="941">
        <v>12.0</v>
      </c>
      <c r="AK320" s="941">
        <v>13.0</v>
      </c>
      <c r="AL320" s="941">
        <v>0.0</v>
      </c>
      <c r="AM320" s="942">
        <v>1.0</v>
      </c>
    </row>
    <row r="321">
      <c r="A321" s="943" t="s">
        <v>136</v>
      </c>
      <c r="B321" s="944">
        <v>1.0</v>
      </c>
      <c r="C321" s="944">
        <v>0.0</v>
      </c>
      <c r="D321" s="944">
        <v>1.0</v>
      </c>
      <c r="E321" s="944">
        <v>0.0</v>
      </c>
      <c r="F321" s="944">
        <v>0.0</v>
      </c>
      <c r="G321" s="944">
        <v>105.0</v>
      </c>
      <c r="H321" s="944">
        <v>151.0</v>
      </c>
      <c r="I321" s="944">
        <v>-46.0</v>
      </c>
      <c r="J321" s="944">
        <v>7.0</v>
      </c>
      <c r="K321" s="944">
        <v>4.0</v>
      </c>
      <c r="L321" s="944">
        <v>1.0</v>
      </c>
      <c r="M321" s="944">
        <v>1386.0</v>
      </c>
      <c r="N321" s="944">
        <v>1916.0</v>
      </c>
      <c r="O321" s="944">
        <v>9.0</v>
      </c>
      <c r="P321" s="944">
        <v>7.0</v>
      </c>
      <c r="Q321" s="944">
        <v>0.0</v>
      </c>
      <c r="R321" s="944">
        <v>0.0</v>
      </c>
      <c r="S321" s="944">
        <v>0.0</v>
      </c>
      <c r="T321" s="944">
        <v>0.0</v>
      </c>
      <c r="U321" s="944">
        <v>0.0</v>
      </c>
      <c r="V321" s="944">
        <v>0.0</v>
      </c>
      <c r="W321" s="944">
        <v>0.0</v>
      </c>
      <c r="X321" s="944">
        <v>18.0</v>
      </c>
      <c r="Y321" s="944">
        <v>3.0</v>
      </c>
      <c r="Z321" s="944">
        <v>1.0</v>
      </c>
      <c r="AA321" s="944">
        <v>0.0</v>
      </c>
      <c r="AB321" s="944">
        <v>0.0</v>
      </c>
      <c r="AC321" s="944">
        <v>0.0</v>
      </c>
      <c r="AD321" s="944">
        <v>0.0</v>
      </c>
      <c r="AE321" s="944">
        <v>0.0</v>
      </c>
      <c r="AF321" s="944">
        <v>0.0</v>
      </c>
      <c r="AG321" s="944">
        <v>0.0</v>
      </c>
      <c r="AH321" s="944">
        <v>1.0</v>
      </c>
      <c r="AI321" s="944">
        <v>0.0</v>
      </c>
      <c r="AJ321" s="944">
        <v>13.0</v>
      </c>
      <c r="AK321" s="944">
        <v>13.0</v>
      </c>
      <c r="AL321" s="944">
        <v>1.0</v>
      </c>
      <c r="AM321" s="945">
        <v>1.0</v>
      </c>
    </row>
    <row r="322">
      <c r="A322" s="946" t="s">
        <v>123</v>
      </c>
      <c r="B322" s="939">
        <v>1.0</v>
      </c>
      <c r="C322" s="939">
        <v>1.0</v>
      </c>
      <c r="D322" s="939">
        <v>0.0</v>
      </c>
      <c r="E322" s="939">
        <v>4.0</v>
      </c>
      <c r="F322" s="939">
        <v>63.0</v>
      </c>
      <c r="G322" s="939">
        <v>126.0</v>
      </c>
      <c r="H322" s="939">
        <v>56.0</v>
      </c>
      <c r="I322" s="939">
        <v>70.0</v>
      </c>
      <c r="J322" s="939">
        <v>3.0</v>
      </c>
      <c r="K322" s="939">
        <v>22.0</v>
      </c>
      <c r="L322" s="939">
        <v>3.0</v>
      </c>
      <c r="M322" s="939">
        <v>2612.0</v>
      </c>
      <c r="N322" s="895">
        <v>2798.0</v>
      </c>
      <c r="O322" s="939">
        <v>46.0</v>
      </c>
      <c r="P322" s="939">
        <v>1900.0</v>
      </c>
      <c r="Q322" s="939">
        <v>0.0</v>
      </c>
      <c r="R322" s="939">
        <v>6.0</v>
      </c>
      <c r="S322" s="939">
        <v>3.0</v>
      </c>
      <c r="T322" s="939">
        <v>2.0</v>
      </c>
      <c r="U322" s="939">
        <v>1.0</v>
      </c>
      <c r="V322" s="939">
        <v>0.0</v>
      </c>
      <c r="W322" s="939">
        <v>0.0</v>
      </c>
      <c r="X322" s="939">
        <v>10.0</v>
      </c>
      <c r="Y322" s="939">
        <v>1.0</v>
      </c>
      <c r="Z322" s="939">
        <v>1.0</v>
      </c>
      <c r="AA322" s="939">
        <v>0.0</v>
      </c>
      <c r="AB322" s="939">
        <v>0.0</v>
      </c>
      <c r="AC322" s="939">
        <v>0.0</v>
      </c>
      <c r="AD322" s="939">
        <v>0.0</v>
      </c>
      <c r="AE322" s="939">
        <v>0.0</v>
      </c>
      <c r="AF322" s="939">
        <v>0.0</v>
      </c>
      <c r="AG322" s="939">
        <v>0.0</v>
      </c>
      <c r="AH322" s="939">
        <v>1.0</v>
      </c>
      <c r="AI322" s="939">
        <v>0.0</v>
      </c>
      <c r="AJ322" s="939">
        <v>30.0</v>
      </c>
      <c r="AK322" s="939">
        <v>8.0</v>
      </c>
      <c r="AL322" s="939">
        <v>3.0</v>
      </c>
      <c r="AM322" s="940">
        <v>0.0</v>
      </c>
    </row>
    <row r="323">
      <c r="A323" s="935" t="s">
        <v>138</v>
      </c>
      <c r="B323" s="941">
        <v>1.0</v>
      </c>
      <c r="C323" s="941">
        <v>1.0</v>
      </c>
      <c r="D323" s="941">
        <v>0.0</v>
      </c>
      <c r="E323" s="941">
        <v>1.0</v>
      </c>
      <c r="F323" s="941">
        <v>3.0</v>
      </c>
      <c r="G323" s="941">
        <v>199.0</v>
      </c>
      <c r="H323" s="941">
        <v>182.0</v>
      </c>
      <c r="I323" s="941">
        <v>17.0</v>
      </c>
      <c r="J323" s="941">
        <v>14.0</v>
      </c>
      <c r="K323" s="941">
        <v>7.0</v>
      </c>
      <c r="L323" s="941">
        <v>1.0</v>
      </c>
      <c r="M323" s="941">
        <v>2230.0</v>
      </c>
      <c r="N323" s="1">
        <v>2798.0</v>
      </c>
      <c r="O323" s="941">
        <v>12.0</v>
      </c>
      <c r="P323" s="941">
        <v>25.0</v>
      </c>
      <c r="Q323" s="941">
        <v>0.0</v>
      </c>
      <c r="R323" s="941">
        <v>3.0</v>
      </c>
      <c r="S323" s="941">
        <v>0.0</v>
      </c>
      <c r="T323" s="941">
        <v>0.0</v>
      </c>
      <c r="U323" s="941">
        <v>0.0</v>
      </c>
      <c r="V323" s="941">
        <v>3.0</v>
      </c>
      <c r="W323" s="941">
        <v>0.0</v>
      </c>
      <c r="X323" s="941">
        <v>33.0</v>
      </c>
      <c r="Y323" s="941">
        <v>3.0</v>
      </c>
      <c r="Z323" s="941">
        <v>1.0</v>
      </c>
      <c r="AA323" s="941">
        <v>0.0</v>
      </c>
      <c r="AB323" s="941">
        <v>0.0</v>
      </c>
      <c r="AC323" s="941">
        <v>0.0</v>
      </c>
      <c r="AD323" s="941">
        <v>0.0</v>
      </c>
      <c r="AE323" s="941">
        <v>0.0</v>
      </c>
      <c r="AF323" s="941">
        <v>0.0</v>
      </c>
      <c r="AG323" s="941">
        <v>0.0</v>
      </c>
      <c r="AH323" s="941">
        <v>16.0</v>
      </c>
      <c r="AI323" s="941">
        <v>0.0</v>
      </c>
      <c r="AJ323" s="941">
        <v>21.0</v>
      </c>
      <c r="AK323" s="941">
        <v>30.0</v>
      </c>
      <c r="AL323" s="941">
        <v>1.0</v>
      </c>
      <c r="AM323" s="942">
        <v>0.0</v>
      </c>
    </row>
    <row r="324">
      <c r="A324" s="935" t="s">
        <v>145</v>
      </c>
      <c r="B324" s="941">
        <v>1.0</v>
      </c>
      <c r="C324" s="941">
        <v>1.0</v>
      </c>
      <c r="D324" s="941">
        <v>0.0</v>
      </c>
      <c r="E324" s="941">
        <v>0.0</v>
      </c>
      <c r="F324" s="941">
        <v>0.0</v>
      </c>
      <c r="G324" s="941">
        <v>196.0</v>
      </c>
      <c r="H324" s="941">
        <v>196.0</v>
      </c>
      <c r="I324" s="941">
        <v>0.0</v>
      </c>
      <c r="J324" s="941">
        <v>18.0</v>
      </c>
      <c r="K324" s="941">
        <v>8.0</v>
      </c>
      <c r="L324" s="941">
        <v>3.0</v>
      </c>
      <c r="M324" s="941">
        <v>2197.0</v>
      </c>
      <c r="N324" s="1">
        <v>2798.0</v>
      </c>
      <c r="O324" s="941">
        <v>11.0</v>
      </c>
      <c r="P324" s="941">
        <v>5.0</v>
      </c>
      <c r="Q324" s="941">
        <v>0.0</v>
      </c>
      <c r="R324" s="941">
        <v>2.0</v>
      </c>
      <c r="S324" s="941">
        <v>0.0</v>
      </c>
      <c r="T324" s="941">
        <v>0.0</v>
      </c>
      <c r="U324" s="941">
        <v>0.0</v>
      </c>
      <c r="V324" s="941">
        <v>2.0</v>
      </c>
      <c r="W324" s="941">
        <v>0.0</v>
      </c>
      <c r="X324" s="941">
        <v>38.0</v>
      </c>
      <c r="Y324" s="941">
        <v>5.0</v>
      </c>
      <c r="Z324" s="941">
        <v>0.0</v>
      </c>
      <c r="AA324" s="941">
        <v>0.0</v>
      </c>
      <c r="AB324" s="941">
        <v>0.0</v>
      </c>
      <c r="AC324" s="941">
        <v>0.0</v>
      </c>
      <c r="AD324" s="941">
        <v>0.0</v>
      </c>
      <c r="AE324" s="941">
        <v>0.0</v>
      </c>
      <c r="AF324" s="941">
        <v>0.0</v>
      </c>
      <c r="AG324" s="941">
        <v>0.0</v>
      </c>
      <c r="AH324" s="941">
        <v>10.0</v>
      </c>
      <c r="AI324" s="941">
        <v>0.0</v>
      </c>
      <c r="AJ324" s="941">
        <v>19.0</v>
      </c>
      <c r="AK324" s="941">
        <v>24.0</v>
      </c>
      <c r="AL324" s="941">
        <v>1.0</v>
      </c>
      <c r="AM324" s="942">
        <v>0.0</v>
      </c>
    </row>
    <row r="325">
      <c r="A325" s="935" t="s">
        <v>156</v>
      </c>
      <c r="B325" s="941">
        <v>1.0</v>
      </c>
      <c r="C325" s="941">
        <v>1.0</v>
      </c>
      <c r="D325" s="941">
        <v>0.0</v>
      </c>
      <c r="E325" s="941">
        <v>0.0</v>
      </c>
      <c r="F325" s="941">
        <v>0.0</v>
      </c>
      <c r="G325" s="941">
        <v>127.0</v>
      </c>
      <c r="H325" s="941">
        <v>160.0</v>
      </c>
      <c r="I325" s="941">
        <v>-33.0</v>
      </c>
      <c r="J325" s="941">
        <v>10.0</v>
      </c>
      <c r="K325" s="941">
        <v>4.0</v>
      </c>
      <c r="L325" s="941">
        <v>1.0</v>
      </c>
      <c r="M325" s="941">
        <v>2294.0</v>
      </c>
      <c r="N325" s="1">
        <v>2798.0</v>
      </c>
      <c r="O325" s="941">
        <v>14.0</v>
      </c>
      <c r="P325" s="941">
        <v>18.0</v>
      </c>
      <c r="Q325" s="941">
        <v>0.0</v>
      </c>
      <c r="R325" s="941">
        <v>0.0</v>
      </c>
      <c r="S325" s="941">
        <v>0.0</v>
      </c>
      <c r="T325" s="941">
        <v>0.0</v>
      </c>
      <c r="U325" s="941">
        <v>0.0</v>
      </c>
      <c r="V325" s="941">
        <v>0.0</v>
      </c>
      <c r="W325" s="941">
        <v>0.0</v>
      </c>
      <c r="X325" s="941">
        <v>17.0</v>
      </c>
      <c r="Y325" s="941">
        <v>4.0</v>
      </c>
      <c r="Z325" s="941">
        <v>1.0</v>
      </c>
      <c r="AA325" s="941">
        <v>0.0</v>
      </c>
      <c r="AB325" s="941">
        <v>0.0</v>
      </c>
      <c r="AC325" s="941">
        <v>0.0</v>
      </c>
      <c r="AD325" s="941">
        <v>0.0</v>
      </c>
      <c r="AE325" s="941">
        <v>0.0</v>
      </c>
      <c r="AF325" s="941">
        <v>0.0</v>
      </c>
      <c r="AG325" s="941">
        <v>0.0</v>
      </c>
      <c r="AH325" s="941">
        <v>1.0</v>
      </c>
      <c r="AI325" s="941">
        <v>0.0</v>
      </c>
      <c r="AJ325" s="941">
        <v>12.0</v>
      </c>
      <c r="AK325" s="941">
        <v>15.0</v>
      </c>
      <c r="AL325" s="941">
        <v>0.0</v>
      </c>
      <c r="AM325" s="942">
        <v>0.0</v>
      </c>
    </row>
    <row r="326">
      <c r="A326" s="935" t="s">
        <v>154</v>
      </c>
      <c r="B326" s="941">
        <v>1.0</v>
      </c>
      <c r="C326" s="941">
        <v>0.0</v>
      </c>
      <c r="D326" s="941">
        <v>1.0</v>
      </c>
      <c r="E326" s="941">
        <v>2.0</v>
      </c>
      <c r="F326" s="941">
        <v>1.0</v>
      </c>
      <c r="G326" s="941">
        <v>69.0</v>
      </c>
      <c r="H326" s="941">
        <v>142.0</v>
      </c>
      <c r="I326" s="941">
        <v>-73.0</v>
      </c>
      <c r="J326" s="941">
        <v>6.0</v>
      </c>
      <c r="K326" s="941">
        <v>4.0</v>
      </c>
      <c r="L326" s="941">
        <v>0.0</v>
      </c>
      <c r="M326" s="941">
        <v>2343.0</v>
      </c>
      <c r="N326" s="1">
        <v>2798.0</v>
      </c>
      <c r="O326" s="941">
        <v>16.0</v>
      </c>
      <c r="P326" s="941">
        <v>539.0</v>
      </c>
      <c r="Q326" s="941">
        <v>0.0</v>
      </c>
      <c r="R326" s="941">
        <v>0.0</v>
      </c>
      <c r="S326" s="941">
        <v>0.0</v>
      </c>
      <c r="T326" s="941">
        <v>0.0</v>
      </c>
      <c r="U326" s="941">
        <v>0.0</v>
      </c>
      <c r="V326" s="941">
        <v>0.0</v>
      </c>
      <c r="W326" s="941">
        <v>0.0</v>
      </c>
      <c r="X326" s="941">
        <v>4.0</v>
      </c>
      <c r="Y326" s="941">
        <v>0.0</v>
      </c>
      <c r="Z326" s="941">
        <v>0.0</v>
      </c>
      <c r="AA326" s="941">
        <v>0.0</v>
      </c>
      <c r="AB326" s="941">
        <v>0.0</v>
      </c>
      <c r="AC326" s="941">
        <v>0.0</v>
      </c>
      <c r="AD326" s="941">
        <v>0.0</v>
      </c>
      <c r="AE326" s="941">
        <v>0.0</v>
      </c>
      <c r="AF326" s="941">
        <v>0.0</v>
      </c>
      <c r="AG326" s="941">
        <v>0.0</v>
      </c>
      <c r="AH326" s="941">
        <v>0.0</v>
      </c>
      <c r="AI326" s="941">
        <v>0.0</v>
      </c>
      <c r="AJ326" s="941">
        <v>7.0</v>
      </c>
      <c r="AK326" s="941">
        <v>15.0</v>
      </c>
      <c r="AL326" s="941">
        <v>0.0</v>
      </c>
      <c r="AM326" s="942">
        <v>1.0</v>
      </c>
    </row>
    <row r="327">
      <c r="A327" s="935" t="s">
        <v>121</v>
      </c>
      <c r="B327" s="941">
        <v>1.0</v>
      </c>
      <c r="C327" s="941">
        <v>0.0</v>
      </c>
      <c r="D327" s="941">
        <v>1.0</v>
      </c>
      <c r="E327" s="941">
        <v>0.0</v>
      </c>
      <c r="F327" s="941">
        <v>1.0</v>
      </c>
      <c r="G327" s="941">
        <v>195.0</v>
      </c>
      <c r="H327" s="941">
        <v>141.0</v>
      </c>
      <c r="I327" s="941">
        <v>54.0</v>
      </c>
      <c r="J327" s="941">
        <v>5.0</v>
      </c>
      <c r="K327" s="941">
        <v>7.0</v>
      </c>
      <c r="L327" s="941">
        <v>1.0</v>
      </c>
      <c r="M327" s="941">
        <v>2349.0</v>
      </c>
      <c r="N327" s="1">
        <v>2798.0</v>
      </c>
      <c r="O327" s="941">
        <v>16.0</v>
      </c>
      <c r="P327" s="941">
        <v>7.0</v>
      </c>
      <c r="Q327" s="941">
        <v>0.0</v>
      </c>
      <c r="R327" s="941">
        <v>5.0</v>
      </c>
      <c r="S327" s="941">
        <v>0.0</v>
      </c>
      <c r="T327" s="941">
        <v>0.0</v>
      </c>
      <c r="U327" s="941">
        <v>0.0</v>
      </c>
      <c r="V327" s="941">
        <v>4.0</v>
      </c>
      <c r="W327" s="941">
        <v>0.0</v>
      </c>
      <c r="X327" s="941">
        <v>32.0</v>
      </c>
      <c r="Y327" s="941">
        <v>3.0</v>
      </c>
      <c r="Z327" s="941">
        <v>1.0</v>
      </c>
      <c r="AA327" s="941">
        <v>0.0</v>
      </c>
      <c r="AB327" s="941">
        <v>0.0</v>
      </c>
      <c r="AC327" s="941">
        <v>0.0</v>
      </c>
      <c r="AD327" s="941">
        <v>0.0</v>
      </c>
      <c r="AE327" s="941">
        <v>0.0</v>
      </c>
      <c r="AF327" s="941">
        <v>0.0</v>
      </c>
      <c r="AG327" s="941">
        <v>0.0</v>
      </c>
      <c r="AH327" s="941">
        <v>11.0</v>
      </c>
      <c r="AI327" s="941">
        <v>0.0</v>
      </c>
      <c r="AJ327" s="941">
        <v>21.0</v>
      </c>
      <c r="AK327" s="941">
        <v>13.0</v>
      </c>
      <c r="AL327" s="941">
        <v>1.0</v>
      </c>
      <c r="AM327" s="942">
        <v>1.0</v>
      </c>
    </row>
    <row r="328">
      <c r="A328" s="935" t="s">
        <v>132</v>
      </c>
      <c r="B328" s="941">
        <v>1.0</v>
      </c>
      <c r="C328" s="941">
        <v>0.0</v>
      </c>
      <c r="D328" s="941">
        <v>1.0</v>
      </c>
      <c r="E328" s="941">
        <v>0.0</v>
      </c>
      <c r="F328" s="941">
        <v>2.0</v>
      </c>
      <c r="G328" s="941">
        <v>152.0</v>
      </c>
      <c r="H328" s="941">
        <v>162.0</v>
      </c>
      <c r="I328" s="941">
        <v>-10.0</v>
      </c>
      <c r="J328" s="941">
        <v>7.0</v>
      </c>
      <c r="K328" s="941">
        <v>7.0</v>
      </c>
      <c r="L328" s="941">
        <v>3.0</v>
      </c>
      <c r="M328" s="941">
        <v>2291.0</v>
      </c>
      <c r="N328" s="1">
        <v>2798.0</v>
      </c>
      <c r="O328" s="941">
        <v>14.0</v>
      </c>
      <c r="P328" s="941">
        <v>28.0</v>
      </c>
      <c r="Q328" s="941">
        <v>0.0</v>
      </c>
      <c r="R328" s="941">
        <v>3.0</v>
      </c>
      <c r="S328" s="941">
        <v>0.0</v>
      </c>
      <c r="T328" s="941">
        <v>0.0</v>
      </c>
      <c r="U328" s="941">
        <v>0.0</v>
      </c>
      <c r="V328" s="941">
        <v>2.0</v>
      </c>
      <c r="W328" s="941">
        <v>0.0</v>
      </c>
      <c r="X328" s="941">
        <v>17.0</v>
      </c>
      <c r="Y328" s="941">
        <v>5.0</v>
      </c>
      <c r="Z328" s="941">
        <v>2.0</v>
      </c>
      <c r="AA328" s="941">
        <v>1.0</v>
      </c>
      <c r="AB328" s="941">
        <v>0.0</v>
      </c>
      <c r="AC328" s="941">
        <v>0.0</v>
      </c>
      <c r="AD328" s="941">
        <v>0.0</v>
      </c>
      <c r="AE328" s="941">
        <v>0.0</v>
      </c>
      <c r="AF328" s="941">
        <v>0.0</v>
      </c>
      <c r="AG328" s="941">
        <v>0.0</v>
      </c>
      <c r="AH328" s="941">
        <v>2.0</v>
      </c>
      <c r="AI328" s="941">
        <v>0.0</v>
      </c>
      <c r="AJ328" s="941">
        <v>14.0</v>
      </c>
      <c r="AK328" s="941">
        <v>16.0</v>
      </c>
      <c r="AL328" s="941">
        <v>1.0</v>
      </c>
      <c r="AM328" s="942">
        <v>1.0</v>
      </c>
    </row>
    <row r="329">
      <c r="A329" s="943" t="s">
        <v>514</v>
      </c>
      <c r="B329" s="944">
        <v>1.0</v>
      </c>
      <c r="C329" s="944">
        <v>0.0</v>
      </c>
      <c r="D329" s="944">
        <v>1.0</v>
      </c>
      <c r="E329" s="944">
        <v>0.0</v>
      </c>
      <c r="F329" s="944">
        <v>0.0</v>
      </c>
      <c r="G329" s="944">
        <v>162.0</v>
      </c>
      <c r="H329" s="944">
        <v>212.0</v>
      </c>
      <c r="I329" s="944">
        <v>-50.0</v>
      </c>
      <c r="J329" s="944">
        <v>11.0</v>
      </c>
      <c r="K329" s="944">
        <v>6.0</v>
      </c>
      <c r="L329" s="944">
        <v>0.0</v>
      </c>
      <c r="M329" s="944">
        <v>2140.0</v>
      </c>
      <c r="N329" s="882">
        <v>2798.0</v>
      </c>
      <c r="O329" s="944">
        <v>10.0</v>
      </c>
      <c r="P329" s="944">
        <v>46.0</v>
      </c>
      <c r="Q329" s="944">
        <v>0.0</v>
      </c>
      <c r="R329" s="944">
        <v>1.0</v>
      </c>
      <c r="S329" s="944">
        <v>0.0</v>
      </c>
      <c r="T329" s="944">
        <v>0.0</v>
      </c>
      <c r="U329" s="944">
        <v>0.0</v>
      </c>
      <c r="V329" s="944">
        <v>1.0</v>
      </c>
      <c r="W329" s="944">
        <v>0.0</v>
      </c>
      <c r="X329" s="944">
        <v>23.0</v>
      </c>
      <c r="Y329" s="944">
        <v>4.0</v>
      </c>
      <c r="Z329" s="944">
        <v>2.0</v>
      </c>
      <c r="AA329" s="944">
        <v>0.0</v>
      </c>
      <c r="AB329" s="944">
        <v>0.0</v>
      </c>
      <c r="AC329" s="944">
        <v>0.0</v>
      </c>
      <c r="AD329" s="944">
        <v>0.0</v>
      </c>
      <c r="AE329" s="944">
        <v>0.0</v>
      </c>
      <c r="AF329" s="944">
        <v>0.0</v>
      </c>
      <c r="AG329" s="944">
        <v>0.0</v>
      </c>
      <c r="AH329" s="944">
        <v>5.0</v>
      </c>
      <c r="AI329" s="944">
        <v>0.0</v>
      </c>
      <c r="AJ329" s="944">
        <v>15.0</v>
      </c>
      <c r="AK329" s="944">
        <v>24.0</v>
      </c>
      <c r="AL329" s="944">
        <v>0.0</v>
      </c>
      <c r="AM329" s="945">
        <v>1.0</v>
      </c>
    </row>
    <row r="330">
      <c r="A330" s="946" t="s">
        <v>123</v>
      </c>
      <c r="B330" s="939">
        <v>1.0</v>
      </c>
      <c r="C330" s="939">
        <v>1.0</v>
      </c>
      <c r="D330" s="939">
        <v>0.0</v>
      </c>
      <c r="E330" s="939">
        <v>2.0</v>
      </c>
      <c r="F330" s="939">
        <v>12.0</v>
      </c>
      <c r="G330" s="939">
        <v>37.0</v>
      </c>
      <c r="H330" s="939">
        <v>27.0</v>
      </c>
      <c r="I330" s="939">
        <v>10.0</v>
      </c>
      <c r="J330" s="939">
        <v>2.0</v>
      </c>
      <c r="K330" s="939">
        <v>5.0</v>
      </c>
      <c r="L330" s="939">
        <v>1.0</v>
      </c>
      <c r="M330" s="939">
        <v>868.0</v>
      </c>
      <c r="N330" s="939">
        <v>1035.0</v>
      </c>
      <c r="O330" s="939">
        <v>32.0</v>
      </c>
      <c r="P330" s="939">
        <v>575.0</v>
      </c>
      <c r="Q330" s="939">
        <v>0.0</v>
      </c>
      <c r="R330" s="939">
        <v>2.0</v>
      </c>
      <c r="S330" s="939">
        <v>0.0</v>
      </c>
      <c r="T330" s="939">
        <v>0.0</v>
      </c>
      <c r="U330" s="939">
        <v>0.0</v>
      </c>
      <c r="V330" s="939">
        <v>0.0</v>
      </c>
      <c r="W330" s="939">
        <v>0.0</v>
      </c>
      <c r="X330" s="939">
        <v>6.0</v>
      </c>
      <c r="Y330" s="939">
        <v>1.0</v>
      </c>
      <c r="Z330" s="939">
        <v>0.0</v>
      </c>
      <c r="AA330" s="939">
        <v>0.0</v>
      </c>
      <c r="AB330" s="939">
        <v>0.0</v>
      </c>
      <c r="AC330" s="939">
        <v>0.0</v>
      </c>
      <c r="AD330" s="939">
        <v>0.0</v>
      </c>
      <c r="AE330" s="939">
        <v>0.0</v>
      </c>
      <c r="AF330" s="939">
        <v>0.0</v>
      </c>
      <c r="AG330" s="939">
        <v>0.0</v>
      </c>
      <c r="AH330" s="939">
        <v>2.0</v>
      </c>
      <c r="AI330" s="939">
        <v>0.0</v>
      </c>
      <c r="AJ330" s="939">
        <v>5.0</v>
      </c>
      <c r="AK330" s="939">
        <v>4.0</v>
      </c>
      <c r="AL330" s="939">
        <v>0.0</v>
      </c>
      <c r="AM330" s="940">
        <v>0.0</v>
      </c>
    </row>
    <row r="331">
      <c r="A331" s="935" t="s">
        <v>419</v>
      </c>
      <c r="B331" s="941">
        <v>1.0</v>
      </c>
      <c r="C331" s="941">
        <v>1.0</v>
      </c>
      <c r="D331" s="941">
        <v>0.0</v>
      </c>
      <c r="E331" s="941">
        <v>1.0</v>
      </c>
      <c r="F331" s="941">
        <v>0.0</v>
      </c>
      <c r="G331" s="941">
        <v>58.0</v>
      </c>
      <c r="H331" s="941">
        <v>47.0</v>
      </c>
      <c r="I331" s="941">
        <v>11.0</v>
      </c>
      <c r="J331" s="941">
        <v>3.0</v>
      </c>
      <c r="K331" s="941">
        <v>3.0</v>
      </c>
      <c r="L331" s="941">
        <v>0.0</v>
      </c>
      <c r="M331" s="941">
        <v>812.0</v>
      </c>
      <c r="N331" s="941">
        <v>1035.0</v>
      </c>
      <c r="O331" s="941">
        <v>17.0</v>
      </c>
      <c r="P331" s="941">
        <v>4.0</v>
      </c>
      <c r="Q331" s="941">
        <v>0.0</v>
      </c>
      <c r="R331" s="941">
        <v>0.0</v>
      </c>
      <c r="S331" s="941">
        <v>0.0</v>
      </c>
      <c r="T331" s="941">
        <v>0.0</v>
      </c>
      <c r="U331" s="941">
        <v>0.0</v>
      </c>
      <c r="V331" s="941">
        <v>0.0</v>
      </c>
      <c r="W331" s="941">
        <v>0.0</v>
      </c>
      <c r="X331" s="941">
        <v>4.0</v>
      </c>
      <c r="Y331" s="941">
        <v>1.0</v>
      </c>
      <c r="Z331" s="941">
        <v>0.0</v>
      </c>
      <c r="AA331" s="941">
        <v>0.0</v>
      </c>
      <c r="AB331" s="941">
        <v>0.0</v>
      </c>
      <c r="AC331" s="941">
        <v>0.0</v>
      </c>
      <c r="AD331" s="941">
        <v>0.0</v>
      </c>
      <c r="AE331" s="941">
        <v>0.0</v>
      </c>
      <c r="AF331" s="941">
        <v>0.0</v>
      </c>
      <c r="AG331" s="941">
        <v>0.0</v>
      </c>
      <c r="AH331" s="941">
        <v>8.0</v>
      </c>
      <c r="AI331" s="941">
        <v>0.0</v>
      </c>
      <c r="AJ331" s="941">
        <v>6.0</v>
      </c>
      <c r="AK331" s="941">
        <v>2.0</v>
      </c>
      <c r="AL331" s="941">
        <v>0.0</v>
      </c>
      <c r="AM331" s="942">
        <v>0.0</v>
      </c>
    </row>
    <row r="332">
      <c r="A332" s="935" t="s">
        <v>145</v>
      </c>
      <c r="B332" s="941">
        <v>1.0</v>
      </c>
      <c r="C332" s="941">
        <v>1.0</v>
      </c>
      <c r="D332" s="941">
        <v>0.0</v>
      </c>
      <c r="E332" s="941">
        <v>1.0</v>
      </c>
      <c r="F332" s="941">
        <v>0.0</v>
      </c>
      <c r="G332" s="941">
        <v>63.0</v>
      </c>
      <c r="H332" s="941">
        <v>57.0</v>
      </c>
      <c r="I332" s="941">
        <v>6.0</v>
      </c>
      <c r="J332" s="941">
        <v>7.0</v>
      </c>
      <c r="K332" s="941">
        <v>4.0</v>
      </c>
      <c r="L332" s="941">
        <v>1.0</v>
      </c>
      <c r="M332" s="941">
        <v>780.0</v>
      </c>
      <c r="N332" s="941">
        <v>1035.0</v>
      </c>
      <c r="O332" s="941">
        <v>13.0</v>
      </c>
      <c r="P332" s="941">
        <v>1.0</v>
      </c>
      <c r="Q332" s="941">
        <v>0.0</v>
      </c>
      <c r="R332" s="941">
        <v>0.0</v>
      </c>
      <c r="S332" s="941">
        <v>0.0</v>
      </c>
      <c r="T332" s="941">
        <v>0.0</v>
      </c>
      <c r="U332" s="941">
        <v>0.0</v>
      </c>
      <c r="V332" s="941">
        <v>0.0</v>
      </c>
      <c r="W332" s="941">
        <v>0.0</v>
      </c>
      <c r="X332" s="941">
        <v>10.0</v>
      </c>
      <c r="Y332" s="941">
        <v>3.0</v>
      </c>
      <c r="Z332" s="941">
        <v>0.0</v>
      </c>
      <c r="AA332" s="941">
        <v>0.0</v>
      </c>
      <c r="AB332" s="941">
        <v>0.0</v>
      </c>
      <c r="AC332" s="941">
        <v>0.0</v>
      </c>
      <c r="AD332" s="941">
        <v>0.0</v>
      </c>
      <c r="AE332" s="941">
        <v>0.0</v>
      </c>
      <c r="AF332" s="941">
        <v>0.0</v>
      </c>
      <c r="AG332" s="941">
        <v>0.0</v>
      </c>
      <c r="AH332" s="941">
        <v>8.0</v>
      </c>
      <c r="AI332" s="941">
        <v>0.0</v>
      </c>
      <c r="AJ332" s="941">
        <v>3.0</v>
      </c>
      <c r="AK332" s="941">
        <v>8.0</v>
      </c>
      <c r="AL332" s="941">
        <v>3.0</v>
      </c>
      <c r="AM332" s="942">
        <v>0.0</v>
      </c>
    </row>
    <row r="333">
      <c r="A333" s="935" t="s">
        <v>159</v>
      </c>
      <c r="B333" s="941">
        <v>1.0</v>
      </c>
      <c r="C333" s="941">
        <v>1.0</v>
      </c>
      <c r="D333" s="941">
        <v>0.0</v>
      </c>
      <c r="E333" s="941">
        <v>1.0</v>
      </c>
      <c r="F333" s="941">
        <v>0.0</v>
      </c>
      <c r="G333" s="941">
        <v>64.0</v>
      </c>
      <c r="H333" s="941">
        <v>70.0</v>
      </c>
      <c r="I333" s="941">
        <v>-6.0</v>
      </c>
      <c r="J333" s="941">
        <v>2.0</v>
      </c>
      <c r="K333" s="941">
        <v>4.0</v>
      </c>
      <c r="L333" s="941">
        <v>0.0</v>
      </c>
      <c r="M333" s="941">
        <v>746.0</v>
      </c>
      <c r="N333" s="941">
        <v>1035.0</v>
      </c>
      <c r="O333" s="941">
        <v>10.0</v>
      </c>
      <c r="P333" s="941">
        <v>5.0</v>
      </c>
      <c r="Q333" s="941">
        <v>0.0</v>
      </c>
      <c r="R333" s="941">
        <v>0.0</v>
      </c>
      <c r="S333" s="941">
        <v>0.0</v>
      </c>
      <c r="T333" s="941">
        <v>0.0</v>
      </c>
      <c r="U333" s="941">
        <v>0.0</v>
      </c>
      <c r="V333" s="941">
        <v>0.0</v>
      </c>
      <c r="W333" s="941">
        <v>0.0</v>
      </c>
      <c r="X333" s="941">
        <v>9.0</v>
      </c>
      <c r="Y333" s="941">
        <v>2.0</v>
      </c>
      <c r="Z333" s="941">
        <v>0.0</v>
      </c>
      <c r="AA333" s="941">
        <v>0.0</v>
      </c>
      <c r="AB333" s="941">
        <v>0.0</v>
      </c>
      <c r="AC333" s="941">
        <v>0.0</v>
      </c>
      <c r="AD333" s="941">
        <v>0.0</v>
      </c>
      <c r="AE333" s="941">
        <v>0.0</v>
      </c>
      <c r="AF333" s="941">
        <v>0.0</v>
      </c>
      <c r="AG333" s="941">
        <v>0.0</v>
      </c>
      <c r="AH333" s="941">
        <v>5.0</v>
      </c>
      <c r="AI333" s="941">
        <v>0.0</v>
      </c>
      <c r="AJ333" s="941">
        <v>4.0</v>
      </c>
      <c r="AK333" s="941">
        <v>5.0</v>
      </c>
      <c r="AL333" s="941">
        <v>0.0</v>
      </c>
      <c r="AM333" s="942">
        <v>0.0</v>
      </c>
    </row>
    <row r="334">
      <c r="A334" s="935" t="s">
        <v>131</v>
      </c>
      <c r="B334" s="941">
        <v>1.0</v>
      </c>
      <c r="C334" s="941">
        <v>0.0</v>
      </c>
      <c r="D334" s="941">
        <v>1.0</v>
      </c>
      <c r="E334" s="941">
        <v>1.0</v>
      </c>
      <c r="F334" s="941">
        <v>0.0</v>
      </c>
      <c r="G334" s="941">
        <v>63.0</v>
      </c>
      <c r="H334" s="941">
        <v>56.0</v>
      </c>
      <c r="I334" s="941">
        <v>7.0</v>
      </c>
      <c r="J334" s="941">
        <v>1.0</v>
      </c>
      <c r="K334" s="941">
        <v>4.0</v>
      </c>
      <c r="L334" s="941">
        <v>0.0</v>
      </c>
      <c r="M334" s="941">
        <v>786.0</v>
      </c>
      <c r="N334" s="941">
        <v>1035.0</v>
      </c>
      <c r="O334" s="941">
        <v>14.0</v>
      </c>
      <c r="P334" s="941">
        <v>4.0</v>
      </c>
      <c r="Q334" s="941">
        <v>0.0</v>
      </c>
      <c r="R334" s="941">
        <v>0.0</v>
      </c>
      <c r="S334" s="941">
        <v>0.0</v>
      </c>
      <c r="T334" s="941">
        <v>0.0</v>
      </c>
      <c r="U334" s="941">
        <v>0.0</v>
      </c>
      <c r="V334" s="941">
        <v>0.0</v>
      </c>
      <c r="W334" s="941">
        <v>0.0</v>
      </c>
      <c r="X334" s="941">
        <v>10.0</v>
      </c>
      <c r="Y334" s="941">
        <v>1.0</v>
      </c>
      <c r="Z334" s="941">
        <v>0.0</v>
      </c>
      <c r="AA334" s="941">
        <v>0.0</v>
      </c>
      <c r="AB334" s="941">
        <v>0.0</v>
      </c>
      <c r="AC334" s="941">
        <v>0.0</v>
      </c>
      <c r="AD334" s="941">
        <v>0.0</v>
      </c>
      <c r="AE334" s="941">
        <v>0.0</v>
      </c>
      <c r="AF334" s="941">
        <v>0.0</v>
      </c>
      <c r="AG334" s="941">
        <v>0.0</v>
      </c>
      <c r="AH334" s="941">
        <v>4.0</v>
      </c>
      <c r="AI334" s="941">
        <v>0.0</v>
      </c>
      <c r="AJ334" s="941">
        <v>2.0</v>
      </c>
      <c r="AK334" s="941">
        <v>13.0</v>
      </c>
      <c r="AL334" s="941">
        <v>2.0</v>
      </c>
      <c r="AM334" s="942">
        <v>1.0</v>
      </c>
    </row>
    <row r="335">
      <c r="A335" s="935" t="s">
        <v>153</v>
      </c>
      <c r="B335" s="941">
        <v>1.0</v>
      </c>
      <c r="C335" s="941">
        <v>0.0</v>
      </c>
      <c r="D335" s="941">
        <v>1.0</v>
      </c>
      <c r="E335" s="941">
        <v>0.0</v>
      </c>
      <c r="F335" s="941">
        <v>6.0</v>
      </c>
      <c r="G335" s="941">
        <v>38.0</v>
      </c>
      <c r="H335" s="941">
        <v>62.0</v>
      </c>
      <c r="I335" s="941">
        <v>-24.0</v>
      </c>
      <c r="J335" s="941">
        <v>1.0</v>
      </c>
      <c r="K335" s="941">
        <v>3.0</v>
      </c>
      <c r="L335" s="941">
        <v>1.0</v>
      </c>
      <c r="M335" s="941">
        <v>772.0</v>
      </c>
      <c r="N335" s="941">
        <v>1035.0</v>
      </c>
      <c r="O335" s="941">
        <v>12.0</v>
      </c>
      <c r="P335" s="941">
        <v>271.0</v>
      </c>
      <c r="Q335" s="941">
        <v>0.0</v>
      </c>
      <c r="R335" s="941">
        <v>0.0</v>
      </c>
      <c r="S335" s="941">
        <v>0.0</v>
      </c>
      <c r="T335" s="941">
        <v>0.0</v>
      </c>
      <c r="U335" s="941">
        <v>0.0</v>
      </c>
      <c r="V335" s="941">
        <v>0.0</v>
      </c>
      <c r="W335" s="941">
        <v>0.0</v>
      </c>
      <c r="X335" s="941">
        <v>4.0</v>
      </c>
      <c r="Y335" s="941">
        <v>0.0</v>
      </c>
      <c r="Z335" s="941">
        <v>0.0</v>
      </c>
      <c r="AA335" s="941">
        <v>0.0</v>
      </c>
      <c r="AB335" s="941">
        <v>0.0</v>
      </c>
      <c r="AC335" s="941">
        <v>0.0</v>
      </c>
      <c r="AD335" s="941">
        <v>0.0</v>
      </c>
      <c r="AE335" s="941">
        <v>0.0</v>
      </c>
      <c r="AF335" s="941">
        <v>0.0</v>
      </c>
      <c r="AG335" s="941">
        <v>0.0</v>
      </c>
      <c r="AH335" s="941">
        <v>0.0</v>
      </c>
      <c r="AI335" s="941">
        <v>0.0</v>
      </c>
      <c r="AJ335" s="941">
        <v>5.0</v>
      </c>
      <c r="AK335" s="941">
        <v>7.0</v>
      </c>
      <c r="AL335" s="941">
        <v>1.0</v>
      </c>
      <c r="AM335" s="942">
        <v>1.0</v>
      </c>
    </row>
    <row r="336">
      <c r="A336" s="935" t="s">
        <v>142</v>
      </c>
      <c r="B336" s="941">
        <v>1.0</v>
      </c>
      <c r="C336" s="941">
        <v>0.0</v>
      </c>
      <c r="D336" s="941">
        <v>1.0</v>
      </c>
      <c r="E336" s="941">
        <v>0.0</v>
      </c>
      <c r="F336" s="941">
        <v>0.0</v>
      </c>
      <c r="G336" s="941">
        <v>38.0</v>
      </c>
      <c r="H336" s="941">
        <v>53.0</v>
      </c>
      <c r="I336" s="941">
        <v>-15.0</v>
      </c>
      <c r="J336" s="941">
        <v>2.0</v>
      </c>
      <c r="K336" s="941">
        <v>3.0</v>
      </c>
      <c r="L336" s="941">
        <v>0.0</v>
      </c>
      <c r="M336" s="941">
        <v>796.0</v>
      </c>
      <c r="N336" s="941">
        <v>1035.0</v>
      </c>
      <c r="O336" s="941">
        <v>15.0</v>
      </c>
      <c r="P336" s="941">
        <v>3.0</v>
      </c>
      <c r="Q336" s="941">
        <v>0.0</v>
      </c>
      <c r="R336" s="941">
        <v>0.0</v>
      </c>
      <c r="S336" s="941">
        <v>0.0</v>
      </c>
      <c r="T336" s="941">
        <v>0.0</v>
      </c>
      <c r="U336" s="941">
        <v>0.0</v>
      </c>
      <c r="V336" s="941">
        <v>0.0</v>
      </c>
      <c r="W336" s="941">
        <v>0.0</v>
      </c>
      <c r="X336" s="941">
        <v>6.0</v>
      </c>
      <c r="Y336" s="941">
        <v>1.0</v>
      </c>
      <c r="Z336" s="941">
        <v>0.0</v>
      </c>
      <c r="AA336" s="941">
        <v>0.0</v>
      </c>
      <c r="AB336" s="941">
        <v>0.0</v>
      </c>
      <c r="AC336" s="941">
        <v>0.0</v>
      </c>
      <c r="AD336" s="941">
        <v>0.0</v>
      </c>
      <c r="AE336" s="941">
        <v>0.0</v>
      </c>
      <c r="AF336" s="941">
        <v>0.0</v>
      </c>
      <c r="AG336" s="941">
        <v>0.0</v>
      </c>
      <c r="AH336" s="941">
        <v>1.0</v>
      </c>
      <c r="AI336" s="941">
        <v>0.0</v>
      </c>
      <c r="AJ336" s="941">
        <v>7.0</v>
      </c>
      <c r="AK336" s="941">
        <v>9.0</v>
      </c>
      <c r="AL336" s="941">
        <v>0.0</v>
      </c>
      <c r="AM336" s="942">
        <v>1.0</v>
      </c>
    </row>
    <row r="337">
      <c r="A337" s="943" t="s">
        <v>120</v>
      </c>
      <c r="B337" s="944">
        <v>1.0</v>
      </c>
      <c r="C337" s="944">
        <v>0.0</v>
      </c>
      <c r="D337" s="944">
        <v>1.0</v>
      </c>
      <c r="E337" s="944">
        <v>0.0</v>
      </c>
      <c r="F337" s="944">
        <v>0.0</v>
      </c>
      <c r="G337" s="944">
        <v>54.0</v>
      </c>
      <c r="H337" s="944">
        <v>63.0</v>
      </c>
      <c r="I337" s="944">
        <v>-9.0</v>
      </c>
      <c r="J337" s="944">
        <v>5.0</v>
      </c>
      <c r="K337" s="944">
        <v>5.0</v>
      </c>
      <c r="L337" s="944">
        <v>2.0</v>
      </c>
      <c r="M337" s="944">
        <v>765.0</v>
      </c>
      <c r="N337" s="944">
        <v>1035.0</v>
      </c>
      <c r="O337" s="944">
        <v>12.0</v>
      </c>
      <c r="P337" s="944">
        <v>4.0</v>
      </c>
      <c r="Q337" s="944">
        <v>0.0</v>
      </c>
      <c r="R337" s="944">
        <v>1.0</v>
      </c>
      <c r="S337" s="944">
        <v>0.0</v>
      </c>
      <c r="T337" s="944">
        <v>0.0</v>
      </c>
      <c r="U337" s="944">
        <v>0.0</v>
      </c>
      <c r="V337" s="944">
        <v>1.0</v>
      </c>
      <c r="W337" s="944">
        <v>0.0</v>
      </c>
      <c r="X337" s="944">
        <v>9.0</v>
      </c>
      <c r="Y337" s="944">
        <v>3.0</v>
      </c>
      <c r="Z337" s="944">
        <v>0.0</v>
      </c>
      <c r="AA337" s="944">
        <v>0.0</v>
      </c>
      <c r="AB337" s="944">
        <v>0.0</v>
      </c>
      <c r="AC337" s="944">
        <v>0.0</v>
      </c>
      <c r="AD337" s="944">
        <v>0.0</v>
      </c>
      <c r="AE337" s="944">
        <v>0.0</v>
      </c>
      <c r="AF337" s="944">
        <v>0.0</v>
      </c>
      <c r="AG337" s="944">
        <v>0.0</v>
      </c>
      <c r="AH337" s="944">
        <v>4.0</v>
      </c>
      <c r="AI337" s="944">
        <v>0.0</v>
      </c>
      <c r="AJ337" s="944">
        <v>5.0</v>
      </c>
      <c r="AK337" s="944">
        <v>11.0</v>
      </c>
      <c r="AL337" s="944">
        <v>0.0</v>
      </c>
      <c r="AM337" s="945">
        <v>1.0</v>
      </c>
    </row>
    <row r="338">
      <c r="A338" s="946" t="s">
        <v>153</v>
      </c>
      <c r="B338" s="939">
        <v>1.0</v>
      </c>
      <c r="C338" s="939">
        <v>1.0</v>
      </c>
      <c r="D338" s="939">
        <v>0.0</v>
      </c>
      <c r="E338" s="939">
        <v>3.0</v>
      </c>
      <c r="F338" s="939">
        <v>11.0</v>
      </c>
      <c r="G338" s="939">
        <v>70.0</v>
      </c>
      <c r="H338" s="939">
        <v>91.0</v>
      </c>
      <c r="I338" s="939">
        <v>-21.0</v>
      </c>
      <c r="J338" s="939">
        <v>0.0</v>
      </c>
      <c r="K338" s="939">
        <v>7.0</v>
      </c>
      <c r="L338" s="939">
        <v>2.0</v>
      </c>
      <c r="M338" s="939">
        <v>1711.0</v>
      </c>
      <c r="N338" s="895">
        <v>2026.0</v>
      </c>
      <c r="O338" s="939">
        <v>18.0</v>
      </c>
      <c r="P338" s="939">
        <v>903.0</v>
      </c>
      <c r="Q338" s="939">
        <v>0.0</v>
      </c>
      <c r="R338" s="939">
        <v>1.0</v>
      </c>
      <c r="S338" s="939">
        <v>0.0</v>
      </c>
      <c r="T338" s="939">
        <v>0.0</v>
      </c>
      <c r="U338" s="939">
        <v>0.0</v>
      </c>
      <c r="V338" s="939">
        <v>0.0</v>
      </c>
      <c r="W338" s="939">
        <v>1.0</v>
      </c>
      <c r="X338" s="939">
        <v>4.0</v>
      </c>
      <c r="Y338" s="939">
        <v>0.0</v>
      </c>
      <c r="Z338" s="939">
        <v>0.0</v>
      </c>
      <c r="AA338" s="939">
        <v>0.0</v>
      </c>
      <c r="AB338" s="939">
        <v>0.0</v>
      </c>
      <c r="AC338" s="939">
        <v>0.0</v>
      </c>
      <c r="AD338" s="939">
        <v>0.0</v>
      </c>
      <c r="AE338" s="939">
        <v>0.0</v>
      </c>
      <c r="AF338" s="939">
        <v>0.0</v>
      </c>
      <c r="AG338" s="939">
        <v>0.0</v>
      </c>
      <c r="AH338" s="939">
        <v>5.0</v>
      </c>
      <c r="AI338" s="939">
        <v>1.0</v>
      </c>
      <c r="AJ338" s="939">
        <v>9.0</v>
      </c>
      <c r="AK338" s="939">
        <v>6.0</v>
      </c>
      <c r="AL338" s="939">
        <v>1.0</v>
      </c>
      <c r="AM338" s="940">
        <v>1.0</v>
      </c>
    </row>
    <row r="339">
      <c r="A339" s="935" t="s">
        <v>131</v>
      </c>
      <c r="B339" s="941">
        <v>1.0</v>
      </c>
      <c r="C339" s="941">
        <v>1.0</v>
      </c>
      <c r="D339" s="941">
        <v>0.0</v>
      </c>
      <c r="E339" s="941">
        <v>1.0</v>
      </c>
      <c r="F339" s="941">
        <v>0.0</v>
      </c>
      <c r="G339" s="941">
        <v>110.0</v>
      </c>
      <c r="H339" s="941">
        <v>123.0</v>
      </c>
      <c r="I339" s="941">
        <v>-13.0</v>
      </c>
      <c r="J339" s="941">
        <v>8.0</v>
      </c>
      <c r="K339" s="941">
        <v>5.0</v>
      </c>
      <c r="L339" s="941">
        <v>4.0</v>
      </c>
      <c r="M339" s="941">
        <v>1607.0</v>
      </c>
      <c r="N339" s="1">
        <v>2026.0</v>
      </c>
      <c r="O339" s="941">
        <v>13.0</v>
      </c>
      <c r="P339" s="941">
        <v>13.0</v>
      </c>
      <c r="Q339" s="941">
        <v>0.0</v>
      </c>
      <c r="R339" s="941">
        <v>1.0</v>
      </c>
      <c r="S339" s="941">
        <v>0.0</v>
      </c>
      <c r="T339" s="941">
        <v>0.0</v>
      </c>
      <c r="U339" s="941">
        <v>0.0</v>
      </c>
      <c r="V339" s="941">
        <v>1.0</v>
      </c>
      <c r="W339" s="941">
        <v>0.0</v>
      </c>
      <c r="X339" s="941">
        <v>13.0</v>
      </c>
      <c r="Y339" s="941">
        <v>3.0</v>
      </c>
      <c r="Z339" s="941">
        <v>1.0</v>
      </c>
      <c r="AA339" s="941">
        <v>0.0</v>
      </c>
      <c r="AB339" s="941">
        <v>0.0</v>
      </c>
      <c r="AC339" s="941">
        <v>0.0</v>
      </c>
      <c r="AD339" s="941">
        <v>0.0</v>
      </c>
      <c r="AE339" s="941">
        <v>0.0</v>
      </c>
      <c r="AF339" s="941">
        <v>0.0</v>
      </c>
      <c r="AG339" s="941">
        <v>0.0</v>
      </c>
      <c r="AH339" s="941">
        <v>7.0</v>
      </c>
      <c r="AI339" s="941">
        <v>0.0</v>
      </c>
      <c r="AJ339" s="941">
        <v>7.0</v>
      </c>
      <c r="AK339" s="941">
        <v>14.0</v>
      </c>
      <c r="AL339" s="941">
        <v>0.0</v>
      </c>
      <c r="AM339" s="942">
        <v>1.0</v>
      </c>
    </row>
    <row r="340">
      <c r="A340" s="935" t="s">
        <v>142</v>
      </c>
      <c r="B340" s="941">
        <v>1.0</v>
      </c>
      <c r="C340" s="941">
        <v>1.0</v>
      </c>
      <c r="D340" s="941">
        <v>0.0</v>
      </c>
      <c r="E340" s="941">
        <v>1.0</v>
      </c>
      <c r="F340" s="941">
        <v>1.0</v>
      </c>
      <c r="G340" s="941">
        <v>116.0</v>
      </c>
      <c r="H340" s="941">
        <v>140.0</v>
      </c>
      <c r="I340" s="941">
        <v>-24.0</v>
      </c>
      <c r="J340" s="941">
        <v>3.0</v>
      </c>
      <c r="K340" s="941">
        <v>5.0</v>
      </c>
      <c r="L340" s="941">
        <v>2.0</v>
      </c>
      <c r="M340" s="941">
        <v>1557.0</v>
      </c>
      <c r="N340" s="1">
        <v>2026.0</v>
      </c>
      <c r="O340" s="941">
        <v>11.0</v>
      </c>
      <c r="P340" s="941">
        <v>5.0</v>
      </c>
      <c r="Q340" s="941">
        <v>0.0</v>
      </c>
      <c r="R340" s="941">
        <v>1.0</v>
      </c>
      <c r="S340" s="941">
        <v>0.0</v>
      </c>
      <c r="T340" s="941">
        <v>0.0</v>
      </c>
      <c r="U340" s="941">
        <v>0.0</v>
      </c>
      <c r="V340" s="941">
        <v>1.0</v>
      </c>
      <c r="W340" s="941">
        <v>0.0</v>
      </c>
      <c r="X340" s="941">
        <v>12.0</v>
      </c>
      <c r="Y340" s="941">
        <v>2.0</v>
      </c>
      <c r="Z340" s="941">
        <v>0.0</v>
      </c>
      <c r="AA340" s="941">
        <v>0.0</v>
      </c>
      <c r="AB340" s="941">
        <v>0.0</v>
      </c>
      <c r="AC340" s="941">
        <v>0.0</v>
      </c>
      <c r="AD340" s="941">
        <v>0.0</v>
      </c>
      <c r="AE340" s="941">
        <v>0.0</v>
      </c>
      <c r="AF340" s="941">
        <v>0.0</v>
      </c>
      <c r="AG340" s="941">
        <v>0.0</v>
      </c>
      <c r="AH340" s="941">
        <v>9.0</v>
      </c>
      <c r="AI340" s="941">
        <v>0.0</v>
      </c>
      <c r="AJ340" s="941">
        <v>10.0</v>
      </c>
      <c r="AK340" s="941">
        <v>19.0</v>
      </c>
      <c r="AL340" s="941">
        <v>0.0</v>
      </c>
      <c r="AM340" s="942">
        <v>1.0</v>
      </c>
    </row>
    <row r="341">
      <c r="A341" s="935" t="s">
        <v>120</v>
      </c>
      <c r="B341" s="941">
        <v>1.0</v>
      </c>
      <c r="C341" s="941">
        <v>1.0</v>
      </c>
      <c r="D341" s="941">
        <v>0.0</v>
      </c>
      <c r="E341" s="941">
        <v>0.0</v>
      </c>
      <c r="F341" s="941">
        <v>0.0</v>
      </c>
      <c r="G341" s="941">
        <v>139.0</v>
      </c>
      <c r="H341" s="941">
        <v>123.0</v>
      </c>
      <c r="I341" s="941">
        <v>16.0</v>
      </c>
      <c r="J341" s="941">
        <v>7.0</v>
      </c>
      <c r="K341" s="941">
        <v>5.0</v>
      </c>
      <c r="L341" s="941">
        <v>1.0</v>
      </c>
      <c r="M341" s="941">
        <v>1606.0</v>
      </c>
      <c r="N341" s="1">
        <v>2026.0</v>
      </c>
      <c r="O341" s="941">
        <v>13.0</v>
      </c>
      <c r="P341" s="941">
        <v>12.0</v>
      </c>
      <c r="Q341" s="941">
        <v>0.0</v>
      </c>
      <c r="R341" s="941">
        <v>2.0</v>
      </c>
      <c r="S341" s="941">
        <v>0.0</v>
      </c>
      <c r="T341" s="941">
        <v>0.0</v>
      </c>
      <c r="U341" s="941">
        <v>0.0</v>
      </c>
      <c r="V341" s="941">
        <v>1.0</v>
      </c>
      <c r="W341" s="941">
        <v>0.0</v>
      </c>
      <c r="X341" s="941">
        <v>28.0</v>
      </c>
      <c r="Y341" s="941">
        <v>2.0</v>
      </c>
      <c r="Z341" s="941">
        <v>0.0</v>
      </c>
      <c r="AA341" s="941">
        <v>0.0</v>
      </c>
      <c r="AB341" s="941">
        <v>0.0</v>
      </c>
      <c r="AC341" s="941">
        <v>0.0</v>
      </c>
      <c r="AD341" s="941">
        <v>0.0</v>
      </c>
      <c r="AE341" s="941">
        <v>0.0</v>
      </c>
      <c r="AF341" s="941">
        <v>0.0</v>
      </c>
      <c r="AG341" s="941">
        <v>0.0</v>
      </c>
      <c r="AH341" s="941">
        <v>13.0</v>
      </c>
      <c r="AI341" s="941">
        <v>0.0</v>
      </c>
      <c r="AJ341" s="941">
        <v>11.0</v>
      </c>
      <c r="AK341" s="941">
        <v>11.0</v>
      </c>
      <c r="AL341" s="941">
        <v>0.0</v>
      </c>
      <c r="AM341" s="942">
        <v>1.0</v>
      </c>
    </row>
    <row r="342">
      <c r="A342" s="935" t="s">
        <v>123</v>
      </c>
      <c r="B342" s="941">
        <v>1.0</v>
      </c>
      <c r="C342" s="941">
        <v>0.0</v>
      </c>
      <c r="D342" s="941">
        <v>1.0</v>
      </c>
      <c r="E342" s="941">
        <v>2.0</v>
      </c>
      <c r="F342" s="941">
        <v>14.0</v>
      </c>
      <c r="G342" s="941">
        <v>81.0</v>
      </c>
      <c r="H342" s="941">
        <v>68.0</v>
      </c>
      <c r="I342" s="941">
        <v>13.0</v>
      </c>
      <c r="J342" s="941">
        <v>4.0</v>
      </c>
      <c r="K342" s="941">
        <v>5.0</v>
      </c>
      <c r="L342" s="941">
        <v>3.0</v>
      </c>
      <c r="M342" s="941">
        <v>1774.0</v>
      </c>
      <c r="N342" s="1">
        <v>2026.0</v>
      </c>
      <c r="O342" s="941">
        <v>26.0</v>
      </c>
      <c r="P342" s="941">
        <v>853.0</v>
      </c>
      <c r="Q342" s="941">
        <v>0.0</v>
      </c>
      <c r="R342" s="941">
        <v>2.0</v>
      </c>
      <c r="S342" s="941">
        <v>0.0</v>
      </c>
      <c r="T342" s="941">
        <v>0.0</v>
      </c>
      <c r="U342" s="941">
        <v>0.0</v>
      </c>
      <c r="V342" s="941">
        <v>0.0</v>
      </c>
      <c r="W342" s="941">
        <v>0.0</v>
      </c>
      <c r="X342" s="941">
        <v>14.0</v>
      </c>
      <c r="Y342" s="941">
        <v>1.0</v>
      </c>
      <c r="Z342" s="941">
        <v>0.0</v>
      </c>
      <c r="AA342" s="941">
        <v>0.0</v>
      </c>
      <c r="AB342" s="941">
        <v>0.0</v>
      </c>
      <c r="AC342" s="941">
        <v>0.0</v>
      </c>
      <c r="AD342" s="941">
        <v>0.0</v>
      </c>
      <c r="AE342" s="941">
        <v>0.0</v>
      </c>
      <c r="AF342" s="941">
        <v>0.0</v>
      </c>
      <c r="AG342" s="941">
        <v>0.0</v>
      </c>
      <c r="AH342" s="941">
        <v>2.0</v>
      </c>
      <c r="AI342" s="941">
        <v>0.0</v>
      </c>
      <c r="AJ342" s="941">
        <v>7.0</v>
      </c>
      <c r="AK342" s="941">
        <v>12.0</v>
      </c>
      <c r="AL342" s="941">
        <v>5.0</v>
      </c>
      <c r="AM342" s="942">
        <v>0.0</v>
      </c>
    </row>
    <row r="343">
      <c r="A343" s="935" t="s">
        <v>159</v>
      </c>
      <c r="B343" s="941">
        <v>1.0</v>
      </c>
      <c r="C343" s="941">
        <v>0.0</v>
      </c>
      <c r="D343" s="941">
        <v>1.0</v>
      </c>
      <c r="E343" s="941">
        <v>1.0</v>
      </c>
      <c r="F343" s="941">
        <v>0.0</v>
      </c>
      <c r="G343" s="941">
        <v>130.0</v>
      </c>
      <c r="H343" s="941">
        <v>155.0</v>
      </c>
      <c r="I343" s="941">
        <v>-25.0</v>
      </c>
      <c r="J343" s="941">
        <v>8.0</v>
      </c>
      <c r="K343" s="941">
        <v>4.0</v>
      </c>
      <c r="L343" s="941">
        <v>0.0</v>
      </c>
      <c r="M343" s="941">
        <v>1511.0</v>
      </c>
      <c r="N343" s="1">
        <v>2026.0</v>
      </c>
      <c r="O343" s="941">
        <v>9.0</v>
      </c>
      <c r="P343" s="941">
        <v>1.0</v>
      </c>
      <c r="Q343" s="941">
        <v>0.0</v>
      </c>
      <c r="R343" s="941">
        <v>0.0</v>
      </c>
      <c r="S343" s="941">
        <v>0.0</v>
      </c>
      <c r="T343" s="941">
        <v>0.0</v>
      </c>
      <c r="U343" s="941">
        <v>0.0</v>
      </c>
      <c r="V343" s="941">
        <v>0.0</v>
      </c>
      <c r="W343" s="941">
        <v>0.0</v>
      </c>
      <c r="X343" s="941">
        <v>11.0</v>
      </c>
      <c r="Y343" s="941">
        <v>1.0</v>
      </c>
      <c r="Z343" s="941">
        <v>0.0</v>
      </c>
      <c r="AA343" s="941">
        <v>0.0</v>
      </c>
      <c r="AB343" s="941">
        <v>0.0</v>
      </c>
      <c r="AC343" s="941">
        <v>0.0</v>
      </c>
      <c r="AD343" s="941">
        <v>0.0</v>
      </c>
      <c r="AE343" s="941">
        <v>0.0</v>
      </c>
      <c r="AF343" s="941">
        <v>0.0</v>
      </c>
      <c r="AG343" s="941">
        <v>0.0</v>
      </c>
      <c r="AH343" s="941">
        <v>6.0</v>
      </c>
      <c r="AI343" s="941">
        <v>0.0</v>
      </c>
      <c r="AJ343" s="941">
        <v>7.0</v>
      </c>
      <c r="AK343" s="941">
        <v>18.0</v>
      </c>
      <c r="AL343" s="941">
        <v>0.0</v>
      </c>
      <c r="AM343" s="942">
        <v>0.0</v>
      </c>
    </row>
    <row r="344">
      <c r="A344" s="935" t="s">
        <v>145</v>
      </c>
      <c r="B344" s="941">
        <v>1.0</v>
      </c>
      <c r="C344" s="941">
        <v>0.0</v>
      </c>
      <c r="D344" s="941">
        <v>1.0</v>
      </c>
      <c r="E344" s="941">
        <v>1.0</v>
      </c>
      <c r="F344" s="941">
        <v>2.0</v>
      </c>
      <c r="G344" s="941">
        <v>127.0</v>
      </c>
      <c r="H344" s="941">
        <v>118.0</v>
      </c>
      <c r="I344" s="941">
        <v>9.0</v>
      </c>
      <c r="J344" s="941">
        <v>4.0</v>
      </c>
      <c r="K344" s="941">
        <v>6.0</v>
      </c>
      <c r="L344" s="941">
        <v>2.0</v>
      </c>
      <c r="M344" s="941">
        <v>1627.0</v>
      </c>
      <c r="N344" s="1">
        <v>2026.0</v>
      </c>
      <c r="O344" s="941">
        <v>13.0</v>
      </c>
      <c r="P344" s="941">
        <v>27.0</v>
      </c>
      <c r="Q344" s="941">
        <v>0.0</v>
      </c>
      <c r="R344" s="941">
        <v>2.0</v>
      </c>
      <c r="S344" s="941">
        <v>0.0</v>
      </c>
      <c r="T344" s="941">
        <v>0.0</v>
      </c>
      <c r="U344" s="941">
        <v>0.0</v>
      </c>
      <c r="V344" s="941">
        <v>2.0</v>
      </c>
      <c r="W344" s="941">
        <v>0.0</v>
      </c>
      <c r="X344" s="941">
        <v>23.0</v>
      </c>
      <c r="Y344" s="941">
        <v>2.0</v>
      </c>
      <c r="Z344" s="941">
        <v>0.0</v>
      </c>
      <c r="AA344" s="941">
        <v>0.0</v>
      </c>
      <c r="AB344" s="941">
        <v>0.0</v>
      </c>
      <c r="AC344" s="941">
        <v>0.0</v>
      </c>
      <c r="AD344" s="941">
        <v>0.0</v>
      </c>
      <c r="AE344" s="941">
        <v>0.0</v>
      </c>
      <c r="AF344" s="941">
        <v>0.0</v>
      </c>
      <c r="AG344" s="941">
        <v>0.0</v>
      </c>
      <c r="AH344" s="941">
        <v>12.0</v>
      </c>
      <c r="AI344" s="941">
        <v>0.0</v>
      </c>
      <c r="AJ344" s="941">
        <v>13.0</v>
      </c>
      <c r="AK344" s="941">
        <v>13.0</v>
      </c>
      <c r="AL344" s="941">
        <v>2.0</v>
      </c>
      <c r="AM344" s="942">
        <v>0.0</v>
      </c>
    </row>
    <row r="345">
      <c r="A345" s="943" t="s">
        <v>419</v>
      </c>
      <c r="B345" s="944">
        <v>1.0</v>
      </c>
      <c r="C345" s="944">
        <v>0.0</v>
      </c>
      <c r="D345" s="944">
        <v>1.0</v>
      </c>
      <c r="E345" s="944">
        <v>0.0</v>
      </c>
      <c r="F345" s="944">
        <v>0.0</v>
      </c>
      <c r="G345" s="944">
        <v>120.0</v>
      </c>
      <c r="H345" s="944">
        <v>112.0</v>
      </c>
      <c r="I345" s="944">
        <v>8.0</v>
      </c>
      <c r="J345" s="944">
        <v>7.0</v>
      </c>
      <c r="K345" s="944">
        <v>8.0</v>
      </c>
      <c r="L345" s="944">
        <v>0.0</v>
      </c>
      <c r="M345" s="944">
        <v>1579.0</v>
      </c>
      <c r="N345" s="1">
        <v>2026.0</v>
      </c>
      <c r="O345" s="944">
        <v>14.0</v>
      </c>
      <c r="P345" s="944">
        <v>19.0</v>
      </c>
      <c r="Q345" s="944">
        <v>0.0</v>
      </c>
      <c r="R345" s="944">
        <v>3.0</v>
      </c>
      <c r="S345" s="944">
        <v>0.0</v>
      </c>
      <c r="T345" s="944">
        <v>0.0</v>
      </c>
      <c r="U345" s="944">
        <v>0.0</v>
      </c>
      <c r="V345" s="944">
        <v>3.0</v>
      </c>
      <c r="W345" s="944">
        <v>0.0</v>
      </c>
      <c r="X345" s="944">
        <v>16.0</v>
      </c>
      <c r="Y345" s="944">
        <v>1.0</v>
      </c>
      <c r="Z345" s="944">
        <v>0.0</v>
      </c>
      <c r="AA345" s="944">
        <v>0.0</v>
      </c>
      <c r="AB345" s="944">
        <v>0.0</v>
      </c>
      <c r="AC345" s="944">
        <v>0.0</v>
      </c>
      <c r="AD345" s="944">
        <v>0.0</v>
      </c>
      <c r="AE345" s="944">
        <v>0.0</v>
      </c>
      <c r="AF345" s="944">
        <v>0.0</v>
      </c>
      <c r="AG345" s="944">
        <v>0.0</v>
      </c>
      <c r="AH345" s="944">
        <v>22.0</v>
      </c>
      <c r="AI345" s="944">
        <v>0.0</v>
      </c>
      <c r="AJ345" s="944">
        <v>7.0</v>
      </c>
      <c r="AK345" s="944">
        <v>15.0</v>
      </c>
      <c r="AL345" s="944">
        <v>1.0</v>
      </c>
      <c r="AM345" s="945">
        <v>0.0</v>
      </c>
    </row>
    <row r="346">
      <c r="A346" s="946" t="s">
        <v>123</v>
      </c>
      <c r="B346" s="939">
        <v>1.0</v>
      </c>
      <c r="C346" s="939">
        <v>1.0</v>
      </c>
      <c r="D346" s="939">
        <v>0.0</v>
      </c>
      <c r="E346" s="939">
        <v>3.0</v>
      </c>
      <c r="F346" s="939">
        <v>9.0</v>
      </c>
      <c r="G346" s="939">
        <v>33.0</v>
      </c>
      <c r="H346" s="939">
        <v>17.0</v>
      </c>
      <c r="I346" s="939">
        <v>16.0</v>
      </c>
      <c r="J346" s="939">
        <v>0.0</v>
      </c>
      <c r="K346" s="939">
        <v>8.0</v>
      </c>
      <c r="L346" s="939">
        <v>1.0</v>
      </c>
      <c r="M346" s="939">
        <v>287.0</v>
      </c>
      <c r="N346" s="939">
        <v>426.0</v>
      </c>
      <c r="O346" s="939">
        <v>16.0</v>
      </c>
      <c r="P346" s="939">
        <v>136.0</v>
      </c>
      <c r="Q346" s="939">
        <v>0.0</v>
      </c>
      <c r="R346" s="939">
        <v>1.0</v>
      </c>
      <c r="S346" s="939">
        <v>0.0</v>
      </c>
      <c r="T346" s="939">
        <v>0.0</v>
      </c>
      <c r="U346" s="939">
        <v>0.0</v>
      </c>
      <c r="V346" s="939">
        <v>1.0</v>
      </c>
      <c r="W346" s="939">
        <v>0.0</v>
      </c>
      <c r="X346" s="939">
        <v>8.0</v>
      </c>
      <c r="Y346" s="939">
        <v>3.0</v>
      </c>
      <c r="Z346" s="939">
        <v>1.0</v>
      </c>
      <c r="AA346" s="939">
        <v>0.0</v>
      </c>
      <c r="AB346" s="939">
        <v>0.0</v>
      </c>
      <c r="AC346" s="939">
        <v>0.0</v>
      </c>
      <c r="AD346" s="939">
        <v>0.0</v>
      </c>
      <c r="AE346" s="939">
        <v>0.0</v>
      </c>
      <c r="AF346" s="939">
        <v>0.0</v>
      </c>
      <c r="AG346" s="939">
        <v>0.0</v>
      </c>
      <c r="AH346" s="939">
        <v>0.0</v>
      </c>
      <c r="AI346" s="939">
        <v>0.0</v>
      </c>
      <c r="AJ346" s="939">
        <v>5.0</v>
      </c>
      <c r="AK346" s="939">
        <v>2.0</v>
      </c>
      <c r="AL346" s="939">
        <v>1.0</v>
      </c>
      <c r="AM346" s="940">
        <v>0.0</v>
      </c>
    </row>
    <row r="347">
      <c r="A347" s="935" t="s">
        <v>419</v>
      </c>
      <c r="B347" s="941">
        <v>1.0</v>
      </c>
      <c r="C347" s="941">
        <v>1.0</v>
      </c>
      <c r="D347" s="941">
        <v>0.0</v>
      </c>
      <c r="E347" s="941">
        <v>1.0</v>
      </c>
      <c r="F347" s="941">
        <v>0.0</v>
      </c>
      <c r="G347" s="941">
        <v>17.0</v>
      </c>
      <c r="H347" s="941">
        <v>21.0</v>
      </c>
      <c r="I347" s="941">
        <v>-4.0</v>
      </c>
      <c r="J347" s="941">
        <v>4.0</v>
      </c>
      <c r="K347" s="941">
        <v>4.0</v>
      </c>
      <c r="L347" s="941">
        <v>0.0</v>
      </c>
      <c r="M347" s="941">
        <v>263.0</v>
      </c>
      <c r="N347" s="941">
        <v>426.0</v>
      </c>
      <c r="O347" s="941">
        <v>12.0</v>
      </c>
      <c r="P347" s="941">
        <v>23.0</v>
      </c>
      <c r="Q347" s="941">
        <v>0.0</v>
      </c>
      <c r="R347" s="941">
        <v>0.0</v>
      </c>
      <c r="S347" s="941">
        <v>0.0</v>
      </c>
      <c r="T347" s="941">
        <v>0.0</v>
      </c>
      <c r="U347" s="941">
        <v>0.0</v>
      </c>
      <c r="V347" s="941">
        <v>0.0</v>
      </c>
      <c r="W347" s="941">
        <v>0.0</v>
      </c>
      <c r="X347" s="941">
        <v>3.0</v>
      </c>
      <c r="Y347" s="941">
        <v>1.0</v>
      </c>
      <c r="Z347" s="941">
        <v>1.0</v>
      </c>
      <c r="AA347" s="941">
        <v>0.0</v>
      </c>
      <c r="AB347" s="941">
        <v>0.0</v>
      </c>
      <c r="AC347" s="941">
        <v>0.0</v>
      </c>
      <c r="AD347" s="941">
        <v>0.0</v>
      </c>
      <c r="AE347" s="941">
        <v>0.0</v>
      </c>
      <c r="AF347" s="941">
        <v>0.0</v>
      </c>
      <c r="AG347" s="941">
        <v>0.0</v>
      </c>
      <c r="AH347" s="941">
        <v>0.0</v>
      </c>
      <c r="AI347" s="941">
        <v>0.0</v>
      </c>
      <c r="AJ347" s="941">
        <v>3.0</v>
      </c>
      <c r="AK347" s="941">
        <v>1.0</v>
      </c>
      <c r="AL347" s="941">
        <v>0.0</v>
      </c>
      <c r="AM347" s="942">
        <v>0.0</v>
      </c>
    </row>
    <row r="348">
      <c r="A348" s="935" t="s">
        <v>145</v>
      </c>
      <c r="B348" s="941">
        <v>1.0</v>
      </c>
      <c r="C348" s="941">
        <v>1.0</v>
      </c>
      <c r="D348" s="941">
        <v>0.0</v>
      </c>
      <c r="E348" s="941">
        <v>1.0</v>
      </c>
      <c r="F348" s="941">
        <v>2.0</v>
      </c>
      <c r="G348" s="941">
        <v>28.0</v>
      </c>
      <c r="H348" s="941">
        <v>22.0</v>
      </c>
      <c r="I348" s="941">
        <v>6.0</v>
      </c>
      <c r="J348" s="941">
        <v>8.0</v>
      </c>
      <c r="K348" s="941">
        <v>4.0</v>
      </c>
      <c r="L348" s="941">
        <v>0.0</v>
      </c>
      <c r="M348" s="941">
        <v>266.0</v>
      </c>
      <c r="N348" s="941">
        <v>426.0</v>
      </c>
      <c r="O348" s="941">
        <v>12.0</v>
      </c>
      <c r="P348" s="941">
        <v>13.0</v>
      </c>
      <c r="Q348" s="941">
        <v>0.0</v>
      </c>
      <c r="R348" s="941">
        <v>0.0</v>
      </c>
      <c r="S348" s="941">
        <v>0.0</v>
      </c>
      <c r="T348" s="941">
        <v>0.0</v>
      </c>
      <c r="U348" s="941">
        <v>0.0</v>
      </c>
      <c r="V348" s="941">
        <v>0.0</v>
      </c>
      <c r="W348" s="941">
        <v>0.0</v>
      </c>
      <c r="X348" s="941">
        <v>4.0</v>
      </c>
      <c r="Y348" s="941">
        <v>1.0</v>
      </c>
      <c r="Z348" s="941">
        <v>0.0</v>
      </c>
      <c r="AA348" s="941">
        <v>0.0</v>
      </c>
      <c r="AB348" s="941">
        <v>0.0</v>
      </c>
      <c r="AC348" s="941">
        <v>0.0</v>
      </c>
      <c r="AD348" s="941">
        <v>0.0</v>
      </c>
      <c r="AE348" s="941">
        <v>0.0</v>
      </c>
      <c r="AF348" s="941">
        <v>0.0</v>
      </c>
      <c r="AG348" s="941">
        <v>0.0</v>
      </c>
      <c r="AH348" s="941">
        <v>0.0</v>
      </c>
      <c r="AI348" s="941">
        <v>0.0</v>
      </c>
      <c r="AJ348" s="941">
        <v>7.0</v>
      </c>
      <c r="AK348" s="941">
        <v>2.0</v>
      </c>
      <c r="AL348" s="941">
        <v>1.0</v>
      </c>
      <c r="AM348" s="942">
        <v>0.0</v>
      </c>
    </row>
    <row r="349">
      <c r="A349" s="935" t="s">
        <v>159</v>
      </c>
      <c r="B349" s="941">
        <v>1.0</v>
      </c>
      <c r="C349" s="941">
        <v>1.0</v>
      </c>
      <c r="D349" s="941">
        <v>0.0</v>
      </c>
      <c r="E349" s="941">
        <v>0.0</v>
      </c>
      <c r="F349" s="941">
        <v>0.0</v>
      </c>
      <c r="G349" s="941">
        <v>23.0</v>
      </c>
      <c r="H349" s="941">
        <v>25.0</v>
      </c>
      <c r="I349" s="941">
        <v>-2.0</v>
      </c>
      <c r="J349" s="941">
        <v>1.0</v>
      </c>
      <c r="K349" s="941">
        <v>3.0</v>
      </c>
      <c r="L349" s="941">
        <v>0.0</v>
      </c>
      <c r="M349" s="941">
        <v>249.0</v>
      </c>
      <c r="N349" s="941">
        <v>426.0</v>
      </c>
      <c r="O349" s="941">
        <v>9.0</v>
      </c>
      <c r="P349" s="941">
        <v>2.0</v>
      </c>
      <c r="Q349" s="941">
        <v>0.0</v>
      </c>
      <c r="R349" s="941">
        <v>0.0</v>
      </c>
      <c r="S349" s="941">
        <v>0.0</v>
      </c>
      <c r="T349" s="941">
        <v>0.0</v>
      </c>
      <c r="U349" s="941">
        <v>0.0</v>
      </c>
      <c r="V349" s="941">
        <v>0.0</v>
      </c>
      <c r="W349" s="941">
        <v>0.0</v>
      </c>
      <c r="X349" s="941">
        <v>3.0</v>
      </c>
      <c r="Y349" s="941">
        <v>0.0</v>
      </c>
      <c r="Z349" s="941">
        <v>0.0</v>
      </c>
      <c r="AA349" s="941">
        <v>0.0</v>
      </c>
      <c r="AB349" s="941">
        <v>0.0</v>
      </c>
      <c r="AC349" s="941">
        <v>0.0</v>
      </c>
      <c r="AD349" s="941">
        <v>0.0</v>
      </c>
      <c r="AE349" s="941">
        <v>0.0</v>
      </c>
      <c r="AF349" s="941">
        <v>0.0</v>
      </c>
      <c r="AG349" s="941">
        <v>0.0</v>
      </c>
      <c r="AH349" s="941">
        <v>0.0</v>
      </c>
      <c r="AI349" s="941">
        <v>0.0</v>
      </c>
      <c r="AJ349" s="941">
        <v>1.0</v>
      </c>
      <c r="AK349" s="941">
        <v>4.0</v>
      </c>
      <c r="AL349" s="941">
        <v>0.0</v>
      </c>
      <c r="AM349" s="942">
        <v>0.0</v>
      </c>
    </row>
    <row r="350">
      <c r="A350" s="935" t="s">
        <v>119</v>
      </c>
      <c r="B350" s="941">
        <v>1.0</v>
      </c>
      <c r="C350" s="941">
        <v>0.0</v>
      </c>
      <c r="D350" s="941">
        <v>1.0</v>
      </c>
      <c r="E350" s="941">
        <v>2.0</v>
      </c>
      <c r="F350" s="941">
        <v>5.0</v>
      </c>
      <c r="G350" s="941">
        <v>24.0</v>
      </c>
      <c r="H350" s="941">
        <v>23.0</v>
      </c>
      <c r="I350" s="941">
        <v>1.0</v>
      </c>
      <c r="J350" s="941">
        <v>1.0</v>
      </c>
      <c r="K350" s="941">
        <v>4.0</v>
      </c>
      <c r="L350" s="941">
        <v>0.0</v>
      </c>
      <c r="M350" s="941">
        <v>266.0</v>
      </c>
      <c r="N350" s="941">
        <v>426.0</v>
      </c>
      <c r="O350" s="941">
        <v>11.0</v>
      </c>
      <c r="P350" s="941">
        <v>79.0</v>
      </c>
      <c r="Q350" s="941">
        <v>0.0</v>
      </c>
      <c r="R350" s="941">
        <v>0.0</v>
      </c>
      <c r="S350" s="941">
        <v>0.0</v>
      </c>
      <c r="T350" s="941">
        <v>0.0</v>
      </c>
      <c r="U350" s="941">
        <v>0.0</v>
      </c>
      <c r="V350" s="941">
        <v>0.0</v>
      </c>
      <c r="W350" s="941">
        <v>0.0</v>
      </c>
      <c r="X350" s="941">
        <v>4.0</v>
      </c>
      <c r="Y350" s="941">
        <v>0.0</v>
      </c>
      <c r="Z350" s="941">
        <v>0.0</v>
      </c>
      <c r="AA350" s="941">
        <v>0.0</v>
      </c>
      <c r="AB350" s="941">
        <v>0.0</v>
      </c>
      <c r="AC350" s="941">
        <v>0.0</v>
      </c>
      <c r="AD350" s="941">
        <v>0.0</v>
      </c>
      <c r="AE350" s="941">
        <v>0.0</v>
      </c>
      <c r="AF350" s="941">
        <v>0.0</v>
      </c>
      <c r="AG350" s="941">
        <v>0.0</v>
      </c>
      <c r="AH350" s="941">
        <v>0.0</v>
      </c>
      <c r="AI350" s="941">
        <v>0.0</v>
      </c>
      <c r="AJ350" s="941">
        <v>5.0</v>
      </c>
      <c r="AK350" s="941">
        <v>3.0</v>
      </c>
      <c r="AL350" s="941">
        <v>1.0</v>
      </c>
      <c r="AM350" s="942">
        <v>1.0</v>
      </c>
    </row>
    <row r="351">
      <c r="A351" s="935" t="s">
        <v>152</v>
      </c>
      <c r="B351" s="941">
        <v>1.0</v>
      </c>
      <c r="C351" s="941">
        <v>0.0</v>
      </c>
      <c r="D351" s="941">
        <v>1.0</v>
      </c>
      <c r="E351" s="941">
        <v>0.0</v>
      </c>
      <c r="F351" s="941">
        <v>1.0</v>
      </c>
      <c r="G351" s="941">
        <v>19.0</v>
      </c>
      <c r="H351" s="941">
        <v>29.0</v>
      </c>
      <c r="I351" s="941">
        <v>-10.0</v>
      </c>
      <c r="J351" s="941">
        <v>2.0</v>
      </c>
      <c r="K351" s="941">
        <v>4.0</v>
      </c>
      <c r="L351" s="941">
        <v>0.0</v>
      </c>
      <c r="M351" s="941">
        <v>247.0</v>
      </c>
      <c r="N351" s="941">
        <v>426.0</v>
      </c>
      <c r="O351" s="941">
        <v>8.0</v>
      </c>
      <c r="P351" s="941">
        <v>3.0</v>
      </c>
      <c r="Q351" s="941">
        <v>0.0</v>
      </c>
      <c r="R351" s="941">
        <v>0.0</v>
      </c>
      <c r="S351" s="941">
        <v>0.0</v>
      </c>
      <c r="T351" s="941">
        <v>0.0</v>
      </c>
      <c r="U351" s="941">
        <v>0.0</v>
      </c>
      <c r="V351" s="941">
        <v>0.0</v>
      </c>
      <c r="W351" s="941">
        <v>0.0</v>
      </c>
      <c r="X351" s="941">
        <v>2.0</v>
      </c>
      <c r="Y351" s="941">
        <v>1.0</v>
      </c>
      <c r="Z351" s="941">
        <v>1.0</v>
      </c>
      <c r="AA351" s="941">
        <v>0.0</v>
      </c>
      <c r="AB351" s="941">
        <v>0.0</v>
      </c>
      <c r="AC351" s="941">
        <v>0.0</v>
      </c>
      <c r="AD351" s="941">
        <v>0.0</v>
      </c>
      <c r="AE351" s="941">
        <v>0.0</v>
      </c>
      <c r="AF351" s="941">
        <v>0.0</v>
      </c>
      <c r="AG351" s="941">
        <v>0.0</v>
      </c>
      <c r="AH351" s="941">
        <v>0.0</v>
      </c>
      <c r="AI351" s="941">
        <v>0.0</v>
      </c>
      <c r="AJ351" s="941">
        <v>2.0</v>
      </c>
      <c r="AK351" s="941">
        <v>2.0</v>
      </c>
      <c r="AL351" s="941">
        <v>0.0</v>
      </c>
      <c r="AM351" s="942">
        <v>1.0</v>
      </c>
    </row>
    <row r="352">
      <c r="A352" s="935" t="s">
        <v>130</v>
      </c>
      <c r="B352" s="941">
        <v>1.0</v>
      </c>
      <c r="C352" s="941">
        <v>0.0</v>
      </c>
      <c r="D352" s="941">
        <v>1.0</v>
      </c>
      <c r="E352" s="941">
        <v>0.0</v>
      </c>
      <c r="F352" s="941">
        <v>0.0</v>
      </c>
      <c r="G352" s="941">
        <v>19.0</v>
      </c>
      <c r="H352" s="941">
        <v>25.0</v>
      </c>
      <c r="I352" s="941">
        <v>-6.0</v>
      </c>
      <c r="J352" s="941">
        <v>1.0</v>
      </c>
      <c r="K352" s="941">
        <v>4.0</v>
      </c>
      <c r="L352" s="941">
        <v>1.0</v>
      </c>
      <c r="M352" s="941">
        <v>260.0</v>
      </c>
      <c r="N352" s="941">
        <v>426.0</v>
      </c>
      <c r="O352" s="941">
        <v>10.0</v>
      </c>
      <c r="P352" s="941">
        <v>0.0</v>
      </c>
      <c r="Q352" s="941">
        <v>0.0</v>
      </c>
      <c r="R352" s="941">
        <v>0.0</v>
      </c>
      <c r="S352" s="941">
        <v>0.0</v>
      </c>
      <c r="T352" s="941">
        <v>0.0</v>
      </c>
      <c r="U352" s="941">
        <v>0.0</v>
      </c>
      <c r="V352" s="941">
        <v>0.0</v>
      </c>
      <c r="W352" s="941">
        <v>0.0</v>
      </c>
      <c r="X352" s="941">
        <v>4.0</v>
      </c>
      <c r="Y352" s="941">
        <v>0.0</v>
      </c>
      <c r="Z352" s="941">
        <v>0.0</v>
      </c>
      <c r="AA352" s="941">
        <v>0.0</v>
      </c>
      <c r="AB352" s="941">
        <v>0.0</v>
      </c>
      <c r="AC352" s="941">
        <v>0.0</v>
      </c>
      <c r="AD352" s="941">
        <v>0.0</v>
      </c>
      <c r="AE352" s="941">
        <v>0.0</v>
      </c>
      <c r="AF352" s="941">
        <v>0.0</v>
      </c>
      <c r="AG352" s="941">
        <v>0.0</v>
      </c>
      <c r="AH352" s="941">
        <v>1.0</v>
      </c>
      <c r="AI352" s="941">
        <v>0.0</v>
      </c>
      <c r="AJ352" s="941">
        <v>1.0</v>
      </c>
      <c r="AK352" s="941">
        <v>3.0</v>
      </c>
      <c r="AL352" s="941">
        <v>3.0</v>
      </c>
      <c r="AM352" s="942">
        <v>1.0</v>
      </c>
    </row>
    <row r="353">
      <c r="A353" s="943" t="s">
        <v>141</v>
      </c>
      <c r="B353" s="944">
        <v>1.0</v>
      </c>
      <c r="C353" s="944">
        <v>0.0</v>
      </c>
      <c r="D353" s="944">
        <v>1.0</v>
      </c>
      <c r="E353" s="944">
        <v>0.0</v>
      </c>
      <c r="F353" s="944">
        <v>0.0</v>
      </c>
      <c r="G353" s="944">
        <v>17.0</v>
      </c>
      <c r="H353" s="944">
        <v>34.0</v>
      </c>
      <c r="I353" s="944">
        <v>-17.0</v>
      </c>
      <c r="J353" s="944">
        <v>3.0</v>
      </c>
      <c r="K353" s="944">
        <v>2.0</v>
      </c>
      <c r="L353" s="944">
        <v>0.0</v>
      </c>
      <c r="M353" s="944">
        <v>230.0</v>
      </c>
      <c r="N353" s="944">
        <v>426.0</v>
      </c>
      <c r="O353" s="944">
        <v>6.0</v>
      </c>
      <c r="P353" s="944">
        <v>0.0</v>
      </c>
      <c r="Q353" s="944">
        <v>0.0</v>
      </c>
      <c r="R353" s="944">
        <v>0.0</v>
      </c>
      <c r="S353" s="944">
        <v>0.0</v>
      </c>
      <c r="T353" s="944">
        <v>0.0</v>
      </c>
      <c r="U353" s="944">
        <v>0.0</v>
      </c>
      <c r="V353" s="944">
        <v>0.0</v>
      </c>
      <c r="W353" s="944">
        <v>0.0</v>
      </c>
      <c r="X353" s="944">
        <v>4.0</v>
      </c>
      <c r="Y353" s="944">
        <v>0.0</v>
      </c>
      <c r="Z353" s="944">
        <v>0.0</v>
      </c>
      <c r="AA353" s="944">
        <v>0.0</v>
      </c>
      <c r="AB353" s="944">
        <v>0.0</v>
      </c>
      <c r="AC353" s="944">
        <v>0.0</v>
      </c>
      <c r="AD353" s="944">
        <v>0.0</v>
      </c>
      <c r="AE353" s="944">
        <v>0.0</v>
      </c>
      <c r="AF353" s="944">
        <v>0.0</v>
      </c>
      <c r="AG353" s="944">
        <v>0.0</v>
      </c>
      <c r="AH353" s="944">
        <v>2.0</v>
      </c>
      <c r="AI353" s="944">
        <v>0.0</v>
      </c>
      <c r="AJ353" s="944">
        <v>1.0</v>
      </c>
      <c r="AK353" s="944">
        <v>1.0</v>
      </c>
      <c r="AL353" s="944">
        <v>1.0</v>
      </c>
      <c r="AM353" s="945">
        <v>1.0</v>
      </c>
    </row>
    <row r="354">
      <c r="A354" s="946" t="s">
        <v>141</v>
      </c>
      <c r="B354" s="939">
        <v>1.0</v>
      </c>
      <c r="C354" s="939">
        <v>1.0</v>
      </c>
      <c r="D354" s="939">
        <v>0.0</v>
      </c>
      <c r="E354" s="939">
        <v>3.0</v>
      </c>
      <c r="F354" s="939">
        <v>7.0</v>
      </c>
      <c r="G354" s="939">
        <v>44.0</v>
      </c>
      <c r="H354" s="939">
        <v>59.0</v>
      </c>
      <c r="I354" s="939">
        <v>-15.0</v>
      </c>
      <c r="J354" s="939">
        <v>0.0</v>
      </c>
      <c r="K354" s="939">
        <v>4.0</v>
      </c>
      <c r="L354" s="939">
        <v>2.0</v>
      </c>
      <c r="M354" s="939">
        <v>639.0</v>
      </c>
      <c r="N354" s="939">
        <v>931.0</v>
      </c>
      <c r="O354" s="939">
        <v>10.0</v>
      </c>
      <c r="P354" s="939">
        <v>213.0</v>
      </c>
      <c r="Q354" s="939">
        <v>0.0</v>
      </c>
      <c r="R354" s="939">
        <v>0.0</v>
      </c>
      <c r="S354" s="939">
        <v>0.0</v>
      </c>
      <c r="T354" s="939">
        <v>0.0</v>
      </c>
      <c r="U354" s="939">
        <v>0.0</v>
      </c>
      <c r="V354" s="939">
        <v>0.0</v>
      </c>
      <c r="W354" s="939">
        <v>0.0</v>
      </c>
      <c r="X354" s="939">
        <v>4.0</v>
      </c>
      <c r="Y354" s="939">
        <v>0.0</v>
      </c>
      <c r="Z354" s="939">
        <v>0.0</v>
      </c>
      <c r="AA354" s="939">
        <v>0.0</v>
      </c>
      <c r="AB354" s="939">
        <v>0.0</v>
      </c>
      <c r="AC354" s="939">
        <v>0.0</v>
      </c>
      <c r="AD354" s="939">
        <v>0.0</v>
      </c>
      <c r="AE354" s="939">
        <v>0.0</v>
      </c>
      <c r="AF354" s="939">
        <v>0.0</v>
      </c>
      <c r="AG354" s="939">
        <v>0.0</v>
      </c>
      <c r="AH354" s="939">
        <v>1.0</v>
      </c>
      <c r="AI354" s="939">
        <v>0.0</v>
      </c>
      <c r="AJ354" s="939">
        <v>8.0</v>
      </c>
      <c r="AK354" s="939">
        <v>6.0</v>
      </c>
      <c r="AL354" s="939">
        <v>0.0</v>
      </c>
      <c r="AM354" s="940">
        <v>0.0</v>
      </c>
    </row>
    <row r="355">
      <c r="A355" s="935" t="s">
        <v>119</v>
      </c>
      <c r="B355" s="941">
        <v>1.0</v>
      </c>
      <c r="C355" s="941">
        <v>1.0</v>
      </c>
      <c r="D355" s="941">
        <v>0.0</v>
      </c>
      <c r="E355" s="941">
        <v>2.0</v>
      </c>
      <c r="F355" s="941">
        <v>6.0</v>
      </c>
      <c r="G355" s="941">
        <v>56.0</v>
      </c>
      <c r="H355" s="941">
        <v>54.0</v>
      </c>
      <c r="I355" s="941">
        <v>2.0</v>
      </c>
      <c r="J355" s="941">
        <v>7.0</v>
      </c>
      <c r="K355" s="941">
        <v>6.0</v>
      </c>
      <c r="L355" s="941">
        <v>0.0</v>
      </c>
      <c r="M355" s="941">
        <v>650.0</v>
      </c>
      <c r="N355" s="941">
        <v>931.0</v>
      </c>
      <c r="O355" s="941">
        <v>12.0</v>
      </c>
      <c r="P355" s="941">
        <v>99.0</v>
      </c>
      <c r="Q355" s="941">
        <v>0.0</v>
      </c>
      <c r="R355" s="941">
        <v>1.0</v>
      </c>
      <c r="S355" s="941">
        <v>0.0</v>
      </c>
      <c r="T355" s="941">
        <v>0.0</v>
      </c>
      <c r="U355" s="941">
        <v>0.0</v>
      </c>
      <c r="V355" s="941">
        <v>0.0</v>
      </c>
      <c r="W355" s="941">
        <v>0.0</v>
      </c>
      <c r="X355" s="941">
        <v>10.0</v>
      </c>
      <c r="Y355" s="941">
        <v>6.0</v>
      </c>
      <c r="Z355" s="941">
        <v>2.0</v>
      </c>
      <c r="AA355" s="941">
        <v>0.0</v>
      </c>
      <c r="AB355" s="941">
        <v>0.0</v>
      </c>
      <c r="AC355" s="941">
        <v>0.0</v>
      </c>
      <c r="AD355" s="941">
        <v>0.0</v>
      </c>
      <c r="AE355" s="941">
        <v>0.0</v>
      </c>
      <c r="AF355" s="941">
        <v>0.0</v>
      </c>
      <c r="AG355" s="941">
        <v>0.0</v>
      </c>
      <c r="AH355" s="941">
        <v>4.0</v>
      </c>
      <c r="AI355" s="941">
        <v>0.0</v>
      </c>
      <c r="AJ355" s="941">
        <v>5.0</v>
      </c>
      <c r="AK355" s="941">
        <v>8.0</v>
      </c>
      <c r="AL355" s="941">
        <v>0.0</v>
      </c>
      <c r="AM355" s="942">
        <v>0.0</v>
      </c>
    </row>
    <row r="356">
      <c r="A356" s="935" t="s">
        <v>130</v>
      </c>
      <c r="B356" s="941">
        <v>1.0</v>
      </c>
      <c r="C356" s="941">
        <v>1.0</v>
      </c>
      <c r="D356" s="941">
        <v>0.0</v>
      </c>
      <c r="E356" s="941">
        <v>0.0</v>
      </c>
      <c r="F356" s="941">
        <v>0.0</v>
      </c>
      <c r="G356" s="941">
        <v>56.0</v>
      </c>
      <c r="H356" s="941">
        <v>49.0</v>
      </c>
      <c r="I356" s="941">
        <v>7.0</v>
      </c>
      <c r="J356" s="941">
        <v>5.0</v>
      </c>
      <c r="K356" s="941">
        <v>6.0</v>
      </c>
      <c r="L356" s="941">
        <v>2.0</v>
      </c>
      <c r="M356" s="941">
        <v>659.0</v>
      </c>
      <c r="N356" s="941">
        <v>931.0</v>
      </c>
      <c r="O356" s="941">
        <v>13.0</v>
      </c>
      <c r="P356" s="941">
        <v>3.0</v>
      </c>
      <c r="Q356" s="941">
        <v>0.0</v>
      </c>
      <c r="R356" s="941">
        <v>2.0</v>
      </c>
      <c r="S356" s="941">
        <v>0.0</v>
      </c>
      <c r="T356" s="941">
        <v>0.0</v>
      </c>
      <c r="U356" s="941">
        <v>0.0</v>
      </c>
      <c r="V356" s="941">
        <v>1.0</v>
      </c>
      <c r="W356" s="941">
        <v>0.0</v>
      </c>
      <c r="X356" s="941">
        <v>9.0</v>
      </c>
      <c r="Y356" s="941">
        <v>2.0</v>
      </c>
      <c r="Z356" s="941">
        <v>0.0</v>
      </c>
      <c r="AA356" s="941">
        <v>0.0</v>
      </c>
      <c r="AB356" s="941">
        <v>0.0</v>
      </c>
      <c r="AC356" s="941">
        <v>0.0</v>
      </c>
      <c r="AD356" s="941">
        <v>0.0</v>
      </c>
      <c r="AE356" s="941">
        <v>0.0</v>
      </c>
      <c r="AF356" s="941">
        <v>0.0</v>
      </c>
      <c r="AG356" s="941">
        <v>0.0</v>
      </c>
      <c r="AH356" s="941">
        <v>4.0</v>
      </c>
      <c r="AI356" s="941">
        <v>0.0</v>
      </c>
      <c r="AJ356" s="941">
        <v>6.0</v>
      </c>
      <c r="AK356" s="941">
        <v>8.0</v>
      </c>
      <c r="AL356" s="941">
        <v>1.0</v>
      </c>
      <c r="AM356" s="942">
        <v>0.0</v>
      </c>
    </row>
    <row r="357">
      <c r="A357" s="935" t="s">
        <v>152</v>
      </c>
      <c r="B357" s="941">
        <v>1.0</v>
      </c>
      <c r="C357" s="941">
        <v>1.0</v>
      </c>
      <c r="D357" s="941">
        <v>0.0</v>
      </c>
      <c r="E357" s="941">
        <v>0.0</v>
      </c>
      <c r="F357" s="941">
        <v>2.0</v>
      </c>
      <c r="G357" s="941">
        <v>39.0</v>
      </c>
      <c r="H357" s="941">
        <v>69.0</v>
      </c>
      <c r="I357" s="941">
        <v>-30.0</v>
      </c>
      <c r="J357" s="941">
        <v>2.0</v>
      </c>
      <c r="K357" s="941">
        <v>2.0</v>
      </c>
      <c r="L357" s="941">
        <v>1.0</v>
      </c>
      <c r="M357" s="941">
        <v>604.0</v>
      </c>
      <c r="N357" s="941">
        <v>931.0</v>
      </c>
      <c r="O357" s="941">
        <v>8.0</v>
      </c>
      <c r="P357" s="941">
        <v>0.0</v>
      </c>
      <c r="Q357" s="941">
        <v>0.0</v>
      </c>
      <c r="R357" s="941">
        <v>0.0</v>
      </c>
      <c r="S357" s="941">
        <v>0.0</v>
      </c>
      <c r="T357" s="941">
        <v>0.0</v>
      </c>
      <c r="U357" s="941">
        <v>0.0</v>
      </c>
      <c r="V357" s="941">
        <v>0.0</v>
      </c>
      <c r="W357" s="941">
        <v>0.0</v>
      </c>
      <c r="X357" s="941">
        <v>6.0</v>
      </c>
      <c r="Y357" s="941">
        <v>0.0</v>
      </c>
      <c r="Z357" s="941">
        <v>0.0</v>
      </c>
      <c r="AA357" s="941">
        <v>0.0</v>
      </c>
      <c r="AB357" s="941">
        <v>0.0</v>
      </c>
      <c r="AC357" s="941">
        <v>0.0</v>
      </c>
      <c r="AD357" s="941">
        <v>0.0</v>
      </c>
      <c r="AE357" s="941">
        <v>0.0</v>
      </c>
      <c r="AF357" s="941">
        <v>0.0</v>
      </c>
      <c r="AG357" s="941">
        <v>0.0</v>
      </c>
      <c r="AH357" s="941">
        <v>5.0</v>
      </c>
      <c r="AI357" s="941">
        <v>0.0</v>
      </c>
      <c r="AJ357" s="941">
        <v>6.0</v>
      </c>
      <c r="AK357" s="941">
        <v>5.0</v>
      </c>
      <c r="AL357" s="941">
        <v>1.0</v>
      </c>
      <c r="AM357" s="942">
        <v>0.0</v>
      </c>
    </row>
    <row r="358">
      <c r="A358" s="935" t="s">
        <v>419</v>
      </c>
      <c r="B358" s="941">
        <v>1.0</v>
      </c>
      <c r="C358" s="941">
        <v>0.0</v>
      </c>
      <c r="D358" s="941">
        <v>1.0</v>
      </c>
      <c r="E358" s="941">
        <v>2.0</v>
      </c>
      <c r="F358" s="941">
        <v>0.0</v>
      </c>
      <c r="G358" s="941">
        <v>50.0</v>
      </c>
      <c r="H358" s="941">
        <v>57.0</v>
      </c>
      <c r="I358" s="941">
        <v>-7.0</v>
      </c>
      <c r="J358" s="941">
        <v>5.0</v>
      </c>
      <c r="K358" s="941">
        <v>4.0</v>
      </c>
      <c r="L358" s="941">
        <v>0.0</v>
      </c>
      <c r="M358" s="941">
        <v>643.0</v>
      </c>
      <c r="N358" s="941">
        <v>931.0</v>
      </c>
      <c r="O358" s="941">
        <v>11.0</v>
      </c>
      <c r="P358" s="941">
        <v>11.0</v>
      </c>
      <c r="Q358" s="941">
        <v>0.0</v>
      </c>
      <c r="R358" s="941">
        <v>0.0</v>
      </c>
      <c r="S358" s="941">
        <v>0.0</v>
      </c>
      <c r="T358" s="941">
        <v>0.0</v>
      </c>
      <c r="U358" s="941">
        <v>0.0</v>
      </c>
      <c r="V358" s="941">
        <v>0.0</v>
      </c>
      <c r="W358" s="941">
        <v>0.0</v>
      </c>
      <c r="X358" s="941">
        <v>8.0</v>
      </c>
      <c r="Y358" s="941">
        <v>1.0</v>
      </c>
      <c r="Z358" s="941">
        <v>0.0</v>
      </c>
      <c r="AA358" s="941">
        <v>0.0</v>
      </c>
      <c r="AB358" s="941">
        <v>0.0</v>
      </c>
      <c r="AC358" s="941">
        <v>0.0</v>
      </c>
      <c r="AD358" s="941">
        <v>0.0</v>
      </c>
      <c r="AE358" s="941">
        <v>0.0</v>
      </c>
      <c r="AF358" s="941">
        <v>0.0</v>
      </c>
      <c r="AG358" s="941">
        <v>0.0</v>
      </c>
      <c r="AH358" s="941">
        <v>1.0</v>
      </c>
      <c r="AI358" s="941">
        <v>0.0</v>
      </c>
      <c r="AJ358" s="941">
        <v>7.0</v>
      </c>
      <c r="AK358" s="941">
        <v>4.0</v>
      </c>
      <c r="AL358" s="941">
        <v>2.0</v>
      </c>
      <c r="AM358" s="942">
        <v>1.0</v>
      </c>
    </row>
    <row r="359">
      <c r="A359" s="935" t="s">
        <v>123</v>
      </c>
      <c r="B359" s="941">
        <v>1.0</v>
      </c>
      <c r="C359" s="941">
        <v>0.0</v>
      </c>
      <c r="D359" s="941">
        <v>1.0</v>
      </c>
      <c r="E359" s="941">
        <v>2.0</v>
      </c>
      <c r="F359" s="941">
        <v>15.0</v>
      </c>
      <c r="G359" s="941">
        <v>55.0</v>
      </c>
      <c r="H359" s="941">
        <v>37.0</v>
      </c>
      <c r="I359" s="941">
        <v>18.0</v>
      </c>
      <c r="J359" s="941">
        <v>0.0</v>
      </c>
      <c r="K359" s="941">
        <v>8.0</v>
      </c>
      <c r="L359" s="941">
        <v>0.0</v>
      </c>
      <c r="M359" s="941">
        <v>699.0</v>
      </c>
      <c r="N359" s="941">
        <v>931.0</v>
      </c>
      <c r="O359" s="941">
        <v>18.0</v>
      </c>
      <c r="P359" s="941">
        <v>355.0</v>
      </c>
      <c r="Q359" s="941">
        <v>0.0</v>
      </c>
      <c r="R359" s="941">
        <v>4.0</v>
      </c>
      <c r="S359" s="941">
        <v>0.0</v>
      </c>
      <c r="T359" s="941">
        <v>0.0</v>
      </c>
      <c r="U359" s="941">
        <v>0.0</v>
      </c>
      <c r="V359" s="941">
        <v>2.0</v>
      </c>
      <c r="W359" s="941">
        <v>0.0</v>
      </c>
      <c r="X359" s="941">
        <v>11.0</v>
      </c>
      <c r="Y359" s="941">
        <v>5.0</v>
      </c>
      <c r="Z359" s="941">
        <v>2.0</v>
      </c>
      <c r="AA359" s="941">
        <v>0.0</v>
      </c>
      <c r="AB359" s="941">
        <v>0.0</v>
      </c>
      <c r="AC359" s="941">
        <v>0.0</v>
      </c>
      <c r="AD359" s="941">
        <v>0.0</v>
      </c>
      <c r="AE359" s="941">
        <v>0.0</v>
      </c>
      <c r="AF359" s="941">
        <v>0.0</v>
      </c>
      <c r="AG359" s="941">
        <v>0.0</v>
      </c>
      <c r="AH359" s="941">
        <v>2.0</v>
      </c>
      <c r="AI359" s="941">
        <v>0.0</v>
      </c>
      <c r="AJ359" s="941">
        <v>9.0</v>
      </c>
      <c r="AK359" s="941">
        <v>4.0</v>
      </c>
      <c r="AL359" s="941">
        <v>5.0</v>
      </c>
      <c r="AM359" s="942">
        <v>1.0</v>
      </c>
    </row>
    <row r="360">
      <c r="A360" s="935" t="s">
        <v>159</v>
      </c>
      <c r="B360" s="941">
        <v>1.0</v>
      </c>
      <c r="C360" s="941">
        <v>0.0</v>
      </c>
      <c r="D360" s="941">
        <v>1.0</v>
      </c>
      <c r="E360" s="941">
        <v>0.0</v>
      </c>
      <c r="F360" s="941">
        <v>1.0</v>
      </c>
      <c r="G360" s="941">
        <v>62.0</v>
      </c>
      <c r="H360" s="941">
        <v>63.0</v>
      </c>
      <c r="I360" s="941">
        <v>-1.0</v>
      </c>
      <c r="J360" s="941">
        <v>4.0</v>
      </c>
      <c r="K360" s="941">
        <v>5.0</v>
      </c>
      <c r="L360" s="941">
        <v>0.0</v>
      </c>
      <c r="M360" s="941">
        <v>614.0</v>
      </c>
      <c r="N360" s="941">
        <v>931.0</v>
      </c>
      <c r="O360" s="941">
        <v>9.0</v>
      </c>
      <c r="P360" s="941">
        <v>0.0</v>
      </c>
      <c r="Q360" s="941">
        <v>0.0</v>
      </c>
      <c r="R360" s="941">
        <v>1.0</v>
      </c>
      <c r="S360" s="941">
        <v>0.0</v>
      </c>
      <c r="T360" s="941">
        <v>0.0</v>
      </c>
      <c r="U360" s="941">
        <v>0.0</v>
      </c>
      <c r="V360" s="941">
        <v>1.0</v>
      </c>
      <c r="W360" s="941">
        <v>0.0</v>
      </c>
      <c r="X360" s="941">
        <v>10.0</v>
      </c>
      <c r="Y360" s="941">
        <v>1.0</v>
      </c>
      <c r="Z360" s="941">
        <v>0.0</v>
      </c>
      <c r="AA360" s="941">
        <v>0.0</v>
      </c>
      <c r="AB360" s="941">
        <v>0.0</v>
      </c>
      <c r="AC360" s="941">
        <v>0.0</v>
      </c>
      <c r="AD360" s="941">
        <v>0.0</v>
      </c>
      <c r="AE360" s="941">
        <v>0.0</v>
      </c>
      <c r="AF360" s="941">
        <v>0.0</v>
      </c>
      <c r="AG360" s="941">
        <v>0.0</v>
      </c>
      <c r="AH360" s="941">
        <v>2.0</v>
      </c>
      <c r="AI360" s="941">
        <v>0.0</v>
      </c>
      <c r="AJ360" s="941">
        <v>2.0</v>
      </c>
      <c r="AK360" s="941">
        <v>8.0</v>
      </c>
      <c r="AL360" s="941">
        <v>0.0</v>
      </c>
      <c r="AM360" s="942">
        <v>1.0</v>
      </c>
    </row>
    <row r="361">
      <c r="A361" s="943" t="s">
        <v>145</v>
      </c>
      <c r="B361" s="944">
        <v>1.0</v>
      </c>
      <c r="C361" s="944">
        <v>0.0</v>
      </c>
      <c r="D361" s="944">
        <v>1.0</v>
      </c>
      <c r="E361" s="944">
        <v>0.0</v>
      </c>
      <c r="F361" s="944">
        <v>1.0</v>
      </c>
      <c r="G361" s="944">
        <v>49.0</v>
      </c>
      <c r="H361" s="944">
        <v>55.0</v>
      </c>
      <c r="I361" s="944">
        <v>-6.0</v>
      </c>
      <c r="J361" s="944">
        <v>2.0</v>
      </c>
      <c r="K361" s="944">
        <v>7.0</v>
      </c>
      <c r="L361" s="944">
        <v>0.0</v>
      </c>
      <c r="M361" s="944">
        <v>649.0</v>
      </c>
      <c r="N361" s="944">
        <v>931.0</v>
      </c>
      <c r="O361" s="944">
        <v>11.0</v>
      </c>
      <c r="P361" s="944">
        <v>15.0</v>
      </c>
      <c r="Q361" s="944">
        <v>0.0</v>
      </c>
      <c r="R361" s="944">
        <v>1.0</v>
      </c>
      <c r="S361" s="944">
        <v>0.0</v>
      </c>
      <c r="T361" s="944">
        <v>0.0</v>
      </c>
      <c r="U361" s="944">
        <v>0.0</v>
      </c>
      <c r="V361" s="944">
        <v>1.0</v>
      </c>
      <c r="W361" s="944">
        <v>0.0</v>
      </c>
      <c r="X361" s="944">
        <v>8.0</v>
      </c>
      <c r="Y361" s="944">
        <v>1.0</v>
      </c>
      <c r="Z361" s="944">
        <v>1.0</v>
      </c>
      <c r="AA361" s="944">
        <v>1.0</v>
      </c>
      <c r="AB361" s="944">
        <v>0.0</v>
      </c>
      <c r="AC361" s="944">
        <v>0.0</v>
      </c>
      <c r="AD361" s="944">
        <v>0.0</v>
      </c>
      <c r="AE361" s="944">
        <v>0.0</v>
      </c>
      <c r="AF361" s="944">
        <v>0.0</v>
      </c>
      <c r="AG361" s="944">
        <v>0.0</v>
      </c>
      <c r="AH361" s="944">
        <v>0.0</v>
      </c>
      <c r="AI361" s="944">
        <v>0.0</v>
      </c>
      <c r="AJ361" s="944">
        <v>7.0</v>
      </c>
      <c r="AK361" s="944">
        <v>5.0</v>
      </c>
      <c r="AL361" s="944">
        <v>0.0</v>
      </c>
      <c r="AM361" s="945">
        <v>1.0</v>
      </c>
    </row>
    <row r="362">
      <c r="A362" s="1" t="s">
        <v>123</v>
      </c>
      <c r="B362" s="941">
        <v>1.0</v>
      </c>
      <c r="C362" s="941">
        <v>1.0</v>
      </c>
      <c r="D362" s="941">
        <v>0.0</v>
      </c>
      <c r="E362" s="941">
        <v>4.0</v>
      </c>
      <c r="F362" s="941">
        <v>9.0</v>
      </c>
      <c r="G362" s="941">
        <v>61.0</v>
      </c>
      <c r="H362" s="941">
        <v>54.0</v>
      </c>
      <c r="I362" s="941">
        <v>7.0</v>
      </c>
      <c r="J362" s="941">
        <v>3.0</v>
      </c>
      <c r="K362" s="941">
        <v>7.0</v>
      </c>
      <c r="L362" s="941">
        <v>1.0</v>
      </c>
      <c r="M362" s="941">
        <v>1066.0</v>
      </c>
      <c r="N362" s="941">
        <v>1335.0</v>
      </c>
      <c r="O362" s="941">
        <v>19.0</v>
      </c>
      <c r="P362" s="941">
        <v>466.0</v>
      </c>
      <c r="Q362" s="941">
        <v>0.0</v>
      </c>
      <c r="R362" s="941">
        <v>2.0</v>
      </c>
      <c r="S362" s="941">
        <v>0.0</v>
      </c>
      <c r="T362" s="941">
        <v>0.0</v>
      </c>
      <c r="U362" s="941">
        <v>0.0</v>
      </c>
      <c r="V362" s="941">
        <v>1.0</v>
      </c>
      <c r="W362" s="941">
        <v>0.0</v>
      </c>
      <c r="X362" s="941">
        <v>6.0</v>
      </c>
      <c r="Y362" s="941">
        <v>2.0</v>
      </c>
      <c r="Z362" s="941">
        <v>1.0</v>
      </c>
      <c r="AA362" s="941">
        <v>1.0</v>
      </c>
      <c r="AB362" s="941">
        <v>1.0</v>
      </c>
      <c r="AC362" s="941">
        <v>0.0</v>
      </c>
      <c r="AD362" s="941">
        <v>0.0</v>
      </c>
      <c r="AE362" s="941">
        <v>0.0</v>
      </c>
      <c r="AF362" s="941">
        <v>0.0</v>
      </c>
      <c r="AG362" s="941">
        <v>0.0</v>
      </c>
      <c r="AH362" s="941">
        <v>0.0</v>
      </c>
      <c r="AI362" s="941">
        <v>0.0</v>
      </c>
      <c r="AJ362" s="941">
        <v>6.0</v>
      </c>
      <c r="AK362" s="941">
        <v>8.0</v>
      </c>
      <c r="AL362" s="941">
        <v>1.0</v>
      </c>
      <c r="AM362" s="941">
        <v>1.0</v>
      </c>
    </row>
    <row r="363">
      <c r="A363" s="1" t="s">
        <v>419</v>
      </c>
      <c r="B363" s="941">
        <v>1.0</v>
      </c>
      <c r="C363" s="941">
        <v>1.0</v>
      </c>
      <c r="D363" s="941">
        <v>0.0</v>
      </c>
      <c r="E363" s="941">
        <v>1.0</v>
      </c>
      <c r="F363" s="941">
        <v>0.0</v>
      </c>
      <c r="G363" s="941">
        <v>69.0</v>
      </c>
      <c r="H363" s="941">
        <v>83.0</v>
      </c>
      <c r="I363" s="941">
        <v>-14.0</v>
      </c>
      <c r="J363" s="941">
        <v>4.0</v>
      </c>
      <c r="K363" s="941">
        <v>3.0</v>
      </c>
      <c r="L363" s="941">
        <v>0.0</v>
      </c>
      <c r="M363" s="941">
        <v>980.0</v>
      </c>
      <c r="N363" s="941">
        <v>1335.0</v>
      </c>
      <c r="O363" s="941">
        <v>11.0</v>
      </c>
      <c r="P363" s="941">
        <v>2.0</v>
      </c>
      <c r="Q363" s="941">
        <v>0.0</v>
      </c>
      <c r="R363" s="941">
        <v>0.0</v>
      </c>
      <c r="S363" s="941">
        <v>0.0</v>
      </c>
      <c r="T363" s="941">
        <v>0.0</v>
      </c>
      <c r="U363" s="941">
        <v>0.0</v>
      </c>
      <c r="V363" s="941">
        <v>0.0</v>
      </c>
      <c r="W363" s="941">
        <v>0.0</v>
      </c>
      <c r="X363" s="941">
        <v>8.0</v>
      </c>
      <c r="Y363" s="941">
        <v>0.0</v>
      </c>
      <c r="Z363" s="941">
        <v>0.0</v>
      </c>
      <c r="AA363" s="941">
        <v>0.0</v>
      </c>
      <c r="AB363" s="941">
        <v>0.0</v>
      </c>
      <c r="AC363" s="941">
        <v>0.0</v>
      </c>
      <c r="AD363" s="941">
        <v>0.0</v>
      </c>
      <c r="AE363" s="941">
        <v>0.0</v>
      </c>
      <c r="AF363" s="941">
        <v>0.0</v>
      </c>
      <c r="AG363" s="941">
        <v>0.0</v>
      </c>
      <c r="AH363" s="941">
        <v>2.0</v>
      </c>
      <c r="AI363" s="941">
        <v>0.0</v>
      </c>
      <c r="AJ363" s="941">
        <v>5.0</v>
      </c>
      <c r="AK363" s="941">
        <v>12.0</v>
      </c>
      <c r="AL363" s="941">
        <v>1.0</v>
      </c>
      <c r="AM363" s="941">
        <v>1.0</v>
      </c>
    </row>
    <row r="364">
      <c r="A364" s="1" t="s">
        <v>145</v>
      </c>
      <c r="B364" s="941">
        <v>1.0</v>
      </c>
      <c r="C364" s="941">
        <v>1.0</v>
      </c>
      <c r="D364" s="941">
        <v>0.0</v>
      </c>
      <c r="E364" s="941">
        <v>0.0</v>
      </c>
      <c r="F364" s="941">
        <v>0.0</v>
      </c>
      <c r="G364" s="941">
        <v>72.0</v>
      </c>
      <c r="H364" s="941">
        <v>71.0</v>
      </c>
      <c r="I364" s="941">
        <v>1.0</v>
      </c>
      <c r="J364" s="941">
        <v>7.0</v>
      </c>
      <c r="K364" s="941">
        <v>6.0</v>
      </c>
      <c r="L364" s="941">
        <v>1.0</v>
      </c>
      <c r="M364" s="941">
        <v>1014.0</v>
      </c>
      <c r="N364" s="941">
        <v>1335.0</v>
      </c>
      <c r="O364" s="941">
        <v>14.0</v>
      </c>
      <c r="P364" s="941">
        <v>7.0</v>
      </c>
      <c r="Q364" s="941">
        <v>0.0</v>
      </c>
      <c r="R364" s="941">
        <v>2.0</v>
      </c>
      <c r="S364" s="941">
        <v>0.0</v>
      </c>
      <c r="T364" s="941">
        <v>0.0</v>
      </c>
      <c r="U364" s="941">
        <v>0.0</v>
      </c>
      <c r="V364" s="941">
        <v>2.0</v>
      </c>
      <c r="W364" s="941">
        <v>0.0</v>
      </c>
      <c r="X364" s="941">
        <v>10.0</v>
      </c>
      <c r="Y364" s="941">
        <v>3.0</v>
      </c>
      <c r="Z364" s="941">
        <v>0.0</v>
      </c>
      <c r="AA364" s="941">
        <v>0.0</v>
      </c>
      <c r="AB364" s="941">
        <v>0.0</v>
      </c>
      <c r="AC364" s="941">
        <v>0.0</v>
      </c>
      <c r="AD364" s="941">
        <v>0.0</v>
      </c>
      <c r="AE364" s="941">
        <v>0.0</v>
      </c>
      <c r="AF364" s="941">
        <v>0.0</v>
      </c>
      <c r="AG364" s="941">
        <v>0.0</v>
      </c>
      <c r="AH364" s="941">
        <v>2.0</v>
      </c>
      <c r="AI364" s="941">
        <v>0.0</v>
      </c>
      <c r="AJ364" s="941">
        <v>9.0</v>
      </c>
      <c r="AK364" s="941">
        <v>10.0</v>
      </c>
      <c r="AL364" s="941">
        <v>1.0</v>
      </c>
      <c r="AM364" s="941">
        <v>1.0</v>
      </c>
    </row>
    <row r="365">
      <c r="A365" s="1" t="s">
        <v>159</v>
      </c>
      <c r="B365" s="941">
        <v>1.0</v>
      </c>
      <c r="C365" s="941">
        <v>1.0</v>
      </c>
      <c r="D365" s="941">
        <v>0.0</v>
      </c>
      <c r="E365" s="941">
        <v>0.0</v>
      </c>
      <c r="F365" s="941">
        <v>0.0</v>
      </c>
      <c r="G365" s="941">
        <v>62.0</v>
      </c>
      <c r="H365" s="941">
        <v>82.0</v>
      </c>
      <c r="I365" s="941">
        <v>-20.0</v>
      </c>
      <c r="J365" s="941">
        <v>4.0</v>
      </c>
      <c r="K365" s="941">
        <v>5.0</v>
      </c>
      <c r="L365" s="941">
        <v>1.0</v>
      </c>
      <c r="M365" s="941">
        <v>977.0</v>
      </c>
      <c r="N365" s="941">
        <v>1335.0</v>
      </c>
      <c r="O365" s="941">
        <v>11.0</v>
      </c>
      <c r="P365" s="941">
        <v>0.0</v>
      </c>
      <c r="Q365" s="941">
        <v>0.0</v>
      </c>
      <c r="R365" s="941">
        <v>1.0</v>
      </c>
      <c r="S365" s="941">
        <v>0.0</v>
      </c>
      <c r="T365" s="941">
        <v>0.0</v>
      </c>
      <c r="U365" s="941">
        <v>0.0</v>
      </c>
      <c r="V365" s="941">
        <v>1.0</v>
      </c>
      <c r="W365" s="941">
        <v>0.0</v>
      </c>
      <c r="X365" s="941">
        <v>9.0</v>
      </c>
      <c r="Y365" s="941">
        <v>2.0</v>
      </c>
      <c r="Z365" s="941">
        <v>1.0</v>
      </c>
      <c r="AA365" s="941">
        <v>0.0</v>
      </c>
      <c r="AB365" s="941">
        <v>0.0</v>
      </c>
      <c r="AC365" s="941">
        <v>0.0</v>
      </c>
      <c r="AD365" s="941">
        <v>0.0</v>
      </c>
      <c r="AE365" s="941">
        <v>0.0</v>
      </c>
      <c r="AF365" s="941">
        <v>0.0</v>
      </c>
      <c r="AG365" s="941">
        <v>0.0</v>
      </c>
      <c r="AH365" s="941">
        <v>0.0</v>
      </c>
      <c r="AI365" s="941">
        <v>0.0</v>
      </c>
      <c r="AJ365" s="941">
        <v>5.0</v>
      </c>
      <c r="AK365" s="941">
        <v>12.0</v>
      </c>
      <c r="AL365" s="941">
        <v>0.0</v>
      </c>
      <c r="AM365" s="941">
        <v>1.0</v>
      </c>
    </row>
    <row r="366">
      <c r="A366" s="1" t="s">
        <v>420</v>
      </c>
      <c r="B366" s="941">
        <v>1.0</v>
      </c>
      <c r="C366" s="941">
        <v>0.0</v>
      </c>
      <c r="D366" s="941">
        <v>1.0</v>
      </c>
      <c r="E366" s="941">
        <v>3.0</v>
      </c>
      <c r="F366" s="941">
        <v>10.0</v>
      </c>
      <c r="G366" s="941">
        <v>45.0</v>
      </c>
      <c r="H366" s="941">
        <v>29.0</v>
      </c>
      <c r="I366" s="941">
        <v>16.0</v>
      </c>
      <c r="J366" s="941">
        <v>2.0</v>
      </c>
      <c r="K366" s="941">
        <v>8.0</v>
      </c>
      <c r="L366" s="941">
        <v>4.0</v>
      </c>
      <c r="M366" s="941">
        <v>1141.0</v>
      </c>
      <c r="N366" s="941">
        <v>1335.0</v>
      </c>
      <c r="O366" s="941">
        <v>39.0</v>
      </c>
      <c r="P366" s="941">
        <v>652.0</v>
      </c>
      <c r="Q366" s="941">
        <v>0.0</v>
      </c>
      <c r="R366" s="941">
        <v>1.0</v>
      </c>
      <c r="S366" s="941">
        <v>0.0</v>
      </c>
      <c r="T366" s="941">
        <v>0.0</v>
      </c>
      <c r="U366" s="941">
        <v>0.0</v>
      </c>
      <c r="V366" s="941">
        <v>1.0</v>
      </c>
      <c r="W366" s="941">
        <v>0.0</v>
      </c>
      <c r="X366" s="941">
        <v>5.0</v>
      </c>
      <c r="Y366" s="941">
        <v>2.0</v>
      </c>
      <c r="Z366" s="941">
        <v>1.0</v>
      </c>
      <c r="AA366" s="941">
        <v>0.0</v>
      </c>
      <c r="AB366" s="941">
        <v>0.0</v>
      </c>
      <c r="AC366" s="941">
        <v>0.0</v>
      </c>
      <c r="AD366" s="941">
        <v>0.0</v>
      </c>
      <c r="AE366" s="941">
        <v>0.0</v>
      </c>
      <c r="AF366" s="941">
        <v>0.0</v>
      </c>
      <c r="AG366" s="941">
        <v>0.0</v>
      </c>
      <c r="AH366" s="941">
        <v>0.0</v>
      </c>
      <c r="AI366" s="941">
        <v>0.0</v>
      </c>
      <c r="AJ366" s="941">
        <v>11.0</v>
      </c>
      <c r="AK366" s="941">
        <v>6.0</v>
      </c>
      <c r="AL366" s="941">
        <v>1.0</v>
      </c>
      <c r="AM366" s="941">
        <v>0.0</v>
      </c>
    </row>
    <row r="367">
      <c r="A367" s="1" t="s">
        <v>418</v>
      </c>
      <c r="B367" s="941">
        <v>1.0</v>
      </c>
      <c r="C367" s="941">
        <v>0.0</v>
      </c>
      <c r="D367" s="941">
        <v>1.0</v>
      </c>
      <c r="E367" s="941">
        <v>0.0</v>
      </c>
      <c r="F367" s="941">
        <v>0.0</v>
      </c>
      <c r="G367" s="941">
        <v>90.0</v>
      </c>
      <c r="H367" s="941">
        <v>77.0</v>
      </c>
      <c r="I367" s="941">
        <v>13.0</v>
      </c>
      <c r="J367" s="941">
        <v>8.0</v>
      </c>
      <c r="K367" s="941">
        <v>7.0</v>
      </c>
      <c r="L367" s="941">
        <v>2.0</v>
      </c>
      <c r="M367" s="941">
        <v>997.0</v>
      </c>
      <c r="N367" s="941">
        <v>1335.0</v>
      </c>
      <c r="O367" s="941">
        <v>12.0</v>
      </c>
      <c r="P367" s="941">
        <v>4.0</v>
      </c>
      <c r="Q367" s="941">
        <v>0.0</v>
      </c>
      <c r="R367" s="941">
        <v>1.0</v>
      </c>
      <c r="S367" s="941">
        <v>0.0</v>
      </c>
      <c r="T367" s="941">
        <v>0.0</v>
      </c>
      <c r="U367" s="941">
        <v>0.0</v>
      </c>
      <c r="V367" s="941">
        <v>1.0</v>
      </c>
      <c r="W367" s="941">
        <v>0.0</v>
      </c>
      <c r="X367" s="941">
        <v>17.0</v>
      </c>
      <c r="Y367" s="941">
        <v>4.0</v>
      </c>
      <c r="Z367" s="941">
        <v>1.0</v>
      </c>
      <c r="AA367" s="941">
        <v>1.0</v>
      </c>
      <c r="AB367" s="941">
        <v>1.0</v>
      </c>
      <c r="AC367" s="941">
        <v>1.0</v>
      </c>
      <c r="AD367" s="941">
        <v>0.0</v>
      </c>
      <c r="AE367" s="941">
        <v>0.0</v>
      </c>
      <c r="AF367" s="941">
        <v>0.0</v>
      </c>
      <c r="AG367" s="941">
        <v>0.0</v>
      </c>
      <c r="AH367" s="941">
        <v>3.0</v>
      </c>
      <c r="AI367" s="941">
        <v>0.0</v>
      </c>
      <c r="AJ367" s="941">
        <v>7.0</v>
      </c>
      <c r="AK367" s="941">
        <v>10.0</v>
      </c>
      <c r="AL367" s="941">
        <v>4.0</v>
      </c>
      <c r="AM367" s="941">
        <v>0.0</v>
      </c>
    </row>
    <row r="368">
      <c r="A368" s="1" t="s">
        <v>137</v>
      </c>
      <c r="B368" s="941">
        <v>1.0</v>
      </c>
      <c r="C368" s="941">
        <v>0.0</v>
      </c>
      <c r="D368" s="941">
        <v>1.0</v>
      </c>
      <c r="E368" s="941">
        <v>0.0</v>
      </c>
      <c r="F368" s="941">
        <v>1.0</v>
      </c>
      <c r="G368" s="941">
        <v>76.0</v>
      </c>
      <c r="H368" s="941">
        <v>78.0</v>
      </c>
      <c r="I368" s="941">
        <v>-2.0</v>
      </c>
      <c r="J368" s="941">
        <v>1.0</v>
      </c>
      <c r="K368" s="941">
        <v>5.0</v>
      </c>
      <c r="L368" s="941">
        <v>1.0</v>
      </c>
      <c r="M368" s="941">
        <v>998.0</v>
      </c>
      <c r="N368" s="941">
        <v>1335.0</v>
      </c>
      <c r="O368" s="941">
        <v>12.0</v>
      </c>
      <c r="P368" s="941">
        <v>4.0</v>
      </c>
      <c r="Q368" s="941">
        <v>0.0</v>
      </c>
      <c r="R368" s="941">
        <v>1.0</v>
      </c>
      <c r="S368" s="941">
        <v>0.0</v>
      </c>
      <c r="T368" s="941">
        <v>0.0</v>
      </c>
      <c r="U368" s="941">
        <v>0.0</v>
      </c>
      <c r="V368" s="941">
        <v>1.0</v>
      </c>
      <c r="W368" s="941">
        <v>0.0</v>
      </c>
      <c r="X368" s="941">
        <v>11.0</v>
      </c>
      <c r="Y368" s="941">
        <v>5.0</v>
      </c>
      <c r="Z368" s="941">
        <v>3.0</v>
      </c>
      <c r="AA368" s="941">
        <v>0.0</v>
      </c>
      <c r="AB368" s="941">
        <v>0.0</v>
      </c>
      <c r="AC368" s="941">
        <v>0.0</v>
      </c>
      <c r="AD368" s="941">
        <v>0.0</v>
      </c>
      <c r="AE368" s="941">
        <v>0.0</v>
      </c>
      <c r="AF368" s="941">
        <v>0.0</v>
      </c>
      <c r="AG368" s="941">
        <v>0.0</v>
      </c>
      <c r="AH368" s="941">
        <v>8.0</v>
      </c>
      <c r="AI368" s="941">
        <v>0.0</v>
      </c>
      <c r="AJ368" s="941">
        <v>4.0</v>
      </c>
      <c r="AK368" s="941">
        <v>6.0</v>
      </c>
      <c r="AL368" s="941">
        <v>0.0</v>
      </c>
      <c r="AM368" s="941">
        <v>0.0</v>
      </c>
    </row>
    <row r="369">
      <c r="A369" s="882" t="s">
        <v>115</v>
      </c>
      <c r="B369" s="944">
        <v>1.0</v>
      </c>
      <c r="C369" s="944">
        <v>0.0</v>
      </c>
      <c r="D369" s="944">
        <v>1.0</v>
      </c>
      <c r="E369" s="944">
        <v>0.0</v>
      </c>
      <c r="F369" s="944">
        <v>0.0</v>
      </c>
      <c r="G369" s="944">
        <v>66.0</v>
      </c>
      <c r="H369" s="944">
        <v>97.0</v>
      </c>
      <c r="I369" s="944">
        <v>-31.0</v>
      </c>
      <c r="J369" s="944">
        <v>6.0</v>
      </c>
      <c r="K369" s="944">
        <v>6.0</v>
      </c>
      <c r="L369" s="944">
        <v>1.0</v>
      </c>
      <c r="M369" s="944">
        <v>936.0</v>
      </c>
      <c r="N369" s="944">
        <v>1335.0</v>
      </c>
      <c r="O369" s="944">
        <v>9.0</v>
      </c>
      <c r="P369" s="944">
        <v>1.0</v>
      </c>
      <c r="Q369" s="944">
        <v>0.0</v>
      </c>
      <c r="R369" s="944">
        <v>1.0</v>
      </c>
      <c r="S369" s="944">
        <v>0.0</v>
      </c>
      <c r="T369" s="944">
        <v>0.0</v>
      </c>
      <c r="U369" s="944">
        <v>0.0</v>
      </c>
      <c r="V369" s="944">
        <v>1.0</v>
      </c>
      <c r="W369" s="944">
        <v>0.0</v>
      </c>
      <c r="X369" s="944">
        <v>10.0</v>
      </c>
      <c r="Y369" s="944">
        <v>3.0</v>
      </c>
      <c r="Z369" s="944">
        <v>0.0</v>
      </c>
      <c r="AA369" s="944">
        <v>0.0</v>
      </c>
      <c r="AB369" s="944">
        <v>0.0</v>
      </c>
      <c r="AC369" s="944">
        <v>0.0</v>
      </c>
      <c r="AD369" s="944">
        <v>0.0</v>
      </c>
      <c r="AE369" s="944">
        <v>0.0</v>
      </c>
      <c r="AF369" s="944">
        <v>0.0</v>
      </c>
      <c r="AG369" s="944">
        <v>0.0</v>
      </c>
      <c r="AH369" s="944">
        <v>4.0</v>
      </c>
      <c r="AI369" s="944">
        <v>0.0</v>
      </c>
      <c r="AJ369" s="944">
        <v>5.0</v>
      </c>
      <c r="AK369" s="944">
        <v>12.0</v>
      </c>
      <c r="AL369" s="944">
        <v>0.0</v>
      </c>
      <c r="AM369" s="944">
        <v>0.0</v>
      </c>
    </row>
    <row r="370">
      <c r="A370" s="946" t="s">
        <v>114</v>
      </c>
      <c r="B370" s="939">
        <v>1.0</v>
      </c>
      <c r="C370" s="939">
        <v>1.0</v>
      </c>
      <c r="D370" s="939">
        <v>0.0</v>
      </c>
      <c r="E370" s="939">
        <v>5.0</v>
      </c>
      <c r="F370" s="939">
        <v>19.0</v>
      </c>
      <c r="G370" s="939">
        <v>44.0</v>
      </c>
      <c r="H370" s="939">
        <v>43.0</v>
      </c>
      <c r="I370" s="939">
        <v>1.0</v>
      </c>
      <c r="J370" s="939">
        <v>4.0</v>
      </c>
      <c r="K370" s="939">
        <v>7.0</v>
      </c>
      <c r="L370" s="939">
        <v>1.0</v>
      </c>
      <c r="M370" s="939">
        <v>2305.0</v>
      </c>
      <c r="N370" s="939">
        <v>2555.0</v>
      </c>
      <c r="O370" s="939">
        <v>53.0</v>
      </c>
      <c r="P370" s="939">
        <v>1681.0</v>
      </c>
      <c r="Q370" s="939">
        <v>0.0</v>
      </c>
      <c r="R370" s="939">
        <v>1.0</v>
      </c>
      <c r="S370" s="939">
        <v>0.0</v>
      </c>
      <c r="T370" s="939">
        <v>0.0</v>
      </c>
      <c r="U370" s="939">
        <v>0.0</v>
      </c>
      <c r="V370" s="939">
        <v>0.0</v>
      </c>
      <c r="W370" s="939">
        <v>0.0</v>
      </c>
      <c r="X370" s="939">
        <v>5.0</v>
      </c>
      <c r="Y370" s="939">
        <v>0.0</v>
      </c>
      <c r="Z370" s="939">
        <v>0.0</v>
      </c>
      <c r="AA370" s="939">
        <v>0.0</v>
      </c>
      <c r="AB370" s="939">
        <v>0.0</v>
      </c>
      <c r="AC370" s="939">
        <v>0.0</v>
      </c>
      <c r="AD370" s="939">
        <v>0.0</v>
      </c>
      <c r="AE370" s="939">
        <v>0.0</v>
      </c>
      <c r="AF370" s="939">
        <v>0.0</v>
      </c>
      <c r="AG370" s="939">
        <v>0.0</v>
      </c>
      <c r="AH370" s="939">
        <v>1.0</v>
      </c>
      <c r="AI370" s="939">
        <v>0.0</v>
      </c>
      <c r="AJ370" s="939">
        <v>11.0</v>
      </c>
      <c r="AK370" s="939">
        <v>5.0</v>
      </c>
      <c r="AL370" s="939">
        <v>2.0</v>
      </c>
      <c r="AM370" s="940">
        <v>0.0</v>
      </c>
    </row>
    <row r="371">
      <c r="A371" s="935" t="s">
        <v>147</v>
      </c>
      <c r="B371" s="941">
        <v>1.0</v>
      </c>
      <c r="C371" s="941">
        <v>1.0</v>
      </c>
      <c r="D371" s="941">
        <v>0.0</v>
      </c>
      <c r="E371" s="941">
        <v>0.0</v>
      </c>
      <c r="F371" s="941">
        <v>0.0</v>
      </c>
      <c r="G371" s="941">
        <v>131.0</v>
      </c>
      <c r="H371" s="941">
        <v>155.0</v>
      </c>
      <c r="I371" s="941">
        <v>-24.0</v>
      </c>
      <c r="J371" s="941">
        <v>10.0</v>
      </c>
      <c r="K371" s="941">
        <v>5.0</v>
      </c>
      <c r="L371" s="941">
        <v>1.0</v>
      </c>
      <c r="M371" s="941">
        <v>1974.0</v>
      </c>
      <c r="N371" s="941">
        <v>2555.0</v>
      </c>
      <c r="O371" s="941">
        <v>12.0</v>
      </c>
      <c r="P371" s="941">
        <v>7.0</v>
      </c>
      <c r="Q371" s="941">
        <v>0.0</v>
      </c>
      <c r="R371" s="941">
        <v>1.0</v>
      </c>
      <c r="S371" s="941">
        <v>0.0</v>
      </c>
      <c r="T371" s="941">
        <v>0.0</v>
      </c>
      <c r="U371" s="941">
        <v>0.0</v>
      </c>
      <c r="V371" s="941">
        <v>1.0</v>
      </c>
      <c r="W371" s="941">
        <v>0.0</v>
      </c>
      <c r="X371" s="941">
        <v>22.0</v>
      </c>
      <c r="Y371" s="941">
        <v>4.0</v>
      </c>
      <c r="Z371" s="941">
        <v>2.0</v>
      </c>
      <c r="AA371" s="941">
        <v>1.0</v>
      </c>
      <c r="AB371" s="941">
        <v>0.0</v>
      </c>
      <c r="AC371" s="941">
        <v>0.0</v>
      </c>
      <c r="AD371" s="941">
        <v>0.0</v>
      </c>
      <c r="AE371" s="941">
        <v>0.0</v>
      </c>
      <c r="AF371" s="941">
        <v>0.0</v>
      </c>
      <c r="AG371" s="941">
        <v>0.0</v>
      </c>
      <c r="AH371" s="941">
        <v>4.0</v>
      </c>
      <c r="AI371" s="941">
        <v>0.0</v>
      </c>
      <c r="AJ371" s="941">
        <v>14.0</v>
      </c>
      <c r="AK371" s="941">
        <v>25.0</v>
      </c>
      <c r="AL371" s="941">
        <v>0.0</v>
      </c>
      <c r="AM371" s="942">
        <v>0.0</v>
      </c>
    </row>
    <row r="372">
      <c r="A372" s="935" t="s">
        <v>136</v>
      </c>
      <c r="B372" s="941">
        <v>1.0</v>
      </c>
      <c r="C372" s="941">
        <v>1.0</v>
      </c>
      <c r="D372" s="941">
        <v>0.0</v>
      </c>
      <c r="E372" s="941">
        <v>0.0</v>
      </c>
      <c r="F372" s="941">
        <v>0.0</v>
      </c>
      <c r="G372" s="941">
        <v>194.0</v>
      </c>
      <c r="H372" s="941">
        <v>192.0</v>
      </c>
      <c r="I372" s="941">
        <v>2.0</v>
      </c>
      <c r="J372" s="941">
        <v>11.0</v>
      </c>
      <c r="K372" s="941">
        <v>5.0</v>
      </c>
      <c r="L372" s="941">
        <v>4.0</v>
      </c>
      <c r="M372" s="941">
        <v>1862.0</v>
      </c>
      <c r="N372" s="941">
        <v>2555.0</v>
      </c>
      <c r="O372" s="941">
        <v>9.0</v>
      </c>
      <c r="P372" s="941">
        <v>10.0</v>
      </c>
      <c r="Q372" s="941">
        <v>0.0</v>
      </c>
      <c r="R372" s="941">
        <v>2.0</v>
      </c>
      <c r="S372" s="941">
        <v>0.0</v>
      </c>
      <c r="T372" s="941">
        <v>0.0</v>
      </c>
      <c r="U372" s="941">
        <v>0.0</v>
      </c>
      <c r="V372" s="941">
        <v>2.0</v>
      </c>
      <c r="W372" s="941">
        <v>0.0</v>
      </c>
      <c r="X372" s="941">
        <v>37.0</v>
      </c>
      <c r="Y372" s="941">
        <v>11.0</v>
      </c>
      <c r="Z372" s="941">
        <v>3.0</v>
      </c>
      <c r="AA372" s="941">
        <v>1.0</v>
      </c>
      <c r="AB372" s="941">
        <v>0.0</v>
      </c>
      <c r="AC372" s="941">
        <v>0.0</v>
      </c>
      <c r="AD372" s="941">
        <v>0.0</v>
      </c>
      <c r="AE372" s="941">
        <v>0.0</v>
      </c>
      <c r="AF372" s="941">
        <v>0.0</v>
      </c>
      <c r="AG372" s="941">
        <v>0.0</v>
      </c>
      <c r="AH372" s="941">
        <v>4.0</v>
      </c>
      <c r="AI372" s="941">
        <v>0.0</v>
      </c>
      <c r="AJ372" s="941">
        <v>18.0</v>
      </c>
      <c r="AK372" s="941">
        <v>20.0</v>
      </c>
      <c r="AL372" s="941">
        <v>2.0</v>
      </c>
      <c r="AM372" s="942">
        <v>0.0</v>
      </c>
    </row>
    <row r="373">
      <c r="A373" s="935" t="s">
        <v>129</v>
      </c>
      <c r="B373" s="941">
        <v>1.0</v>
      </c>
      <c r="C373" s="941">
        <v>1.0</v>
      </c>
      <c r="D373" s="941">
        <v>0.0</v>
      </c>
      <c r="E373" s="941">
        <v>0.0</v>
      </c>
      <c r="F373" s="941">
        <v>0.0</v>
      </c>
      <c r="G373" s="941">
        <v>176.0</v>
      </c>
      <c r="H373" s="941">
        <v>108.0</v>
      </c>
      <c r="I373" s="941">
        <v>68.0</v>
      </c>
      <c r="J373" s="941">
        <v>13.0</v>
      </c>
      <c r="K373" s="941">
        <v>14.0</v>
      </c>
      <c r="L373" s="941">
        <v>1.0</v>
      </c>
      <c r="M373" s="941">
        <v>2111.0</v>
      </c>
      <c r="N373" s="941">
        <v>2555.0</v>
      </c>
      <c r="O373" s="941">
        <v>19.0</v>
      </c>
      <c r="P373" s="941">
        <v>45.0</v>
      </c>
      <c r="Q373" s="941">
        <v>0.0</v>
      </c>
      <c r="R373" s="941">
        <v>10.0</v>
      </c>
      <c r="S373" s="941">
        <v>1.0</v>
      </c>
      <c r="T373" s="941">
        <v>0.0</v>
      </c>
      <c r="U373" s="941">
        <v>0.0</v>
      </c>
      <c r="V373" s="941">
        <v>9.0</v>
      </c>
      <c r="W373" s="941">
        <v>0.0</v>
      </c>
      <c r="X373" s="941">
        <v>31.0</v>
      </c>
      <c r="Y373" s="941">
        <v>6.0</v>
      </c>
      <c r="Z373" s="941">
        <v>3.0</v>
      </c>
      <c r="AA373" s="941">
        <v>1.0</v>
      </c>
      <c r="AB373" s="941">
        <v>1.0</v>
      </c>
      <c r="AC373" s="941">
        <v>0.0</v>
      </c>
      <c r="AD373" s="941">
        <v>0.0</v>
      </c>
      <c r="AE373" s="941">
        <v>0.0</v>
      </c>
      <c r="AF373" s="941">
        <v>0.0</v>
      </c>
      <c r="AG373" s="941">
        <v>0.0</v>
      </c>
      <c r="AH373" s="941">
        <v>11.0</v>
      </c>
      <c r="AI373" s="941">
        <v>0.0</v>
      </c>
      <c r="AJ373" s="941">
        <v>21.0</v>
      </c>
      <c r="AK373" s="941">
        <v>16.0</v>
      </c>
      <c r="AL373" s="941">
        <v>0.0</v>
      </c>
      <c r="AM373" s="942">
        <v>0.0</v>
      </c>
    </row>
    <row r="374">
      <c r="A374" s="935" t="s">
        <v>119</v>
      </c>
      <c r="B374" s="941">
        <v>1.0</v>
      </c>
      <c r="C374" s="941">
        <v>0.0</v>
      </c>
      <c r="D374" s="941">
        <v>1.0</v>
      </c>
      <c r="E374" s="941">
        <v>3.0</v>
      </c>
      <c r="F374" s="941">
        <v>19.0</v>
      </c>
      <c r="G374" s="941">
        <v>118.0</v>
      </c>
      <c r="H374" s="941">
        <v>132.0</v>
      </c>
      <c r="I374" s="941">
        <v>-14.0</v>
      </c>
      <c r="J374" s="941">
        <v>12.0</v>
      </c>
      <c r="K374" s="941">
        <v>7.0</v>
      </c>
      <c r="L374" s="941">
        <v>4.0</v>
      </c>
      <c r="M374" s="941">
        <v>2042.0</v>
      </c>
      <c r="N374" s="941">
        <v>2555.0</v>
      </c>
      <c r="O374" s="941">
        <v>15.0</v>
      </c>
      <c r="P374" s="941">
        <v>528.0</v>
      </c>
      <c r="Q374" s="941">
        <v>0.0</v>
      </c>
      <c r="R374" s="941">
        <v>2.0</v>
      </c>
      <c r="S374" s="941">
        <v>0.0</v>
      </c>
      <c r="T374" s="941">
        <v>0.0</v>
      </c>
      <c r="U374" s="941">
        <v>0.0</v>
      </c>
      <c r="V374" s="941">
        <v>0.0</v>
      </c>
      <c r="W374" s="941">
        <v>0.0</v>
      </c>
      <c r="X374" s="941">
        <v>17.0</v>
      </c>
      <c r="Y374" s="941">
        <v>3.0</v>
      </c>
      <c r="Z374" s="941">
        <v>0.0</v>
      </c>
      <c r="AA374" s="941">
        <v>0.0</v>
      </c>
      <c r="AB374" s="941">
        <v>0.0</v>
      </c>
      <c r="AC374" s="941">
        <v>0.0</v>
      </c>
      <c r="AD374" s="941">
        <v>0.0</v>
      </c>
      <c r="AE374" s="941">
        <v>0.0</v>
      </c>
      <c r="AF374" s="941">
        <v>0.0</v>
      </c>
      <c r="AG374" s="941">
        <v>0.0</v>
      </c>
      <c r="AH374" s="941">
        <v>0.0</v>
      </c>
      <c r="AI374" s="941">
        <v>0.0</v>
      </c>
      <c r="AJ374" s="941">
        <v>13.0</v>
      </c>
      <c r="AK374" s="941">
        <v>14.0</v>
      </c>
      <c r="AL374" s="941">
        <v>1.0</v>
      </c>
      <c r="AM374" s="942">
        <v>1.0</v>
      </c>
    </row>
    <row r="375">
      <c r="A375" s="935" t="s">
        <v>130</v>
      </c>
      <c r="B375" s="941">
        <v>1.0</v>
      </c>
      <c r="C375" s="941">
        <v>0.0</v>
      </c>
      <c r="D375" s="941">
        <v>1.0</v>
      </c>
      <c r="E375" s="941">
        <v>1.0</v>
      </c>
      <c r="F375" s="941">
        <v>0.0</v>
      </c>
      <c r="G375" s="941">
        <v>129.0</v>
      </c>
      <c r="H375" s="941">
        <v>138.0</v>
      </c>
      <c r="I375" s="941">
        <v>-9.0</v>
      </c>
      <c r="J375" s="941">
        <v>16.0</v>
      </c>
      <c r="K375" s="941">
        <v>7.0</v>
      </c>
      <c r="L375" s="941">
        <v>11.0</v>
      </c>
      <c r="M375" s="941">
        <v>2016.0</v>
      </c>
      <c r="N375" s="941">
        <v>2555.0</v>
      </c>
      <c r="O375" s="941">
        <v>14.0</v>
      </c>
      <c r="P375" s="941">
        <v>10.0</v>
      </c>
      <c r="Q375" s="941">
        <v>0.0</v>
      </c>
      <c r="R375" s="941">
        <v>3.0</v>
      </c>
      <c r="S375" s="941">
        <v>0.0</v>
      </c>
      <c r="T375" s="941">
        <v>0.0</v>
      </c>
      <c r="U375" s="941">
        <v>0.0</v>
      </c>
      <c r="V375" s="941">
        <v>3.0</v>
      </c>
      <c r="W375" s="941">
        <v>0.0</v>
      </c>
      <c r="X375" s="941">
        <v>13.0</v>
      </c>
      <c r="Y375" s="941">
        <v>2.0</v>
      </c>
      <c r="Z375" s="941">
        <v>1.0</v>
      </c>
      <c r="AA375" s="941">
        <v>0.0</v>
      </c>
      <c r="AB375" s="941">
        <v>0.0</v>
      </c>
      <c r="AC375" s="941">
        <v>0.0</v>
      </c>
      <c r="AD375" s="941">
        <v>0.0</v>
      </c>
      <c r="AE375" s="941">
        <v>0.0</v>
      </c>
      <c r="AF375" s="941">
        <v>0.0</v>
      </c>
      <c r="AG375" s="941">
        <v>0.0</v>
      </c>
      <c r="AH375" s="941">
        <v>1.0</v>
      </c>
      <c r="AI375" s="941">
        <v>0.0</v>
      </c>
      <c r="AJ375" s="941">
        <v>19.0</v>
      </c>
      <c r="AK375" s="941">
        <v>19.0</v>
      </c>
      <c r="AL375" s="941">
        <v>0.0</v>
      </c>
      <c r="AM375" s="942">
        <v>1.0</v>
      </c>
    </row>
    <row r="376">
      <c r="A376" s="935" t="s">
        <v>152</v>
      </c>
      <c r="B376" s="941">
        <v>1.0</v>
      </c>
      <c r="C376" s="941">
        <v>0.0</v>
      </c>
      <c r="D376" s="941">
        <v>1.0</v>
      </c>
      <c r="E376" s="941">
        <v>0.0</v>
      </c>
      <c r="F376" s="941">
        <v>0.0</v>
      </c>
      <c r="G376" s="941">
        <v>107.0</v>
      </c>
      <c r="H376" s="941">
        <v>150.0</v>
      </c>
      <c r="I376" s="941">
        <v>-43.0</v>
      </c>
      <c r="J376" s="941">
        <v>2.0</v>
      </c>
      <c r="K376" s="941">
        <v>4.0</v>
      </c>
      <c r="L376" s="941">
        <v>2.0</v>
      </c>
      <c r="M376" s="941">
        <v>1981.0</v>
      </c>
      <c r="N376" s="941">
        <v>2555.0</v>
      </c>
      <c r="O376" s="941">
        <v>13.0</v>
      </c>
      <c r="P376" s="941">
        <v>6.0</v>
      </c>
      <c r="Q376" s="941">
        <v>0.0</v>
      </c>
      <c r="R376" s="941">
        <v>0.0</v>
      </c>
      <c r="S376" s="941">
        <v>0.0</v>
      </c>
      <c r="T376" s="941">
        <v>0.0</v>
      </c>
      <c r="U376" s="941">
        <v>0.0</v>
      </c>
      <c r="V376" s="941">
        <v>0.0</v>
      </c>
      <c r="W376" s="941">
        <v>0.0</v>
      </c>
      <c r="X376" s="941">
        <v>9.0</v>
      </c>
      <c r="Y376" s="941">
        <v>0.0</v>
      </c>
      <c r="Z376" s="941">
        <v>0.0</v>
      </c>
      <c r="AA376" s="941">
        <v>0.0</v>
      </c>
      <c r="AB376" s="941">
        <v>0.0</v>
      </c>
      <c r="AC376" s="941">
        <v>0.0</v>
      </c>
      <c r="AD376" s="941">
        <v>0.0</v>
      </c>
      <c r="AE376" s="941">
        <v>0.0</v>
      </c>
      <c r="AF376" s="941">
        <v>0.0</v>
      </c>
      <c r="AG376" s="941">
        <v>0.0</v>
      </c>
      <c r="AH376" s="941">
        <v>0.0</v>
      </c>
      <c r="AI376" s="941">
        <v>0.0</v>
      </c>
      <c r="AJ376" s="941">
        <v>13.0</v>
      </c>
      <c r="AK376" s="941">
        <v>19.0</v>
      </c>
      <c r="AL376" s="941">
        <v>1.0</v>
      </c>
      <c r="AM376" s="942">
        <v>1.0</v>
      </c>
    </row>
    <row r="377">
      <c r="A377" s="943" t="s">
        <v>141</v>
      </c>
      <c r="B377" s="944">
        <v>1.0</v>
      </c>
      <c r="C377" s="944">
        <v>0.0</v>
      </c>
      <c r="D377" s="944">
        <v>1.0</v>
      </c>
      <c r="E377" s="944">
        <v>0.0</v>
      </c>
      <c r="F377" s="944">
        <v>1.0</v>
      </c>
      <c r="G377" s="944">
        <v>126.0</v>
      </c>
      <c r="H377" s="944">
        <v>152.0</v>
      </c>
      <c r="I377" s="944">
        <v>-26.0</v>
      </c>
      <c r="J377" s="944">
        <v>6.0</v>
      </c>
      <c r="K377" s="944">
        <v>6.0</v>
      </c>
      <c r="L377" s="944">
        <v>3.0</v>
      </c>
      <c r="M377" s="944">
        <v>1980.0</v>
      </c>
      <c r="N377" s="944">
        <v>2555.0</v>
      </c>
      <c r="O377" s="944">
        <v>13.0</v>
      </c>
      <c r="P377" s="944">
        <v>1.0</v>
      </c>
      <c r="Q377" s="944">
        <v>0.0</v>
      </c>
      <c r="R377" s="944">
        <v>2.0</v>
      </c>
      <c r="S377" s="944">
        <v>0.0</v>
      </c>
      <c r="T377" s="944">
        <v>0.0</v>
      </c>
      <c r="U377" s="944">
        <v>0.0</v>
      </c>
      <c r="V377" s="944">
        <v>2.0</v>
      </c>
      <c r="W377" s="944">
        <v>0.0</v>
      </c>
      <c r="X377" s="944">
        <v>19.0</v>
      </c>
      <c r="Y377" s="944">
        <v>2.0</v>
      </c>
      <c r="Z377" s="944">
        <v>1.0</v>
      </c>
      <c r="AA377" s="944">
        <v>1.0</v>
      </c>
      <c r="AB377" s="944">
        <v>0.0</v>
      </c>
      <c r="AC377" s="944">
        <v>0.0</v>
      </c>
      <c r="AD377" s="944">
        <v>0.0</v>
      </c>
      <c r="AE377" s="944">
        <v>0.0</v>
      </c>
      <c r="AF377" s="944">
        <v>0.0</v>
      </c>
      <c r="AG377" s="944">
        <v>0.0</v>
      </c>
      <c r="AH377" s="944">
        <v>1.0</v>
      </c>
      <c r="AI377" s="944">
        <v>0.0</v>
      </c>
      <c r="AJ377" s="944">
        <v>19.0</v>
      </c>
      <c r="AK377" s="944">
        <v>18.0</v>
      </c>
      <c r="AL377" s="944">
        <v>3.0</v>
      </c>
      <c r="AM377" s="945">
        <v>1.0</v>
      </c>
    </row>
    <row r="378">
      <c r="A378" s="946" t="s">
        <v>123</v>
      </c>
      <c r="B378" s="939">
        <v>1.0</v>
      </c>
      <c r="C378" s="939">
        <v>1.0</v>
      </c>
      <c r="D378" s="939">
        <v>0.0</v>
      </c>
      <c r="E378" s="939">
        <v>4.0</v>
      </c>
      <c r="F378" s="939">
        <v>9.0</v>
      </c>
      <c r="G378" s="939">
        <v>27.0</v>
      </c>
      <c r="H378" s="939">
        <v>18.0</v>
      </c>
      <c r="I378" s="939">
        <v>9.0</v>
      </c>
      <c r="J378" s="939">
        <v>1.0</v>
      </c>
      <c r="K378" s="939">
        <v>4.0</v>
      </c>
      <c r="L378" s="939">
        <v>0.0</v>
      </c>
      <c r="M378" s="939">
        <v>473.0</v>
      </c>
      <c r="N378" s="939">
        <v>596.0</v>
      </c>
      <c r="O378" s="939">
        <v>26.0</v>
      </c>
      <c r="P378" s="939">
        <v>230.0</v>
      </c>
      <c r="Q378" s="939">
        <v>0.0</v>
      </c>
      <c r="R378" s="939">
        <v>0.0</v>
      </c>
      <c r="S378" s="939">
        <v>0.0</v>
      </c>
      <c r="T378" s="939">
        <v>0.0</v>
      </c>
      <c r="U378" s="939">
        <v>0.0</v>
      </c>
      <c r="V378" s="939">
        <v>0.0</v>
      </c>
      <c r="W378" s="939">
        <v>0.0</v>
      </c>
      <c r="X378" s="939">
        <v>4.0</v>
      </c>
      <c r="Y378" s="939">
        <v>2.0</v>
      </c>
      <c r="Z378" s="939">
        <v>0.0</v>
      </c>
      <c r="AA378" s="939">
        <v>0.0</v>
      </c>
      <c r="AB378" s="939">
        <v>0.0</v>
      </c>
      <c r="AC378" s="939">
        <v>0.0</v>
      </c>
      <c r="AD378" s="939">
        <v>0.0</v>
      </c>
      <c r="AE378" s="939">
        <v>0.0</v>
      </c>
      <c r="AF378" s="939">
        <v>0.0</v>
      </c>
      <c r="AG378" s="939">
        <v>0.0</v>
      </c>
      <c r="AH378" s="939">
        <v>0.0</v>
      </c>
      <c r="AI378" s="939">
        <v>0.0</v>
      </c>
      <c r="AJ378" s="939">
        <v>6.0</v>
      </c>
      <c r="AK378" s="939">
        <v>2.0</v>
      </c>
      <c r="AL378" s="939">
        <v>1.0</v>
      </c>
      <c r="AM378" s="940">
        <v>0.0</v>
      </c>
    </row>
    <row r="379">
      <c r="A379" s="935" t="s">
        <v>419</v>
      </c>
      <c r="B379" s="941">
        <v>1.0</v>
      </c>
      <c r="C379" s="941">
        <v>1.0</v>
      </c>
      <c r="D379" s="941">
        <v>0.0</v>
      </c>
      <c r="E379" s="941">
        <v>1.0</v>
      </c>
      <c r="F379" s="941">
        <v>0.0</v>
      </c>
      <c r="G379" s="941">
        <v>42.0</v>
      </c>
      <c r="H379" s="941">
        <v>31.0</v>
      </c>
      <c r="I379" s="941">
        <v>11.0</v>
      </c>
      <c r="J379" s="941">
        <v>2.0</v>
      </c>
      <c r="K379" s="941">
        <v>4.0</v>
      </c>
      <c r="L379" s="941">
        <v>0.0</v>
      </c>
      <c r="M379" s="941">
        <v>435.0</v>
      </c>
      <c r="N379" s="941">
        <v>596.0</v>
      </c>
      <c r="O379" s="941">
        <v>14.0</v>
      </c>
      <c r="P379" s="941">
        <v>24.0</v>
      </c>
      <c r="Q379" s="941">
        <v>0.0</v>
      </c>
      <c r="R379" s="941">
        <v>0.0</v>
      </c>
      <c r="S379" s="941">
        <v>0.0</v>
      </c>
      <c r="T379" s="941">
        <v>0.0</v>
      </c>
      <c r="U379" s="941">
        <v>0.0</v>
      </c>
      <c r="V379" s="941">
        <v>0.0</v>
      </c>
      <c r="W379" s="941">
        <v>0.0</v>
      </c>
      <c r="X379" s="941">
        <v>6.0</v>
      </c>
      <c r="Y379" s="941">
        <v>2.0</v>
      </c>
      <c r="Z379" s="941">
        <v>1.0</v>
      </c>
      <c r="AA379" s="941">
        <v>0.0</v>
      </c>
      <c r="AB379" s="941">
        <v>0.0</v>
      </c>
      <c r="AC379" s="941">
        <v>0.0</v>
      </c>
      <c r="AD379" s="941">
        <v>0.0</v>
      </c>
      <c r="AE379" s="941">
        <v>0.0</v>
      </c>
      <c r="AF379" s="941">
        <v>0.0</v>
      </c>
      <c r="AG379" s="941">
        <v>0.0</v>
      </c>
      <c r="AH379" s="941">
        <v>2.0</v>
      </c>
      <c r="AI379" s="941">
        <v>0.0</v>
      </c>
      <c r="AJ379" s="941">
        <v>2.0</v>
      </c>
      <c r="AK379" s="941">
        <v>6.0</v>
      </c>
      <c r="AL379" s="941">
        <v>1.0</v>
      </c>
      <c r="AM379" s="942">
        <v>0.0</v>
      </c>
    </row>
    <row r="380">
      <c r="A380" s="935" t="s">
        <v>145</v>
      </c>
      <c r="B380" s="941">
        <v>1.0</v>
      </c>
      <c r="C380" s="941">
        <v>1.0</v>
      </c>
      <c r="D380" s="941">
        <v>0.0</v>
      </c>
      <c r="E380" s="941">
        <v>0.0</v>
      </c>
      <c r="F380" s="941">
        <v>0.0</v>
      </c>
      <c r="G380" s="941">
        <v>30.0</v>
      </c>
      <c r="H380" s="941">
        <v>27.0</v>
      </c>
      <c r="I380" s="941">
        <v>3.0</v>
      </c>
      <c r="J380" s="941">
        <v>2.0</v>
      </c>
      <c r="K380" s="941">
        <v>5.0</v>
      </c>
      <c r="L380" s="941">
        <v>2.0</v>
      </c>
      <c r="M380" s="941">
        <v>447.0</v>
      </c>
      <c r="N380" s="941">
        <v>596.0</v>
      </c>
      <c r="O380" s="941">
        <v>16.0</v>
      </c>
      <c r="P380" s="941">
        <v>5.0</v>
      </c>
      <c r="Q380" s="941">
        <v>0.0</v>
      </c>
      <c r="R380" s="941">
        <v>1.0</v>
      </c>
      <c r="S380" s="941">
        <v>0.0</v>
      </c>
      <c r="T380" s="941">
        <v>0.0</v>
      </c>
      <c r="U380" s="941">
        <v>0.0</v>
      </c>
      <c r="V380" s="941">
        <v>1.0</v>
      </c>
      <c r="W380" s="941">
        <v>0.0</v>
      </c>
      <c r="X380" s="941">
        <v>3.0</v>
      </c>
      <c r="Y380" s="941">
        <v>1.0</v>
      </c>
      <c r="Z380" s="941">
        <v>0.0</v>
      </c>
      <c r="AA380" s="941">
        <v>0.0</v>
      </c>
      <c r="AB380" s="941">
        <v>0.0</v>
      </c>
      <c r="AC380" s="941">
        <v>0.0</v>
      </c>
      <c r="AD380" s="941">
        <v>0.0</v>
      </c>
      <c r="AE380" s="941">
        <v>0.0</v>
      </c>
      <c r="AF380" s="941">
        <v>0.0</v>
      </c>
      <c r="AG380" s="941">
        <v>0.0</v>
      </c>
      <c r="AH380" s="941">
        <v>1.0</v>
      </c>
      <c r="AI380" s="941">
        <v>0.0</v>
      </c>
      <c r="AJ380" s="941">
        <v>3.0</v>
      </c>
      <c r="AK380" s="941">
        <v>8.0</v>
      </c>
      <c r="AL380" s="941">
        <v>1.0</v>
      </c>
      <c r="AM380" s="942">
        <v>0.0</v>
      </c>
    </row>
    <row r="381">
      <c r="A381" s="935" t="s">
        <v>159</v>
      </c>
      <c r="B381" s="941">
        <v>1.0</v>
      </c>
      <c r="C381" s="941">
        <v>1.0</v>
      </c>
      <c r="D381" s="941">
        <v>0.0</v>
      </c>
      <c r="E381" s="941">
        <v>0.0</v>
      </c>
      <c r="F381" s="941">
        <v>0.0</v>
      </c>
      <c r="G381" s="941">
        <v>23.0</v>
      </c>
      <c r="H381" s="941">
        <v>36.0</v>
      </c>
      <c r="I381" s="941">
        <v>-13.0</v>
      </c>
      <c r="J381" s="941">
        <v>2.0</v>
      </c>
      <c r="K381" s="941">
        <v>3.0</v>
      </c>
      <c r="L381" s="941">
        <v>0.0</v>
      </c>
      <c r="M381" s="941">
        <v>420.0</v>
      </c>
      <c r="N381" s="941">
        <v>596.0</v>
      </c>
      <c r="O381" s="941">
        <v>11.0</v>
      </c>
      <c r="P381" s="941">
        <v>0.0</v>
      </c>
      <c r="Q381" s="941">
        <v>0.0</v>
      </c>
      <c r="R381" s="941">
        <v>0.0</v>
      </c>
      <c r="S381" s="941">
        <v>0.0</v>
      </c>
      <c r="T381" s="941">
        <v>0.0</v>
      </c>
      <c r="U381" s="941">
        <v>0.0</v>
      </c>
      <c r="V381" s="941">
        <v>0.0</v>
      </c>
      <c r="W381" s="941">
        <v>0.0</v>
      </c>
      <c r="X381" s="941">
        <v>2.0</v>
      </c>
      <c r="Y381" s="941">
        <v>1.0</v>
      </c>
      <c r="Z381" s="941">
        <v>0.0</v>
      </c>
      <c r="AA381" s="941">
        <v>0.0</v>
      </c>
      <c r="AB381" s="941">
        <v>0.0</v>
      </c>
      <c r="AC381" s="941">
        <v>0.0</v>
      </c>
      <c r="AD381" s="941">
        <v>0.0</v>
      </c>
      <c r="AE381" s="941">
        <v>0.0</v>
      </c>
      <c r="AF381" s="941">
        <v>0.0</v>
      </c>
      <c r="AG381" s="941">
        <v>0.0</v>
      </c>
      <c r="AH381" s="941">
        <v>2.0</v>
      </c>
      <c r="AI381" s="941">
        <v>0.0</v>
      </c>
      <c r="AJ381" s="941">
        <v>2.0</v>
      </c>
      <c r="AK381" s="941">
        <v>5.0</v>
      </c>
      <c r="AL381" s="941">
        <v>0.0</v>
      </c>
      <c r="AM381" s="942">
        <v>0.0</v>
      </c>
    </row>
    <row r="382">
      <c r="A382" s="935" t="s">
        <v>418</v>
      </c>
      <c r="B382" s="941">
        <v>1.0</v>
      </c>
      <c r="C382" s="941">
        <v>0.0</v>
      </c>
      <c r="D382" s="941">
        <v>1.0</v>
      </c>
      <c r="E382" s="941">
        <v>0.0</v>
      </c>
      <c r="F382" s="941">
        <v>0.0</v>
      </c>
      <c r="G382" s="941">
        <v>32.0</v>
      </c>
      <c r="H382" s="941">
        <v>39.0</v>
      </c>
      <c r="I382" s="941">
        <v>-7.0</v>
      </c>
      <c r="J382" s="941">
        <v>1.0</v>
      </c>
      <c r="K382" s="941">
        <v>4.0</v>
      </c>
      <c r="L382" s="941">
        <v>1.0</v>
      </c>
      <c r="M382" s="941">
        <v>420.0</v>
      </c>
      <c r="N382" s="941">
        <v>596.0</v>
      </c>
      <c r="O382" s="941">
        <v>10.0</v>
      </c>
      <c r="P382" s="941">
        <v>5.0</v>
      </c>
      <c r="Q382" s="941">
        <v>0.0</v>
      </c>
      <c r="R382" s="941">
        <v>0.0</v>
      </c>
      <c r="S382" s="941">
        <v>0.0</v>
      </c>
      <c r="T382" s="941">
        <v>0.0</v>
      </c>
      <c r="U382" s="941">
        <v>0.0</v>
      </c>
      <c r="V382" s="941">
        <v>0.0</v>
      </c>
      <c r="W382" s="941">
        <v>0.0</v>
      </c>
      <c r="X382" s="941">
        <v>5.0</v>
      </c>
      <c r="Y382" s="941">
        <v>0.0</v>
      </c>
      <c r="Z382" s="941">
        <v>0.0</v>
      </c>
      <c r="AA382" s="941">
        <v>0.0</v>
      </c>
      <c r="AB382" s="941">
        <v>0.0</v>
      </c>
      <c r="AC382" s="941">
        <v>0.0</v>
      </c>
      <c r="AD382" s="941">
        <v>0.0</v>
      </c>
      <c r="AE382" s="941">
        <v>0.0</v>
      </c>
      <c r="AF382" s="941">
        <v>0.0</v>
      </c>
      <c r="AG382" s="941">
        <v>0.0</v>
      </c>
      <c r="AH382" s="941">
        <v>1.0</v>
      </c>
      <c r="AI382" s="941">
        <v>0.0</v>
      </c>
      <c r="AJ382" s="941">
        <v>4.0</v>
      </c>
      <c r="AK382" s="941">
        <v>5.0</v>
      </c>
      <c r="AL382" s="941">
        <v>0.0</v>
      </c>
      <c r="AM382" s="942">
        <v>1.0</v>
      </c>
    </row>
    <row r="383">
      <c r="A383" s="935" t="s">
        <v>115</v>
      </c>
      <c r="B383" s="941">
        <v>1.0</v>
      </c>
      <c r="C383" s="941">
        <v>0.0</v>
      </c>
      <c r="D383" s="941">
        <v>1.0</v>
      </c>
      <c r="E383" s="941">
        <v>0.0</v>
      </c>
      <c r="F383" s="941">
        <v>0.0</v>
      </c>
      <c r="G383" s="941">
        <v>29.0</v>
      </c>
      <c r="H383" s="941">
        <v>48.0</v>
      </c>
      <c r="I383" s="941">
        <v>-19.0</v>
      </c>
      <c r="J383" s="941">
        <v>1.0</v>
      </c>
      <c r="K383" s="941">
        <v>2.0</v>
      </c>
      <c r="L383" s="941">
        <v>1.0</v>
      </c>
      <c r="M383" s="941">
        <v>389.0</v>
      </c>
      <c r="N383" s="941">
        <v>596.0</v>
      </c>
      <c r="O383" s="941">
        <v>8.0</v>
      </c>
      <c r="P383" s="941">
        <v>0.0</v>
      </c>
      <c r="Q383" s="941">
        <v>0.0</v>
      </c>
      <c r="R383" s="941">
        <v>0.0</v>
      </c>
      <c r="S383" s="941">
        <v>0.0</v>
      </c>
      <c r="T383" s="941">
        <v>0.0</v>
      </c>
      <c r="U383" s="941">
        <v>0.0</v>
      </c>
      <c r="V383" s="941">
        <v>0.0</v>
      </c>
      <c r="W383" s="941">
        <v>0.0</v>
      </c>
      <c r="X383" s="941">
        <v>4.0</v>
      </c>
      <c r="Y383" s="941">
        <v>0.0</v>
      </c>
      <c r="Z383" s="941">
        <v>0.0</v>
      </c>
      <c r="AA383" s="941">
        <v>0.0</v>
      </c>
      <c r="AB383" s="941">
        <v>0.0</v>
      </c>
      <c r="AC383" s="941">
        <v>0.0</v>
      </c>
      <c r="AD383" s="941">
        <v>0.0</v>
      </c>
      <c r="AE383" s="941">
        <v>0.0</v>
      </c>
      <c r="AF383" s="941">
        <v>0.0</v>
      </c>
      <c r="AG383" s="941">
        <v>0.0</v>
      </c>
      <c r="AH383" s="941">
        <v>0.0</v>
      </c>
      <c r="AI383" s="941">
        <v>0.0</v>
      </c>
      <c r="AJ383" s="941">
        <v>4.0</v>
      </c>
      <c r="AK383" s="941">
        <v>3.0</v>
      </c>
      <c r="AL383" s="941">
        <v>1.0</v>
      </c>
      <c r="AM383" s="942">
        <v>1.0</v>
      </c>
    </row>
    <row r="384">
      <c r="A384" s="935" t="s">
        <v>137</v>
      </c>
      <c r="B384" s="941">
        <v>1.0</v>
      </c>
      <c r="C384" s="941">
        <v>0.0</v>
      </c>
      <c r="D384" s="941">
        <v>1.0</v>
      </c>
      <c r="E384" s="941">
        <v>0.0</v>
      </c>
      <c r="F384" s="941">
        <v>1.0</v>
      </c>
      <c r="G384" s="941">
        <v>27.0</v>
      </c>
      <c r="H384" s="941">
        <v>34.0</v>
      </c>
      <c r="I384" s="941">
        <v>-7.0</v>
      </c>
      <c r="J384" s="941">
        <v>0.0</v>
      </c>
      <c r="K384" s="941">
        <v>4.0</v>
      </c>
      <c r="L384" s="941">
        <v>2.0</v>
      </c>
      <c r="M384" s="941">
        <v>432.0</v>
      </c>
      <c r="N384" s="941">
        <v>596.0</v>
      </c>
      <c r="O384" s="941">
        <v>12.0</v>
      </c>
      <c r="P384" s="941">
        <v>4.0</v>
      </c>
      <c r="Q384" s="941">
        <v>0.0</v>
      </c>
      <c r="R384" s="941">
        <v>0.0</v>
      </c>
      <c r="S384" s="941">
        <v>0.0</v>
      </c>
      <c r="T384" s="941">
        <v>0.0</v>
      </c>
      <c r="U384" s="941">
        <v>0.0</v>
      </c>
      <c r="V384" s="941">
        <v>0.0</v>
      </c>
      <c r="W384" s="941">
        <v>0.0</v>
      </c>
      <c r="X384" s="941">
        <v>4.0</v>
      </c>
      <c r="Y384" s="941">
        <v>0.0</v>
      </c>
      <c r="Z384" s="941">
        <v>0.0</v>
      </c>
      <c r="AA384" s="941">
        <v>0.0</v>
      </c>
      <c r="AB384" s="941">
        <v>0.0</v>
      </c>
      <c r="AC384" s="941">
        <v>0.0</v>
      </c>
      <c r="AD384" s="941">
        <v>0.0</v>
      </c>
      <c r="AE384" s="941">
        <v>0.0</v>
      </c>
      <c r="AF384" s="941">
        <v>0.0</v>
      </c>
      <c r="AG384" s="941">
        <v>0.0</v>
      </c>
      <c r="AH384" s="941">
        <v>2.0</v>
      </c>
      <c r="AI384" s="941">
        <v>0.0</v>
      </c>
      <c r="AJ384" s="941">
        <v>5.0</v>
      </c>
      <c r="AK384" s="941">
        <v>7.0</v>
      </c>
      <c r="AL384" s="941">
        <v>0.0</v>
      </c>
      <c r="AM384" s="942">
        <v>1.0</v>
      </c>
    </row>
    <row r="385">
      <c r="A385" s="943" t="s">
        <v>420</v>
      </c>
      <c r="B385" s="944">
        <v>1.0</v>
      </c>
      <c r="C385" s="944">
        <v>0.0</v>
      </c>
      <c r="D385" s="944">
        <v>1.0</v>
      </c>
      <c r="E385" s="944">
        <v>0.0</v>
      </c>
      <c r="F385" s="944">
        <v>6.0</v>
      </c>
      <c r="G385" s="944">
        <v>20.0</v>
      </c>
      <c r="H385" s="944">
        <v>18.0</v>
      </c>
      <c r="I385" s="944">
        <v>2.0</v>
      </c>
      <c r="J385" s="944">
        <v>2.0</v>
      </c>
      <c r="K385" s="944">
        <v>6.0</v>
      </c>
      <c r="L385" s="944">
        <v>3.0</v>
      </c>
      <c r="M385" s="944">
        <v>476.0</v>
      </c>
      <c r="N385" s="944">
        <v>596.0</v>
      </c>
      <c r="O385" s="944">
        <v>26.0</v>
      </c>
      <c r="P385" s="944">
        <v>204.0</v>
      </c>
      <c r="Q385" s="944">
        <v>0.0</v>
      </c>
      <c r="R385" s="944">
        <v>1.0</v>
      </c>
      <c r="S385" s="944">
        <v>0.0</v>
      </c>
      <c r="T385" s="944">
        <v>0.0</v>
      </c>
      <c r="U385" s="944">
        <v>0.0</v>
      </c>
      <c r="V385" s="944">
        <v>0.0</v>
      </c>
      <c r="W385" s="944">
        <v>0.0</v>
      </c>
      <c r="X385" s="944">
        <v>2.0</v>
      </c>
      <c r="Y385" s="944">
        <v>0.0</v>
      </c>
      <c r="Z385" s="944">
        <v>0.0</v>
      </c>
      <c r="AA385" s="944">
        <v>0.0</v>
      </c>
      <c r="AB385" s="944">
        <v>0.0</v>
      </c>
      <c r="AC385" s="944">
        <v>0.0</v>
      </c>
      <c r="AD385" s="944">
        <v>0.0</v>
      </c>
      <c r="AE385" s="944">
        <v>0.0</v>
      </c>
      <c r="AF385" s="944">
        <v>0.0</v>
      </c>
      <c r="AG385" s="944">
        <v>0.0</v>
      </c>
      <c r="AH385" s="944">
        <v>1.0</v>
      </c>
      <c r="AI385" s="944">
        <v>0.0</v>
      </c>
      <c r="AJ385" s="944">
        <v>3.0</v>
      </c>
      <c r="AK385" s="944">
        <v>2.0</v>
      </c>
      <c r="AL385" s="944">
        <v>1.0</v>
      </c>
      <c r="AM385" s="945">
        <v>1.0</v>
      </c>
    </row>
    <row r="386">
      <c r="A386" s="946" t="s">
        <v>119</v>
      </c>
      <c r="B386" s="939">
        <v>1.0</v>
      </c>
      <c r="C386" s="939">
        <v>1.0</v>
      </c>
      <c r="D386" s="939">
        <v>0.0</v>
      </c>
      <c r="E386" s="939">
        <v>3.0</v>
      </c>
      <c r="F386" s="939">
        <v>25.0</v>
      </c>
      <c r="G386" s="939">
        <v>38.0</v>
      </c>
      <c r="H386" s="939">
        <v>18.0</v>
      </c>
      <c r="I386" s="939">
        <v>20.0</v>
      </c>
      <c r="J386" s="939">
        <v>0.0</v>
      </c>
      <c r="K386" s="939">
        <v>9.0</v>
      </c>
      <c r="L386" s="939">
        <v>2.0</v>
      </c>
      <c r="M386" s="939">
        <v>472.0</v>
      </c>
      <c r="N386" s="939">
        <v>608.0</v>
      </c>
      <c r="O386" s="939">
        <v>26.0</v>
      </c>
      <c r="P386" s="939">
        <v>316.0</v>
      </c>
      <c r="Q386" s="939">
        <v>0.0</v>
      </c>
      <c r="R386" s="939">
        <v>2.0</v>
      </c>
      <c r="S386" s="939">
        <v>0.0</v>
      </c>
      <c r="T386" s="939">
        <v>0.0</v>
      </c>
      <c r="U386" s="939">
        <v>0.0</v>
      </c>
      <c r="V386" s="939">
        <v>0.0</v>
      </c>
      <c r="W386" s="939">
        <v>0.0</v>
      </c>
      <c r="X386" s="939">
        <v>4.0</v>
      </c>
      <c r="Y386" s="939">
        <v>1.0</v>
      </c>
      <c r="Z386" s="939">
        <v>0.0</v>
      </c>
      <c r="AA386" s="939">
        <v>0.0</v>
      </c>
      <c r="AB386" s="939">
        <v>0.0</v>
      </c>
      <c r="AC386" s="939">
        <v>0.0</v>
      </c>
      <c r="AD386" s="939">
        <v>0.0</v>
      </c>
      <c r="AE386" s="939">
        <v>0.0</v>
      </c>
      <c r="AF386" s="939">
        <v>0.0</v>
      </c>
      <c r="AG386" s="939">
        <v>0.0</v>
      </c>
      <c r="AH386" s="939">
        <v>0.0</v>
      </c>
      <c r="AI386" s="939">
        <v>0.0</v>
      </c>
      <c r="AJ386" s="939">
        <v>6.0</v>
      </c>
      <c r="AK386" s="939">
        <v>6.0</v>
      </c>
      <c r="AL386" s="939">
        <v>1.0</v>
      </c>
      <c r="AM386" s="940">
        <v>1.0</v>
      </c>
    </row>
    <row r="387">
      <c r="A387" s="935" t="s">
        <v>141</v>
      </c>
      <c r="B387" s="941">
        <v>1.0</v>
      </c>
      <c r="C387" s="941">
        <v>1.0</v>
      </c>
      <c r="D387" s="941">
        <v>0.0</v>
      </c>
      <c r="E387" s="941">
        <v>2.0</v>
      </c>
      <c r="F387" s="941">
        <v>0.0</v>
      </c>
      <c r="G387" s="941">
        <v>47.0</v>
      </c>
      <c r="H387" s="941">
        <v>35.0</v>
      </c>
      <c r="I387" s="941">
        <v>12.0</v>
      </c>
      <c r="J387" s="941">
        <v>1.0</v>
      </c>
      <c r="K387" s="941">
        <v>6.0</v>
      </c>
      <c r="L387" s="941">
        <v>2.0</v>
      </c>
      <c r="M387" s="941">
        <v>423.0</v>
      </c>
      <c r="N387" s="941">
        <v>608.0</v>
      </c>
      <c r="O387" s="941">
        <v>12.0</v>
      </c>
      <c r="P387" s="941">
        <v>4.0</v>
      </c>
      <c r="Q387" s="941">
        <v>0.0</v>
      </c>
      <c r="R387" s="941">
        <v>2.0</v>
      </c>
      <c r="S387" s="941">
        <v>0.0</v>
      </c>
      <c r="T387" s="941">
        <v>0.0</v>
      </c>
      <c r="U387" s="941">
        <v>0.0</v>
      </c>
      <c r="V387" s="941">
        <v>2.0</v>
      </c>
      <c r="W387" s="941">
        <v>0.0</v>
      </c>
      <c r="X387" s="941">
        <v>10.0</v>
      </c>
      <c r="Y387" s="941">
        <v>2.0</v>
      </c>
      <c r="Z387" s="941">
        <v>1.0</v>
      </c>
      <c r="AA387" s="941">
        <v>0.0</v>
      </c>
      <c r="AB387" s="941">
        <v>0.0</v>
      </c>
      <c r="AC387" s="941">
        <v>0.0</v>
      </c>
      <c r="AD387" s="941">
        <v>0.0</v>
      </c>
      <c r="AE387" s="941">
        <v>0.0</v>
      </c>
      <c r="AF387" s="941">
        <v>0.0</v>
      </c>
      <c r="AG387" s="941">
        <v>0.0</v>
      </c>
      <c r="AH387" s="941">
        <v>0.0</v>
      </c>
      <c r="AI387" s="941">
        <v>0.0</v>
      </c>
      <c r="AJ387" s="941">
        <v>7.0</v>
      </c>
      <c r="AK387" s="941">
        <v>1.0</v>
      </c>
      <c r="AL387" s="941">
        <v>3.0</v>
      </c>
      <c r="AM387" s="942">
        <v>1.0</v>
      </c>
    </row>
    <row r="388">
      <c r="A388" s="935" t="s">
        <v>130</v>
      </c>
      <c r="B388" s="941">
        <v>1.0</v>
      </c>
      <c r="C388" s="941">
        <v>1.0</v>
      </c>
      <c r="D388" s="941">
        <v>0.0</v>
      </c>
      <c r="E388" s="941">
        <v>0.0</v>
      </c>
      <c r="F388" s="941">
        <v>0.0</v>
      </c>
      <c r="G388" s="941">
        <v>36.0</v>
      </c>
      <c r="H388" s="941">
        <v>28.0</v>
      </c>
      <c r="I388" s="941">
        <v>8.0</v>
      </c>
      <c r="J388" s="941">
        <v>7.0</v>
      </c>
      <c r="K388" s="941">
        <v>5.0</v>
      </c>
      <c r="L388" s="941">
        <v>2.0</v>
      </c>
      <c r="M388" s="941">
        <v>449.0</v>
      </c>
      <c r="N388" s="941">
        <v>608.0</v>
      </c>
      <c r="O388" s="941">
        <v>16.0</v>
      </c>
      <c r="P388" s="941">
        <v>0.0</v>
      </c>
      <c r="Q388" s="941">
        <v>0.0</v>
      </c>
      <c r="R388" s="941">
        <v>2.0</v>
      </c>
      <c r="S388" s="941">
        <v>0.0</v>
      </c>
      <c r="T388" s="941">
        <v>0.0</v>
      </c>
      <c r="U388" s="941">
        <v>0.0</v>
      </c>
      <c r="V388" s="941">
        <v>2.0</v>
      </c>
      <c r="W388" s="941">
        <v>0.0</v>
      </c>
      <c r="X388" s="941">
        <v>5.0</v>
      </c>
      <c r="Y388" s="941">
        <v>1.0</v>
      </c>
      <c r="Z388" s="941">
        <v>0.0</v>
      </c>
      <c r="AA388" s="941">
        <v>0.0</v>
      </c>
      <c r="AB388" s="941">
        <v>0.0</v>
      </c>
      <c r="AC388" s="941">
        <v>0.0</v>
      </c>
      <c r="AD388" s="941">
        <v>0.0</v>
      </c>
      <c r="AE388" s="941">
        <v>0.0</v>
      </c>
      <c r="AF388" s="941">
        <v>0.0</v>
      </c>
      <c r="AG388" s="941">
        <v>0.0</v>
      </c>
      <c r="AH388" s="941">
        <v>2.0</v>
      </c>
      <c r="AI388" s="941">
        <v>0.0</v>
      </c>
      <c r="AJ388" s="941">
        <v>5.0</v>
      </c>
      <c r="AK388" s="941">
        <v>5.0</v>
      </c>
      <c r="AL388" s="941">
        <v>2.0</v>
      </c>
      <c r="AM388" s="942">
        <v>1.0</v>
      </c>
    </row>
    <row r="389">
      <c r="A389" s="935" t="s">
        <v>152</v>
      </c>
      <c r="B389" s="941">
        <v>1.0</v>
      </c>
      <c r="C389" s="941">
        <v>1.0</v>
      </c>
      <c r="D389" s="941">
        <v>0.0</v>
      </c>
      <c r="E389" s="941">
        <v>0.0</v>
      </c>
      <c r="F389" s="941">
        <v>0.0</v>
      </c>
      <c r="G389" s="941">
        <v>23.0</v>
      </c>
      <c r="H389" s="941">
        <v>36.0</v>
      </c>
      <c r="I389" s="941">
        <v>-13.0</v>
      </c>
      <c r="J389" s="941">
        <v>3.0</v>
      </c>
      <c r="K389" s="941">
        <v>3.0</v>
      </c>
      <c r="L389" s="941">
        <v>0.0</v>
      </c>
      <c r="M389" s="941">
        <v>419.0</v>
      </c>
      <c r="N389" s="941">
        <v>608.0</v>
      </c>
      <c r="O389" s="941">
        <v>11.0</v>
      </c>
      <c r="P389" s="941">
        <v>3.0</v>
      </c>
      <c r="Q389" s="941">
        <v>0.0</v>
      </c>
      <c r="R389" s="941">
        <v>0.0</v>
      </c>
      <c r="S389" s="941">
        <v>0.0</v>
      </c>
      <c r="T389" s="941">
        <v>0.0</v>
      </c>
      <c r="U389" s="941">
        <v>0.0</v>
      </c>
      <c r="V389" s="941">
        <v>0.0</v>
      </c>
      <c r="W389" s="941">
        <v>0.0</v>
      </c>
      <c r="X389" s="941">
        <v>2.0</v>
      </c>
      <c r="Y389" s="941">
        <v>0.0</v>
      </c>
      <c r="Z389" s="941">
        <v>0.0</v>
      </c>
      <c r="AA389" s="941">
        <v>0.0</v>
      </c>
      <c r="AB389" s="941">
        <v>0.0</v>
      </c>
      <c r="AC389" s="941">
        <v>0.0</v>
      </c>
      <c r="AD389" s="941">
        <v>0.0</v>
      </c>
      <c r="AE389" s="941">
        <v>0.0</v>
      </c>
      <c r="AF389" s="941">
        <v>0.0</v>
      </c>
      <c r="AG389" s="941">
        <v>0.0</v>
      </c>
      <c r="AH389" s="941">
        <v>2.0</v>
      </c>
      <c r="AI389" s="941">
        <v>0.0</v>
      </c>
      <c r="AJ389" s="941">
        <v>2.0</v>
      </c>
      <c r="AK389" s="941">
        <v>2.0</v>
      </c>
      <c r="AL389" s="941">
        <v>0.0</v>
      </c>
      <c r="AM389" s="942">
        <v>1.0</v>
      </c>
    </row>
    <row r="390">
      <c r="A390" s="935" t="s">
        <v>114</v>
      </c>
      <c r="B390" s="941">
        <v>1.0</v>
      </c>
      <c r="C390" s="941">
        <v>0.0</v>
      </c>
      <c r="D390" s="941">
        <v>1.0</v>
      </c>
      <c r="E390" s="941">
        <v>1.0</v>
      </c>
      <c r="F390" s="941">
        <v>3.0</v>
      </c>
      <c r="G390" s="941">
        <v>21.0</v>
      </c>
      <c r="H390" s="941">
        <v>27.0</v>
      </c>
      <c r="I390" s="941">
        <v>-6.0</v>
      </c>
      <c r="J390" s="941">
        <v>1.0</v>
      </c>
      <c r="K390" s="941">
        <v>4.0</v>
      </c>
      <c r="L390" s="941">
        <v>1.0</v>
      </c>
      <c r="M390" s="941">
        <v>445.0</v>
      </c>
      <c r="N390" s="941">
        <v>608.0</v>
      </c>
      <c r="O390" s="941">
        <v>16.0</v>
      </c>
      <c r="P390" s="941">
        <v>126.0</v>
      </c>
      <c r="Q390" s="941">
        <v>0.0</v>
      </c>
      <c r="R390" s="941">
        <v>0.0</v>
      </c>
      <c r="S390" s="941">
        <v>0.0</v>
      </c>
      <c r="T390" s="941">
        <v>0.0</v>
      </c>
      <c r="U390" s="941">
        <v>0.0</v>
      </c>
      <c r="V390" s="941">
        <v>0.0</v>
      </c>
      <c r="W390" s="941">
        <v>0.0</v>
      </c>
      <c r="X390" s="941">
        <v>2.0</v>
      </c>
      <c r="Y390" s="941">
        <v>0.0</v>
      </c>
      <c r="Z390" s="941">
        <v>0.0</v>
      </c>
      <c r="AA390" s="941">
        <v>0.0</v>
      </c>
      <c r="AB390" s="941">
        <v>0.0</v>
      </c>
      <c r="AC390" s="941">
        <v>0.0</v>
      </c>
      <c r="AD390" s="941">
        <v>0.0</v>
      </c>
      <c r="AE390" s="941">
        <v>0.0</v>
      </c>
      <c r="AF390" s="941">
        <v>0.0</v>
      </c>
      <c r="AG390" s="941">
        <v>0.0</v>
      </c>
      <c r="AH390" s="941">
        <v>0.0</v>
      </c>
      <c r="AI390" s="941">
        <v>0.0</v>
      </c>
      <c r="AJ390" s="941">
        <v>3.0</v>
      </c>
      <c r="AK390" s="941">
        <v>0.0</v>
      </c>
      <c r="AL390" s="941">
        <v>0.0</v>
      </c>
      <c r="AM390" s="942">
        <v>0.0</v>
      </c>
    </row>
    <row r="391">
      <c r="A391" s="935" t="s">
        <v>129</v>
      </c>
      <c r="B391" s="941">
        <v>1.0</v>
      </c>
      <c r="C391" s="941">
        <v>0.0</v>
      </c>
      <c r="D391" s="941">
        <v>1.0</v>
      </c>
      <c r="E391" s="941">
        <v>0.0</v>
      </c>
      <c r="F391" s="941">
        <v>0.0</v>
      </c>
      <c r="G391" s="941">
        <v>30.0</v>
      </c>
      <c r="H391" s="941">
        <v>43.0</v>
      </c>
      <c r="I391" s="941">
        <v>-13.0</v>
      </c>
      <c r="J391" s="941">
        <v>3.0</v>
      </c>
      <c r="K391" s="941">
        <v>5.0</v>
      </c>
      <c r="L391" s="941">
        <v>0.0</v>
      </c>
      <c r="M391" s="941">
        <v>406.0</v>
      </c>
      <c r="N391" s="941">
        <v>608.0</v>
      </c>
      <c r="O391" s="941">
        <v>9.0</v>
      </c>
      <c r="P391" s="941">
        <v>0.0</v>
      </c>
      <c r="Q391" s="941">
        <v>0.0</v>
      </c>
      <c r="R391" s="941">
        <v>1.0</v>
      </c>
      <c r="S391" s="941">
        <v>0.0</v>
      </c>
      <c r="T391" s="941">
        <v>0.0</v>
      </c>
      <c r="U391" s="941">
        <v>0.0</v>
      </c>
      <c r="V391" s="941">
        <v>1.0</v>
      </c>
      <c r="W391" s="941">
        <v>0.0</v>
      </c>
      <c r="X391" s="941">
        <v>3.0</v>
      </c>
      <c r="Y391" s="941">
        <v>1.0</v>
      </c>
      <c r="Z391" s="941">
        <v>1.0</v>
      </c>
      <c r="AA391" s="941">
        <v>0.0</v>
      </c>
      <c r="AB391" s="941">
        <v>0.0</v>
      </c>
      <c r="AC391" s="941">
        <v>0.0</v>
      </c>
      <c r="AD391" s="941">
        <v>0.0</v>
      </c>
      <c r="AE391" s="941">
        <v>0.0</v>
      </c>
      <c r="AF391" s="941">
        <v>0.0</v>
      </c>
      <c r="AG391" s="941">
        <v>0.0</v>
      </c>
      <c r="AH391" s="941">
        <v>0.0</v>
      </c>
      <c r="AI391" s="941">
        <v>0.0</v>
      </c>
      <c r="AJ391" s="941">
        <v>0.0</v>
      </c>
      <c r="AK391" s="941">
        <v>2.0</v>
      </c>
      <c r="AL391" s="941">
        <v>0.0</v>
      </c>
      <c r="AM391" s="942">
        <v>0.0</v>
      </c>
    </row>
    <row r="392">
      <c r="A392" s="935" t="s">
        <v>147</v>
      </c>
      <c r="B392" s="941">
        <v>1.0</v>
      </c>
      <c r="C392" s="941">
        <v>0.0</v>
      </c>
      <c r="D392" s="941">
        <v>1.0</v>
      </c>
      <c r="E392" s="941">
        <v>0.0</v>
      </c>
      <c r="F392" s="941">
        <v>0.0</v>
      </c>
      <c r="G392" s="941">
        <v>18.0</v>
      </c>
      <c r="H392" s="941">
        <v>39.0</v>
      </c>
      <c r="I392" s="941">
        <v>-21.0</v>
      </c>
      <c r="J392" s="941">
        <v>0.0</v>
      </c>
      <c r="K392" s="941">
        <v>2.0</v>
      </c>
      <c r="L392" s="941">
        <v>1.0</v>
      </c>
      <c r="M392" s="941">
        <v>417.0</v>
      </c>
      <c r="N392" s="941">
        <v>608.0</v>
      </c>
      <c r="O392" s="941">
        <v>10.0</v>
      </c>
      <c r="P392" s="941">
        <v>0.0</v>
      </c>
      <c r="Q392" s="941">
        <v>0.0</v>
      </c>
      <c r="R392" s="941">
        <v>0.0</v>
      </c>
      <c r="S392" s="941">
        <v>0.0</v>
      </c>
      <c r="T392" s="941">
        <v>0.0</v>
      </c>
      <c r="U392" s="941">
        <v>0.0</v>
      </c>
      <c r="V392" s="941">
        <v>0.0</v>
      </c>
      <c r="W392" s="941">
        <v>0.0</v>
      </c>
      <c r="X392" s="941">
        <v>0.0</v>
      </c>
      <c r="Y392" s="941">
        <v>0.0</v>
      </c>
      <c r="Z392" s="941">
        <v>0.0</v>
      </c>
      <c r="AA392" s="941">
        <v>0.0</v>
      </c>
      <c r="AB392" s="941">
        <v>0.0</v>
      </c>
      <c r="AC392" s="941">
        <v>0.0</v>
      </c>
      <c r="AD392" s="941">
        <v>0.0</v>
      </c>
      <c r="AE392" s="941">
        <v>0.0</v>
      </c>
      <c r="AF392" s="941">
        <v>0.0</v>
      </c>
      <c r="AG392" s="941">
        <v>0.0</v>
      </c>
      <c r="AH392" s="941">
        <v>0.0</v>
      </c>
      <c r="AI392" s="941">
        <v>0.0</v>
      </c>
      <c r="AJ392" s="941">
        <v>3.0</v>
      </c>
      <c r="AK392" s="941">
        <v>3.0</v>
      </c>
      <c r="AL392" s="941">
        <v>0.0</v>
      </c>
      <c r="AM392" s="942">
        <v>0.0</v>
      </c>
    </row>
    <row r="393">
      <c r="A393" s="943" t="s">
        <v>136</v>
      </c>
      <c r="B393" s="944">
        <v>1.0</v>
      </c>
      <c r="C393" s="944">
        <v>0.0</v>
      </c>
      <c r="D393" s="944">
        <v>1.0</v>
      </c>
      <c r="E393" s="944">
        <v>0.0</v>
      </c>
      <c r="F393" s="944">
        <v>1.0</v>
      </c>
      <c r="G393" s="944">
        <v>33.0</v>
      </c>
      <c r="H393" s="944">
        <v>47.0</v>
      </c>
      <c r="I393" s="944">
        <v>-14.0</v>
      </c>
      <c r="J393" s="944">
        <v>2.0</v>
      </c>
      <c r="K393" s="944">
        <v>2.0</v>
      </c>
      <c r="L393" s="944">
        <v>0.0</v>
      </c>
      <c r="M393" s="944">
        <v>384.0</v>
      </c>
      <c r="N393" s="944">
        <v>608.0</v>
      </c>
      <c r="O393" s="944">
        <v>8.0</v>
      </c>
      <c r="P393" s="944">
        <v>7.0</v>
      </c>
      <c r="Q393" s="944">
        <v>0.0</v>
      </c>
      <c r="R393" s="944">
        <v>0.0</v>
      </c>
      <c r="S393" s="944">
        <v>0.0</v>
      </c>
      <c r="T393" s="944">
        <v>0.0</v>
      </c>
      <c r="U393" s="944">
        <v>0.0</v>
      </c>
      <c r="V393" s="944">
        <v>0.0</v>
      </c>
      <c r="W393" s="944">
        <v>0.0</v>
      </c>
      <c r="X393" s="944">
        <v>4.0</v>
      </c>
      <c r="Y393" s="944">
        <v>0.0</v>
      </c>
      <c r="Z393" s="944">
        <v>0.0</v>
      </c>
      <c r="AA393" s="944">
        <v>0.0</v>
      </c>
      <c r="AB393" s="944">
        <v>0.0</v>
      </c>
      <c r="AC393" s="944">
        <v>0.0</v>
      </c>
      <c r="AD393" s="944">
        <v>0.0</v>
      </c>
      <c r="AE393" s="944">
        <v>0.0</v>
      </c>
      <c r="AF393" s="944">
        <v>0.0</v>
      </c>
      <c r="AG393" s="944">
        <v>0.0</v>
      </c>
      <c r="AH393" s="944">
        <v>1.0</v>
      </c>
      <c r="AI393" s="944">
        <v>0.0</v>
      </c>
      <c r="AJ393" s="944">
        <v>3.0</v>
      </c>
      <c r="AK393" s="944">
        <v>5.0</v>
      </c>
      <c r="AL393" s="944">
        <v>0.0</v>
      </c>
      <c r="AM393" s="945">
        <v>0.0</v>
      </c>
    </row>
    <row r="394">
      <c r="A394" s="1" t="s">
        <v>123</v>
      </c>
      <c r="B394" s="941">
        <v>1.0</v>
      </c>
      <c r="C394" s="941">
        <v>1.0</v>
      </c>
      <c r="D394" s="941">
        <v>0.0</v>
      </c>
      <c r="E394" s="941">
        <v>4.0</v>
      </c>
      <c r="F394" s="941">
        <v>23.0</v>
      </c>
      <c r="G394" s="941">
        <v>62.0</v>
      </c>
      <c r="H394" s="941">
        <v>38.0</v>
      </c>
      <c r="I394" s="941">
        <v>24.0</v>
      </c>
      <c r="J394" s="941">
        <v>0.0</v>
      </c>
      <c r="K394" s="941">
        <v>8.0</v>
      </c>
      <c r="L394" s="941">
        <v>3.0</v>
      </c>
      <c r="M394" s="941">
        <v>956.0</v>
      </c>
      <c r="N394" s="941">
        <v>1174.0</v>
      </c>
      <c r="O394" s="941">
        <v>25.0</v>
      </c>
      <c r="P394" s="941">
        <v>478.0</v>
      </c>
      <c r="Q394" s="941">
        <v>0.0</v>
      </c>
      <c r="R394" s="941">
        <v>3.0</v>
      </c>
      <c r="S394" s="941">
        <v>0.0</v>
      </c>
      <c r="T394" s="941">
        <v>0.0</v>
      </c>
      <c r="U394" s="941">
        <v>0.0</v>
      </c>
      <c r="V394" s="941">
        <v>0.0</v>
      </c>
      <c r="W394" s="941">
        <v>0.0</v>
      </c>
      <c r="X394" s="941">
        <v>7.0</v>
      </c>
      <c r="Y394" s="941">
        <v>2.0</v>
      </c>
      <c r="Z394" s="941">
        <v>1.0</v>
      </c>
      <c r="AA394" s="941">
        <v>0.0</v>
      </c>
      <c r="AB394" s="941">
        <v>0.0</v>
      </c>
      <c r="AC394" s="941">
        <v>0.0</v>
      </c>
      <c r="AD394" s="941">
        <v>0.0</v>
      </c>
      <c r="AE394" s="941">
        <v>0.0</v>
      </c>
      <c r="AF394" s="941">
        <v>0.0</v>
      </c>
      <c r="AG394" s="941">
        <v>1.0</v>
      </c>
      <c r="AH394" s="941">
        <v>0.0</v>
      </c>
      <c r="AI394" s="941">
        <v>0.0</v>
      </c>
      <c r="AJ394" s="941">
        <v>10.0</v>
      </c>
      <c r="AK394" s="941">
        <v>1.0</v>
      </c>
      <c r="AL394" s="941">
        <v>2.0</v>
      </c>
      <c r="AM394" s="941">
        <v>0.0</v>
      </c>
    </row>
    <row r="395">
      <c r="A395" s="1" t="s">
        <v>419</v>
      </c>
      <c r="B395" s="941">
        <v>1.0</v>
      </c>
      <c r="C395" s="941">
        <v>1.0</v>
      </c>
      <c r="D395" s="941">
        <v>0.0</v>
      </c>
      <c r="E395" s="941">
        <v>1.0</v>
      </c>
      <c r="F395" s="941">
        <v>0.0</v>
      </c>
      <c r="G395" s="941">
        <v>57.0</v>
      </c>
      <c r="H395" s="941">
        <v>67.0</v>
      </c>
      <c r="I395" s="941">
        <v>-10.0</v>
      </c>
      <c r="J395" s="941">
        <v>2.0</v>
      </c>
      <c r="K395" s="941">
        <v>4.0</v>
      </c>
      <c r="L395" s="941">
        <v>0.0</v>
      </c>
      <c r="M395" s="941">
        <v>861.0</v>
      </c>
      <c r="N395" s="941">
        <v>1174.0</v>
      </c>
      <c r="O395" s="941">
        <v>12.0</v>
      </c>
      <c r="P395" s="941">
        <v>24.0</v>
      </c>
      <c r="Q395" s="941">
        <v>0.0</v>
      </c>
      <c r="R395" s="941">
        <v>0.0</v>
      </c>
      <c r="S395" s="941">
        <v>0.0</v>
      </c>
      <c r="T395" s="941">
        <v>0.0</v>
      </c>
      <c r="U395" s="941">
        <v>0.0</v>
      </c>
      <c r="V395" s="941">
        <v>0.0</v>
      </c>
      <c r="W395" s="941">
        <v>0.0</v>
      </c>
      <c r="X395" s="941">
        <v>8.0</v>
      </c>
      <c r="Y395" s="941">
        <v>1.0</v>
      </c>
      <c r="Z395" s="941">
        <v>0.0</v>
      </c>
      <c r="AA395" s="941">
        <v>0.0</v>
      </c>
      <c r="AB395" s="941">
        <v>0.0</v>
      </c>
      <c r="AC395" s="941">
        <v>0.0</v>
      </c>
      <c r="AD395" s="941">
        <v>0.0</v>
      </c>
      <c r="AE395" s="941">
        <v>0.0</v>
      </c>
      <c r="AF395" s="941">
        <v>0.0</v>
      </c>
      <c r="AG395" s="941">
        <v>0.0</v>
      </c>
      <c r="AH395" s="941">
        <v>4.0</v>
      </c>
      <c r="AI395" s="941">
        <v>0.0</v>
      </c>
      <c r="AJ395" s="941">
        <v>3.0</v>
      </c>
      <c r="AK395" s="941">
        <v>9.0</v>
      </c>
      <c r="AL395" s="941">
        <v>1.0</v>
      </c>
      <c r="AM395" s="941">
        <v>0.0</v>
      </c>
    </row>
    <row r="396">
      <c r="A396" s="1" t="s">
        <v>145</v>
      </c>
      <c r="B396" s="941">
        <v>1.0</v>
      </c>
      <c r="C396" s="941">
        <v>1.0</v>
      </c>
      <c r="D396" s="941">
        <v>0.0</v>
      </c>
      <c r="E396" s="941">
        <v>0.0</v>
      </c>
      <c r="F396" s="941">
        <v>0.0</v>
      </c>
      <c r="G396" s="941">
        <v>55.0</v>
      </c>
      <c r="H396" s="941">
        <v>77.0</v>
      </c>
      <c r="I396" s="941">
        <v>-22.0</v>
      </c>
      <c r="J396" s="941">
        <v>7.0</v>
      </c>
      <c r="K396" s="941">
        <v>4.0</v>
      </c>
      <c r="L396" s="941">
        <v>2.0</v>
      </c>
      <c r="M396" s="941">
        <v>834.0</v>
      </c>
      <c r="N396" s="941">
        <v>1174.0</v>
      </c>
      <c r="O396" s="941">
        <v>10.0</v>
      </c>
      <c r="P396" s="941">
        <v>0.0</v>
      </c>
      <c r="Q396" s="941">
        <v>0.0</v>
      </c>
      <c r="R396" s="941">
        <v>0.0</v>
      </c>
      <c r="S396" s="941">
        <v>0.0</v>
      </c>
      <c r="T396" s="941">
        <v>0.0</v>
      </c>
      <c r="U396" s="941">
        <v>0.0</v>
      </c>
      <c r="V396" s="941">
        <v>0.0</v>
      </c>
      <c r="W396" s="941">
        <v>0.0</v>
      </c>
      <c r="X396" s="941">
        <v>6.0</v>
      </c>
      <c r="Y396" s="941">
        <v>2.0</v>
      </c>
      <c r="Z396" s="941">
        <v>1.0</v>
      </c>
      <c r="AA396" s="941">
        <v>0.0</v>
      </c>
      <c r="AB396" s="941">
        <v>0.0</v>
      </c>
      <c r="AC396" s="941">
        <v>0.0</v>
      </c>
      <c r="AD396" s="941">
        <v>0.0</v>
      </c>
      <c r="AE396" s="941">
        <v>0.0</v>
      </c>
      <c r="AF396" s="941">
        <v>0.0</v>
      </c>
      <c r="AG396" s="941">
        <v>0.0</v>
      </c>
      <c r="AH396" s="941">
        <v>1.0</v>
      </c>
      <c r="AI396" s="941">
        <v>0.0</v>
      </c>
      <c r="AJ396" s="941">
        <v>1.0</v>
      </c>
      <c r="AK396" s="941">
        <v>10.0</v>
      </c>
      <c r="AL396" s="941">
        <v>1.0</v>
      </c>
      <c r="AM396" s="941">
        <v>0.0</v>
      </c>
    </row>
    <row r="397">
      <c r="A397" s="1" t="s">
        <v>156</v>
      </c>
      <c r="B397" s="941">
        <v>1.0</v>
      </c>
      <c r="C397" s="941">
        <v>1.0</v>
      </c>
      <c r="D397" s="941">
        <v>0.0</v>
      </c>
      <c r="E397" s="941">
        <v>0.0</v>
      </c>
      <c r="F397" s="941">
        <v>1.0</v>
      </c>
      <c r="G397" s="941">
        <v>47.0</v>
      </c>
      <c r="H397" s="941">
        <v>65.0</v>
      </c>
      <c r="I397" s="941">
        <v>-18.0</v>
      </c>
      <c r="J397" s="941">
        <v>3.0</v>
      </c>
      <c r="K397" s="941">
        <v>4.0</v>
      </c>
      <c r="L397" s="941">
        <v>2.0</v>
      </c>
      <c r="M397" s="941">
        <v>870.0</v>
      </c>
      <c r="N397" s="941">
        <v>1174.0</v>
      </c>
      <c r="O397" s="941">
        <v>13.0</v>
      </c>
      <c r="P397" s="941">
        <v>14.0</v>
      </c>
      <c r="Q397" s="941">
        <v>0.0</v>
      </c>
      <c r="R397" s="941">
        <v>0.0</v>
      </c>
      <c r="S397" s="941">
        <v>0.0</v>
      </c>
      <c r="T397" s="941">
        <v>0.0</v>
      </c>
      <c r="U397" s="941">
        <v>0.0</v>
      </c>
      <c r="V397" s="941">
        <v>0.0</v>
      </c>
      <c r="W397" s="941">
        <v>0.0</v>
      </c>
      <c r="X397" s="941">
        <v>8.0</v>
      </c>
      <c r="Y397" s="941">
        <v>2.0</v>
      </c>
      <c r="Z397" s="941">
        <v>0.0</v>
      </c>
      <c r="AA397" s="941">
        <v>0.0</v>
      </c>
      <c r="AB397" s="941">
        <v>0.0</v>
      </c>
      <c r="AC397" s="941">
        <v>0.0</v>
      </c>
      <c r="AD397" s="941">
        <v>0.0</v>
      </c>
      <c r="AE397" s="941">
        <v>0.0</v>
      </c>
      <c r="AF397" s="941">
        <v>0.0</v>
      </c>
      <c r="AG397" s="941">
        <v>0.0</v>
      </c>
      <c r="AH397" s="941">
        <v>1.0</v>
      </c>
      <c r="AI397" s="941">
        <v>0.0</v>
      </c>
      <c r="AJ397" s="941">
        <v>11.0</v>
      </c>
      <c r="AK397" s="941">
        <v>9.0</v>
      </c>
      <c r="AL397" s="941">
        <v>0.0</v>
      </c>
      <c r="AM397" s="941">
        <v>0.0</v>
      </c>
    </row>
    <row r="398">
      <c r="A398" s="1" t="s">
        <v>118</v>
      </c>
      <c r="B398" s="941">
        <v>1.0</v>
      </c>
      <c r="C398" s="941">
        <v>0.0</v>
      </c>
      <c r="D398" s="941">
        <v>1.0</v>
      </c>
      <c r="E398" s="941">
        <v>3.0</v>
      </c>
      <c r="F398" s="941">
        <v>11.0</v>
      </c>
      <c r="G398" s="941">
        <v>54.0</v>
      </c>
      <c r="H398" s="941">
        <v>51.0</v>
      </c>
      <c r="I398" s="941">
        <v>3.0</v>
      </c>
      <c r="J398" s="941">
        <v>2.0</v>
      </c>
      <c r="K398" s="941">
        <v>5.0</v>
      </c>
      <c r="L398" s="941">
        <v>0.0</v>
      </c>
      <c r="M398" s="941">
        <v>916.0</v>
      </c>
      <c r="N398" s="941">
        <v>1174.0</v>
      </c>
      <c r="O398" s="941">
        <v>17.0</v>
      </c>
      <c r="P398" s="941">
        <v>405.0</v>
      </c>
      <c r="Q398" s="941">
        <v>0.0</v>
      </c>
      <c r="R398" s="941">
        <v>1.0</v>
      </c>
      <c r="S398" s="941">
        <v>0.0</v>
      </c>
      <c r="T398" s="941">
        <v>0.0</v>
      </c>
      <c r="U398" s="941">
        <v>0.0</v>
      </c>
      <c r="V398" s="941">
        <v>0.0</v>
      </c>
      <c r="W398" s="941">
        <v>0.0</v>
      </c>
      <c r="X398" s="941">
        <v>6.0</v>
      </c>
      <c r="Y398" s="941">
        <v>2.0</v>
      </c>
      <c r="Z398" s="941">
        <v>0.0</v>
      </c>
      <c r="AA398" s="941">
        <v>0.0</v>
      </c>
      <c r="AB398" s="941">
        <v>0.0</v>
      </c>
      <c r="AC398" s="941">
        <v>0.0</v>
      </c>
      <c r="AD398" s="941">
        <v>0.0</v>
      </c>
      <c r="AE398" s="941">
        <v>0.0</v>
      </c>
      <c r="AF398" s="941">
        <v>0.0</v>
      </c>
      <c r="AG398" s="941">
        <v>0.0</v>
      </c>
      <c r="AH398" s="941">
        <v>0.0</v>
      </c>
      <c r="AI398" s="941">
        <v>0.0</v>
      </c>
      <c r="AJ398" s="941">
        <v>10.0</v>
      </c>
      <c r="AK398" s="941">
        <v>7.0</v>
      </c>
      <c r="AL398" s="941">
        <v>1.0</v>
      </c>
      <c r="AM398" s="941">
        <v>1.0</v>
      </c>
    </row>
    <row r="399">
      <c r="A399" s="1" t="s">
        <v>140</v>
      </c>
      <c r="B399" s="941">
        <v>1.0</v>
      </c>
      <c r="C399" s="941">
        <v>0.0</v>
      </c>
      <c r="D399" s="941">
        <v>1.0</v>
      </c>
      <c r="E399" s="941">
        <v>0.0</v>
      </c>
      <c r="F399" s="941">
        <v>0.0</v>
      </c>
      <c r="G399" s="941">
        <v>53.0</v>
      </c>
      <c r="H399" s="941">
        <v>58.0</v>
      </c>
      <c r="I399" s="941">
        <v>-5.0</v>
      </c>
      <c r="J399" s="941">
        <v>4.0</v>
      </c>
      <c r="K399" s="941">
        <v>7.0</v>
      </c>
      <c r="L399" s="941">
        <v>1.0</v>
      </c>
      <c r="M399" s="941">
        <v>889.0</v>
      </c>
      <c r="N399" s="941">
        <v>1174.0</v>
      </c>
      <c r="O399" s="941">
        <v>15.0</v>
      </c>
      <c r="P399" s="941">
        <v>5.0</v>
      </c>
      <c r="Q399" s="941">
        <v>0.0</v>
      </c>
      <c r="R399" s="941">
        <v>2.0</v>
      </c>
      <c r="S399" s="941">
        <v>0.0</v>
      </c>
      <c r="T399" s="941">
        <v>0.0</v>
      </c>
      <c r="U399" s="941">
        <v>0.0</v>
      </c>
      <c r="V399" s="941">
        <v>2.0</v>
      </c>
      <c r="W399" s="941">
        <v>0.0</v>
      </c>
      <c r="X399" s="941">
        <v>8.0</v>
      </c>
      <c r="Y399" s="941">
        <v>0.0</v>
      </c>
      <c r="Z399" s="941">
        <v>0.0</v>
      </c>
      <c r="AA399" s="941">
        <v>0.0</v>
      </c>
      <c r="AB399" s="941">
        <v>0.0</v>
      </c>
      <c r="AC399" s="941">
        <v>0.0</v>
      </c>
      <c r="AD399" s="941">
        <v>0.0</v>
      </c>
      <c r="AE399" s="941">
        <v>0.0</v>
      </c>
      <c r="AF399" s="941">
        <v>0.0</v>
      </c>
      <c r="AG399" s="941">
        <v>0.0</v>
      </c>
      <c r="AH399" s="941">
        <v>4.0</v>
      </c>
      <c r="AI399" s="941">
        <v>0.0</v>
      </c>
      <c r="AJ399" s="941">
        <v>1.0</v>
      </c>
      <c r="AK399" s="941">
        <v>5.0</v>
      </c>
      <c r="AL399" s="941">
        <v>0.0</v>
      </c>
      <c r="AM399" s="941">
        <v>1.0</v>
      </c>
    </row>
    <row r="400">
      <c r="A400" s="1" t="s">
        <v>129</v>
      </c>
      <c r="B400" s="941">
        <v>1.0</v>
      </c>
      <c r="C400" s="941">
        <v>0.0</v>
      </c>
      <c r="D400" s="941">
        <v>1.0</v>
      </c>
      <c r="E400" s="941">
        <v>0.0</v>
      </c>
      <c r="F400" s="941">
        <v>2.0</v>
      </c>
      <c r="G400" s="941">
        <v>84.0</v>
      </c>
      <c r="H400" s="941">
        <v>53.0</v>
      </c>
      <c r="I400" s="941">
        <v>31.0</v>
      </c>
      <c r="J400" s="941">
        <v>7.0</v>
      </c>
      <c r="K400" s="941">
        <v>10.0</v>
      </c>
      <c r="L400" s="941">
        <v>0.0</v>
      </c>
      <c r="M400" s="941">
        <v>906.0</v>
      </c>
      <c r="N400" s="941">
        <v>1174.0</v>
      </c>
      <c r="O400" s="941">
        <v>17.0</v>
      </c>
      <c r="P400" s="941">
        <v>28.0</v>
      </c>
      <c r="Q400" s="941">
        <v>0.0</v>
      </c>
      <c r="R400" s="941">
        <v>6.0</v>
      </c>
      <c r="S400" s="941">
        <v>1.0</v>
      </c>
      <c r="T400" s="941">
        <v>0.0</v>
      </c>
      <c r="U400" s="941">
        <v>0.0</v>
      </c>
      <c r="V400" s="941">
        <v>6.0</v>
      </c>
      <c r="W400" s="941">
        <v>0.0</v>
      </c>
      <c r="X400" s="941">
        <v>15.0</v>
      </c>
      <c r="Y400" s="941">
        <v>2.0</v>
      </c>
      <c r="Z400" s="941">
        <v>0.0</v>
      </c>
      <c r="AA400" s="941">
        <v>0.0</v>
      </c>
      <c r="AB400" s="941">
        <v>0.0</v>
      </c>
      <c r="AC400" s="941">
        <v>0.0</v>
      </c>
      <c r="AD400" s="941">
        <v>0.0</v>
      </c>
      <c r="AE400" s="941">
        <v>0.0</v>
      </c>
      <c r="AF400" s="941">
        <v>0.0</v>
      </c>
      <c r="AG400" s="941">
        <v>0.0</v>
      </c>
      <c r="AH400" s="941">
        <v>4.0</v>
      </c>
      <c r="AI400" s="941">
        <v>0.0</v>
      </c>
      <c r="AJ400" s="941">
        <v>11.0</v>
      </c>
      <c r="AK400" s="941">
        <v>4.0</v>
      </c>
      <c r="AL400" s="941">
        <v>2.0</v>
      </c>
      <c r="AM400" s="941">
        <v>1.0</v>
      </c>
    </row>
    <row r="401">
      <c r="A401" s="1" t="s">
        <v>151</v>
      </c>
      <c r="B401" s="941">
        <v>1.0</v>
      </c>
      <c r="C401" s="941">
        <v>0.0</v>
      </c>
      <c r="D401" s="941">
        <v>1.0</v>
      </c>
      <c r="E401" s="941">
        <v>0.0</v>
      </c>
      <c r="F401" s="941">
        <v>0.0</v>
      </c>
      <c r="G401" s="941">
        <v>39.0</v>
      </c>
      <c r="H401" s="941">
        <v>69.0</v>
      </c>
      <c r="I401" s="941">
        <v>-30.0</v>
      </c>
      <c r="J401" s="941">
        <v>4.0</v>
      </c>
      <c r="K401" s="941">
        <v>4.0</v>
      </c>
      <c r="L401" s="941">
        <v>2.0</v>
      </c>
      <c r="M401" s="941">
        <v>859.0</v>
      </c>
      <c r="N401" s="941">
        <v>1174.0</v>
      </c>
      <c r="O401" s="941">
        <v>12.0</v>
      </c>
      <c r="P401" s="941">
        <v>0.0</v>
      </c>
      <c r="Q401" s="941">
        <v>0.0</v>
      </c>
      <c r="R401" s="941">
        <v>0.0</v>
      </c>
      <c r="S401" s="941">
        <v>0.0</v>
      </c>
      <c r="T401" s="941">
        <v>0.0</v>
      </c>
      <c r="U401" s="941">
        <v>0.0</v>
      </c>
      <c r="V401" s="941">
        <v>0.0</v>
      </c>
      <c r="W401" s="941">
        <v>0.0</v>
      </c>
      <c r="X401" s="941">
        <v>5.0</v>
      </c>
      <c r="Y401" s="941">
        <v>0.0</v>
      </c>
      <c r="Z401" s="941">
        <v>0.0</v>
      </c>
      <c r="AA401" s="941">
        <v>0.0</v>
      </c>
      <c r="AB401" s="941">
        <v>0.0</v>
      </c>
      <c r="AC401" s="941">
        <v>0.0</v>
      </c>
      <c r="AD401" s="941">
        <v>0.0</v>
      </c>
      <c r="AE401" s="941">
        <v>0.0</v>
      </c>
      <c r="AF401" s="941">
        <v>0.0</v>
      </c>
      <c r="AG401" s="941">
        <v>0.0</v>
      </c>
      <c r="AH401" s="941">
        <v>1.0</v>
      </c>
      <c r="AI401" s="941">
        <v>0.0</v>
      </c>
      <c r="AJ401" s="941">
        <v>2.0</v>
      </c>
      <c r="AK401" s="941">
        <v>5.0</v>
      </c>
      <c r="AL401" s="941">
        <v>1.0</v>
      </c>
      <c r="AM401" s="941">
        <v>1.0</v>
      </c>
    </row>
    <row r="402">
      <c r="A402" s="946" t="s">
        <v>118</v>
      </c>
      <c r="B402" s="939">
        <v>1.0</v>
      </c>
      <c r="C402" s="939">
        <v>1.0</v>
      </c>
      <c r="D402" s="939">
        <v>0.0</v>
      </c>
      <c r="E402" s="939">
        <v>4.0</v>
      </c>
      <c r="F402" s="939">
        <v>38.0</v>
      </c>
      <c r="G402" s="939">
        <v>66.0</v>
      </c>
      <c r="H402" s="939">
        <v>26.0</v>
      </c>
      <c r="I402" s="939">
        <v>40.0</v>
      </c>
      <c r="J402" s="939">
        <v>1.0</v>
      </c>
      <c r="K402" s="939">
        <v>12.0</v>
      </c>
      <c r="L402" s="939">
        <v>1.0</v>
      </c>
      <c r="M402" s="939">
        <v>1066.0</v>
      </c>
      <c r="N402" s="939">
        <v>1238.0</v>
      </c>
      <c r="O402" s="939">
        <v>41.0</v>
      </c>
      <c r="P402" s="939">
        <v>776.0</v>
      </c>
      <c r="Q402" s="939">
        <v>0.0</v>
      </c>
      <c r="R402" s="939">
        <v>5.0</v>
      </c>
      <c r="S402" s="939">
        <v>1.0</v>
      </c>
      <c r="T402" s="939">
        <v>0.0</v>
      </c>
      <c r="U402" s="939">
        <v>0.0</v>
      </c>
      <c r="V402" s="939">
        <v>1.0</v>
      </c>
      <c r="W402" s="939">
        <v>0.0</v>
      </c>
      <c r="X402" s="939">
        <v>9.0</v>
      </c>
      <c r="Y402" s="939">
        <v>1.0</v>
      </c>
      <c r="Z402" s="939">
        <v>1.0</v>
      </c>
      <c r="AA402" s="939">
        <v>1.0</v>
      </c>
      <c r="AB402" s="939">
        <v>0.0</v>
      </c>
      <c r="AC402" s="939">
        <v>0.0</v>
      </c>
      <c r="AD402" s="939">
        <v>0.0</v>
      </c>
      <c r="AE402" s="939">
        <v>0.0</v>
      </c>
      <c r="AF402" s="939">
        <v>0.0</v>
      </c>
      <c r="AG402" s="939">
        <v>0.0</v>
      </c>
      <c r="AH402" s="939">
        <v>4.0</v>
      </c>
      <c r="AI402" s="939">
        <v>0.0</v>
      </c>
      <c r="AJ402" s="939">
        <v>12.0</v>
      </c>
      <c r="AK402" s="939">
        <v>5.0</v>
      </c>
      <c r="AL402" s="939">
        <v>2.0</v>
      </c>
      <c r="AM402" s="940">
        <v>1.0</v>
      </c>
    </row>
    <row r="403">
      <c r="A403" s="935" t="s">
        <v>129</v>
      </c>
      <c r="B403" s="941">
        <v>1.0</v>
      </c>
      <c r="C403" s="941">
        <v>1.0</v>
      </c>
      <c r="D403" s="941">
        <v>0.0</v>
      </c>
      <c r="E403" s="941">
        <v>1.0</v>
      </c>
      <c r="F403" s="941">
        <v>0.0</v>
      </c>
      <c r="G403" s="941">
        <v>91.0</v>
      </c>
      <c r="H403" s="941">
        <v>63.0</v>
      </c>
      <c r="I403" s="941">
        <v>28.0</v>
      </c>
      <c r="J403" s="941">
        <v>6.0</v>
      </c>
      <c r="K403" s="941">
        <v>5.0</v>
      </c>
      <c r="L403" s="941">
        <v>0.0</v>
      </c>
      <c r="M403" s="941">
        <v>954.0</v>
      </c>
      <c r="N403" s="941">
        <v>1238.0</v>
      </c>
      <c r="O403" s="941">
        <v>15.0</v>
      </c>
      <c r="P403" s="941">
        <v>22.0</v>
      </c>
      <c r="Q403" s="941">
        <v>0.0</v>
      </c>
      <c r="R403" s="941">
        <v>3.0</v>
      </c>
      <c r="S403" s="941">
        <v>0.0</v>
      </c>
      <c r="T403" s="941">
        <v>0.0</v>
      </c>
      <c r="U403" s="941">
        <v>0.0</v>
      </c>
      <c r="V403" s="941">
        <v>2.0</v>
      </c>
      <c r="W403" s="941">
        <v>0.0</v>
      </c>
      <c r="X403" s="941">
        <v>17.0</v>
      </c>
      <c r="Y403" s="941">
        <v>5.0</v>
      </c>
      <c r="Z403" s="941">
        <v>2.0</v>
      </c>
      <c r="AA403" s="941">
        <v>1.0</v>
      </c>
      <c r="AB403" s="941">
        <v>0.0</v>
      </c>
      <c r="AC403" s="941">
        <v>0.0</v>
      </c>
      <c r="AD403" s="941">
        <v>0.0</v>
      </c>
      <c r="AE403" s="941">
        <v>0.0</v>
      </c>
      <c r="AF403" s="941">
        <v>0.0</v>
      </c>
      <c r="AG403" s="941">
        <v>0.0</v>
      </c>
      <c r="AH403" s="941">
        <v>4.0</v>
      </c>
      <c r="AI403" s="941">
        <v>0.0</v>
      </c>
      <c r="AJ403" s="941">
        <v>8.0</v>
      </c>
      <c r="AK403" s="941">
        <v>10.0</v>
      </c>
      <c r="AL403" s="941">
        <v>3.0</v>
      </c>
      <c r="AM403" s="942">
        <v>1.0</v>
      </c>
    </row>
    <row r="404">
      <c r="A404" s="935" t="s">
        <v>140</v>
      </c>
      <c r="B404" s="941">
        <v>1.0</v>
      </c>
      <c r="C404" s="941">
        <v>1.0</v>
      </c>
      <c r="D404" s="941">
        <v>0.0</v>
      </c>
      <c r="E404" s="941">
        <v>0.0</v>
      </c>
      <c r="F404" s="941">
        <v>0.0</v>
      </c>
      <c r="G404" s="941">
        <v>61.0</v>
      </c>
      <c r="H404" s="941">
        <v>53.0</v>
      </c>
      <c r="I404" s="941">
        <v>8.0</v>
      </c>
      <c r="J404" s="941">
        <v>4.0</v>
      </c>
      <c r="K404" s="941">
        <v>5.0</v>
      </c>
      <c r="L404" s="941">
        <v>0.0</v>
      </c>
      <c r="M404" s="941">
        <v>989.0</v>
      </c>
      <c r="N404" s="941">
        <v>1238.0</v>
      </c>
      <c r="O404" s="941">
        <v>18.0</v>
      </c>
      <c r="P404" s="941">
        <v>13.0</v>
      </c>
      <c r="Q404" s="941">
        <v>0.0</v>
      </c>
      <c r="R404" s="941">
        <v>2.0</v>
      </c>
      <c r="S404" s="941">
        <v>0.0</v>
      </c>
      <c r="T404" s="941">
        <v>0.0</v>
      </c>
      <c r="U404" s="941">
        <v>0.0</v>
      </c>
      <c r="V404" s="941">
        <v>2.0</v>
      </c>
      <c r="W404" s="941">
        <v>0.0</v>
      </c>
      <c r="X404" s="941">
        <v>5.0</v>
      </c>
      <c r="Y404" s="941">
        <v>0.0</v>
      </c>
      <c r="Z404" s="941">
        <v>0.0</v>
      </c>
      <c r="AA404" s="941">
        <v>0.0</v>
      </c>
      <c r="AB404" s="941">
        <v>0.0</v>
      </c>
      <c r="AC404" s="941">
        <v>0.0</v>
      </c>
      <c r="AD404" s="941">
        <v>0.0</v>
      </c>
      <c r="AE404" s="941">
        <v>0.0</v>
      </c>
      <c r="AF404" s="941">
        <v>0.0</v>
      </c>
      <c r="AG404" s="941">
        <v>0.0</v>
      </c>
      <c r="AH404" s="941">
        <v>4.0</v>
      </c>
      <c r="AI404" s="941">
        <v>0.0</v>
      </c>
      <c r="AJ404" s="941">
        <v>7.0</v>
      </c>
      <c r="AK404" s="941">
        <v>7.0</v>
      </c>
      <c r="AL404" s="941">
        <v>2.0</v>
      </c>
      <c r="AM404" s="942">
        <v>1.0</v>
      </c>
    </row>
    <row r="405">
      <c r="A405" s="935" t="s">
        <v>151</v>
      </c>
      <c r="B405" s="941">
        <v>1.0</v>
      </c>
      <c r="C405" s="941">
        <v>1.0</v>
      </c>
      <c r="D405" s="941">
        <v>0.0</v>
      </c>
      <c r="E405" s="941">
        <v>0.0</v>
      </c>
      <c r="F405" s="941">
        <v>0.0</v>
      </c>
      <c r="G405" s="941">
        <v>49.0</v>
      </c>
      <c r="H405" s="941">
        <v>68.0</v>
      </c>
      <c r="I405" s="941">
        <v>-19.0</v>
      </c>
      <c r="J405" s="941">
        <v>6.0</v>
      </c>
      <c r="K405" s="941">
        <v>4.0</v>
      </c>
      <c r="L405" s="941">
        <v>2.0</v>
      </c>
      <c r="M405" s="941">
        <v>942.0</v>
      </c>
      <c r="N405" s="941">
        <v>1238.0</v>
      </c>
      <c r="O405" s="941">
        <v>13.0</v>
      </c>
      <c r="P405" s="941">
        <v>0.0</v>
      </c>
      <c r="Q405" s="941">
        <v>0.0</v>
      </c>
      <c r="R405" s="941">
        <v>0.0</v>
      </c>
      <c r="S405" s="941">
        <v>0.0</v>
      </c>
      <c r="T405" s="941">
        <v>0.0</v>
      </c>
      <c r="U405" s="941">
        <v>0.0</v>
      </c>
      <c r="V405" s="941">
        <v>0.0</v>
      </c>
      <c r="W405" s="941">
        <v>0.0</v>
      </c>
      <c r="X405" s="941">
        <v>5.0</v>
      </c>
      <c r="Y405" s="941">
        <v>1.0</v>
      </c>
      <c r="Z405" s="941">
        <v>1.0</v>
      </c>
      <c r="AA405" s="941">
        <v>0.0</v>
      </c>
      <c r="AB405" s="941">
        <v>0.0</v>
      </c>
      <c r="AC405" s="941">
        <v>0.0</v>
      </c>
      <c r="AD405" s="941">
        <v>0.0</v>
      </c>
      <c r="AE405" s="941">
        <v>0.0</v>
      </c>
      <c r="AF405" s="941">
        <v>0.0</v>
      </c>
      <c r="AG405" s="941">
        <v>0.0</v>
      </c>
      <c r="AH405" s="941">
        <v>0.0</v>
      </c>
      <c r="AI405" s="941">
        <v>0.0</v>
      </c>
      <c r="AJ405" s="941">
        <v>2.0</v>
      </c>
      <c r="AK405" s="941">
        <v>6.0</v>
      </c>
      <c r="AL405" s="941">
        <v>0.0</v>
      </c>
      <c r="AM405" s="942">
        <v>1.0</v>
      </c>
    </row>
    <row r="406">
      <c r="A406" s="935" t="s">
        <v>121</v>
      </c>
      <c r="B406" s="941">
        <v>1.0</v>
      </c>
      <c r="C406" s="941">
        <v>0.0</v>
      </c>
      <c r="D406" s="941">
        <v>1.0</v>
      </c>
      <c r="E406" s="941">
        <v>1.0</v>
      </c>
      <c r="F406" s="941">
        <v>1.0</v>
      </c>
      <c r="G406" s="941">
        <v>67.0</v>
      </c>
      <c r="H406" s="941">
        <v>63.0</v>
      </c>
      <c r="I406" s="941">
        <v>4.0</v>
      </c>
      <c r="J406" s="941">
        <v>6.0</v>
      </c>
      <c r="K406" s="941">
        <v>4.0</v>
      </c>
      <c r="L406" s="941">
        <v>4.0</v>
      </c>
      <c r="M406" s="941">
        <v>964.0</v>
      </c>
      <c r="N406" s="941">
        <v>1238.0</v>
      </c>
      <c r="O406" s="941">
        <v>15.0</v>
      </c>
      <c r="P406" s="941">
        <v>15.0</v>
      </c>
      <c r="Q406" s="941">
        <v>0.0</v>
      </c>
      <c r="R406" s="941">
        <v>0.0</v>
      </c>
      <c r="S406" s="941">
        <v>0.0</v>
      </c>
      <c r="T406" s="941">
        <v>0.0</v>
      </c>
      <c r="U406" s="941">
        <v>0.0</v>
      </c>
      <c r="V406" s="941">
        <v>0.0</v>
      </c>
      <c r="W406" s="941">
        <v>0.0</v>
      </c>
      <c r="X406" s="941">
        <v>10.0</v>
      </c>
      <c r="Y406" s="941">
        <v>2.0</v>
      </c>
      <c r="Z406" s="941">
        <v>0.0</v>
      </c>
      <c r="AA406" s="941">
        <v>0.0</v>
      </c>
      <c r="AB406" s="941">
        <v>0.0</v>
      </c>
      <c r="AC406" s="941">
        <v>0.0</v>
      </c>
      <c r="AD406" s="941">
        <v>0.0</v>
      </c>
      <c r="AE406" s="941">
        <v>0.0</v>
      </c>
      <c r="AF406" s="941">
        <v>0.0</v>
      </c>
      <c r="AG406" s="941">
        <v>0.0</v>
      </c>
      <c r="AH406" s="941">
        <v>2.0</v>
      </c>
      <c r="AI406" s="941">
        <v>0.0</v>
      </c>
      <c r="AJ406" s="941">
        <v>9.0</v>
      </c>
      <c r="AK406" s="941">
        <v>5.0</v>
      </c>
      <c r="AL406" s="941">
        <v>0.0</v>
      </c>
      <c r="AM406" s="942">
        <v>0.0</v>
      </c>
    </row>
    <row r="407">
      <c r="A407" s="935" t="s">
        <v>514</v>
      </c>
      <c r="B407" s="941">
        <v>1.0</v>
      </c>
      <c r="C407" s="941">
        <v>0.0</v>
      </c>
      <c r="D407" s="941">
        <v>1.0</v>
      </c>
      <c r="E407" s="941">
        <v>1.0</v>
      </c>
      <c r="F407" s="941">
        <v>2.0</v>
      </c>
      <c r="G407" s="941">
        <v>35.0</v>
      </c>
      <c r="H407" s="941">
        <v>76.0</v>
      </c>
      <c r="I407" s="941">
        <v>-41.0</v>
      </c>
      <c r="J407" s="941">
        <v>7.0</v>
      </c>
      <c r="K407" s="941">
        <v>3.0</v>
      </c>
      <c r="L407" s="941">
        <v>0.0</v>
      </c>
      <c r="M407" s="941">
        <v>913.0</v>
      </c>
      <c r="N407" s="941">
        <v>1238.0</v>
      </c>
      <c r="O407" s="941">
        <v>12.0</v>
      </c>
      <c r="P407" s="941">
        <v>159.0</v>
      </c>
      <c r="Q407" s="941">
        <v>0.0</v>
      </c>
      <c r="R407" s="941">
        <v>0.0</v>
      </c>
      <c r="S407" s="941">
        <v>0.0</v>
      </c>
      <c r="T407" s="941">
        <v>0.0</v>
      </c>
      <c r="U407" s="941">
        <v>0.0</v>
      </c>
      <c r="V407" s="941">
        <v>0.0</v>
      </c>
      <c r="W407" s="941">
        <v>0.0</v>
      </c>
      <c r="X407" s="941">
        <v>6.0</v>
      </c>
      <c r="Y407" s="941">
        <v>0.0</v>
      </c>
      <c r="Z407" s="941">
        <v>0.0</v>
      </c>
      <c r="AA407" s="941">
        <v>0.0</v>
      </c>
      <c r="AB407" s="941">
        <v>0.0</v>
      </c>
      <c r="AC407" s="941">
        <v>0.0</v>
      </c>
      <c r="AD407" s="941">
        <v>0.0</v>
      </c>
      <c r="AE407" s="941">
        <v>0.0</v>
      </c>
      <c r="AF407" s="941">
        <v>0.0</v>
      </c>
      <c r="AG407" s="941">
        <v>0.0</v>
      </c>
      <c r="AH407" s="941">
        <v>2.0</v>
      </c>
      <c r="AI407" s="941">
        <v>0.0</v>
      </c>
      <c r="AJ407" s="941">
        <v>1.0</v>
      </c>
      <c r="AK407" s="941">
        <v>5.0</v>
      </c>
      <c r="AL407" s="941">
        <v>0.0</v>
      </c>
      <c r="AM407" s="942">
        <v>0.0</v>
      </c>
    </row>
    <row r="408">
      <c r="A408" s="935" t="s">
        <v>154</v>
      </c>
      <c r="B408" s="941">
        <v>1.0</v>
      </c>
      <c r="C408" s="941">
        <v>0.0</v>
      </c>
      <c r="D408" s="941">
        <v>1.0</v>
      </c>
      <c r="E408" s="941">
        <v>0.0</v>
      </c>
      <c r="F408" s="941">
        <v>1.0</v>
      </c>
      <c r="G408" s="941">
        <v>35.0</v>
      </c>
      <c r="H408" s="941">
        <v>70.0</v>
      </c>
      <c r="I408" s="941">
        <v>-35.0</v>
      </c>
      <c r="J408" s="941">
        <v>2.0</v>
      </c>
      <c r="K408" s="941">
        <v>3.0</v>
      </c>
      <c r="L408" s="941">
        <v>1.0</v>
      </c>
      <c r="M408" s="941">
        <v>934.0</v>
      </c>
      <c r="N408" s="941">
        <v>1238.0</v>
      </c>
      <c r="O408" s="941">
        <v>13.0</v>
      </c>
      <c r="P408" s="941">
        <v>42.0</v>
      </c>
      <c r="Q408" s="941">
        <v>0.0</v>
      </c>
      <c r="R408" s="941">
        <v>0.0</v>
      </c>
      <c r="S408" s="941">
        <v>0.0</v>
      </c>
      <c r="T408" s="941">
        <v>0.0</v>
      </c>
      <c r="U408" s="941">
        <v>0.0</v>
      </c>
      <c r="V408" s="941">
        <v>0.0</v>
      </c>
      <c r="W408" s="941">
        <v>0.0</v>
      </c>
      <c r="X408" s="941">
        <v>4.0</v>
      </c>
      <c r="Y408" s="941">
        <v>0.0</v>
      </c>
      <c r="Z408" s="941">
        <v>0.0</v>
      </c>
      <c r="AA408" s="941">
        <v>0.0</v>
      </c>
      <c r="AB408" s="941">
        <v>0.0</v>
      </c>
      <c r="AC408" s="941">
        <v>0.0</v>
      </c>
      <c r="AD408" s="941">
        <v>0.0</v>
      </c>
      <c r="AE408" s="941">
        <v>0.0</v>
      </c>
      <c r="AF408" s="941">
        <v>0.0</v>
      </c>
      <c r="AG408" s="941">
        <v>0.0</v>
      </c>
      <c r="AH408" s="941">
        <v>0.0</v>
      </c>
      <c r="AI408" s="941">
        <v>0.0</v>
      </c>
      <c r="AJ408" s="941">
        <v>6.0</v>
      </c>
      <c r="AK408" s="941">
        <v>4.0</v>
      </c>
      <c r="AL408" s="941">
        <v>0.0</v>
      </c>
      <c r="AM408" s="942">
        <v>0.0</v>
      </c>
    </row>
    <row r="409">
      <c r="A409" s="943" t="s">
        <v>132</v>
      </c>
      <c r="B409" s="944">
        <v>1.0</v>
      </c>
      <c r="C409" s="944">
        <v>0.0</v>
      </c>
      <c r="D409" s="944">
        <v>1.0</v>
      </c>
      <c r="E409" s="944">
        <v>0.0</v>
      </c>
      <c r="F409" s="944">
        <v>0.0</v>
      </c>
      <c r="G409" s="944">
        <v>61.0</v>
      </c>
      <c r="H409" s="944">
        <v>74.0</v>
      </c>
      <c r="I409" s="944">
        <v>-13.0</v>
      </c>
      <c r="J409" s="944">
        <v>7.0</v>
      </c>
      <c r="K409" s="944">
        <v>3.0</v>
      </c>
      <c r="L409" s="944">
        <v>0.0</v>
      </c>
      <c r="M409" s="944">
        <v>926.0</v>
      </c>
      <c r="N409" s="944">
        <v>1238.0</v>
      </c>
      <c r="O409" s="944">
        <v>12.0</v>
      </c>
      <c r="P409" s="944">
        <v>2.0</v>
      </c>
      <c r="Q409" s="944">
        <v>0.0</v>
      </c>
      <c r="R409" s="944">
        <v>0.0</v>
      </c>
      <c r="S409" s="944">
        <v>0.0</v>
      </c>
      <c r="T409" s="944">
        <v>0.0</v>
      </c>
      <c r="U409" s="944">
        <v>0.0</v>
      </c>
      <c r="V409" s="944">
        <v>0.0</v>
      </c>
      <c r="W409" s="944">
        <v>0.0</v>
      </c>
      <c r="X409" s="944">
        <v>6.0</v>
      </c>
      <c r="Y409" s="944">
        <v>0.0</v>
      </c>
      <c r="Z409" s="944">
        <v>0.0</v>
      </c>
      <c r="AA409" s="944">
        <v>0.0</v>
      </c>
      <c r="AB409" s="944">
        <v>0.0</v>
      </c>
      <c r="AC409" s="944">
        <v>0.0</v>
      </c>
      <c r="AD409" s="944">
        <v>0.0</v>
      </c>
      <c r="AE409" s="944">
        <v>0.0</v>
      </c>
      <c r="AF409" s="944">
        <v>0.0</v>
      </c>
      <c r="AG409" s="944">
        <v>0.0</v>
      </c>
      <c r="AH409" s="944">
        <v>1.0</v>
      </c>
      <c r="AI409" s="944">
        <v>0.0</v>
      </c>
      <c r="AJ409" s="944">
        <v>11.0</v>
      </c>
      <c r="AK409" s="944">
        <v>12.0</v>
      </c>
      <c r="AL409" s="944">
        <v>0.0</v>
      </c>
      <c r="AM409" s="945">
        <v>0.0</v>
      </c>
    </row>
    <row r="410">
      <c r="A410" s="946" t="s">
        <v>128</v>
      </c>
      <c r="B410" s="939">
        <v>1.0</v>
      </c>
      <c r="C410" s="939">
        <v>1.0</v>
      </c>
      <c r="D410" s="939">
        <v>0.0</v>
      </c>
      <c r="E410" s="939">
        <v>4.0</v>
      </c>
      <c r="F410" s="939">
        <v>4.0</v>
      </c>
      <c r="G410" s="939">
        <v>54.0</v>
      </c>
      <c r="H410" s="939">
        <v>72.0</v>
      </c>
      <c r="I410" s="939">
        <v>-18.0</v>
      </c>
      <c r="J410" s="939">
        <v>5.0</v>
      </c>
      <c r="K410" s="939">
        <v>4.0</v>
      </c>
      <c r="L410" s="939">
        <v>0.0</v>
      </c>
      <c r="M410" s="939">
        <v>1014.0</v>
      </c>
      <c r="N410" s="939">
        <v>1311.0</v>
      </c>
      <c r="O410" s="939">
        <v>14.0</v>
      </c>
      <c r="P410" s="939">
        <v>224.0</v>
      </c>
      <c r="Q410" s="939">
        <v>0.0</v>
      </c>
      <c r="R410" s="939">
        <v>0.0</v>
      </c>
      <c r="S410" s="939">
        <v>0.0</v>
      </c>
      <c r="T410" s="939">
        <v>0.0</v>
      </c>
      <c r="U410" s="939">
        <v>0.0</v>
      </c>
      <c r="V410" s="939">
        <v>0.0</v>
      </c>
      <c r="W410" s="939">
        <v>0.0</v>
      </c>
      <c r="X410" s="939">
        <v>9.0</v>
      </c>
      <c r="Y410" s="939">
        <v>1.0</v>
      </c>
      <c r="Z410" s="939">
        <v>1.0</v>
      </c>
      <c r="AA410" s="939">
        <v>0.0</v>
      </c>
      <c r="AB410" s="939">
        <v>0.0</v>
      </c>
      <c r="AC410" s="939">
        <v>0.0</v>
      </c>
      <c r="AD410" s="939">
        <v>0.0</v>
      </c>
      <c r="AE410" s="939">
        <v>0.0</v>
      </c>
      <c r="AF410" s="939">
        <v>0.0</v>
      </c>
      <c r="AG410" s="939">
        <v>0.0</v>
      </c>
      <c r="AH410" s="939">
        <v>1.0</v>
      </c>
      <c r="AI410" s="939">
        <v>0.0</v>
      </c>
      <c r="AJ410" s="939">
        <v>3.0</v>
      </c>
      <c r="AK410" s="939">
        <v>8.0</v>
      </c>
      <c r="AL410" s="939">
        <v>1.0</v>
      </c>
      <c r="AM410" s="940">
        <v>1.0</v>
      </c>
    </row>
    <row r="411">
      <c r="A411" s="935" t="s">
        <v>117</v>
      </c>
      <c r="B411" s="941">
        <v>1.0</v>
      </c>
      <c r="C411" s="941">
        <v>1.0</v>
      </c>
      <c r="D411" s="941">
        <v>0.0</v>
      </c>
      <c r="E411" s="941">
        <v>1.0</v>
      </c>
      <c r="F411" s="941">
        <v>1.0</v>
      </c>
      <c r="G411" s="941">
        <v>74.0</v>
      </c>
      <c r="H411" s="941">
        <v>65.0</v>
      </c>
      <c r="I411" s="941">
        <v>9.0</v>
      </c>
      <c r="J411" s="941">
        <v>7.0</v>
      </c>
      <c r="K411" s="941">
        <v>5.0</v>
      </c>
      <c r="L411" s="941">
        <v>4.0</v>
      </c>
      <c r="M411" s="941">
        <v>1039.0</v>
      </c>
      <c r="N411" s="941">
        <v>1311.0</v>
      </c>
      <c r="O411" s="941">
        <v>15.0</v>
      </c>
      <c r="P411" s="941">
        <v>73.0</v>
      </c>
      <c r="Q411" s="941">
        <v>0.0</v>
      </c>
      <c r="R411" s="941">
        <v>2.0</v>
      </c>
      <c r="S411" s="941">
        <v>0.0</v>
      </c>
      <c r="T411" s="941">
        <v>0.0</v>
      </c>
      <c r="U411" s="941">
        <v>0.0</v>
      </c>
      <c r="V411" s="941">
        <v>1.0</v>
      </c>
      <c r="W411" s="941">
        <v>0.0</v>
      </c>
      <c r="X411" s="941">
        <v>8.0</v>
      </c>
      <c r="Y411" s="941">
        <v>2.0</v>
      </c>
      <c r="Z411" s="941">
        <v>0.0</v>
      </c>
      <c r="AA411" s="941">
        <v>0.0</v>
      </c>
      <c r="AB411" s="941">
        <v>0.0</v>
      </c>
      <c r="AC411" s="941">
        <v>0.0</v>
      </c>
      <c r="AD411" s="941">
        <v>0.0</v>
      </c>
      <c r="AE411" s="941">
        <v>0.0</v>
      </c>
      <c r="AF411" s="941">
        <v>0.0</v>
      </c>
      <c r="AG411" s="941">
        <v>0.0</v>
      </c>
      <c r="AH411" s="941">
        <v>2.0</v>
      </c>
      <c r="AI411" s="941">
        <v>0.0</v>
      </c>
      <c r="AJ411" s="941">
        <v>9.0</v>
      </c>
      <c r="AK411" s="941">
        <v>11.0</v>
      </c>
      <c r="AL411" s="941">
        <v>0.0</v>
      </c>
      <c r="AM411" s="942">
        <v>1.0</v>
      </c>
    </row>
    <row r="412">
      <c r="A412" s="935" t="s">
        <v>150</v>
      </c>
      <c r="B412" s="941">
        <v>1.0</v>
      </c>
      <c r="C412" s="941">
        <v>1.0</v>
      </c>
      <c r="D412" s="941">
        <v>0.0</v>
      </c>
      <c r="E412" s="941">
        <v>0.0</v>
      </c>
      <c r="F412" s="941">
        <v>1.0</v>
      </c>
      <c r="G412" s="941">
        <v>66.0</v>
      </c>
      <c r="H412" s="941">
        <v>91.0</v>
      </c>
      <c r="I412" s="941">
        <v>-25.0</v>
      </c>
      <c r="J412" s="941">
        <v>4.0</v>
      </c>
      <c r="K412" s="941">
        <v>4.0</v>
      </c>
      <c r="L412" s="941">
        <v>1.0</v>
      </c>
      <c r="M412" s="941">
        <v>955.0</v>
      </c>
      <c r="N412" s="941">
        <v>1311.0</v>
      </c>
      <c r="O412" s="941">
        <v>10.0</v>
      </c>
      <c r="P412" s="941">
        <v>47.0</v>
      </c>
      <c r="Q412" s="941">
        <v>0.0</v>
      </c>
      <c r="R412" s="941">
        <v>0.0</v>
      </c>
      <c r="S412" s="941">
        <v>0.0</v>
      </c>
      <c r="T412" s="941">
        <v>0.0</v>
      </c>
      <c r="U412" s="941">
        <v>0.0</v>
      </c>
      <c r="V412" s="941">
        <v>0.0</v>
      </c>
      <c r="W412" s="941">
        <v>0.0</v>
      </c>
      <c r="X412" s="941">
        <v>7.0</v>
      </c>
      <c r="Y412" s="941">
        <v>0.0</v>
      </c>
      <c r="Z412" s="941">
        <v>0.0</v>
      </c>
      <c r="AA412" s="941">
        <v>0.0</v>
      </c>
      <c r="AB412" s="941">
        <v>0.0</v>
      </c>
      <c r="AC412" s="941">
        <v>0.0</v>
      </c>
      <c r="AD412" s="941">
        <v>0.0</v>
      </c>
      <c r="AE412" s="941">
        <v>0.0</v>
      </c>
      <c r="AF412" s="941">
        <v>0.0</v>
      </c>
      <c r="AG412" s="941">
        <v>0.0</v>
      </c>
      <c r="AH412" s="941">
        <v>1.0</v>
      </c>
      <c r="AI412" s="941">
        <v>0.0</v>
      </c>
      <c r="AJ412" s="941">
        <v>6.0</v>
      </c>
      <c r="AK412" s="941">
        <v>8.0</v>
      </c>
      <c r="AL412" s="941">
        <v>0.0</v>
      </c>
      <c r="AM412" s="942">
        <v>1.0</v>
      </c>
    </row>
    <row r="413">
      <c r="A413" s="935" t="s">
        <v>139</v>
      </c>
      <c r="B413" s="941">
        <v>1.0</v>
      </c>
      <c r="C413" s="941">
        <v>1.0</v>
      </c>
      <c r="D413" s="941">
        <v>0.0</v>
      </c>
      <c r="E413" s="941">
        <v>0.0</v>
      </c>
      <c r="F413" s="941">
        <v>0.0</v>
      </c>
      <c r="G413" s="941">
        <v>74.0</v>
      </c>
      <c r="H413" s="941">
        <v>86.0</v>
      </c>
      <c r="I413" s="941">
        <v>-12.0</v>
      </c>
      <c r="J413" s="941">
        <v>4.0</v>
      </c>
      <c r="K413" s="941">
        <v>4.0</v>
      </c>
      <c r="L413" s="941">
        <v>2.0</v>
      </c>
      <c r="M413" s="941">
        <v>978.0</v>
      </c>
      <c r="N413" s="941">
        <v>1311.0</v>
      </c>
      <c r="O413" s="941">
        <v>11.0</v>
      </c>
      <c r="P413" s="941">
        <v>14.0</v>
      </c>
      <c r="Q413" s="941">
        <v>0.0</v>
      </c>
      <c r="R413" s="941">
        <v>0.0</v>
      </c>
      <c r="S413" s="941">
        <v>0.0</v>
      </c>
      <c r="T413" s="941">
        <v>0.0</v>
      </c>
      <c r="U413" s="941">
        <v>0.0</v>
      </c>
      <c r="V413" s="941">
        <v>0.0</v>
      </c>
      <c r="W413" s="941">
        <v>0.0</v>
      </c>
      <c r="X413" s="941">
        <v>8.0</v>
      </c>
      <c r="Y413" s="941">
        <v>1.0</v>
      </c>
      <c r="Z413" s="941">
        <v>0.0</v>
      </c>
      <c r="AA413" s="941">
        <v>0.0</v>
      </c>
      <c r="AB413" s="941">
        <v>0.0</v>
      </c>
      <c r="AC413" s="941">
        <v>0.0</v>
      </c>
      <c r="AD413" s="941">
        <v>0.0</v>
      </c>
      <c r="AE413" s="941">
        <v>0.0</v>
      </c>
      <c r="AF413" s="941">
        <v>0.0</v>
      </c>
      <c r="AG413" s="941">
        <v>0.0</v>
      </c>
      <c r="AH413" s="941">
        <v>1.0</v>
      </c>
      <c r="AI413" s="941">
        <v>0.0</v>
      </c>
      <c r="AJ413" s="941">
        <v>10.0</v>
      </c>
      <c r="AK413" s="941">
        <v>10.0</v>
      </c>
      <c r="AL413" s="941">
        <v>2.0</v>
      </c>
      <c r="AM413" s="942">
        <v>1.0</v>
      </c>
    </row>
    <row r="414">
      <c r="A414" s="935" t="s">
        <v>420</v>
      </c>
      <c r="B414" s="941">
        <v>1.0</v>
      </c>
      <c r="C414" s="941">
        <v>0.0</v>
      </c>
      <c r="D414" s="941">
        <v>1.0</v>
      </c>
      <c r="E414" s="941">
        <v>1.0</v>
      </c>
      <c r="F414" s="941">
        <v>14.0</v>
      </c>
      <c r="G414" s="941">
        <v>61.0</v>
      </c>
      <c r="H414" s="941">
        <v>46.0</v>
      </c>
      <c r="I414" s="941">
        <v>15.0</v>
      </c>
      <c r="J414" s="941">
        <v>6.0</v>
      </c>
      <c r="K414" s="941">
        <v>6.0</v>
      </c>
      <c r="L414" s="941">
        <v>0.0</v>
      </c>
      <c r="M414" s="941">
        <v>1100.0</v>
      </c>
      <c r="N414" s="941">
        <v>1311.0</v>
      </c>
      <c r="O414" s="941">
        <v>23.0</v>
      </c>
      <c r="P414" s="941">
        <v>514.0</v>
      </c>
      <c r="Q414" s="941">
        <v>0.0</v>
      </c>
      <c r="R414" s="941">
        <v>1.0</v>
      </c>
      <c r="S414" s="941">
        <v>0.0</v>
      </c>
      <c r="T414" s="941">
        <v>0.0</v>
      </c>
      <c r="U414" s="941">
        <v>0.0</v>
      </c>
      <c r="V414" s="941">
        <v>0.0</v>
      </c>
      <c r="W414" s="941">
        <v>0.0</v>
      </c>
      <c r="X414" s="941">
        <v>10.0</v>
      </c>
      <c r="Y414" s="941">
        <v>1.0</v>
      </c>
      <c r="Z414" s="941">
        <v>0.0</v>
      </c>
      <c r="AA414" s="941">
        <v>0.0</v>
      </c>
      <c r="AB414" s="941">
        <v>0.0</v>
      </c>
      <c r="AC414" s="941">
        <v>0.0</v>
      </c>
      <c r="AD414" s="941">
        <v>0.0</v>
      </c>
      <c r="AE414" s="941">
        <v>0.0</v>
      </c>
      <c r="AF414" s="941">
        <v>0.0</v>
      </c>
      <c r="AG414" s="941">
        <v>0.0</v>
      </c>
      <c r="AH414" s="941">
        <v>1.0</v>
      </c>
      <c r="AI414" s="941">
        <v>0.0</v>
      </c>
      <c r="AJ414" s="941">
        <v>10.0</v>
      </c>
      <c r="AK414" s="941">
        <v>7.0</v>
      </c>
      <c r="AL414" s="941">
        <v>1.0</v>
      </c>
      <c r="AM414" s="942">
        <v>0.0</v>
      </c>
    </row>
    <row r="415">
      <c r="A415" s="935" t="s">
        <v>418</v>
      </c>
      <c r="B415" s="941">
        <v>1.0</v>
      </c>
      <c r="C415" s="941">
        <v>0.0</v>
      </c>
      <c r="D415" s="941">
        <v>1.0</v>
      </c>
      <c r="E415" s="941">
        <v>0.0</v>
      </c>
      <c r="F415" s="941">
        <v>1.0</v>
      </c>
      <c r="G415" s="941">
        <v>97.0</v>
      </c>
      <c r="H415" s="941">
        <v>75.0</v>
      </c>
      <c r="I415" s="941">
        <v>22.0</v>
      </c>
      <c r="J415" s="941">
        <v>8.0</v>
      </c>
      <c r="K415" s="941">
        <v>7.0</v>
      </c>
      <c r="L415" s="941">
        <v>0.0</v>
      </c>
      <c r="M415" s="941">
        <v>1003.0</v>
      </c>
      <c r="N415" s="941">
        <v>1311.0</v>
      </c>
      <c r="O415" s="941">
        <v>13.0</v>
      </c>
      <c r="P415" s="941">
        <v>21.0</v>
      </c>
      <c r="Q415" s="941">
        <v>0.0</v>
      </c>
      <c r="R415" s="941">
        <v>2.0</v>
      </c>
      <c r="S415" s="941">
        <v>0.0</v>
      </c>
      <c r="T415" s="941">
        <v>0.0</v>
      </c>
      <c r="U415" s="941">
        <v>0.0</v>
      </c>
      <c r="V415" s="941">
        <v>2.0</v>
      </c>
      <c r="W415" s="941">
        <v>0.0</v>
      </c>
      <c r="X415" s="941">
        <v>18.0</v>
      </c>
      <c r="Y415" s="941">
        <v>4.0</v>
      </c>
      <c r="Z415" s="941">
        <v>0.0</v>
      </c>
      <c r="AA415" s="941">
        <v>0.0</v>
      </c>
      <c r="AB415" s="941">
        <v>0.0</v>
      </c>
      <c r="AC415" s="941">
        <v>0.0</v>
      </c>
      <c r="AD415" s="941">
        <v>0.0</v>
      </c>
      <c r="AE415" s="941">
        <v>0.0</v>
      </c>
      <c r="AF415" s="941">
        <v>0.0</v>
      </c>
      <c r="AG415" s="941">
        <v>0.0</v>
      </c>
      <c r="AH415" s="941">
        <v>4.0</v>
      </c>
      <c r="AI415" s="941">
        <v>0.0</v>
      </c>
      <c r="AJ415" s="941">
        <v>11.0</v>
      </c>
      <c r="AK415" s="941">
        <v>8.0</v>
      </c>
      <c r="AL415" s="941">
        <v>0.0</v>
      </c>
      <c r="AM415" s="942">
        <v>0.0</v>
      </c>
    </row>
    <row r="416">
      <c r="A416" s="935" t="s">
        <v>115</v>
      </c>
      <c r="B416" s="941">
        <v>1.0</v>
      </c>
      <c r="C416" s="941">
        <v>0.0</v>
      </c>
      <c r="D416" s="941">
        <v>1.0</v>
      </c>
      <c r="E416" s="941">
        <v>0.0</v>
      </c>
      <c r="F416" s="941">
        <v>0.0</v>
      </c>
      <c r="G416" s="941">
        <v>76.0</v>
      </c>
      <c r="H416" s="941">
        <v>96.0</v>
      </c>
      <c r="I416" s="941">
        <v>-20.0</v>
      </c>
      <c r="J416" s="941">
        <v>4.0</v>
      </c>
      <c r="K416" s="941">
        <v>3.0</v>
      </c>
      <c r="L416" s="941">
        <v>2.0</v>
      </c>
      <c r="M416" s="941">
        <v>945.0</v>
      </c>
      <c r="N416" s="941">
        <v>1311.0</v>
      </c>
      <c r="O416" s="941">
        <v>9.0</v>
      </c>
      <c r="P416" s="941">
        <v>6.0</v>
      </c>
      <c r="Q416" s="941">
        <v>0.0</v>
      </c>
      <c r="R416" s="941">
        <v>0.0</v>
      </c>
      <c r="S416" s="941">
        <v>0.0</v>
      </c>
      <c r="T416" s="941">
        <v>0.0</v>
      </c>
      <c r="U416" s="941">
        <v>0.0</v>
      </c>
      <c r="V416" s="941">
        <v>0.0</v>
      </c>
      <c r="W416" s="941">
        <v>0.0</v>
      </c>
      <c r="X416" s="941">
        <v>11.0</v>
      </c>
      <c r="Y416" s="941">
        <v>1.0</v>
      </c>
      <c r="Z416" s="941">
        <v>0.0</v>
      </c>
      <c r="AA416" s="941">
        <v>0.0</v>
      </c>
      <c r="AB416" s="941">
        <v>0.0</v>
      </c>
      <c r="AC416" s="941">
        <v>0.0</v>
      </c>
      <c r="AD416" s="941">
        <v>0.0</v>
      </c>
      <c r="AE416" s="941">
        <v>0.0</v>
      </c>
      <c r="AF416" s="941">
        <v>0.0</v>
      </c>
      <c r="AG416" s="941">
        <v>0.0</v>
      </c>
      <c r="AH416" s="941">
        <v>2.0</v>
      </c>
      <c r="AI416" s="941">
        <v>0.0</v>
      </c>
      <c r="AJ416" s="941">
        <v>6.0</v>
      </c>
      <c r="AK416" s="941">
        <v>6.0</v>
      </c>
      <c r="AL416" s="941">
        <v>2.0</v>
      </c>
      <c r="AM416" s="942">
        <v>0.0</v>
      </c>
    </row>
    <row r="417">
      <c r="A417" s="943" t="s">
        <v>137</v>
      </c>
      <c r="B417" s="944">
        <v>1.0</v>
      </c>
      <c r="C417" s="944">
        <v>0.0</v>
      </c>
      <c r="D417" s="944">
        <v>1.0</v>
      </c>
      <c r="E417" s="944">
        <v>0.0</v>
      </c>
      <c r="F417" s="944">
        <v>8.0</v>
      </c>
      <c r="G417" s="944">
        <v>63.0</v>
      </c>
      <c r="H417" s="944">
        <v>63.0</v>
      </c>
      <c r="I417" s="944">
        <v>0.0</v>
      </c>
      <c r="J417" s="944">
        <v>9.0</v>
      </c>
      <c r="K417" s="944">
        <v>9.0</v>
      </c>
      <c r="L417" s="944">
        <v>3.0</v>
      </c>
      <c r="M417" s="944">
        <v>1047.0</v>
      </c>
      <c r="N417" s="944">
        <v>1311.0</v>
      </c>
      <c r="O417" s="944">
        <v>16.0</v>
      </c>
      <c r="P417" s="944">
        <v>243.0</v>
      </c>
      <c r="Q417" s="944">
        <v>0.0</v>
      </c>
      <c r="R417" s="944">
        <v>2.0</v>
      </c>
      <c r="S417" s="944">
        <v>0.0</v>
      </c>
      <c r="T417" s="944">
        <v>0.0</v>
      </c>
      <c r="U417" s="944">
        <v>0.0</v>
      </c>
      <c r="V417" s="944">
        <v>1.0</v>
      </c>
      <c r="W417" s="944">
        <v>0.0</v>
      </c>
      <c r="X417" s="944">
        <v>9.0</v>
      </c>
      <c r="Y417" s="944">
        <v>1.0</v>
      </c>
      <c r="Z417" s="944">
        <v>0.0</v>
      </c>
      <c r="AA417" s="944">
        <v>0.0</v>
      </c>
      <c r="AB417" s="944">
        <v>0.0</v>
      </c>
      <c r="AC417" s="944">
        <v>0.0</v>
      </c>
      <c r="AD417" s="944">
        <v>0.0</v>
      </c>
      <c r="AE417" s="944">
        <v>0.0</v>
      </c>
      <c r="AF417" s="944">
        <v>0.0</v>
      </c>
      <c r="AG417" s="944">
        <v>0.0</v>
      </c>
      <c r="AH417" s="944">
        <v>6.0</v>
      </c>
      <c r="AI417" s="944">
        <v>0.0</v>
      </c>
      <c r="AJ417" s="944">
        <v>7.0</v>
      </c>
      <c r="AK417" s="944">
        <v>6.0</v>
      </c>
      <c r="AL417" s="944">
        <v>0.0</v>
      </c>
      <c r="AM417" s="945">
        <v>0.0</v>
      </c>
    </row>
    <row r="418">
      <c r="A418" s="946" t="s">
        <v>153</v>
      </c>
      <c r="B418" s="939">
        <v>1.0</v>
      </c>
      <c r="C418" s="939">
        <v>1.0</v>
      </c>
      <c r="D418" s="939">
        <v>0.0</v>
      </c>
      <c r="E418" s="939">
        <v>4.0</v>
      </c>
      <c r="F418" s="939">
        <v>5.0</v>
      </c>
      <c r="G418" s="939">
        <v>60.0</v>
      </c>
      <c r="H418" s="939">
        <v>102.0</v>
      </c>
      <c r="I418" s="939">
        <v>-42.0</v>
      </c>
      <c r="J418" s="939">
        <v>1.0</v>
      </c>
      <c r="K418" s="939">
        <v>3.0</v>
      </c>
      <c r="L418" s="939">
        <v>0.0</v>
      </c>
      <c r="M418" s="939">
        <v>1419.0</v>
      </c>
      <c r="N418" s="939">
        <v>1800.0</v>
      </c>
      <c r="O418" s="939">
        <v>13.0</v>
      </c>
      <c r="P418" s="939">
        <v>436.0</v>
      </c>
      <c r="Q418" s="939">
        <v>0.0</v>
      </c>
      <c r="R418" s="939">
        <v>0.0</v>
      </c>
      <c r="S418" s="939">
        <v>0.0</v>
      </c>
      <c r="T418" s="939">
        <v>0.0</v>
      </c>
      <c r="U418" s="939">
        <v>0.0</v>
      </c>
      <c r="V418" s="939">
        <v>0.0</v>
      </c>
      <c r="W418" s="939">
        <v>0.0</v>
      </c>
      <c r="X418" s="939">
        <v>3.0</v>
      </c>
      <c r="Y418" s="939">
        <v>0.0</v>
      </c>
      <c r="Z418" s="939">
        <v>0.0</v>
      </c>
      <c r="AA418" s="939">
        <v>0.0</v>
      </c>
      <c r="AB418" s="939">
        <v>0.0</v>
      </c>
      <c r="AC418" s="939">
        <v>0.0</v>
      </c>
      <c r="AD418" s="939">
        <v>0.0</v>
      </c>
      <c r="AE418" s="939">
        <v>0.0</v>
      </c>
      <c r="AF418" s="939">
        <v>0.0</v>
      </c>
      <c r="AG418" s="939">
        <v>0.0</v>
      </c>
      <c r="AH418" s="939">
        <v>1.0</v>
      </c>
      <c r="AI418" s="939">
        <v>0.0</v>
      </c>
      <c r="AJ418" s="939">
        <v>7.0</v>
      </c>
      <c r="AK418" s="939">
        <v>9.0</v>
      </c>
      <c r="AL418" s="939">
        <v>2.0</v>
      </c>
      <c r="AM418" s="940">
        <v>0.0</v>
      </c>
    </row>
    <row r="419">
      <c r="A419" s="935" t="s">
        <v>418</v>
      </c>
      <c r="B419" s="941">
        <v>1.0</v>
      </c>
      <c r="C419" s="941">
        <v>1.0</v>
      </c>
      <c r="D419" s="941">
        <v>0.0</v>
      </c>
      <c r="E419" s="941">
        <v>1.0</v>
      </c>
      <c r="F419" s="941">
        <v>0.0</v>
      </c>
      <c r="G419" s="941">
        <v>110.0</v>
      </c>
      <c r="H419" s="941">
        <v>95.0</v>
      </c>
      <c r="I419" s="941">
        <v>15.0</v>
      </c>
      <c r="J419" s="941">
        <v>9.0</v>
      </c>
      <c r="K419" s="941">
        <v>5.0</v>
      </c>
      <c r="L419" s="941">
        <v>2.0</v>
      </c>
      <c r="M419" s="941">
        <v>1430.0</v>
      </c>
      <c r="N419" s="941">
        <v>1800.0</v>
      </c>
      <c r="O419" s="941">
        <v>15.0</v>
      </c>
      <c r="P419" s="941">
        <v>19.0</v>
      </c>
      <c r="Q419" s="941">
        <v>0.0</v>
      </c>
      <c r="R419" s="941">
        <v>3.0</v>
      </c>
      <c r="S419" s="941">
        <v>0.0</v>
      </c>
      <c r="T419" s="941">
        <v>0.0</v>
      </c>
      <c r="U419" s="941">
        <v>0.0</v>
      </c>
      <c r="V419" s="941">
        <v>3.0</v>
      </c>
      <c r="W419" s="941">
        <v>0.0</v>
      </c>
      <c r="X419" s="941">
        <v>21.0</v>
      </c>
      <c r="Y419" s="941">
        <v>3.0</v>
      </c>
      <c r="Z419" s="941">
        <v>1.0</v>
      </c>
      <c r="AA419" s="941">
        <v>1.0</v>
      </c>
      <c r="AB419" s="941">
        <v>0.0</v>
      </c>
      <c r="AC419" s="941">
        <v>0.0</v>
      </c>
      <c r="AD419" s="941">
        <v>0.0</v>
      </c>
      <c r="AE419" s="941">
        <v>0.0</v>
      </c>
      <c r="AF419" s="941">
        <v>0.0</v>
      </c>
      <c r="AG419" s="941">
        <v>0.0</v>
      </c>
      <c r="AH419" s="941">
        <v>1.0</v>
      </c>
      <c r="AI419" s="941">
        <v>0.0</v>
      </c>
      <c r="AJ419" s="941">
        <v>17.0</v>
      </c>
      <c r="AK419" s="941">
        <v>13.0</v>
      </c>
      <c r="AL419" s="941">
        <v>0.0</v>
      </c>
      <c r="AM419" s="942">
        <v>0.0</v>
      </c>
    </row>
    <row r="420">
      <c r="A420" s="935" t="s">
        <v>138</v>
      </c>
      <c r="B420" s="941">
        <v>1.0</v>
      </c>
      <c r="C420" s="941">
        <v>1.0</v>
      </c>
      <c r="D420" s="941">
        <v>0.0</v>
      </c>
      <c r="E420" s="941">
        <v>0.0</v>
      </c>
      <c r="F420" s="941">
        <v>0.0</v>
      </c>
      <c r="G420" s="941">
        <v>102.0</v>
      </c>
      <c r="H420" s="941">
        <v>100.0</v>
      </c>
      <c r="I420" s="941">
        <v>2.0</v>
      </c>
      <c r="J420" s="941">
        <v>6.0</v>
      </c>
      <c r="K420" s="941">
        <v>6.0</v>
      </c>
      <c r="L420" s="941">
        <v>1.0</v>
      </c>
      <c r="M420" s="941">
        <v>1422.0</v>
      </c>
      <c r="N420" s="941">
        <v>1800.0</v>
      </c>
      <c r="O420" s="941">
        <v>14.0</v>
      </c>
      <c r="P420" s="941">
        <v>11.0</v>
      </c>
      <c r="Q420" s="941">
        <v>0.0</v>
      </c>
      <c r="R420" s="941">
        <v>2.0</v>
      </c>
      <c r="S420" s="941">
        <v>0.0</v>
      </c>
      <c r="T420" s="941">
        <v>0.0</v>
      </c>
      <c r="U420" s="941">
        <v>0.0</v>
      </c>
      <c r="V420" s="941">
        <v>1.0</v>
      </c>
      <c r="W420" s="941">
        <v>0.0</v>
      </c>
      <c r="X420" s="941">
        <v>15.0</v>
      </c>
      <c r="Y420" s="941">
        <v>3.0</v>
      </c>
      <c r="Z420" s="941">
        <v>0.0</v>
      </c>
      <c r="AA420" s="941">
        <v>0.0</v>
      </c>
      <c r="AB420" s="941">
        <v>0.0</v>
      </c>
      <c r="AC420" s="941">
        <v>0.0</v>
      </c>
      <c r="AD420" s="941">
        <v>0.0</v>
      </c>
      <c r="AE420" s="941">
        <v>0.0</v>
      </c>
      <c r="AF420" s="941">
        <v>0.0</v>
      </c>
      <c r="AG420" s="941">
        <v>0.0</v>
      </c>
      <c r="AH420" s="941">
        <v>0.0</v>
      </c>
      <c r="AI420" s="941">
        <v>0.0</v>
      </c>
      <c r="AJ420" s="941">
        <v>13.0</v>
      </c>
      <c r="AK420" s="941">
        <v>5.0</v>
      </c>
      <c r="AL420" s="941">
        <v>1.0</v>
      </c>
      <c r="AM420" s="942">
        <v>0.0</v>
      </c>
    </row>
    <row r="421">
      <c r="A421" s="935" t="s">
        <v>392</v>
      </c>
      <c r="B421" s="941">
        <v>1.0</v>
      </c>
      <c r="C421" s="941">
        <v>1.0</v>
      </c>
      <c r="D421" s="941">
        <v>0.0</v>
      </c>
      <c r="E421" s="941">
        <v>0.0</v>
      </c>
      <c r="F421" s="941">
        <v>0.0</v>
      </c>
      <c r="G421" s="941">
        <v>93.0</v>
      </c>
      <c r="H421" s="941">
        <v>121.0</v>
      </c>
      <c r="I421" s="941">
        <v>-28.0</v>
      </c>
      <c r="J421" s="941">
        <v>6.0</v>
      </c>
      <c r="K421" s="941">
        <v>5.0</v>
      </c>
      <c r="L421" s="941">
        <v>4.0</v>
      </c>
      <c r="M421" s="941">
        <v>1356.0</v>
      </c>
      <c r="N421" s="941">
        <v>1800.0</v>
      </c>
      <c r="O421" s="941">
        <v>11.0</v>
      </c>
      <c r="P421" s="941">
        <v>0.0</v>
      </c>
      <c r="Q421" s="941">
        <v>0.0</v>
      </c>
      <c r="R421" s="941">
        <v>1.0</v>
      </c>
      <c r="S421" s="941">
        <v>0.0</v>
      </c>
      <c r="T421" s="941">
        <v>0.0</v>
      </c>
      <c r="U421" s="941">
        <v>0.0</v>
      </c>
      <c r="V421" s="941">
        <v>1.0</v>
      </c>
      <c r="W421" s="941">
        <v>0.0</v>
      </c>
      <c r="X421" s="941">
        <v>16.0</v>
      </c>
      <c r="Y421" s="941">
        <v>4.0</v>
      </c>
      <c r="Z421" s="941">
        <v>1.0</v>
      </c>
      <c r="AA421" s="941">
        <v>0.0</v>
      </c>
      <c r="AB421" s="941">
        <v>0.0</v>
      </c>
      <c r="AC421" s="941">
        <v>0.0</v>
      </c>
      <c r="AD421" s="941">
        <v>0.0</v>
      </c>
      <c r="AE421" s="941">
        <v>0.0</v>
      </c>
      <c r="AF421" s="941">
        <v>0.0</v>
      </c>
      <c r="AG421" s="941">
        <v>0.0</v>
      </c>
      <c r="AH421" s="941">
        <v>0.0</v>
      </c>
      <c r="AI421" s="941">
        <v>0.0</v>
      </c>
      <c r="AJ421" s="941">
        <v>7.0</v>
      </c>
      <c r="AK421" s="941">
        <v>18.0</v>
      </c>
      <c r="AL421" s="941">
        <v>0.0</v>
      </c>
      <c r="AM421" s="942">
        <v>0.0</v>
      </c>
    </row>
    <row r="422">
      <c r="A422" s="935" t="s">
        <v>420</v>
      </c>
      <c r="B422" s="941">
        <v>1.0</v>
      </c>
      <c r="C422" s="941">
        <v>0.0</v>
      </c>
      <c r="D422" s="941">
        <v>1.0</v>
      </c>
      <c r="E422" s="941">
        <v>1.0</v>
      </c>
      <c r="F422" s="941">
        <v>25.0</v>
      </c>
      <c r="G422" s="941">
        <v>49.0</v>
      </c>
      <c r="H422" s="941">
        <v>38.0</v>
      </c>
      <c r="I422" s="941">
        <v>11.0</v>
      </c>
      <c r="J422" s="941">
        <v>2.0</v>
      </c>
      <c r="K422" s="941">
        <v>7.0</v>
      </c>
      <c r="L422" s="941">
        <v>2.0</v>
      </c>
      <c r="M422" s="941">
        <v>1607.0</v>
      </c>
      <c r="N422" s="941">
        <v>1800.0</v>
      </c>
      <c r="O422" s="941">
        <v>42.0</v>
      </c>
      <c r="P422" s="941">
        <v>1106.0</v>
      </c>
      <c r="Q422" s="941">
        <v>0.0</v>
      </c>
      <c r="R422" s="941">
        <v>3.0</v>
      </c>
      <c r="S422" s="941">
        <v>0.0</v>
      </c>
      <c r="T422" s="941">
        <v>0.0</v>
      </c>
      <c r="U422" s="941">
        <v>0.0</v>
      </c>
      <c r="V422" s="941">
        <v>0.0</v>
      </c>
      <c r="W422" s="941">
        <v>0.0</v>
      </c>
      <c r="X422" s="941">
        <v>6.0</v>
      </c>
      <c r="Y422" s="941">
        <v>1.0</v>
      </c>
      <c r="Z422" s="941">
        <v>0.0</v>
      </c>
      <c r="AA422" s="941">
        <v>0.0</v>
      </c>
      <c r="AB422" s="941">
        <v>0.0</v>
      </c>
      <c r="AC422" s="941">
        <v>0.0</v>
      </c>
      <c r="AD422" s="941">
        <v>0.0</v>
      </c>
      <c r="AE422" s="941">
        <v>0.0</v>
      </c>
      <c r="AF422" s="941">
        <v>0.0</v>
      </c>
      <c r="AG422" s="941">
        <v>0.0</v>
      </c>
      <c r="AH422" s="941">
        <v>2.0</v>
      </c>
      <c r="AI422" s="941">
        <v>0.0</v>
      </c>
      <c r="AJ422" s="941">
        <v>11.0</v>
      </c>
      <c r="AK422" s="941">
        <v>6.0</v>
      </c>
      <c r="AL422" s="941">
        <v>1.0</v>
      </c>
      <c r="AM422" s="942">
        <v>1.0</v>
      </c>
    </row>
    <row r="423">
      <c r="A423" s="935" t="s">
        <v>154</v>
      </c>
      <c r="B423" s="941">
        <v>1.0</v>
      </c>
      <c r="C423" s="941">
        <v>0.0</v>
      </c>
      <c r="D423" s="941">
        <v>1.0</v>
      </c>
      <c r="E423" s="941">
        <v>0.0</v>
      </c>
      <c r="F423" s="941">
        <v>1.0</v>
      </c>
      <c r="G423" s="941">
        <v>84.0</v>
      </c>
      <c r="H423" s="941">
        <v>132.0</v>
      </c>
      <c r="I423" s="941">
        <v>-48.0</v>
      </c>
      <c r="J423" s="941">
        <v>5.0</v>
      </c>
      <c r="K423" s="941">
        <v>4.0</v>
      </c>
      <c r="L423" s="941">
        <v>1.0</v>
      </c>
      <c r="M423" s="941">
        <v>1329.0</v>
      </c>
      <c r="N423" s="941">
        <v>1800.0</v>
      </c>
      <c r="O423" s="941">
        <v>10.0</v>
      </c>
      <c r="P423" s="941">
        <v>3.0</v>
      </c>
      <c r="Q423" s="941">
        <v>0.0</v>
      </c>
      <c r="R423" s="941">
        <v>0.0</v>
      </c>
      <c r="S423" s="941">
        <v>0.0</v>
      </c>
      <c r="T423" s="941">
        <v>0.0</v>
      </c>
      <c r="U423" s="941">
        <v>0.0</v>
      </c>
      <c r="V423" s="941">
        <v>0.0</v>
      </c>
      <c r="W423" s="941">
        <v>0.0</v>
      </c>
      <c r="X423" s="941">
        <v>6.0</v>
      </c>
      <c r="Y423" s="941">
        <v>1.0</v>
      </c>
      <c r="Z423" s="941">
        <v>0.0</v>
      </c>
      <c r="AA423" s="941">
        <v>0.0</v>
      </c>
      <c r="AB423" s="941">
        <v>0.0</v>
      </c>
      <c r="AC423" s="941">
        <v>0.0</v>
      </c>
      <c r="AD423" s="941">
        <v>0.0</v>
      </c>
      <c r="AE423" s="941">
        <v>0.0</v>
      </c>
      <c r="AF423" s="941">
        <v>0.0</v>
      </c>
      <c r="AG423" s="941">
        <v>0.0</v>
      </c>
      <c r="AH423" s="941">
        <v>2.0</v>
      </c>
      <c r="AI423" s="941">
        <v>0.0</v>
      </c>
      <c r="AJ423" s="941">
        <v>5.0</v>
      </c>
      <c r="AK423" s="941">
        <v>13.0</v>
      </c>
      <c r="AL423" s="941">
        <v>1.0</v>
      </c>
      <c r="AM423" s="942">
        <v>1.0</v>
      </c>
    </row>
    <row r="424">
      <c r="A424" s="935" t="s">
        <v>132</v>
      </c>
      <c r="B424" s="941">
        <v>1.0</v>
      </c>
      <c r="C424" s="941">
        <v>0.0</v>
      </c>
      <c r="D424" s="941">
        <v>1.0</v>
      </c>
      <c r="E424" s="941">
        <v>0.0</v>
      </c>
      <c r="F424" s="941">
        <v>0.0</v>
      </c>
      <c r="G424" s="941">
        <v>125.0</v>
      </c>
      <c r="H424" s="941">
        <v>120.0</v>
      </c>
      <c r="I424" s="941">
        <v>5.0</v>
      </c>
      <c r="J424" s="941">
        <v>8.0</v>
      </c>
      <c r="K424" s="941">
        <v>5.0</v>
      </c>
      <c r="L424" s="941">
        <v>0.0</v>
      </c>
      <c r="M424" s="941">
        <v>1365.0</v>
      </c>
      <c r="N424" s="941">
        <v>1800.0</v>
      </c>
      <c r="O424" s="941">
        <v>11.0</v>
      </c>
      <c r="P424" s="941">
        <v>20.0</v>
      </c>
      <c r="Q424" s="941">
        <v>0.0</v>
      </c>
      <c r="R424" s="941">
        <v>2.0</v>
      </c>
      <c r="S424" s="941">
        <v>0.0</v>
      </c>
      <c r="T424" s="941">
        <v>0.0</v>
      </c>
      <c r="U424" s="941">
        <v>0.0</v>
      </c>
      <c r="V424" s="941">
        <v>2.0</v>
      </c>
      <c r="W424" s="941">
        <v>0.0</v>
      </c>
      <c r="X424" s="941">
        <v>22.0</v>
      </c>
      <c r="Y424" s="941">
        <v>4.0</v>
      </c>
      <c r="Z424" s="941">
        <v>0.0</v>
      </c>
      <c r="AA424" s="941">
        <v>0.0</v>
      </c>
      <c r="AB424" s="941">
        <v>0.0</v>
      </c>
      <c r="AC424" s="941">
        <v>0.0</v>
      </c>
      <c r="AD424" s="941">
        <v>0.0</v>
      </c>
      <c r="AE424" s="941">
        <v>0.0</v>
      </c>
      <c r="AF424" s="941">
        <v>0.0</v>
      </c>
      <c r="AG424" s="941">
        <v>0.0</v>
      </c>
      <c r="AH424" s="941">
        <v>4.0</v>
      </c>
      <c r="AI424" s="941">
        <v>0.0</v>
      </c>
      <c r="AJ424" s="941">
        <v>12.0</v>
      </c>
      <c r="AK424" s="941">
        <v>14.0</v>
      </c>
      <c r="AL424" s="941">
        <v>0.0</v>
      </c>
      <c r="AM424" s="942">
        <v>1.0</v>
      </c>
    </row>
    <row r="425">
      <c r="A425" s="943" t="s">
        <v>121</v>
      </c>
      <c r="B425" s="944">
        <v>1.0</v>
      </c>
      <c r="C425" s="944">
        <v>0.0</v>
      </c>
      <c r="D425" s="944">
        <v>1.0</v>
      </c>
      <c r="E425" s="944">
        <v>0.0</v>
      </c>
      <c r="F425" s="944">
        <v>0.0</v>
      </c>
      <c r="G425" s="944">
        <v>147.0</v>
      </c>
      <c r="H425" s="944">
        <v>90.0</v>
      </c>
      <c r="I425" s="944">
        <v>57.0</v>
      </c>
      <c r="J425" s="944">
        <v>4.0</v>
      </c>
      <c r="K425" s="944">
        <v>6.0</v>
      </c>
      <c r="L425" s="944">
        <v>1.0</v>
      </c>
      <c r="M425" s="944">
        <v>1454.0</v>
      </c>
      <c r="N425" s="944">
        <v>1800.0</v>
      </c>
      <c r="O425" s="944">
        <v>16.0</v>
      </c>
      <c r="P425" s="944">
        <v>17.0</v>
      </c>
      <c r="Q425" s="944">
        <v>0.0</v>
      </c>
      <c r="R425" s="944">
        <v>7.0</v>
      </c>
      <c r="S425" s="944">
        <v>0.0</v>
      </c>
      <c r="T425" s="944">
        <v>0.0</v>
      </c>
      <c r="U425" s="944">
        <v>0.0</v>
      </c>
      <c r="V425" s="944">
        <v>6.0</v>
      </c>
      <c r="W425" s="944">
        <v>0.0</v>
      </c>
      <c r="X425" s="944">
        <v>30.0</v>
      </c>
      <c r="Y425" s="944">
        <v>4.0</v>
      </c>
      <c r="Z425" s="944">
        <v>0.0</v>
      </c>
      <c r="AA425" s="944">
        <v>0.0</v>
      </c>
      <c r="AB425" s="944">
        <v>0.0</v>
      </c>
      <c r="AC425" s="944">
        <v>0.0</v>
      </c>
      <c r="AD425" s="944">
        <v>0.0</v>
      </c>
      <c r="AE425" s="944">
        <v>0.0</v>
      </c>
      <c r="AF425" s="944">
        <v>0.0</v>
      </c>
      <c r="AG425" s="944">
        <v>0.0</v>
      </c>
      <c r="AH425" s="944">
        <v>15.0</v>
      </c>
      <c r="AI425" s="944">
        <v>0.0</v>
      </c>
      <c r="AJ425" s="944">
        <v>22.0</v>
      </c>
      <c r="AK425" s="944">
        <v>14.0</v>
      </c>
      <c r="AL425" s="944">
        <v>1.0</v>
      </c>
      <c r="AM425" s="945">
        <v>1.0</v>
      </c>
    </row>
    <row r="426">
      <c r="A426" s="946" t="s">
        <v>153</v>
      </c>
      <c r="B426" s="939">
        <v>1.0</v>
      </c>
      <c r="C426" s="939">
        <v>1.0</v>
      </c>
      <c r="D426" s="939">
        <v>0.0</v>
      </c>
      <c r="E426" s="939">
        <v>3.0</v>
      </c>
      <c r="F426" s="939">
        <v>8.0</v>
      </c>
      <c r="G426" s="939">
        <v>115.0</v>
      </c>
      <c r="H426" s="939">
        <v>182.0</v>
      </c>
      <c r="I426" s="939">
        <v>-67.0</v>
      </c>
      <c r="J426" s="939">
        <v>3.0</v>
      </c>
      <c r="K426" s="939">
        <v>3.0</v>
      </c>
      <c r="L426" s="939">
        <v>1.0</v>
      </c>
      <c r="M426" s="939">
        <v>2246.0</v>
      </c>
      <c r="N426" s="939">
        <v>2886.0</v>
      </c>
      <c r="O426" s="939">
        <v>12.0</v>
      </c>
      <c r="P426" s="939">
        <v>659.0</v>
      </c>
      <c r="Q426" s="939">
        <v>0.0</v>
      </c>
      <c r="R426" s="939">
        <v>0.0</v>
      </c>
      <c r="S426" s="939">
        <v>0.0</v>
      </c>
      <c r="T426" s="939">
        <v>0.0</v>
      </c>
      <c r="U426" s="939">
        <v>0.0</v>
      </c>
      <c r="V426" s="939">
        <v>0.0</v>
      </c>
      <c r="W426" s="939">
        <v>0.0</v>
      </c>
      <c r="X426" s="939">
        <v>9.0</v>
      </c>
      <c r="Y426" s="939">
        <v>0.0</v>
      </c>
      <c r="Z426" s="939">
        <v>0.0</v>
      </c>
      <c r="AA426" s="939">
        <v>0.0</v>
      </c>
      <c r="AB426" s="939">
        <v>0.0</v>
      </c>
      <c r="AC426" s="939">
        <v>0.0</v>
      </c>
      <c r="AD426" s="939">
        <v>0.0</v>
      </c>
      <c r="AE426" s="939">
        <v>0.0</v>
      </c>
      <c r="AF426" s="939">
        <v>0.0</v>
      </c>
      <c r="AG426" s="939">
        <v>0.0</v>
      </c>
      <c r="AH426" s="939">
        <v>0.0</v>
      </c>
      <c r="AI426" s="939">
        <v>0.0</v>
      </c>
      <c r="AJ426" s="939">
        <v>19.0</v>
      </c>
      <c r="AK426" s="939">
        <v>18.0</v>
      </c>
      <c r="AL426" s="939">
        <v>0.0</v>
      </c>
      <c r="AM426" s="940">
        <v>1.0</v>
      </c>
    </row>
    <row r="427">
      <c r="A427" s="935" t="s">
        <v>138</v>
      </c>
      <c r="B427" s="941">
        <v>1.0</v>
      </c>
      <c r="C427" s="941">
        <v>1.0</v>
      </c>
      <c r="D427" s="941">
        <v>0.0</v>
      </c>
      <c r="E427" s="941">
        <v>2.0</v>
      </c>
      <c r="F427" s="941">
        <v>2.0</v>
      </c>
      <c r="G427" s="941">
        <v>156.0</v>
      </c>
      <c r="H427" s="941">
        <v>163.0</v>
      </c>
      <c r="I427" s="941">
        <v>-7.0</v>
      </c>
      <c r="J427" s="941">
        <v>13.0</v>
      </c>
      <c r="K427" s="941">
        <v>5.0</v>
      </c>
      <c r="L427" s="941">
        <v>2.0</v>
      </c>
      <c r="M427" s="941">
        <v>2314.0</v>
      </c>
      <c r="N427" s="941">
        <v>2886.0</v>
      </c>
      <c r="O427" s="941">
        <v>14.0</v>
      </c>
      <c r="P427" s="941">
        <v>14.0</v>
      </c>
      <c r="Q427" s="941">
        <v>0.0</v>
      </c>
      <c r="R427" s="941">
        <v>1.0</v>
      </c>
      <c r="S427" s="941">
        <v>0.0</v>
      </c>
      <c r="T427" s="941">
        <v>0.0</v>
      </c>
      <c r="U427" s="941">
        <v>0.0</v>
      </c>
      <c r="V427" s="941">
        <v>1.0</v>
      </c>
      <c r="W427" s="941">
        <v>0.0</v>
      </c>
      <c r="X427" s="941">
        <v>22.0</v>
      </c>
      <c r="Y427" s="941">
        <v>2.0</v>
      </c>
      <c r="Z427" s="941">
        <v>1.0</v>
      </c>
      <c r="AA427" s="941">
        <v>0.0</v>
      </c>
      <c r="AB427" s="941">
        <v>0.0</v>
      </c>
      <c r="AC427" s="941">
        <v>0.0</v>
      </c>
      <c r="AD427" s="941">
        <v>0.0</v>
      </c>
      <c r="AE427" s="941">
        <v>0.0</v>
      </c>
      <c r="AF427" s="941">
        <v>0.0</v>
      </c>
      <c r="AG427" s="941">
        <v>0.0</v>
      </c>
      <c r="AH427" s="941">
        <v>3.0</v>
      </c>
      <c r="AI427" s="941">
        <v>0.0</v>
      </c>
      <c r="AJ427" s="941">
        <v>19.0</v>
      </c>
      <c r="AK427" s="941">
        <v>14.0</v>
      </c>
      <c r="AL427" s="941">
        <v>0.0</v>
      </c>
      <c r="AM427" s="942">
        <v>1.0</v>
      </c>
    </row>
    <row r="428">
      <c r="A428" s="935" t="s">
        <v>392</v>
      </c>
      <c r="B428" s="941">
        <v>1.0</v>
      </c>
      <c r="C428" s="941">
        <v>1.0</v>
      </c>
      <c r="D428" s="941">
        <v>0.0</v>
      </c>
      <c r="E428" s="941">
        <v>0.0</v>
      </c>
      <c r="F428" s="941">
        <v>0.0</v>
      </c>
      <c r="G428" s="941">
        <v>157.0</v>
      </c>
      <c r="H428" s="941">
        <v>197.0</v>
      </c>
      <c r="I428" s="941">
        <v>-40.0</v>
      </c>
      <c r="J428" s="941">
        <v>8.0</v>
      </c>
      <c r="K428" s="941">
        <v>6.0</v>
      </c>
      <c r="L428" s="941">
        <v>2.0</v>
      </c>
      <c r="M428" s="941">
        <v>2194.0</v>
      </c>
      <c r="N428" s="941">
        <v>2886.0</v>
      </c>
      <c r="O428" s="941">
        <v>11.0</v>
      </c>
      <c r="P428" s="941">
        <v>13.0</v>
      </c>
      <c r="Q428" s="941">
        <v>0.0</v>
      </c>
      <c r="R428" s="941">
        <v>1.0</v>
      </c>
      <c r="S428" s="941">
        <v>0.0</v>
      </c>
      <c r="T428" s="941">
        <v>0.0</v>
      </c>
      <c r="U428" s="941">
        <v>0.0</v>
      </c>
      <c r="V428" s="941">
        <v>0.0</v>
      </c>
      <c r="W428" s="941">
        <v>0.0</v>
      </c>
      <c r="X428" s="941">
        <v>20.0</v>
      </c>
      <c r="Y428" s="941">
        <v>5.0</v>
      </c>
      <c r="Z428" s="941">
        <v>0.0</v>
      </c>
      <c r="AA428" s="941">
        <v>0.0</v>
      </c>
      <c r="AB428" s="941">
        <v>0.0</v>
      </c>
      <c r="AC428" s="941">
        <v>0.0</v>
      </c>
      <c r="AD428" s="941">
        <v>0.0</v>
      </c>
      <c r="AE428" s="941">
        <v>0.0</v>
      </c>
      <c r="AF428" s="941">
        <v>0.0</v>
      </c>
      <c r="AG428" s="941">
        <v>0.0</v>
      </c>
      <c r="AH428" s="941">
        <v>1.0</v>
      </c>
      <c r="AI428" s="941">
        <v>0.0</v>
      </c>
      <c r="AJ428" s="941">
        <v>19.0</v>
      </c>
      <c r="AK428" s="941">
        <v>23.0</v>
      </c>
      <c r="AL428" s="941">
        <v>1.0</v>
      </c>
      <c r="AM428" s="942">
        <v>1.0</v>
      </c>
    </row>
    <row r="429">
      <c r="A429" s="935" t="s">
        <v>418</v>
      </c>
      <c r="B429" s="941">
        <v>1.0</v>
      </c>
      <c r="C429" s="941">
        <v>1.0</v>
      </c>
      <c r="D429" s="941">
        <v>0.0</v>
      </c>
      <c r="E429" s="941">
        <v>0.0</v>
      </c>
      <c r="F429" s="941">
        <v>0.0</v>
      </c>
      <c r="G429" s="941">
        <v>144.0</v>
      </c>
      <c r="H429" s="941">
        <v>148.0</v>
      </c>
      <c r="I429" s="941">
        <v>-4.0</v>
      </c>
      <c r="J429" s="941">
        <v>4.0</v>
      </c>
      <c r="K429" s="941">
        <v>5.0</v>
      </c>
      <c r="L429" s="941">
        <v>1.0</v>
      </c>
      <c r="M429" s="941">
        <v>2344.0</v>
      </c>
      <c r="N429" s="941">
        <v>2886.0</v>
      </c>
      <c r="O429" s="941">
        <v>15.0</v>
      </c>
      <c r="P429" s="941">
        <v>14.0</v>
      </c>
      <c r="Q429" s="941">
        <v>0.0</v>
      </c>
      <c r="R429" s="941">
        <v>1.0</v>
      </c>
      <c r="S429" s="941">
        <v>0.0</v>
      </c>
      <c r="T429" s="941">
        <v>0.0</v>
      </c>
      <c r="U429" s="941">
        <v>0.0</v>
      </c>
      <c r="V429" s="941">
        <v>1.0</v>
      </c>
      <c r="W429" s="941">
        <v>0.0</v>
      </c>
      <c r="X429" s="941">
        <v>17.0</v>
      </c>
      <c r="Y429" s="941">
        <v>2.0</v>
      </c>
      <c r="Z429" s="941">
        <v>0.0</v>
      </c>
      <c r="AA429" s="941">
        <v>0.0</v>
      </c>
      <c r="AB429" s="941">
        <v>0.0</v>
      </c>
      <c r="AC429" s="941">
        <v>0.0</v>
      </c>
      <c r="AD429" s="941">
        <v>0.0</v>
      </c>
      <c r="AE429" s="941">
        <v>0.0</v>
      </c>
      <c r="AF429" s="941">
        <v>0.0</v>
      </c>
      <c r="AG429" s="941">
        <v>0.0</v>
      </c>
      <c r="AH429" s="941">
        <v>0.0</v>
      </c>
      <c r="AI429" s="941">
        <v>0.0</v>
      </c>
      <c r="AJ429" s="941">
        <v>27.0</v>
      </c>
      <c r="AK429" s="941">
        <v>16.0</v>
      </c>
      <c r="AL429" s="941">
        <v>3.0</v>
      </c>
      <c r="AM429" s="942">
        <v>1.0</v>
      </c>
    </row>
    <row r="430">
      <c r="A430" s="935" t="s">
        <v>154</v>
      </c>
      <c r="B430" s="941">
        <v>1.0</v>
      </c>
      <c r="C430" s="941">
        <v>0.0</v>
      </c>
      <c r="D430" s="941">
        <v>1.0</v>
      </c>
      <c r="E430" s="941">
        <v>1.0</v>
      </c>
      <c r="F430" s="941">
        <v>16.0</v>
      </c>
      <c r="G430" s="941">
        <v>81.0</v>
      </c>
      <c r="H430" s="941">
        <v>95.0</v>
      </c>
      <c r="I430" s="941">
        <v>-14.0</v>
      </c>
      <c r="J430" s="941">
        <v>2.0</v>
      </c>
      <c r="K430" s="941">
        <v>8.0</v>
      </c>
      <c r="L430" s="941">
        <v>0.0</v>
      </c>
      <c r="M430" s="941">
        <v>2512.0</v>
      </c>
      <c r="N430" s="941">
        <v>2886.0</v>
      </c>
      <c r="O430" s="941">
        <v>26.0</v>
      </c>
      <c r="P430" s="941">
        <v>1432.0</v>
      </c>
      <c r="Q430" s="941">
        <v>0.0</v>
      </c>
      <c r="R430" s="941">
        <v>2.0</v>
      </c>
      <c r="S430" s="941">
        <v>0.0</v>
      </c>
      <c r="T430" s="941">
        <v>0.0</v>
      </c>
      <c r="U430" s="941">
        <v>0.0</v>
      </c>
      <c r="V430" s="941">
        <v>0.0</v>
      </c>
      <c r="W430" s="941">
        <v>0.0</v>
      </c>
      <c r="X430" s="941">
        <v>6.0</v>
      </c>
      <c r="Y430" s="941">
        <v>2.0</v>
      </c>
      <c r="Z430" s="941">
        <v>0.0</v>
      </c>
      <c r="AA430" s="941">
        <v>0.0</v>
      </c>
      <c r="AB430" s="941">
        <v>0.0</v>
      </c>
      <c r="AC430" s="941">
        <v>0.0</v>
      </c>
      <c r="AD430" s="941">
        <v>0.0</v>
      </c>
      <c r="AE430" s="941">
        <v>0.0</v>
      </c>
      <c r="AF430" s="941">
        <v>0.0</v>
      </c>
      <c r="AG430" s="941">
        <v>0.0</v>
      </c>
      <c r="AH430" s="941">
        <v>2.0</v>
      </c>
      <c r="AI430" s="941">
        <v>0.0</v>
      </c>
      <c r="AJ430" s="941">
        <v>10.0</v>
      </c>
      <c r="AK430" s="941">
        <v>18.0</v>
      </c>
      <c r="AL430" s="941">
        <v>0.0</v>
      </c>
      <c r="AM430" s="942">
        <v>0.0</v>
      </c>
    </row>
    <row r="431">
      <c r="A431" s="935" t="s">
        <v>132</v>
      </c>
      <c r="B431" s="941">
        <v>1.0</v>
      </c>
      <c r="C431" s="941">
        <v>0.0</v>
      </c>
      <c r="D431" s="941">
        <v>1.0</v>
      </c>
      <c r="E431" s="941">
        <v>1.0</v>
      </c>
      <c r="F431" s="941">
        <v>19.0</v>
      </c>
      <c r="G431" s="941">
        <v>197.0</v>
      </c>
      <c r="H431" s="941">
        <v>174.0</v>
      </c>
      <c r="I431" s="941">
        <v>23.0</v>
      </c>
      <c r="J431" s="941">
        <v>13.0</v>
      </c>
      <c r="K431" s="941">
        <v>12.0</v>
      </c>
      <c r="L431" s="941">
        <v>4.0</v>
      </c>
      <c r="M431" s="941">
        <v>2271.0</v>
      </c>
      <c r="N431" s="941">
        <v>2886.0</v>
      </c>
      <c r="O431" s="941">
        <v>13.0</v>
      </c>
      <c r="P431" s="941">
        <v>442.0</v>
      </c>
      <c r="Q431" s="941">
        <v>0.0</v>
      </c>
      <c r="R431" s="941">
        <v>4.0</v>
      </c>
      <c r="S431" s="941">
        <v>1.0</v>
      </c>
      <c r="T431" s="941">
        <v>0.0</v>
      </c>
      <c r="U431" s="941">
        <v>0.0</v>
      </c>
      <c r="V431" s="941">
        <v>2.0</v>
      </c>
      <c r="W431" s="941">
        <v>0.0</v>
      </c>
      <c r="X431" s="941">
        <v>29.0</v>
      </c>
      <c r="Y431" s="941">
        <v>5.0</v>
      </c>
      <c r="Z431" s="941">
        <v>2.0</v>
      </c>
      <c r="AA431" s="941">
        <v>0.0</v>
      </c>
      <c r="AB431" s="941">
        <v>0.0</v>
      </c>
      <c r="AC431" s="941">
        <v>0.0</v>
      </c>
      <c r="AD431" s="941">
        <v>0.0</v>
      </c>
      <c r="AE431" s="941">
        <v>0.0</v>
      </c>
      <c r="AF431" s="941">
        <v>0.0</v>
      </c>
      <c r="AG431" s="941">
        <v>0.0</v>
      </c>
      <c r="AH431" s="941">
        <v>17.0</v>
      </c>
      <c r="AI431" s="941">
        <v>0.0</v>
      </c>
      <c r="AJ431" s="941">
        <v>30.0</v>
      </c>
      <c r="AK431" s="941">
        <v>29.0</v>
      </c>
      <c r="AL431" s="941">
        <v>1.0</v>
      </c>
      <c r="AM431" s="942">
        <v>0.0</v>
      </c>
    </row>
    <row r="432">
      <c r="A432" s="935" t="s">
        <v>121</v>
      </c>
      <c r="B432" s="941">
        <v>1.0</v>
      </c>
      <c r="C432" s="941">
        <v>0.0</v>
      </c>
      <c r="D432" s="941">
        <v>1.0</v>
      </c>
      <c r="E432" s="941">
        <v>0.0</v>
      </c>
      <c r="F432" s="941">
        <v>1.0</v>
      </c>
      <c r="G432" s="941">
        <v>212.0</v>
      </c>
      <c r="H432" s="941">
        <v>159.0</v>
      </c>
      <c r="I432" s="941">
        <v>53.0</v>
      </c>
      <c r="J432" s="941">
        <v>15.0</v>
      </c>
      <c r="K432" s="941">
        <v>6.0</v>
      </c>
      <c r="L432" s="941">
        <v>3.0</v>
      </c>
      <c r="M432" s="941">
        <v>2310.0</v>
      </c>
      <c r="N432" s="941">
        <v>2886.0</v>
      </c>
      <c r="O432" s="941">
        <v>14.0</v>
      </c>
      <c r="P432" s="941">
        <v>24.0</v>
      </c>
      <c r="Q432" s="941">
        <v>0.0</v>
      </c>
      <c r="R432" s="941">
        <v>7.0</v>
      </c>
      <c r="S432" s="941">
        <v>0.0</v>
      </c>
      <c r="T432" s="941">
        <v>0.0</v>
      </c>
      <c r="U432" s="941">
        <v>0.0</v>
      </c>
      <c r="V432" s="941">
        <v>6.0</v>
      </c>
      <c r="W432" s="941">
        <v>0.0</v>
      </c>
      <c r="X432" s="941">
        <v>36.0</v>
      </c>
      <c r="Y432" s="941">
        <v>8.0</v>
      </c>
      <c r="Z432" s="941">
        <v>1.0</v>
      </c>
      <c r="AA432" s="941">
        <v>0.0</v>
      </c>
      <c r="AB432" s="941">
        <v>0.0</v>
      </c>
      <c r="AC432" s="941">
        <v>0.0</v>
      </c>
      <c r="AD432" s="941">
        <v>0.0</v>
      </c>
      <c r="AE432" s="941">
        <v>0.0</v>
      </c>
      <c r="AF432" s="941">
        <v>0.0</v>
      </c>
      <c r="AG432" s="941">
        <v>0.0</v>
      </c>
      <c r="AH432" s="941">
        <v>28.0</v>
      </c>
      <c r="AI432" s="941">
        <v>0.0</v>
      </c>
      <c r="AJ432" s="941">
        <v>15.0</v>
      </c>
      <c r="AK432" s="941">
        <v>32.0</v>
      </c>
      <c r="AL432" s="941">
        <v>1.0</v>
      </c>
      <c r="AM432" s="942">
        <v>0.0</v>
      </c>
    </row>
    <row r="433">
      <c r="A433" s="943" t="s">
        <v>420</v>
      </c>
      <c r="B433" s="944">
        <v>1.0</v>
      </c>
      <c r="C433" s="944">
        <v>0.0</v>
      </c>
      <c r="D433" s="944">
        <v>1.0</v>
      </c>
      <c r="E433" s="944">
        <v>0.0</v>
      </c>
      <c r="F433" s="944">
        <v>0.0</v>
      </c>
      <c r="G433" s="944">
        <v>188.0</v>
      </c>
      <c r="H433" s="944">
        <v>163.0</v>
      </c>
      <c r="I433" s="944">
        <v>25.0</v>
      </c>
      <c r="J433" s="944">
        <v>18.0</v>
      </c>
      <c r="K433" s="944">
        <v>6.0</v>
      </c>
      <c r="L433" s="944">
        <v>4.0</v>
      </c>
      <c r="M433" s="944">
        <v>2306.0</v>
      </c>
      <c r="N433" s="944">
        <v>2886.0</v>
      </c>
      <c r="O433" s="944">
        <v>14.0</v>
      </c>
      <c r="P433" s="944">
        <v>48.0</v>
      </c>
      <c r="Q433" s="944">
        <v>0.0</v>
      </c>
      <c r="R433" s="944">
        <v>2.0</v>
      </c>
      <c r="S433" s="944">
        <v>0.0</v>
      </c>
      <c r="T433" s="944">
        <v>0.0</v>
      </c>
      <c r="U433" s="944">
        <v>0.0</v>
      </c>
      <c r="V433" s="944">
        <v>2.0</v>
      </c>
      <c r="W433" s="944">
        <v>0.0</v>
      </c>
      <c r="X433" s="944">
        <v>30.0</v>
      </c>
      <c r="Y433" s="944">
        <v>4.0</v>
      </c>
      <c r="Z433" s="944">
        <v>0.0</v>
      </c>
      <c r="AA433" s="944">
        <v>0.0</v>
      </c>
      <c r="AB433" s="944">
        <v>0.0</v>
      </c>
      <c r="AC433" s="944">
        <v>0.0</v>
      </c>
      <c r="AD433" s="944">
        <v>0.0</v>
      </c>
      <c r="AE433" s="944">
        <v>0.0</v>
      </c>
      <c r="AF433" s="944">
        <v>0.0</v>
      </c>
      <c r="AG433" s="944">
        <v>0.0</v>
      </c>
      <c r="AH433" s="944">
        <v>23.0</v>
      </c>
      <c r="AI433" s="944">
        <v>0.0</v>
      </c>
      <c r="AJ433" s="944">
        <v>20.0</v>
      </c>
      <c r="AK433" s="944">
        <v>22.0</v>
      </c>
      <c r="AL433" s="944">
        <v>1.0</v>
      </c>
      <c r="AM433" s="945">
        <v>0.0</v>
      </c>
    </row>
    <row r="434">
      <c r="A434" s="946" t="s">
        <v>149</v>
      </c>
      <c r="B434" s="939">
        <v>1.0</v>
      </c>
      <c r="C434" s="939">
        <v>1.0</v>
      </c>
      <c r="D434" s="939">
        <v>0.0</v>
      </c>
      <c r="E434" s="939">
        <v>4.0</v>
      </c>
      <c r="F434" s="939">
        <v>27.0</v>
      </c>
      <c r="G434" s="939">
        <v>67.0</v>
      </c>
      <c r="H434" s="939">
        <v>40.0</v>
      </c>
      <c r="I434" s="939">
        <v>27.0</v>
      </c>
      <c r="J434" s="939">
        <v>2.0</v>
      </c>
      <c r="K434" s="939">
        <v>10.0</v>
      </c>
      <c r="L434" s="939">
        <v>1.0</v>
      </c>
      <c r="M434" s="939">
        <v>2967.0</v>
      </c>
      <c r="N434" s="939">
        <v>3212.0</v>
      </c>
      <c r="O434" s="939">
        <v>74.0</v>
      </c>
      <c r="P434" s="939">
        <v>2382.0</v>
      </c>
      <c r="Q434" s="939">
        <v>0.0</v>
      </c>
      <c r="R434" s="939">
        <v>3.0</v>
      </c>
      <c r="S434" s="939">
        <v>1.0</v>
      </c>
      <c r="T434" s="939">
        <v>0.0</v>
      </c>
      <c r="U434" s="939">
        <v>0.0</v>
      </c>
      <c r="V434" s="939">
        <v>0.0</v>
      </c>
      <c r="W434" s="939">
        <v>0.0</v>
      </c>
      <c r="X434" s="939">
        <v>7.0</v>
      </c>
      <c r="Y434" s="939">
        <v>1.0</v>
      </c>
      <c r="Z434" s="939">
        <v>0.0</v>
      </c>
      <c r="AA434" s="939">
        <v>0.0</v>
      </c>
      <c r="AB434" s="939">
        <v>0.0</v>
      </c>
      <c r="AC434" s="939">
        <v>0.0</v>
      </c>
      <c r="AD434" s="939">
        <v>0.0</v>
      </c>
      <c r="AE434" s="939">
        <v>0.0</v>
      </c>
      <c r="AF434" s="939">
        <v>0.0</v>
      </c>
      <c r="AG434" s="939">
        <v>0.0</v>
      </c>
      <c r="AH434" s="939">
        <v>1.0</v>
      </c>
      <c r="AI434" s="939">
        <v>0.0</v>
      </c>
      <c r="AJ434" s="939">
        <v>19.0</v>
      </c>
      <c r="AK434" s="939">
        <v>6.0</v>
      </c>
      <c r="AL434" s="939">
        <v>1.0</v>
      </c>
      <c r="AM434" s="940">
        <v>1.0</v>
      </c>
    </row>
    <row r="435">
      <c r="A435" s="935" t="s">
        <v>418</v>
      </c>
      <c r="B435" s="941">
        <v>1.0</v>
      </c>
      <c r="C435" s="941">
        <v>1.0</v>
      </c>
      <c r="D435" s="941">
        <v>0.0</v>
      </c>
      <c r="E435" s="941">
        <v>1.0</v>
      </c>
      <c r="F435" s="941">
        <v>2.0</v>
      </c>
      <c r="G435" s="941">
        <v>248.0</v>
      </c>
      <c r="H435" s="941">
        <v>158.0</v>
      </c>
      <c r="I435" s="941">
        <v>90.0</v>
      </c>
      <c r="J435" s="941">
        <v>12.0</v>
      </c>
      <c r="K435" s="941">
        <v>8.0</v>
      </c>
      <c r="L435" s="941">
        <v>1.0</v>
      </c>
      <c r="M435" s="941">
        <v>2621.0</v>
      </c>
      <c r="N435" s="941">
        <v>3212.0</v>
      </c>
      <c r="O435" s="941">
        <v>16.0</v>
      </c>
      <c r="P435" s="941">
        <v>63.0</v>
      </c>
      <c r="Q435" s="941">
        <v>0.0</v>
      </c>
      <c r="R435" s="941">
        <v>9.0</v>
      </c>
      <c r="S435" s="941">
        <v>0.0</v>
      </c>
      <c r="T435" s="941">
        <v>0.0</v>
      </c>
      <c r="U435" s="941">
        <v>0.0</v>
      </c>
      <c r="V435" s="941">
        <v>9.0</v>
      </c>
      <c r="W435" s="941">
        <v>0.0</v>
      </c>
      <c r="X435" s="941">
        <v>43.0</v>
      </c>
      <c r="Y435" s="941">
        <v>10.0</v>
      </c>
      <c r="Z435" s="941">
        <v>7.0</v>
      </c>
      <c r="AA435" s="941">
        <v>4.0</v>
      </c>
      <c r="AB435" s="941">
        <v>2.0</v>
      </c>
      <c r="AC435" s="941">
        <v>0.0</v>
      </c>
      <c r="AD435" s="941">
        <v>0.0</v>
      </c>
      <c r="AE435" s="941">
        <v>0.0</v>
      </c>
      <c r="AF435" s="941">
        <v>0.0</v>
      </c>
      <c r="AG435" s="941">
        <v>0.0</v>
      </c>
      <c r="AH435" s="941">
        <v>23.0</v>
      </c>
      <c r="AI435" s="941">
        <v>0.0</v>
      </c>
      <c r="AJ435" s="941">
        <v>31.0</v>
      </c>
      <c r="AK435" s="941">
        <v>20.0</v>
      </c>
      <c r="AL435" s="941">
        <v>1.0</v>
      </c>
      <c r="AM435" s="942">
        <v>1.0</v>
      </c>
    </row>
    <row r="436">
      <c r="A436" s="935" t="s">
        <v>138</v>
      </c>
      <c r="B436" s="941">
        <v>1.0</v>
      </c>
      <c r="C436" s="941">
        <v>1.0</v>
      </c>
      <c r="D436" s="941">
        <v>0.0</v>
      </c>
      <c r="E436" s="941">
        <v>0.0</v>
      </c>
      <c r="F436" s="941">
        <v>1.0</v>
      </c>
      <c r="G436" s="941">
        <v>232.0</v>
      </c>
      <c r="H436" s="941">
        <v>188.0</v>
      </c>
      <c r="I436" s="941">
        <v>44.0</v>
      </c>
      <c r="J436" s="941">
        <v>13.0</v>
      </c>
      <c r="K436" s="941">
        <v>6.0</v>
      </c>
      <c r="L436" s="941">
        <v>2.0</v>
      </c>
      <c r="M436" s="941">
        <v>2525.0</v>
      </c>
      <c r="N436" s="941">
        <v>3212.0</v>
      </c>
      <c r="O436" s="941">
        <v>13.0</v>
      </c>
      <c r="P436" s="941">
        <v>18.0</v>
      </c>
      <c r="Q436" s="941">
        <v>0.0</v>
      </c>
      <c r="R436" s="941">
        <v>3.0</v>
      </c>
      <c r="S436" s="941">
        <v>0.0</v>
      </c>
      <c r="T436" s="941">
        <v>0.0</v>
      </c>
      <c r="U436" s="941">
        <v>0.0</v>
      </c>
      <c r="V436" s="941">
        <v>3.0</v>
      </c>
      <c r="W436" s="941">
        <v>0.0</v>
      </c>
      <c r="X436" s="941">
        <v>41.0</v>
      </c>
      <c r="Y436" s="941">
        <v>1.0</v>
      </c>
      <c r="Z436" s="941">
        <v>0.0</v>
      </c>
      <c r="AA436" s="941">
        <v>0.0</v>
      </c>
      <c r="AB436" s="941">
        <v>0.0</v>
      </c>
      <c r="AC436" s="941">
        <v>0.0</v>
      </c>
      <c r="AD436" s="941">
        <v>0.0</v>
      </c>
      <c r="AE436" s="941">
        <v>0.0</v>
      </c>
      <c r="AF436" s="941">
        <v>0.0</v>
      </c>
      <c r="AG436" s="941">
        <v>0.0</v>
      </c>
      <c r="AH436" s="941">
        <v>25.0</v>
      </c>
      <c r="AI436" s="941">
        <v>0.0</v>
      </c>
      <c r="AJ436" s="941">
        <v>15.0</v>
      </c>
      <c r="AK436" s="941">
        <v>27.0</v>
      </c>
      <c r="AL436" s="941">
        <v>2.0</v>
      </c>
      <c r="AM436" s="942">
        <v>1.0</v>
      </c>
    </row>
    <row r="437">
      <c r="A437" s="935" t="s">
        <v>392</v>
      </c>
      <c r="B437" s="941">
        <v>1.0</v>
      </c>
      <c r="C437" s="941">
        <v>1.0</v>
      </c>
      <c r="D437" s="941">
        <v>0.0</v>
      </c>
      <c r="E437" s="941">
        <v>0.0</v>
      </c>
      <c r="F437" s="941">
        <v>0.0</v>
      </c>
      <c r="G437" s="941">
        <v>187.0</v>
      </c>
      <c r="H437" s="941">
        <v>216.0</v>
      </c>
      <c r="I437" s="941">
        <v>-29.0</v>
      </c>
      <c r="J437" s="941">
        <v>21.0</v>
      </c>
      <c r="K437" s="941">
        <v>6.0</v>
      </c>
      <c r="L437" s="941">
        <v>0.0</v>
      </c>
      <c r="M437" s="941">
        <v>2439.0</v>
      </c>
      <c r="N437" s="941">
        <v>3212.0</v>
      </c>
      <c r="O437" s="941">
        <v>11.0</v>
      </c>
      <c r="P437" s="941">
        <v>0.0</v>
      </c>
      <c r="Q437" s="941">
        <v>0.0</v>
      </c>
      <c r="R437" s="941">
        <v>2.0</v>
      </c>
      <c r="S437" s="941">
        <v>0.0</v>
      </c>
      <c r="T437" s="941">
        <v>0.0</v>
      </c>
      <c r="U437" s="941">
        <v>0.0</v>
      </c>
      <c r="V437" s="941">
        <v>2.0</v>
      </c>
      <c r="W437" s="941">
        <v>0.0</v>
      </c>
      <c r="X437" s="941">
        <v>28.0</v>
      </c>
      <c r="Y437" s="941">
        <v>6.0</v>
      </c>
      <c r="Z437" s="941">
        <v>1.0</v>
      </c>
      <c r="AA437" s="941">
        <v>0.0</v>
      </c>
      <c r="AB437" s="941">
        <v>0.0</v>
      </c>
      <c r="AC437" s="941">
        <v>0.0</v>
      </c>
      <c r="AD437" s="941">
        <v>0.0</v>
      </c>
      <c r="AE437" s="941">
        <v>0.0</v>
      </c>
      <c r="AF437" s="941">
        <v>0.0</v>
      </c>
      <c r="AG437" s="941">
        <v>0.0</v>
      </c>
      <c r="AH437" s="941">
        <v>17.0</v>
      </c>
      <c r="AI437" s="941">
        <v>0.0</v>
      </c>
      <c r="AJ437" s="941">
        <v>13.0</v>
      </c>
      <c r="AK437" s="941">
        <v>32.0</v>
      </c>
      <c r="AL437" s="941">
        <v>0.0</v>
      </c>
      <c r="AM437" s="942">
        <v>1.0</v>
      </c>
    </row>
    <row r="438">
      <c r="A438" s="935" t="s">
        <v>131</v>
      </c>
      <c r="B438" s="941">
        <v>1.0</v>
      </c>
      <c r="C438" s="941">
        <v>0.0</v>
      </c>
      <c r="D438" s="941">
        <v>1.0</v>
      </c>
      <c r="E438" s="941">
        <v>3.0</v>
      </c>
      <c r="F438" s="941">
        <v>0.0</v>
      </c>
      <c r="G438" s="941">
        <v>117.0</v>
      </c>
      <c r="H438" s="941">
        <v>164.0</v>
      </c>
      <c r="I438" s="941">
        <v>-47.0</v>
      </c>
      <c r="J438" s="941">
        <v>9.0</v>
      </c>
      <c r="K438" s="941">
        <v>3.0</v>
      </c>
      <c r="L438" s="941">
        <v>0.0</v>
      </c>
      <c r="M438" s="941">
        <v>2592.0</v>
      </c>
      <c r="N438" s="941">
        <v>3212.0</v>
      </c>
      <c r="O438" s="941">
        <v>15.0</v>
      </c>
      <c r="P438" s="941">
        <v>10.0</v>
      </c>
      <c r="Q438" s="941">
        <v>0.0</v>
      </c>
      <c r="R438" s="941">
        <v>0.0</v>
      </c>
      <c r="S438" s="941">
        <v>0.0</v>
      </c>
      <c r="T438" s="941">
        <v>0.0</v>
      </c>
      <c r="U438" s="941">
        <v>0.0</v>
      </c>
      <c r="V438" s="941">
        <v>0.0</v>
      </c>
      <c r="W438" s="941">
        <v>0.0</v>
      </c>
      <c r="X438" s="941">
        <v>8.0</v>
      </c>
      <c r="Y438" s="941">
        <v>2.0</v>
      </c>
      <c r="Z438" s="941">
        <v>0.0</v>
      </c>
      <c r="AA438" s="941">
        <v>0.0</v>
      </c>
      <c r="AB438" s="941">
        <v>0.0</v>
      </c>
      <c r="AC438" s="941">
        <v>0.0</v>
      </c>
      <c r="AD438" s="941">
        <v>0.0</v>
      </c>
      <c r="AE438" s="941">
        <v>0.0</v>
      </c>
      <c r="AF438" s="941">
        <v>0.0</v>
      </c>
      <c r="AG438" s="941">
        <v>0.0</v>
      </c>
      <c r="AH438" s="941">
        <v>1.0</v>
      </c>
      <c r="AI438" s="941">
        <v>0.0</v>
      </c>
      <c r="AJ438" s="941">
        <v>15.0</v>
      </c>
      <c r="AK438" s="941">
        <v>20.0</v>
      </c>
      <c r="AL438" s="941">
        <v>1.0</v>
      </c>
      <c r="AM438" s="942">
        <v>0.0</v>
      </c>
    </row>
    <row r="439">
      <c r="A439" s="935" t="s">
        <v>153</v>
      </c>
      <c r="B439" s="941">
        <v>1.0</v>
      </c>
      <c r="C439" s="941">
        <v>0.0</v>
      </c>
      <c r="D439" s="941">
        <v>1.0</v>
      </c>
      <c r="E439" s="941">
        <v>1.0</v>
      </c>
      <c r="F439" s="941">
        <v>5.0</v>
      </c>
      <c r="G439" s="941">
        <v>119.0</v>
      </c>
      <c r="H439" s="941">
        <v>209.0</v>
      </c>
      <c r="I439" s="941">
        <v>-90.0</v>
      </c>
      <c r="J439" s="941">
        <v>0.0</v>
      </c>
      <c r="K439" s="941">
        <v>3.0</v>
      </c>
      <c r="L439" s="941">
        <v>0.0</v>
      </c>
      <c r="M439" s="941">
        <v>2470.0</v>
      </c>
      <c r="N439" s="941">
        <v>3212.0</v>
      </c>
      <c r="O439" s="941">
        <v>11.0</v>
      </c>
      <c r="P439" s="941">
        <v>422.0</v>
      </c>
      <c r="Q439" s="941">
        <v>0.0</v>
      </c>
      <c r="R439" s="941">
        <v>0.0</v>
      </c>
      <c r="S439" s="941">
        <v>0.0</v>
      </c>
      <c r="T439" s="941">
        <v>0.0</v>
      </c>
      <c r="U439" s="941">
        <v>0.0</v>
      </c>
      <c r="V439" s="941">
        <v>0.0</v>
      </c>
      <c r="W439" s="941">
        <v>0.0</v>
      </c>
      <c r="X439" s="941">
        <v>9.0</v>
      </c>
      <c r="Y439" s="941">
        <v>0.0</v>
      </c>
      <c r="Z439" s="941">
        <v>0.0</v>
      </c>
      <c r="AA439" s="941">
        <v>0.0</v>
      </c>
      <c r="AB439" s="941">
        <v>0.0</v>
      </c>
      <c r="AC439" s="941">
        <v>0.0</v>
      </c>
      <c r="AD439" s="941">
        <v>0.0</v>
      </c>
      <c r="AE439" s="941">
        <v>0.0</v>
      </c>
      <c r="AF439" s="941">
        <v>0.0</v>
      </c>
      <c r="AG439" s="941">
        <v>0.0</v>
      </c>
      <c r="AH439" s="941">
        <v>0.0</v>
      </c>
      <c r="AI439" s="941">
        <v>0.0</v>
      </c>
      <c r="AJ439" s="941">
        <v>9.0</v>
      </c>
      <c r="AK439" s="941">
        <v>9.0</v>
      </c>
      <c r="AL439" s="941">
        <v>1.0</v>
      </c>
      <c r="AM439" s="942">
        <v>0.0</v>
      </c>
    </row>
    <row r="440">
      <c r="A440" s="935" t="s">
        <v>145</v>
      </c>
      <c r="B440" s="941">
        <v>1.0</v>
      </c>
      <c r="C440" s="941">
        <v>0.0</v>
      </c>
      <c r="D440" s="941">
        <v>1.0</v>
      </c>
      <c r="E440" s="941">
        <v>0.0</v>
      </c>
      <c r="F440" s="941">
        <v>0.0</v>
      </c>
      <c r="G440" s="941">
        <v>162.0</v>
      </c>
      <c r="H440" s="941">
        <v>205.0</v>
      </c>
      <c r="I440" s="941">
        <v>-43.0</v>
      </c>
      <c r="J440" s="941">
        <v>11.0</v>
      </c>
      <c r="K440" s="941">
        <v>5.0</v>
      </c>
      <c r="L440" s="941">
        <v>2.0</v>
      </c>
      <c r="M440" s="941">
        <v>2478.0</v>
      </c>
      <c r="N440" s="941">
        <v>3212.0</v>
      </c>
      <c r="O440" s="941">
        <v>12.0</v>
      </c>
      <c r="P440" s="941">
        <v>20.0</v>
      </c>
      <c r="Q440" s="941">
        <v>0.0</v>
      </c>
      <c r="R440" s="941">
        <v>2.0</v>
      </c>
      <c r="S440" s="941">
        <v>0.0</v>
      </c>
      <c r="T440" s="941">
        <v>0.0</v>
      </c>
      <c r="U440" s="941">
        <v>0.0</v>
      </c>
      <c r="V440" s="941">
        <v>2.0</v>
      </c>
      <c r="W440" s="941">
        <v>0.0</v>
      </c>
      <c r="X440" s="941">
        <v>22.0</v>
      </c>
      <c r="Y440" s="941">
        <v>0.0</v>
      </c>
      <c r="Z440" s="941">
        <v>0.0</v>
      </c>
      <c r="AA440" s="941">
        <v>0.0</v>
      </c>
      <c r="AB440" s="941">
        <v>0.0</v>
      </c>
      <c r="AC440" s="941">
        <v>0.0</v>
      </c>
      <c r="AD440" s="941">
        <v>0.0</v>
      </c>
      <c r="AE440" s="941">
        <v>0.0</v>
      </c>
      <c r="AF440" s="941">
        <v>0.0</v>
      </c>
      <c r="AG440" s="941">
        <v>0.0</v>
      </c>
      <c r="AH440" s="941">
        <v>0.0</v>
      </c>
      <c r="AI440" s="941">
        <v>0.0</v>
      </c>
      <c r="AJ440" s="941">
        <v>21.0</v>
      </c>
      <c r="AK440" s="941">
        <v>28.0</v>
      </c>
      <c r="AL440" s="941">
        <v>2.0</v>
      </c>
      <c r="AM440" s="942">
        <v>0.0</v>
      </c>
    </row>
    <row r="441">
      <c r="A441" s="943" t="s">
        <v>120</v>
      </c>
      <c r="B441" s="944">
        <v>1.0</v>
      </c>
      <c r="C441" s="944">
        <v>0.0</v>
      </c>
      <c r="D441" s="944">
        <v>1.0</v>
      </c>
      <c r="E441" s="944">
        <v>0.0</v>
      </c>
      <c r="F441" s="944">
        <v>0.0</v>
      </c>
      <c r="G441" s="944">
        <v>193.0</v>
      </c>
      <c r="H441" s="944">
        <v>172.0</v>
      </c>
      <c r="I441" s="944">
        <v>21.0</v>
      </c>
      <c r="J441" s="944">
        <v>8.0</v>
      </c>
      <c r="K441" s="944">
        <v>6.0</v>
      </c>
      <c r="L441" s="944">
        <v>2.0</v>
      </c>
      <c r="M441" s="944">
        <v>2571.0</v>
      </c>
      <c r="N441" s="944">
        <v>3212.0</v>
      </c>
      <c r="O441" s="944">
        <v>14.0</v>
      </c>
      <c r="P441" s="944">
        <v>10.0</v>
      </c>
      <c r="Q441" s="944">
        <v>0.0</v>
      </c>
      <c r="R441" s="944">
        <v>4.0</v>
      </c>
      <c r="S441" s="944">
        <v>0.0</v>
      </c>
      <c r="T441" s="944">
        <v>0.0</v>
      </c>
      <c r="U441" s="944">
        <v>0.0</v>
      </c>
      <c r="V441" s="944">
        <v>4.0</v>
      </c>
      <c r="W441" s="944">
        <v>0.0</v>
      </c>
      <c r="X441" s="944">
        <v>22.0</v>
      </c>
      <c r="Y441" s="944">
        <v>6.0</v>
      </c>
      <c r="Z441" s="944">
        <v>2.0</v>
      </c>
      <c r="AA441" s="944">
        <v>0.0</v>
      </c>
      <c r="AB441" s="944">
        <v>0.0</v>
      </c>
      <c r="AC441" s="944">
        <v>0.0</v>
      </c>
      <c r="AD441" s="944">
        <v>0.0</v>
      </c>
      <c r="AE441" s="944">
        <v>0.0</v>
      </c>
      <c r="AF441" s="944">
        <v>0.0</v>
      </c>
      <c r="AG441" s="944">
        <v>0.0</v>
      </c>
      <c r="AH441" s="944">
        <v>0.0</v>
      </c>
      <c r="AI441" s="944">
        <v>0.0</v>
      </c>
      <c r="AJ441" s="944">
        <v>20.0</v>
      </c>
      <c r="AK441" s="944">
        <v>35.0</v>
      </c>
      <c r="AL441" s="944">
        <v>1.0</v>
      </c>
      <c r="AM441" s="945">
        <v>0.0</v>
      </c>
    </row>
    <row r="442">
      <c r="A442" s="946" t="s">
        <v>149</v>
      </c>
      <c r="B442" s="939">
        <v>1.0</v>
      </c>
      <c r="C442" s="939">
        <v>1.0</v>
      </c>
      <c r="D442" s="939">
        <v>0.0</v>
      </c>
      <c r="E442" s="939">
        <v>5.0</v>
      </c>
      <c r="F442" s="939">
        <v>35.0</v>
      </c>
      <c r="G442" s="939">
        <v>131.0</v>
      </c>
      <c r="H442" s="939">
        <v>85.0</v>
      </c>
      <c r="I442" s="939">
        <v>46.0</v>
      </c>
      <c r="J442" s="939">
        <v>9.0</v>
      </c>
      <c r="K442" s="939">
        <v>9.0</v>
      </c>
      <c r="L442" s="939">
        <v>3.0</v>
      </c>
      <c r="M442" s="939">
        <v>3018.0</v>
      </c>
      <c r="N442" s="939">
        <v>3357.0</v>
      </c>
      <c r="O442" s="939">
        <v>35.0</v>
      </c>
      <c r="P442" s="939">
        <v>1198.0</v>
      </c>
      <c r="Q442" s="939">
        <v>0.0</v>
      </c>
      <c r="R442" s="939">
        <v>3.0</v>
      </c>
      <c r="S442" s="939">
        <v>0.0</v>
      </c>
      <c r="T442" s="939">
        <v>0.0</v>
      </c>
      <c r="U442" s="939">
        <v>0.0</v>
      </c>
      <c r="V442" s="939">
        <v>0.0</v>
      </c>
      <c r="W442" s="939">
        <v>0.0</v>
      </c>
      <c r="X442" s="939">
        <v>13.0</v>
      </c>
      <c r="Y442" s="939">
        <v>2.0</v>
      </c>
      <c r="Z442" s="939">
        <v>1.0</v>
      </c>
      <c r="AA442" s="939">
        <v>0.0</v>
      </c>
      <c r="AB442" s="939">
        <v>0.0</v>
      </c>
      <c r="AC442" s="939">
        <v>0.0</v>
      </c>
      <c r="AD442" s="939">
        <v>0.0</v>
      </c>
      <c r="AE442" s="939">
        <v>0.0</v>
      </c>
      <c r="AF442" s="939">
        <v>0.0</v>
      </c>
      <c r="AG442" s="939">
        <v>0.0</v>
      </c>
      <c r="AH442" s="939">
        <v>2.0</v>
      </c>
      <c r="AI442" s="939">
        <v>0.0</v>
      </c>
      <c r="AJ442" s="939">
        <v>24.0</v>
      </c>
      <c r="AK442" s="939">
        <v>16.0</v>
      </c>
      <c r="AL442" s="939">
        <v>0.0</v>
      </c>
      <c r="AM442" s="940">
        <v>0.0</v>
      </c>
    </row>
    <row r="443">
      <c r="A443" s="935" t="s">
        <v>418</v>
      </c>
      <c r="B443" s="941">
        <v>1.0</v>
      </c>
      <c r="C443" s="941">
        <v>1.0</v>
      </c>
      <c r="D443" s="941">
        <v>0.0</v>
      </c>
      <c r="E443" s="941">
        <v>0.0</v>
      </c>
      <c r="F443" s="941">
        <v>1.0</v>
      </c>
      <c r="G443" s="941">
        <v>201.0</v>
      </c>
      <c r="H443" s="941">
        <v>174.0</v>
      </c>
      <c r="I443" s="941">
        <v>27.0</v>
      </c>
      <c r="J443" s="941">
        <v>13.0</v>
      </c>
      <c r="K443" s="941">
        <v>6.0</v>
      </c>
      <c r="L443" s="941">
        <v>2.0</v>
      </c>
      <c r="M443" s="941">
        <v>2758.0</v>
      </c>
      <c r="N443" s="941">
        <v>3357.0</v>
      </c>
      <c r="O443" s="941">
        <v>15.0</v>
      </c>
      <c r="P443" s="941">
        <v>25.0</v>
      </c>
      <c r="Q443" s="941">
        <v>0.0</v>
      </c>
      <c r="R443" s="941">
        <v>2.0</v>
      </c>
      <c r="S443" s="941">
        <v>0.0</v>
      </c>
      <c r="T443" s="941">
        <v>0.0</v>
      </c>
      <c r="U443" s="941">
        <v>0.0</v>
      </c>
      <c r="V443" s="941">
        <v>0.0</v>
      </c>
      <c r="W443" s="941">
        <v>0.0</v>
      </c>
      <c r="X443" s="941">
        <v>34.0</v>
      </c>
      <c r="Y443" s="941">
        <v>8.0</v>
      </c>
      <c r="Z443" s="941">
        <v>1.0</v>
      </c>
      <c r="AA443" s="941">
        <v>0.0</v>
      </c>
      <c r="AB443" s="941">
        <v>0.0</v>
      </c>
      <c r="AC443" s="941">
        <v>0.0</v>
      </c>
      <c r="AD443" s="941">
        <v>0.0</v>
      </c>
      <c r="AE443" s="941">
        <v>0.0</v>
      </c>
      <c r="AF443" s="941">
        <v>0.0</v>
      </c>
      <c r="AG443" s="941">
        <v>0.0</v>
      </c>
      <c r="AH443" s="941">
        <v>1.0</v>
      </c>
      <c r="AI443" s="941">
        <v>0.0</v>
      </c>
      <c r="AJ443" s="941">
        <v>29.0</v>
      </c>
      <c r="AK443" s="941">
        <v>25.0</v>
      </c>
      <c r="AL443" s="941">
        <v>1.0</v>
      </c>
      <c r="AM443" s="942">
        <v>0.0</v>
      </c>
    </row>
    <row r="444">
      <c r="A444" s="935" t="s">
        <v>392</v>
      </c>
      <c r="B444" s="941">
        <v>1.0</v>
      </c>
      <c r="C444" s="941">
        <v>1.0</v>
      </c>
      <c r="D444" s="941">
        <v>0.0</v>
      </c>
      <c r="E444" s="941">
        <v>0.0</v>
      </c>
      <c r="F444" s="941">
        <v>0.0</v>
      </c>
      <c r="G444" s="941">
        <v>158.0</v>
      </c>
      <c r="H444" s="941">
        <v>213.0</v>
      </c>
      <c r="I444" s="941">
        <v>-55.0</v>
      </c>
      <c r="J444" s="941">
        <v>10.0</v>
      </c>
      <c r="K444" s="941">
        <v>4.0</v>
      </c>
      <c r="L444" s="941">
        <v>2.0</v>
      </c>
      <c r="M444" s="941">
        <v>2637.0</v>
      </c>
      <c r="N444" s="941">
        <v>3357.0</v>
      </c>
      <c r="O444" s="941">
        <v>12.0</v>
      </c>
      <c r="P444" s="941">
        <v>5.0</v>
      </c>
      <c r="Q444" s="941">
        <v>0.0</v>
      </c>
      <c r="R444" s="941">
        <v>0.0</v>
      </c>
      <c r="S444" s="941">
        <v>0.0</v>
      </c>
      <c r="T444" s="941">
        <v>0.0</v>
      </c>
      <c r="U444" s="941">
        <v>0.0</v>
      </c>
      <c r="V444" s="941">
        <v>0.0</v>
      </c>
      <c r="W444" s="941">
        <v>0.0</v>
      </c>
      <c r="X444" s="941">
        <v>16.0</v>
      </c>
      <c r="Y444" s="941">
        <v>2.0</v>
      </c>
      <c r="Z444" s="941">
        <v>0.0</v>
      </c>
      <c r="AA444" s="941">
        <v>0.0</v>
      </c>
      <c r="AB444" s="941">
        <v>0.0</v>
      </c>
      <c r="AC444" s="941">
        <v>0.0</v>
      </c>
      <c r="AD444" s="941">
        <v>0.0</v>
      </c>
      <c r="AE444" s="941">
        <v>0.0</v>
      </c>
      <c r="AF444" s="941">
        <v>0.0</v>
      </c>
      <c r="AG444" s="941">
        <v>0.0</v>
      </c>
      <c r="AH444" s="941">
        <v>7.0</v>
      </c>
      <c r="AI444" s="941">
        <v>0.0</v>
      </c>
      <c r="AJ444" s="941">
        <v>16.0</v>
      </c>
      <c r="AK444" s="941">
        <v>33.0</v>
      </c>
      <c r="AL444" s="941">
        <v>3.0</v>
      </c>
      <c r="AM444" s="942">
        <v>0.0</v>
      </c>
    </row>
    <row r="445">
      <c r="A445" s="935" t="s">
        <v>138</v>
      </c>
      <c r="B445" s="941">
        <v>1.0</v>
      </c>
      <c r="C445" s="941">
        <v>1.0</v>
      </c>
      <c r="D445" s="941">
        <v>0.0</v>
      </c>
      <c r="E445" s="941">
        <v>0.0</v>
      </c>
      <c r="F445" s="941">
        <v>0.0</v>
      </c>
      <c r="G445" s="941">
        <v>208.0</v>
      </c>
      <c r="H445" s="941">
        <v>191.0</v>
      </c>
      <c r="I445" s="941">
        <v>17.0</v>
      </c>
      <c r="J445" s="941">
        <v>15.0</v>
      </c>
      <c r="K445" s="941">
        <v>5.0</v>
      </c>
      <c r="L445" s="941">
        <v>4.0</v>
      </c>
      <c r="M445" s="941">
        <v>2707.0</v>
      </c>
      <c r="N445" s="941">
        <v>3357.0</v>
      </c>
      <c r="O445" s="941">
        <v>14.0</v>
      </c>
      <c r="P445" s="941">
        <v>18.0</v>
      </c>
      <c r="Q445" s="941">
        <v>0.0</v>
      </c>
      <c r="R445" s="941">
        <v>3.0</v>
      </c>
      <c r="S445" s="941">
        <v>0.0</v>
      </c>
      <c r="T445" s="941">
        <v>0.0</v>
      </c>
      <c r="U445" s="941">
        <v>0.0</v>
      </c>
      <c r="V445" s="941">
        <v>3.0</v>
      </c>
      <c r="W445" s="941">
        <v>0.0</v>
      </c>
      <c r="X445" s="941">
        <v>27.0</v>
      </c>
      <c r="Y445" s="941">
        <v>3.0</v>
      </c>
      <c r="Z445" s="941">
        <v>2.0</v>
      </c>
      <c r="AA445" s="941">
        <v>0.0</v>
      </c>
      <c r="AB445" s="941">
        <v>0.0</v>
      </c>
      <c r="AC445" s="941">
        <v>0.0</v>
      </c>
      <c r="AD445" s="941">
        <v>0.0</v>
      </c>
      <c r="AE445" s="941">
        <v>0.0</v>
      </c>
      <c r="AF445" s="941">
        <v>0.0</v>
      </c>
      <c r="AG445" s="941">
        <v>0.0</v>
      </c>
      <c r="AH445" s="941">
        <v>4.0</v>
      </c>
      <c r="AI445" s="941">
        <v>0.0</v>
      </c>
      <c r="AJ445" s="941">
        <v>18.0</v>
      </c>
      <c r="AK445" s="941">
        <v>32.0</v>
      </c>
      <c r="AL445" s="941">
        <v>0.0</v>
      </c>
      <c r="AM445" s="942">
        <v>0.0</v>
      </c>
    </row>
    <row r="446">
      <c r="A446" s="935" t="s">
        <v>114</v>
      </c>
      <c r="B446" s="941">
        <v>1.0</v>
      </c>
      <c r="C446" s="941">
        <v>0.0</v>
      </c>
      <c r="D446" s="941">
        <v>1.0</v>
      </c>
      <c r="E446" s="941">
        <v>1.0</v>
      </c>
      <c r="F446" s="941">
        <v>19.0</v>
      </c>
      <c r="G446" s="941">
        <v>82.0</v>
      </c>
      <c r="H446" s="941">
        <v>87.0</v>
      </c>
      <c r="I446" s="941">
        <v>-5.0</v>
      </c>
      <c r="J446" s="941">
        <v>8.0</v>
      </c>
      <c r="K446" s="941">
        <v>5.0</v>
      </c>
      <c r="L446" s="941">
        <v>1.0</v>
      </c>
      <c r="M446" s="941">
        <v>3013.0</v>
      </c>
      <c r="N446" s="941">
        <v>3357.0</v>
      </c>
      <c r="O446" s="941">
        <v>34.0</v>
      </c>
      <c r="P446" s="941">
        <v>1804.0</v>
      </c>
      <c r="Q446" s="941">
        <v>0.0</v>
      </c>
      <c r="R446" s="941">
        <v>1.0</v>
      </c>
      <c r="S446" s="941">
        <v>0.0</v>
      </c>
      <c r="T446" s="941">
        <v>0.0</v>
      </c>
      <c r="U446" s="941">
        <v>0.0</v>
      </c>
      <c r="V446" s="941">
        <v>0.0</v>
      </c>
      <c r="W446" s="941">
        <v>0.0</v>
      </c>
      <c r="X446" s="941">
        <v>13.0</v>
      </c>
      <c r="Y446" s="941">
        <v>2.0</v>
      </c>
      <c r="Z446" s="941">
        <v>0.0</v>
      </c>
      <c r="AA446" s="941">
        <v>0.0</v>
      </c>
      <c r="AB446" s="941">
        <v>0.0</v>
      </c>
      <c r="AC446" s="941">
        <v>0.0</v>
      </c>
      <c r="AD446" s="941">
        <v>0.0</v>
      </c>
      <c r="AE446" s="941">
        <v>0.0</v>
      </c>
      <c r="AF446" s="941">
        <v>0.0</v>
      </c>
      <c r="AG446" s="941">
        <v>0.0</v>
      </c>
      <c r="AH446" s="941">
        <v>4.0</v>
      </c>
      <c r="AI446" s="941">
        <v>0.0</v>
      </c>
      <c r="AJ446" s="941">
        <v>15.0</v>
      </c>
      <c r="AK446" s="941">
        <v>9.0</v>
      </c>
      <c r="AL446" s="941">
        <v>1.0</v>
      </c>
      <c r="AM446" s="942">
        <v>1.0</v>
      </c>
    </row>
    <row r="447">
      <c r="A447" s="935" t="s">
        <v>129</v>
      </c>
      <c r="B447" s="941">
        <v>1.0</v>
      </c>
      <c r="C447" s="941">
        <v>0.0</v>
      </c>
      <c r="D447" s="941">
        <v>1.0</v>
      </c>
      <c r="E447" s="941">
        <v>0.0</v>
      </c>
      <c r="F447" s="941">
        <v>0.0</v>
      </c>
      <c r="G447" s="941">
        <v>192.0</v>
      </c>
      <c r="H447" s="941">
        <v>150.0</v>
      </c>
      <c r="I447" s="941">
        <v>42.0</v>
      </c>
      <c r="J447" s="941">
        <v>10.0</v>
      </c>
      <c r="K447" s="941">
        <v>6.0</v>
      </c>
      <c r="L447" s="941">
        <v>2.0</v>
      </c>
      <c r="M447" s="941">
        <v>2831.0</v>
      </c>
      <c r="N447" s="941">
        <v>3357.0</v>
      </c>
      <c r="O447" s="941">
        <v>18.0</v>
      </c>
      <c r="P447" s="941">
        <v>26.0</v>
      </c>
      <c r="Q447" s="941">
        <v>0.0</v>
      </c>
      <c r="R447" s="941">
        <v>3.0</v>
      </c>
      <c r="S447" s="941">
        <v>0.0</v>
      </c>
      <c r="T447" s="941">
        <v>0.0</v>
      </c>
      <c r="U447" s="941">
        <v>0.0</v>
      </c>
      <c r="V447" s="941">
        <v>3.0</v>
      </c>
      <c r="W447" s="941">
        <v>0.0</v>
      </c>
      <c r="X447" s="941">
        <v>25.0</v>
      </c>
      <c r="Y447" s="941">
        <v>8.0</v>
      </c>
      <c r="Z447" s="941">
        <v>2.0</v>
      </c>
      <c r="AA447" s="941">
        <v>1.0</v>
      </c>
      <c r="AB447" s="941">
        <v>0.0</v>
      </c>
      <c r="AC447" s="941">
        <v>0.0</v>
      </c>
      <c r="AD447" s="941">
        <v>0.0</v>
      </c>
      <c r="AE447" s="941">
        <v>0.0</v>
      </c>
      <c r="AF447" s="941">
        <v>0.0</v>
      </c>
      <c r="AG447" s="941">
        <v>0.0</v>
      </c>
      <c r="AH447" s="941">
        <v>6.0</v>
      </c>
      <c r="AI447" s="941">
        <v>0.0</v>
      </c>
      <c r="AJ447" s="941">
        <v>22.0</v>
      </c>
      <c r="AK447" s="941">
        <v>25.0</v>
      </c>
      <c r="AL447" s="941">
        <v>0.0</v>
      </c>
      <c r="AM447" s="942">
        <v>1.0</v>
      </c>
    </row>
    <row r="448">
      <c r="A448" s="935" t="s">
        <v>136</v>
      </c>
      <c r="B448" s="941">
        <v>1.0</v>
      </c>
      <c r="C448" s="941">
        <v>0.0</v>
      </c>
      <c r="D448" s="941">
        <v>1.0</v>
      </c>
      <c r="E448" s="941">
        <v>0.0</v>
      </c>
      <c r="F448" s="941">
        <v>0.0</v>
      </c>
      <c r="G448" s="941">
        <v>221.0</v>
      </c>
      <c r="H448" s="941">
        <v>264.0</v>
      </c>
      <c r="I448" s="941">
        <v>-43.0</v>
      </c>
      <c r="J448" s="941">
        <v>8.0</v>
      </c>
      <c r="K448" s="941">
        <v>6.0</v>
      </c>
      <c r="L448" s="941">
        <v>4.0</v>
      </c>
      <c r="M448" s="941">
        <v>2487.0</v>
      </c>
      <c r="N448" s="941">
        <v>3357.0</v>
      </c>
      <c r="O448" s="941">
        <v>9.0</v>
      </c>
      <c r="P448" s="941">
        <v>21.0</v>
      </c>
      <c r="Q448" s="941">
        <v>0.0</v>
      </c>
      <c r="R448" s="941">
        <v>1.0</v>
      </c>
      <c r="S448" s="941">
        <v>0.0</v>
      </c>
      <c r="T448" s="941">
        <v>0.0</v>
      </c>
      <c r="U448" s="941">
        <v>0.0</v>
      </c>
      <c r="V448" s="941">
        <v>1.0</v>
      </c>
      <c r="W448" s="941">
        <v>0.0</v>
      </c>
      <c r="X448" s="941">
        <v>36.0</v>
      </c>
      <c r="Y448" s="941">
        <v>4.0</v>
      </c>
      <c r="Z448" s="941">
        <v>1.0</v>
      </c>
      <c r="AA448" s="941">
        <v>0.0</v>
      </c>
      <c r="AB448" s="941">
        <v>0.0</v>
      </c>
      <c r="AC448" s="941">
        <v>0.0</v>
      </c>
      <c r="AD448" s="941">
        <v>0.0</v>
      </c>
      <c r="AE448" s="941">
        <v>0.0</v>
      </c>
      <c r="AF448" s="941">
        <v>0.0</v>
      </c>
      <c r="AG448" s="941">
        <v>0.0</v>
      </c>
      <c r="AH448" s="941">
        <v>3.0</v>
      </c>
      <c r="AI448" s="941">
        <v>0.0</v>
      </c>
      <c r="AJ448" s="941">
        <v>16.0</v>
      </c>
      <c r="AK448" s="941">
        <v>41.0</v>
      </c>
      <c r="AL448" s="941">
        <v>1.0</v>
      </c>
      <c r="AM448" s="942">
        <v>1.0</v>
      </c>
    </row>
    <row r="449">
      <c r="A449" s="935" t="s">
        <v>147</v>
      </c>
      <c r="B449" s="941">
        <v>1.0</v>
      </c>
      <c r="C449" s="941">
        <v>0.0</v>
      </c>
      <c r="D449" s="941">
        <v>1.0</v>
      </c>
      <c r="E449" s="941">
        <v>0.0</v>
      </c>
      <c r="F449" s="941">
        <v>1.0</v>
      </c>
      <c r="G449" s="941">
        <v>151.0</v>
      </c>
      <c r="H449" s="941">
        <v>214.0</v>
      </c>
      <c r="I449" s="941">
        <v>-63.0</v>
      </c>
      <c r="J449" s="941">
        <v>12.0</v>
      </c>
      <c r="K449" s="941">
        <v>4.0</v>
      </c>
      <c r="L449" s="941">
        <v>4.0</v>
      </c>
      <c r="M449" s="941">
        <v>2637.0</v>
      </c>
      <c r="N449" s="941">
        <v>3357.0</v>
      </c>
      <c r="O449" s="941">
        <v>12.0</v>
      </c>
      <c r="P449" s="941">
        <v>30.0</v>
      </c>
      <c r="Q449" s="941">
        <v>0.0</v>
      </c>
      <c r="R449" s="941">
        <v>0.0</v>
      </c>
      <c r="S449" s="941">
        <v>0.0</v>
      </c>
      <c r="T449" s="941">
        <v>0.0</v>
      </c>
      <c r="U449" s="941">
        <v>0.0</v>
      </c>
      <c r="V449" s="941">
        <v>0.0</v>
      </c>
      <c r="W449" s="941">
        <v>0.0</v>
      </c>
      <c r="X449" s="941">
        <v>14.0</v>
      </c>
      <c r="Y449" s="941">
        <v>2.0</v>
      </c>
      <c r="Z449" s="941">
        <v>0.0</v>
      </c>
      <c r="AA449" s="941">
        <v>0.0</v>
      </c>
      <c r="AB449" s="941">
        <v>0.0</v>
      </c>
      <c r="AC449" s="941">
        <v>0.0</v>
      </c>
      <c r="AD449" s="941">
        <v>0.0</v>
      </c>
      <c r="AE449" s="941">
        <v>0.0</v>
      </c>
      <c r="AF449" s="941">
        <v>0.0</v>
      </c>
      <c r="AG449" s="941">
        <v>0.0</v>
      </c>
      <c r="AH449" s="941">
        <v>7.0</v>
      </c>
      <c r="AI449" s="941">
        <v>0.0</v>
      </c>
      <c r="AJ449" s="941">
        <v>14.0</v>
      </c>
      <c r="AK449" s="941">
        <v>19.0</v>
      </c>
      <c r="AL449" s="941">
        <v>0.0</v>
      </c>
      <c r="AM449" s="942">
        <v>1.0</v>
      </c>
    </row>
    <row r="450">
      <c r="A450" s="946" t="s">
        <v>119</v>
      </c>
      <c r="B450" s="939">
        <v>1.0</v>
      </c>
      <c r="C450" s="939">
        <v>1.0</v>
      </c>
      <c r="D450" s="939">
        <v>0.0</v>
      </c>
      <c r="E450" s="939">
        <v>5.0</v>
      </c>
      <c r="F450" s="939">
        <v>20.0</v>
      </c>
      <c r="G450" s="939">
        <v>40.0</v>
      </c>
      <c r="H450" s="939">
        <v>23.0</v>
      </c>
      <c r="I450" s="939">
        <v>17.0</v>
      </c>
      <c r="J450" s="939">
        <v>4.0</v>
      </c>
      <c r="K450" s="939">
        <v>12.0</v>
      </c>
      <c r="L450" s="939">
        <v>2.0</v>
      </c>
      <c r="M450" s="939">
        <v>847.0</v>
      </c>
      <c r="N450" s="939">
        <v>998.0</v>
      </c>
      <c r="O450" s="939">
        <v>36.0</v>
      </c>
      <c r="P450" s="939">
        <v>608.0</v>
      </c>
      <c r="Q450" s="939">
        <v>0.0</v>
      </c>
      <c r="R450" s="939">
        <v>2.0</v>
      </c>
      <c r="S450" s="939">
        <v>1.0</v>
      </c>
      <c r="T450" s="939">
        <v>0.0</v>
      </c>
      <c r="U450" s="939">
        <v>0.0</v>
      </c>
      <c r="V450" s="939">
        <v>0.0</v>
      </c>
      <c r="W450" s="939">
        <v>0.0</v>
      </c>
      <c r="X450" s="939">
        <v>4.0</v>
      </c>
      <c r="Y450" s="939">
        <v>1.0</v>
      </c>
      <c r="Z450" s="939">
        <v>0.0</v>
      </c>
      <c r="AA450" s="939">
        <v>0.0</v>
      </c>
      <c r="AB450" s="939">
        <v>0.0</v>
      </c>
      <c r="AC450" s="939">
        <v>0.0</v>
      </c>
      <c r="AD450" s="939">
        <v>0.0</v>
      </c>
      <c r="AE450" s="939">
        <v>0.0</v>
      </c>
      <c r="AF450" s="939">
        <v>0.0</v>
      </c>
      <c r="AG450" s="939">
        <v>0.0</v>
      </c>
      <c r="AH450" s="939">
        <v>2.0</v>
      </c>
      <c r="AI450" s="939">
        <v>0.0</v>
      </c>
      <c r="AJ450" s="939">
        <v>5.0</v>
      </c>
      <c r="AK450" s="939">
        <v>1.0</v>
      </c>
      <c r="AL450" s="939">
        <v>2.0</v>
      </c>
      <c r="AM450" s="940">
        <v>1.0</v>
      </c>
    </row>
    <row r="451">
      <c r="A451" s="935" t="s">
        <v>130</v>
      </c>
      <c r="B451" s="941">
        <v>1.0</v>
      </c>
      <c r="C451" s="941">
        <v>1.0</v>
      </c>
      <c r="D451" s="941">
        <v>0.0</v>
      </c>
      <c r="E451" s="941">
        <v>0.0</v>
      </c>
      <c r="F451" s="941">
        <v>0.0</v>
      </c>
      <c r="G451" s="941">
        <v>43.0</v>
      </c>
      <c r="H451" s="941">
        <v>38.0</v>
      </c>
      <c r="I451" s="941">
        <v>5.0</v>
      </c>
      <c r="J451" s="941">
        <v>5.0</v>
      </c>
      <c r="K451" s="941">
        <v>3.0</v>
      </c>
      <c r="L451" s="941">
        <v>2.0</v>
      </c>
      <c r="M451" s="941">
        <v>804.0</v>
      </c>
      <c r="N451" s="941">
        <v>998.0</v>
      </c>
      <c r="O451" s="941">
        <v>21.0</v>
      </c>
      <c r="P451" s="941">
        <v>0.0</v>
      </c>
      <c r="Q451" s="941">
        <v>0.0</v>
      </c>
      <c r="R451" s="941">
        <v>0.0</v>
      </c>
      <c r="S451" s="941">
        <v>0.0</v>
      </c>
      <c r="T451" s="941">
        <v>0.0</v>
      </c>
      <c r="U451" s="941">
        <v>0.0</v>
      </c>
      <c r="V451" s="941">
        <v>0.0</v>
      </c>
      <c r="W451" s="941">
        <v>0.0</v>
      </c>
      <c r="X451" s="941">
        <v>3.0</v>
      </c>
      <c r="Y451" s="941">
        <v>1.0</v>
      </c>
      <c r="Z451" s="941">
        <v>0.0</v>
      </c>
      <c r="AA451" s="941">
        <v>0.0</v>
      </c>
      <c r="AB451" s="941">
        <v>0.0</v>
      </c>
      <c r="AC451" s="941">
        <v>0.0</v>
      </c>
      <c r="AD451" s="941">
        <v>0.0</v>
      </c>
      <c r="AE451" s="941">
        <v>0.0</v>
      </c>
      <c r="AF451" s="941">
        <v>0.0</v>
      </c>
      <c r="AG451" s="941">
        <v>0.0</v>
      </c>
      <c r="AH451" s="941">
        <v>4.0</v>
      </c>
      <c r="AI451" s="941">
        <v>0.0</v>
      </c>
      <c r="AJ451" s="941">
        <v>4.0</v>
      </c>
      <c r="AK451" s="941">
        <v>4.0</v>
      </c>
      <c r="AL451" s="941">
        <v>0.0</v>
      </c>
      <c r="AM451" s="942">
        <v>1.0</v>
      </c>
    </row>
    <row r="452">
      <c r="A452" s="935" t="s">
        <v>145</v>
      </c>
      <c r="B452" s="941">
        <v>1.0</v>
      </c>
      <c r="C452" s="941">
        <v>1.0</v>
      </c>
      <c r="D452" s="941">
        <v>0.0</v>
      </c>
      <c r="E452" s="941">
        <v>0.0</v>
      </c>
      <c r="F452" s="941">
        <v>0.0</v>
      </c>
      <c r="G452" s="941">
        <v>60.0</v>
      </c>
      <c r="H452" s="941">
        <v>60.0</v>
      </c>
      <c r="I452" s="941">
        <v>0.0</v>
      </c>
      <c r="J452" s="941">
        <v>2.0</v>
      </c>
      <c r="K452" s="941">
        <v>5.0</v>
      </c>
      <c r="L452" s="941">
        <v>0.0</v>
      </c>
      <c r="M452" s="941">
        <v>736.0</v>
      </c>
      <c r="N452" s="941">
        <v>998.0</v>
      </c>
      <c r="O452" s="941">
        <v>12.0</v>
      </c>
      <c r="P452" s="941">
        <v>2.0</v>
      </c>
      <c r="Q452" s="941">
        <v>0.0</v>
      </c>
      <c r="R452" s="941">
        <v>1.0</v>
      </c>
      <c r="S452" s="941">
        <v>0.0</v>
      </c>
      <c r="T452" s="941">
        <v>0.0</v>
      </c>
      <c r="U452" s="941">
        <v>0.0</v>
      </c>
      <c r="V452" s="941">
        <v>0.0</v>
      </c>
      <c r="W452" s="941">
        <v>0.0</v>
      </c>
      <c r="X452" s="941">
        <v>12.0</v>
      </c>
      <c r="Y452" s="941">
        <v>2.0</v>
      </c>
      <c r="Z452" s="941">
        <v>0.0</v>
      </c>
      <c r="AA452" s="941">
        <v>0.0</v>
      </c>
      <c r="AB452" s="941">
        <v>0.0</v>
      </c>
      <c r="AC452" s="941">
        <v>0.0</v>
      </c>
      <c r="AD452" s="941">
        <v>0.0</v>
      </c>
      <c r="AE452" s="941">
        <v>0.0</v>
      </c>
      <c r="AF452" s="941">
        <v>0.0</v>
      </c>
      <c r="AG452" s="941">
        <v>0.0</v>
      </c>
      <c r="AH452" s="941">
        <v>7.0</v>
      </c>
      <c r="AI452" s="941">
        <v>0.0</v>
      </c>
      <c r="AJ452" s="941">
        <v>7.0</v>
      </c>
      <c r="AK452" s="941">
        <v>8.0</v>
      </c>
      <c r="AL452" s="941">
        <v>0.0</v>
      </c>
      <c r="AM452" s="942">
        <v>1.0</v>
      </c>
    </row>
    <row r="453">
      <c r="A453" s="935" t="s">
        <v>141</v>
      </c>
      <c r="B453" s="941">
        <v>1.0</v>
      </c>
      <c r="C453" s="941">
        <v>1.0</v>
      </c>
      <c r="D453" s="941">
        <v>0.0</v>
      </c>
      <c r="E453" s="941">
        <v>0.0</v>
      </c>
      <c r="F453" s="941">
        <v>0.0</v>
      </c>
      <c r="G453" s="941">
        <v>62.0</v>
      </c>
      <c r="H453" s="941">
        <v>55.0</v>
      </c>
      <c r="I453" s="941">
        <v>7.0</v>
      </c>
      <c r="J453" s="941">
        <v>8.0</v>
      </c>
      <c r="K453" s="941">
        <v>7.0</v>
      </c>
      <c r="L453" s="941">
        <v>2.0</v>
      </c>
      <c r="M453" s="941">
        <v>756.0</v>
      </c>
      <c r="N453" s="941">
        <v>998.0</v>
      </c>
      <c r="O453" s="941">
        <v>13.0</v>
      </c>
      <c r="P453" s="941">
        <v>2.0</v>
      </c>
      <c r="Q453" s="941">
        <v>0.0</v>
      </c>
      <c r="R453" s="941">
        <v>2.0</v>
      </c>
      <c r="S453" s="941">
        <v>0.0</v>
      </c>
      <c r="T453" s="941">
        <v>0.0</v>
      </c>
      <c r="U453" s="941">
        <v>0.0</v>
      </c>
      <c r="V453" s="941">
        <v>2.0</v>
      </c>
      <c r="W453" s="941">
        <v>0.0</v>
      </c>
      <c r="X453" s="941">
        <v>9.0</v>
      </c>
      <c r="Y453" s="941">
        <v>3.0</v>
      </c>
      <c r="Z453" s="941">
        <v>1.0</v>
      </c>
      <c r="AA453" s="941">
        <v>1.0</v>
      </c>
      <c r="AB453" s="941">
        <v>1.0</v>
      </c>
      <c r="AC453" s="941">
        <v>0.0</v>
      </c>
      <c r="AD453" s="941">
        <v>0.0</v>
      </c>
      <c r="AE453" s="941">
        <v>0.0</v>
      </c>
      <c r="AF453" s="941">
        <v>0.0</v>
      </c>
      <c r="AG453" s="941">
        <v>0.0</v>
      </c>
      <c r="AH453" s="941">
        <v>3.0</v>
      </c>
      <c r="AI453" s="941">
        <v>0.0</v>
      </c>
      <c r="AJ453" s="941">
        <v>8.0</v>
      </c>
      <c r="AK453" s="941">
        <v>4.0</v>
      </c>
      <c r="AL453" s="941">
        <v>0.0</v>
      </c>
      <c r="AM453" s="942">
        <v>1.0</v>
      </c>
    </row>
    <row r="454">
      <c r="A454" s="935" t="s">
        <v>117</v>
      </c>
      <c r="B454" s="941">
        <v>1.0</v>
      </c>
      <c r="C454" s="941">
        <v>0.0</v>
      </c>
      <c r="D454" s="941">
        <v>1.0</v>
      </c>
      <c r="E454" s="941">
        <v>1.0</v>
      </c>
      <c r="F454" s="941">
        <v>4.0</v>
      </c>
      <c r="G454" s="941">
        <v>27.0</v>
      </c>
      <c r="H454" s="941">
        <v>48.0</v>
      </c>
      <c r="I454" s="941">
        <v>-21.0</v>
      </c>
      <c r="J454" s="941">
        <v>5.0</v>
      </c>
      <c r="K454" s="941">
        <v>3.0</v>
      </c>
      <c r="L454" s="941">
        <v>1.0</v>
      </c>
      <c r="M454" s="941">
        <v>771.0</v>
      </c>
      <c r="N454" s="941">
        <v>998.0</v>
      </c>
      <c r="O454" s="941">
        <v>16.0</v>
      </c>
      <c r="P454" s="941">
        <v>117.0</v>
      </c>
      <c r="Q454" s="941">
        <v>0.0</v>
      </c>
      <c r="R454" s="941">
        <v>0.0</v>
      </c>
      <c r="S454" s="941">
        <v>0.0</v>
      </c>
      <c r="T454" s="941">
        <v>0.0</v>
      </c>
      <c r="U454" s="941">
        <v>0.0</v>
      </c>
      <c r="V454" s="941">
        <v>0.0</v>
      </c>
      <c r="W454" s="941">
        <v>0.0</v>
      </c>
      <c r="X454" s="941">
        <v>1.0</v>
      </c>
      <c r="Y454" s="941">
        <v>0.0</v>
      </c>
      <c r="Z454" s="941">
        <v>0.0</v>
      </c>
      <c r="AA454" s="941">
        <v>0.0</v>
      </c>
      <c r="AB454" s="941">
        <v>0.0</v>
      </c>
      <c r="AC454" s="941">
        <v>0.0</v>
      </c>
      <c r="AD454" s="941">
        <v>0.0</v>
      </c>
      <c r="AE454" s="941">
        <v>0.0</v>
      </c>
      <c r="AF454" s="941">
        <v>0.0</v>
      </c>
      <c r="AG454" s="941">
        <v>0.0</v>
      </c>
      <c r="AH454" s="941">
        <v>0.0</v>
      </c>
      <c r="AI454" s="941">
        <v>0.0</v>
      </c>
      <c r="AJ454" s="941">
        <v>2.0</v>
      </c>
      <c r="AK454" s="941">
        <v>4.0</v>
      </c>
      <c r="AL454" s="941">
        <v>1.0</v>
      </c>
      <c r="AM454" s="942">
        <v>0.0</v>
      </c>
    </row>
    <row r="455">
      <c r="A455" s="935" t="s">
        <v>139</v>
      </c>
      <c r="B455" s="941">
        <v>1.0</v>
      </c>
      <c r="C455" s="941">
        <v>0.0</v>
      </c>
      <c r="D455" s="941">
        <v>1.0</v>
      </c>
      <c r="E455" s="941">
        <v>0.0</v>
      </c>
      <c r="F455" s="941">
        <v>1.0</v>
      </c>
      <c r="G455" s="941">
        <v>46.0</v>
      </c>
      <c r="H455" s="941">
        <v>68.0</v>
      </c>
      <c r="I455" s="941">
        <v>-22.0</v>
      </c>
      <c r="J455" s="941">
        <v>1.0</v>
      </c>
      <c r="K455" s="941">
        <v>3.0</v>
      </c>
      <c r="L455" s="941">
        <v>5.0</v>
      </c>
      <c r="M455" s="941">
        <v>724.0</v>
      </c>
      <c r="N455" s="941">
        <v>998.0</v>
      </c>
      <c r="O455" s="941">
        <v>10.0</v>
      </c>
      <c r="P455" s="941">
        <v>1.0</v>
      </c>
      <c r="Q455" s="941">
        <v>0.0</v>
      </c>
      <c r="R455" s="941">
        <v>0.0</v>
      </c>
      <c r="S455" s="941">
        <v>0.0</v>
      </c>
      <c r="T455" s="941">
        <v>0.0</v>
      </c>
      <c r="U455" s="941">
        <v>0.0</v>
      </c>
      <c r="V455" s="941">
        <v>0.0</v>
      </c>
      <c r="W455" s="941">
        <v>0.0</v>
      </c>
      <c r="X455" s="941">
        <v>2.0</v>
      </c>
      <c r="Y455" s="941">
        <v>0.0</v>
      </c>
      <c r="Z455" s="941">
        <v>0.0</v>
      </c>
      <c r="AA455" s="941">
        <v>0.0</v>
      </c>
      <c r="AB455" s="941">
        <v>0.0</v>
      </c>
      <c r="AC455" s="941">
        <v>0.0</v>
      </c>
      <c r="AD455" s="941">
        <v>0.0</v>
      </c>
      <c r="AE455" s="941">
        <v>0.0</v>
      </c>
      <c r="AF455" s="941">
        <v>0.0</v>
      </c>
      <c r="AG455" s="941">
        <v>0.0</v>
      </c>
      <c r="AH455" s="941">
        <v>1.0</v>
      </c>
      <c r="AI455" s="941">
        <v>0.0</v>
      </c>
      <c r="AJ455" s="941">
        <v>2.0</v>
      </c>
      <c r="AK455" s="941">
        <v>5.0</v>
      </c>
      <c r="AL455" s="941">
        <v>1.0</v>
      </c>
      <c r="AM455" s="942">
        <v>0.0</v>
      </c>
    </row>
    <row r="456">
      <c r="A456" s="935" t="s">
        <v>128</v>
      </c>
      <c r="B456" s="941">
        <v>1.0</v>
      </c>
      <c r="C456" s="941">
        <v>0.0</v>
      </c>
      <c r="D456" s="941">
        <v>1.0</v>
      </c>
      <c r="E456" s="941">
        <v>0.0</v>
      </c>
      <c r="F456" s="941">
        <v>0.0</v>
      </c>
      <c r="G456" s="941">
        <v>48.0</v>
      </c>
      <c r="H456" s="941">
        <v>57.0</v>
      </c>
      <c r="I456" s="941">
        <v>-9.0</v>
      </c>
      <c r="J456" s="941">
        <v>3.0</v>
      </c>
      <c r="K456" s="941">
        <v>4.0</v>
      </c>
      <c r="L456" s="941">
        <v>1.0</v>
      </c>
      <c r="M456" s="941">
        <v>749.0</v>
      </c>
      <c r="N456" s="941">
        <v>998.0</v>
      </c>
      <c r="O456" s="941">
        <v>13.0</v>
      </c>
      <c r="P456" s="941">
        <v>98.0</v>
      </c>
      <c r="Q456" s="941">
        <v>0.0</v>
      </c>
      <c r="R456" s="941">
        <v>0.0</v>
      </c>
      <c r="S456" s="941">
        <v>0.0</v>
      </c>
      <c r="T456" s="941">
        <v>0.0</v>
      </c>
      <c r="U456" s="941">
        <v>0.0</v>
      </c>
      <c r="V456" s="941">
        <v>0.0</v>
      </c>
      <c r="W456" s="941">
        <v>0.0</v>
      </c>
      <c r="X456" s="941">
        <v>5.0</v>
      </c>
      <c r="Y456" s="941">
        <v>0.0</v>
      </c>
      <c r="Z456" s="941">
        <v>0.0</v>
      </c>
      <c r="AA456" s="941">
        <v>0.0</v>
      </c>
      <c r="AB456" s="941">
        <v>0.0</v>
      </c>
      <c r="AC456" s="941">
        <v>0.0</v>
      </c>
      <c r="AD456" s="941">
        <v>0.0</v>
      </c>
      <c r="AE456" s="941">
        <v>0.0</v>
      </c>
      <c r="AF456" s="941">
        <v>0.0</v>
      </c>
      <c r="AG456" s="941">
        <v>0.0</v>
      </c>
      <c r="AH456" s="941">
        <v>0.0</v>
      </c>
      <c r="AI456" s="941">
        <v>0.0</v>
      </c>
      <c r="AJ456" s="941">
        <v>4.0</v>
      </c>
      <c r="AK456" s="941">
        <v>3.0</v>
      </c>
      <c r="AL456" s="941">
        <v>1.0</v>
      </c>
      <c r="AM456" s="942">
        <v>0.0</v>
      </c>
    </row>
    <row r="457">
      <c r="A457" s="943" t="s">
        <v>150</v>
      </c>
      <c r="B457" s="944">
        <v>1.0</v>
      </c>
      <c r="C457" s="944">
        <v>0.0</v>
      </c>
      <c r="D457" s="944">
        <v>1.0</v>
      </c>
      <c r="E457" s="944">
        <v>0.0</v>
      </c>
      <c r="F457" s="944">
        <v>0.0</v>
      </c>
      <c r="G457" s="944">
        <v>42.0</v>
      </c>
      <c r="H457" s="944">
        <v>49.0</v>
      </c>
      <c r="I457" s="944">
        <v>-7.0</v>
      </c>
      <c r="J457" s="944">
        <v>2.0</v>
      </c>
      <c r="K457" s="944">
        <v>4.0</v>
      </c>
      <c r="L457" s="944">
        <v>1.0</v>
      </c>
      <c r="M457" s="944">
        <v>777.0</v>
      </c>
      <c r="N457" s="944">
        <v>998.0</v>
      </c>
      <c r="O457" s="944">
        <v>15.0</v>
      </c>
      <c r="P457" s="944">
        <v>14.0</v>
      </c>
      <c r="Q457" s="944">
        <v>0.0</v>
      </c>
      <c r="R457" s="944">
        <v>0.0</v>
      </c>
      <c r="S457" s="944">
        <v>0.0</v>
      </c>
      <c r="T457" s="944">
        <v>0.0</v>
      </c>
      <c r="U457" s="944">
        <v>0.0</v>
      </c>
      <c r="V457" s="944">
        <v>0.0</v>
      </c>
      <c r="W457" s="944">
        <v>0.0</v>
      </c>
      <c r="X457" s="944">
        <v>4.0</v>
      </c>
      <c r="Y457" s="944">
        <v>1.0</v>
      </c>
      <c r="Z457" s="944">
        <v>0.0</v>
      </c>
      <c r="AA457" s="944">
        <v>0.0</v>
      </c>
      <c r="AB457" s="944">
        <v>0.0</v>
      </c>
      <c r="AC457" s="944">
        <v>0.0</v>
      </c>
      <c r="AD457" s="944">
        <v>0.0</v>
      </c>
      <c r="AE457" s="944">
        <v>0.0</v>
      </c>
      <c r="AF457" s="944">
        <v>0.0</v>
      </c>
      <c r="AG457" s="944">
        <v>0.0</v>
      </c>
      <c r="AH457" s="944">
        <v>0.0</v>
      </c>
      <c r="AI457" s="944">
        <v>0.0</v>
      </c>
      <c r="AJ457" s="944">
        <v>4.0</v>
      </c>
      <c r="AK457" s="944">
        <v>6.0</v>
      </c>
      <c r="AL457" s="944">
        <v>1.0</v>
      </c>
      <c r="AM457" s="945">
        <v>0.0</v>
      </c>
    </row>
    <row r="458">
      <c r="A458" s="964" t="s">
        <v>132</v>
      </c>
      <c r="B458" s="941">
        <v>1.0</v>
      </c>
      <c r="C458" s="941">
        <v>1.0</v>
      </c>
      <c r="D458" s="941">
        <v>0.0</v>
      </c>
      <c r="E458" s="941">
        <v>3.0</v>
      </c>
      <c r="F458" s="941">
        <v>18.0</v>
      </c>
      <c r="G458" s="941">
        <v>40.0</v>
      </c>
      <c r="H458" s="941">
        <v>23.0</v>
      </c>
      <c r="I458" s="941">
        <v>17.0</v>
      </c>
      <c r="J458" s="941">
        <v>5.0</v>
      </c>
      <c r="K458" s="941">
        <v>7.0</v>
      </c>
      <c r="L458" s="941">
        <v>0.0</v>
      </c>
      <c r="M458" s="941">
        <v>961.0</v>
      </c>
      <c r="N458" s="941">
        <v>1127.0</v>
      </c>
      <c r="O458" s="941">
        <v>41.0</v>
      </c>
      <c r="P458" s="941">
        <v>702.0</v>
      </c>
      <c r="Q458" s="941">
        <v>0.0</v>
      </c>
      <c r="R458" s="941">
        <v>2.0</v>
      </c>
      <c r="S458" s="941">
        <v>0.0</v>
      </c>
      <c r="T458" s="941">
        <v>0.0</v>
      </c>
      <c r="U458" s="941">
        <v>0.0</v>
      </c>
      <c r="V458" s="941">
        <v>1.0</v>
      </c>
      <c r="W458" s="941">
        <v>0.0</v>
      </c>
      <c r="X458" s="941">
        <v>4.0</v>
      </c>
      <c r="Y458" s="941">
        <v>1.0</v>
      </c>
      <c r="Z458" s="941">
        <v>1.0</v>
      </c>
      <c r="AA458" s="941">
        <v>0.0</v>
      </c>
      <c r="AB458" s="941">
        <v>0.0</v>
      </c>
      <c r="AC458" s="941">
        <v>0.0</v>
      </c>
      <c r="AD458" s="941">
        <v>0.0</v>
      </c>
      <c r="AE458" s="941">
        <v>0.0</v>
      </c>
      <c r="AF458" s="941">
        <v>0.0</v>
      </c>
      <c r="AG458" s="941">
        <v>0.0</v>
      </c>
      <c r="AH458" s="941">
        <v>2.0</v>
      </c>
      <c r="AI458" s="941">
        <v>0.0</v>
      </c>
      <c r="AJ458" s="941">
        <v>6.0</v>
      </c>
      <c r="AK458" s="941">
        <v>4.0</v>
      </c>
      <c r="AL458" s="941">
        <v>1.0</v>
      </c>
      <c r="AM458" s="941">
        <v>1.0</v>
      </c>
    </row>
    <row r="459">
      <c r="A459" s="965" t="s">
        <v>121</v>
      </c>
      <c r="B459" s="941">
        <v>1.0</v>
      </c>
      <c r="C459" s="941">
        <v>1.0</v>
      </c>
      <c r="D459" s="941">
        <v>0.0</v>
      </c>
      <c r="E459" s="941">
        <v>1.0</v>
      </c>
      <c r="F459" s="941">
        <v>1.0</v>
      </c>
      <c r="G459" s="941">
        <v>77.0</v>
      </c>
      <c r="H459" s="941">
        <v>50.0</v>
      </c>
      <c r="I459" s="941">
        <v>27.0</v>
      </c>
      <c r="J459" s="941">
        <v>3.0</v>
      </c>
      <c r="K459" s="941">
        <v>6.0</v>
      </c>
      <c r="L459" s="941">
        <v>1.0</v>
      </c>
      <c r="M459" s="941">
        <v>884.0</v>
      </c>
      <c r="N459" s="941">
        <v>1127.0</v>
      </c>
      <c r="O459" s="941">
        <v>17.0</v>
      </c>
      <c r="P459" s="941">
        <v>31.0</v>
      </c>
      <c r="Q459" s="941">
        <v>0.0</v>
      </c>
      <c r="R459" s="941">
        <v>2.0</v>
      </c>
      <c r="S459" s="941">
        <v>0.0</v>
      </c>
      <c r="T459" s="941">
        <v>0.0</v>
      </c>
      <c r="U459" s="941">
        <v>0.0</v>
      </c>
      <c r="V459" s="941">
        <v>2.0</v>
      </c>
      <c r="W459" s="941">
        <v>0.0</v>
      </c>
      <c r="X459" s="941">
        <v>14.0</v>
      </c>
      <c r="Y459" s="941">
        <v>3.0</v>
      </c>
      <c r="Z459" s="941">
        <v>0.0</v>
      </c>
      <c r="AA459" s="941">
        <v>0.0</v>
      </c>
      <c r="AB459" s="941">
        <v>0.0</v>
      </c>
      <c r="AC459" s="941">
        <v>0.0</v>
      </c>
      <c r="AD459" s="941">
        <v>0.0</v>
      </c>
      <c r="AE459" s="941">
        <v>0.0</v>
      </c>
      <c r="AF459" s="941">
        <v>0.0</v>
      </c>
      <c r="AG459" s="941">
        <v>0.0</v>
      </c>
      <c r="AH459" s="941">
        <v>6.0</v>
      </c>
      <c r="AI459" s="941">
        <v>0.0</v>
      </c>
      <c r="AJ459" s="941">
        <v>9.0</v>
      </c>
      <c r="AK459" s="941">
        <v>9.0</v>
      </c>
      <c r="AL459" s="941">
        <v>0.0</v>
      </c>
      <c r="AM459" s="941">
        <v>1.0</v>
      </c>
    </row>
    <row r="460">
      <c r="A460" s="965" t="s">
        <v>514</v>
      </c>
      <c r="B460" s="941">
        <v>1.0</v>
      </c>
      <c r="C460" s="941">
        <v>1.0</v>
      </c>
      <c r="D460" s="941">
        <v>0.0</v>
      </c>
      <c r="E460" s="941">
        <v>1.0</v>
      </c>
      <c r="F460" s="941">
        <v>0.0</v>
      </c>
      <c r="G460" s="941">
        <v>72.0</v>
      </c>
      <c r="H460" s="941">
        <v>69.0</v>
      </c>
      <c r="I460" s="941">
        <v>3.0</v>
      </c>
      <c r="J460" s="941">
        <v>6.0</v>
      </c>
      <c r="K460" s="941">
        <v>5.0</v>
      </c>
      <c r="L460" s="941">
        <v>1.0</v>
      </c>
      <c r="M460" s="941">
        <v>825.0</v>
      </c>
      <c r="N460" s="941">
        <v>1127.0</v>
      </c>
      <c r="O460" s="941">
        <v>11.0</v>
      </c>
      <c r="P460" s="941">
        <v>13.0</v>
      </c>
      <c r="Q460" s="941">
        <v>0.0</v>
      </c>
      <c r="R460" s="941">
        <v>1.0</v>
      </c>
      <c r="S460" s="941">
        <v>0.0</v>
      </c>
      <c r="T460" s="941">
        <v>0.0</v>
      </c>
      <c r="U460" s="941">
        <v>0.0</v>
      </c>
      <c r="V460" s="941">
        <v>1.0</v>
      </c>
      <c r="W460" s="941">
        <v>0.0</v>
      </c>
      <c r="X460" s="941">
        <v>8.0</v>
      </c>
      <c r="Y460" s="941">
        <v>2.0</v>
      </c>
      <c r="Z460" s="941">
        <v>1.0</v>
      </c>
      <c r="AA460" s="941">
        <v>0.0</v>
      </c>
      <c r="AB460" s="941">
        <v>0.0</v>
      </c>
      <c r="AC460" s="941">
        <v>0.0</v>
      </c>
      <c r="AD460" s="941">
        <v>0.0</v>
      </c>
      <c r="AE460" s="941">
        <v>0.0</v>
      </c>
      <c r="AF460" s="941">
        <v>0.0</v>
      </c>
      <c r="AG460" s="941">
        <v>0.0</v>
      </c>
      <c r="AH460" s="941">
        <v>2.0</v>
      </c>
      <c r="AI460" s="941">
        <v>0.0</v>
      </c>
      <c r="AJ460" s="941">
        <v>5.0</v>
      </c>
      <c r="AK460" s="941">
        <v>4.0</v>
      </c>
      <c r="AL460" s="941">
        <v>1.0</v>
      </c>
      <c r="AM460" s="941">
        <v>1.0</v>
      </c>
    </row>
    <row r="461">
      <c r="A461" s="965" t="s">
        <v>154</v>
      </c>
      <c r="B461" s="941">
        <v>1.0</v>
      </c>
      <c r="C461" s="941">
        <v>1.0</v>
      </c>
      <c r="D461" s="941">
        <v>0.0</v>
      </c>
      <c r="E461" s="941">
        <v>0.0</v>
      </c>
      <c r="F461" s="941">
        <v>0.0</v>
      </c>
      <c r="G461" s="941">
        <v>51.0</v>
      </c>
      <c r="H461" s="941">
        <v>70.0</v>
      </c>
      <c r="I461" s="941">
        <v>-19.0</v>
      </c>
      <c r="J461" s="941">
        <v>9.0</v>
      </c>
      <c r="K461" s="941">
        <v>4.0</v>
      </c>
      <c r="L461" s="941">
        <v>0.0</v>
      </c>
      <c r="M461" s="941">
        <v>828.0</v>
      </c>
      <c r="N461" s="941">
        <v>1127.0</v>
      </c>
      <c r="O461" s="941">
        <v>11.0</v>
      </c>
      <c r="P461" s="941">
        <v>11.0</v>
      </c>
      <c r="Q461" s="941">
        <v>0.0</v>
      </c>
      <c r="R461" s="941">
        <v>0.0</v>
      </c>
      <c r="S461" s="941">
        <v>0.0</v>
      </c>
      <c r="T461" s="941">
        <v>0.0</v>
      </c>
      <c r="U461" s="941">
        <v>0.0</v>
      </c>
      <c r="V461" s="941">
        <v>0.0</v>
      </c>
      <c r="W461" s="941">
        <v>0.0</v>
      </c>
      <c r="X461" s="941">
        <v>8.0</v>
      </c>
      <c r="Y461" s="941">
        <v>2.0</v>
      </c>
      <c r="Z461" s="941">
        <v>1.0</v>
      </c>
      <c r="AA461" s="941">
        <v>0.0</v>
      </c>
      <c r="AB461" s="941">
        <v>0.0</v>
      </c>
      <c r="AC461" s="941">
        <v>0.0</v>
      </c>
      <c r="AD461" s="941">
        <v>0.0</v>
      </c>
      <c r="AE461" s="941">
        <v>0.0</v>
      </c>
      <c r="AF461" s="941">
        <v>0.0</v>
      </c>
      <c r="AG461" s="941">
        <v>0.0</v>
      </c>
      <c r="AH461" s="941">
        <v>3.0</v>
      </c>
      <c r="AI461" s="941">
        <v>0.0</v>
      </c>
      <c r="AJ461" s="941">
        <v>4.0</v>
      </c>
      <c r="AK461" s="941">
        <v>3.0</v>
      </c>
      <c r="AL461" s="941">
        <v>2.0</v>
      </c>
      <c r="AM461" s="941">
        <v>1.0</v>
      </c>
    </row>
    <row r="462">
      <c r="A462" s="965" t="s">
        <v>119</v>
      </c>
      <c r="B462" s="941">
        <v>1.0</v>
      </c>
      <c r="C462" s="941">
        <v>0.0</v>
      </c>
      <c r="D462" s="941">
        <v>1.0</v>
      </c>
      <c r="E462" s="941">
        <v>2.0</v>
      </c>
      <c r="F462" s="941">
        <v>4.0</v>
      </c>
      <c r="G462" s="941">
        <v>61.0</v>
      </c>
      <c r="H462" s="941">
        <v>60.0</v>
      </c>
      <c r="I462" s="941">
        <v>1.0</v>
      </c>
      <c r="J462" s="941">
        <v>2.0</v>
      </c>
      <c r="K462" s="941">
        <v>4.0</v>
      </c>
      <c r="L462" s="941">
        <v>2.0</v>
      </c>
      <c r="M462" s="941">
        <v>857.0</v>
      </c>
      <c r="N462" s="941">
        <v>1127.0</v>
      </c>
      <c r="O462" s="941">
        <v>14.0</v>
      </c>
      <c r="P462" s="941">
        <v>183.0</v>
      </c>
      <c r="Q462" s="941">
        <v>0.0</v>
      </c>
      <c r="R462" s="941">
        <v>0.0</v>
      </c>
      <c r="S462" s="941">
        <v>0.0</v>
      </c>
      <c r="T462" s="941">
        <v>0.0</v>
      </c>
      <c r="U462" s="941">
        <v>0.0</v>
      </c>
      <c r="V462" s="941">
        <v>0.0</v>
      </c>
      <c r="W462" s="941">
        <v>0.0</v>
      </c>
      <c r="X462" s="941">
        <v>10.0</v>
      </c>
      <c r="Y462" s="941">
        <v>1.0</v>
      </c>
      <c r="Z462" s="941">
        <v>0.0</v>
      </c>
      <c r="AA462" s="941">
        <v>0.0</v>
      </c>
      <c r="AB462" s="941">
        <v>0.0</v>
      </c>
      <c r="AC462" s="941">
        <v>0.0</v>
      </c>
      <c r="AD462" s="941">
        <v>0.0</v>
      </c>
      <c r="AE462" s="941">
        <v>0.0</v>
      </c>
      <c r="AF462" s="941">
        <v>0.0</v>
      </c>
      <c r="AG462" s="941">
        <v>0.0</v>
      </c>
      <c r="AH462" s="941">
        <v>1.0</v>
      </c>
      <c r="AI462" s="941">
        <v>0.0</v>
      </c>
      <c r="AJ462" s="941">
        <v>10.0</v>
      </c>
      <c r="AK462" s="941">
        <v>11.0</v>
      </c>
      <c r="AL462" s="941">
        <v>1.0</v>
      </c>
      <c r="AM462" s="941">
        <v>0.0</v>
      </c>
    </row>
    <row r="463">
      <c r="A463" s="965" t="s">
        <v>152</v>
      </c>
      <c r="B463" s="941">
        <v>1.0</v>
      </c>
      <c r="C463" s="941">
        <v>0.0</v>
      </c>
      <c r="D463" s="941">
        <v>1.0</v>
      </c>
      <c r="E463" s="941">
        <v>0.0</v>
      </c>
      <c r="F463" s="941">
        <v>0.0</v>
      </c>
      <c r="G463" s="941">
        <v>50.0</v>
      </c>
      <c r="H463" s="941">
        <v>71.0</v>
      </c>
      <c r="I463" s="941">
        <v>-21.0</v>
      </c>
      <c r="J463" s="941">
        <v>2.0</v>
      </c>
      <c r="K463" s="941">
        <v>3.0</v>
      </c>
      <c r="L463" s="941">
        <v>1.0</v>
      </c>
      <c r="M463" s="941">
        <v>817.0</v>
      </c>
      <c r="N463" s="941">
        <v>1127.0</v>
      </c>
      <c r="O463" s="941">
        <v>11.0</v>
      </c>
      <c r="P463" s="941">
        <v>0.0</v>
      </c>
      <c r="Q463" s="941">
        <v>0.0</v>
      </c>
      <c r="R463" s="941">
        <v>0.0</v>
      </c>
      <c r="S463" s="941">
        <v>0.0</v>
      </c>
      <c r="T463" s="941">
        <v>0.0</v>
      </c>
      <c r="U463" s="941">
        <v>0.0</v>
      </c>
      <c r="V463" s="941">
        <v>0.0</v>
      </c>
      <c r="W463" s="941">
        <v>0.0</v>
      </c>
      <c r="X463" s="941">
        <v>1.0</v>
      </c>
      <c r="Y463" s="941">
        <v>0.0</v>
      </c>
      <c r="Z463" s="941">
        <v>0.0</v>
      </c>
      <c r="AA463" s="941">
        <v>0.0</v>
      </c>
      <c r="AB463" s="941">
        <v>0.0</v>
      </c>
      <c r="AC463" s="941">
        <v>0.0</v>
      </c>
      <c r="AD463" s="941">
        <v>0.0</v>
      </c>
      <c r="AE463" s="941">
        <v>0.0</v>
      </c>
      <c r="AF463" s="941">
        <v>0.0</v>
      </c>
      <c r="AG463" s="941">
        <v>0.0</v>
      </c>
      <c r="AH463" s="941">
        <v>0.0</v>
      </c>
      <c r="AI463" s="941">
        <v>0.0</v>
      </c>
      <c r="AJ463" s="941">
        <v>4.0</v>
      </c>
      <c r="AK463" s="941">
        <v>8.0</v>
      </c>
      <c r="AL463" s="941">
        <v>2.0</v>
      </c>
      <c r="AM463" s="941">
        <v>0.0</v>
      </c>
    </row>
    <row r="464">
      <c r="A464" s="965" t="s">
        <v>130</v>
      </c>
      <c r="B464" s="941">
        <v>1.0</v>
      </c>
      <c r="C464" s="941">
        <v>0.0</v>
      </c>
      <c r="D464" s="941">
        <v>1.0</v>
      </c>
      <c r="E464" s="941">
        <v>0.0</v>
      </c>
      <c r="F464" s="941">
        <v>0.0</v>
      </c>
      <c r="G464" s="941">
        <v>41.0</v>
      </c>
      <c r="H464" s="941">
        <v>48.0</v>
      </c>
      <c r="I464" s="941">
        <v>-7.0</v>
      </c>
      <c r="J464" s="941">
        <v>4.0</v>
      </c>
      <c r="K464" s="941">
        <v>5.0</v>
      </c>
      <c r="L464" s="941">
        <v>8.0</v>
      </c>
      <c r="M464" s="941">
        <v>889.0</v>
      </c>
      <c r="N464" s="941">
        <v>1127.0</v>
      </c>
      <c r="O464" s="941">
        <v>18.0</v>
      </c>
      <c r="P464" s="941">
        <v>2.0</v>
      </c>
      <c r="Q464" s="941">
        <v>0.0</v>
      </c>
      <c r="R464" s="941">
        <v>1.0</v>
      </c>
      <c r="S464" s="941">
        <v>0.0</v>
      </c>
      <c r="T464" s="941">
        <v>0.0</v>
      </c>
      <c r="U464" s="941">
        <v>0.0</v>
      </c>
      <c r="V464" s="941">
        <v>1.0</v>
      </c>
      <c r="W464" s="941">
        <v>0.0</v>
      </c>
      <c r="X464" s="941">
        <v>5.0</v>
      </c>
      <c r="Y464" s="941">
        <v>0.0</v>
      </c>
      <c r="Z464" s="941">
        <v>0.0</v>
      </c>
      <c r="AA464" s="941">
        <v>0.0</v>
      </c>
      <c r="AB464" s="941">
        <v>0.0</v>
      </c>
      <c r="AC464" s="941">
        <v>0.0</v>
      </c>
      <c r="AD464" s="941">
        <v>0.0</v>
      </c>
      <c r="AE464" s="941">
        <v>0.0</v>
      </c>
      <c r="AF464" s="941">
        <v>0.0</v>
      </c>
      <c r="AG464" s="941">
        <v>0.0</v>
      </c>
      <c r="AH464" s="941">
        <v>3.0</v>
      </c>
      <c r="AI464" s="941">
        <v>0.0</v>
      </c>
      <c r="AJ464" s="941">
        <v>13.0</v>
      </c>
      <c r="AK464" s="941">
        <v>2.0</v>
      </c>
      <c r="AL464" s="941">
        <v>0.0</v>
      </c>
      <c r="AM464" s="941">
        <v>0.0</v>
      </c>
    </row>
    <row r="465">
      <c r="A465" s="966" t="s">
        <v>141</v>
      </c>
      <c r="B465" s="941">
        <v>1.0</v>
      </c>
      <c r="C465" s="941">
        <v>0.0</v>
      </c>
      <c r="D465" s="941">
        <v>1.0</v>
      </c>
      <c r="E465" s="941">
        <v>0.0</v>
      </c>
      <c r="F465" s="941">
        <v>0.0</v>
      </c>
      <c r="G465" s="941">
        <v>49.0</v>
      </c>
      <c r="H465" s="941">
        <v>82.0</v>
      </c>
      <c r="I465" s="941">
        <v>-33.0</v>
      </c>
      <c r="J465" s="941">
        <v>4.0</v>
      </c>
      <c r="K465" s="941">
        <v>4.0</v>
      </c>
      <c r="L465" s="941">
        <v>2.0</v>
      </c>
      <c r="M465" s="941">
        <v>787.0</v>
      </c>
      <c r="N465" s="941">
        <v>1127.0</v>
      </c>
      <c r="O465" s="941">
        <v>9.0</v>
      </c>
      <c r="P465" s="941">
        <v>3.0</v>
      </c>
      <c r="Q465" s="941">
        <v>0.0</v>
      </c>
      <c r="R465" s="941">
        <v>0.0</v>
      </c>
      <c r="S465" s="941">
        <v>0.0</v>
      </c>
      <c r="T465" s="941">
        <v>0.0</v>
      </c>
      <c r="U465" s="941">
        <v>0.0</v>
      </c>
      <c r="V465" s="941">
        <v>0.0</v>
      </c>
      <c r="W465" s="941">
        <v>0.0</v>
      </c>
      <c r="X465" s="941">
        <v>8.0</v>
      </c>
      <c r="Y465" s="941">
        <v>1.0</v>
      </c>
      <c r="Z465" s="941">
        <v>1.0</v>
      </c>
      <c r="AA465" s="941">
        <v>0.0</v>
      </c>
      <c r="AB465" s="941">
        <v>0.0</v>
      </c>
      <c r="AC465" s="941">
        <v>0.0</v>
      </c>
      <c r="AD465" s="941">
        <v>0.0</v>
      </c>
      <c r="AE465" s="941">
        <v>0.0</v>
      </c>
      <c r="AF465" s="941">
        <v>0.0</v>
      </c>
      <c r="AG465" s="941">
        <v>0.0</v>
      </c>
      <c r="AH465" s="941">
        <v>2.0</v>
      </c>
      <c r="AI465" s="941">
        <v>0.0</v>
      </c>
      <c r="AJ465" s="941">
        <v>8.0</v>
      </c>
      <c r="AK465" s="941">
        <v>8.0</v>
      </c>
      <c r="AL465" s="941">
        <v>0.0</v>
      </c>
      <c r="AM465" s="941">
        <v>0.0</v>
      </c>
    </row>
    <row r="466">
      <c r="A466" s="964" t="s">
        <v>153</v>
      </c>
      <c r="B466" s="939">
        <v>1.0</v>
      </c>
      <c r="C466" s="939">
        <v>1.0</v>
      </c>
      <c r="D466" s="939">
        <v>0.0</v>
      </c>
      <c r="E466" s="939">
        <v>5.0</v>
      </c>
      <c r="F466" s="939">
        <v>11.0</v>
      </c>
      <c r="G466" s="939">
        <v>40.0</v>
      </c>
      <c r="H466" s="939">
        <v>58.0</v>
      </c>
      <c r="I466" s="939">
        <v>-18.0</v>
      </c>
      <c r="J466" s="939">
        <v>0.0</v>
      </c>
      <c r="K466" s="939">
        <v>3.0</v>
      </c>
      <c r="L466" s="939">
        <v>0.0</v>
      </c>
      <c r="M466" s="939">
        <v>1041.0</v>
      </c>
      <c r="N466" s="939">
        <v>1320.0</v>
      </c>
      <c r="O466" s="939">
        <v>17.0</v>
      </c>
      <c r="P466" s="939">
        <v>538.0</v>
      </c>
      <c r="Q466" s="939">
        <v>0.0</v>
      </c>
      <c r="R466" s="939">
        <v>0.0</v>
      </c>
      <c r="S466" s="939">
        <v>0.0</v>
      </c>
      <c r="T466" s="939">
        <v>0.0</v>
      </c>
      <c r="U466" s="939">
        <v>0.0</v>
      </c>
      <c r="V466" s="939">
        <v>0.0</v>
      </c>
      <c r="W466" s="939">
        <v>0.0</v>
      </c>
      <c r="X466" s="939">
        <v>2.0</v>
      </c>
      <c r="Y466" s="939">
        <v>0.0</v>
      </c>
      <c r="Z466" s="939">
        <v>0.0</v>
      </c>
      <c r="AA466" s="939">
        <v>0.0</v>
      </c>
      <c r="AB466" s="939">
        <v>0.0</v>
      </c>
      <c r="AC466" s="939">
        <v>0.0</v>
      </c>
      <c r="AD466" s="939">
        <v>0.0</v>
      </c>
      <c r="AE466" s="939">
        <v>0.0</v>
      </c>
      <c r="AF466" s="939">
        <v>0.0</v>
      </c>
      <c r="AG466" s="939">
        <v>0.0</v>
      </c>
      <c r="AH466" s="939">
        <v>0.0</v>
      </c>
      <c r="AI466" s="939">
        <v>0.0</v>
      </c>
      <c r="AJ466" s="939">
        <v>9.0</v>
      </c>
      <c r="AK466" s="939">
        <v>3.0</v>
      </c>
      <c r="AL466" s="939">
        <v>1.0</v>
      </c>
      <c r="AM466" s="940">
        <v>1.0</v>
      </c>
    </row>
    <row r="467">
      <c r="A467" s="965" t="s">
        <v>131</v>
      </c>
      <c r="B467" s="941">
        <v>1.0</v>
      </c>
      <c r="C467" s="941">
        <v>1.0</v>
      </c>
      <c r="D467" s="941">
        <v>0.0</v>
      </c>
      <c r="E467" s="941">
        <v>0.0</v>
      </c>
      <c r="F467" s="941">
        <v>0.0</v>
      </c>
      <c r="G467" s="941">
        <v>63.0</v>
      </c>
      <c r="H467" s="941">
        <v>66.0</v>
      </c>
      <c r="I467" s="941">
        <v>-3.0</v>
      </c>
      <c r="J467" s="941">
        <v>7.0</v>
      </c>
      <c r="K467" s="941">
        <v>6.0</v>
      </c>
      <c r="L467" s="941">
        <v>3.0</v>
      </c>
      <c r="M467" s="941">
        <v>1004.0</v>
      </c>
      <c r="N467" s="941">
        <v>1320.0</v>
      </c>
      <c r="O467" s="941">
        <v>15.0</v>
      </c>
      <c r="P467" s="941">
        <v>14.0</v>
      </c>
      <c r="Q467" s="941">
        <v>0.0</v>
      </c>
      <c r="R467" s="941">
        <v>2.0</v>
      </c>
      <c r="S467" s="941">
        <v>0.0</v>
      </c>
      <c r="T467" s="941">
        <v>0.0</v>
      </c>
      <c r="U467" s="941">
        <v>0.0</v>
      </c>
      <c r="V467" s="941">
        <v>2.0</v>
      </c>
      <c r="W467" s="941">
        <v>0.0</v>
      </c>
      <c r="X467" s="941">
        <v>8.0</v>
      </c>
      <c r="Y467" s="941">
        <v>2.0</v>
      </c>
      <c r="Z467" s="941">
        <v>1.0</v>
      </c>
      <c r="AA467" s="941">
        <v>1.0</v>
      </c>
      <c r="AB467" s="941">
        <v>1.0</v>
      </c>
      <c r="AC467" s="941">
        <v>0.0</v>
      </c>
      <c r="AD467" s="941">
        <v>0.0</v>
      </c>
      <c r="AE467" s="941">
        <v>0.0</v>
      </c>
      <c r="AF467" s="941">
        <v>0.0</v>
      </c>
      <c r="AG467" s="941">
        <v>0.0</v>
      </c>
      <c r="AH467" s="941">
        <v>1.0</v>
      </c>
      <c r="AI467" s="941">
        <v>0.0</v>
      </c>
      <c r="AJ467" s="941">
        <v>3.0</v>
      </c>
      <c r="AK467" s="941">
        <v>6.0</v>
      </c>
      <c r="AL467" s="941">
        <v>0.0</v>
      </c>
      <c r="AM467" s="942">
        <v>1.0</v>
      </c>
    </row>
    <row r="468">
      <c r="A468" s="965" t="s">
        <v>142</v>
      </c>
      <c r="B468" s="941">
        <v>1.0</v>
      </c>
      <c r="C468" s="941">
        <v>1.0</v>
      </c>
      <c r="D468" s="941">
        <v>0.0</v>
      </c>
      <c r="E468" s="941">
        <v>0.0</v>
      </c>
      <c r="F468" s="941">
        <v>0.0</v>
      </c>
      <c r="G468" s="941">
        <v>60.0</v>
      </c>
      <c r="H468" s="941">
        <v>67.0</v>
      </c>
      <c r="I468" s="941">
        <v>-7.0</v>
      </c>
      <c r="J468" s="941">
        <v>2.0</v>
      </c>
      <c r="K468" s="941">
        <v>3.0</v>
      </c>
      <c r="L468" s="941">
        <v>1.0</v>
      </c>
      <c r="M468" s="941">
        <v>1003.0</v>
      </c>
      <c r="N468" s="941">
        <v>1320.0</v>
      </c>
      <c r="O468" s="941">
        <v>14.0</v>
      </c>
      <c r="P468" s="941">
        <v>4.0</v>
      </c>
      <c r="Q468" s="941">
        <v>0.0</v>
      </c>
      <c r="R468" s="941">
        <v>0.0</v>
      </c>
      <c r="S468" s="941">
        <v>0.0</v>
      </c>
      <c r="T468" s="941">
        <v>0.0</v>
      </c>
      <c r="U468" s="941">
        <v>0.0</v>
      </c>
      <c r="V468" s="941">
        <v>0.0</v>
      </c>
      <c r="W468" s="941">
        <v>0.0</v>
      </c>
      <c r="X468" s="941">
        <v>5.0</v>
      </c>
      <c r="Y468" s="941">
        <v>0.0</v>
      </c>
      <c r="Z468" s="941">
        <v>0.0</v>
      </c>
      <c r="AA468" s="941">
        <v>0.0</v>
      </c>
      <c r="AB468" s="941">
        <v>0.0</v>
      </c>
      <c r="AC468" s="941">
        <v>0.0</v>
      </c>
      <c r="AD468" s="941">
        <v>0.0</v>
      </c>
      <c r="AE468" s="941">
        <v>0.0</v>
      </c>
      <c r="AF468" s="941">
        <v>0.0</v>
      </c>
      <c r="AG468" s="941">
        <v>0.0</v>
      </c>
      <c r="AH468" s="941">
        <v>2.0</v>
      </c>
      <c r="AI468" s="941">
        <v>0.0</v>
      </c>
      <c r="AJ468" s="941">
        <v>7.0</v>
      </c>
      <c r="AK468" s="941">
        <v>9.0</v>
      </c>
      <c r="AL468" s="941">
        <v>0.0</v>
      </c>
      <c r="AM468" s="942">
        <v>1.0</v>
      </c>
    </row>
    <row r="469">
      <c r="A469" s="965" t="s">
        <v>120</v>
      </c>
      <c r="B469" s="941">
        <v>1.0</v>
      </c>
      <c r="C469" s="941">
        <v>1.0</v>
      </c>
      <c r="D469" s="941">
        <v>0.0</v>
      </c>
      <c r="E469" s="941">
        <v>0.0</v>
      </c>
      <c r="F469" s="941">
        <v>0.0</v>
      </c>
      <c r="G469" s="941">
        <v>83.0</v>
      </c>
      <c r="H469" s="941">
        <v>78.0</v>
      </c>
      <c r="I469" s="941">
        <v>5.0</v>
      </c>
      <c r="J469" s="941">
        <v>6.0</v>
      </c>
      <c r="K469" s="941">
        <v>6.0</v>
      </c>
      <c r="L469" s="941">
        <v>0.0</v>
      </c>
      <c r="M469" s="941">
        <v>974.0</v>
      </c>
      <c r="N469" s="941">
        <v>1320.0</v>
      </c>
      <c r="O469" s="941">
        <v>12.0</v>
      </c>
      <c r="P469" s="941">
        <v>3.0</v>
      </c>
      <c r="Q469" s="941">
        <v>0.0</v>
      </c>
      <c r="R469" s="941">
        <v>3.0</v>
      </c>
      <c r="S469" s="941">
        <v>0.0</v>
      </c>
      <c r="T469" s="941">
        <v>0.0</v>
      </c>
      <c r="U469" s="941">
        <v>0.0</v>
      </c>
      <c r="V469" s="941">
        <v>2.0</v>
      </c>
      <c r="W469" s="941">
        <v>0.0</v>
      </c>
      <c r="X469" s="941">
        <v>14.0</v>
      </c>
      <c r="Y469" s="941">
        <v>3.0</v>
      </c>
      <c r="Z469" s="941">
        <v>0.0</v>
      </c>
      <c r="AA469" s="941">
        <v>0.0</v>
      </c>
      <c r="AB469" s="941">
        <v>0.0</v>
      </c>
      <c r="AC469" s="941">
        <v>0.0</v>
      </c>
      <c r="AD469" s="941">
        <v>0.0</v>
      </c>
      <c r="AE469" s="941">
        <v>0.0</v>
      </c>
      <c r="AF469" s="941">
        <v>0.0</v>
      </c>
      <c r="AG469" s="941">
        <v>0.0</v>
      </c>
      <c r="AH469" s="941">
        <v>1.0</v>
      </c>
      <c r="AI469" s="941">
        <v>0.0</v>
      </c>
      <c r="AJ469" s="941">
        <v>10.0</v>
      </c>
      <c r="AK469" s="941">
        <v>12.0</v>
      </c>
      <c r="AL469" s="941">
        <v>2.0</v>
      </c>
      <c r="AM469" s="942">
        <v>1.0</v>
      </c>
    </row>
    <row r="470">
      <c r="A470" s="965" t="s">
        <v>129</v>
      </c>
      <c r="B470" s="941">
        <v>1.0</v>
      </c>
      <c r="C470" s="941">
        <v>0.0</v>
      </c>
      <c r="D470" s="941">
        <v>1.0</v>
      </c>
      <c r="E470" s="941">
        <v>1.0</v>
      </c>
      <c r="F470" s="941">
        <v>0.0</v>
      </c>
      <c r="G470" s="941">
        <v>84.0</v>
      </c>
      <c r="H470" s="941">
        <v>71.0</v>
      </c>
      <c r="I470" s="941">
        <v>13.0</v>
      </c>
      <c r="J470" s="941">
        <v>5.0</v>
      </c>
      <c r="K470" s="941">
        <v>6.0</v>
      </c>
      <c r="L470" s="941">
        <v>3.0</v>
      </c>
      <c r="M470" s="941">
        <v>1002.0</v>
      </c>
      <c r="N470" s="941">
        <v>1320.0</v>
      </c>
      <c r="O470" s="941">
        <v>14.0</v>
      </c>
      <c r="P470" s="941">
        <v>25.0</v>
      </c>
      <c r="Q470" s="941">
        <v>0.0</v>
      </c>
      <c r="R470" s="941">
        <v>2.0</v>
      </c>
      <c r="S470" s="941">
        <v>0.0</v>
      </c>
      <c r="T470" s="941">
        <v>0.0</v>
      </c>
      <c r="U470" s="941">
        <v>0.0</v>
      </c>
      <c r="V470" s="941">
        <v>2.0</v>
      </c>
      <c r="W470" s="941">
        <v>0.0</v>
      </c>
      <c r="X470" s="941">
        <v>17.0</v>
      </c>
      <c r="Y470" s="941">
        <v>4.0</v>
      </c>
      <c r="Z470" s="941">
        <v>1.0</v>
      </c>
      <c r="AA470" s="941">
        <v>1.0</v>
      </c>
      <c r="AB470" s="941">
        <v>0.0</v>
      </c>
      <c r="AC470" s="941">
        <v>0.0</v>
      </c>
      <c r="AD470" s="941">
        <v>0.0</v>
      </c>
      <c r="AE470" s="941">
        <v>0.0</v>
      </c>
      <c r="AF470" s="941">
        <v>0.0</v>
      </c>
      <c r="AG470" s="941">
        <v>0.0</v>
      </c>
      <c r="AH470" s="941">
        <v>12.0</v>
      </c>
      <c r="AI470" s="941">
        <v>0.0</v>
      </c>
      <c r="AJ470" s="941">
        <v>9.0</v>
      </c>
      <c r="AK470" s="941">
        <v>6.0</v>
      </c>
      <c r="AL470" s="941">
        <v>1.0</v>
      </c>
      <c r="AM470" s="942">
        <v>0.0</v>
      </c>
    </row>
    <row r="471">
      <c r="A471" s="965" t="s">
        <v>420</v>
      </c>
      <c r="B471" s="941">
        <v>1.0</v>
      </c>
      <c r="C471" s="941">
        <v>0.0</v>
      </c>
      <c r="D471" s="941">
        <v>1.0</v>
      </c>
      <c r="E471" s="941">
        <v>1.0</v>
      </c>
      <c r="F471" s="941">
        <v>0.0</v>
      </c>
      <c r="G471" s="941">
        <v>65.0</v>
      </c>
      <c r="H471" s="941">
        <v>68.0</v>
      </c>
      <c r="I471" s="941">
        <v>-3.0</v>
      </c>
      <c r="J471" s="941">
        <v>5.0</v>
      </c>
      <c r="K471" s="941">
        <v>8.0</v>
      </c>
      <c r="L471" s="941">
        <v>3.0</v>
      </c>
      <c r="M471" s="941">
        <v>1004.0</v>
      </c>
      <c r="N471" s="941">
        <v>1320.0</v>
      </c>
      <c r="O471" s="941">
        <v>14.0</v>
      </c>
      <c r="P471" s="941">
        <v>24.0</v>
      </c>
      <c r="Q471" s="941">
        <v>0.0</v>
      </c>
      <c r="R471" s="941">
        <v>1.0</v>
      </c>
      <c r="S471" s="941">
        <v>0.0</v>
      </c>
      <c r="T471" s="941">
        <v>0.0</v>
      </c>
      <c r="U471" s="941">
        <v>0.0</v>
      </c>
      <c r="V471" s="941">
        <v>1.0</v>
      </c>
      <c r="W471" s="941">
        <v>0.0</v>
      </c>
      <c r="X471" s="941">
        <v>12.0</v>
      </c>
      <c r="Y471" s="941">
        <v>2.0</v>
      </c>
      <c r="Z471" s="941">
        <v>1.0</v>
      </c>
      <c r="AA471" s="941">
        <v>1.0</v>
      </c>
      <c r="AB471" s="941">
        <v>0.0</v>
      </c>
      <c r="AC471" s="941">
        <v>0.0</v>
      </c>
      <c r="AD471" s="941">
        <v>0.0</v>
      </c>
      <c r="AE471" s="941">
        <v>0.0</v>
      </c>
      <c r="AF471" s="941">
        <v>0.0</v>
      </c>
      <c r="AG471" s="941">
        <v>0.0</v>
      </c>
      <c r="AH471" s="941">
        <v>9.0</v>
      </c>
      <c r="AI471" s="941">
        <v>0.0</v>
      </c>
      <c r="AJ471" s="941">
        <v>10.0</v>
      </c>
      <c r="AK471" s="941">
        <v>8.0</v>
      </c>
      <c r="AL471" s="941">
        <v>2.0</v>
      </c>
      <c r="AM471" s="942">
        <v>0.0</v>
      </c>
    </row>
    <row r="472">
      <c r="A472" s="965" t="s">
        <v>118</v>
      </c>
      <c r="B472" s="941">
        <v>1.0</v>
      </c>
      <c r="C472" s="941">
        <v>0.0</v>
      </c>
      <c r="D472" s="941">
        <v>1.0</v>
      </c>
      <c r="E472" s="941">
        <v>1.0</v>
      </c>
      <c r="F472" s="941">
        <v>13.0</v>
      </c>
      <c r="G472" s="941">
        <v>57.0</v>
      </c>
      <c r="H472" s="941">
        <v>52.0</v>
      </c>
      <c r="I472" s="941">
        <v>5.0</v>
      </c>
      <c r="J472" s="941">
        <v>3.0</v>
      </c>
      <c r="K472" s="941">
        <v>6.0</v>
      </c>
      <c r="L472" s="941">
        <v>3.0</v>
      </c>
      <c r="M472" s="941">
        <v>1051.0</v>
      </c>
      <c r="N472" s="941">
        <v>1320.0</v>
      </c>
      <c r="O472" s="941">
        <v>20.0</v>
      </c>
      <c r="P472" s="941">
        <v>481.0</v>
      </c>
      <c r="Q472" s="941">
        <v>0.0</v>
      </c>
      <c r="R472" s="941">
        <v>2.0</v>
      </c>
      <c r="S472" s="941">
        <v>0.0</v>
      </c>
      <c r="T472" s="941">
        <v>0.0</v>
      </c>
      <c r="U472" s="941">
        <v>0.0</v>
      </c>
      <c r="V472" s="941">
        <v>1.0</v>
      </c>
      <c r="W472" s="941">
        <v>0.0</v>
      </c>
      <c r="X472" s="941">
        <v>8.0</v>
      </c>
      <c r="Y472" s="941">
        <v>1.0</v>
      </c>
      <c r="Z472" s="941">
        <v>1.0</v>
      </c>
      <c r="AA472" s="941">
        <v>1.0</v>
      </c>
      <c r="AB472" s="941">
        <v>0.0</v>
      </c>
      <c r="AC472" s="941">
        <v>0.0</v>
      </c>
      <c r="AD472" s="941">
        <v>0.0</v>
      </c>
      <c r="AE472" s="941">
        <v>0.0</v>
      </c>
      <c r="AF472" s="941">
        <v>0.0</v>
      </c>
      <c r="AG472" s="941">
        <v>0.0</v>
      </c>
      <c r="AH472" s="941">
        <v>5.0</v>
      </c>
      <c r="AI472" s="941">
        <v>0.0</v>
      </c>
      <c r="AJ472" s="941">
        <v>12.0</v>
      </c>
      <c r="AK472" s="941">
        <v>4.0</v>
      </c>
      <c r="AL472" s="941">
        <v>2.0</v>
      </c>
      <c r="AM472" s="942">
        <v>0.0</v>
      </c>
    </row>
    <row r="473">
      <c r="A473" s="966" t="s">
        <v>140</v>
      </c>
      <c r="B473" s="944">
        <v>1.0</v>
      </c>
      <c r="C473" s="944">
        <v>0.0</v>
      </c>
      <c r="D473" s="944">
        <v>1.0</v>
      </c>
      <c r="E473" s="944">
        <v>0.0</v>
      </c>
      <c r="F473" s="944">
        <v>0.0</v>
      </c>
      <c r="G473" s="944">
        <v>56.0</v>
      </c>
      <c r="H473" s="944">
        <v>78.0</v>
      </c>
      <c r="I473" s="944">
        <v>-22.0</v>
      </c>
      <c r="J473" s="944">
        <v>9.0</v>
      </c>
      <c r="K473" s="944">
        <v>3.0</v>
      </c>
      <c r="L473" s="944">
        <v>3.0</v>
      </c>
      <c r="M473" s="944">
        <v>980.0</v>
      </c>
      <c r="N473" s="944">
        <v>1320.0</v>
      </c>
      <c r="O473" s="944">
        <v>12.0</v>
      </c>
      <c r="P473" s="944">
        <v>2.0</v>
      </c>
      <c r="Q473" s="944">
        <v>0.0</v>
      </c>
      <c r="R473" s="944">
        <v>0.0</v>
      </c>
      <c r="S473" s="944">
        <v>0.0</v>
      </c>
      <c r="T473" s="944">
        <v>0.0</v>
      </c>
      <c r="U473" s="944">
        <v>0.0</v>
      </c>
      <c r="V473" s="944">
        <v>0.0</v>
      </c>
      <c r="W473" s="944">
        <v>0.0</v>
      </c>
      <c r="X473" s="944">
        <v>5.0</v>
      </c>
      <c r="Y473" s="944">
        <v>0.0</v>
      </c>
      <c r="Z473" s="944">
        <v>0.0</v>
      </c>
      <c r="AA473" s="944">
        <v>0.0</v>
      </c>
      <c r="AB473" s="944">
        <v>0.0</v>
      </c>
      <c r="AC473" s="944">
        <v>0.0</v>
      </c>
      <c r="AD473" s="944">
        <v>0.0</v>
      </c>
      <c r="AE473" s="944">
        <v>0.0</v>
      </c>
      <c r="AF473" s="944">
        <v>0.0</v>
      </c>
      <c r="AG473" s="944">
        <v>0.0</v>
      </c>
      <c r="AH473" s="944">
        <v>2.0</v>
      </c>
      <c r="AI473" s="944">
        <v>0.0</v>
      </c>
      <c r="AJ473" s="944">
        <v>6.0</v>
      </c>
      <c r="AK473" s="944">
        <v>9.0</v>
      </c>
      <c r="AL473" s="944">
        <v>0.0</v>
      </c>
      <c r="AM473" s="945">
        <v>0.0</v>
      </c>
    </row>
    <row r="474">
      <c r="A474" s="964" t="s">
        <v>132</v>
      </c>
      <c r="B474" s="939">
        <v>1.0</v>
      </c>
      <c r="C474" s="939">
        <v>1.0</v>
      </c>
      <c r="D474" s="939">
        <v>0.0</v>
      </c>
      <c r="E474" s="939">
        <v>5.0</v>
      </c>
      <c r="F474" s="939">
        <v>15.0</v>
      </c>
      <c r="G474" s="939">
        <v>43.0</v>
      </c>
      <c r="H474" s="939">
        <v>24.0</v>
      </c>
      <c r="I474" s="939">
        <v>19.0</v>
      </c>
      <c r="J474" s="939">
        <v>0.0</v>
      </c>
      <c r="K474" s="939">
        <v>6.0</v>
      </c>
      <c r="L474" s="939">
        <v>1.0</v>
      </c>
      <c r="M474" s="939">
        <v>921.0</v>
      </c>
      <c r="N474" s="939">
        <v>1092.0</v>
      </c>
      <c r="O474" s="939">
        <v>38.0</v>
      </c>
      <c r="P474" s="939">
        <v>617.0</v>
      </c>
      <c r="Q474" s="939">
        <v>0.0</v>
      </c>
      <c r="R474" s="939">
        <v>2.0</v>
      </c>
      <c r="S474" s="939">
        <v>0.0</v>
      </c>
      <c r="T474" s="939">
        <v>0.0</v>
      </c>
      <c r="U474" s="939">
        <v>0.0</v>
      </c>
      <c r="V474" s="939">
        <v>0.0</v>
      </c>
      <c r="W474" s="939">
        <v>0.0</v>
      </c>
      <c r="X474" s="939">
        <v>8.0</v>
      </c>
      <c r="Y474" s="939">
        <v>0.0</v>
      </c>
      <c r="Z474" s="939">
        <v>0.0</v>
      </c>
      <c r="AA474" s="939">
        <v>0.0</v>
      </c>
      <c r="AB474" s="939">
        <v>0.0</v>
      </c>
      <c r="AC474" s="939">
        <v>0.0</v>
      </c>
      <c r="AD474" s="939">
        <v>0.0</v>
      </c>
      <c r="AE474" s="939">
        <v>0.0</v>
      </c>
      <c r="AF474" s="939">
        <v>0.0</v>
      </c>
      <c r="AG474" s="939">
        <v>0.0</v>
      </c>
      <c r="AH474" s="939">
        <v>0.0</v>
      </c>
      <c r="AI474" s="939">
        <v>0.0</v>
      </c>
      <c r="AJ474" s="939">
        <v>6.0</v>
      </c>
      <c r="AK474" s="939">
        <v>3.0</v>
      </c>
      <c r="AL474" s="939">
        <v>3.0</v>
      </c>
      <c r="AM474" s="940">
        <v>1.0</v>
      </c>
    </row>
    <row r="475">
      <c r="A475" s="965" t="s">
        <v>154</v>
      </c>
      <c r="B475" s="941">
        <v>1.0</v>
      </c>
      <c r="C475" s="941">
        <v>1.0</v>
      </c>
      <c r="D475" s="941">
        <v>0.0</v>
      </c>
      <c r="E475" s="941">
        <v>0.0</v>
      </c>
      <c r="F475" s="941">
        <v>0.0</v>
      </c>
      <c r="G475" s="941">
        <v>48.0</v>
      </c>
      <c r="H475" s="941">
        <v>70.0</v>
      </c>
      <c r="I475" s="941">
        <v>-22.0</v>
      </c>
      <c r="J475" s="941">
        <v>4.0</v>
      </c>
      <c r="K475" s="941">
        <v>3.0</v>
      </c>
      <c r="L475" s="941">
        <v>0.0</v>
      </c>
      <c r="M475" s="941">
        <v>792.0</v>
      </c>
      <c r="N475" s="941">
        <v>1092.0</v>
      </c>
      <c r="O475" s="941">
        <v>11.0</v>
      </c>
      <c r="P475" s="941">
        <v>0.0</v>
      </c>
      <c r="Q475" s="941">
        <v>0.0</v>
      </c>
      <c r="R475" s="941">
        <v>0.0</v>
      </c>
      <c r="S475" s="941">
        <v>0.0</v>
      </c>
      <c r="T475" s="941">
        <v>0.0</v>
      </c>
      <c r="U475" s="941">
        <v>0.0</v>
      </c>
      <c r="V475" s="941">
        <v>0.0</v>
      </c>
      <c r="W475" s="941">
        <v>0.0</v>
      </c>
      <c r="X475" s="941">
        <v>7.0</v>
      </c>
      <c r="Y475" s="941">
        <v>0.0</v>
      </c>
      <c r="Z475" s="941">
        <v>0.0</v>
      </c>
      <c r="AA475" s="941">
        <v>0.0</v>
      </c>
      <c r="AB475" s="941">
        <v>0.0</v>
      </c>
      <c r="AC475" s="941">
        <v>0.0</v>
      </c>
      <c r="AD475" s="941">
        <v>0.0</v>
      </c>
      <c r="AE475" s="941">
        <v>0.0</v>
      </c>
      <c r="AF475" s="941">
        <v>0.0</v>
      </c>
      <c r="AG475" s="941">
        <v>0.0</v>
      </c>
      <c r="AH475" s="941">
        <v>3.0</v>
      </c>
      <c r="AI475" s="941">
        <v>0.0</v>
      </c>
      <c r="AJ475" s="941">
        <v>4.0</v>
      </c>
      <c r="AK475" s="941">
        <v>5.0</v>
      </c>
      <c r="AL475" s="941">
        <v>0.0</v>
      </c>
      <c r="AM475" s="942">
        <v>1.0</v>
      </c>
    </row>
    <row r="476">
      <c r="A476" s="965" t="s">
        <v>121</v>
      </c>
      <c r="B476" s="941">
        <v>1.0</v>
      </c>
      <c r="C476" s="941">
        <v>1.0</v>
      </c>
      <c r="D476" s="941">
        <v>0.0</v>
      </c>
      <c r="E476" s="941">
        <v>0.0</v>
      </c>
      <c r="F476" s="941">
        <v>0.0</v>
      </c>
      <c r="G476" s="941">
        <v>75.0</v>
      </c>
      <c r="H476" s="941">
        <v>52.0</v>
      </c>
      <c r="I476" s="941">
        <v>23.0</v>
      </c>
      <c r="J476" s="941">
        <v>4.0</v>
      </c>
      <c r="K476" s="941">
        <v>5.0</v>
      </c>
      <c r="L476" s="941">
        <v>3.0</v>
      </c>
      <c r="M476" s="941">
        <v>845.0</v>
      </c>
      <c r="N476" s="941">
        <v>1092.0</v>
      </c>
      <c r="O476" s="941">
        <v>16.0</v>
      </c>
      <c r="P476" s="941">
        <v>24.0</v>
      </c>
      <c r="Q476" s="941">
        <v>0.0</v>
      </c>
      <c r="R476" s="941">
        <v>1.0</v>
      </c>
      <c r="S476" s="941">
        <v>0.0</v>
      </c>
      <c r="T476" s="941">
        <v>0.0</v>
      </c>
      <c r="U476" s="941">
        <v>0.0</v>
      </c>
      <c r="V476" s="941">
        <v>1.0</v>
      </c>
      <c r="W476" s="941">
        <v>0.0</v>
      </c>
      <c r="X476" s="941">
        <v>12.0</v>
      </c>
      <c r="Y476" s="941">
        <v>3.0</v>
      </c>
      <c r="Z476" s="941">
        <v>1.0</v>
      </c>
      <c r="AA476" s="941">
        <v>0.0</v>
      </c>
      <c r="AB476" s="941">
        <v>0.0</v>
      </c>
      <c r="AC476" s="941">
        <v>0.0</v>
      </c>
      <c r="AD476" s="941">
        <v>0.0</v>
      </c>
      <c r="AE476" s="941">
        <v>0.0</v>
      </c>
      <c r="AF476" s="941">
        <v>0.0</v>
      </c>
      <c r="AG476" s="941">
        <v>0.0</v>
      </c>
      <c r="AH476" s="941">
        <v>14.0</v>
      </c>
      <c r="AI476" s="941">
        <v>0.0</v>
      </c>
      <c r="AJ476" s="941">
        <v>5.0</v>
      </c>
      <c r="AK476" s="941">
        <v>3.0</v>
      </c>
      <c r="AL476" s="941">
        <v>1.0</v>
      </c>
      <c r="AM476" s="942">
        <v>1.0</v>
      </c>
    </row>
    <row r="477">
      <c r="A477" s="965" t="s">
        <v>514</v>
      </c>
      <c r="B477" s="941">
        <v>1.0</v>
      </c>
      <c r="C477" s="941">
        <v>1.0</v>
      </c>
      <c r="D477" s="941">
        <v>0.0</v>
      </c>
      <c r="E477" s="941">
        <v>0.0</v>
      </c>
      <c r="F477" s="941">
        <v>0.0</v>
      </c>
      <c r="G477" s="941">
        <v>86.0</v>
      </c>
      <c r="H477" s="941">
        <v>67.0</v>
      </c>
      <c r="I477" s="941">
        <v>19.0</v>
      </c>
      <c r="J477" s="941">
        <v>3.0</v>
      </c>
      <c r="K477" s="941">
        <v>6.0</v>
      </c>
      <c r="L477" s="941">
        <v>3.0</v>
      </c>
      <c r="M477" s="941">
        <v>799.0</v>
      </c>
      <c r="N477" s="941">
        <v>1092.0</v>
      </c>
      <c r="O477" s="941">
        <v>11.0</v>
      </c>
      <c r="P477" s="941">
        <v>9.0</v>
      </c>
      <c r="Q477" s="941">
        <v>0.0</v>
      </c>
      <c r="R477" s="941">
        <v>4.0</v>
      </c>
      <c r="S477" s="941">
        <v>0.0</v>
      </c>
      <c r="T477" s="941">
        <v>0.0</v>
      </c>
      <c r="U477" s="941">
        <v>0.0</v>
      </c>
      <c r="V477" s="941">
        <v>4.0</v>
      </c>
      <c r="W477" s="941">
        <v>0.0</v>
      </c>
      <c r="X477" s="941">
        <v>17.0</v>
      </c>
      <c r="Y477" s="941">
        <v>6.0</v>
      </c>
      <c r="Z477" s="941">
        <v>3.0</v>
      </c>
      <c r="AA477" s="941">
        <v>0.0</v>
      </c>
      <c r="AB477" s="941">
        <v>0.0</v>
      </c>
      <c r="AC477" s="941">
        <v>0.0</v>
      </c>
      <c r="AD477" s="941">
        <v>0.0</v>
      </c>
      <c r="AE477" s="941">
        <v>0.0</v>
      </c>
      <c r="AF477" s="941">
        <v>0.0</v>
      </c>
      <c r="AG477" s="941">
        <v>0.0</v>
      </c>
      <c r="AH477" s="941">
        <v>3.0</v>
      </c>
      <c r="AI477" s="941">
        <v>0.0</v>
      </c>
      <c r="AJ477" s="941">
        <v>3.0</v>
      </c>
      <c r="AK477" s="941">
        <v>9.0</v>
      </c>
      <c r="AL477" s="941">
        <v>0.0</v>
      </c>
      <c r="AM477" s="942">
        <v>1.0</v>
      </c>
    </row>
    <row r="478">
      <c r="A478" s="965" t="s">
        <v>142</v>
      </c>
      <c r="B478" s="941">
        <v>1.0</v>
      </c>
      <c r="C478" s="941">
        <v>0.0</v>
      </c>
      <c r="D478" s="941">
        <v>1.0</v>
      </c>
      <c r="E478" s="941">
        <v>1.0</v>
      </c>
      <c r="F478" s="941">
        <v>0.0</v>
      </c>
      <c r="G478" s="941">
        <v>44.0</v>
      </c>
      <c r="H478" s="941">
        <v>66.0</v>
      </c>
      <c r="I478" s="941">
        <v>-22.0</v>
      </c>
      <c r="J478" s="941">
        <v>3.0</v>
      </c>
      <c r="K478" s="941">
        <v>3.0</v>
      </c>
      <c r="L478" s="941">
        <v>2.0</v>
      </c>
      <c r="M478" s="941">
        <v>803.0</v>
      </c>
      <c r="N478" s="941">
        <v>1092.0</v>
      </c>
      <c r="O478" s="941">
        <v>12.0</v>
      </c>
      <c r="P478" s="941">
        <v>5.0</v>
      </c>
      <c r="Q478" s="941">
        <v>0.0</v>
      </c>
      <c r="R478" s="941">
        <v>0.0</v>
      </c>
      <c r="S478" s="941">
        <v>0.0</v>
      </c>
      <c r="T478" s="941">
        <v>0.0</v>
      </c>
      <c r="U478" s="941">
        <v>0.0</v>
      </c>
      <c r="V478" s="941">
        <v>0.0</v>
      </c>
      <c r="W478" s="941">
        <v>0.0</v>
      </c>
      <c r="X478" s="941">
        <v>1.0</v>
      </c>
      <c r="Y478" s="941">
        <v>1.0</v>
      </c>
      <c r="Z478" s="941">
        <v>0.0</v>
      </c>
      <c r="AA478" s="941">
        <v>0.0</v>
      </c>
      <c r="AB478" s="941">
        <v>0.0</v>
      </c>
      <c r="AC478" s="941">
        <v>0.0</v>
      </c>
      <c r="AD478" s="941">
        <v>0.0</v>
      </c>
      <c r="AE478" s="941">
        <v>0.0</v>
      </c>
      <c r="AF478" s="941">
        <v>0.0</v>
      </c>
      <c r="AG478" s="941">
        <v>0.0</v>
      </c>
      <c r="AH478" s="941">
        <v>4.0</v>
      </c>
      <c r="AI478" s="941">
        <v>0.0</v>
      </c>
      <c r="AJ478" s="941">
        <v>6.0</v>
      </c>
      <c r="AK478" s="941">
        <v>4.0</v>
      </c>
      <c r="AL478" s="941">
        <v>0.0</v>
      </c>
      <c r="AM478" s="942">
        <v>0.0</v>
      </c>
    </row>
    <row r="479">
      <c r="A479" s="965" t="s">
        <v>120</v>
      </c>
      <c r="B479" s="941">
        <v>1.0</v>
      </c>
      <c r="C479" s="941">
        <v>0.0</v>
      </c>
      <c r="D479" s="941">
        <v>1.0</v>
      </c>
      <c r="E479" s="941">
        <v>1.0</v>
      </c>
      <c r="F479" s="941">
        <v>0.0</v>
      </c>
      <c r="G479" s="941">
        <v>50.0</v>
      </c>
      <c r="H479" s="941">
        <v>67.0</v>
      </c>
      <c r="I479" s="941">
        <v>-17.0</v>
      </c>
      <c r="J479" s="941">
        <v>9.0</v>
      </c>
      <c r="K479" s="941">
        <v>5.0</v>
      </c>
      <c r="L479" s="941">
        <v>2.0</v>
      </c>
      <c r="M479" s="941">
        <v>800.0</v>
      </c>
      <c r="N479" s="941">
        <v>1092.0</v>
      </c>
      <c r="O479" s="941">
        <v>11.0</v>
      </c>
      <c r="P479" s="941">
        <v>22.0</v>
      </c>
      <c r="Q479" s="941">
        <v>0.0</v>
      </c>
      <c r="R479" s="941">
        <v>1.0</v>
      </c>
      <c r="S479" s="941">
        <v>0.0</v>
      </c>
      <c r="T479" s="941">
        <v>0.0</v>
      </c>
      <c r="U479" s="941">
        <v>0.0</v>
      </c>
      <c r="V479" s="941">
        <v>1.0</v>
      </c>
      <c r="W479" s="941">
        <v>0.0</v>
      </c>
      <c r="X479" s="941">
        <v>6.0</v>
      </c>
      <c r="Y479" s="941">
        <v>2.0</v>
      </c>
      <c r="Z479" s="941">
        <v>0.0</v>
      </c>
      <c r="AA479" s="941">
        <v>0.0</v>
      </c>
      <c r="AB479" s="941">
        <v>0.0</v>
      </c>
      <c r="AC479" s="941">
        <v>0.0</v>
      </c>
      <c r="AD479" s="941">
        <v>0.0</v>
      </c>
      <c r="AE479" s="941">
        <v>0.0</v>
      </c>
      <c r="AF479" s="941">
        <v>0.0</v>
      </c>
      <c r="AG479" s="941">
        <v>0.0</v>
      </c>
      <c r="AH479" s="941">
        <v>1.0</v>
      </c>
      <c r="AI479" s="941">
        <v>0.0</v>
      </c>
      <c r="AJ479" s="941">
        <v>4.0</v>
      </c>
      <c r="AK479" s="941">
        <v>7.0</v>
      </c>
      <c r="AL479" s="941">
        <v>2.0</v>
      </c>
      <c r="AM479" s="942">
        <v>0.0</v>
      </c>
    </row>
    <row r="480">
      <c r="A480" s="965" t="s">
        <v>153</v>
      </c>
      <c r="B480" s="941">
        <v>1.0</v>
      </c>
      <c r="C480" s="941">
        <v>0.0</v>
      </c>
      <c r="D480" s="941">
        <v>1.0</v>
      </c>
      <c r="E480" s="941">
        <v>0.0</v>
      </c>
      <c r="F480" s="941">
        <v>5.0</v>
      </c>
      <c r="G480" s="941">
        <v>37.0</v>
      </c>
      <c r="H480" s="941">
        <v>72.0</v>
      </c>
      <c r="I480" s="941">
        <v>-35.0</v>
      </c>
      <c r="J480" s="941">
        <v>1.0</v>
      </c>
      <c r="K480" s="941">
        <v>3.0</v>
      </c>
      <c r="L480" s="941">
        <v>0.0</v>
      </c>
      <c r="M480" s="941">
        <v>782.0</v>
      </c>
      <c r="N480" s="941">
        <v>1092.0</v>
      </c>
      <c r="O480" s="941">
        <v>10.0</v>
      </c>
      <c r="P480" s="941">
        <v>220.0</v>
      </c>
      <c r="Q480" s="941">
        <v>0.0</v>
      </c>
      <c r="R480" s="941">
        <v>0.0</v>
      </c>
      <c r="S480" s="941">
        <v>0.0</v>
      </c>
      <c r="T480" s="941">
        <v>0.0</v>
      </c>
      <c r="U480" s="941">
        <v>0.0</v>
      </c>
      <c r="V480" s="941">
        <v>0.0</v>
      </c>
      <c r="W480" s="941">
        <v>0.0</v>
      </c>
      <c r="X480" s="941">
        <v>3.0</v>
      </c>
      <c r="Y480" s="941">
        <v>0.0</v>
      </c>
      <c r="Z480" s="941">
        <v>0.0</v>
      </c>
      <c r="AA480" s="941">
        <v>0.0</v>
      </c>
      <c r="AB480" s="941">
        <v>0.0</v>
      </c>
      <c r="AC480" s="941">
        <v>0.0</v>
      </c>
      <c r="AD480" s="941">
        <v>0.0</v>
      </c>
      <c r="AE480" s="941">
        <v>0.0</v>
      </c>
      <c r="AF480" s="941">
        <v>0.0</v>
      </c>
      <c r="AG480" s="941">
        <v>0.0</v>
      </c>
      <c r="AH480" s="941">
        <v>1.0</v>
      </c>
      <c r="AI480" s="941">
        <v>0.0</v>
      </c>
      <c r="AJ480" s="941">
        <v>5.0</v>
      </c>
      <c r="AK480" s="941">
        <v>8.0</v>
      </c>
      <c r="AL480" s="941">
        <v>1.0</v>
      </c>
      <c r="AM480" s="942">
        <v>0.0</v>
      </c>
    </row>
    <row r="481">
      <c r="A481" s="966" t="s">
        <v>131</v>
      </c>
      <c r="B481" s="944">
        <v>1.0</v>
      </c>
      <c r="C481" s="944">
        <v>0.0</v>
      </c>
      <c r="D481" s="944">
        <v>1.0</v>
      </c>
      <c r="E481" s="944">
        <v>0.0</v>
      </c>
      <c r="F481" s="944">
        <v>0.0</v>
      </c>
      <c r="G481" s="944">
        <v>66.0</v>
      </c>
      <c r="H481" s="944">
        <v>60.0</v>
      </c>
      <c r="I481" s="944">
        <v>6.0</v>
      </c>
      <c r="J481" s="944">
        <v>1.0</v>
      </c>
      <c r="K481" s="944">
        <v>5.0</v>
      </c>
      <c r="L481" s="944">
        <v>2.0</v>
      </c>
      <c r="M481" s="944">
        <v>817.0</v>
      </c>
      <c r="N481" s="944">
        <v>1092.0</v>
      </c>
      <c r="O481" s="944">
        <v>13.0</v>
      </c>
      <c r="P481" s="944">
        <v>6.0</v>
      </c>
      <c r="Q481" s="944">
        <v>0.0</v>
      </c>
      <c r="R481" s="944">
        <v>2.0</v>
      </c>
      <c r="S481" s="944">
        <v>0.0</v>
      </c>
      <c r="T481" s="944">
        <v>0.0</v>
      </c>
      <c r="U481" s="944">
        <v>0.0</v>
      </c>
      <c r="V481" s="944">
        <v>2.0</v>
      </c>
      <c r="W481" s="944">
        <v>0.0</v>
      </c>
      <c r="X481" s="944">
        <v>8.0</v>
      </c>
      <c r="Y481" s="944">
        <v>1.0</v>
      </c>
      <c r="Z481" s="944">
        <v>0.0</v>
      </c>
      <c r="AA481" s="944">
        <v>0.0</v>
      </c>
      <c r="AB481" s="944">
        <v>0.0</v>
      </c>
      <c r="AC481" s="944">
        <v>0.0</v>
      </c>
      <c r="AD481" s="944">
        <v>0.0</v>
      </c>
      <c r="AE481" s="944">
        <v>0.0</v>
      </c>
      <c r="AF481" s="944">
        <v>0.0</v>
      </c>
      <c r="AG481" s="944">
        <v>0.0</v>
      </c>
      <c r="AH481" s="944">
        <v>0.0</v>
      </c>
      <c r="AI481" s="944">
        <v>0.0</v>
      </c>
      <c r="AJ481" s="944">
        <v>9.0</v>
      </c>
      <c r="AK481" s="944">
        <v>6.0</v>
      </c>
      <c r="AL481" s="944">
        <v>0.0</v>
      </c>
      <c r="AM481" s="945">
        <v>0.0</v>
      </c>
    </row>
    <row r="482">
      <c r="A482" s="946" t="s">
        <v>119</v>
      </c>
      <c r="B482" s="939">
        <v>1.0</v>
      </c>
      <c r="C482" s="939">
        <v>1.0</v>
      </c>
      <c r="D482" s="939">
        <v>0.0</v>
      </c>
      <c r="E482" s="939">
        <v>4.0</v>
      </c>
      <c r="F482" s="939">
        <v>12.0</v>
      </c>
      <c r="G482" s="939">
        <v>48.0</v>
      </c>
      <c r="H482" s="939">
        <v>71.0</v>
      </c>
      <c r="I482" s="939">
        <v>-23.0</v>
      </c>
      <c r="J482" s="939">
        <v>6.0</v>
      </c>
      <c r="K482" s="939">
        <v>4.0</v>
      </c>
      <c r="L482" s="939">
        <v>3.0</v>
      </c>
      <c r="M482" s="939">
        <v>1364.0</v>
      </c>
      <c r="N482" s="939">
        <v>1675.0</v>
      </c>
      <c r="O482" s="939">
        <v>19.0</v>
      </c>
      <c r="P482" s="939">
        <v>564.0</v>
      </c>
      <c r="Q482" s="939">
        <v>0.0</v>
      </c>
      <c r="R482" s="939">
        <v>0.0</v>
      </c>
      <c r="S482" s="939">
        <v>0.0</v>
      </c>
      <c r="T482" s="939">
        <v>0.0</v>
      </c>
      <c r="U482" s="939">
        <v>0.0</v>
      </c>
      <c r="V482" s="939">
        <v>0.0</v>
      </c>
      <c r="W482" s="939">
        <v>0.0</v>
      </c>
      <c r="X482" s="939">
        <v>3.0</v>
      </c>
      <c r="Y482" s="939">
        <v>0.0</v>
      </c>
      <c r="Z482" s="939">
        <v>0.0</v>
      </c>
      <c r="AA482" s="939">
        <v>0.0</v>
      </c>
      <c r="AB482" s="939">
        <v>0.0</v>
      </c>
      <c r="AC482" s="939">
        <v>0.0</v>
      </c>
      <c r="AD482" s="939">
        <v>0.0</v>
      </c>
      <c r="AE482" s="939">
        <v>0.0</v>
      </c>
      <c r="AF482" s="939">
        <v>0.0</v>
      </c>
      <c r="AG482" s="939">
        <v>0.0</v>
      </c>
      <c r="AH482" s="939">
        <v>1.0</v>
      </c>
      <c r="AI482" s="939">
        <v>0.0</v>
      </c>
      <c r="AJ482" s="939">
        <v>10.0</v>
      </c>
      <c r="AK482" s="939">
        <v>7.0</v>
      </c>
      <c r="AL482" s="939">
        <v>0.0</v>
      </c>
      <c r="AM482" s="940">
        <v>1.0</v>
      </c>
    </row>
    <row r="483">
      <c r="A483" s="935" t="s">
        <v>141</v>
      </c>
      <c r="B483" s="941">
        <v>1.0</v>
      </c>
      <c r="C483" s="941">
        <v>1.0</v>
      </c>
      <c r="D483" s="941">
        <v>0.0</v>
      </c>
      <c r="E483" s="941">
        <v>1.0</v>
      </c>
      <c r="F483" s="941">
        <v>0.0</v>
      </c>
      <c r="G483" s="941">
        <v>54.0</v>
      </c>
      <c r="H483" s="941">
        <v>96.0</v>
      </c>
      <c r="I483" s="941">
        <v>-42.0</v>
      </c>
      <c r="J483" s="941">
        <v>4.0</v>
      </c>
      <c r="K483" s="941">
        <v>4.0</v>
      </c>
      <c r="L483" s="941">
        <v>2.0</v>
      </c>
      <c r="M483" s="941">
        <v>1293.0</v>
      </c>
      <c r="N483" s="941">
        <v>1675.0</v>
      </c>
      <c r="O483" s="941">
        <v>13.0</v>
      </c>
      <c r="P483" s="941">
        <v>6.0</v>
      </c>
      <c r="Q483" s="941">
        <v>0.0</v>
      </c>
      <c r="R483" s="941">
        <v>0.0</v>
      </c>
      <c r="S483" s="941">
        <v>0.0</v>
      </c>
      <c r="T483" s="941">
        <v>0.0</v>
      </c>
      <c r="U483" s="941">
        <v>0.0</v>
      </c>
      <c r="V483" s="941">
        <v>0.0</v>
      </c>
      <c r="W483" s="941">
        <v>0.0</v>
      </c>
      <c r="X483" s="941">
        <v>8.0</v>
      </c>
      <c r="Y483" s="941">
        <v>2.0</v>
      </c>
      <c r="Z483" s="941">
        <v>0.0</v>
      </c>
      <c r="AA483" s="941">
        <v>0.0</v>
      </c>
      <c r="AB483" s="941">
        <v>0.0</v>
      </c>
      <c r="AC483" s="941">
        <v>0.0</v>
      </c>
      <c r="AD483" s="941">
        <v>0.0</v>
      </c>
      <c r="AE483" s="941">
        <v>0.0</v>
      </c>
      <c r="AF483" s="941">
        <v>0.0</v>
      </c>
      <c r="AG483" s="941">
        <v>0.0</v>
      </c>
      <c r="AH483" s="941">
        <v>1.0</v>
      </c>
      <c r="AI483" s="941">
        <v>0.0</v>
      </c>
      <c r="AJ483" s="941">
        <v>3.0</v>
      </c>
      <c r="AK483" s="941">
        <v>10.0</v>
      </c>
      <c r="AL483" s="941">
        <v>1.0</v>
      </c>
      <c r="AM483" s="942">
        <v>1.0</v>
      </c>
    </row>
    <row r="484">
      <c r="A484" s="935" t="s">
        <v>152</v>
      </c>
      <c r="B484" s="941">
        <v>1.0</v>
      </c>
      <c r="C484" s="941">
        <v>1.0</v>
      </c>
      <c r="D484" s="941">
        <v>0.0</v>
      </c>
      <c r="E484" s="941">
        <v>0.0</v>
      </c>
      <c r="F484" s="941">
        <v>1.0</v>
      </c>
      <c r="G484" s="941">
        <v>94.0</v>
      </c>
      <c r="H484" s="941">
        <v>97.0</v>
      </c>
      <c r="I484" s="941">
        <v>-3.0</v>
      </c>
      <c r="J484" s="941">
        <v>3.0</v>
      </c>
      <c r="K484" s="941">
        <v>4.0</v>
      </c>
      <c r="L484" s="941">
        <v>0.0</v>
      </c>
      <c r="M484" s="941">
        <v>1286.0</v>
      </c>
      <c r="N484" s="941">
        <v>1675.0</v>
      </c>
      <c r="O484" s="941">
        <v>13.0</v>
      </c>
      <c r="P484" s="941">
        <v>26.0</v>
      </c>
      <c r="Q484" s="941">
        <v>0.0</v>
      </c>
      <c r="R484" s="941">
        <v>0.0</v>
      </c>
      <c r="S484" s="941">
        <v>0.0</v>
      </c>
      <c r="T484" s="941">
        <v>0.0</v>
      </c>
      <c r="U484" s="941">
        <v>0.0</v>
      </c>
      <c r="V484" s="941">
        <v>0.0</v>
      </c>
      <c r="W484" s="941">
        <v>0.0</v>
      </c>
      <c r="X484" s="941">
        <v>16.0</v>
      </c>
      <c r="Y484" s="941">
        <v>4.0</v>
      </c>
      <c r="Z484" s="941">
        <v>0.0</v>
      </c>
      <c r="AA484" s="941">
        <v>0.0</v>
      </c>
      <c r="AB484" s="941">
        <v>0.0</v>
      </c>
      <c r="AC484" s="941">
        <v>0.0</v>
      </c>
      <c r="AD484" s="941">
        <v>0.0</v>
      </c>
      <c r="AE484" s="941">
        <v>0.0</v>
      </c>
      <c r="AF484" s="941">
        <v>0.0</v>
      </c>
      <c r="AG484" s="941">
        <v>0.0</v>
      </c>
      <c r="AH484" s="941">
        <v>1.0</v>
      </c>
      <c r="AI484" s="941">
        <v>0.0</v>
      </c>
      <c r="AJ484" s="941">
        <v>13.0</v>
      </c>
      <c r="AK484" s="941">
        <v>14.0</v>
      </c>
      <c r="AL484" s="941">
        <v>0.0</v>
      </c>
      <c r="AM484" s="942">
        <v>1.0</v>
      </c>
    </row>
    <row r="485">
      <c r="A485" s="935" t="s">
        <v>130</v>
      </c>
      <c r="B485" s="941">
        <v>1.0</v>
      </c>
      <c r="C485" s="941">
        <v>1.0</v>
      </c>
      <c r="D485" s="941">
        <v>0.0</v>
      </c>
      <c r="E485" s="941">
        <v>0.0</v>
      </c>
      <c r="F485" s="941">
        <v>0.0</v>
      </c>
      <c r="G485" s="941">
        <v>84.0</v>
      </c>
      <c r="H485" s="941">
        <v>63.0</v>
      </c>
      <c r="I485" s="941">
        <v>21.0</v>
      </c>
      <c r="J485" s="941">
        <v>8.0</v>
      </c>
      <c r="K485" s="941">
        <v>7.0</v>
      </c>
      <c r="L485" s="941">
        <v>3.0</v>
      </c>
      <c r="M485" s="941">
        <v>1391.0</v>
      </c>
      <c r="N485" s="941">
        <v>1675.0</v>
      </c>
      <c r="O485" s="941">
        <v>22.0</v>
      </c>
      <c r="P485" s="941">
        <v>9.0</v>
      </c>
      <c r="Q485" s="941">
        <v>0.0</v>
      </c>
      <c r="R485" s="941">
        <v>3.0</v>
      </c>
      <c r="S485" s="941">
        <v>0.0</v>
      </c>
      <c r="T485" s="941">
        <v>0.0</v>
      </c>
      <c r="U485" s="941">
        <v>0.0</v>
      </c>
      <c r="V485" s="941">
        <v>3.0</v>
      </c>
      <c r="W485" s="941">
        <v>0.0</v>
      </c>
      <c r="X485" s="941">
        <v>11.0</v>
      </c>
      <c r="Y485" s="941">
        <v>0.0</v>
      </c>
      <c r="Z485" s="941">
        <v>0.0</v>
      </c>
      <c r="AA485" s="941">
        <v>0.0</v>
      </c>
      <c r="AB485" s="941">
        <v>0.0</v>
      </c>
      <c r="AC485" s="941">
        <v>0.0</v>
      </c>
      <c r="AD485" s="941">
        <v>0.0</v>
      </c>
      <c r="AE485" s="941">
        <v>0.0</v>
      </c>
      <c r="AF485" s="941">
        <v>0.0</v>
      </c>
      <c r="AG485" s="941">
        <v>0.0</v>
      </c>
      <c r="AH485" s="941">
        <v>4.0</v>
      </c>
      <c r="AI485" s="941">
        <v>0.0</v>
      </c>
      <c r="AJ485" s="941">
        <v>8.0</v>
      </c>
      <c r="AK485" s="941">
        <v>12.0</v>
      </c>
      <c r="AL485" s="941">
        <v>0.0</v>
      </c>
      <c r="AM485" s="942">
        <v>1.0</v>
      </c>
    </row>
    <row r="486">
      <c r="A486" s="935" t="s">
        <v>118</v>
      </c>
      <c r="B486" s="941">
        <v>1.0</v>
      </c>
      <c r="C486" s="941">
        <v>0.0</v>
      </c>
      <c r="D486" s="941">
        <v>1.0</v>
      </c>
      <c r="E486" s="941">
        <v>2.0</v>
      </c>
      <c r="F486" s="941">
        <v>15.0</v>
      </c>
      <c r="G486" s="941">
        <v>70.0</v>
      </c>
      <c r="H486" s="941">
        <v>64.0</v>
      </c>
      <c r="I486" s="941">
        <v>6.0</v>
      </c>
      <c r="J486" s="941">
        <v>1.0</v>
      </c>
      <c r="K486" s="941">
        <v>7.0</v>
      </c>
      <c r="L486" s="941">
        <v>1.0</v>
      </c>
      <c r="M486" s="941">
        <v>1386.0</v>
      </c>
      <c r="N486" s="941">
        <v>1675.0</v>
      </c>
      <c r="O486" s="941">
        <v>21.0</v>
      </c>
      <c r="P486" s="941">
        <v>646.0</v>
      </c>
      <c r="Q486" s="941">
        <v>0.0</v>
      </c>
      <c r="R486" s="941">
        <v>3.0</v>
      </c>
      <c r="S486" s="941">
        <v>0.0</v>
      </c>
      <c r="T486" s="941">
        <v>0.0</v>
      </c>
      <c r="U486" s="941">
        <v>0.0</v>
      </c>
      <c r="V486" s="941">
        <v>1.0</v>
      </c>
      <c r="W486" s="941">
        <v>0.0</v>
      </c>
      <c r="X486" s="941">
        <v>12.0</v>
      </c>
      <c r="Y486" s="941">
        <v>2.0</v>
      </c>
      <c r="Z486" s="941">
        <v>0.0</v>
      </c>
      <c r="AA486" s="941">
        <v>0.0</v>
      </c>
      <c r="AB486" s="941">
        <v>0.0</v>
      </c>
      <c r="AC486" s="941">
        <v>0.0</v>
      </c>
      <c r="AD486" s="941">
        <v>0.0</v>
      </c>
      <c r="AE486" s="941">
        <v>0.0</v>
      </c>
      <c r="AF486" s="941">
        <v>0.0</v>
      </c>
      <c r="AG486" s="941">
        <v>0.0</v>
      </c>
      <c r="AH486" s="941">
        <v>1.0</v>
      </c>
      <c r="AI486" s="941">
        <v>0.0</v>
      </c>
      <c r="AJ486" s="941">
        <v>5.0</v>
      </c>
      <c r="AK486" s="941">
        <v>3.0</v>
      </c>
      <c r="AL486" s="941">
        <v>2.0</v>
      </c>
      <c r="AM486" s="942">
        <v>0.0</v>
      </c>
    </row>
    <row r="487">
      <c r="A487" s="935" t="s">
        <v>151</v>
      </c>
      <c r="B487" s="941">
        <v>1.0</v>
      </c>
      <c r="C487" s="941">
        <v>0.0</v>
      </c>
      <c r="D487" s="941">
        <v>1.0</v>
      </c>
      <c r="E487" s="941">
        <v>0.0</v>
      </c>
      <c r="F487" s="941">
        <v>0.0</v>
      </c>
      <c r="G487" s="941">
        <v>85.0</v>
      </c>
      <c r="H487" s="941">
        <v>70.0</v>
      </c>
      <c r="I487" s="941">
        <v>15.0</v>
      </c>
      <c r="J487" s="941">
        <v>4.0</v>
      </c>
      <c r="K487" s="941">
        <v>5.0</v>
      </c>
      <c r="L487" s="941">
        <v>1.0</v>
      </c>
      <c r="M487" s="941">
        <v>1370.0</v>
      </c>
      <c r="N487" s="941">
        <v>1675.0</v>
      </c>
      <c r="O487" s="941">
        <v>19.0</v>
      </c>
      <c r="P487" s="941">
        <v>12.0</v>
      </c>
      <c r="Q487" s="941">
        <v>0.0</v>
      </c>
      <c r="R487" s="941">
        <v>1.0</v>
      </c>
      <c r="S487" s="941">
        <v>0.0</v>
      </c>
      <c r="T487" s="941">
        <v>0.0</v>
      </c>
      <c r="U487" s="941">
        <v>0.0</v>
      </c>
      <c r="V487" s="941">
        <v>1.0</v>
      </c>
      <c r="W487" s="941">
        <v>0.0</v>
      </c>
      <c r="X487" s="941">
        <v>9.0</v>
      </c>
      <c r="Y487" s="941">
        <v>3.0</v>
      </c>
      <c r="Z487" s="941">
        <v>0.0</v>
      </c>
      <c r="AA487" s="941">
        <v>0.0</v>
      </c>
      <c r="AB487" s="941">
        <v>0.0</v>
      </c>
      <c r="AC487" s="941">
        <v>0.0</v>
      </c>
      <c r="AD487" s="941">
        <v>0.0</v>
      </c>
      <c r="AE487" s="941">
        <v>0.0</v>
      </c>
      <c r="AF487" s="941">
        <v>0.0</v>
      </c>
      <c r="AG487" s="941">
        <v>0.0</v>
      </c>
      <c r="AH487" s="941">
        <v>2.0</v>
      </c>
      <c r="AI487" s="941">
        <v>0.0</v>
      </c>
      <c r="AJ487" s="941">
        <v>10.0</v>
      </c>
      <c r="AK487" s="941">
        <v>12.0</v>
      </c>
      <c r="AL487" s="941">
        <v>1.0</v>
      </c>
      <c r="AM487" s="942">
        <v>0.0</v>
      </c>
    </row>
    <row r="488">
      <c r="A488" s="935" t="s">
        <v>129</v>
      </c>
      <c r="B488" s="941">
        <v>1.0</v>
      </c>
      <c r="C488" s="941">
        <v>0.0</v>
      </c>
      <c r="D488" s="941">
        <v>1.0</v>
      </c>
      <c r="E488" s="941">
        <v>0.0</v>
      </c>
      <c r="F488" s="941">
        <v>1.0</v>
      </c>
      <c r="G488" s="941">
        <v>84.0</v>
      </c>
      <c r="H488" s="941">
        <v>66.0</v>
      </c>
      <c r="I488" s="941">
        <v>18.0</v>
      </c>
      <c r="J488" s="941">
        <v>3.0</v>
      </c>
      <c r="K488" s="941">
        <v>6.0</v>
      </c>
      <c r="L488" s="941">
        <v>0.0</v>
      </c>
      <c r="M488" s="941">
        <v>1374.0</v>
      </c>
      <c r="N488" s="941">
        <v>1675.0</v>
      </c>
      <c r="O488" s="941">
        <v>20.0</v>
      </c>
      <c r="P488" s="941">
        <v>205.0</v>
      </c>
      <c r="Q488" s="941">
        <v>0.0</v>
      </c>
      <c r="R488" s="941">
        <v>4.0</v>
      </c>
      <c r="S488" s="941">
        <v>0.0</v>
      </c>
      <c r="T488" s="941">
        <v>0.0</v>
      </c>
      <c r="U488" s="941">
        <v>0.0</v>
      </c>
      <c r="V488" s="941">
        <v>3.0</v>
      </c>
      <c r="W488" s="941">
        <v>0.0</v>
      </c>
      <c r="X488" s="941">
        <v>12.0</v>
      </c>
      <c r="Y488" s="941">
        <v>1.0</v>
      </c>
      <c r="Z488" s="941">
        <v>1.0</v>
      </c>
      <c r="AA488" s="941">
        <v>0.0</v>
      </c>
      <c r="AB488" s="941">
        <v>0.0</v>
      </c>
      <c r="AC488" s="941">
        <v>0.0</v>
      </c>
      <c r="AD488" s="941">
        <v>0.0</v>
      </c>
      <c r="AE488" s="941">
        <v>0.0</v>
      </c>
      <c r="AF488" s="941">
        <v>0.0</v>
      </c>
      <c r="AG488" s="941">
        <v>0.0</v>
      </c>
      <c r="AH488" s="941">
        <v>5.0</v>
      </c>
      <c r="AI488" s="941">
        <v>0.0</v>
      </c>
      <c r="AJ488" s="941">
        <v>11.0</v>
      </c>
      <c r="AK488" s="941">
        <v>7.0</v>
      </c>
      <c r="AL488" s="941">
        <v>1.0</v>
      </c>
      <c r="AM488" s="942">
        <v>0.0</v>
      </c>
    </row>
    <row r="489">
      <c r="A489" s="943" t="s">
        <v>140</v>
      </c>
      <c r="B489" s="944">
        <v>1.0</v>
      </c>
      <c r="C489" s="944">
        <v>0.0</v>
      </c>
      <c r="D489" s="944">
        <v>1.0</v>
      </c>
      <c r="E489" s="944">
        <v>0.0</v>
      </c>
      <c r="F489" s="944">
        <v>0.0</v>
      </c>
      <c r="G489" s="944">
        <v>74.0</v>
      </c>
      <c r="H489" s="944">
        <v>90.0</v>
      </c>
      <c r="I489" s="944">
        <v>-16.0</v>
      </c>
      <c r="J489" s="944">
        <v>9.0</v>
      </c>
      <c r="K489" s="944">
        <v>4.0</v>
      </c>
      <c r="L489" s="944">
        <v>1.0</v>
      </c>
      <c r="M489" s="944">
        <v>1314.0</v>
      </c>
      <c r="N489" s="944">
        <v>1675.0</v>
      </c>
      <c r="O489" s="944">
        <v>14.0</v>
      </c>
      <c r="P489" s="944">
        <v>0.0</v>
      </c>
      <c r="Q489" s="944">
        <v>0.0</v>
      </c>
      <c r="R489" s="944">
        <v>0.0</v>
      </c>
      <c r="S489" s="944">
        <v>0.0</v>
      </c>
      <c r="T489" s="944">
        <v>0.0</v>
      </c>
      <c r="U489" s="944">
        <v>0.0</v>
      </c>
      <c r="V489" s="944">
        <v>0.0</v>
      </c>
      <c r="W489" s="944">
        <v>0.0</v>
      </c>
      <c r="X489" s="944">
        <v>9.0</v>
      </c>
      <c r="Y489" s="944">
        <v>3.0</v>
      </c>
      <c r="Z489" s="944">
        <v>0.0</v>
      </c>
      <c r="AA489" s="944">
        <v>0.0</v>
      </c>
      <c r="AB489" s="944">
        <v>0.0</v>
      </c>
      <c r="AC489" s="944">
        <v>0.0</v>
      </c>
      <c r="AD489" s="944">
        <v>0.0</v>
      </c>
      <c r="AE489" s="944">
        <v>0.0</v>
      </c>
      <c r="AF489" s="944">
        <v>0.0</v>
      </c>
      <c r="AG489" s="944">
        <v>0.0</v>
      </c>
      <c r="AH489" s="944">
        <v>1.0</v>
      </c>
      <c r="AI489" s="944">
        <v>0.0</v>
      </c>
      <c r="AJ489" s="944">
        <v>11.0</v>
      </c>
      <c r="AK489" s="944">
        <v>9.0</v>
      </c>
      <c r="AL489" s="944">
        <v>2.0</v>
      </c>
      <c r="AM489" s="945">
        <v>0.0</v>
      </c>
    </row>
    <row r="490">
      <c r="A490" s="946" t="s">
        <v>114</v>
      </c>
      <c r="B490" s="939">
        <v>1.0</v>
      </c>
      <c r="C490" s="939">
        <v>1.0</v>
      </c>
      <c r="D490" s="939">
        <v>0.0</v>
      </c>
      <c r="E490" s="939">
        <v>5.0</v>
      </c>
      <c r="F490" s="939">
        <v>21.0</v>
      </c>
      <c r="G490" s="939">
        <v>56.0</v>
      </c>
      <c r="H490" s="939">
        <v>36.0</v>
      </c>
      <c r="I490" s="939">
        <v>20.0</v>
      </c>
      <c r="J490" s="939">
        <v>6.0</v>
      </c>
      <c r="K490" s="939">
        <v>9.0</v>
      </c>
      <c r="L490" s="939">
        <v>1.0</v>
      </c>
      <c r="M490" s="939">
        <v>1573.0</v>
      </c>
      <c r="N490" s="939">
        <v>1778.0</v>
      </c>
      <c r="O490" s="939">
        <v>43.0</v>
      </c>
      <c r="P490" s="939">
        <v>1088.0</v>
      </c>
      <c r="Q490" s="939">
        <v>0.0</v>
      </c>
      <c r="R490" s="939">
        <v>2.0</v>
      </c>
      <c r="S490" s="939">
        <v>0.0</v>
      </c>
      <c r="T490" s="939">
        <v>0.0</v>
      </c>
      <c r="U490" s="939">
        <v>0.0</v>
      </c>
      <c r="V490" s="939">
        <v>1.0</v>
      </c>
      <c r="W490" s="939">
        <v>0.0</v>
      </c>
      <c r="X490" s="939">
        <v>8.0</v>
      </c>
      <c r="Y490" s="939">
        <v>2.0</v>
      </c>
      <c r="Z490" s="939">
        <v>0.0</v>
      </c>
      <c r="AA490" s="939">
        <v>0.0</v>
      </c>
      <c r="AB490" s="939">
        <v>0.0</v>
      </c>
      <c r="AC490" s="939">
        <v>0.0</v>
      </c>
      <c r="AD490" s="939">
        <v>0.0</v>
      </c>
      <c r="AE490" s="939">
        <v>0.0</v>
      </c>
      <c r="AF490" s="939">
        <v>0.0</v>
      </c>
      <c r="AG490" s="939">
        <v>0.0</v>
      </c>
      <c r="AH490" s="939">
        <v>3.0</v>
      </c>
      <c r="AI490" s="939">
        <v>0.0</v>
      </c>
      <c r="AJ490" s="939">
        <v>10.0</v>
      </c>
      <c r="AK490" s="939">
        <v>3.0</v>
      </c>
      <c r="AL490" s="939">
        <v>1.0</v>
      </c>
      <c r="AM490" s="940">
        <v>1.0</v>
      </c>
    </row>
    <row r="491">
      <c r="A491" s="935" t="s">
        <v>145</v>
      </c>
      <c r="B491" s="941">
        <v>1.0</v>
      </c>
      <c r="C491" s="941">
        <v>1.0</v>
      </c>
      <c r="D491" s="941">
        <v>0.0</v>
      </c>
      <c r="E491" s="941">
        <v>0.0</v>
      </c>
      <c r="F491" s="941">
        <v>2.0</v>
      </c>
      <c r="G491" s="941">
        <v>117.0</v>
      </c>
      <c r="H491" s="941">
        <v>107.0</v>
      </c>
      <c r="I491" s="941">
        <v>10.0</v>
      </c>
      <c r="J491" s="941">
        <v>7.0</v>
      </c>
      <c r="K491" s="941">
        <v>5.0</v>
      </c>
      <c r="L491" s="941">
        <v>2.0</v>
      </c>
      <c r="M491" s="941">
        <v>1366.0</v>
      </c>
      <c r="N491" s="941">
        <v>1778.0</v>
      </c>
      <c r="O491" s="941">
        <v>12.0</v>
      </c>
      <c r="P491" s="941">
        <v>22.0</v>
      </c>
      <c r="Q491" s="941">
        <v>0.0</v>
      </c>
      <c r="R491" s="941">
        <v>1.0</v>
      </c>
      <c r="S491" s="941">
        <v>0.0</v>
      </c>
      <c r="T491" s="941">
        <v>0.0</v>
      </c>
      <c r="U491" s="941">
        <v>0.0</v>
      </c>
      <c r="V491" s="941">
        <v>1.0</v>
      </c>
      <c r="W491" s="941">
        <v>0.0</v>
      </c>
      <c r="X491" s="941">
        <v>20.0</v>
      </c>
      <c r="Y491" s="941">
        <v>1.0</v>
      </c>
      <c r="Z491" s="941">
        <v>0.0</v>
      </c>
      <c r="AA491" s="941">
        <v>0.0</v>
      </c>
      <c r="AB491" s="941">
        <v>0.0</v>
      </c>
      <c r="AC491" s="941">
        <v>0.0</v>
      </c>
      <c r="AD491" s="941">
        <v>0.0</v>
      </c>
      <c r="AE491" s="941">
        <v>0.0</v>
      </c>
      <c r="AF491" s="941">
        <v>0.0</v>
      </c>
      <c r="AG491" s="941">
        <v>0.0</v>
      </c>
      <c r="AH491" s="941">
        <v>1.0</v>
      </c>
      <c r="AI491" s="941">
        <v>0.0</v>
      </c>
      <c r="AJ491" s="941">
        <v>18.0</v>
      </c>
      <c r="AK491" s="941">
        <v>20.0</v>
      </c>
      <c r="AL491" s="941">
        <v>0.0</v>
      </c>
      <c r="AM491" s="942">
        <v>1.0</v>
      </c>
    </row>
    <row r="492">
      <c r="A492" s="935" t="s">
        <v>418</v>
      </c>
      <c r="B492" s="941">
        <v>1.0</v>
      </c>
      <c r="C492" s="941">
        <v>1.0</v>
      </c>
      <c r="D492" s="941">
        <v>0.0</v>
      </c>
      <c r="E492" s="941">
        <v>0.0</v>
      </c>
      <c r="F492" s="941">
        <v>1.0</v>
      </c>
      <c r="G492" s="941">
        <v>122.0</v>
      </c>
      <c r="H492" s="941">
        <v>73.0</v>
      </c>
      <c r="I492" s="941">
        <v>49.0</v>
      </c>
      <c r="J492" s="941">
        <v>6.0</v>
      </c>
      <c r="K492" s="941">
        <v>7.0</v>
      </c>
      <c r="L492" s="941">
        <v>3.0</v>
      </c>
      <c r="M492" s="941">
        <v>1465.0</v>
      </c>
      <c r="N492" s="941">
        <v>1778.0</v>
      </c>
      <c r="O492" s="941">
        <v>20.0</v>
      </c>
      <c r="P492" s="941">
        <v>15.0</v>
      </c>
      <c r="Q492" s="941">
        <v>0.0</v>
      </c>
      <c r="R492" s="941">
        <v>5.0</v>
      </c>
      <c r="S492" s="941">
        <v>0.0</v>
      </c>
      <c r="T492" s="941">
        <v>0.0</v>
      </c>
      <c r="U492" s="941">
        <v>0.0</v>
      </c>
      <c r="V492" s="941">
        <v>5.0</v>
      </c>
      <c r="W492" s="941">
        <v>0.0</v>
      </c>
      <c r="X492" s="941">
        <v>24.0</v>
      </c>
      <c r="Y492" s="941">
        <v>8.0</v>
      </c>
      <c r="Z492" s="941">
        <v>1.0</v>
      </c>
      <c r="AA492" s="941">
        <v>0.0</v>
      </c>
      <c r="AB492" s="941">
        <v>0.0</v>
      </c>
      <c r="AC492" s="941">
        <v>0.0</v>
      </c>
      <c r="AD492" s="941">
        <v>0.0</v>
      </c>
      <c r="AE492" s="941">
        <v>0.0</v>
      </c>
      <c r="AF492" s="941">
        <v>0.0</v>
      </c>
      <c r="AG492" s="941">
        <v>0.0</v>
      </c>
      <c r="AH492" s="941">
        <v>6.0</v>
      </c>
      <c r="AI492" s="941">
        <v>0.0</v>
      </c>
      <c r="AJ492" s="941">
        <v>12.0</v>
      </c>
      <c r="AK492" s="941">
        <v>13.0</v>
      </c>
      <c r="AL492" s="941">
        <v>1.0</v>
      </c>
      <c r="AM492" s="942">
        <v>1.0</v>
      </c>
    </row>
    <row r="493">
      <c r="A493" s="935" t="s">
        <v>147</v>
      </c>
      <c r="B493" s="941">
        <v>1.0</v>
      </c>
      <c r="C493" s="941">
        <v>1.0</v>
      </c>
      <c r="D493" s="941">
        <v>0.0</v>
      </c>
      <c r="E493" s="941">
        <v>0.0</v>
      </c>
      <c r="F493" s="941">
        <v>0.0</v>
      </c>
      <c r="G493" s="941">
        <v>80.0</v>
      </c>
      <c r="H493" s="941">
        <v>111.0</v>
      </c>
      <c r="I493" s="941">
        <v>-31.0</v>
      </c>
      <c r="J493" s="941">
        <v>14.0</v>
      </c>
      <c r="K493" s="941">
        <v>4.0</v>
      </c>
      <c r="L493" s="941">
        <v>2.0</v>
      </c>
      <c r="M493" s="941">
        <v>1347.0</v>
      </c>
      <c r="N493" s="941">
        <v>1778.0</v>
      </c>
      <c r="O493" s="941">
        <v>12.0</v>
      </c>
      <c r="P493" s="941">
        <v>10.0</v>
      </c>
      <c r="Q493" s="941">
        <v>0.0</v>
      </c>
      <c r="R493" s="941">
        <v>0.0</v>
      </c>
      <c r="S493" s="941">
        <v>0.0</v>
      </c>
      <c r="T493" s="941">
        <v>0.0</v>
      </c>
      <c r="U493" s="941">
        <v>0.0</v>
      </c>
      <c r="V493" s="941">
        <v>0.0</v>
      </c>
      <c r="W493" s="941">
        <v>0.0</v>
      </c>
      <c r="X493" s="941">
        <v>6.0</v>
      </c>
      <c r="Y493" s="941">
        <v>2.0</v>
      </c>
      <c r="Z493" s="941">
        <v>0.0</v>
      </c>
      <c r="AA493" s="941">
        <v>0.0</v>
      </c>
      <c r="AB493" s="941">
        <v>0.0</v>
      </c>
      <c r="AC493" s="941">
        <v>0.0</v>
      </c>
      <c r="AD493" s="941">
        <v>0.0</v>
      </c>
      <c r="AE493" s="941">
        <v>0.0</v>
      </c>
      <c r="AF493" s="941">
        <v>0.0</v>
      </c>
      <c r="AG493" s="941">
        <v>0.0</v>
      </c>
      <c r="AH493" s="941">
        <v>2.0</v>
      </c>
      <c r="AI493" s="941">
        <v>0.0</v>
      </c>
      <c r="AJ493" s="941">
        <v>6.0</v>
      </c>
      <c r="AK493" s="941">
        <v>9.0</v>
      </c>
      <c r="AL493" s="941">
        <v>0.0</v>
      </c>
      <c r="AM493" s="942">
        <v>1.0</v>
      </c>
    </row>
    <row r="494">
      <c r="A494" s="935" t="s">
        <v>129</v>
      </c>
      <c r="B494" s="941">
        <v>1.0</v>
      </c>
      <c r="C494" s="941">
        <v>0.0</v>
      </c>
      <c r="D494" s="941">
        <v>1.0</v>
      </c>
      <c r="E494" s="941">
        <v>2.0</v>
      </c>
      <c r="F494" s="941">
        <v>5.0</v>
      </c>
      <c r="G494" s="941">
        <v>101.0</v>
      </c>
      <c r="H494" s="941">
        <v>90.0</v>
      </c>
      <c r="I494" s="941">
        <v>11.0</v>
      </c>
      <c r="J494" s="941">
        <v>7.0</v>
      </c>
      <c r="K494" s="941">
        <v>5.0</v>
      </c>
      <c r="L494" s="941">
        <v>2.0</v>
      </c>
      <c r="M494" s="941">
        <v>1419.0</v>
      </c>
      <c r="N494" s="941">
        <v>1778.0</v>
      </c>
      <c r="O494" s="941">
        <v>15.0</v>
      </c>
      <c r="P494" s="941">
        <v>175.0</v>
      </c>
      <c r="Q494" s="941">
        <v>0.0</v>
      </c>
      <c r="R494" s="941">
        <v>2.0</v>
      </c>
      <c r="S494" s="941">
        <v>0.0</v>
      </c>
      <c r="T494" s="941">
        <v>0.0</v>
      </c>
      <c r="U494" s="941">
        <v>0.0</v>
      </c>
      <c r="V494" s="941">
        <v>1.0</v>
      </c>
      <c r="W494" s="941">
        <v>0.0</v>
      </c>
      <c r="X494" s="941">
        <v>16.0</v>
      </c>
      <c r="Y494" s="941">
        <v>4.0</v>
      </c>
      <c r="Z494" s="941">
        <v>0.0</v>
      </c>
      <c r="AA494" s="941">
        <v>0.0</v>
      </c>
      <c r="AB494" s="941">
        <v>0.0</v>
      </c>
      <c r="AC494" s="941">
        <v>0.0</v>
      </c>
      <c r="AD494" s="941">
        <v>0.0</v>
      </c>
      <c r="AE494" s="941">
        <v>0.0</v>
      </c>
      <c r="AF494" s="941">
        <v>0.0</v>
      </c>
      <c r="AG494" s="941">
        <v>0.0</v>
      </c>
      <c r="AH494" s="941">
        <v>0.0</v>
      </c>
      <c r="AI494" s="941">
        <v>0.0</v>
      </c>
      <c r="AJ494" s="941">
        <v>16.0</v>
      </c>
      <c r="AK494" s="941">
        <v>14.0</v>
      </c>
      <c r="AL494" s="941">
        <v>1.0</v>
      </c>
      <c r="AM494" s="942">
        <v>0.0</v>
      </c>
    </row>
    <row r="495">
      <c r="A495" s="935" t="s">
        <v>151</v>
      </c>
      <c r="B495" s="941">
        <v>1.0</v>
      </c>
      <c r="C495" s="941">
        <v>0.0</v>
      </c>
      <c r="D495" s="941">
        <v>1.0</v>
      </c>
      <c r="E495" s="941">
        <v>0.0</v>
      </c>
      <c r="F495" s="941">
        <v>1.0</v>
      </c>
      <c r="G495" s="941">
        <v>73.0</v>
      </c>
      <c r="H495" s="941">
        <v>87.0</v>
      </c>
      <c r="I495" s="941">
        <v>-14.0</v>
      </c>
      <c r="J495" s="941">
        <v>5.0</v>
      </c>
      <c r="K495" s="941">
        <v>5.0</v>
      </c>
      <c r="L495" s="941">
        <v>2.0</v>
      </c>
      <c r="M495" s="941">
        <v>1423.0</v>
      </c>
      <c r="N495" s="941">
        <v>1778.0</v>
      </c>
      <c r="O495" s="941">
        <v>16.0</v>
      </c>
      <c r="P495" s="941">
        <v>1.0</v>
      </c>
      <c r="Q495" s="941">
        <v>0.0</v>
      </c>
      <c r="R495" s="941">
        <v>1.0</v>
      </c>
      <c r="S495" s="941">
        <v>0.0</v>
      </c>
      <c r="T495" s="941">
        <v>0.0</v>
      </c>
      <c r="U495" s="941">
        <v>0.0</v>
      </c>
      <c r="V495" s="941">
        <v>1.0</v>
      </c>
      <c r="W495" s="941">
        <v>0.0</v>
      </c>
      <c r="X495" s="941">
        <v>9.0</v>
      </c>
      <c r="Y495" s="941">
        <v>0.0</v>
      </c>
      <c r="Z495" s="941">
        <v>0.0</v>
      </c>
      <c r="AA495" s="941">
        <v>0.0</v>
      </c>
      <c r="AB495" s="941">
        <v>0.0</v>
      </c>
      <c r="AC495" s="941">
        <v>0.0</v>
      </c>
      <c r="AD495" s="941">
        <v>0.0</v>
      </c>
      <c r="AE495" s="941">
        <v>0.0</v>
      </c>
      <c r="AF495" s="941">
        <v>0.0</v>
      </c>
      <c r="AG495" s="941">
        <v>0.0</v>
      </c>
      <c r="AH495" s="941">
        <v>0.0</v>
      </c>
      <c r="AI495" s="941">
        <v>0.0</v>
      </c>
      <c r="AJ495" s="941">
        <v>5.0</v>
      </c>
      <c r="AK495" s="941">
        <v>12.0</v>
      </c>
      <c r="AL495" s="941">
        <v>1.0</v>
      </c>
      <c r="AM495" s="942">
        <v>0.0</v>
      </c>
    </row>
    <row r="496">
      <c r="A496" s="935" t="s">
        <v>118</v>
      </c>
      <c r="B496" s="941">
        <v>1.0</v>
      </c>
      <c r="C496" s="941">
        <v>0.0</v>
      </c>
      <c r="D496" s="941">
        <v>1.0</v>
      </c>
      <c r="E496" s="941">
        <v>0.0</v>
      </c>
      <c r="F496" s="941">
        <v>5.0</v>
      </c>
      <c r="G496" s="941">
        <v>74.0</v>
      </c>
      <c r="H496" s="941">
        <v>113.0</v>
      </c>
      <c r="I496" s="941">
        <v>-39.0</v>
      </c>
      <c r="J496" s="941">
        <v>3.0</v>
      </c>
      <c r="K496" s="941">
        <v>4.0</v>
      </c>
      <c r="L496" s="941">
        <v>2.0</v>
      </c>
      <c r="M496" s="941">
        <v>1350.0</v>
      </c>
      <c r="N496" s="941">
        <v>1778.0</v>
      </c>
      <c r="O496" s="941">
        <v>11.0</v>
      </c>
      <c r="P496" s="941">
        <v>157.0</v>
      </c>
      <c r="Q496" s="941">
        <v>0.0</v>
      </c>
      <c r="R496" s="941">
        <v>0.0</v>
      </c>
      <c r="S496" s="941">
        <v>0.0</v>
      </c>
      <c r="T496" s="941">
        <v>0.0</v>
      </c>
      <c r="U496" s="941">
        <v>0.0</v>
      </c>
      <c r="V496" s="941">
        <v>0.0</v>
      </c>
      <c r="W496" s="941">
        <v>0.0</v>
      </c>
      <c r="X496" s="941">
        <v>8.0</v>
      </c>
      <c r="Y496" s="941">
        <v>2.0</v>
      </c>
      <c r="Z496" s="941">
        <v>0.0</v>
      </c>
      <c r="AA496" s="941">
        <v>0.0</v>
      </c>
      <c r="AB496" s="941">
        <v>0.0</v>
      </c>
      <c r="AC496" s="941">
        <v>0.0</v>
      </c>
      <c r="AD496" s="941">
        <v>0.0</v>
      </c>
      <c r="AE496" s="941">
        <v>0.0</v>
      </c>
      <c r="AF496" s="941">
        <v>0.0</v>
      </c>
      <c r="AG496" s="941">
        <v>0.0</v>
      </c>
      <c r="AH496" s="941">
        <v>0.0</v>
      </c>
      <c r="AI496" s="941">
        <v>0.0</v>
      </c>
      <c r="AJ496" s="941">
        <v>7.0</v>
      </c>
      <c r="AK496" s="941">
        <v>10.0</v>
      </c>
      <c r="AL496" s="941">
        <v>1.0</v>
      </c>
      <c r="AM496" s="942">
        <v>0.0</v>
      </c>
    </row>
    <row r="497">
      <c r="A497" s="943" t="s">
        <v>140</v>
      </c>
      <c r="B497" s="944">
        <v>1.0</v>
      </c>
      <c r="C497" s="944">
        <v>0.0</v>
      </c>
      <c r="D497" s="944">
        <v>1.0</v>
      </c>
      <c r="E497" s="944">
        <v>0.0</v>
      </c>
      <c r="F497" s="944">
        <v>1.0</v>
      </c>
      <c r="G497" s="944">
        <v>64.0</v>
      </c>
      <c r="H497" s="944">
        <v>104.0</v>
      </c>
      <c r="I497" s="944">
        <v>-40.0</v>
      </c>
      <c r="J497" s="944">
        <v>7.0</v>
      </c>
      <c r="K497" s="944">
        <v>4.0</v>
      </c>
      <c r="L497" s="944">
        <v>3.0</v>
      </c>
      <c r="M497" s="944">
        <v>1374.0</v>
      </c>
      <c r="N497" s="944">
        <v>1778.0</v>
      </c>
      <c r="O497" s="944">
        <v>13.0</v>
      </c>
      <c r="P497" s="944">
        <v>89.0</v>
      </c>
      <c r="Q497" s="944">
        <v>0.0</v>
      </c>
      <c r="R497" s="944">
        <v>0.0</v>
      </c>
      <c r="S497" s="944">
        <v>0.0</v>
      </c>
      <c r="T497" s="944">
        <v>0.0</v>
      </c>
      <c r="U497" s="944">
        <v>0.0</v>
      </c>
      <c r="V497" s="944">
        <v>0.0</v>
      </c>
      <c r="W497" s="944">
        <v>0.0</v>
      </c>
      <c r="X497" s="944">
        <v>11.0</v>
      </c>
      <c r="Y497" s="944">
        <v>1.0</v>
      </c>
      <c r="Z497" s="944">
        <v>0.0</v>
      </c>
      <c r="AA497" s="944">
        <v>0.0</v>
      </c>
      <c r="AB497" s="944">
        <v>0.0</v>
      </c>
      <c r="AC497" s="944">
        <v>0.0</v>
      </c>
      <c r="AD497" s="944">
        <v>0.0</v>
      </c>
      <c r="AE497" s="944">
        <v>0.0</v>
      </c>
      <c r="AF497" s="944">
        <v>0.0</v>
      </c>
      <c r="AG497" s="944">
        <v>0.0</v>
      </c>
      <c r="AH497" s="944">
        <v>1.0</v>
      </c>
      <c r="AI497" s="944">
        <v>0.0</v>
      </c>
      <c r="AJ497" s="944">
        <v>5.0</v>
      </c>
      <c r="AK497" s="944">
        <v>5.0</v>
      </c>
      <c r="AL497" s="944">
        <v>2.0</v>
      </c>
      <c r="AM497" s="945">
        <v>0.0</v>
      </c>
    </row>
    <row r="498">
      <c r="A498" s="946" t="s">
        <v>119</v>
      </c>
      <c r="B498" s="939">
        <v>1.0</v>
      </c>
      <c r="C498" s="939">
        <v>1.0</v>
      </c>
      <c r="D498" s="939">
        <v>0.0</v>
      </c>
      <c r="E498" s="939">
        <v>4.0</v>
      </c>
      <c r="F498" s="939">
        <v>12.0</v>
      </c>
      <c r="G498" s="939">
        <v>96.0</v>
      </c>
      <c r="H498" s="939">
        <v>121.0</v>
      </c>
      <c r="I498" s="939">
        <v>-25.0</v>
      </c>
      <c r="J498" s="939">
        <v>6.0</v>
      </c>
      <c r="K498" s="939">
        <v>5.0</v>
      </c>
      <c r="L498" s="939">
        <v>3.0</v>
      </c>
      <c r="M498" s="939">
        <v>2029.0</v>
      </c>
      <c r="N498" s="939">
        <v>2513.0</v>
      </c>
      <c r="O498" s="939">
        <v>16.0</v>
      </c>
      <c r="P498" s="939">
        <v>434.0</v>
      </c>
      <c r="Q498" s="939">
        <v>0.0</v>
      </c>
      <c r="R498" s="939">
        <v>1.0</v>
      </c>
      <c r="S498" s="939">
        <v>0.0</v>
      </c>
      <c r="T498" s="939">
        <v>0.0</v>
      </c>
      <c r="U498" s="939">
        <v>0.0</v>
      </c>
      <c r="V498" s="939">
        <v>0.0</v>
      </c>
      <c r="W498" s="939">
        <v>0.0</v>
      </c>
      <c r="X498" s="939">
        <v>13.0</v>
      </c>
      <c r="Y498" s="939">
        <v>0.0</v>
      </c>
      <c r="Z498" s="939">
        <v>0.0</v>
      </c>
      <c r="AA498" s="939">
        <v>0.0</v>
      </c>
      <c r="AB498" s="939">
        <v>0.0</v>
      </c>
      <c r="AC498" s="939">
        <v>0.0</v>
      </c>
      <c r="AD498" s="939">
        <v>0.0</v>
      </c>
      <c r="AE498" s="939">
        <v>0.0</v>
      </c>
      <c r="AF498" s="939">
        <v>0.0</v>
      </c>
      <c r="AG498" s="939">
        <v>0.0</v>
      </c>
      <c r="AH498" s="939">
        <v>0.0</v>
      </c>
      <c r="AI498" s="939">
        <v>0.0</v>
      </c>
      <c r="AJ498" s="939">
        <v>20.0</v>
      </c>
      <c r="AK498" s="939">
        <v>14.0</v>
      </c>
      <c r="AL498" s="939">
        <v>0.0</v>
      </c>
      <c r="AM498" s="940">
        <v>0.0</v>
      </c>
    </row>
    <row r="499">
      <c r="A499" s="935" t="s">
        <v>152</v>
      </c>
      <c r="B499" s="941">
        <v>1.0</v>
      </c>
      <c r="C499" s="941">
        <v>1.0</v>
      </c>
      <c r="D499" s="941">
        <v>0.0</v>
      </c>
      <c r="E499" s="941">
        <v>1.0</v>
      </c>
      <c r="F499" s="941">
        <v>1.0</v>
      </c>
      <c r="G499" s="941">
        <v>106.0</v>
      </c>
      <c r="H499" s="941">
        <v>123.0</v>
      </c>
      <c r="I499" s="941">
        <v>-17.0</v>
      </c>
      <c r="J499" s="941">
        <v>6.0</v>
      </c>
      <c r="K499" s="941">
        <v>4.0</v>
      </c>
      <c r="L499" s="941">
        <v>0.0</v>
      </c>
      <c r="M499" s="941">
        <v>2015.0</v>
      </c>
      <c r="N499" s="941">
        <v>2513.0</v>
      </c>
      <c r="O499" s="941">
        <v>16.0</v>
      </c>
      <c r="P499" s="941">
        <v>10.0</v>
      </c>
      <c r="Q499" s="941">
        <v>0.0</v>
      </c>
      <c r="R499" s="941">
        <v>0.0</v>
      </c>
      <c r="S499" s="941">
        <v>0.0</v>
      </c>
      <c r="T499" s="941">
        <v>0.0</v>
      </c>
      <c r="U499" s="941">
        <v>0.0</v>
      </c>
      <c r="V499" s="941">
        <v>0.0</v>
      </c>
      <c r="W499" s="941">
        <v>0.0</v>
      </c>
      <c r="X499" s="941">
        <v>13.0</v>
      </c>
      <c r="Y499" s="941">
        <v>0.0</v>
      </c>
      <c r="Z499" s="941">
        <v>0.0</v>
      </c>
      <c r="AA499" s="941">
        <v>0.0</v>
      </c>
      <c r="AB499" s="941">
        <v>0.0</v>
      </c>
      <c r="AC499" s="941">
        <v>0.0</v>
      </c>
      <c r="AD499" s="941">
        <v>0.0</v>
      </c>
      <c r="AE499" s="941">
        <v>0.0</v>
      </c>
      <c r="AF499" s="941">
        <v>0.0</v>
      </c>
      <c r="AG499" s="941">
        <v>0.0</v>
      </c>
      <c r="AH499" s="941">
        <v>1.0</v>
      </c>
      <c r="AI499" s="941">
        <v>0.0</v>
      </c>
      <c r="AJ499" s="941">
        <v>15.0</v>
      </c>
      <c r="AK499" s="941">
        <v>15.0</v>
      </c>
      <c r="AL499" s="941">
        <v>1.0</v>
      </c>
      <c r="AM499" s="942">
        <v>0.0</v>
      </c>
    </row>
    <row r="500">
      <c r="A500" s="935" t="s">
        <v>130</v>
      </c>
      <c r="B500" s="941">
        <v>1.0</v>
      </c>
      <c r="C500" s="941">
        <v>1.0</v>
      </c>
      <c r="D500" s="941">
        <v>0.0</v>
      </c>
      <c r="E500" s="941">
        <v>0.0</v>
      </c>
      <c r="F500" s="941">
        <v>0.0</v>
      </c>
      <c r="G500" s="941">
        <v>102.0</v>
      </c>
      <c r="H500" s="941">
        <v>87.0</v>
      </c>
      <c r="I500" s="941">
        <v>15.0</v>
      </c>
      <c r="J500" s="941">
        <v>11.0</v>
      </c>
      <c r="K500" s="941">
        <v>8.0</v>
      </c>
      <c r="L500" s="941">
        <v>5.0</v>
      </c>
      <c r="M500" s="941">
        <v>2127.0</v>
      </c>
      <c r="N500" s="941">
        <v>2513.0</v>
      </c>
      <c r="O500" s="941">
        <v>24.0</v>
      </c>
      <c r="P500" s="941">
        <v>5.0</v>
      </c>
      <c r="Q500" s="941">
        <v>0.0</v>
      </c>
      <c r="R500" s="941">
        <v>3.0</v>
      </c>
      <c r="S500" s="941">
        <v>0.0</v>
      </c>
      <c r="T500" s="941">
        <v>0.0</v>
      </c>
      <c r="U500" s="941">
        <v>0.0</v>
      </c>
      <c r="V500" s="941">
        <v>3.0</v>
      </c>
      <c r="W500" s="941">
        <v>0.0</v>
      </c>
      <c r="X500" s="941">
        <v>6.0</v>
      </c>
      <c r="Y500" s="941">
        <v>0.0</v>
      </c>
      <c r="Z500" s="941">
        <v>0.0</v>
      </c>
      <c r="AA500" s="941">
        <v>0.0</v>
      </c>
      <c r="AB500" s="941">
        <v>0.0</v>
      </c>
      <c r="AC500" s="941">
        <v>0.0</v>
      </c>
      <c r="AD500" s="941">
        <v>0.0</v>
      </c>
      <c r="AE500" s="941">
        <v>0.0</v>
      </c>
      <c r="AF500" s="941">
        <v>0.0</v>
      </c>
      <c r="AG500" s="941">
        <v>0.0</v>
      </c>
      <c r="AH500" s="941">
        <v>0.0</v>
      </c>
      <c r="AI500" s="941">
        <v>0.0</v>
      </c>
      <c r="AJ500" s="941">
        <v>14.0</v>
      </c>
      <c r="AK500" s="941">
        <v>12.0</v>
      </c>
      <c r="AL500" s="941">
        <v>0.0</v>
      </c>
      <c r="AM500" s="942">
        <v>0.0</v>
      </c>
    </row>
    <row r="501">
      <c r="A501" s="935" t="s">
        <v>141</v>
      </c>
      <c r="B501" s="941">
        <v>1.0</v>
      </c>
      <c r="C501" s="941">
        <v>1.0</v>
      </c>
      <c r="D501" s="941">
        <v>0.0</v>
      </c>
      <c r="E501" s="941">
        <v>0.0</v>
      </c>
      <c r="F501" s="941">
        <v>0.0</v>
      </c>
      <c r="G501" s="941">
        <v>98.0</v>
      </c>
      <c r="H501" s="941">
        <v>121.0</v>
      </c>
      <c r="I501" s="941">
        <v>-23.0</v>
      </c>
      <c r="J501" s="941">
        <v>12.0</v>
      </c>
      <c r="K501" s="941">
        <v>5.0</v>
      </c>
      <c r="L501" s="941">
        <v>1.0</v>
      </c>
      <c r="M501" s="941">
        <v>2030.0</v>
      </c>
      <c r="N501" s="941">
        <v>2513.0</v>
      </c>
      <c r="O501" s="941">
        <v>16.0</v>
      </c>
      <c r="P501" s="941">
        <v>3.0</v>
      </c>
      <c r="Q501" s="941">
        <v>0.0</v>
      </c>
      <c r="R501" s="941">
        <v>1.0</v>
      </c>
      <c r="S501" s="941">
        <v>0.0</v>
      </c>
      <c r="T501" s="941">
        <v>0.0</v>
      </c>
      <c r="U501" s="941">
        <v>0.0</v>
      </c>
      <c r="V501" s="941">
        <v>1.0</v>
      </c>
      <c r="W501" s="941">
        <v>0.0</v>
      </c>
      <c r="X501" s="941">
        <v>11.0</v>
      </c>
      <c r="Y501" s="941">
        <v>2.0</v>
      </c>
      <c r="Z501" s="941">
        <v>0.0</v>
      </c>
      <c r="AA501" s="941">
        <v>0.0</v>
      </c>
      <c r="AB501" s="941">
        <v>0.0</v>
      </c>
      <c r="AC501" s="941">
        <v>0.0</v>
      </c>
      <c r="AD501" s="941">
        <v>0.0</v>
      </c>
      <c r="AE501" s="941">
        <v>0.0</v>
      </c>
      <c r="AF501" s="941">
        <v>0.0</v>
      </c>
      <c r="AG501" s="941">
        <v>0.0</v>
      </c>
      <c r="AH501" s="941">
        <v>0.0</v>
      </c>
      <c r="AI501" s="941">
        <v>0.0</v>
      </c>
      <c r="AJ501" s="941">
        <v>8.0</v>
      </c>
      <c r="AK501" s="941">
        <v>12.0</v>
      </c>
      <c r="AL501" s="941">
        <v>1.0</v>
      </c>
      <c r="AM501" s="942">
        <v>0.0</v>
      </c>
    </row>
    <row r="502">
      <c r="A502" s="935" t="s">
        <v>149</v>
      </c>
      <c r="B502" s="941">
        <v>1.0</v>
      </c>
      <c r="C502" s="941">
        <v>0.0</v>
      </c>
      <c r="D502" s="941">
        <v>1.0</v>
      </c>
      <c r="E502" s="941">
        <v>4.0</v>
      </c>
      <c r="F502" s="941">
        <v>34.0</v>
      </c>
      <c r="G502" s="941">
        <v>66.0</v>
      </c>
      <c r="H502" s="941">
        <v>40.0</v>
      </c>
      <c r="I502" s="941">
        <v>26.0</v>
      </c>
      <c r="J502" s="941">
        <v>1.0</v>
      </c>
      <c r="K502" s="941">
        <v>8.0</v>
      </c>
      <c r="L502" s="941">
        <v>0.0</v>
      </c>
      <c r="M502" s="941">
        <v>2265.0</v>
      </c>
      <c r="N502" s="941">
        <v>2513.0</v>
      </c>
      <c r="O502" s="941">
        <v>56.0</v>
      </c>
      <c r="P502" s="941">
        <v>1737.0</v>
      </c>
      <c r="Q502" s="941">
        <v>0.0</v>
      </c>
      <c r="R502" s="941">
        <v>5.0</v>
      </c>
      <c r="S502" s="941">
        <v>0.0</v>
      </c>
      <c r="T502" s="941">
        <v>0.0</v>
      </c>
      <c r="U502" s="941">
        <v>0.0</v>
      </c>
      <c r="V502" s="941">
        <v>0.0</v>
      </c>
      <c r="W502" s="941">
        <v>0.0</v>
      </c>
      <c r="X502" s="941">
        <v>5.0</v>
      </c>
      <c r="Y502" s="941">
        <v>0.0</v>
      </c>
      <c r="Z502" s="941">
        <v>0.0</v>
      </c>
      <c r="AA502" s="941">
        <v>0.0</v>
      </c>
      <c r="AB502" s="941">
        <v>0.0</v>
      </c>
      <c r="AC502" s="941">
        <v>0.0</v>
      </c>
      <c r="AD502" s="941">
        <v>0.0</v>
      </c>
      <c r="AE502" s="941">
        <v>0.0</v>
      </c>
      <c r="AF502" s="941">
        <v>0.0</v>
      </c>
      <c r="AG502" s="941">
        <v>0.0</v>
      </c>
      <c r="AH502" s="941">
        <v>2.0</v>
      </c>
      <c r="AI502" s="941">
        <v>0.0</v>
      </c>
      <c r="AJ502" s="941">
        <v>11.0</v>
      </c>
      <c r="AK502" s="941">
        <v>8.0</v>
      </c>
      <c r="AL502" s="941">
        <v>0.0</v>
      </c>
      <c r="AM502" s="942">
        <v>1.0</v>
      </c>
    </row>
    <row r="503">
      <c r="A503" s="935" t="s">
        <v>420</v>
      </c>
      <c r="B503" s="941">
        <v>1.0</v>
      </c>
      <c r="C503" s="941">
        <v>0.0</v>
      </c>
      <c r="D503" s="941">
        <v>1.0</v>
      </c>
      <c r="E503" s="941">
        <v>0.0</v>
      </c>
      <c r="F503" s="941">
        <v>1.0</v>
      </c>
      <c r="G503" s="941">
        <v>125.0</v>
      </c>
      <c r="H503" s="941">
        <v>120.0</v>
      </c>
      <c r="I503" s="941">
        <v>5.0</v>
      </c>
      <c r="J503" s="941">
        <v>10.0</v>
      </c>
      <c r="K503" s="941">
        <v>5.0</v>
      </c>
      <c r="L503" s="941">
        <v>2.0</v>
      </c>
      <c r="M503" s="941">
        <v>2041.0</v>
      </c>
      <c r="N503" s="941">
        <v>2513.0</v>
      </c>
      <c r="O503" s="941">
        <v>17.0</v>
      </c>
      <c r="P503" s="941">
        <v>31.0</v>
      </c>
      <c r="Q503" s="941">
        <v>0.0</v>
      </c>
      <c r="R503" s="941">
        <v>1.0</v>
      </c>
      <c r="S503" s="941">
        <v>0.0</v>
      </c>
      <c r="T503" s="941">
        <v>0.0</v>
      </c>
      <c r="U503" s="941">
        <v>0.0</v>
      </c>
      <c r="V503" s="941">
        <v>0.0</v>
      </c>
      <c r="W503" s="941">
        <v>0.0</v>
      </c>
      <c r="X503" s="941">
        <v>19.0</v>
      </c>
      <c r="Y503" s="941">
        <v>6.0</v>
      </c>
      <c r="Z503" s="941">
        <v>0.0</v>
      </c>
      <c r="AA503" s="941">
        <v>0.0</v>
      </c>
      <c r="AB503" s="941">
        <v>0.0</v>
      </c>
      <c r="AC503" s="941">
        <v>0.0</v>
      </c>
      <c r="AD503" s="941">
        <v>0.0</v>
      </c>
      <c r="AE503" s="941">
        <v>0.0</v>
      </c>
      <c r="AF503" s="941">
        <v>0.0</v>
      </c>
      <c r="AG503" s="941">
        <v>0.0</v>
      </c>
      <c r="AH503" s="941">
        <v>1.0</v>
      </c>
      <c r="AI503" s="941">
        <v>0.0</v>
      </c>
      <c r="AJ503" s="941">
        <v>12.0</v>
      </c>
      <c r="AK503" s="941">
        <v>15.0</v>
      </c>
      <c r="AL503" s="941">
        <v>1.0</v>
      </c>
      <c r="AM503" s="942">
        <v>1.0</v>
      </c>
    </row>
    <row r="504">
      <c r="A504" s="935" t="s">
        <v>392</v>
      </c>
      <c r="B504" s="941">
        <v>1.0</v>
      </c>
      <c r="C504" s="941">
        <v>0.0</v>
      </c>
      <c r="D504" s="941">
        <v>1.0</v>
      </c>
      <c r="E504" s="941">
        <v>0.0</v>
      </c>
      <c r="F504" s="941">
        <v>0.0</v>
      </c>
      <c r="G504" s="941">
        <v>90.0</v>
      </c>
      <c r="H504" s="941">
        <v>145.0</v>
      </c>
      <c r="I504" s="941">
        <v>-55.0</v>
      </c>
      <c r="J504" s="941">
        <v>7.0</v>
      </c>
      <c r="K504" s="941">
        <v>4.0</v>
      </c>
      <c r="L504" s="941">
        <v>2.0</v>
      </c>
      <c r="M504" s="941">
        <v>1954.0</v>
      </c>
      <c r="N504" s="941">
        <v>2513.0</v>
      </c>
      <c r="O504" s="941">
        <v>13.0</v>
      </c>
      <c r="P504" s="941">
        <v>5.0</v>
      </c>
      <c r="Q504" s="941">
        <v>0.0</v>
      </c>
      <c r="R504" s="941">
        <v>0.0</v>
      </c>
      <c r="S504" s="941">
        <v>0.0</v>
      </c>
      <c r="T504" s="941">
        <v>0.0</v>
      </c>
      <c r="U504" s="941">
        <v>0.0</v>
      </c>
      <c r="V504" s="941">
        <v>0.0</v>
      </c>
      <c r="W504" s="941">
        <v>0.0</v>
      </c>
      <c r="X504" s="941">
        <v>8.0</v>
      </c>
      <c r="Y504" s="941">
        <v>0.0</v>
      </c>
      <c r="Z504" s="941">
        <v>0.0</v>
      </c>
      <c r="AA504" s="941">
        <v>0.0</v>
      </c>
      <c r="AB504" s="941">
        <v>0.0</v>
      </c>
      <c r="AC504" s="941">
        <v>0.0</v>
      </c>
      <c r="AD504" s="941">
        <v>0.0</v>
      </c>
      <c r="AE504" s="941">
        <v>0.0</v>
      </c>
      <c r="AF504" s="941">
        <v>0.0</v>
      </c>
      <c r="AG504" s="941">
        <v>0.0</v>
      </c>
      <c r="AH504" s="941">
        <v>1.0</v>
      </c>
      <c r="AI504" s="941">
        <v>0.0</v>
      </c>
      <c r="AJ504" s="941">
        <v>7.0</v>
      </c>
      <c r="AK504" s="941">
        <v>11.0</v>
      </c>
      <c r="AL504" s="941">
        <v>2.0</v>
      </c>
      <c r="AM504" s="942">
        <v>1.0</v>
      </c>
    </row>
    <row r="505">
      <c r="A505" s="943" t="s">
        <v>418</v>
      </c>
      <c r="B505" s="944">
        <v>1.0</v>
      </c>
      <c r="C505" s="944">
        <v>0.0</v>
      </c>
      <c r="D505" s="944">
        <v>1.0</v>
      </c>
      <c r="E505" s="944">
        <v>0.0</v>
      </c>
      <c r="F505" s="944">
        <v>1.0</v>
      </c>
      <c r="G505" s="944">
        <v>155.0</v>
      </c>
      <c r="H505" s="944">
        <v>119.0</v>
      </c>
      <c r="I505" s="944">
        <v>36.0</v>
      </c>
      <c r="J505" s="944">
        <v>6.0</v>
      </c>
      <c r="K505" s="944">
        <v>8.0</v>
      </c>
      <c r="L505" s="944">
        <v>3.0</v>
      </c>
      <c r="M505" s="944">
        <v>2041.0</v>
      </c>
      <c r="N505" s="944">
        <v>2513.0</v>
      </c>
      <c r="O505" s="944">
        <v>17.0</v>
      </c>
      <c r="P505" s="944">
        <v>19.0</v>
      </c>
      <c r="Q505" s="944">
        <v>0.0</v>
      </c>
      <c r="R505" s="944">
        <v>4.0</v>
      </c>
      <c r="S505" s="944">
        <v>0.0</v>
      </c>
      <c r="T505" s="944">
        <v>0.0</v>
      </c>
      <c r="U505" s="944">
        <v>0.0</v>
      </c>
      <c r="V505" s="944">
        <v>4.0</v>
      </c>
      <c r="W505" s="944">
        <v>0.0</v>
      </c>
      <c r="X505" s="944">
        <v>23.0</v>
      </c>
      <c r="Y505" s="944">
        <v>4.0</v>
      </c>
      <c r="Z505" s="944">
        <v>0.0</v>
      </c>
      <c r="AA505" s="944">
        <v>0.0</v>
      </c>
      <c r="AB505" s="944">
        <v>0.0</v>
      </c>
      <c r="AC505" s="944">
        <v>0.0</v>
      </c>
      <c r="AD505" s="944">
        <v>0.0</v>
      </c>
      <c r="AE505" s="944">
        <v>0.0</v>
      </c>
      <c r="AF505" s="944">
        <v>0.0</v>
      </c>
      <c r="AG505" s="944">
        <v>0.0</v>
      </c>
      <c r="AH505" s="944">
        <v>3.0</v>
      </c>
      <c r="AI505" s="944">
        <v>0.0</v>
      </c>
      <c r="AJ505" s="944">
        <v>16.0</v>
      </c>
      <c r="AK505" s="944">
        <v>21.0</v>
      </c>
      <c r="AL505" s="944">
        <v>4.0</v>
      </c>
      <c r="AM505" s="945">
        <v>1.0</v>
      </c>
    </row>
    <row r="506">
      <c r="A506" s="946" t="s">
        <v>123</v>
      </c>
      <c r="B506" s="939">
        <v>1.0</v>
      </c>
      <c r="C506" s="939">
        <v>1.0</v>
      </c>
      <c r="D506" s="939">
        <v>0.0</v>
      </c>
      <c r="E506" s="939">
        <v>4.0</v>
      </c>
      <c r="F506" s="939">
        <v>47.0</v>
      </c>
      <c r="G506" s="939">
        <v>170.0</v>
      </c>
      <c r="H506" s="939">
        <v>116.0</v>
      </c>
      <c r="I506" s="939">
        <v>54.0</v>
      </c>
      <c r="J506" s="939">
        <v>4.0</v>
      </c>
      <c r="K506" s="939">
        <v>9.0</v>
      </c>
      <c r="L506" s="939">
        <v>4.0</v>
      </c>
      <c r="M506" s="939">
        <v>3482.0</v>
      </c>
      <c r="N506" s="939">
        <v>3949.0</v>
      </c>
      <c r="O506" s="939">
        <v>30.0</v>
      </c>
      <c r="P506" s="939">
        <v>1898.0</v>
      </c>
      <c r="Q506" s="939">
        <v>0.0</v>
      </c>
      <c r="R506" s="939">
        <v>7.0</v>
      </c>
      <c r="S506" s="939">
        <v>0.0</v>
      </c>
      <c r="T506" s="939">
        <v>0.0</v>
      </c>
      <c r="U506" s="939">
        <v>0.0</v>
      </c>
      <c r="V506" s="939">
        <v>0.0</v>
      </c>
      <c r="W506" s="939">
        <v>0.0</v>
      </c>
      <c r="X506" s="939">
        <v>23.0</v>
      </c>
      <c r="Y506" s="939">
        <v>2.0</v>
      </c>
      <c r="Z506" s="939">
        <v>0.0</v>
      </c>
      <c r="AA506" s="939">
        <v>0.0</v>
      </c>
      <c r="AB506" s="939">
        <v>0.0</v>
      </c>
      <c r="AC506" s="939">
        <v>0.0</v>
      </c>
      <c r="AD506" s="939">
        <v>0.0</v>
      </c>
      <c r="AE506" s="939">
        <v>0.0</v>
      </c>
      <c r="AF506" s="939">
        <v>0.0</v>
      </c>
      <c r="AG506" s="939">
        <v>0.0</v>
      </c>
      <c r="AH506" s="939">
        <v>3.0</v>
      </c>
      <c r="AI506" s="939">
        <v>0.0</v>
      </c>
      <c r="AJ506" s="939">
        <v>32.0</v>
      </c>
      <c r="AK506" s="939">
        <v>16.0</v>
      </c>
      <c r="AL506" s="939">
        <v>2.0</v>
      </c>
      <c r="AM506" s="940">
        <v>1.0</v>
      </c>
    </row>
    <row r="507">
      <c r="A507" s="935" t="s">
        <v>156</v>
      </c>
      <c r="B507" s="941">
        <v>1.0</v>
      </c>
      <c r="C507" s="941">
        <v>1.0</v>
      </c>
      <c r="D507" s="941">
        <v>0.0</v>
      </c>
      <c r="E507" s="941">
        <v>1.0</v>
      </c>
      <c r="F507" s="941">
        <v>2.0</v>
      </c>
      <c r="G507" s="941">
        <v>184.0</v>
      </c>
      <c r="H507" s="941">
        <v>223.0</v>
      </c>
      <c r="I507" s="941">
        <v>-39.0</v>
      </c>
      <c r="J507" s="941">
        <v>13.0</v>
      </c>
      <c r="K507" s="941">
        <v>5.0</v>
      </c>
      <c r="L507" s="941">
        <v>2.0</v>
      </c>
      <c r="M507" s="941">
        <v>3160.0</v>
      </c>
      <c r="N507" s="941">
        <v>3949.0</v>
      </c>
      <c r="O507" s="941">
        <v>14.0</v>
      </c>
      <c r="P507" s="941">
        <v>15.0</v>
      </c>
      <c r="Q507" s="941">
        <v>0.0</v>
      </c>
      <c r="R507" s="941">
        <v>1.0</v>
      </c>
      <c r="S507" s="941">
        <v>0.0</v>
      </c>
      <c r="T507" s="941">
        <v>0.0</v>
      </c>
      <c r="U507" s="941">
        <v>0.0</v>
      </c>
      <c r="V507" s="941">
        <v>1.0</v>
      </c>
      <c r="W507" s="941">
        <v>0.0</v>
      </c>
      <c r="X507" s="941">
        <v>18.0</v>
      </c>
      <c r="Y507" s="941">
        <v>2.0</v>
      </c>
      <c r="Z507" s="941">
        <v>1.0</v>
      </c>
      <c r="AA507" s="941">
        <v>0.0</v>
      </c>
      <c r="AB507" s="941">
        <v>0.0</v>
      </c>
      <c r="AC507" s="941">
        <v>0.0</v>
      </c>
      <c r="AD507" s="941">
        <v>0.0</v>
      </c>
      <c r="AE507" s="941">
        <v>0.0</v>
      </c>
      <c r="AF507" s="941">
        <v>0.0</v>
      </c>
      <c r="AG507" s="941">
        <v>0.0</v>
      </c>
      <c r="AH507" s="941">
        <v>9.0</v>
      </c>
      <c r="AI507" s="941">
        <v>0.0</v>
      </c>
      <c r="AJ507" s="941">
        <v>16.0</v>
      </c>
      <c r="AK507" s="941">
        <v>18.0</v>
      </c>
      <c r="AL507" s="941">
        <v>0.0</v>
      </c>
      <c r="AM507" s="942">
        <v>1.0</v>
      </c>
    </row>
    <row r="508">
      <c r="A508" s="935" t="s">
        <v>419</v>
      </c>
      <c r="B508" s="941">
        <v>1.0</v>
      </c>
      <c r="C508" s="941">
        <v>1.0</v>
      </c>
      <c r="D508" s="941">
        <v>0.0</v>
      </c>
      <c r="E508" s="941">
        <v>0.0</v>
      </c>
      <c r="F508" s="941">
        <v>1.0</v>
      </c>
      <c r="G508" s="941">
        <v>242.0</v>
      </c>
      <c r="H508" s="941">
        <v>251.0</v>
      </c>
      <c r="I508" s="941">
        <v>-9.0</v>
      </c>
      <c r="J508" s="941">
        <v>19.0</v>
      </c>
      <c r="K508" s="941">
        <v>7.0</v>
      </c>
      <c r="L508" s="941">
        <v>1.0</v>
      </c>
      <c r="M508" s="941">
        <v>3077.0</v>
      </c>
      <c r="N508" s="941">
        <v>3949.0</v>
      </c>
      <c r="O508" s="941">
        <v>12.0</v>
      </c>
      <c r="P508" s="941">
        <v>25.0</v>
      </c>
      <c r="Q508" s="941">
        <v>0.0</v>
      </c>
      <c r="R508" s="941">
        <v>2.0</v>
      </c>
      <c r="S508" s="941">
        <v>0.0</v>
      </c>
      <c r="T508" s="941">
        <v>0.0</v>
      </c>
      <c r="U508" s="941">
        <v>0.0</v>
      </c>
      <c r="V508" s="941">
        <v>1.0</v>
      </c>
      <c r="W508" s="941">
        <v>0.0</v>
      </c>
      <c r="X508" s="941">
        <v>35.0</v>
      </c>
      <c r="Y508" s="941">
        <v>8.0</v>
      </c>
      <c r="Z508" s="941">
        <v>2.0</v>
      </c>
      <c r="AA508" s="941">
        <v>0.0</v>
      </c>
      <c r="AB508" s="941">
        <v>0.0</v>
      </c>
      <c r="AC508" s="941">
        <v>0.0</v>
      </c>
      <c r="AD508" s="941">
        <v>0.0</v>
      </c>
      <c r="AE508" s="941">
        <v>0.0</v>
      </c>
      <c r="AF508" s="941">
        <v>0.0</v>
      </c>
      <c r="AG508" s="941">
        <v>0.0</v>
      </c>
      <c r="AH508" s="941">
        <v>22.0</v>
      </c>
      <c r="AI508" s="941">
        <v>0.0</v>
      </c>
      <c r="AJ508" s="941">
        <v>20.0</v>
      </c>
      <c r="AK508" s="941">
        <v>36.0</v>
      </c>
      <c r="AL508" s="941">
        <v>2.0</v>
      </c>
      <c r="AM508" s="942">
        <v>1.0</v>
      </c>
    </row>
    <row r="509">
      <c r="A509" s="935" t="s">
        <v>145</v>
      </c>
      <c r="B509" s="941">
        <v>1.0</v>
      </c>
      <c r="C509" s="941">
        <v>1.0</v>
      </c>
      <c r="D509" s="941">
        <v>0.0</v>
      </c>
      <c r="E509" s="941">
        <v>0.0</v>
      </c>
      <c r="F509" s="941">
        <v>2.0</v>
      </c>
      <c r="G509" s="941">
        <v>238.0</v>
      </c>
      <c r="H509" s="941">
        <v>228.0</v>
      </c>
      <c r="I509" s="941">
        <v>10.0</v>
      </c>
      <c r="J509" s="941">
        <v>22.0</v>
      </c>
      <c r="K509" s="941">
        <v>8.0</v>
      </c>
      <c r="L509" s="941">
        <v>0.0</v>
      </c>
      <c r="M509" s="941">
        <v>3069.0</v>
      </c>
      <c r="N509" s="941">
        <v>3881.0</v>
      </c>
      <c r="O509" s="941">
        <v>13.0</v>
      </c>
      <c r="P509" s="941">
        <v>44.0</v>
      </c>
      <c r="Q509" s="941">
        <v>0.0</v>
      </c>
      <c r="R509" s="941">
        <v>3.0</v>
      </c>
      <c r="S509" s="941">
        <v>0.0</v>
      </c>
      <c r="T509" s="941">
        <v>0.0</v>
      </c>
      <c r="U509" s="941">
        <v>0.0</v>
      </c>
      <c r="V509" s="941">
        <v>3.0</v>
      </c>
      <c r="W509" s="941">
        <v>0.0</v>
      </c>
      <c r="X509" s="941">
        <v>37.0</v>
      </c>
      <c r="Y509" s="941">
        <v>7.0</v>
      </c>
      <c r="Z509" s="941">
        <v>1.0</v>
      </c>
      <c r="AA509" s="941">
        <v>1.0</v>
      </c>
      <c r="AB509" s="941">
        <v>1.0</v>
      </c>
      <c r="AC509" s="941">
        <v>1.0</v>
      </c>
      <c r="AD509" s="941">
        <v>0.0</v>
      </c>
      <c r="AE509" s="941">
        <v>0.0</v>
      </c>
      <c r="AF509" s="941">
        <v>0.0</v>
      </c>
      <c r="AG509" s="941">
        <v>0.0</v>
      </c>
      <c r="AH509" s="941">
        <v>33.0</v>
      </c>
      <c r="AI509" s="941">
        <v>0.0</v>
      </c>
      <c r="AJ509" s="941">
        <v>24.0</v>
      </c>
      <c r="AK509" s="941">
        <v>27.0</v>
      </c>
      <c r="AL509" s="941">
        <v>1.0</v>
      </c>
      <c r="AM509" s="942">
        <v>1.0</v>
      </c>
    </row>
    <row r="510">
      <c r="A510" s="935" t="s">
        <v>132</v>
      </c>
      <c r="B510" s="941">
        <v>1.0</v>
      </c>
      <c r="C510" s="941">
        <v>0.0</v>
      </c>
      <c r="D510" s="941">
        <v>1.0</v>
      </c>
      <c r="E510" s="941">
        <v>2.0</v>
      </c>
      <c r="F510" s="941">
        <v>18.0</v>
      </c>
      <c r="G510" s="941">
        <v>173.0</v>
      </c>
      <c r="H510" s="941">
        <v>169.0</v>
      </c>
      <c r="I510" s="941">
        <v>4.0</v>
      </c>
      <c r="J510" s="941">
        <v>10.0</v>
      </c>
      <c r="K510" s="941">
        <v>5.0</v>
      </c>
      <c r="L510" s="941">
        <v>8.0</v>
      </c>
      <c r="M510" s="941">
        <v>3322.0</v>
      </c>
      <c r="N510" s="941">
        <v>3949.0</v>
      </c>
      <c r="O510" s="941">
        <v>19.0</v>
      </c>
      <c r="P510" s="941">
        <v>993.0</v>
      </c>
      <c r="Q510" s="941">
        <v>0.0</v>
      </c>
      <c r="R510" s="941">
        <v>3.0</v>
      </c>
      <c r="S510" s="941">
        <v>0.0</v>
      </c>
      <c r="T510" s="941">
        <v>0.0</v>
      </c>
      <c r="U510" s="941">
        <v>0.0</v>
      </c>
      <c r="V510" s="941">
        <v>2.0</v>
      </c>
      <c r="W510" s="941">
        <v>0.0</v>
      </c>
      <c r="X510" s="941">
        <v>25.0</v>
      </c>
      <c r="Y510" s="941">
        <v>4.0</v>
      </c>
      <c r="Z510" s="941">
        <v>1.0</v>
      </c>
      <c r="AA510" s="941">
        <v>0.0</v>
      </c>
      <c r="AB510" s="941">
        <v>0.0</v>
      </c>
      <c r="AC510" s="941">
        <v>0.0</v>
      </c>
      <c r="AD510" s="941">
        <v>0.0</v>
      </c>
      <c r="AE510" s="941">
        <v>0.0</v>
      </c>
      <c r="AF510" s="941">
        <v>0.0</v>
      </c>
      <c r="AG510" s="941">
        <v>0.0</v>
      </c>
      <c r="AH510" s="941">
        <v>7.0</v>
      </c>
      <c r="AI510" s="941">
        <v>0.0</v>
      </c>
      <c r="AJ510" s="941">
        <v>17.0</v>
      </c>
      <c r="AK510" s="941">
        <v>33.0</v>
      </c>
      <c r="AL510" s="941">
        <v>1.0</v>
      </c>
      <c r="AM510" s="942">
        <v>0.0</v>
      </c>
    </row>
    <row r="511">
      <c r="A511" s="935" t="s">
        <v>514</v>
      </c>
      <c r="B511" s="941">
        <v>1.0</v>
      </c>
      <c r="C511" s="941">
        <v>0.0</v>
      </c>
      <c r="D511" s="941">
        <v>1.0</v>
      </c>
      <c r="E511" s="941">
        <v>1.0</v>
      </c>
      <c r="F511" s="941">
        <v>0.0</v>
      </c>
      <c r="G511" s="941">
        <v>215.0</v>
      </c>
      <c r="H511" s="941">
        <v>285.0</v>
      </c>
      <c r="I511" s="941">
        <v>-70.0</v>
      </c>
      <c r="J511" s="941">
        <v>15.0</v>
      </c>
      <c r="K511" s="941">
        <v>6.0</v>
      </c>
      <c r="L511" s="941">
        <v>7.0</v>
      </c>
      <c r="M511" s="941">
        <v>2973.0</v>
      </c>
      <c r="N511" s="941">
        <v>3949.0</v>
      </c>
      <c r="O511" s="941">
        <v>10.0</v>
      </c>
      <c r="P511" s="941">
        <v>29.0</v>
      </c>
      <c r="Q511" s="941">
        <v>0.0</v>
      </c>
      <c r="R511" s="941">
        <v>2.0</v>
      </c>
      <c r="S511" s="941">
        <v>0.0</v>
      </c>
      <c r="T511" s="941">
        <v>0.0</v>
      </c>
      <c r="U511" s="941">
        <v>0.0</v>
      </c>
      <c r="V511" s="941">
        <v>2.0</v>
      </c>
      <c r="W511" s="941">
        <v>0.0</v>
      </c>
      <c r="X511" s="941">
        <v>31.0</v>
      </c>
      <c r="Y511" s="941">
        <v>9.0</v>
      </c>
      <c r="Z511" s="941">
        <v>1.0</v>
      </c>
      <c r="AA511" s="941">
        <v>0.0</v>
      </c>
      <c r="AB511" s="941">
        <v>0.0</v>
      </c>
      <c r="AC511" s="941">
        <v>0.0</v>
      </c>
      <c r="AD511" s="941">
        <v>0.0</v>
      </c>
      <c r="AE511" s="941">
        <v>0.0</v>
      </c>
      <c r="AF511" s="941">
        <v>0.0</v>
      </c>
      <c r="AG511" s="941">
        <v>0.0</v>
      </c>
      <c r="AH511" s="941">
        <v>4.0</v>
      </c>
      <c r="AI511" s="941">
        <v>0.0</v>
      </c>
      <c r="AJ511" s="941">
        <v>14.0</v>
      </c>
      <c r="AK511" s="941">
        <v>29.0</v>
      </c>
      <c r="AL511" s="941">
        <v>1.0</v>
      </c>
      <c r="AM511" s="942">
        <v>0.0</v>
      </c>
    </row>
    <row r="512">
      <c r="A512" s="935" t="s">
        <v>159</v>
      </c>
      <c r="B512" s="941">
        <v>1.0</v>
      </c>
      <c r="C512" s="941">
        <v>0.0</v>
      </c>
      <c r="D512" s="941">
        <v>1.0</v>
      </c>
      <c r="E512" s="941">
        <v>1.0</v>
      </c>
      <c r="F512" s="941">
        <v>1.0</v>
      </c>
      <c r="G512" s="941">
        <v>185.0</v>
      </c>
      <c r="H512" s="941">
        <v>249.0</v>
      </c>
      <c r="I512" s="941">
        <v>-64.0</v>
      </c>
      <c r="J512" s="941">
        <v>3.0</v>
      </c>
      <c r="K512" s="941">
        <v>4.0</v>
      </c>
      <c r="L512" s="941">
        <v>0.0</v>
      </c>
      <c r="M512" s="941">
        <v>3078.0</v>
      </c>
      <c r="N512" s="941">
        <v>3949.0</v>
      </c>
      <c r="O512" s="941">
        <v>12.0</v>
      </c>
      <c r="P512" s="941">
        <v>537.0</v>
      </c>
      <c r="Q512" s="941">
        <v>0.0</v>
      </c>
      <c r="R512" s="941">
        <v>0.0</v>
      </c>
      <c r="S512" s="941">
        <v>0.0</v>
      </c>
      <c r="T512" s="941">
        <v>0.0</v>
      </c>
      <c r="U512" s="941">
        <v>0.0</v>
      </c>
      <c r="V512" s="941">
        <v>0.0</v>
      </c>
      <c r="W512" s="941">
        <v>0.0</v>
      </c>
      <c r="X512" s="941">
        <v>15.0</v>
      </c>
      <c r="Y512" s="941">
        <v>0.0</v>
      </c>
      <c r="Z512" s="941">
        <v>0.0</v>
      </c>
      <c r="AA512" s="941">
        <v>0.0</v>
      </c>
      <c r="AB512" s="941">
        <v>0.0</v>
      </c>
      <c r="AC512" s="941">
        <v>0.0</v>
      </c>
      <c r="AD512" s="941">
        <v>0.0</v>
      </c>
      <c r="AE512" s="941">
        <v>0.0</v>
      </c>
      <c r="AF512" s="941">
        <v>0.0</v>
      </c>
      <c r="AG512" s="941">
        <v>0.0</v>
      </c>
      <c r="AH512" s="941">
        <v>2.0</v>
      </c>
      <c r="AI512" s="941">
        <v>0.0</v>
      </c>
      <c r="AJ512" s="941">
        <v>14.0</v>
      </c>
      <c r="AK512" s="941">
        <v>28.0</v>
      </c>
      <c r="AL512" s="941">
        <v>0.0</v>
      </c>
      <c r="AM512" s="942">
        <v>0.0</v>
      </c>
    </row>
    <row r="513">
      <c r="A513" s="943" t="s">
        <v>121</v>
      </c>
      <c r="B513" s="944">
        <v>1.0</v>
      </c>
      <c r="C513" s="944">
        <v>0.0</v>
      </c>
      <c r="D513" s="944">
        <v>1.0</v>
      </c>
      <c r="E513" s="944">
        <v>0.0</v>
      </c>
      <c r="F513" s="944">
        <v>1.0</v>
      </c>
      <c r="G513" s="944">
        <v>226.0</v>
      </c>
      <c r="H513" s="944">
        <v>160.0</v>
      </c>
      <c r="I513" s="944">
        <v>66.0</v>
      </c>
      <c r="J513" s="944">
        <v>11.0</v>
      </c>
      <c r="K513" s="944">
        <v>9.0</v>
      </c>
      <c r="L513" s="944">
        <v>4.0</v>
      </c>
      <c r="M513" s="944">
        <v>3348.0</v>
      </c>
      <c r="N513" s="944">
        <v>3949.0</v>
      </c>
      <c r="O513" s="944">
        <v>20.0</v>
      </c>
      <c r="P513" s="944">
        <v>59.0</v>
      </c>
      <c r="Q513" s="944">
        <v>0.0</v>
      </c>
      <c r="R513" s="944">
        <v>8.0</v>
      </c>
      <c r="S513" s="944">
        <v>0.0</v>
      </c>
      <c r="T513" s="944">
        <v>0.0</v>
      </c>
      <c r="U513" s="944">
        <v>0.0</v>
      </c>
      <c r="V513" s="944">
        <v>7.0</v>
      </c>
      <c r="W513" s="944">
        <v>0.0</v>
      </c>
      <c r="X513" s="944">
        <v>25.0</v>
      </c>
      <c r="Y513" s="944">
        <v>3.0</v>
      </c>
      <c r="Z513" s="944">
        <v>1.0</v>
      </c>
      <c r="AA513" s="944">
        <v>1.0</v>
      </c>
      <c r="AB513" s="944">
        <v>0.0</v>
      </c>
      <c r="AC513" s="944">
        <v>0.0</v>
      </c>
      <c r="AD513" s="944">
        <v>0.0</v>
      </c>
      <c r="AE513" s="944">
        <v>0.0</v>
      </c>
      <c r="AF513" s="944">
        <v>0.0</v>
      </c>
      <c r="AG513" s="944">
        <v>0.0</v>
      </c>
      <c r="AH513" s="944">
        <v>15.0</v>
      </c>
      <c r="AI513" s="944">
        <v>0.0</v>
      </c>
      <c r="AJ513" s="944">
        <v>19.0</v>
      </c>
      <c r="AK513" s="944">
        <v>28.0</v>
      </c>
      <c r="AL513" s="944">
        <v>2.0</v>
      </c>
      <c r="AM513" s="945">
        <v>0.0</v>
      </c>
    </row>
    <row r="514">
      <c r="A514" s="946" t="s">
        <v>114</v>
      </c>
      <c r="B514" s="939">
        <v>1.0</v>
      </c>
      <c r="C514" s="939">
        <v>1.0</v>
      </c>
      <c r="D514" s="939">
        <v>0.0</v>
      </c>
      <c r="E514" s="939">
        <v>2.0</v>
      </c>
      <c r="F514" s="939">
        <v>24.0</v>
      </c>
      <c r="G514" s="939">
        <v>71.0</v>
      </c>
      <c r="H514" s="939">
        <v>49.0</v>
      </c>
      <c r="I514" s="939">
        <v>22.0</v>
      </c>
      <c r="J514" s="939">
        <v>2.0</v>
      </c>
      <c r="K514" s="939">
        <v>5.0</v>
      </c>
      <c r="L514" s="939">
        <v>1.0</v>
      </c>
      <c r="M514" s="939">
        <v>1930.0</v>
      </c>
      <c r="N514" s="939">
        <v>2199.0</v>
      </c>
      <c r="O514" s="939">
        <v>39.0</v>
      </c>
      <c r="P514" s="939">
        <v>1312.0</v>
      </c>
      <c r="Q514" s="939">
        <v>0.0</v>
      </c>
      <c r="R514" s="939">
        <v>1.0</v>
      </c>
      <c r="S514" s="939">
        <v>0.0</v>
      </c>
      <c r="T514" s="939">
        <v>0.0</v>
      </c>
      <c r="U514" s="939">
        <v>0.0</v>
      </c>
      <c r="V514" s="939">
        <v>1.0</v>
      </c>
      <c r="W514" s="939">
        <v>0.0</v>
      </c>
      <c r="X514" s="939">
        <v>8.0</v>
      </c>
      <c r="Y514" s="939">
        <v>0.0</v>
      </c>
      <c r="Z514" s="939">
        <v>0.0</v>
      </c>
      <c r="AA514" s="939">
        <v>0.0</v>
      </c>
      <c r="AB514" s="939">
        <v>0.0</v>
      </c>
      <c r="AC514" s="939">
        <v>0.0</v>
      </c>
      <c r="AD514" s="939">
        <v>0.0</v>
      </c>
      <c r="AE514" s="939">
        <v>0.0</v>
      </c>
      <c r="AF514" s="939">
        <v>0.0</v>
      </c>
      <c r="AG514" s="939">
        <v>0.0</v>
      </c>
      <c r="AH514" s="939">
        <v>5.0</v>
      </c>
      <c r="AI514" s="939">
        <v>0.0</v>
      </c>
      <c r="AJ514" s="939">
        <v>16.0</v>
      </c>
      <c r="AK514" s="939">
        <v>6.0</v>
      </c>
      <c r="AL514" s="939">
        <v>0.0</v>
      </c>
      <c r="AM514" s="940">
        <v>1.0</v>
      </c>
    </row>
    <row r="515">
      <c r="A515" s="935" t="s">
        <v>147</v>
      </c>
      <c r="B515" s="941">
        <v>1.0</v>
      </c>
      <c r="C515" s="941">
        <v>1.0</v>
      </c>
      <c r="D515" s="941">
        <v>0.0</v>
      </c>
      <c r="E515" s="941">
        <v>2.0</v>
      </c>
      <c r="F515" s="941">
        <v>0.0</v>
      </c>
      <c r="G515" s="941">
        <v>94.0</v>
      </c>
      <c r="H515" s="941">
        <v>115.0</v>
      </c>
      <c r="I515" s="941">
        <v>-21.0</v>
      </c>
      <c r="J515" s="941">
        <v>10.0</v>
      </c>
      <c r="K515" s="941">
        <v>7.0</v>
      </c>
      <c r="L515" s="941">
        <v>0.0</v>
      </c>
      <c r="M515" s="941">
        <v>1733.0</v>
      </c>
      <c r="N515" s="941">
        <v>2199.0</v>
      </c>
      <c r="O515" s="941">
        <v>15.0</v>
      </c>
      <c r="P515" s="941">
        <v>6.0</v>
      </c>
      <c r="Q515" s="941">
        <v>0.0</v>
      </c>
      <c r="R515" s="941">
        <v>4.0</v>
      </c>
      <c r="S515" s="941">
        <v>0.0</v>
      </c>
      <c r="T515" s="941">
        <v>0.0</v>
      </c>
      <c r="U515" s="941">
        <v>0.0</v>
      </c>
      <c r="V515" s="941">
        <v>3.0</v>
      </c>
      <c r="W515" s="941">
        <v>0.0</v>
      </c>
      <c r="X515" s="941">
        <v>11.0</v>
      </c>
      <c r="Y515" s="941">
        <v>0.0</v>
      </c>
      <c r="Z515" s="941">
        <v>0.0</v>
      </c>
      <c r="AA515" s="941">
        <v>0.0</v>
      </c>
      <c r="AB515" s="941">
        <v>0.0</v>
      </c>
      <c r="AC515" s="941">
        <v>0.0</v>
      </c>
      <c r="AD515" s="941">
        <v>0.0</v>
      </c>
      <c r="AE515" s="941">
        <v>0.0</v>
      </c>
      <c r="AF515" s="941">
        <v>0.0</v>
      </c>
      <c r="AG515" s="941">
        <v>0.0</v>
      </c>
      <c r="AH515" s="941">
        <v>7.0</v>
      </c>
      <c r="AI515" s="941">
        <v>0.0</v>
      </c>
      <c r="AJ515" s="941">
        <v>6.0</v>
      </c>
      <c r="AK515" s="941">
        <v>11.0</v>
      </c>
      <c r="AL515" s="941">
        <v>0.0</v>
      </c>
      <c r="AM515" s="942">
        <v>1.0</v>
      </c>
    </row>
    <row r="516">
      <c r="A516" s="935" t="s">
        <v>132</v>
      </c>
      <c r="B516" s="941">
        <v>1.0</v>
      </c>
      <c r="C516" s="941">
        <v>1.0</v>
      </c>
      <c r="D516" s="941">
        <v>0.0</v>
      </c>
      <c r="E516" s="941">
        <v>1.0</v>
      </c>
      <c r="F516" s="941">
        <v>1.0</v>
      </c>
      <c r="G516" s="941">
        <v>119.0</v>
      </c>
      <c r="H516" s="941">
        <v>115.0</v>
      </c>
      <c r="I516" s="941">
        <v>4.0</v>
      </c>
      <c r="J516" s="941">
        <v>5.0</v>
      </c>
      <c r="K516" s="941">
        <v>5.0</v>
      </c>
      <c r="L516" s="941">
        <v>2.0</v>
      </c>
      <c r="M516" s="941">
        <v>1731.0</v>
      </c>
      <c r="N516" s="941">
        <v>2199.0</v>
      </c>
      <c r="O516" s="941">
        <v>15.0</v>
      </c>
      <c r="P516" s="941">
        <v>21.0</v>
      </c>
      <c r="Q516" s="941">
        <v>0.0</v>
      </c>
      <c r="R516" s="941">
        <v>2.0</v>
      </c>
      <c r="S516" s="941">
        <v>0.0</v>
      </c>
      <c r="T516" s="941">
        <v>0.0</v>
      </c>
      <c r="U516" s="941">
        <v>0.0</v>
      </c>
      <c r="V516" s="941">
        <v>2.0</v>
      </c>
      <c r="W516" s="941">
        <v>0.0</v>
      </c>
      <c r="X516" s="941">
        <v>19.0</v>
      </c>
      <c r="Y516" s="941">
        <v>4.0</v>
      </c>
      <c r="Z516" s="941">
        <v>0.0</v>
      </c>
      <c r="AA516" s="941">
        <v>0.0</v>
      </c>
      <c r="AB516" s="941">
        <v>0.0</v>
      </c>
      <c r="AC516" s="941">
        <v>0.0</v>
      </c>
      <c r="AD516" s="941">
        <v>0.0</v>
      </c>
      <c r="AE516" s="941">
        <v>0.0</v>
      </c>
      <c r="AF516" s="941">
        <v>0.0</v>
      </c>
      <c r="AG516" s="941">
        <v>0.0</v>
      </c>
      <c r="AH516" s="941">
        <v>8.0</v>
      </c>
      <c r="AI516" s="941">
        <v>0.0</v>
      </c>
      <c r="AJ516" s="941">
        <v>13.0</v>
      </c>
      <c r="AK516" s="941">
        <v>22.0</v>
      </c>
      <c r="AL516" s="941">
        <v>1.0</v>
      </c>
      <c r="AM516" s="942">
        <v>1.0</v>
      </c>
    </row>
    <row r="517">
      <c r="A517" s="935" t="s">
        <v>136</v>
      </c>
      <c r="B517" s="941">
        <v>1.0</v>
      </c>
      <c r="C517" s="941">
        <v>1.0</v>
      </c>
      <c r="D517" s="941">
        <v>0.0</v>
      </c>
      <c r="E517" s="941">
        <v>0.0</v>
      </c>
      <c r="F517" s="941">
        <v>0.0</v>
      </c>
      <c r="G517" s="941">
        <v>148.0</v>
      </c>
      <c r="H517" s="941">
        <v>158.0</v>
      </c>
      <c r="I517" s="941">
        <v>-10.0</v>
      </c>
      <c r="J517" s="941">
        <v>6.0</v>
      </c>
      <c r="K517" s="941">
        <v>6.0</v>
      </c>
      <c r="L517" s="941">
        <v>1.0</v>
      </c>
      <c r="M517" s="941">
        <v>1602.0</v>
      </c>
      <c r="N517" s="941">
        <v>2199.0</v>
      </c>
      <c r="O517" s="941">
        <v>10.0</v>
      </c>
      <c r="P517" s="941">
        <v>15.0</v>
      </c>
      <c r="Q517" s="941">
        <v>0.0</v>
      </c>
      <c r="R517" s="941">
        <v>1.0</v>
      </c>
      <c r="S517" s="941">
        <v>0.0</v>
      </c>
      <c r="T517" s="941">
        <v>0.0</v>
      </c>
      <c r="U517" s="941">
        <v>0.0</v>
      </c>
      <c r="V517" s="941">
        <v>1.0</v>
      </c>
      <c r="W517" s="941">
        <v>0.0</v>
      </c>
      <c r="X517" s="941">
        <v>34.0</v>
      </c>
      <c r="Y517" s="941">
        <v>8.0</v>
      </c>
      <c r="Z517" s="941">
        <v>1.0</v>
      </c>
      <c r="AA517" s="941">
        <v>0.0</v>
      </c>
      <c r="AB517" s="941">
        <v>0.0</v>
      </c>
      <c r="AC517" s="941">
        <v>0.0</v>
      </c>
      <c r="AD517" s="941">
        <v>0.0</v>
      </c>
      <c r="AE517" s="941">
        <v>0.0</v>
      </c>
      <c r="AF517" s="941">
        <v>0.0</v>
      </c>
      <c r="AG517" s="941">
        <v>0.0</v>
      </c>
      <c r="AH517" s="941">
        <v>6.0</v>
      </c>
      <c r="AI517" s="941">
        <v>0.0</v>
      </c>
      <c r="AJ517" s="941">
        <v>11.0</v>
      </c>
      <c r="AK517" s="941">
        <v>18.0</v>
      </c>
      <c r="AL517" s="941">
        <v>2.0</v>
      </c>
      <c r="AM517" s="942">
        <v>1.0</v>
      </c>
    </row>
    <row r="518">
      <c r="A518" s="935" t="s">
        <v>123</v>
      </c>
      <c r="B518" s="941">
        <v>1.0</v>
      </c>
      <c r="C518" s="941">
        <v>0.0</v>
      </c>
      <c r="D518" s="941">
        <v>1.0</v>
      </c>
      <c r="E518" s="941">
        <v>2.0</v>
      </c>
      <c r="F518" s="941">
        <v>13.0</v>
      </c>
      <c r="G518" s="941">
        <v>106.0</v>
      </c>
      <c r="H518" s="941">
        <v>83.0</v>
      </c>
      <c r="I518" s="941">
        <v>23.0</v>
      </c>
      <c r="J518" s="941">
        <v>5.0</v>
      </c>
      <c r="K518" s="941">
        <v>6.0</v>
      </c>
      <c r="L518" s="941">
        <v>1.0</v>
      </c>
      <c r="M518" s="941">
        <v>1830.0</v>
      </c>
      <c r="N518" s="941">
        <v>2199.0</v>
      </c>
      <c r="O518" s="941">
        <v>22.0</v>
      </c>
      <c r="P518" s="941">
        <v>485.0</v>
      </c>
      <c r="Q518" s="941">
        <v>0.0</v>
      </c>
      <c r="R518" s="941">
        <v>3.0</v>
      </c>
      <c r="S518" s="941">
        <v>0.0</v>
      </c>
      <c r="T518" s="941">
        <v>0.0</v>
      </c>
      <c r="U518" s="941">
        <v>0.0</v>
      </c>
      <c r="V518" s="941">
        <v>1.0</v>
      </c>
      <c r="W518" s="941">
        <v>0.0</v>
      </c>
      <c r="X518" s="941">
        <v>13.0</v>
      </c>
      <c r="Y518" s="941">
        <v>2.0</v>
      </c>
      <c r="Z518" s="941">
        <v>1.0</v>
      </c>
      <c r="AA518" s="941">
        <v>1.0</v>
      </c>
      <c r="AB518" s="941">
        <v>0.0</v>
      </c>
      <c r="AC518" s="941">
        <v>0.0</v>
      </c>
      <c r="AD518" s="941">
        <v>0.0</v>
      </c>
      <c r="AE518" s="941">
        <v>0.0</v>
      </c>
      <c r="AF518" s="941">
        <v>0.0</v>
      </c>
      <c r="AG518" s="941">
        <v>0.0</v>
      </c>
      <c r="AH518" s="941">
        <v>1.0</v>
      </c>
      <c r="AI518" s="941">
        <v>0.0</v>
      </c>
      <c r="AJ518" s="941">
        <v>15.0</v>
      </c>
      <c r="AK518" s="941">
        <v>13.0</v>
      </c>
      <c r="AL518" s="941">
        <v>1.0</v>
      </c>
      <c r="AM518" s="942">
        <v>0.0</v>
      </c>
    </row>
    <row r="519">
      <c r="A519" s="935" t="s">
        <v>419</v>
      </c>
      <c r="B519" s="941">
        <v>1.0</v>
      </c>
      <c r="C519" s="941">
        <v>0.0</v>
      </c>
      <c r="D519" s="941">
        <v>1.0</v>
      </c>
      <c r="E519" s="941">
        <v>1.0</v>
      </c>
      <c r="F519" s="941">
        <v>0.0</v>
      </c>
      <c r="G519" s="941">
        <v>112.0</v>
      </c>
      <c r="H519" s="941">
        <v>124.0</v>
      </c>
      <c r="I519" s="941">
        <v>-12.0</v>
      </c>
      <c r="J519" s="941">
        <v>8.0</v>
      </c>
      <c r="K519" s="941">
        <v>6.0</v>
      </c>
      <c r="L519" s="941">
        <v>1.0</v>
      </c>
      <c r="M519" s="941">
        <v>1704.0</v>
      </c>
      <c r="N519" s="941">
        <v>2199.0</v>
      </c>
      <c r="O519" s="941">
        <v>13.0</v>
      </c>
      <c r="P519" s="941">
        <v>26.0</v>
      </c>
      <c r="Q519" s="941">
        <v>0.0</v>
      </c>
      <c r="R519" s="941">
        <v>1.0</v>
      </c>
      <c r="S519" s="941">
        <v>0.0</v>
      </c>
      <c r="T519" s="941">
        <v>0.0</v>
      </c>
      <c r="U519" s="941">
        <v>0.0</v>
      </c>
      <c r="V519" s="941">
        <v>1.0</v>
      </c>
      <c r="W519" s="941">
        <v>0.0</v>
      </c>
      <c r="X519" s="941">
        <v>20.0</v>
      </c>
      <c r="Y519" s="941">
        <v>4.0</v>
      </c>
      <c r="Z519" s="941">
        <v>1.0</v>
      </c>
      <c r="AA519" s="941">
        <v>1.0</v>
      </c>
      <c r="AB519" s="941">
        <v>0.0</v>
      </c>
      <c r="AC519" s="941">
        <v>0.0</v>
      </c>
      <c r="AD519" s="941">
        <v>0.0</v>
      </c>
      <c r="AE519" s="941">
        <v>0.0</v>
      </c>
      <c r="AF519" s="941">
        <v>0.0</v>
      </c>
      <c r="AG519" s="941">
        <v>0.0</v>
      </c>
      <c r="AH519" s="941">
        <v>3.0</v>
      </c>
      <c r="AI519" s="941">
        <v>0.0</v>
      </c>
      <c r="AJ519" s="941">
        <v>10.0</v>
      </c>
      <c r="AK519" s="941">
        <v>12.0</v>
      </c>
      <c r="AL519" s="941">
        <v>1.0</v>
      </c>
      <c r="AM519" s="942">
        <v>0.0</v>
      </c>
    </row>
    <row r="520">
      <c r="A520" s="935" t="s">
        <v>145</v>
      </c>
      <c r="B520" s="941">
        <v>1.0</v>
      </c>
      <c r="C520" s="941">
        <v>0.0</v>
      </c>
      <c r="D520" s="941">
        <v>1.0</v>
      </c>
      <c r="E520" s="941">
        <v>1.0</v>
      </c>
      <c r="F520" s="941">
        <v>4.0</v>
      </c>
      <c r="G520" s="941">
        <v>106.0</v>
      </c>
      <c r="H520" s="941">
        <v>119.0</v>
      </c>
      <c r="I520" s="941">
        <v>-13.0</v>
      </c>
      <c r="J520" s="941">
        <v>8.0</v>
      </c>
      <c r="K520" s="941">
        <v>6.0</v>
      </c>
      <c r="L520" s="941">
        <v>0.0</v>
      </c>
      <c r="M520" s="941">
        <v>1727.0</v>
      </c>
      <c r="N520" s="941">
        <v>2199.0</v>
      </c>
      <c r="O520" s="941">
        <v>14.0</v>
      </c>
      <c r="P520" s="941">
        <v>30.0</v>
      </c>
      <c r="Q520" s="941">
        <v>0.0</v>
      </c>
      <c r="R520" s="941">
        <v>1.0</v>
      </c>
      <c r="S520" s="941">
        <v>0.0</v>
      </c>
      <c r="T520" s="941">
        <v>0.0</v>
      </c>
      <c r="U520" s="941">
        <v>0.0</v>
      </c>
      <c r="V520" s="941">
        <v>1.0</v>
      </c>
      <c r="W520" s="941">
        <v>0.0</v>
      </c>
      <c r="X520" s="941">
        <v>12.0</v>
      </c>
      <c r="Y520" s="941">
        <v>1.0</v>
      </c>
      <c r="Z520" s="941">
        <v>0.0</v>
      </c>
      <c r="AA520" s="941">
        <v>0.0</v>
      </c>
      <c r="AB520" s="941">
        <v>0.0</v>
      </c>
      <c r="AC520" s="941">
        <v>0.0</v>
      </c>
      <c r="AD520" s="941">
        <v>0.0</v>
      </c>
      <c r="AE520" s="941">
        <v>0.0</v>
      </c>
      <c r="AF520" s="941">
        <v>0.0</v>
      </c>
      <c r="AG520" s="941">
        <v>0.0</v>
      </c>
      <c r="AH520" s="941">
        <v>2.0</v>
      </c>
      <c r="AI520" s="941">
        <v>0.0</v>
      </c>
      <c r="AJ520" s="941">
        <v>19.0</v>
      </c>
      <c r="AK520" s="941">
        <v>18.0</v>
      </c>
      <c r="AL520" s="941">
        <v>4.0</v>
      </c>
      <c r="AM520" s="942">
        <v>0.0</v>
      </c>
    </row>
    <row r="521">
      <c r="A521" s="943" t="s">
        <v>156</v>
      </c>
      <c r="B521" s="944">
        <v>1.0</v>
      </c>
      <c r="C521" s="944">
        <v>0.0</v>
      </c>
      <c r="D521" s="944">
        <v>1.0</v>
      </c>
      <c r="E521" s="944">
        <v>0.0</v>
      </c>
      <c r="F521" s="944">
        <v>0.0</v>
      </c>
      <c r="G521" s="944">
        <v>102.0</v>
      </c>
      <c r="H521" s="944">
        <v>122.0</v>
      </c>
      <c r="I521" s="944">
        <v>-20.0</v>
      </c>
      <c r="J521" s="944">
        <v>7.0</v>
      </c>
      <c r="K521" s="944">
        <v>4.0</v>
      </c>
      <c r="L521" s="944">
        <v>2.0</v>
      </c>
      <c r="M521" s="944">
        <v>1714.0</v>
      </c>
      <c r="N521" s="944">
        <v>2199.0</v>
      </c>
      <c r="O521" s="944">
        <v>14.0</v>
      </c>
      <c r="P521" s="944">
        <v>12.0</v>
      </c>
      <c r="Q521" s="944">
        <v>0.0</v>
      </c>
      <c r="R521" s="944">
        <v>0.0</v>
      </c>
      <c r="S521" s="944">
        <v>0.0</v>
      </c>
      <c r="T521" s="944">
        <v>0.0</v>
      </c>
      <c r="U521" s="944">
        <v>0.0</v>
      </c>
      <c r="V521" s="944">
        <v>0.0</v>
      </c>
      <c r="W521" s="944">
        <v>0.0</v>
      </c>
      <c r="X521" s="944">
        <v>11.0</v>
      </c>
      <c r="Y521" s="944">
        <v>3.0</v>
      </c>
      <c r="Z521" s="944">
        <v>1.0</v>
      </c>
      <c r="AA521" s="944">
        <v>0.0</v>
      </c>
      <c r="AB521" s="944">
        <v>0.0</v>
      </c>
      <c r="AC521" s="944">
        <v>0.0</v>
      </c>
      <c r="AD521" s="944">
        <v>0.0</v>
      </c>
      <c r="AE521" s="944">
        <v>0.0</v>
      </c>
      <c r="AF521" s="944">
        <v>0.0</v>
      </c>
      <c r="AG521" s="944">
        <v>0.0</v>
      </c>
      <c r="AH521" s="944">
        <v>4.0</v>
      </c>
      <c r="AI521" s="944">
        <v>0.0</v>
      </c>
      <c r="AJ521" s="944">
        <v>14.0</v>
      </c>
      <c r="AK521" s="944">
        <v>14.0</v>
      </c>
      <c r="AL521" s="944">
        <v>0.0</v>
      </c>
      <c r="AM521" s="945">
        <v>0.0</v>
      </c>
    </row>
    <row r="522">
      <c r="A522" s="946" t="s">
        <v>123</v>
      </c>
      <c r="B522" s="939">
        <v>1.0</v>
      </c>
      <c r="C522" s="939">
        <v>1.0</v>
      </c>
      <c r="D522" s="939">
        <v>0.0</v>
      </c>
      <c r="E522" s="939">
        <v>5.0</v>
      </c>
      <c r="F522" s="939">
        <v>10.0</v>
      </c>
      <c r="G522" s="939">
        <v>39.0</v>
      </c>
      <c r="H522" s="939">
        <v>32.0</v>
      </c>
      <c r="I522" s="939">
        <v>7.0</v>
      </c>
      <c r="J522" s="939">
        <v>1.0</v>
      </c>
      <c r="K522" s="939">
        <v>4.0</v>
      </c>
      <c r="L522" s="939">
        <v>0.0</v>
      </c>
      <c r="M522" s="939">
        <v>825.0</v>
      </c>
      <c r="N522" s="939">
        <v>999.0</v>
      </c>
      <c r="O522" s="939">
        <v>25.0</v>
      </c>
      <c r="P522" s="939">
        <v>370.0</v>
      </c>
      <c r="Q522" s="939">
        <v>0.0</v>
      </c>
      <c r="R522" s="939">
        <v>0.0</v>
      </c>
      <c r="S522" s="939">
        <v>0.0</v>
      </c>
      <c r="T522" s="939">
        <v>0.0</v>
      </c>
      <c r="U522" s="939">
        <v>0.0</v>
      </c>
      <c r="V522" s="939">
        <v>0.0</v>
      </c>
      <c r="W522" s="939">
        <v>0.0</v>
      </c>
      <c r="X522" s="939">
        <v>4.0</v>
      </c>
      <c r="Y522" s="939">
        <v>1.0</v>
      </c>
      <c r="Z522" s="939">
        <v>0.0</v>
      </c>
      <c r="AA522" s="939">
        <v>0.0</v>
      </c>
      <c r="AB522" s="939">
        <v>0.0</v>
      </c>
      <c r="AC522" s="939">
        <v>0.0</v>
      </c>
      <c r="AD522" s="939">
        <v>0.0</v>
      </c>
      <c r="AE522" s="939">
        <v>0.0</v>
      </c>
      <c r="AF522" s="939">
        <v>0.0</v>
      </c>
      <c r="AG522" s="939">
        <v>0.0</v>
      </c>
      <c r="AH522" s="939">
        <v>1.0</v>
      </c>
      <c r="AI522" s="939">
        <v>0.0</v>
      </c>
      <c r="AJ522" s="939">
        <v>6.0</v>
      </c>
      <c r="AK522" s="939">
        <v>5.0</v>
      </c>
      <c r="AL522" s="939">
        <v>1.0</v>
      </c>
      <c r="AM522" s="940">
        <v>0.0</v>
      </c>
    </row>
    <row r="523">
      <c r="A523" s="935" t="s">
        <v>145</v>
      </c>
      <c r="B523" s="941">
        <v>1.0</v>
      </c>
      <c r="C523" s="941">
        <v>1.0</v>
      </c>
      <c r="D523" s="941">
        <v>0.0</v>
      </c>
      <c r="E523" s="941">
        <v>0.0</v>
      </c>
      <c r="F523" s="941">
        <v>1.0</v>
      </c>
      <c r="G523" s="941">
        <v>56.0</v>
      </c>
      <c r="H523" s="941">
        <v>55.0</v>
      </c>
      <c r="I523" s="941">
        <v>1.0</v>
      </c>
      <c r="J523" s="941">
        <v>2.0</v>
      </c>
      <c r="K523" s="941">
        <v>3.0</v>
      </c>
      <c r="L523" s="941">
        <v>0.0</v>
      </c>
      <c r="M523" s="941">
        <v>751.0</v>
      </c>
      <c r="N523" s="941">
        <v>999.0</v>
      </c>
      <c r="O523" s="941">
        <v>13.0</v>
      </c>
      <c r="P523" s="941">
        <v>33.0</v>
      </c>
      <c r="Q523" s="941">
        <v>0.0</v>
      </c>
      <c r="R523" s="941">
        <v>0.0</v>
      </c>
      <c r="S523" s="941">
        <v>0.0</v>
      </c>
      <c r="T523" s="941">
        <v>0.0</v>
      </c>
      <c r="U523" s="941">
        <v>0.0</v>
      </c>
      <c r="V523" s="941">
        <v>0.0</v>
      </c>
      <c r="W523" s="941">
        <v>0.0</v>
      </c>
      <c r="X523" s="941">
        <v>8.0</v>
      </c>
      <c r="Y523" s="941">
        <v>1.0</v>
      </c>
      <c r="Z523" s="941">
        <v>0.0</v>
      </c>
      <c r="AA523" s="941">
        <v>0.0</v>
      </c>
      <c r="AB523" s="941">
        <v>0.0</v>
      </c>
      <c r="AC523" s="941">
        <v>0.0</v>
      </c>
      <c r="AD523" s="941">
        <v>0.0</v>
      </c>
      <c r="AE523" s="941">
        <v>0.0</v>
      </c>
      <c r="AF523" s="941">
        <v>0.0</v>
      </c>
      <c r="AG523" s="941">
        <v>0.0</v>
      </c>
      <c r="AH523" s="941">
        <v>2.0</v>
      </c>
      <c r="AI523" s="941">
        <v>0.0</v>
      </c>
      <c r="AJ523" s="941">
        <v>4.0</v>
      </c>
      <c r="AK523" s="941">
        <v>5.0</v>
      </c>
      <c r="AL523" s="941">
        <v>2.0</v>
      </c>
      <c r="AM523" s="942">
        <v>0.0</v>
      </c>
    </row>
    <row r="524">
      <c r="A524" s="935" t="s">
        <v>419</v>
      </c>
      <c r="B524" s="941">
        <v>1.0</v>
      </c>
      <c r="C524" s="941">
        <v>1.0</v>
      </c>
      <c r="D524" s="941">
        <v>0.0</v>
      </c>
      <c r="E524" s="941">
        <v>0.0</v>
      </c>
      <c r="F524" s="941">
        <v>0.0</v>
      </c>
      <c r="G524" s="941">
        <v>50.0</v>
      </c>
      <c r="H524" s="941">
        <v>48.0</v>
      </c>
      <c r="I524" s="941">
        <v>2.0</v>
      </c>
      <c r="J524" s="941">
        <v>6.0</v>
      </c>
      <c r="K524" s="941">
        <v>6.0</v>
      </c>
      <c r="L524" s="941">
        <v>1.0</v>
      </c>
      <c r="M524" s="941">
        <v>776.0</v>
      </c>
      <c r="N524" s="941">
        <v>999.0</v>
      </c>
      <c r="O524" s="941">
        <v>16.0</v>
      </c>
      <c r="P524" s="941">
        <v>0.0</v>
      </c>
      <c r="Q524" s="941">
        <v>0.0</v>
      </c>
      <c r="R524" s="941">
        <v>1.0</v>
      </c>
      <c r="S524" s="941">
        <v>0.0</v>
      </c>
      <c r="T524" s="941">
        <v>0.0</v>
      </c>
      <c r="U524" s="941">
        <v>0.0</v>
      </c>
      <c r="V524" s="941">
        <v>1.0</v>
      </c>
      <c r="W524" s="941">
        <v>0.0</v>
      </c>
      <c r="X524" s="941">
        <v>5.0</v>
      </c>
      <c r="Y524" s="941">
        <v>1.0</v>
      </c>
      <c r="Z524" s="941">
        <v>0.0</v>
      </c>
      <c r="AA524" s="941">
        <v>0.0</v>
      </c>
      <c r="AB524" s="941">
        <v>0.0</v>
      </c>
      <c r="AC524" s="941">
        <v>0.0</v>
      </c>
      <c r="AD524" s="941">
        <v>0.0</v>
      </c>
      <c r="AE524" s="941">
        <v>0.0</v>
      </c>
      <c r="AF524" s="941">
        <v>0.0</v>
      </c>
      <c r="AG524" s="941">
        <v>0.0</v>
      </c>
      <c r="AH524" s="941">
        <v>6.0</v>
      </c>
      <c r="AI524" s="941">
        <v>0.0</v>
      </c>
      <c r="AJ524" s="941">
        <v>2.0</v>
      </c>
      <c r="AK524" s="941">
        <v>5.0</v>
      </c>
      <c r="AL524" s="941">
        <v>0.0</v>
      </c>
      <c r="AM524" s="942">
        <v>0.0</v>
      </c>
    </row>
    <row r="525">
      <c r="A525" s="935" t="s">
        <v>156</v>
      </c>
      <c r="B525" s="941">
        <v>1.0</v>
      </c>
      <c r="C525" s="941">
        <v>1.0</v>
      </c>
      <c r="D525" s="941">
        <v>0.0</v>
      </c>
      <c r="E525" s="941">
        <v>0.0</v>
      </c>
      <c r="F525" s="941">
        <v>0.0</v>
      </c>
      <c r="G525" s="941">
        <v>44.0</v>
      </c>
      <c r="H525" s="941">
        <v>42.0</v>
      </c>
      <c r="I525" s="941">
        <v>2.0</v>
      </c>
      <c r="J525" s="941">
        <v>2.0</v>
      </c>
      <c r="K525" s="941">
        <v>6.0</v>
      </c>
      <c r="L525" s="941">
        <v>1.0</v>
      </c>
      <c r="M525" s="941">
        <v>796.0</v>
      </c>
      <c r="N525" s="941">
        <v>999.0</v>
      </c>
      <c r="O525" s="941">
        <v>18.0</v>
      </c>
      <c r="P525" s="941">
        <v>3.0</v>
      </c>
      <c r="Q525" s="941">
        <v>0.0</v>
      </c>
      <c r="R525" s="941">
        <v>2.0</v>
      </c>
      <c r="S525" s="941">
        <v>0.0</v>
      </c>
      <c r="T525" s="941">
        <v>0.0</v>
      </c>
      <c r="U525" s="941">
        <v>0.0</v>
      </c>
      <c r="V525" s="941">
        <v>1.0</v>
      </c>
      <c r="W525" s="941">
        <v>0.0</v>
      </c>
      <c r="X525" s="941">
        <v>4.0</v>
      </c>
      <c r="Y525" s="941">
        <v>1.0</v>
      </c>
      <c r="Z525" s="941">
        <v>0.0</v>
      </c>
      <c r="AA525" s="941">
        <v>0.0</v>
      </c>
      <c r="AB525" s="941">
        <v>0.0</v>
      </c>
      <c r="AC525" s="941">
        <v>0.0</v>
      </c>
      <c r="AD525" s="941">
        <v>0.0</v>
      </c>
      <c r="AE525" s="941">
        <v>0.0</v>
      </c>
      <c r="AF525" s="941">
        <v>0.0</v>
      </c>
      <c r="AG525" s="941">
        <v>0.0</v>
      </c>
      <c r="AH525" s="941">
        <v>2.0</v>
      </c>
      <c r="AI525" s="941">
        <v>0.0</v>
      </c>
      <c r="AJ525" s="941">
        <v>5.0</v>
      </c>
      <c r="AK525" s="941">
        <v>6.0</v>
      </c>
      <c r="AL525" s="941">
        <v>0.0</v>
      </c>
      <c r="AM525" s="942">
        <v>0.0</v>
      </c>
    </row>
    <row r="526">
      <c r="A526" s="935" t="s">
        <v>149</v>
      </c>
      <c r="B526" s="941">
        <v>1.0</v>
      </c>
      <c r="C526" s="941">
        <v>0.0</v>
      </c>
      <c r="D526" s="941">
        <v>1.0</v>
      </c>
      <c r="E526" s="941">
        <v>1.0</v>
      </c>
      <c r="F526" s="941">
        <v>4.0</v>
      </c>
      <c r="G526" s="941">
        <v>41.0</v>
      </c>
      <c r="H526" s="941">
        <v>49.0</v>
      </c>
      <c r="I526" s="941">
        <v>-8.0</v>
      </c>
      <c r="J526" s="941">
        <v>1.0</v>
      </c>
      <c r="K526" s="941">
        <v>2.0</v>
      </c>
      <c r="L526" s="941">
        <v>0.0</v>
      </c>
      <c r="M526" s="941">
        <v>738.0</v>
      </c>
      <c r="N526" s="941">
        <v>965.0</v>
      </c>
      <c r="O526" s="941">
        <v>15.0</v>
      </c>
      <c r="P526" s="941">
        <v>122.0</v>
      </c>
      <c r="Q526" s="941">
        <v>0.0</v>
      </c>
      <c r="R526" s="941">
        <v>0.0</v>
      </c>
      <c r="S526" s="941">
        <v>0.0</v>
      </c>
      <c r="T526" s="941">
        <v>0.0</v>
      </c>
      <c r="U526" s="941">
        <v>0.0</v>
      </c>
      <c r="V526" s="941">
        <v>0.0</v>
      </c>
      <c r="W526" s="941">
        <v>0.0</v>
      </c>
      <c r="X526" s="941">
        <v>4.0</v>
      </c>
      <c r="Y526" s="941">
        <v>0.0</v>
      </c>
      <c r="Z526" s="941">
        <v>0.0</v>
      </c>
      <c r="AA526" s="941">
        <v>0.0</v>
      </c>
      <c r="AB526" s="941">
        <v>0.0</v>
      </c>
      <c r="AC526" s="941">
        <v>0.0</v>
      </c>
      <c r="AD526" s="941">
        <v>0.0</v>
      </c>
      <c r="AE526" s="941">
        <v>0.0</v>
      </c>
      <c r="AF526" s="941">
        <v>0.0</v>
      </c>
      <c r="AG526" s="941">
        <v>0.0</v>
      </c>
      <c r="AH526" s="941">
        <v>1.0</v>
      </c>
      <c r="AI526" s="941">
        <v>0.0</v>
      </c>
      <c r="AJ526" s="941">
        <v>4.0</v>
      </c>
      <c r="AK526" s="941">
        <v>3.0</v>
      </c>
      <c r="AL526" s="941">
        <v>0.0</v>
      </c>
      <c r="AM526" s="942">
        <v>1.0</v>
      </c>
    </row>
    <row r="527">
      <c r="A527" s="935" t="s">
        <v>138</v>
      </c>
      <c r="B527" s="941">
        <v>1.0</v>
      </c>
      <c r="C527" s="941">
        <v>0.0</v>
      </c>
      <c r="D527" s="941">
        <v>1.0</v>
      </c>
      <c r="E527" s="941">
        <v>0.0</v>
      </c>
      <c r="F527" s="941">
        <v>2.0</v>
      </c>
      <c r="G527" s="941">
        <v>59.0</v>
      </c>
      <c r="H527" s="941">
        <v>62.0</v>
      </c>
      <c r="I527" s="941">
        <v>-3.0</v>
      </c>
      <c r="J527" s="941">
        <v>1.0</v>
      </c>
      <c r="K527" s="941">
        <v>5.0</v>
      </c>
      <c r="L527" s="941">
        <v>0.0</v>
      </c>
      <c r="M527" s="941">
        <v>734.0</v>
      </c>
      <c r="N527" s="941">
        <v>999.0</v>
      </c>
      <c r="O527" s="941">
        <v>11.0</v>
      </c>
      <c r="P527" s="941">
        <v>8.0</v>
      </c>
      <c r="Q527" s="941">
        <v>0.0</v>
      </c>
      <c r="R527" s="941">
        <v>1.0</v>
      </c>
      <c r="S527" s="941">
        <v>0.0</v>
      </c>
      <c r="T527" s="941">
        <v>0.0</v>
      </c>
      <c r="U527" s="941">
        <v>0.0</v>
      </c>
      <c r="V527" s="941">
        <v>1.0</v>
      </c>
      <c r="W527" s="941">
        <v>0.0</v>
      </c>
      <c r="X527" s="941">
        <v>7.0</v>
      </c>
      <c r="Y527" s="941">
        <v>1.0</v>
      </c>
      <c r="Z527" s="941">
        <v>1.0</v>
      </c>
      <c r="AA527" s="941">
        <v>0.0</v>
      </c>
      <c r="AB527" s="941">
        <v>0.0</v>
      </c>
      <c r="AC527" s="941">
        <v>0.0</v>
      </c>
      <c r="AD527" s="941">
        <v>0.0</v>
      </c>
      <c r="AE527" s="941">
        <v>0.0</v>
      </c>
      <c r="AF527" s="941">
        <v>0.0</v>
      </c>
      <c r="AG527" s="941">
        <v>0.0</v>
      </c>
      <c r="AH527" s="941">
        <v>2.0</v>
      </c>
      <c r="AI527" s="941">
        <v>0.0</v>
      </c>
      <c r="AJ527" s="941">
        <v>9.0</v>
      </c>
      <c r="AK527" s="941">
        <v>8.0</v>
      </c>
      <c r="AL527" s="941">
        <v>1.0</v>
      </c>
      <c r="AM527" s="942">
        <v>1.0</v>
      </c>
    </row>
    <row r="528">
      <c r="A528" s="935" t="s">
        <v>418</v>
      </c>
      <c r="B528" s="941">
        <v>1.0</v>
      </c>
      <c r="C528" s="941">
        <v>0.0</v>
      </c>
      <c r="D528" s="941">
        <v>1.0</v>
      </c>
      <c r="E528" s="941">
        <v>0.0</v>
      </c>
      <c r="F528" s="941">
        <v>7.0</v>
      </c>
      <c r="G528" s="941">
        <v>39.0</v>
      </c>
      <c r="H528" s="941">
        <v>35.0</v>
      </c>
      <c r="I528" s="941">
        <v>4.0</v>
      </c>
      <c r="J528" s="941">
        <v>3.0</v>
      </c>
      <c r="K528" s="941">
        <v>11.0</v>
      </c>
      <c r="L528" s="941">
        <v>0.0</v>
      </c>
      <c r="M528" s="941">
        <v>811.0</v>
      </c>
      <c r="N528" s="941">
        <v>999.0</v>
      </c>
      <c r="O528" s="941">
        <v>23.0</v>
      </c>
      <c r="P528" s="941">
        <v>307.0</v>
      </c>
      <c r="Q528" s="941">
        <v>0.0</v>
      </c>
      <c r="R528" s="941">
        <v>1.0</v>
      </c>
      <c r="S528" s="941">
        <v>1.0</v>
      </c>
      <c r="T528" s="941">
        <v>0.0</v>
      </c>
      <c r="U528" s="941">
        <v>0.0</v>
      </c>
      <c r="V528" s="941">
        <v>0.0</v>
      </c>
      <c r="W528" s="941">
        <v>0.0</v>
      </c>
      <c r="X528" s="941">
        <v>5.0</v>
      </c>
      <c r="Y528" s="941">
        <v>1.0</v>
      </c>
      <c r="Z528" s="941">
        <v>0.0</v>
      </c>
      <c r="AA528" s="941">
        <v>0.0</v>
      </c>
      <c r="AB528" s="941">
        <v>0.0</v>
      </c>
      <c r="AC528" s="941">
        <v>0.0</v>
      </c>
      <c r="AD528" s="941">
        <v>0.0</v>
      </c>
      <c r="AE528" s="941">
        <v>0.0</v>
      </c>
      <c r="AF528" s="941">
        <v>0.0</v>
      </c>
      <c r="AG528" s="941">
        <v>0.0</v>
      </c>
      <c r="AH528" s="941">
        <v>2.0</v>
      </c>
      <c r="AI528" s="941">
        <v>1.0</v>
      </c>
      <c r="AJ528" s="941">
        <v>5.0</v>
      </c>
      <c r="AK528" s="941">
        <v>3.0</v>
      </c>
      <c r="AL528" s="941">
        <v>1.0</v>
      </c>
      <c r="AM528" s="942">
        <v>1.0</v>
      </c>
    </row>
    <row r="529">
      <c r="A529" s="943" t="s">
        <v>392</v>
      </c>
      <c r="B529" s="944">
        <v>1.0</v>
      </c>
      <c r="C529" s="944">
        <v>0.0</v>
      </c>
      <c r="D529" s="944">
        <v>1.0</v>
      </c>
      <c r="E529" s="944">
        <v>0.0</v>
      </c>
      <c r="F529" s="944">
        <v>0.0</v>
      </c>
      <c r="G529" s="944">
        <v>30.0</v>
      </c>
      <c r="H529" s="944">
        <v>53.0</v>
      </c>
      <c r="I529" s="944">
        <v>-23.0</v>
      </c>
      <c r="J529" s="944">
        <v>4.0</v>
      </c>
      <c r="K529" s="944">
        <v>3.0</v>
      </c>
      <c r="L529" s="944">
        <v>1.0</v>
      </c>
      <c r="M529" s="944">
        <v>768.0</v>
      </c>
      <c r="N529" s="944">
        <v>999.0</v>
      </c>
      <c r="O529" s="944">
        <v>14.0</v>
      </c>
      <c r="P529" s="944">
        <v>0.0</v>
      </c>
      <c r="Q529" s="944">
        <v>0.0</v>
      </c>
      <c r="R529" s="944">
        <v>0.0</v>
      </c>
      <c r="S529" s="944">
        <v>0.0</v>
      </c>
      <c r="T529" s="944">
        <v>0.0</v>
      </c>
      <c r="U529" s="944">
        <v>0.0</v>
      </c>
      <c r="V529" s="944">
        <v>0.0</v>
      </c>
      <c r="W529" s="944">
        <v>0.0</v>
      </c>
      <c r="X529" s="944">
        <v>3.0</v>
      </c>
      <c r="Y529" s="944">
        <v>0.0</v>
      </c>
      <c r="Z529" s="944">
        <v>0.0</v>
      </c>
      <c r="AA529" s="944">
        <v>0.0</v>
      </c>
      <c r="AB529" s="944">
        <v>0.0</v>
      </c>
      <c r="AC529" s="944">
        <v>0.0</v>
      </c>
      <c r="AD529" s="944">
        <v>0.0</v>
      </c>
      <c r="AE529" s="944">
        <v>0.0</v>
      </c>
      <c r="AF529" s="944">
        <v>0.0</v>
      </c>
      <c r="AG529" s="944">
        <v>0.0</v>
      </c>
      <c r="AH529" s="944">
        <v>1.0</v>
      </c>
      <c r="AI529" s="944">
        <v>0.0</v>
      </c>
      <c r="AJ529" s="944">
        <v>2.0</v>
      </c>
      <c r="AK529" s="944">
        <v>4.0</v>
      </c>
      <c r="AL529" s="944">
        <v>1.0</v>
      </c>
      <c r="AM529" s="945">
        <v>1.0</v>
      </c>
    </row>
    <row r="530">
      <c r="A530" s="946" t="s">
        <v>123</v>
      </c>
      <c r="B530" s="939">
        <v>1.0</v>
      </c>
      <c r="C530" s="939">
        <v>1.0</v>
      </c>
      <c r="D530" s="939">
        <v>0.0</v>
      </c>
      <c r="E530" s="939">
        <v>2.0</v>
      </c>
      <c r="F530" s="939">
        <v>8.0</v>
      </c>
      <c r="G530" s="939">
        <v>67.0</v>
      </c>
      <c r="H530" s="939">
        <v>60.0</v>
      </c>
      <c r="I530" s="939">
        <v>7.0</v>
      </c>
      <c r="J530" s="939">
        <v>2.0</v>
      </c>
      <c r="K530" s="939">
        <v>4.0</v>
      </c>
      <c r="L530" s="939">
        <v>1.0</v>
      </c>
      <c r="M530" s="939">
        <v>872.0</v>
      </c>
      <c r="N530" s="939">
        <v>1119.0</v>
      </c>
      <c r="O530" s="939">
        <v>14.0</v>
      </c>
      <c r="P530" s="939">
        <v>198.0</v>
      </c>
      <c r="Q530" s="939">
        <v>0.0</v>
      </c>
      <c r="R530" s="939">
        <v>0.0</v>
      </c>
      <c r="S530" s="939">
        <v>0.0</v>
      </c>
      <c r="T530" s="939">
        <v>0.0</v>
      </c>
      <c r="U530" s="939">
        <v>0.0</v>
      </c>
      <c r="V530" s="939">
        <v>0.0</v>
      </c>
      <c r="W530" s="939">
        <v>0.0</v>
      </c>
      <c r="X530" s="939">
        <v>7.0</v>
      </c>
      <c r="Y530" s="939">
        <v>3.0</v>
      </c>
      <c r="Z530" s="939">
        <v>1.0</v>
      </c>
      <c r="AA530" s="939">
        <v>0.0</v>
      </c>
      <c r="AB530" s="939">
        <v>0.0</v>
      </c>
      <c r="AC530" s="939">
        <v>0.0</v>
      </c>
      <c r="AD530" s="939">
        <v>0.0</v>
      </c>
      <c r="AE530" s="939">
        <v>0.0</v>
      </c>
      <c r="AF530" s="939">
        <v>0.0</v>
      </c>
      <c r="AG530" s="939">
        <v>0.0</v>
      </c>
      <c r="AH530" s="939">
        <v>1.0</v>
      </c>
      <c r="AI530" s="939">
        <v>0.0</v>
      </c>
      <c r="AJ530" s="939">
        <v>12.0</v>
      </c>
      <c r="AK530" s="939">
        <v>11.0</v>
      </c>
      <c r="AL530" s="939">
        <v>0.0</v>
      </c>
      <c r="AM530" s="940">
        <v>0.0</v>
      </c>
    </row>
    <row r="531">
      <c r="A531" s="935" t="s">
        <v>156</v>
      </c>
      <c r="B531" s="941">
        <v>1.0</v>
      </c>
      <c r="C531" s="941">
        <v>1.0</v>
      </c>
      <c r="D531" s="941">
        <v>0.0</v>
      </c>
      <c r="E531" s="941">
        <v>1.0</v>
      </c>
      <c r="F531" s="941">
        <v>1.0</v>
      </c>
      <c r="G531" s="941">
        <v>65.0</v>
      </c>
      <c r="H531" s="941">
        <v>71.0</v>
      </c>
      <c r="I531" s="941">
        <v>-6.0</v>
      </c>
      <c r="J531" s="941">
        <v>2.0</v>
      </c>
      <c r="K531" s="941">
        <v>7.0</v>
      </c>
      <c r="L531" s="941">
        <v>1.0</v>
      </c>
      <c r="M531" s="941">
        <v>833.0</v>
      </c>
      <c r="N531" s="941">
        <v>1119.0</v>
      </c>
      <c r="O531" s="941">
        <v>11.0</v>
      </c>
      <c r="P531" s="941">
        <v>27.0</v>
      </c>
      <c r="Q531" s="941">
        <v>0.0</v>
      </c>
      <c r="R531" s="941">
        <v>1.0</v>
      </c>
      <c r="S531" s="941">
        <v>0.0</v>
      </c>
      <c r="T531" s="941">
        <v>0.0</v>
      </c>
      <c r="U531" s="941">
        <v>0.0</v>
      </c>
      <c r="V531" s="941">
        <v>1.0</v>
      </c>
      <c r="W531" s="941">
        <v>0.0</v>
      </c>
      <c r="X531" s="941">
        <v>6.0</v>
      </c>
      <c r="Y531" s="941">
        <v>1.0</v>
      </c>
      <c r="Z531" s="941">
        <v>1.0</v>
      </c>
      <c r="AA531" s="941">
        <v>1.0</v>
      </c>
      <c r="AB531" s="941">
        <v>1.0</v>
      </c>
      <c r="AC531" s="941">
        <v>0.0</v>
      </c>
      <c r="AD531" s="941">
        <v>0.0</v>
      </c>
      <c r="AE531" s="941">
        <v>0.0</v>
      </c>
      <c r="AF531" s="941">
        <v>0.0</v>
      </c>
      <c r="AG531" s="941">
        <v>0.0</v>
      </c>
      <c r="AH531" s="941">
        <v>0.0</v>
      </c>
      <c r="AI531" s="941">
        <v>0.0</v>
      </c>
      <c r="AJ531" s="941">
        <v>7.0</v>
      </c>
      <c r="AK531" s="941">
        <v>6.0</v>
      </c>
      <c r="AL531" s="941">
        <v>0.0</v>
      </c>
      <c r="AM531" s="942">
        <v>0.0</v>
      </c>
    </row>
    <row r="532">
      <c r="A532" s="935" t="s">
        <v>419</v>
      </c>
      <c r="B532" s="941">
        <v>1.0</v>
      </c>
      <c r="C532" s="941">
        <v>1.0</v>
      </c>
      <c r="D532" s="941">
        <v>0.0</v>
      </c>
      <c r="E532" s="941">
        <v>1.0</v>
      </c>
      <c r="F532" s="941">
        <v>0.0</v>
      </c>
      <c r="G532" s="941">
        <v>63.0</v>
      </c>
      <c r="H532" s="941">
        <v>67.0</v>
      </c>
      <c r="I532" s="941">
        <v>-4.0</v>
      </c>
      <c r="J532" s="941">
        <v>2.0</v>
      </c>
      <c r="K532" s="941">
        <v>7.0</v>
      </c>
      <c r="L532" s="941">
        <v>0.0</v>
      </c>
      <c r="M532" s="941">
        <v>855.0</v>
      </c>
      <c r="N532" s="941">
        <v>1119.0</v>
      </c>
      <c r="O532" s="941">
        <v>12.0</v>
      </c>
      <c r="P532" s="941">
        <v>21.0</v>
      </c>
      <c r="Q532" s="941">
        <v>0.0</v>
      </c>
      <c r="R532" s="941">
        <v>1.0</v>
      </c>
      <c r="S532" s="941">
        <v>0.0</v>
      </c>
      <c r="T532" s="941">
        <v>0.0</v>
      </c>
      <c r="U532" s="941">
        <v>0.0</v>
      </c>
      <c r="V532" s="941">
        <v>1.0</v>
      </c>
      <c r="W532" s="941">
        <v>0.0</v>
      </c>
      <c r="X532" s="941">
        <v>9.0</v>
      </c>
      <c r="Y532" s="941">
        <v>2.0</v>
      </c>
      <c r="Z532" s="941">
        <v>0.0</v>
      </c>
      <c r="AA532" s="941">
        <v>0.0</v>
      </c>
      <c r="AB532" s="941">
        <v>0.0</v>
      </c>
      <c r="AC532" s="941">
        <v>0.0</v>
      </c>
      <c r="AD532" s="941">
        <v>0.0</v>
      </c>
      <c r="AE532" s="941">
        <v>0.0</v>
      </c>
      <c r="AF532" s="941">
        <v>0.0</v>
      </c>
      <c r="AG532" s="941">
        <v>0.0</v>
      </c>
      <c r="AH532" s="941">
        <v>3.0</v>
      </c>
      <c r="AI532" s="941">
        <v>0.0</v>
      </c>
      <c r="AJ532" s="941">
        <v>4.0</v>
      </c>
      <c r="AK532" s="941">
        <v>6.0</v>
      </c>
      <c r="AL532" s="941">
        <v>1.0</v>
      </c>
      <c r="AM532" s="942">
        <v>0.0</v>
      </c>
    </row>
    <row r="533">
      <c r="A533" s="935" t="s">
        <v>145</v>
      </c>
      <c r="B533" s="941">
        <v>1.0</v>
      </c>
      <c r="C533" s="941">
        <v>1.0</v>
      </c>
      <c r="D533" s="941">
        <v>0.0</v>
      </c>
      <c r="E533" s="941">
        <v>1.0</v>
      </c>
      <c r="F533" s="941">
        <v>1.0</v>
      </c>
      <c r="G533" s="941">
        <v>80.0</v>
      </c>
      <c r="H533" s="941">
        <v>67.0</v>
      </c>
      <c r="I533" s="941">
        <v>13.0</v>
      </c>
      <c r="J533" s="941">
        <v>6.0</v>
      </c>
      <c r="K533" s="941">
        <v>5.0</v>
      </c>
      <c r="L533" s="941">
        <v>1.0</v>
      </c>
      <c r="M533" s="941">
        <v>848.0</v>
      </c>
      <c r="N533" s="941">
        <v>1119.0</v>
      </c>
      <c r="O533" s="941">
        <v>12.0</v>
      </c>
      <c r="P533" s="941">
        <v>17.0</v>
      </c>
      <c r="Q533" s="941">
        <v>0.0</v>
      </c>
      <c r="R533" s="941">
        <v>2.0</v>
      </c>
      <c r="S533" s="941">
        <v>0.0</v>
      </c>
      <c r="T533" s="941">
        <v>0.0</v>
      </c>
      <c r="U533" s="941">
        <v>0.0</v>
      </c>
      <c r="V533" s="941">
        <v>0.0</v>
      </c>
      <c r="W533" s="941">
        <v>0.0</v>
      </c>
      <c r="X533" s="941">
        <v>17.0</v>
      </c>
      <c r="Y533" s="941">
        <v>4.0</v>
      </c>
      <c r="Z533" s="941">
        <v>0.0</v>
      </c>
      <c r="AA533" s="941">
        <v>0.0</v>
      </c>
      <c r="AB533" s="941">
        <v>0.0</v>
      </c>
      <c r="AC533" s="941">
        <v>0.0</v>
      </c>
      <c r="AD533" s="941">
        <v>0.0</v>
      </c>
      <c r="AE533" s="941">
        <v>0.0</v>
      </c>
      <c r="AF533" s="941">
        <v>0.0</v>
      </c>
      <c r="AG533" s="941">
        <v>0.0</v>
      </c>
      <c r="AH533" s="941">
        <v>2.0</v>
      </c>
      <c r="AI533" s="941">
        <v>0.0</v>
      </c>
      <c r="AJ533" s="941">
        <v>9.0</v>
      </c>
      <c r="AK533" s="941">
        <v>13.0</v>
      </c>
      <c r="AL533" s="941">
        <v>0.0</v>
      </c>
      <c r="AM533" s="942">
        <v>0.0</v>
      </c>
    </row>
    <row r="534">
      <c r="A534" s="935" t="s">
        <v>114</v>
      </c>
      <c r="B534" s="941">
        <v>1.0</v>
      </c>
      <c r="C534" s="941">
        <v>0.0</v>
      </c>
      <c r="D534" s="941">
        <v>1.0</v>
      </c>
      <c r="E534" s="941">
        <v>0.0</v>
      </c>
      <c r="F534" s="941">
        <v>18.0</v>
      </c>
      <c r="G534" s="941">
        <v>46.0</v>
      </c>
      <c r="H534" s="941">
        <v>40.0</v>
      </c>
      <c r="I534" s="941">
        <v>6.0</v>
      </c>
      <c r="J534" s="941">
        <v>1.0</v>
      </c>
      <c r="K534" s="941">
        <v>13.0</v>
      </c>
      <c r="L534" s="941">
        <v>1.0</v>
      </c>
      <c r="M534" s="941">
        <v>935.0</v>
      </c>
      <c r="N534" s="941">
        <v>1119.0</v>
      </c>
      <c r="O534" s="941">
        <v>23.0</v>
      </c>
      <c r="P534" s="941">
        <v>629.0</v>
      </c>
      <c r="Q534" s="941">
        <v>0.0</v>
      </c>
      <c r="R534" s="941">
        <v>2.0</v>
      </c>
      <c r="S534" s="941">
        <v>1.0</v>
      </c>
      <c r="T534" s="941">
        <v>0.0</v>
      </c>
      <c r="U534" s="941">
        <v>0.0</v>
      </c>
      <c r="V534" s="941">
        <v>0.0</v>
      </c>
      <c r="W534" s="941">
        <v>0.0</v>
      </c>
      <c r="X534" s="941">
        <v>8.0</v>
      </c>
      <c r="Y534" s="941">
        <v>0.0</v>
      </c>
      <c r="Z534" s="941">
        <v>0.0</v>
      </c>
      <c r="AA534" s="941">
        <v>0.0</v>
      </c>
      <c r="AB534" s="941">
        <v>0.0</v>
      </c>
      <c r="AC534" s="941">
        <v>0.0</v>
      </c>
      <c r="AD534" s="941">
        <v>0.0</v>
      </c>
      <c r="AE534" s="941">
        <v>0.0</v>
      </c>
      <c r="AF534" s="941">
        <v>0.0</v>
      </c>
      <c r="AG534" s="941">
        <v>0.0</v>
      </c>
      <c r="AH534" s="941">
        <v>1.0</v>
      </c>
      <c r="AI534" s="941">
        <v>0.0</v>
      </c>
      <c r="AJ534" s="941">
        <v>9.0</v>
      </c>
      <c r="AK534" s="941">
        <v>5.0</v>
      </c>
      <c r="AL534" s="941">
        <v>3.0</v>
      </c>
      <c r="AM534" s="942">
        <v>1.0</v>
      </c>
    </row>
    <row r="535">
      <c r="A535" s="935" t="s">
        <v>132</v>
      </c>
      <c r="B535" s="941">
        <v>1.0</v>
      </c>
      <c r="C535" s="941">
        <v>0.0</v>
      </c>
      <c r="D535" s="941">
        <v>1.0</v>
      </c>
      <c r="E535" s="941">
        <v>0.0</v>
      </c>
      <c r="F535" s="941">
        <v>0.0</v>
      </c>
      <c r="G535" s="941">
        <v>64.0</v>
      </c>
      <c r="H535" s="941">
        <v>79.0</v>
      </c>
      <c r="I535" s="941">
        <v>-15.0</v>
      </c>
      <c r="J535" s="941">
        <v>8.0</v>
      </c>
      <c r="K535" s="941">
        <v>5.0</v>
      </c>
      <c r="L535" s="941">
        <v>1.0</v>
      </c>
      <c r="M535" s="941">
        <v>822.0</v>
      </c>
      <c r="N535" s="941">
        <v>1119.0</v>
      </c>
      <c r="O535" s="941">
        <v>10.0</v>
      </c>
      <c r="P535" s="941">
        <v>6.0</v>
      </c>
      <c r="Q535" s="941">
        <v>0.0</v>
      </c>
      <c r="R535" s="941">
        <v>1.0</v>
      </c>
      <c r="S535" s="941">
        <v>0.0</v>
      </c>
      <c r="T535" s="941">
        <v>0.0</v>
      </c>
      <c r="U535" s="941">
        <v>0.0</v>
      </c>
      <c r="V535" s="941">
        <v>1.0</v>
      </c>
      <c r="W535" s="941">
        <v>0.0</v>
      </c>
      <c r="X535" s="941">
        <v>13.0</v>
      </c>
      <c r="Y535" s="941">
        <v>3.0</v>
      </c>
      <c r="Z535" s="941">
        <v>2.0</v>
      </c>
      <c r="AA535" s="941">
        <v>0.0</v>
      </c>
      <c r="AB535" s="941">
        <v>0.0</v>
      </c>
      <c r="AC535" s="941">
        <v>0.0</v>
      </c>
      <c r="AD535" s="941">
        <v>0.0</v>
      </c>
      <c r="AE535" s="941">
        <v>0.0</v>
      </c>
      <c r="AF535" s="941">
        <v>0.0</v>
      </c>
      <c r="AG535" s="941">
        <v>0.0</v>
      </c>
      <c r="AH535" s="941">
        <v>4.0</v>
      </c>
      <c r="AI535" s="941">
        <v>0.0</v>
      </c>
      <c r="AJ535" s="941">
        <v>5.0</v>
      </c>
      <c r="AK535" s="941">
        <v>10.0</v>
      </c>
      <c r="AL535" s="941">
        <v>0.0</v>
      </c>
      <c r="AM535" s="942">
        <v>1.0</v>
      </c>
    </row>
    <row r="536">
      <c r="A536" s="935" t="s">
        <v>147</v>
      </c>
      <c r="B536" s="941">
        <v>1.0</v>
      </c>
      <c r="C536" s="941">
        <v>0.0</v>
      </c>
      <c r="D536" s="941">
        <v>1.0</v>
      </c>
      <c r="E536" s="941">
        <v>0.0</v>
      </c>
      <c r="F536" s="941">
        <v>0.0</v>
      </c>
      <c r="G536" s="941">
        <v>61.0</v>
      </c>
      <c r="H536" s="941">
        <v>77.0</v>
      </c>
      <c r="I536" s="941">
        <v>-16.0</v>
      </c>
      <c r="J536" s="941">
        <v>9.0</v>
      </c>
      <c r="K536" s="941">
        <v>6.0</v>
      </c>
      <c r="L536" s="941">
        <v>0.0</v>
      </c>
      <c r="M536" s="941">
        <v>821.0</v>
      </c>
      <c r="N536" s="941">
        <v>1119.0</v>
      </c>
      <c r="O536" s="941">
        <v>10.0</v>
      </c>
      <c r="P536" s="941">
        <v>10.0</v>
      </c>
      <c r="Q536" s="941">
        <v>0.0</v>
      </c>
      <c r="R536" s="941">
        <v>1.0</v>
      </c>
      <c r="S536" s="941">
        <v>0.0</v>
      </c>
      <c r="T536" s="941">
        <v>0.0</v>
      </c>
      <c r="U536" s="941">
        <v>0.0</v>
      </c>
      <c r="V536" s="941">
        <v>1.0</v>
      </c>
      <c r="W536" s="941">
        <v>0.0</v>
      </c>
      <c r="X536" s="941">
        <v>8.0</v>
      </c>
      <c r="Y536" s="941">
        <v>1.0</v>
      </c>
      <c r="Z536" s="941">
        <v>0.0</v>
      </c>
      <c r="AA536" s="941">
        <v>0.0</v>
      </c>
      <c r="AB536" s="941">
        <v>0.0</v>
      </c>
      <c r="AC536" s="941">
        <v>0.0</v>
      </c>
      <c r="AD536" s="941">
        <v>0.0</v>
      </c>
      <c r="AE536" s="941">
        <v>0.0</v>
      </c>
      <c r="AF536" s="941">
        <v>0.0</v>
      </c>
      <c r="AG536" s="941">
        <v>0.0</v>
      </c>
      <c r="AH536" s="941">
        <v>6.0</v>
      </c>
      <c r="AI536" s="941">
        <v>0.0</v>
      </c>
      <c r="AJ536" s="941">
        <v>5.0</v>
      </c>
      <c r="AK536" s="941">
        <v>5.0</v>
      </c>
      <c r="AL536" s="941">
        <v>0.0</v>
      </c>
      <c r="AM536" s="942">
        <v>1.0</v>
      </c>
    </row>
    <row r="537">
      <c r="A537" s="943" t="s">
        <v>136</v>
      </c>
      <c r="B537" s="944">
        <v>1.0</v>
      </c>
      <c r="C537" s="944">
        <v>0.0</v>
      </c>
      <c r="D537" s="944">
        <v>1.0</v>
      </c>
      <c r="E537" s="944">
        <v>0.0</v>
      </c>
      <c r="F537" s="944">
        <v>3.0</v>
      </c>
      <c r="G537" s="944">
        <v>86.0</v>
      </c>
      <c r="H537" s="944">
        <v>92.0</v>
      </c>
      <c r="I537" s="944">
        <v>-6.0</v>
      </c>
      <c r="J537" s="944">
        <v>0.0</v>
      </c>
      <c r="K537" s="944">
        <v>5.0</v>
      </c>
      <c r="L537" s="944">
        <v>1.0</v>
      </c>
      <c r="M537" s="944">
        <v>781.0</v>
      </c>
      <c r="N537" s="944">
        <v>1119.0</v>
      </c>
      <c r="O537" s="944">
        <v>8.0</v>
      </c>
      <c r="P537" s="944">
        <v>50.0</v>
      </c>
      <c r="Q537" s="944">
        <v>0.0</v>
      </c>
      <c r="R537" s="944">
        <v>2.0</v>
      </c>
      <c r="S537" s="944">
        <v>0.0</v>
      </c>
      <c r="T537" s="944">
        <v>0.0</v>
      </c>
      <c r="U537" s="944">
        <v>0.0</v>
      </c>
      <c r="V537" s="944">
        <v>1.0</v>
      </c>
      <c r="W537" s="944">
        <v>0.0</v>
      </c>
      <c r="X537" s="944">
        <v>14.0</v>
      </c>
      <c r="Y537" s="944">
        <v>4.0</v>
      </c>
      <c r="Z537" s="944">
        <v>1.0</v>
      </c>
      <c r="AA537" s="944">
        <v>1.0</v>
      </c>
      <c r="AB537" s="944">
        <v>0.0</v>
      </c>
      <c r="AC537" s="944">
        <v>0.0</v>
      </c>
      <c r="AD537" s="944">
        <v>0.0</v>
      </c>
      <c r="AE537" s="944">
        <v>0.0</v>
      </c>
      <c r="AF537" s="944">
        <v>0.0</v>
      </c>
      <c r="AG537" s="944">
        <v>0.0</v>
      </c>
      <c r="AH537" s="944">
        <v>5.0</v>
      </c>
      <c r="AI537" s="944">
        <v>0.0</v>
      </c>
      <c r="AJ537" s="944">
        <v>11.0</v>
      </c>
      <c r="AK537" s="944">
        <v>6.0</v>
      </c>
      <c r="AL537" s="944">
        <v>1.0</v>
      </c>
      <c r="AM537" s="945">
        <v>1.0</v>
      </c>
    </row>
    <row r="538">
      <c r="A538" s="1" t="s">
        <v>132</v>
      </c>
      <c r="B538" s="941">
        <v>1.0</v>
      </c>
      <c r="C538" s="941">
        <v>1.0</v>
      </c>
      <c r="D538" s="941">
        <v>0.0</v>
      </c>
      <c r="E538" s="941">
        <v>4.0</v>
      </c>
      <c r="F538" s="941">
        <v>16.0</v>
      </c>
      <c r="G538" s="941">
        <v>31.0</v>
      </c>
      <c r="H538" s="941">
        <v>20.0</v>
      </c>
      <c r="I538" s="941">
        <v>11.0</v>
      </c>
      <c r="J538" s="941">
        <v>3.0</v>
      </c>
      <c r="K538" s="941">
        <v>6.0</v>
      </c>
      <c r="L538" s="941">
        <v>0.0</v>
      </c>
      <c r="M538" s="941">
        <v>570.0</v>
      </c>
      <c r="N538" s="941">
        <v>713.0</v>
      </c>
      <c r="O538" s="941">
        <v>28.0</v>
      </c>
      <c r="P538" s="941">
        <v>387.0</v>
      </c>
      <c r="Q538" s="941">
        <v>0.0</v>
      </c>
      <c r="R538" s="941">
        <v>3.0</v>
      </c>
      <c r="S538" s="941">
        <v>0.0</v>
      </c>
      <c r="T538" s="941">
        <v>0.0</v>
      </c>
      <c r="U538" s="941">
        <v>0.0</v>
      </c>
      <c r="V538" s="941">
        <v>0.0</v>
      </c>
      <c r="W538" s="941">
        <v>0.0</v>
      </c>
      <c r="X538" s="941">
        <v>2.0</v>
      </c>
      <c r="Y538" s="941">
        <v>1.0</v>
      </c>
      <c r="Z538" s="941">
        <v>0.0</v>
      </c>
      <c r="AA538" s="941">
        <v>0.0</v>
      </c>
      <c r="AB538" s="941">
        <v>0.0</v>
      </c>
      <c r="AC538" s="941">
        <v>0.0</v>
      </c>
      <c r="AD538" s="941">
        <v>0.0</v>
      </c>
      <c r="AE538" s="941">
        <v>0.0</v>
      </c>
      <c r="AF538" s="941">
        <v>0.0</v>
      </c>
      <c r="AG538" s="941">
        <v>0.0</v>
      </c>
      <c r="AH538" s="941">
        <v>2.0</v>
      </c>
      <c r="AI538" s="941">
        <v>0.0</v>
      </c>
      <c r="AJ538" s="941">
        <v>9.0</v>
      </c>
      <c r="AK538" s="941">
        <v>1.0</v>
      </c>
      <c r="AL538" s="941">
        <v>1.0</v>
      </c>
      <c r="AM538" s="941">
        <v>1.0</v>
      </c>
    </row>
    <row r="539">
      <c r="A539" s="1" t="s">
        <v>136</v>
      </c>
      <c r="B539" s="941">
        <v>1.0</v>
      </c>
      <c r="C539" s="941">
        <v>1.0</v>
      </c>
      <c r="D539" s="941">
        <v>0.0</v>
      </c>
      <c r="E539" s="941">
        <v>1.0</v>
      </c>
      <c r="F539" s="941">
        <v>0.0</v>
      </c>
      <c r="G539" s="941">
        <v>56.0</v>
      </c>
      <c r="H539" s="941">
        <v>51.0</v>
      </c>
      <c r="I539" s="941">
        <v>5.0</v>
      </c>
      <c r="J539" s="941">
        <v>5.0</v>
      </c>
      <c r="K539" s="941">
        <v>5.0</v>
      </c>
      <c r="L539" s="941">
        <v>1.0</v>
      </c>
      <c r="M539" s="941">
        <v>480.0</v>
      </c>
      <c r="N539" s="941">
        <v>713.0</v>
      </c>
      <c r="O539" s="941">
        <v>9.0</v>
      </c>
      <c r="P539" s="941">
        <v>3.0</v>
      </c>
      <c r="Q539" s="941">
        <v>0.0</v>
      </c>
      <c r="R539" s="941">
        <v>2.0</v>
      </c>
      <c r="S539" s="941">
        <v>0.0</v>
      </c>
      <c r="T539" s="941">
        <v>0.0</v>
      </c>
      <c r="U539" s="941">
        <v>0.0</v>
      </c>
      <c r="V539" s="941">
        <v>2.0</v>
      </c>
      <c r="W539" s="941">
        <v>0.0</v>
      </c>
      <c r="X539" s="941">
        <v>12.0</v>
      </c>
      <c r="Y539" s="941">
        <v>4.0</v>
      </c>
      <c r="Z539" s="941">
        <v>1.0</v>
      </c>
      <c r="AA539" s="941">
        <v>0.0</v>
      </c>
      <c r="AB539" s="941">
        <v>0.0</v>
      </c>
      <c r="AC539" s="941">
        <v>0.0</v>
      </c>
      <c r="AD539" s="941">
        <v>0.0</v>
      </c>
      <c r="AE539" s="941">
        <v>0.0</v>
      </c>
      <c r="AF539" s="941">
        <v>0.0</v>
      </c>
      <c r="AG539" s="941">
        <v>0.0</v>
      </c>
      <c r="AH539" s="941">
        <v>4.0</v>
      </c>
      <c r="AI539" s="941">
        <v>0.0</v>
      </c>
      <c r="AJ539" s="941">
        <v>6.0</v>
      </c>
      <c r="AK539" s="941">
        <v>5.0</v>
      </c>
      <c r="AL539" s="941">
        <v>1.0</v>
      </c>
      <c r="AM539" s="941">
        <v>1.0</v>
      </c>
    </row>
    <row r="540">
      <c r="A540" s="1" t="s">
        <v>114</v>
      </c>
      <c r="B540" s="941">
        <v>1.0</v>
      </c>
      <c r="C540" s="941">
        <v>1.0</v>
      </c>
      <c r="D540" s="941">
        <v>0.0</v>
      </c>
      <c r="E540" s="941">
        <v>0.0</v>
      </c>
      <c r="F540" s="941">
        <v>0.0</v>
      </c>
      <c r="G540" s="941">
        <v>51.0</v>
      </c>
      <c r="H540" s="941">
        <v>39.0</v>
      </c>
      <c r="I540" s="941">
        <v>12.0</v>
      </c>
      <c r="J540" s="941">
        <v>4.0</v>
      </c>
      <c r="K540" s="941">
        <v>8.0</v>
      </c>
      <c r="L540" s="941">
        <v>3.0</v>
      </c>
      <c r="M540" s="941">
        <v>517.0</v>
      </c>
      <c r="N540" s="941">
        <v>713.0</v>
      </c>
      <c r="O540" s="941">
        <v>13.0</v>
      </c>
      <c r="P540" s="941">
        <v>1.0</v>
      </c>
      <c r="Q540" s="941">
        <v>0.0</v>
      </c>
      <c r="R540" s="941">
        <v>2.0</v>
      </c>
      <c r="S540" s="941">
        <v>0.0</v>
      </c>
      <c r="T540" s="941">
        <v>0.0</v>
      </c>
      <c r="U540" s="941">
        <v>0.0</v>
      </c>
      <c r="V540" s="941">
        <v>2.0</v>
      </c>
      <c r="W540" s="941">
        <v>0.0</v>
      </c>
      <c r="X540" s="941">
        <v>9.0</v>
      </c>
      <c r="Y540" s="941">
        <v>1.0</v>
      </c>
      <c r="Z540" s="941">
        <v>0.0</v>
      </c>
      <c r="AA540" s="941">
        <v>0.0</v>
      </c>
      <c r="AB540" s="941">
        <v>0.0</v>
      </c>
      <c r="AC540" s="941">
        <v>0.0</v>
      </c>
      <c r="AD540" s="941">
        <v>0.0</v>
      </c>
      <c r="AE540" s="941">
        <v>0.0</v>
      </c>
      <c r="AF540" s="941">
        <v>0.0</v>
      </c>
      <c r="AG540" s="941">
        <v>0.0</v>
      </c>
      <c r="AH540" s="941">
        <v>1.0</v>
      </c>
      <c r="AI540" s="941">
        <v>0.0</v>
      </c>
      <c r="AJ540" s="941">
        <v>5.0</v>
      </c>
      <c r="AK540" s="941">
        <v>5.0</v>
      </c>
      <c r="AL540" s="941">
        <v>1.0</v>
      </c>
      <c r="AM540" s="941">
        <v>1.0</v>
      </c>
    </row>
    <row r="541">
      <c r="A541" s="1" t="s">
        <v>147</v>
      </c>
      <c r="B541" s="941">
        <v>1.0</v>
      </c>
      <c r="C541" s="941">
        <v>1.0</v>
      </c>
      <c r="D541" s="941">
        <v>0.0</v>
      </c>
      <c r="E541" s="941">
        <v>0.0</v>
      </c>
      <c r="F541" s="941">
        <v>0.0</v>
      </c>
      <c r="G541" s="941">
        <v>47.0</v>
      </c>
      <c r="H541" s="941">
        <v>40.0</v>
      </c>
      <c r="I541" s="941">
        <v>7.0</v>
      </c>
      <c r="J541" s="941">
        <v>2.0</v>
      </c>
      <c r="K541" s="941">
        <v>6.0</v>
      </c>
      <c r="L541" s="941">
        <v>0.0</v>
      </c>
      <c r="M541" s="941">
        <v>511.0</v>
      </c>
      <c r="N541" s="941">
        <v>713.0</v>
      </c>
      <c r="O541" s="941">
        <v>12.0</v>
      </c>
      <c r="P541" s="941">
        <v>8.0</v>
      </c>
      <c r="Q541" s="941">
        <v>0.0</v>
      </c>
      <c r="R541" s="941">
        <v>1.0</v>
      </c>
      <c r="S541" s="941">
        <v>0.0</v>
      </c>
      <c r="T541" s="941">
        <v>0.0</v>
      </c>
      <c r="U541" s="941">
        <v>0.0</v>
      </c>
      <c r="V541" s="941">
        <v>1.0</v>
      </c>
      <c r="W541" s="941">
        <v>0.0</v>
      </c>
      <c r="X541" s="941">
        <v>9.0</v>
      </c>
      <c r="Y541" s="941">
        <v>1.0</v>
      </c>
      <c r="Z541" s="941">
        <v>1.0</v>
      </c>
      <c r="AA541" s="941">
        <v>0.0</v>
      </c>
      <c r="AB541" s="941">
        <v>0.0</v>
      </c>
      <c r="AC541" s="941">
        <v>0.0</v>
      </c>
      <c r="AD541" s="941">
        <v>0.0</v>
      </c>
      <c r="AE541" s="941">
        <v>0.0</v>
      </c>
      <c r="AF541" s="941">
        <v>0.0</v>
      </c>
      <c r="AG541" s="941">
        <v>0.0</v>
      </c>
      <c r="AH541" s="941">
        <v>0.0</v>
      </c>
      <c r="AI541" s="941">
        <v>0.0</v>
      </c>
      <c r="AJ541" s="941">
        <v>5.0</v>
      </c>
      <c r="AK541" s="941">
        <v>5.0</v>
      </c>
      <c r="AL541" s="941">
        <v>1.0</v>
      </c>
      <c r="AM541" s="941">
        <v>1.0</v>
      </c>
    </row>
    <row r="542">
      <c r="A542" s="1" t="s">
        <v>150</v>
      </c>
      <c r="B542" s="941">
        <v>1.0</v>
      </c>
      <c r="C542" s="941">
        <v>0.0</v>
      </c>
      <c r="D542" s="941">
        <v>1.0</v>
      </c>
      <c r="E542" s="941">
        <v>1.0</v>
      </c>
      <c r="F542" s="941">
        <v>2.0</v>
      </c>
      <c r="G542" s="941">
        <v>35.0</v>
      </c>
      <c r="H542" s="941">
        <v>52.0</v>
      </c>
      <c r="I542" s="941">
        <v>-17.0</v>
      </c>
      <c r="J542" s="941">
        <v>0.0</v>
      </c>
      <c r="K542" s="941">
        <v>3.0</v>
      </c>
      <c r="L542" s="941">
        <v>0.0</v>
      </c>
      <c r="M542" s="941">
        <v>480.0</v>
      </c>
      <c r="N542" s="941">
        <v>713.0</v>
      </c>
      <c r="O542" s="941">
        <v>9.0</v>
      </c>
      <c r="P542" s="941">
        <v>68.0</v>
      </c>
      <c r="Q542" s="941">
        <v>0.0</v>
      </c>
      <c r="R542" s="941">
        <v>0.0</v>
      </c>
      <c r="S542" s="941">
        <v>0.0</v>
      </c>
      <c r="T542" s="941">
        <v>0.0</v>
      </c>
      <c r="U542" s="941">
        <v>0.0</v>
      </c>
      <c r="V542" s="941">
        <v>0.0</v>
      </c>
      <c r="W542" s="941">
        <v>0.0</v>
      </c>
      <c r="X542" s="941">
        <v>6.0</v>
      </c>
      <c r="Y542" s="941">
        <v>0.0</v>
      </c>
      <c r="Z542" s="941">
        <v>0.0</v>
      </c>
      <c r="AA542" s="941">
        <v>0.0</v>
      </c>
      <c r="AB542" s="941">
        <v>0.0</v>
      </c>
      <c r="AC542" s="941">
        <v>0.0</v>
      </c>
      <c r="AD542" s="941">
        <v>0.0</v>
      </c>
      <c r="AE542" s="941">
        <v>0.0</v>
      </c>
      <c r="AF542" s="941">
        <v>0.0</v>
      </c>
      <c r="AG542" s="941">
        <v>0.0</v>
      </c>
      <c r="AH542" s="941">
        <v>1.0</v>
      </c>
      <c r="AI542" s="941">
        <v>0.0</v>
      </c>
      <c r="AJ542" s="941">
        <v>6.0</v>
      </c>
      <c r="AK542" s="941">
        <v>7.0</v>
      </c>
      <c r="AL542" s="941">
        <v>0.0</v>
      </c>
      <c r="AM542" s="941">
        <v>0.0</v>
      </c>
    </row>
    <row r="543">
      <c r="A543" s="1" t="s">
        <v>117</v>
      </c>
      <c r="B543" s="941">
        <v>1.0</v>
      </c>
      <c r="C543" s="941">
        <v>0.0</v>
      </c>
      <c r="D543" s="941">
        <v>1.0</v>
      </c>
      <c r="E543" s="941">
        <v>0.0</v>
      </c>
      <c r="F543" s="941">
        <v>2.0</v>
      </c>
      <c r="G543" s="941">
        <v>34.0</v>
      </c>
      <c r="H543" s="941">
        <v>39.0</v>
      </c>
      <c r="I543" s="941">
        <v>-5.0</v>
      </c>
      <c r="J543" s="941">
        <v>3.0</v>
      </c>
      <c r="K543" s="941">
        <v>4.0</v>
      </c>
      <c r="L543" s="941">
        <v>2.0</v>
      </c>
      <c r="M543" s="941">
        <v>516.0</v>
      </c>
      <c r="N543" s="941">
        <v>713.0</v>
      </c>
      <c r="O543" s="941">
        <v>13.0</v>
      </c>
      <c r="P543" s="941">
        <v>78.0</v>
      </c>
      <c r="Q543" s="941">
        <v>0.0</v>
      </c>
      <c r="R543" s="941">
        <v>0.0</v>
      </c>
      <c r="S543" s="941">
        <v>0.0</v>
      </c>
      <c r="T543" s="941">
        <v>0.0</v>
      </c>
      <c r="U543" s="941">
        <v>0.0</v>
      </c>
      <c r="V543" s="941">
        <v>0.0</v>
      </c>
      <c r="W543" s="941">
        <v>0.0</v>
      </c>
      <c r="X543" s="941">
        <v>4.0</v>
      </c>
      <c r="Y543" s="941">
        <v>0.0</v>
      </c>
      <c r="Z543" s="941">
        <v>0.0</v>
      </c>
      <c r="AA543" s="941">
        <v>0.0</v>
      </c>
      <c r="AB543" s="941">
        <v>0.0</v>
      </c>
      <c r="AC543" s="941">
        <v>0.0</v>
      </c>
      <c r="AD543" s="941">
        <v>0.0</v>
      </c>
      <c r="AE543" s="941">
        <v>0.0</v>
      </c>
      <c r="AF543" s="941">
        <v>0.0</v>
      </c>
      <c r="AG543" s="941">
        <v>0.0</v>
      </c>
      <c r="AH543" s="941">
        <v>1.0</v>
      </c>
      <c r="AI543" s="941">
        <v>0.0</v>
      </c>
      <c r="AJ543" s="941">
        <v>5.0</v>
      </c>
      <c r="AK543" s="941">
        <v>5.0</v>
      </c>
      <c r="AL543" s="941">
        <v>1.0</v>
      </c>
      <c r="AM543" s="941">
        <v>0.0</v>
      </c>
    </row>
    <row r="544">
      <c r="A544" s="1" t="s">
        <v>128</v>
      </c>
      <c r="B544" s="941">
        <v>1.0</v>
      </c>
      <c r="C544" s="941">
        <v>0.0</v>
      </c>
      <c r="D544" s="941">
        <v>1.0</v>
      </c>
      <c r="E544" s="941">
        <v>0.0</v>
      </c>
      <c r="F544" s="941">
        <v>1.0</v>
      </c>
      <c r="G544" s="941">
        <v>38.0</v>
      </c>
      <c r="H544" s="941">
        <v>52.0</v>
      </c>
      <c r="I544" s="941">
        <v>-14.0</v>
      </c>
      <c r="J544" s="941">
        <v>3.0</v>
      </c>
      <c r="K544" s="941">
        <v>4.0</v>
      </c>
      <c r="L544" s="941">
        <v>2.0</v>
      </c>
      <c r="M544" s="941">
        <v>474.0</v>
      </c>
      <c r="N544" s="941">
        <v>713.0</v>
      </c>
      <c r="O544" s="941">
        <v>9.0</v>
      </c>
      <c r="P544" s="941">
        <v>24.0</v>
      </c>
      <c r="Q544" s="941">
        <v>0.0</v>
      </c>
      <c r="R544" s="941">
        <v>0.0</v>
      </c>
      <c r="S544" s="941">
        <v>0.0</v>
      </c>
      <c r="T544" s="941">
        <v>0.0</v>
      </c>
      <c r="U544" s="941">
        <v>0.0</v>
      </c>
      <c r="V544" s="941">
        <v>0.0</v>
      </c>
      <c r="W544" s="941">
        <v>0.0</v>
      </c>
      <c r="X544" s="941">
        <v>7.0</v>
      </c>
      <c r="Y544" s="941">
        <v>0.0</v>
      </c>
      <c r="Z544" s="941">
        <v>0.0</v>
      </c>
      <c r="AA544" s="941">
        <v>0.0</v>
      </c>
      <c r="AB544" s="941">
        <v>0.0</v>
      </c>
      <c r="AC544" s="941">
        <v>0.0</v>
      </c>
      <c r="AD544" s="941">
        <v>0.0</v>
      </c>
      <c r="AE544" s="941">
        <v>0.0</v>
      </c>
      <c r="AF544" s="941">
        <v>0.0</v>
      </c>
      <c r="AG544" s="941">
        <v>0.0</v>
      </c>
      <c r="AH544" s="941">
        <v>0.0</v>
      </c>
      <c r="AI544" s="941">
        <v>0.0</v>
      </c>
      <c r="AJ544" s="941">
        <v>10.0</v>
      </c>
      <c r="AK544" s="941">
        <v>3.0</v>
      </c>
      <c r="AL544" s="941">
        <v>1.0</v>
      </c>
      <c r="AM544" s="941">
        <v>0.0</v>
      </c>
    </row>
    <row r="545">
      <c r="A545" s="657" t="s">
        <v>139</v>
      </c>
      <c r="B545" s="971">
        <v>1.0</v>
      </c>
      <c r="C545" s="971">
        <v>0.0</v>
      </c>
      <c r="D545" s="971">
        <v>1.0</v>
      </c>
      <c r="E545" s="971">
        <v>0.0</v>
      </c>
      <c r="F545" s="971">
        <v>0.0</v>
      </c>
      <c r="G545" s="971">
        <v>32.0</v>
      </c>
      <c r="H545" s="971">
        <v>54.0</v>
      </c>
      <c r="I545" s="971">
        <v>-22.0</v>
      </c>
      <c r="J545" s="971">
        <v>1.0</v>
      </c>
      <c r="K545" s="971">
        <v>3.0</v>
      </c>
      <c r="L545" s="971">
        <v>0.0</v>
      </c>
      <c r="M545" s="971">
        <v>475.0</v>
      </c>
      <c r="N545" s="971">
        <v>713.0</v>
      </c>
      <c r="O545" s="971">
        <v>8.0</v>
      </c>
      <c r="P545" s="971">
        <v>0.0</v>
      </c>
      <c r="Q545" s="971">
        <v>0.0</v>
      </c>
      <c r="R545" s="971">
        <v>0.0</v>
      </c>
      <c r="S545" s="971">
        <v>0.0</v>
      </c>
      <c r="T545" s="971">
        <v>0.0</v>
      </c>
      <c r="U545" s="971">
        <v>0.0</v>
      </c>
      <c r="V545" s="971">
        <v>0.0</v>
      </c>
      <c r="W545" s="971">
        <v>0.0</v>
      </c>
      <c r="X545" s="971">
        <v>7.0</v>
      </c>
      <c r="Y545" s="971">
        <v>1.0</v>
      </c>
      <c r="Z545" s="971">
        <v>0.0</v>
      </c>
      <c r="AA545" s="971">
        <v>0.0</v>
      </c>
      <c r="AB545" s="971">
        <v>0.0</v>
      </c>
      <c r="AC545" s="971">
        <v>0.0</v>
      </c>
      <c r="AD545" s="971">
        <v>0.0</v>
      </c>
      <c r="AE545" s="971">
        <v>0.0</v>
      </c>
      <c r="AF545" s="971">
        <v>0.0</v>
      </c>
      <c r="AG545" s="971">
        <v>0.0</v>
      </c>
      <c r="AH545" s="971">
        <v>1.0</v>
      </c>
      <c r="AI545" s="971">
        <v>0.0</v>
      </c>
      <c r="AJ545" s="971">
        <v>5.0</v>
      </c>
      <c r="AK545" s="971">
        <v>2.0</v>
      </c>
      <c r="AL545" s="971">
        <v>0.0</v>
      </c>
      <c r="AM545" s="971">
        <v>0.0</v>
      </c>
    </row>
    <row r="546">
      <c r="A546" s="935" t="s">
        <v>154</v>
      </c>
      <c r="B546" s="941">
        <v>1.0</v>
      </c>
      <c r="C546" s="941">
        <v>1.0</v>
      </c>
      <c r="D546" s="941">
        <v>0.0</v>
      </c>
      <c r="E546" s="941">
        <v>3.0</v>
      </c>
      <c r="F546" s="941">
        <v>4.0</v>
      </c>
      <c r="G546" s="941">
        <v>36.0</v>
      </c>
      <c r="H546" s="941">
        <v>61.0</v>
      </c>
      <c r="I546" s="941">
        <v>-25.0</v>
      </c>
      <c r="J546" s="941">
        <v>4.0</v>
      </c>
      <c r="K546" s="941">
        <v>3.0</v>
      </c>
      <c r="L546" s="941">
        <v>0.0</v>
      </c>
      <c r="M546" s="941">
        <v>1324.0</v>
      </c>
      <c r="N546" s="941">
        <v>1576.0</v>
      </c>
      <c r="O546" s="941">
        <v>21.0</v>
      </c>
      <c r="P546" s="941">
        <v>474.0</v>
      </c>
      <c r="Q546" s="941">
        <v>0.0</v>
      </c>
      <c r="R546" s="941">
        <v>0.0</v>
      </c>
      <c r="S546" s="941">
        <v>0.0</v>
      </c>
      <c r="T546" s="941">
        <v>0.0</v>
      </c>
      <c r="U546" s="941">
        <v>0.0</v>
      </c>
      <c r="V546" s="941">
        <v>0.0</v>
      </c>
      <c r="W546" s="941">
        <v>0.0</v>
      </c>
      <c r="X546" s="941">
        <v>3.0</v>
      </c>
      <c r="Y546" s="941">
        <v>1.0</v>
      </c>
      <c r="Z546" s="941">
        <v>0.0</v>
      </c>
      <c r="AA546" s="941">
        <v>0.0</v>
      </c>
      <c r="AB546" s="941">
        <v>0.0</v>
      </c>
      <c r="AC546" s="941">
        <v>0.0</v>
      </c>
      <c r="AD546" s="941">
        <v>0.0</v>
      </c>
      <c r="AE546" s="941">
        <v>0.0</v>
      </c>
      <c r="AF546" s="941">
        <v>0.0</v>
      </c>
      <c r="AG546" s="941">
        <v>0.0</v>
      </c>
      <c r="AH546" s="941">
        <v>1.0</v>
      </c>
      <c r="AI546" s="941">
        <v>0.0</v>
      </c>
      <c r="AJ546" s="941">
        <v>12.0</v>
      </c>
      <c r="AK546" s="941">
        <v>4.0</v>
      </c>
      <c r="AL546" s="941">
        <v>1.0</v>
      </c>
      <c r="AM546" s="942">
        <v>0.0</v>
      </c>
    </row>
    <row r="547">
      <c r="A547" s="935" t="s">
        <v>514</v>
      </c>
      <c r="B547" s="941">
        <v>1.0</v>
      </c>
      <c r="C547" s="941">
        <v>1.0</v>
      </c>
      <c r="D547" s="941">
        <v>0.0</v>
      </c>
      <c r="E547" s="941">
        <v>1.0</v>
      </c>
      <c r="F547" s="941">
        <v>0.0</v>
      </c>
      <c r="G547" s="941">
        <v>98.0</v>
      </c>
      <c r="H547" s="941">
        <v>104.0</v>
      </c>
      <c r="I547" s="941">
        <v>-6.0</v>
      </c>
      <c r="J547" s="941">
        <v>9.0</v>
      </c>
      <c r="K547" s="941">
        <v>5.0</v>
      </c>
      <c r="L547" s="941">
        <v>3.0</v>
      </c>
      <c r="M547" s="941">
        <v>1202.0</v>
      </c>
      <c r="N547" s="941">
        <v>1576.0</v>
      </c>
      <c r="O547" s="941">
        <v>11.0</v>
      </c>
      <c r="P547" s="941">
        <v>0.0</v>
      </c>
      <c r="Q547" s="941">
        <v>0.0</v>
      </c>
      <c r="R547" s="941">
        <v>1.0</v>
      </c>
      <c r="S547" s="941">
        <v>0.0</v>
      </c>
      <c r="T547" s="941">
        <v>0.0</v>
      </c>
      <c r="U547" s="941">
        <v>0.0</v>
      </c>
      <c r="V547" s="941">
        <v>1.0</v>
      </c>
      <c r="W547" s="941">
        <v>0.0</v>
      </c>
      <c r="X547" s="941">
        <v>17.0</v>
      </c>
      <c r="Y547" s="941">
        <v>3.0</v>
      </c>
      <c r="Z547" s="941">
        <v>0.0</v>
      </c>
      <c r="AA547" s="941">
        <v>0.0</v>
      </c>
      <c r="AB547" s="941">
        <v>0.0</v>
      </c>
      <c r="AC547" s="941">
        <v>0.0</v>
      </c>
      <c r="AD547" s="941">
        <v>0.0</v>
      </c>
      <c r="AE547" s="941">
        <v>0.0</v>
      </c>
      <c r="AF547" s="941">
        <v>0.0</v>
      </c>
      <c r="AG547" s="941">
        <v>0.0</v>
      </c>
      <c r="AH547" s="941">
        <v>1.0</v>
      </c>
      <c r="AI547" s="941">
        <v>0.0</v>
      </c>
      <c r="AJ547" s="941">
        <v>4.0</v>
      </c>
      <c r="AK547" s="941">
        <v>14.0</v>
      </c>
      <c r="AL547" s="941">
        <v>0.0</v>
      </c>
      <c r="AM547" s="942">
        <v>0.0</v>
      </c>
    </row>
    <row r="548">
      <c r="A548" s="935" t="s">
        <v>121</v>
      </c>
      <c r="B548" s="941">
        <v>1.0</v>
      </c>
      <c r="C548" s="941">
        <v>1.0</v>
      </c>
      <c r="D548" s="941">
        <v>0.0</v>
      </c>
      <c r="E548" s="941">
        <v>1.0</v>
      </c>
      <c r="F548" s="941">
        <v>1.0</v>
      </c>
      <c r="G548" s="941">
        <v>100.0</v>
      </c>
      <c r="H548" s="941">
        <v>71.0</v>
      </c>
      <c r="I548" s="941">
        <v>29.0</v>
      </c>
      <c r="J548" s="941">
        <v>7.0</v>
      </c>
      <c r="K548" s="941">
        <v>7.0</v>
      </c>
      <c r="L548" s="941">
        <v>0.0</v>
      </c>
      <c r="M548" s="941">
        <v>1298.0</v>
      </c>
      <c r="N548" s="941">
        <v>1576.0</v>
      </c>
      <c r="O548" s="941">
        <v>18.0</v>
      </c>
      <c r="P548" s="941">
        <v>77.0</v>
      </c>
      <c r="Q548" s="941">
        <v>0.0</v>
      </c>
      <c r="R548" s="941">
        <v>2.0</v>
      </c>
      <c r="S548" s="941">
        <v>0.0</v>
      </c>
      <c r="T548" s="941">
        <v>0.0</v>
      </c>
      <c r="U548" s="941">
        <v>0.0</v>
      </c>
      <c r="V548" s="941">
        <v>2.0</v>
      </c>
      <c r="W548" s="941">
        <v>0.0</v>
      </c>
      <c r="X548" s="941">
        <v>16.0</v>
      </c>
      <c r="Y548" s="941">
        <v>1.0</v>
      </c>
      <c r="Z548" s="941">
        <v>0.0</v>
      </c>
      <c r="AA548" s="941">
        <v>0.0</v>
      </c>
      <c r="AB548" s="941">
        <v>0.0</v>
      </c>
      <c r="AC548" s="941">
        <v>0.0</v>
      </c>
      <c r="AD548" s="941">
        <v>0.0</v>
      </c>
      <c r="AE548" s="941">
        <v>0.0</v>
      </c>
      <c r="AF548" s="941">
        <v>0.0</v>
      </c>
      <c r="AG548" s="941">
        <v>0.0</v>
      </c>
      <c r="AH548" s="941">
        <v>3.0</v>
      </c>
      <c r="AI548" s="941">
        <v>0.0</v>
      </c>
      <c r="AJ548" s="941">
        <v>12.0</v>
      </c>
      <c r="AK548" s="941">
        <v>16.0</v>
      </c>
      <c r="AL548" s="941">
        <v>0.0</v>
      </c>
      <c r="AM548" s="942">
        <v>0.0</v>
      </c>
    </row>
    <row r="549">
      <c r="A549" s="935" t="s">
        <v>132</v>
      </c>
      <c r="B549" s="941">
        <v>1.0</v>
      </c>
      <c r="C549" s="941">
        <v>1.0</v>
      </c>
      <c r="D549" s="941">
        <v>0.0</v>
      </c>
      <c r="E549" s="941">
        <v>0.0</v>
      </c>
      <c r="F549" s="941">
        <v>8.0</v>
      </c>
      <c r="G549" s="941">
        <v>87.0</v>
      </c>
      <c r="H549" s="941">
        <v>69.0</v>
      </c>
      <c r="I549" s="941">
        <v>18.0</v>
      </c>
      <c r="J549" s="941">
        <v>3.0</v>
      </c>
      <c r="K549" s="941">
        <v>6.0</v>
      </c>
      <c r="L549" s="941">
        <v>4.0</v>
      </c>
      <c r="M549" s="941">
        <v>1304.0</v>
      </c>
      <c r="N549" s="941">
        <v>1576.0</v>
      </c>
      <c r="O549" s="941">
        <v>18.0</v>
      </c>
      <c r="P549" s="941">
        <v>340.0</v>
      </c>
      <c r="Q549" s="941">
        <v>0.0</v>
      </c>
      <c r="R549" s="941">
        <v>5.0</v>
      </c>
      <c r="S549" s="941">
        <v>0.0</v>
      </c>
      <c r="T549" s="941">
        <v>0.0</v>
      </c>
      <c r="U549" s="941">
        <v>0.0</v>
      </c>
      <c r="V549" s="941">
        <v>3.0</v>
      </c>
      <c r="W549" s="941">
        <v>0.0</v>
      </c>
      <c r="X549" s="941">
        <v>16.0</v>
      </c>
      <c r="Y549" s="941">
        <v>2.0</v>
      </c>
      <c r="Z549" s="941">
        <v>1.0</v>
      </c>
      <c r="AA549" s="941">
        <v>0.0</v>
      </c>
      <c r="AB549" s="941">
        <v>0.0</v>
      </c>
      <c r="AC549" s="941">
        <v>0.0</v>
      </c>
      <c r="AD549" s="941">
        <v>0.0</v>
      </c>
      <c r="AE549" s="941">
        <v>0.0</v>
      </c>
      <c r="AF549" s="941">
        <v>0.0</v>
      </c>
      <c r="AG549" s="941">
        <v>0.0</v>
      </c>
      <c r="AH549" s="941">
        <v>2.0</v>
      </c>
      <c r="AI549" s="941">
        <v>0.0</v>
      </c>
      <c r="AJ549" s="941">
        <v>9.0</v>
      </c>
      <c r="AK549" s="941">
        <v>11.0</v>
      </c>
      <c r="AL549" s="941">
        <v>1.0</v>
      </c>
      <c r="AM549" s="942">
        <v>0.0</v>
      </c>
    </row>
    <row r="550">
      <c r="A550" s="935" t="s">
        <v>129</v>
      </c>
      <c r="B550" s="941">
        <v>1.0</v>
      </c>
      <c r="C550" s="941">
        <v>0.0</v>
      </c>
      <c r="D550" s="941">
        <v>1.0</v>
      </c>
      <c r="E550" s="941">
        <v>0.0</v>
      </c>
      <c r="F550" s="941">
        <v>0.0</v>
      </c>
      <c r="G550" s="941">
        <v>100.0</v>
      </c>
      <c r="H550" s="941">
        <v>91.0</v>
      </c>
      <c r="I550" s="941">
        <v>9.0</v>
      </c>
      <c r="J550" s="941">
        <v>8.0</v>
      </c>
      <c r="K550" s="941">
        <v>7.0</v>
      </c>
      <c r="L550" s="941">
        <v>2.0</v>
      </c>
      <c r="M550" s="941">
        <v>1240.0</v>
      </c>
      <c r="N550" s="941">
        <v>1576.0</v>
      </c>
      <c r="O550" s="941">
        <v>13.0</v>
      </c>
      <c r="P550" s="941">
        <v>30.0</v>
      </c>
      <c r="Q550" s="941">
        <v>0.0</v>
      </c>
      <c r="R550" s="941">
        <v>2.0</v>
      </c>
      <c r="S550" s="941">
        <v>0.0</v>
      </c>
      <c r="T550" s="941">
        <v>0.0</v>
      </c>
      <c r="U550" s="941">
        <v>0.0</v>
      </c>
      <c r="V550" s="941">
        <v>2.0</v>
      </c>
      <c r="W550" s="941">
        <v>0.0</v>
      </c>
      <c r="X550" s="941">
        <v>13.0</v>
      </c>
      <c r="Y550" s="941">
        <v>3.0</v>
      </c>
      <c r="Z550" s="941">
        <v>1.0</v>
      </c>
      <c r="AA550" s="941">
        <v>1.0</v>
      </c>
      <c r="AB550" s="941">
        <v>0.0</v>
      </c>
      <c r="AC550" s="941">
        <v>0.0</v>
      </c>
      <c r="AD550" s="941">
        <v>0.0</v>
      </c>
      <c r="AE550" s="941">
        <v>0.0</v>
      </c>
      <c r="AF550" s="941">
        <v>0.0</v>
      </c>
      <c r="AG550" s="941">
        <v>0.0</v>
      </c>
      <c r="AH550" s="941">
        <v>3.0</v>
      </c>
      <c r="AI550" s="941">
        <v>0.0</v>
      </c>
      <c r="AJ550" s="941">
        <v>9.0</v>
      </c>
      <c r="AK550" s="941">
        <v>9.0</v>
      </c>
      <c r="AL550" s="941">
        <v>1.0</v>
      </c>
      <c r="AM550" s="942">
        <v>1.0</v>
      </c>
    </row>
    <row r="551">
      <c r="A551" s="935" t="s">
        <v>151</v>
      </c>
      <c r="B551" s="941">
        <v>1.0</v>
      </c>
      <c r="C551" s="941">
        <v>0.0</v>
      </c>
      <c r="D551" s="941">
        <v>1.0</v>
      </c>
      <c r="E551" s="941">
        <v>0.0</v>
      </c>
      <c r="F551" s="941">
        <v>1.0</v>
      </c>
      <c r="G551" s="941">
        <v>74.0</v>
      </c>
      <c r="H551" s="941">
        <v>78.0</v>
      </c>
      <c r="I551" s="941">
        <v>-4.0</v>
      </c>
      <c r="J551" s="941">
        <v>6.0</v>
      </c>
      <c r="K551" s="941">
        <v>6.0</v>
      </c>
      <c r="L551" s="941">
        <v>1.0</v>
      </c>
      <c r="M551" s="941">
        <v>1281.0</v>
      </c>
      <c r="N551" s="941">
        <v>1576.0</v>
      </c>
      <c r="O551" s="941">
        <v>16.0</v>
      </c>
      <c r="P551" s="941">
        <v>0.0</v>
      </c>
      <c r="Q551" s="941">
        <v>0.0</v>
      </c>
      <c r="R551" s="941">
        <v>1.0</v>
      </c>
      <c r="S551" s="941">
        <v>0.0</v>
      </c>
      <c r="T551" s="941">
        <v>0.0</v>
      </c>
      <c r="U551" s="941">
        <v>0.0</v>
      </c>
      <c r="V551" s="941">
        <v>1.0</v>
      </c>
      <c r="W551" s="941">
        <v>0.0</v>
      </c>
      <c r="X551" s="941">
        <v>11.0</v>
      </c>
      <c r="Y551" s="941">
        <v>1.0</v>
      </c>
      <c r="Z551" s="941">
        <v>0.0</v>
      </c>
      <c r="AA551" s="941">
        <v>0.0</v>
      </c>
      <c r="AB551" s="941">
        <v>0.0</v>
      </c>
      <c r="AC551" s="941">
        <v>0.0</v>
      </c>
      <c r="AD551" s="941">
        <v>0.0</v>
      </c>
      <c r="AE551" s="941">
        <v>0.0</v>
      </c>
      <c r="AF551" s="941">
        <v>0.0</v>
      </c>
      <c r="AG551" s="941">
        <v>0.0</v>
      </c>
      <c r="AH551" s="941">
        <v>5.0</v>
      </c>
      <c r="AI551" s="941">
        <v>0.0</v>
      </c>
      <c r="AJ551" s="941">
        <v>14.0</v>
      </c>
      <c r="AK551" s="941">
        <v>9.0</v>
      </c>
      <c r="AL551" s="941">
        <v>1.0</v>
      </c>
      <c r="AM551" s="942">
        <v>1.0</v>
      </c>
    </row>
    <row r="552">
      <c r="A552" s="935" t="s">
        <v>140</v>
      </c>
      <c r="B552" s="941">
        <v>1.0</v>
      </c>
      <c r="C552" s="941">
        <v>0.0</v>
      </c>
      <c r="D552" s="941">
        <v>1.0</v>
      </c>
      <c r="E552" s="941">
        <v>0.0</v>
      </c>
      <c r="F552" s="941">
        <v>0.0</v>
      </c>
      <c r="G552" s="941">
        <v>58.0</v>
      </c>
      <c r="H552" s="941">
        <v>90.0</v>
      </c>
      <c r="I552" s="941">
        <v>-32.0</v>
      </c>
      <c r="J552" s="941">
        <v>8.0</v>
      </c>
      <c r="K552" s="941">
        <v>4.0</v>
      </c>
      <c r="L552" s="941">
        <v>1.0</v>
      </c>
      <c r="M552" s="941">
        <v>1244.0</v>
      </c>
      <c r="N552" s="941">
        <v>1576.0</v>
      </c>
      <c r="O552" s="941">
        <v>13.0</v>
      </c>
      <c r="P552" s="941">
        <v>4.0</v>
      </c>
      <c r="Q552" s="941">
        <v>0.0</v>
      </c>
      <c r="R552" s="941">
        <v>0.0</v>
      </c>
      <c r="S552" s="941">
        <v>0.0</v>
      </c>
      <c r="T552" s="941">
        <v>0.0</v>
      </c>
      <c r="U552" s="941">
        <v>0.0</v>
      </c>
      <c r="V552" s="941">
        <v>0.0</v>
      </c>
      <c r="W552" s="941">
        <v>0.0</v>
      </c>
      <c r="X552" s="941">
        <v>9.0</v>
      </c>
      <c r="Y552" s="941">
        <v>0.0</v>
      </c>
      <c r="Z552" s="941">
        <v>0.0</v>
      </c>
      <c r="AA552" s="941">
        <v>0.0</v>
      </c>
      <c r="AB552" s="941">
        <v>0.0</v>
      </c>
      <c r="AC552" s="941">
        <v>0.0</v>
      </c>
      <c r="AD552" s="941">
        <v>0.0</v>
      </c>
      <c r="AE552" s="941">
        <v>0.0</v>
      </c>
      <c r="AF552" s="941">
        <v>0.0</v>
      </c>
      <c r="AG552" s="941">
        <v>0.0</v>
      </c>
      <c r="AH552" s="941">
        <v>1.0</v>
      </c>
      <c r="AI552" s="941">
        <v>0.0</v>
      </c>
      <c r="AJ552" s="941">
        <v>4.0</v>
      </c>
      <c r="AK552" s="941">
        <v>7.0</v>
      </c>
      <c r="AL552" s="941">
        <v>0.0</v>
      </c>
      <c r="AM552" s="942">
        <v>1.0</v>
      </c>
    </row>
    <row r="553">
      <c r="A553" s="943" t="s">
        <v>118</v>
      </c>
      <c r="B553" s="944">
        <v>1.0</v>
      </c>
      <c r="C553" s="944">
        <v>0.0</v>
      </c>
      <c r="D553" s="944">
        <v>1.0</v>
      </c>
      <c r="E553" s="944">
        <v>0.0</v>
      </c>
      <c r="F553" s="944">
        <v>11.0</v>
      </c>
      <c r="G553" s="944">
        <v>60.0</v>
      </c>
      <c r="H553" s="944">
        <v>74.0</v>
      </c>
      <c r="I553" s="944">
        <v>-14.0</v>
      </c>
      <c r="J553" s="944">
        <v>4.0</v>
      </c>
      <c r="K553" s="944">
        <v>4.0</v>
      </c>
      <c r="L553" s="944">
        <v>0.0</v>
      </c>
      <c r="M553" s="944">
        <v>1292.0</v>
      </c>
      <c r="N553" s="944">
        <v>1576.0</v>
      </c>
      <c r="O553" s="944">
        <v>17.0</v>
      </c>
      <c r="P553" s="944">
        <v>502.0</v>
      </c>
      <c r="Q553" s="944">
        <v>0.0</v>
      </c>
      <c r="R553" s="944">
        <v>0.0</v>
      </c>
      <c r="S553" s="944">
        <v>0.0</v>
      </c>
      <c r="T553" s="944">
        <v>0.0</v>
      </c>
      <c r="U553" s="944">
        <v>0.0</v>
      </c>
      <c r="V553" s="944">
        <v>0.0</v>
      </c>
      <c r="W553" s="944">
        <v>0.0</v>
      </c>
      <c r="X553" s="944">
        <v>5.0</v>
      </c>
      <c r="Y553" s="944">
        <v>0.0</v>
      </c>
      <c r="Z553" s="944">
        <v>0.0</v>
      </c>
      <c r="AA553" s="944">
        <v>0.0</v>
      </c>
      <c r="AB553" s="944">
        <v>0.0</v>
      </c>
      <c r="AC553" s="944">
        <v>0.0</v>
      </c>
      <c r="AD553" s="944">
        <v>0.0</v>
      </c>
      <c r="AE553" s="944">
        <v>0.0</v>
      </c>
      <c r="AF553" s="944">
        <v>0.0</v>
      </c>
      <c r="AG553" s="944">
        <v>0.0</v>
      </c>
      <c r="AH553" s="944">
        <v>2.0</v>
      </c>
      <c r="AI553" s="944">
        <v>0.0</v>
      </c>
      <c r="AJ553" s="944">
        <v>6.0</v>
      </c>
      <c r="AK553" s="944">
        <v>13.0</v>
      </c>
      <c r="AL553" s="944">
        <v>1.0</v>
      </c>
      <c r="AM553" s="945">
        <v>1.0</v>
      </c>
    </row>
    <row r="554">
      <c r="A554" s="946" t="s">
        <v>154</v>
      </c>
      <c r="B554" s="939">
        <v>1.0</v>
      </c>
      <c r="C554" s="939">
        <v>1.0</v>
      </c>
      <c r="D554" s="939">
        <v>0.0</v>
      </c>
      <c r="E554" s="939">
        <v>3.0</v>
      </c>
      <c r="F554" s="939">
        <v>9.0</v>
      </c>
      <c r="G554" s="939">
        <v>20.0</v>
      </c>
      <c r="H554" s="939">
        <v>18.0</v>
      </c>
      <c r="I554" s="939">
        <v>2.0</v>
      </c>
      <c r="J554" s="939">
        <v>0.0</v>
      </c>
      <c r="K554" s="939">
        <v>4.0</v>
      </c>
      <c r="L554" s="939">
        <v>0.0</v>
      </c>
      <c r="M554" s="939">
        <v>803.0</v>
      </c>
      <c r="N554" s="939">
        <v>925.0</v>
      </c>
      <c r="O554" s="939">
        <v>44.0</v>
      </c>
      <c r="P554" s="939">
        <v>611.0</v>
      </c>
      <c r="Q554" s="939">
        <v>0.0</v>
      </c>
      <c r="R554" s="939">
        <v>0.0</v>
      </c>
      <c r="S554" s="939">
        <v>0.0</v>
      </c>
      <c r="T554" s="939">
        <v>0.0</v>
      </c>
      <c r="U554" s="939">
        <v>0.0</v>
      </c>
      <c r="V554" s="939">
        <v>0.0</v>
      </c>
      <c r="W554" s="939">
        <v>0.0</v>
      </c>
      <c r="X554" s="939">
        <v>1.0</v>
      </c>
      <c r="Y554" s="939">
        <v>0.0</v>
      </c>
      <c r="Z554" s="939">
        <v>0.0</v>
      </c>
      <c r="AA554" s="939">
        <v>0.0</v>
      </c>
      <c r="AB554" s="939">
        <v>0.0</v>
      </c>
      <c r="AC554" s="939">
        <v>0.0</v>
      </c>
      <c r="AD554" s="939">
        <v>0.0</v>
      </c>
      <c r="AE554" s="939">
        <v>0.0</v>
      </c>
      <c r="AF554" s="939">
        <v>0.0</v>
      </c>
      <c r="AG554" s="939">
        <v>0.0</v>
      </c>
      <c r="AH554" s="939">
        <v>0.0</v>
      </c>
      <c r="AI554" s="939">
        <v>0.0</v>
      </c>
      <c r="AJ554" s="939">
        <v>3.0</v>
      </c>
      <c r="AK554" s="939">
        <v>4.0</v>
      </c>
      <c r="AL554" s="939">
        <v>0.0</v>
      </c>
      <c r="AM554" s="940">
        <v>0.0</v>
      </c>
    </row>
    <row r="555">
      <c r="A555" s="935" t="s">
        <v>121</v>
      </c>
      <c r="B555" s="941">
        <v>1.0</v>
      </c>
      <c r="C555" s="941">
        <v>1.0</v>
      </c>
      <c r="D555" s="941">
        <v>0.0</v>
      </c>
      <c r="E555" s="941">
        <v>2.0</v>
      </c>
      <c r="F555" s="941">
        <v>1.0</v>
      </c>
      <c r="G555" s="941">
        <v>65.0</v>
      </c>
      <c r="H555" s="941">
        <v>39.0</v>
      </c>
      <c r="I555" s="941">
        <v>26.0</v>
      </c>
      <c r="J555" s="941">
        <v>5.0</v>
      </c>
      <c r="K555" s="941">
        <v>7.0</v>
      </c>
      <c r="L555" s="941">
        <v>1.0</v>
      </c>
      <c r="M555" s="941">
        <v>742.0</v>
      </c>
      <c r="N555" s="941">
        <v>925.0</v>
      </c>
      <c r="O555" s="941">
        <v>19.0</v>
      </c>
      <c r="P555" s="941">
        <v>30.0</v>
      </c>
      <c r="Q555" s="941">
        <v>0.0</v>
      </c>
      <c r="R555" s="941">
        <v>3.0</v>
      </c>
      <c r="S555" s="941">
        <v>0.0</v>
      </c>
      <c r="T555" s="941">
        <v>0.0</v>
      </c>
      <c r="U555" s="941">
        <v>0.0</v>
      </c>
      <c r="V555" s="941">
        <v>3.0</v>
      </c>
      <c r="W555" s="941">
        <v>0.0</v>
      </c>
      <c r="X555" s="941">
        <v>15.0</v>
      </c>
      <c r="Y555" s="941">
        <v>2.0</v>
      </c>
      <c r="Z555" s="941">
        <v>0.0</v>
      </c>
      <c r="AA555" s="941">
        <v>0.0</v>
      </c>
      <c r="AB555" s="941">
        <v>0.0</v>
      </c>
      <c r="AC555" s="941">
        <v>0.0</v>
      </c>
      <c r="AD555" s="941">
        <v>0.0</v>
      </c>
      <c r="AE555" s="941">
        <v>0.0</v>
      </c>
      <c r="AF555" s="941">
        <v>0.0</v>
      </c>
      <c r="AG555" s="941">
        <v>0.0</v>
      </c>
      <c r="AH555" s="941">
        <v>2.0</v>
      </c>
      <c r="AI555" s="941">
        <v>0.0</v>
      </c>
      <c r="AJ555" s="941">
        <v>7.0</v>
      </c>
      <c r="AK555" s="941">
        <v>1.0</v>
      </c>
      <c r="AL555" s="941">
        <v>0.0</v>
      </c>
      <c r="AM555" s="942">
        <v>0.0</v>
      </c>
    </row>
    <row r="556">
      <c r="A556" s="935" t="s">
        <v>132</v>
      </c>
      <c r="B556" s="941">
        <v>1.0</v>
      </c>
      <c r="C556" s="941">
        <v>1.0</v>
      </c>
      <c r="D556" s="941">
        <v>0.0</v>
      </c>
      <c r="E556" s="941">
        <v>0.0</v>
      </c>
      <c r="F556" s="941">
        <v>0.0</v>
      </c>
      <c r="G556" s="941">
        <v>55.0</v>
      </c>
      <c r="H556" s="941">
        <v>46.0</v>
      </c>
      <c r="I556" s="941">
        <v>9.0</v>
      </c>
      <c r="J556" s="941">
        <v>5.0</v>
      </c>
      <c r="K556" s="941">
        <v>6.0</v>
      </c>
      <c r="L556" s="941">
        <v>2.0</v>
      </c>
      <c r="M556" s="941">
        <v>724.0</v>
      </c>
      <c r="N556" s="941">
        <v>925.0</v>
      </c>
      <c r="O556" s="941">
        <v>15.0</v>
      </c>
      <c r="P556" s="941">
        <v>10.0</v>
      </c>
      <c r="Q556" s="941">
        <v>0.0</v>
      </c>
      <c r="R556" s="941">
        <v>1.0</v>
      </c>
      <c r="S556" s="941">
        <v>0.0</v>
      </c>
      <c r="T556" s="941">
        <v>0.0</v>
      </c>
      <c r="U556" s="941">
        <v>0.0</v>
      </c>
      <c r="V556" s="941">
        <v>1.0</v>
      </c>
      <c r="W556" s="941">
        <v>0.0</v>
      </c>
      <c r="X556" s="941">
        <v>7.0</v>
      </c>
      <c r="Y556" s="941">
        <v>2.0</v>
      </c>
      <c r="Z556" s="941">
        <v>0.0</v>
      </c>
      <c r="AA556" s="941">
        <v>0.0</v>
      </c>
      <c r="AB556" s="941">
        <v>0.0</v>
      </c>
      <c r="AC556" s="941">
        <v>0.0</v>
      </c>
      <c r="AD556" s="941">
        <v>0.0</v>
      </c>
      <c r="AE556" s="941">
        <v>0.0</v>
      </c>
      <c r="AF556" s="941">
        <v>0.0</v>
      </c>
      <c r="AG556" s="941">
        <v>0.0</v>
      </c>
      <c r="AH556" s="941">
        <v>3.0</v>
      </c>
      <c r="AI556" s="941">
        <v>0.0</v>
      </c>
      <c r="AJ556" s="941">
        <v>8.0</v>
      </c>
      <c r="AK556" s="941">
        <v>6.0</v>
      </c>
      <c r="AL556" s="941">
        <v>0.0</v>
      </c>
      <c r="AM556" s="942">
        <v>0.0</v>
      </c>
    </row>
    <row r="557">
      <c r="A557" s="935" t="s">
        <v>514</v>
      </c>
      <c r="B557" s="941">
        <v>1.0</v>
      </c>
      <c r="C557" s="941">
        <v>1.0</v>
      </c>
      <c r="D557" s="941">
        <v>0.0</v>
      </c>
      <c r="E557" s="941">
        <v>0.0</v>
      </c>
      <c r="F557" s="941">
        <v>0.0</v>
      </c>
      <c r="G557" s="941">
        <v>61.0</v>
      </c>
      <c r="H557" s="941">
        <v>63.0</v>
      </c>
      <c r="I557" s="941">
        <v>-2.0</v>
      </c>
      <c r="J557" s="941">
        <v>5.0</v>
      </c>
      <c r="K557" s="941">
        <v>5.0</v>
      </c>
      <c r="L557" s="941">
        <v>0.0</v>
      </c>
      <c r="M557" s="941">
        <v>670.0</v>
      </c>
      <c r="N557" s="941">
        <v>925.0</v>
      </c>
      <c r="O557" s="941">
        <v>10.0</v>
      </c>
      <c r="P557" s="941">
        <v>4.0</v>
      </c>
      <c r="Q557" s="941">
        <v>0.0</v>
      </c>
      <c r="R557" s="941">
        <v>1.0</v>
      </c>
      <c r="S557" s="941">
        <v>0.0</v>
      </c>
      <c r="T557" s="941">
        <v>0.0</v>
      </c>
      <c r="U557" s="941">
        <v>0.0</v>
      </c>
      <c r="V557" s="941">
        <v>1.0</v>
      </c>
      <c r="W557" s="941">
        <v>0.0</v>
      </c>
      <c r="X557" s="941">
        <v>12.0</v>
      </c>
      <c r="Y557" s="941">
        <v>1.0</v>
      </c>
      <c r="Z557" s="941">
        <v>0.0</v>
      </c>
      <c r="AA557" s="941">
        <v>0.0</v>
      </c>
      <c r="AB557" s="941">
        <v>0.0</v>
      </c>
      <c r="AC557" s="941">
        <v>0.0</v>
      </c>
      <c r="AD557" s="941">
        <v>0.0</v>
      </c>
      <c r="AE557" s="941">
        <v>0.0</v>
      </c>
      <c r="AF557" s="941">
        <v>0.0</v>
      </c>
      <c r="AG557" s="941">
        <v>0.0</v>
      </c>
      <c r="AH557" s="941">
        <v>2.0</v>
      </c>
      <c r="AI557" s="941">
        <v>0.0</v>
      </c>
      <c r="AJ557" s="941">
        <v>4.0</v>
      </c>
      <c r="AK557" s="941">
        <v>7.0</v>
      </c>
      <c r="AL557" s="941">
        <v>1.0</v>
      </c>
      <c r="AM557" s="942">
        <v>0.0</v>
      </c>
    </row>
    <row r="558">
      <c r="A558" s="935" t="s">
        <v>118</v>
      </c>
      <c r="B558" s="941">
        <v>1.0</v>
      </c>
      <c r="C558" s="941">
        <v>0.0</v>
      </c>
      <c r="D558" s="941">
        <v>1.0</v>
      </c>
      <c r="E558" s="941">
        <v>0.0</v>
      </c>
      <c r="F558" s="941">
        <v>3.0</v>
      </c>
      <c r="G558" s="941">
        <v>40.0</v>
      </c>
      <c r="H558" s="941">
        <v>52.0</v>
      </c>
      <c r="I558" s="941">
        <v>-12.0</v>
      </c>
      <c r="J558" s="941">
        <v>3.0</v>
      </c>
      <c r="K558" s="941">
        <v>3.0</v>
      </c>
      <c r="L558" s="941">
        <v>2.0</v>
      </c>
      <c r="M558" s="941">
        <v>703.0</v>
      </c>
      <c r="N558" s="941">
        <v>925.0</v>
      </c>
      <c r="O558" s="941">
        <v>13.0</v>
      </c>
      <c r="P558" s="941">
        <v>111.0</v>
      </c>
      <c r="Q558" s="941">
        <v>0.0</v>
      </c>
      <c r="R558" s="941">
        <v>0.0</v>
      </c>
      <c r="S558" s="941">
        <v>0.0</v>
      </c>
      <c r="T558" s="941">
        <v>0.0</v>
      </c>
      <c r="U558" s="941">
        <v>0.0</v>
      </c>
      <c r="V558" s="941">
        <v>0.0</v>
      </c>
      <c r="W558" s="941">
        <v>0.0</v>
      </c>
      <c r="X558" s="941">
        <v>6.0</v>
      </c>
      <c r="Y558" s="941">
        <v>1.0</v>
      </c>
      <c r="Z558" s="941">
        <v>0.0</v>
      </c>
      <c r="AA558" s="941">
        <v>0.0</v>
      </c>
      <c r="AB558" s="941">
        <v>0.0</v>
      </c>
      <c r="AC558" s="941">
        <v>0.0</v>
      </c>
      <c r="AD558" s="941">
        <v>0.0</v>
      </c>
      <c r="AE558" s="941">
        <v>0.0</v>
      </c>
      <c r="AF558" s="941">
        <v>0.0</v>
      </c>
      <c r="AG558" s="941">
        <v>0.0</v>
      </c>
      <c r="AH558" s="941">
        <v>0.0</v>
      </c>
      <c r="AI558" s="941">
        <v>0.0</v>
      </c>
      <c r="AJ558" s="941">
        <v>11.0</v>
      </c>
      <c r="AK558" s="941">
        <v>3.0</v>
      </c>
      <c r="AL558" s="941">
        <v>0.0</v>
      </c>
      <c r="AM558" s="942">
        <v>1.0</v>
      </c>
    </row>
    <row r="559">
      <c r="A559" s="935" t="s">
        <v>129</v>
      </c>
      <c r="B559" s="941">
        <v>1.0</v>
      </c>
      <c r="C559" s="941">
        <v>0.0</v>
      </c>
      <c r="D559" s="941">
        <v>1.0</v>
      </c>
      <c r="E559" s="941">
        <v>0.0</v>
      </c>
      <c r="F559" s="941">
        <v>1.0</v>
      </c>
      <c r="G559" s="941">
        <v>44.0</v>
      </c>
      <c r="H559" s="941">
        <v>50.0</v>
      </c>
      <c r="I559" s="941">
        <v>-6.0</v>
      </c>
      <c r="J559" s="941">
        <v>5.0</v>
      </c>
      <c r="K559" s="941">
        <v>5.0</v>
      </c>
      <c r="L559" s="941">
        <v>0.0</v>
      </c>
      <c r="M559" s="941">
        <v>714.0</v>
      </c>
      <c r="N559" s="941">
        <v>925.0</v>
      </c>
      <c r="O559" s="941">
        <v>14.0</v>
      </c>
      <c r="P559" s="941">
        <v>16.0</v>
      </c>
      <c r="Q559" s="941">
        <v>0.0</v>
      </c>
      <c r="R559" s="941">
        <v>1.0</v>
      </c>
      <c r="S559" s="941">
        <v>0.0</v>
      </c>
      <c r="T559" s="941">
        <v>0.0</v>
      </c>
      <c r="U559" s="941">
        <v>0.0</v>
      </c>
      <c r="V559" s="941">
        <v>1.0</v>
      </c>
      <c r="W559" s="941">
        <v>0.0</v>
      </c>
      <c r="X559" s="941">
        <v>4.0</v>
      </c>
      <c r="Y559" s="941">
        <v>0.0</v>
      </c>
      <c r="Z559" s="941">
        <v>0.0</v>
      </c>
      <c r="AA559" s="941">
        <v>0.0</v>
      </c>
      <c r="AB559" s="941">
        <v>0.0</v>
      </c>
      <c r="AC559" s="941">
        <v>0.0</v>
      </c>
      <c r="AD559" s="941">
        <v>0.0</v>
      </c>
      <c r="AE559" s="941">
        <v>0.0</v>
      </c>
      <c r="AF559" s="941">
        <v>0.0</v>
      </c>
      <c r="AG559" s="941">
        <v>0.0</v>
      </c>
      <c r="AH559" s="941">
        <v>2.0</v>
      </c>
      <c r="AI559" s="941">
        <v>0.0</v>
      </c>
      <c r="AJ559" s="941">
        <v>9.0</v>
      </c>
      <c r="AK559" s="941">
        <v>8.0</v>
      </c>
      <c r="AL559" s="941">
        <v>2.0</v>
      </c>
      <c r="AM559" s="942">
        <v>1.0</v>
      </c>
    </row>
    <row r="560">
      <c r="A560" s="935" t="s">
        <v>151</v>
      </c>
      <c r="B560" s="941">
        <v>1.0</v>
      </c>
      <c r="C560" s="941">
        <v>0.0</v>
      </c>
      <c r="D560" s="941">
        <v>1.0</v>
      </c>
      <c r="E560" s="941">
        <v>0.0</v>
      </c>
      <c r="F560" s="941">
        <v>1.0</v>
      </c>
      <c r="G560" s="941">
        <v>42.0</v>
      </c>
      <c r="H560" s="941">
        <v>53.0</v>
      </c>
      <c r="I560" s="941">
        <v>-11.0</v>
      </c>
      <c r="J560" s="941">
        <v>5.0</v>
      </c>
      <c r="K560" s="941">
        <v>3.0</v>
      </c>
      <c r="L560" s="941">
        <v>1.0</v>
      </c>
      <c r="M560" s="941">
        <v>705.0</v>
      </c>
      <c r="N560" s="941">
        <v>925.0</v>
      </c>
      <c r="O560" s="941">
        <v>13.0</v>
      </c>
      <c r="P560" s="941">
        <v>0.0</v>
      </c>
      <c r="Q560" s="941">
        <v>0.0</v>
      </c>
      <c r="R560" s="941">
        <v>0.0</v>
      </c>
      <c r="S560" s="941">
        <v>0.0</v>
      </c>
      <c r="T560" s="941">
        <v>0.0</v>
      </c>
      <c r="U560" s="941">
        <v>0.0</v>
      </c>
      <c r="V560" s="941">
        <v>0.0</v>
      </c>
      <c r="W560" s="941">
        <v>0.0</v>
      </c>
      <c r="X560" s="941">
        <v>4.0</v>
      </c>
      <c r="Y560" s="941">
        <v>0.0</v>
      </c>
      <c r="Z560" s="941">
        <v>0.0</v>
      </c>
      <c r="AA560" s="941">
        <v>0.0</v>
      </c>
      <c r="AB560" s="941">
        <v>0.0</v>
      </c>
      <c r="AC560" s="941">
        <v>0.0</v>
      </c>
      <c r="AD560" s="941">
        <v>0.0</v>
      </c>
      <c r="AE560" s="941">
        <v>0.0</v>
      </c>
      <c r="AF560" s="941">
        <v>0.0</v>
      </c>
      <c r="AG560" s="941">
        <v>0.0</v>
      </c>
      <c r="AH560" s="941">
        <v>1.0</v>
      </c>
      <c r="AI560" s="941">
        <v>0.0</v>
      </c>
      <c r="AJ560" s="941">
        <v>8.0</v>
      </c>
      <c r="AK560" s="941">
        <v>8.0</v>
      </c>
      <c r="AL560" s="941">
        <v>2.0</v>
      </c>
      <c r="AM560" s="942">
        <v>1.0</v>
      </c>
    </row>
    <row r="561">
      <c r="A561" s="943" t="s">
        <v>140</v>
      </c>
      <c r="B561" s="944">
        <v>1.0</v>
      </c>
      <c r="C561" s="944">
        <v>0.0</v>
      </c>
      <c r="D561" s="944">
        <v>1.0</v>
      </c>
      <c r="E561" s="944">
        <v>0.0</v>
      </c>
      <c r="F561" s="944">
        <v>0.0</v>
      </c>
      <c r="G561" s="944">
        <v>31.0</v>
      </c>
      <c r="H561" s="944">
        <v>59.0</v>
      </c>
      <c r="I561" s="944">
        <v>-28.0</v>
      </c>
      <c r="J561" s="944">
        <v>5.0</v>
      </c>
      <c r="K561" s="944">
        <v>4.0</v>
      </c>
      <c r="L561" s="944">
        <v>1.0</v>
      </c>
      <c r="M561" s="944">
        <v>687.0</v>
      </c>
      <c r="N561" s="944">
        <v>925.0</v>
      </c>
      <c r="O561" s="944">
        <v>11.0</v>
      </c>
      <c r="P561" s="944">
        <v>0.0</v>
      </c>
      <c r="Q561" s="944">
        <v>0.0</v>
      </c>
      <c r="R561" s="944">
        <v>0.0</v>
      </c>
      <c r="S561" s="944">
        <v>0.0</v>
      </c>
      <c r="T561" s="944">
        <v>0.0</v>
      </c>
      <c r="U561" s="944">
        <v>0.0</v>
      </c>
      <c r="V561" s="944">
        <v>0.0</v>
      </c>
      <c r="W561" s="944">
        <v>0.0</v>
      </c>
      <c r="X561" s="944">
        <v>3.0</v>
      </c>
      <c r="Y561" s="944">
        <v>0.0</v>
      </c>
      <c r="Z561" s="944">
        <v>0.0</v>
      </c>
      <c r="AA561" s="944">
        <v>0.0</v>
      </c>
      <c r="AB561" s="944">
        <v>0.0</v>
      </c>
      <c r="AC561" s="944">
        <v>0.0</v>
      </c>
      <c r="AD561" s="944">
        <v>0.0</v>
      </c>
      <c r="AE561" s="944">
        <v>0.0</v>
      </c>
      <c r="AF561" s="944">
        <v>0.0</v>
      </c>
      <c r="AG561" s="944">
        <v>0.0</v>
      </c>
      <c r="AH561" s="944">
        <v>1.0</v>
      </c>
      <c r="AI561" s="944">
        <v>0.0</v>
      </c>
      <c r="AJ561" s="944">
        <v>3.0</v>
      </c>
      <c r="AK561" s="944">
        <v>5.0</v>
      </c>
      <c r="AL561" s="944">
        <v>0.0</v>
      </c>
      <c r="AM561" s="945">
        <v>1.0</v>
      </c>
    </row>
    <row r="562">
      <c r="A562" s="1" t="s">
        <v>114</v>
      </c>
      <c r="B562" s="941">
        <v>1.0</v>
      </c>
      <c r="C562" s="941">
        <v>1.0</v>
      </c>
      <c r="D562" s="941">
        <v>0.0</v>
      </c>
      <c r="E562" s="941">
        <v>3.0</v>
      </c>
      <c r="F562" s="941">
        <v>6.0</v>
      </c>
      <c r="G562" s="941">
        <v>23.0</v>
      </c>
      <c r="H562" s="941">
        <v>15.0</v>
      </c>
      <c r="I562" s="941">
        <v>8.0</v>
      </c>
      <c r="J562" s="941">
        <v>0.0</v>
      </c>
      <c r="K562" s="941">
        <v>5.0</v>
      </c>
      <c r="L562" s="941">
        <v>0.0</v>
      </c>
      <c r="M562" s="941">
        <v>321.0</v>
      </c>
      <c r="N562" s="941">
        <v>451.0</v>
      </c>
      <c r="O562" s="941">
        <v>21.0</v>
      </c>
      <c r="P562" s="941">
        <v>142.0</v>
      </c>
      <c r="Q562" s="941">
        <v>0.0</v>
      </c>
      <c r="R562" s="941">
        <v>1.0</v>
      </c>
      <c r="S562" s="941">
        <v>0.0</v>
      </c>
      <c r="T562" s="941">
        <v>0.0</v>
      </c>
      <c r="U562" s="941">
        <v>0.0</v>
      </c>
      <c r="V562" s="941">
        <v>0.0</v>
      </c>
      <c r="W562" s="941">
        <v>0.0</v>
      </c>
      <c r="X562" s="941">
        <v>4.0</v>
      </c>
      <c r="Y562" s="941">
        <v>0.0</v>
      </c>
      <c r="Z562" s="941">
        <v>0.0</v>
      </c>
      <c r="AA562" s="941">
        <v>0.0</v>
      </c>
      <c r="AB562" s="941">
        <v>0.0</v>
      </c>
      <c r="AC562" s="941">
        <v>0.0</v>
      </c>
      <c r="AD562" s="941">
        <v>0.0</v>
      </c>
      <c r="AE562" s="941">
        <v>0.0</v>
      </c>
      <c r="AF562" s="941">
        <v>0.0</v>
      </c>
      <c r="AG562" s="941">
        <v>0.0</v>
      </c>
      <c r="AH562" s="941">
        <v>0.0</v>
      </c>
      <c r="AI562" s="941">
        <v>0.0</v>
      </c>
      <c r="AJ562" s="941">
        <v>1.0</v>
      </c>
      <c r="AK562" s="941">
        <v>4.0</v>
      </c>
      <c r="AL562" s="941">
        <v>0.0</v>
      </c>
      <c r="AM562" s="941">
        <v>0.0</v>
      </c>
    </row>
    <row r="563">
      <c r="A563" s="1" t="s">
        <v>147</v>
      </c>
      <c r="B563" s="941">
        <v>1.0</v>
      </c>
      <c r="C563" s="941">
        <v>1.0</v>
      </c>
      <c r="D563" s="941">
        <v>0.0</v>
      </c>
      <c r="E563" s="941">
        <v>1.0</v>
      </c>
      <c r="F563" s="941">
        <v>1.0</v>
      </c>
      <c r="G563" s="941">
        <v>18.0</v>
      </c>
      <c r="H563" s="941">
        <v>18.0</v>
      </c>
      <c r="I563" s="941">
        <v>0.0</v>
      </c>
      <c r="J563" s="941">
        <v>2.0</v>
      </c>
      <c r="K563" s="941">
        <v>4.0</v>
      </c>
      <c r="L563" s="941">
        <v>0.0</v>
      </c>
      <c r="M563" s="941">
        <v>310.0</v>
      </c>
      <c r="N563" s="941">
        <v>451.0</v>
      </c>
      <c r="O563" s="941">
        <v>17.0</v>
      </c>
      <c r="P563" s="941">
        <v>4.0</v>
      </c>
      <c r="Q563" s="941">
        <v>0.0</v>
      </c>
      <c r="R563" s="941">
        <v>0.0</v>
      </c>
      <c r="S563" s="941">
        <v>0.0</v>
      </c>
      <c r="T563" s="941">
        <v>0.0</v>
      </c>
      <c r="U563" s="941">
        <v>0.0</v>
      </c>
      <c r="V563" s="941">
        <v>0.0</v>
      </c>
      <c r="W563" s="941">
        <v>0.0</v>
      </c>
      <c r="X563" s="941">
        <v>3.0</v>
      </c>
      <c r="Y563" s="941">
        <v>1.0</v>
      </c>
      <c r="Z563" s="941">
        <v>1.0</v>
      </c>
      <c r="AA563" s="941">
        <v>0.0</v>
      </c>
      <c r="AB563" s="941">
        <v>0.0</v>
      </c>
      <c r="AC563" s="941">
        <v>0.0</v>
      </c>
      <c r="AD563" s="941">
        <v>0.0</v>
      </c>
      <c r="AE563" s="941">
        <v>0.0</v>
      </c>
      <c r="AF563" s="941">
        <v>0.0</v>
      </c>
      <c r="AG563" s="941">
        <v>0.0</v>
      </c>
      <c r="AH563" s="941">
        <v>0.0</v>
      </c>
      <c r="AI563" s="941">
        <v>0.0</v>
      </c>
      <c r="AJ563" s="941">
        <v>1.0</v>
      </c>
      <c r="AK563" s="941">
        <v>4.0</v>
      </c>
      <c r="AL563" s="941">
        <v>0.0</v>
      </c>
      <c r="AM563" s="941">
        <v>0.0</v>
      </c>
    </row>
    <row r="564">
      <c r="A564" s="1" t="s">
        <v>136</v>
      </c>
      <c r="B564" s="941">
        <v>1.0</v>
      </c>
      <c r="C564" s="941">
        <v>1.0</v>
      </c>
      <c r="D564" s="941">
        <v>0.0</v>
      </c>
      <c r="E564" s="941">
        <v>1.0</v>
      </c>
      <c r="F564" s="941">
        <v>1.0</v>
      </c>
      <c r="G564" s="941">
        <v>28.0</v>
      </c>
      <c r="H564" s="941">
        <v>27.0</v>
      </c>
      <c r="I564" s="941">
        <v>1.0</v>
      </c>
      <c r="J564" s="941">
        <v>0.0</v>
      </c>
      <c r="K564" s="941">
        <v>3.0</v>
      </c>
      <c r="L564" s="941">
        <v>1.0</v>
      </c>
      <c r="M564" s="941">
        <v>290.0</v>
      </c>
      <c r="N564" s="941">
        <v>451.0</v>
      </c>
      <c r="O564" s="941">
        <v>10.0</v>
      </c>
      <c r="P564" s="941">
        <v>11.0</v>
      </c>
      <c r="Q564" s="941">
        <v>0.0</v>
      </c>
      <c r="R564" s="941">
        <v>0.0</v>
      </c>
      <c r="S564" s="941">
        <v>0.0</v>
      </c>
      <c r="T564" s="941">
        <v>0.0</v>
      </c>
      <c r="U564" s="941">
        <v>0.0</v>
      </c>
      <c r="V564" s="941">
        <v>0.0</v>
      </c>
      <c r="W564" s="941">
        <v>0.0</v>
      </c>
      <c r="X564" s="941">
        <v>6.0</v>
      </c>
      <c r="Y564" s="941">
        <v>1.0</v>
      </c>
      <c r="Z564" s="941">
        <v>0.0</v>
      </c>
      <c r="AA564" s="941">
        <v>0.0</v>
      </c>
      <c r="AB564" s="941">
        <v>0.0</v>
      </c>
      <c r="AC564" s="941">
        <v>0.0</v>
      </c>
      <c r="AD564" s="941">
        <v>0.0</v>
      </c>
      <c r="AE564" s="941">
        <v>0.0</v>
      </c>
      <c r="AF564" s="941">
        <v>0.0</v>
      </c>
      <c r="AG564" s="941">
        <v>0.0</v>
      </c>
      <c r="AH564" s="941">
        <v>0.0</v>
      </c>
      <c r="AI564" s="941">
        <v>0.0</v>
      </c>
      <c r="AJ564" s="941">
        <v>5.0</v>
      </c>
      <c r="AK564" s="941">
        <v>0.0</v>
      </c>
      <c r="AL564" s="941">
        <v>0.0</v>
      </c>
      <c r="AM564" s="941">
        <v>0.0</v>
      </c>
    </row>
    <row r="565">
      <c r="A565" s="1" t="s">
        <v>132</v>
      </c>
      <c r="B565" s="941">
        <v>1.0</v>
      </c>
      <c r="C565" s="941">
        <v>1.0</v>
      </c>
      <c r="D565" s="941">
        <v>0.0</v>
      </c>
      <c r="E565" s="941">
        <v>0.0</v>
      </c>
      <c r="F565" s="941">
        <v>0.0</v>
      </c>
      <c r="G565" s="941">
        <v>26.0</v>
      </c>
      <c r="H565" s="941">
        <v>22.0</v>
      </c>
      <c r="I565" s="941">
        <v>4.0</v>
      </c>
      <c r="J565" s="941">
        <v>2.0</v>
      </c>
      <c r="K565" s="941">
        <v>4.0</v>
      </c>
      <c r="L565" s="941">
        <v>1.0</v>
      </c>
      <c r="M565" s="941">
        <v>308.0</v>
      </c>
      <c r="N565" s="941">
        <v>451.0</v>
      </c>
      <c r="O565" s="941">
        <v>14.0</v>
      </c>
      <c r="P565" s="941">
        <v>0.0</v>
      </c>
      <c r="Q565" s="941">
        <v>0.0</v>
      </c>
      <c r="R565" s="941">
        <v>0.0</v>
      </c>
      <c r="S565" s="941">
        <v>0.0</v>
      </c>
      <c r="T565" s="941">
        <v>0.0</v>
      </c>
      <c r="U565" s="941">
        <v>0.0</v>
      </c>
      <c r="V565" s="941">
        <v>0.0</v>
      </c>
      <c r="W565" s="941">
        <v>0.0</v>
      </c>
      <c r="X565" s="941">
        <v>5.0</v>
      </c>
      <c r="Y565" s="941">
        <v>0.0</v>
      </c>
      <c r="Z565" s="941">
        <v>0.0</v>
      </c>
      <c r="AA565" s="941">
        <v>0.0</v>
      </c>
      <c r="AB565" s="941">
        <v>0.0</v>
      </c>
      <c r="AC565" s="941">
        <v>0.0</v>
      </c>
      <c r="AD565" s="941">
        <v>0.0</v>
      </c>
      <c r="AE565" s="941">
        <v>0.0</v>
      </c>
      <c r="AF565" s="941">
        <v>0.0</v>
      </c>
      <c r="AG565" s="941">
        <v>0.0</v>
      </c>
      <c r="AH565" s="941">
        <v>1.0</v>
      </c>
      <c r="AI565" s="941">
        <v>0.0</v>
      </c>
      <c r="AJ565" s="941">
        <v>3.0</v>
      </c>
      <c r="AK565" s="941">
        <v>3.0</v>
      </c>
      <c r="AL565" s="941">
        <v>1.0</v>
      </c>
      <c r="AM565" s="941">
        <v>0.0</v>
      </c>
    </row>
    <row r="566">
      <c r="A566" s="1" t="s">
        <v>119</v>
      </c>
      <c r="B566" s="941">
        <v>1.0</v>
      </c>
      <c r="C566" s="941">
        <v>0.0</v>
      </c>
      <c r="D566" s="941">
        <v>1.0</v>
      </c>
      <c r="E566" s="941">
        <v>1.0</v>
      </c>
      <c r="F566" s="941">
        <v>2.0</v>
      </c>
      <c r="G566" s="941">
        <v>8.0</v>
      </c>
      <c r="H566" s="941">
        <v>26.0</v>
      </c>
      <c r="I566" s="941">
        <v>-18.0</v>
      </c>
      <c r="J566" s="941">
        <v>1.0</v>
      </c>
      <c r="K566" s="941">
        <v>1.0</v>
      </c>
      <c r="L566" s="941">
        <v>0.0</v>
      </c>
      <c r="M566" s="941">
        <v>298.0</v>
      </c>
      <c r="N566" s="941">
        <v>451.0</v>
      </c>
      <c r="O566" s="941">
        <v>11.0</v>
      </c>
      <c r="P566" s="941">
        <v>142.0</v>
      </c>
      <c r="Q566" s="941">
        <v>0.0</v>
      </c>
      <c r="R566" s="941">
        <v>0.0</v>
      </c>
      <c r="S566" s="941">
        <v>0.0</v>
      </c>
      <c r="T566" s="941">
        <v>0.0</v>
      </c>
      <c r="U566" s="941">
        <v>0.0</v>
      </c>
      <c r="V566" s="941">
        <v>0.0</v>
      </c>
      <c r="W566" s="941">
        <v>0.0</v>
      </c>
      <c r="X566" s="941">
        <v>0.0</v>
      </c>
      <c r="Y566" s="941">
        <v>0.0</v>
      </c>
      <c r="Z566" s="941">
        <v>0.0</v>
      </c>
      <c r="AA566" s="941">
        <v>0.0</v>
      </c>
      <c r="AB566" s="941">
        <v>0.0</v>
      </c>
      <c r="AC566" s="941">
        <v>0.0</v>
      </c>
      <c r="AD566" s="941">
        <v>0.0</v>
      </c>
      <c r="AE566" s="941">
        <v>0.0</v>
      </c>
      <c r="AF566" s="941">
        <v>0.0</v>
      </c>
      <c r="AG566" s="941">
        <v>0.0</v>
      </c>
      <c r="AH566" s="941">
        <v>1.0</v>
      </c>
      <c r="AI566" s="941">
        <v>0.0</v>
      </c>
      <c r="AJ566" s="941">
        <v>2.0</v>
      </c>
      <c r="AK566" s="941">
        <v>0.0</v>
      </c>
      <c r="AL566" s="941">
        <v>1.0</v>
      </c>
      <c r="AM566" s="941">
        <v>1.0</v>
      </c>
    </row>
    <row r="567">
      <c r="A567" s="1" t="s">
        <v>152</v>
      </c>
      <c r="B567" s="941">
        <v>1.0</v>
      </c>
      <c r="C567" s="941">
        <v>0.0</v>
      </c>
      <c r="D567" s="941">
        <v>1.0</v>
      </c>
      <c r="E567" s="941">
        <v>0.0</v>
      </c>
      <c r="F567" s="941">
        <v>0.0</v>
      </c>
      <c r="G567" s="941">
        <v>22.0</v>
      </c>
      <c r="H567" s="941">
        <v>30.0</v>
      </c>
      <c r="I567" s="941">
        <v>-8.0</v>
      </c>
      <c r="J567" s="941">
        <v>0.0</v>
      </c>
      <c r="K567" s="941">
        <v>3.0</v>
      </c>
      <c r="L567" s="941">
        <v>0.0</v>
      </c>
      <c r="M567" s="941">
        <v>282.0</v>
      </c>
      <c r="N567" s="941">
        <v>451.0</v>
      </c>
      <c r="O567" s="941">
        <v>9.0</v>
      </c>
      <c r="P567" s="941">
        <v>0.0</v>
      </c>
      <c r="Q567" s="941">
        <v>0.0</v>
      </c>
      <c r="R567" s="941">
        <v>0.0</v>
      </c>
      <c r="S567" s="941">
        <v>0.0</v>
      </c>
      <c r="T567" s="941">
        <v>0.0</v>
      </c>
      <c r="U567" s="941">
        <v>0.0</v>
      </c>
      <c r="V567" s="941">
        <v>0.0</v>
      </c>
      <c r="W567" s="941">
        <v>0.0</v>
      </c>
      <c r="X567" s="941">
        <v>3.0</v>
      </c>
      <c r="Y567" s="941">
        <v>0.0</v>
      </c>
      <c r="Z567" s="941">
        <v>0.0</v>
      </c>
      <c r="AA567" s="941">
        <v>0.0</v>
      </c>
      <c r="AB567" s="941">
        <v>0.0</v>
      </c>
      <c r="AC567" s="941">
        <v>0.0</v>
      </c>
      <c r="AD567" s="941">
        <v>0.0</v>
      </c>
      <c r="AE567" s="941">
        <v>0.0</v>
      </c>
      <c r="AF567" s="941">
        <v>0.0</v>
      </c>
      <c r="AG567" s="941">
        <v>0.0</v>
      </c>
      <c r="AH567" s="941">
        <v>0.0</v>
      </c>
      <c r="AI567" s="941">
        <v>0.0</v>
      </c>
      <c r="AJ567" s="941">
        <v>2.0</v>
      </c>
      <c r="AK567" s="941">
        <v>3.0</v>
      </c>
      <c r="AL567" s="941">
        <v>1.0</v>
      </c>
      <c r="AM567" s="941">
        <v>1.0</v>
      </c>
    </row>
    <row r="568">
      <c r="A568" s="1" t="s">
        <v>141</v>
      </c>
      <c r="B568" s="941">
        <v>1.0</v>
      </c>
      <c r="C568" s="941">
        <v>0.0</v>
      </c>
      <c r="D568" s="941">
        <v>1.0</v>
      </c>
      <c r="E568" s="941">
        <v>0.0</v>
      </c>
      <c r="F568" s="941">
        <v>1.0</v>
      </c>
      <c r="G568" s="941">
        <v>24.0</v>
      </c>
      <c r="H568" s="941">
        <v>32.0</v>
      </c>
      <c r="I568" s="941">
        <v>-8.0</v>
      </c>
      <c r="J568" s="941">
        <v>3.0</v>
      </c>
      <c r="K568" s="941">
        <v>3.0</v>
      </c>
      <c r="L568" s="941">
        <v>2.0</v>
      </c>
      <c r="M568" s="941">
        <v>279.0</v>
      </c>
      <c r="N568" s="941">
        <v>451.0</v>
      </c>
      <c r="O568" s="941">
        <v>8.0</v>
      </c>
      <c r="P568" s="941">
        <v>12.0</v>
      </c>
      <c r="Q568" s="941">
        <v>0.0</v>
      </c>
      <c r="R568" s="941">
        <v>0.0</v>
      </c>
      <c r="S568" s="941">
        <v>0.0</v>
      </c>
      <c r="T568" s="941">
        <v>0.0</v>
      </c>
      <c r="U568" s="941">
        <v>0.0</v>
      </c>
      <c r="V568" s="941">
        <v>0.0</v>
      </c>
      <c r="W568" s="941">
        <v>0.0</v>
      </c>
      <c r="X568" s="941">
        <v>5.0</v>
      </c>
      <c r="Y568" s="941">
        <v>1.0</v>
      </c>
      <c r="Z568" s="941">
        <v>0.0</v>
      </c>
      <c r="AA568" s="941">
        <v>0.0</v>
      </c>
      <c r="AB568" s="941">
        <v>0.0</v>
      </c>
      <c r="AC568" s="941">
        <v>0.0</v>
      </c>
      <c r="AD568" s="941">
        <v>0.0</v>
      </c>
      <c r="AE568" s="941">
        <v>0.0</v>
      </c>
      <c r="AF568" s="941">
        <v>0.0</v>
      </c>
      <c r="AG568" s="941">
        <v>0.0</v>
      </c>
      <c r="AH568" s="941">
        <v>0.0</v>
      </c>
      <c r="AI568" s="941">
        <v>0.0</v>
      </c>
      <c r="AJ568" s="941">
        <v>3.0</v>
      </c>
      <c r="AK568" s="941">
        <v>5.0</v>
      </c>
      <c r="AL568" s="941">
        <v>2.0</v>
      </c>
      <c r="AM568" s="941">
        <v>1.0</v>
      </c>
    </row>
    <row r="569">
      <c r="A569" s="882" t="s">
        <v>130</v>
      </c>
      <c r="B569" s="944">
        <v>1.0</v>
      </c>
      <c r="C569" s="944">
        <v>0.0</v>
      </c>
      <c r="D569" s="944">
        <v>1.0</v>
      </c>
      <c r="E569" s="944">
        <v>0.0</v>
      </c>
      <c r="F569" s="944">
        <v>0.0</v>
      </c>
      <c r="G569" s="944">
        <v>23.0</v>
      </c>
      <c r="H569" s="944">
        <v>21.0</v>
      </c>
      <c r="I569" s="944">
        <v>2.0</v>
      </c>
      <c r="J569" s="944">
        <v>2.0</v>
      </c>
      <c r="K569" s="944">
        <v>3.0</v>
      </c>
      <c r="L569" s="944">
        <v>1.0</v>
      </c>
      <c r="M569" s="944">
        <v>308.0</v>
      </c>
      <c r="N569" s="944">
        <v>451.0</v>
      </c>
      <c r="O569" s="944">
        <v>14.0</v>
      </c>
      <c r="P569" s="944">
        <v>2.0</v>
      </c>
      <c r="Q569" s="944">
        <v>0.0</v>
      </c>
      <c r="R569" s="944">
        <v>0.0</v>
      </c>
      <c r="S569" s="944">
        <v>0.0</v>
      </c>
      <c r="T569" s="944">
        <v>0.0</v>
      </c>
      <c r="U569" s="944">
        <v>0.0</v>
      </c>
      <c r="V569" s="944">
        <v>0.0</v>
      </c>
      <c r="W569" s="944">
        <v>0.0</v>
      </c>
      <c r="X569" s="944">
        <v>2.0</v>
      </c>
      <c r="Y569" s="944">
        <v>0.0</v>
      </c>
      <c r="Z569" s="944">
        <v>0.0</v>
      </c>
      <c r="AA569" s="944">
        <v>0.0</v>
      </c>
      <c r="AB569" s="944">
        <v>0.0</v>
      </c>
      <c r="AC569" s="944">
        <v>0.0</v>
      </c>
      <c r="AD569" s="944">
        <v>0.0</v>
      </c>
      <c r="AE569" s="944">
        <v>0.0</v>
      </c>
      <c r="AF569" s="944">
        <v>0.0</v>
      </c>
      <c r="AG569" s="944">
        <v>0.0</v>
      </c>
      <c r="AH569" s="944">
        <v>1.0</v>
      </c>
      <c r="AI569" s="944">
        <v>0.0</v>
      </c>
      <c r="AJ569" s="944">
        <v>1.0</v>
      </c>
      <c r="AK569" s="944">
        <v>2.0</v>
      </c>
      <c r="AL569" s="944">
        <v>1.0</v>
      </c>
      <c r="AM569" s="944">
        <v>1.0</v>
      </c>
    </row>
    <row r="570">
      <c r="A570" s="1" t="s">
        <v>119</v>
      </c>
      <c r="B570" s="941">
        <v>1.0</v>
      </c>
      <c r="C570" s="941">
        <v>1.0</v>
      </c>
      <c r="D570" s="941">
        <v>0.0</v>
      </c>
      <c r="E570" s="941">
        <v>3.0</v>
      </c>
      <c r="F570" s="941">
        <v>16.0</v>
      </c>
      <c r="G570" s="941">
        <v>87.0</v>
      </c>
      <c r="H570" s="941">
        <v>88.0</v>
      </c>
      <c r="I570" s="941">
        <v>-1.0</v>
      </c>
      <c r="J570" s="941">
        <v>3.0</v>
      </c>
      <c r="K570" s="941">
        <v>6.0</v>
      </c>
      <c r="L570" s="941">
        <v>2.0</v>
      </c>
      <c r="M570" s="941">
        <v>1571.0</v>
      </c>
      <c r="N570" s="941">
        <v>1929.0</v>
      </c>
      <c r="O570" s="941">
        <v>17.0</v>
      </c>
      <c r="P570" s="941">
        <v>668.0</v>
      </c>
      <c r="Q570" s="941">
        <v>0.0</v>
      </c>
      <c r="R570" s="941">
        <v>1.0</v>
      </c>
      <c r="S570" s="941">
        <v>0.0</v>
      </c>
      <c r="T570" s="941">
        <v>0.0</v>
      </c>
      <c r="U570" s="941">
        <v>0.0</v>
      </c>
      <c r="V570" s="941">
        <v>0.0</v>
      </c>
      <c r="W570" s="941">
        <v>0.0</v>
      </c>
      <c r="X570" s="941">
        <v>14.0</v>
      </c>
      <c r="Y570" s="941">
        <v>1.0</v>
      </c>
      <c r="Z570" s="941">
        <v>0.0</v>
      </c>
      <c r="AA570" s="941">
        <v>0.0</v>
      </c>
      <c r="AB570" s="941">
        <v>0.0</v>
      </c>
      <c r="AC570" s="941">
        <v>0.0</v>
      </c>
      <c r="AD570" s="941">
        <v>0.0</v>
      </c>
      <c r="AE570" s="941">
        <v>0.0</v>
      </c>
      <c r="AF570" s="941">
        <v>0.0</v>
      </c>
      <c r="AG570" s="941">
        <v>0.0</v>
      </c>
      <c r="AH570" s="941">
        <v>0.0</v>
      </c>
      <c r="AI570" s="941">
        <v>0.0</v>
      </c>
      <c r="AJ570" s="941">
        <v>14.0</v>
      </c>
      <c r="AK570" s="941">
        <v>8.0</v>
      </c>
      <c r="AL570" s="941">
        <v>3.0</v>
      </c>
      <c r="AM570" s="941">
        <v>1.0</v>
      </c>
    </row>
    <row r="571">
      <c r="A571" s="1" t="s">
        <v>130</v>
      </c>
      <c r="B571" s="941">
        <v>1.0</v>
      </c>
      <c r="C571" s="941">
        <v>1.0</v>
      </c>
      <c r="D571" s="941">
        <v>0.0</v>
      </c>
      <c r="E571" s="941">
        <v>1.0</v>
      </c>
      <c r="F571" s="941">
        <v>0.0</v>
      </c>
      <c r="G571" s="941">
        <v>106.0</v>
      </c>
      <c r="H571" s="941">
        <v>81.0</v>
      </c>
      <c r="I571" s="941">
        <v>25.0</v>
      </c>
      <c r="J571" s="941">
        <v>7.0</v>
      </c>
      <c r="K571" s="941">
        <v>7.0</v>
      </c>
      <c r="L571" s="941">
        <v>3.0</v>
      </c>
      <c r="M571" s="941">
        <v>1593.0</v>
      </c>
      <c r="N571" s="941">
        <v>1929.0</v>
      </c>
      <c r="O571" s="941">
        <v>19.0</v>
      </c>
      <c r="P571" s="941">
        <v>37.0</v>
      </c>
      <c r="Q571" s="941">
        <v>0.0</v>
      </c>
      <c r="R571" s="941">
        <v>4.0</v>
      </c>
      <c r="S571" s="941">
        <v>0.0</v>
      </c>
      <c r="T571" s="941">
        <v>0.0</v>
      </c>
      <c r="U571" s="941">
        <v>0.0</v>
      </c>
      <c r="V571" s="941">
        <v>4.0</v>
      </c>
      <c r="W571" s="941">
        <v>0.0</v>
      </c>
      <c r="X571" s="941">
        <v>12.0</v>
      </c>
      <c r="Y571" s="941">
        <v>3.0</v>
      </c>
      <c r="Z571" s="941">
        <v>1.0</v>
      </c>
      <c r="AA571" s="941">
        <v>0.0</v>
      </c>
      <c r="AB571" s="941">
        <v>0.0</v>
      </c>
      <c r="AC571" s="941">
        <v>0.0</v>
      </c>
      <c r="AD571" s="941">
        <v>0.0</v>
      </c>
      <c r="AE571" s="941">
        <v>0.0</v>
      </c>
      <c r="AF571" s="941">
        <v>0.0</v>
      </c>
      <c r="AG571" s="941">
        <v>0.0</v>
      </c>
      <c r="AH571" s="941">
        <v>2.0</v>
      </c>
      <c r="AI571" s="941">
        <v>0.0</v>
      </c>
      <c r="AJ571" s="941">
        <v>14.0</v>
      </c>
      <c r="AK571" s="941">
        <v>16.0</v>
      </c>
      <c r="AL571" s="941">
        <v>1.0</v>
      </c>
      <c r="AM571" s="941">
        <v>1.0</v>
      </c>
    </row>
    <row r="572">
      <c r="A572" s="1" t="s">
        <v>152</v>
      </c>
      <c r="B572" s="941">
        <v>1.0</v>
      </c>
      <c r="C572" s="941">
        <v>1.0</v>
      </c>
      <c r="D572" s="941">
        <v>0.0</v>
      </c>
      <c r="E572" s="941">
        <v>1.0</v>
      </c>
      <c r="F572" s="941">
        <v>2.0</v>
      </c>
      <c r="G572" s="941">
        <v>99.0</v>
      </c>
      <c r="H572" s="941">
        <v>132.0</v>
      </c>
      <c r="I572" s="941">
        <v>-33.0</v>
      </c>
      <c r="J572" s="941">
        <v>6.0</v>
      </c>
      <c r="K572" s="941">
        <v>4.0</v>
      </c>
      <c r="L572" s="941">
        <v>1.0</v>
      </c>
      <c r="M572" s="941">
        <v>1441.0</v>
      </c>
      <c r="N572" s="941">
        <v>1929.0</v>
      </c>
      <c r="O572" s="941">
        <v>10.0</v>
      </c>
      <c r="P572" s="941">
        <v>14.0</v>
      </c>
      <c r="Q572" s="941">
        <v>0.0</v>
      </c>
      <c r="R572" s="941">
        <v>0.0</v>
      </c>
      <c r="S572" s="941">
        <v>0.0</v>
      </c>
      <c r="T572" s="941">
        <v>0.0</v>
      </c>
      <c r="U572" s="941">
        <v>0.0</v>
      </c>
      <c r="V572" s="941">
        <v>0.0</v>
      </c>
      <c r="W572" s="941">
        <v>0.0</v>
      </c>
      <c r="X572" s="941">
        <v>9.0</v>
      </c>
      <c r="Y572" s="941">
        <v>2.0</v>
      </c>
      <c r="Z572" s="941">
        <v>2.0</v>
      </c>
      <c r="AA572" s="941">
        <v>0.0</v>
      </c>
      <c r="AB572" s="941">
        <v>0.0</v>
      </c>
      <c r="AC572" s="941">
        <v>0.0</v>
      </c>
      <c r="AD572" s="941">
        <v>0.0</v>
      </c>
      <c r="AE572" s="941">
        <v>0.0</v>
      </c>
      <c r="AF572" s="941">
        <v>0.0</v>
      </c>
      <c r="AG572" s="941">
        <v>0.0</v>
      </c>
      <c r="AH572" s="941">
        <v>2.0</v>
      </c>
      <c r="AI572" s="941">
        <v>0.0</v>
      </c>
      <c r="AJ572" s="941">
        <v>17.0</v>
      </c>
      <c r="AK572" s="941">
        <v>11.0</v>
      </c>
      <c r="AL572" s="941">
        <v>0.0</v>
      </c>
      <c r="AM572" s="941">
        <v>1.0</v>
      </c>
    </row>
    <row r="573">
      <c r="A573" s="1" t="s">
        <v>141</v>
      </c>
      <c r="B573" s="941">
        <v>1.0</v>
      </c>
      <c r="C573" s="941">
        <v>1.0</v>
      </c>
      <c r="D573" s="941">
        <v>0.0</v>
      </c>
      <c r="E573" s="941">
        <v>0.0</v>
      </c>
      <c r="F573" s="941">
        <v>2.0</v>
      </c>
      <c r="G573" s="941">
        <v>101.0</v>
      </c>
      <c r="H573" s="941">
        <v>113.0</v>
      </c>
      <c r="I573" s="941">
        <v>-12.0</v>
      </c>
      <c r="J573" s="941">
        <v>11.0</v>
      </c>
      <c r="K573" s="941">
        <v>5.0</v>
      </c>
      <c r="L573" s="941">
        <v>2.0</v>
      </c>
      <c r="M573" s="941">
        <v>1493.0</v>
      </c>
      <c r="N573" s="941">
        <v>1929.0</v>
      </c>
      <c r="O573" s="941">
        <v>13.0</v>
      </c>
      <c r="P573" s="941">
        <v>61.0</v>
      </c>
      <c r="Q573" s="941">
        <v>0.0</v>
      </c>
      <c r="R573" s="941">
        <v>2.0</v>
      </c>
      <c r="S573" s="941">
        <v>0.0</v>
      </c>
      <c r="T573" s="941">
        <v>0.0</v>
      </c>
      <c r="U573" s="941">
        <v>0.0</v>
      </c>
      <c r="V573" s="941">
        <v>1.0</v>
      </c>
      <c r="W573" s="941">
        <v>0.0</v>
      </c>
      <c r="X573" s="941">
        <v>19.0</v>
      </c>
      <c r="Y573" s="941">
        <v>6.0</v>
      </c>
      <c r="Z573" s="941">
        <v>0.0</v>
      </c>
      <c r="AA573" s="941">
        <v>0.0</v>
      </c>
      <c r="AB573" s="941">
        <v>0.0</v>
      </c>
      <c r="AC573" s="941">
        <v>0.0</v>
      </c>
      <c r="AD573" s="941">
        <v>0.0</v>
      </c>
      <c r="AE573" s="941">
        <v>0.0</v>
      </c>
      <c r="AF573" s="941">
        <v>0.0</v>
      </c>
      <c r="AG573" s="941">
        <v>0.0</v>
      </c>
      <c r="AH573" s="941">
        <v>0.0</v>
      </c>
      <c r="AI573" s="941">
        <v>0.0</v>
      </c>
      <c r="AJ573" s="941">
        <v>10.0</v>
      </c>
      <c r="AK573" s="941">
        <v>13.0</v>
      </c>
      <c r="AL573" s="941">
        <v>0.0</v>
      </c>
      <c r="AM573" s="941">
        <v>1.0</v>
      </c>
    </row>
    <row r="574">
      <c r="A574" s="1" t="s">
        <v>132</v>
      </c>
      <c r="B574" s="941">
        <v>1.0</v>
      </c>
      <c r="C574" s="941">
        <v>0.0</v>
      </c>
      <c r="D574" s="941">
        <v>1.0</v>
      </c>
      <c r="E574" s="941">
        <v>2.0</v>
      </c>
      <c r="F574" s="941">
        <v>17.0</v>
      </c>
      <c r="G574" s="941">
        <v>87.0</v>
      </c>
      <c r="H574" s="941">
        <v>69.0</v>
      </c>
      <c r="I574" s="941">
        <v>18.0</v>
      </c>
      <c r="J574" s="941">
        <v>2.0</v>
      </c>
      <c r="K574" s="941">
        <v>6.0</v>
      </c>
      <c r="L574" s="941">
        <v>2.0</v>
      </c>
      <c r="M574" s="941">
        <v>1623.0</v>
      </c>
      <c r="N574" s="941">
        <v>1929.0</v>
      </c>
      <c r="O574" s="941">
        <v>23.0</v>
      </c>
      <c r="P574" s="941">
        <v>738.0</v>
      </c>
      <c r="Q574" s="941">
        <v>0.0</v>
      </c>
      <c r="R574" s="941">
        <v>3.0</v>
      </c>
      <c r="S574" s="941">
        <v>0.0</v>
      </c>
      <c r="T574" s="941">
        <v>0.0</v>
      </c>
      <c r="U574" s="941">
        <v>0.0</v>
      </c>
      <c r="V574" s="941">
        <v>0.0</v>
      </c>
      <c r="W574" s="941">
        <v>0.0</v>
      </c>
      <c r="X574" s="941">
        <v>13.0</v>
      </c>
      <c r="Y574" s="941">
        <v>0.0</v>
      </c>
      <c r="Z574" s="941">
        <v>0.0</v>
      </c>
      <c r="AA574" s="941">
        <v>0.0</v>
      </c>
      <c r="AB574" s="941">
        <v>0.0</v>
      </c>
      <c r="AC574" s="941">
        <v>0.0</v>
      </c>
      <c r="AD574" s="941">
        <v>0.0</v>
      </c>
      <c r="AE574" s="941">
        <v>0.0</v>
      </c>
      <c r="AF574" s="941">
        <v>0.0</v>
      </c>
      <c r="AG574" s="941">
        <v>0.0</v>
      </c>
      <c r="AH574" s="941">
        <v>4.0</v>
      </c>
      <c r="AI574" s="941">
        <v>0.0</v>
      </c>
      <c r="AJ574" s="941">
        <v>14.0</v>
      </c>
      <c r="AK574" s="941">
        <v>15.0</v>
      </c>
      <c r="AL574" s="941">
        <v>2.0</v>
      </c>
      <c r="AM574" s="941">
        <v>0.0</v>
      </c>
    </row>
    <row r="575">
      <c r="A575" s="1" t="s">
        <v>114</v>
      </c>
      <c r="B575" s="941">
        <v>1.0</v>
      </c>
      <c r="C575" s="941">
        <v>0.0</v>
      </c>
      <c r="D575" s="941">
        <v>1.0</v>
      </c>
      <c r="E575" s="941">
        <v>0.0</v>
      </c>
      <c r="F575" s="941">
        <v>4.0</v>
      </c>
      <c r="G575" s="941">
        <v>95.0</v>
      </c>
      <c r="H575" s="941">
        <v>83.0</v>
      </c>
      <c r="I575" s="941">
        <v>12.0</v>
      </c>
      <c r="J575" s="941">
        <v>6.0</v>
      </c>
      <c r="K575" s="941">
        <v>5.0</v>
      </c>
      <c r="L575" s="941">
        <v>1.0</v>
      </c>
      <c r="M575" s="941">
        <v>1584.0</v>
      </c>
      <c r="N575" s="941">
        <v>1929.0</v>
      </c>
      <c r="O575" s="941">
        <v>19.0</v>
      </c>
      <c r="P575" s="941">
        <v>183.0</v>
      </c>
      <c r="Q575" s="941">
        <v>0.0</v>
      </c>
      <c r="R575" s="941">
        <v>1.0</v>
      </c>
      <c r="S575" s="941">
        <v>0.0</v>
      </c>
      <c r="T575" s="941">
        <v>0.0</v>
      </c>
      <c r="U575" s="941">
        <v>0.0</v>
      </c>
      <c r="V575" s="941">
        <v>0.0</v>
      </c>
      <c r="W575" s="941">
        <v>0.0</v>
      </c>
      <c r="X575" s="941">
        <v>11.0</v>
      </c>
      <c r="Y575" s="941">
        <v>4.0</v>
      </c>
      <c r="Z575" s="941">
        <v>0.0</v>
      </c>
      <c r="AA575" s="941">
        <v>0.0</v>
      </c>
      <c r="AB575" s="941">
        <v>0.0</v>
      </c>
      <c r="AC575" s="941">
        <v>0.0</v>
      </c>
      <c r="AD575" s="941">
        <v>0.0</v>
      </c>
      <c r="AE575" s="941">
        <v>0.0</v>
      </c>
      <c r="AF575" s="941">
        <v>0.0</v>
      </c>
      <c r="AG575" s="941">
        <v>0.0</v>
      </c>
      <c r="AH575" s="941">
        <v>2.0</v>
      </c>
      <c r="AI575" s="941">
        <v>0.0</v>
      </c>
      <c r="AJ575" s="941">
        <v>10.0</v>
      </c>
      <c r="AK575" s="941">
        <v>12.0</v>
      </c>
      <c r="AL575" s="941">
        <v>1.0</v>
      </c>
      <c r="AM575" s="941">
        <v>0.0</v>
      </c>
    </row>
    <row r="576">
      <c r="A576" s="1" t="s">
        <v>147</v>
      </c>
      <c r="B576" s="941">
        <v>1.0</v>
      </c>
      <c r="C576" s="941">
        <v>0.0</v>
      </c>
      <c r="D576" s="941">
        <v>1.0</v>
      </c>
      <c r="E576" s="941">
        <v>0.0</v>
      </c>
      <c r="F576" s="941">
        <v>1.0</v>
      </c>
      <c r="G576" s="941">
        <v>84.0</v>
      </c>
      <c r="H576" s="941">
        <v>113.0</v>
      </c>
      <c r="I576" s="941">
        <v>-29.0</v>
      </c>
      <c r="J576" s="941">
        <v>9.0</v>
      </c>
      <c r="K576" s="941">
        <v>4.0</v>
      </c>
      <c r="L576" s="941">
        <v>3.0</v>
      </c>
      <c r="M576" s="941">
        <v>1495.0</v>
      </c>
      <c r="N576" s="941">
        <v>1929.0</v>
      </c>
      <c r="O576" s="941">
        <v>13.0</v>
      </c>
      <c r="P576" s="941">
        <v>7.0</v>
      </c>
      <c r="Q576" s="941">
        <v>0.0</v>
      </c>
      <c r="R576" s="941">
        <v>0.0</v>
      </c>
      <c r="S576" s="941">
        <v>0.0</v>
      </c>
      <c r="T576" s="941">
        <v>0.0</v>
      </c>
      <c r="U576" s="941">
        <v>0.0</v>
      </c>
      <c r="V576" s="941">
        <v>0.0</v>
      </c>
      <c r="W576" s="941">
        <v>0.0</v>
      </c>
      <c r="X576" s="941">
        <v>8.0</v>
      </c>
      <c r="Y576" s="941">
        <v>3.0</v>
      </c>
      <c r="Z576" s="941">
        <v>1.0</v>
      </c>
      <c r="AA576" s="941">
        <v>0.0</v>
      </c>
      <c r="AB576" s="941">
        <v>0.0</v>
      </c>
      <c r="AC576" s="941">
        <v>0.0</v>
      </c>
      <c r="AD576" s="941">
        <v>0.0</v>
      </c>
      <c r="AE576" s="941">
        <v>0.0</v>
      </c>
      <c r="AF576" s="941">
        <v>0.0</v>
      </c>
      <c r="AG576" s="941">
        <v>0.0</v>
      </c>
      <c r="AH576" s="941">
        <v>8.0</v>
      </c>
      <c r="AI576" s="941">
        <v>0.0</v>
      </c>
      <c r="AJ576" s="941">
        <v>16.0</v>
      </c>
      <c r="AK576" s="941">
        <v>9.0</v>
      </c>
      <c r="AL576" s="941">
        <v>0.0</v>
      </c>
      <c r="AM576" s="941">
        <v>0.0</v>
      </c>
    </row>
    <row r="577">
      <c r="A577" s="882" t="s">
        <v>136</v>
      </c>
      <c r="B577" s="944">
        <v>1.0</v>
      </c>
      <c r="C577" s="944">
        <v>0.0</v>
      </c>
      <c r="D577" s="944">
        <v>1.0</v>
      </c>
      <c r="E577" s="944">
        <v>0.0</v>
      </c>
      <c r="F577" s="944">
        <v>0.0</v>
      </c>
      <c r="G577" s="944">
        <v>136.0</v>
      </c>
      <c r="H577" s="944">
        <v>145.0</v>
      </c>
      <c r="I577" s="944">
        <v>-9.0</v>
      </c>
      <c r="J577" s="944">
        <v>11.0</v>
      </c>
      <c r="K577" s="944">
        <v>5.0</v>
      </c>
      <c r="L577" s="944">
        <v>2.0</v>
      </c>
      <c r="M577" s="944">
        <v>1404.0</v>
      </c>
      <c r="N577" s="944">
        <v>1929.0</v>
      </c>
      <c r="O577" s="944">
        <v>9.0</v>
      </c>
      <c r="P577" s="944">
        <v>9.0</v>
      </c>
      <c r="Q577" s="944">
        <v>0.0</v>
      </c>
      <c r="R577" s="944">
        <v>2.0</v>
      </c>
      <c r="S577" s="944">
        <v>0.0</v>
      </c>
      <c r="T577" s="944">
        <v>0.0</v>
      </c>
      <c r="U577" s="944">
        <v>0.0</v>
      </c>
      <c r="V577" s="944">
        <v>1.0</v>
      </c>
      <c r="W577" s="944">
        <v>0.0</v>
      </c>
      <c r="X577" s="944">
        <v>24.0</v>
      </c>
      <c r="Y577" s="944">
        <v>6.0</v>
      </c>
      <c r="Z577" s="944">
        <v>1.0</v>
      </c>
      <c r="AA577" s="944">
        <v>0.0</v>
      </c>
      <c r="AB577" s="944">
        <v>0.0</v>
      </c>
      <c r="AC577" s="944">
        <v>0.0</v>
      </c>
      <c r="AD577" s="944">
        <v>0.0</v>
      </c>
      <c r="AE577" s="944">
        <v>0.0</v>
      </c>
      <c r="AF577" s="944">
        <v>0.0</v>
      </c>
      <c r="AG577" s="944">
        <v>0.0</v>
      </c>
      <c r="AH577" s="944">
        <v>5.0</v>
      </c>
      <c r="AI577" s="944">
        <v>0.0</v>
      </c>
      <c r="AJ577" s="944">
        <v>11.0</v>
      </c>
      <c r="AK577" s="944">
        <v>17.0</v>
      </c>
      <c r="AL577" s="944">
        <v>0.0</v>
      </c>
      <c r="AM577" s="944">
        <v>0.0</v>
      </c>
    </row>
    <row r="578">
      <c r="A578" s="1" t="s">
        <v>114</v>
      </c>
      <c r="B578" s="941">
        <v>1.0</v>
      </c>
      <c r="C578" s="941">
        <v>1.0</v>
      </c>
      <c r="D578" s="941">
        <v>0.0</v>
      </c>
      <c r="E578" s="941">
        <v>5.0</v>
      </c>
      <c r="F578" s="941">
        <v>14.0</v>
      </c>
      <c r="G578" s="941">
        <v>52.0</v>
      </c>
      <c r="H578" s="941">
        <v>51.0</v>
      </c>
      <c r="I578" s="941">
        <v>1.0</v>
      </c>
      <c r="J578" s="941">
        <v>2.0</v>
      </c>
      <c r="K578" s="941">
        <v>7.0</v>
      </c>
      <c r="L578" s="941">
        <v>2.0</v>
      </c>
      <c r="M578" s="941">
        <v>1320.0</v>
      </c>
      <c r="N578" s="941">
        <v>1582.0</v>
      </c>
      <c r="O578" s="941">
        <v>25.0</v>
      </c>
      <c r="P578" s="941">
        <v>619.0</v>
      </c>
      <c r="Q578" s="941">
        <v>0.0</v>
      </c>
      <c r="R578" s="941">
        <v>2.0</v>
      </c>
      <c r="S578" s="941">
        <v>0.0</v>
      </c>
      <c r="T578" s="941">
        <v>0.0</v>
      </c>
      <c r="U578" s="941">
        <v>0.0</v>
      </c>
      <c r="V578" s="941">
        <v>0.0</v>
      </c>
      <c r="W578" s="941">
        <v>0.0</v>
      </c>
      <c r="X578" s="941">
        <v>4.0</v>
      </c>
      <c r="Y578" s="941">
        <v>0.0</v>
      </c>
      <c r="Z578" s="941">
        <v>0.0</v>
      </c>
      <c r="AA578" s="941">
        <v>0.0</v>
      </c>
      <c r="AB578" s="941">
        <v>0.0</v>
      </c>
      <c r="AC578" s="941">
        <v>0.0</v>
      </c>
      <c r="AD578" s="941">
        <v>0.0</v>
      </c>
      <c r="AE578" s="941">
        <v>0.0</v>
      </c>
      <c r="AF578" s="941">
        <v>0.0</v>
      </c>
      <c r="AG578" s="941">
        <v>0.0</v>
      </c>
      <c r="AH578" s="941">
        <v>1.0</v>
      </c>
      <c r="AI578" s="941">
        <v>1.0</v>
      </c>
      <c r="AJ578" s="941">
        <v>8.0</v>
      </c>
      <c r="AK578" s="941">
        <v>4.0</v>
      </c>
      <c r="AL578" s="941">
        <v>0.0</v>
      </c>
      <c r="AM578" s="941">
        <v>0.0</v>
      </c>
    </row>
    <row r="579">
      <c r="A579" s="1" t="s">
        <v>136</v>
      </c>
      <c r="B579" s="941">
        <v>1.0</v>
      </c>
      <c r="C579" s="941">
        <v>1.0</v>
      </c>
      <c r="D579" s="941">
        <v>0.0</v>
      </c>
      <c r="E579" s="941">
        <v>0.0</v>
      </c>
      <c r="F579" s="941">
        <v>0.0</v>
      </c>
      <c r="G579" s="941">
        <v>86.0</v>
      </c>
      <c r="H579" s="941">
        <v>105.0</v>
      </c>
      <c r="I579" s="941">
        <v>-19.0</v>
      </c>
      <c r="J579" s="941">
        <v>3.0</v>
      </c>
      <c r="K579" s="941">
        <v>5.0</v>
      </c>
      <c r="L579" s="941">
        <v>2.0</v>
      </c>
      <c r="M579" s="941">
        <v>1159.0</v>
      </c>
      <c r="N579" s="941">
        <v>1582.0</v>
      </c>
      <c r="O579" s="941">
        <v>11.0</v>
      </c>
      <c r="P579" s="941">
        <v>6.0</v>
      </c>
      <c r="Q579" s="941">
        <v>0.0</v>
      </c>
      <c r="R579" s="941">
        <v>1.0</v>
      </c>
      <c r="S579" s="941">
        <v>0.0</v>
      </c>
      <c r="T579" s="941">
        <v>0.0</v>
      </c>
      <c r="U579" s="941">
        <v>0.0</v>
      </c>
      <c r="V579" s="941">
        <v>1.0</v>
      </c>
      <c r="W579" s="941">
        <v>0.0</v>
      </c>
      <c r="X579" s="941">
        <v>12.0</v>
      </c>
      <c r="Y579" s="941">
        <v>1.0</v>
      </c>
      <c r="Z579" s="941">
        <v>1.0</v>
      </c>
      <c r="AA579" s="941">
        <v>0.0</v>
      </c>
      <c r="AB579" s="941">
        <v>0.0</v>
      </c>
      <c r="AC579" s="941">
        <v>0.0</v>
      </c>
      <c r="AD579" s="941">
        <v>0.0</v>
      </c>
      <c r="AE579" s="941">
        <v>0.0</v>
      </c>
      <c r="AF579" s="941">
        <v>0.0</v>
      </c>
      <c r="AG579" s="941">
        <v>0.0</v>
      </c>
      <c r="AH579" s="941">
        <v>4.0</v>
      </c>
      <c r="AI579" s="941">
        <v>0.0</v>
      </c>
      <c r="AJ579" s="941">
        <v>7.0</v>
      </c>
      <c r="AK579" s="941">
        <v>24.0</v>
      </c>
      <c r="AL579" s="941">
        <v>1.0</v>
      </c>
      <c r="AM579" s="941">
        <v>0.0</v>
      </c>
    </row>
    <row r="580">
      <c r="A580" s="1" t="s">
        <v>147</v>
      </c>
      <c r="B580" s="941">
        <v>1.0</v>
      </c>
      <c r="C580" s="941">
        <v>1.0</v>
      </c>
      <c r="D580" s="941">
        <v>0.0</v>
      </c>
      <c r="E580" s="941">
        <v>0.0</v>
      </c>
      <c r="F580" s="941">
        <v>0.0</v>
      </c>
      <c r="G580" s="941">
        <v>87.0</v>
      </c>
      <c r="H580" s="941">
        <v>87.0</v>
      </c>
      <c r="I580" s="941">
        <v>0.0</v>
      </c>
      <c r="J580" s="941">
        <v>6.0</v>
      </c>
      <c r="K580" s="941">
        <v>5.0</v>
      </c>
      <c r="L580" s="941">
        <v>3.0</v>
      </c>
      <c r="M580" s="941">
        <v>1210.0</v>
      </c>
      <c r="N580" s="941">
        <v>1582.0</v>
      </c>
      <c r="O580" s="941">
        <v>13.0</v>
      </c>
      <c r="P580" s="941">
        <v>24.0</v>
      </c>
      <c r="Q580" s="941">
        <v>0.0</v>
      </c>
      <c r="R580" s="941">
        <v>1.0</v>
      </c>
      <c r="S580" s="941">
        <v>0.0</v>
      </c>
      <c r="T580" s="941">
        <v>0.0</v>
      </c>
      <c r="U580" s="941">
        <v>0.0</v>
      </c>
      <c r="V580" s="941">
        <v>1.0</v>
      </c>
      <c r="W580" s="941">
        <v>0.0</v>
      </c>
      <c r="X580" s="941">
        <v>13.0</v>
      </c>
      <c r="Y580" s="941">
        <v>3.0</v>
      </c>
      <c r="Z580" s="941">
        <v>0.0</v>
      </c>
      <c r="AA580" s="941">
        <v>0.0</v>
      </c>
      <c r="AB580" s="941">
        <v>0.0</v>
      </c>
      <c r="AC580" s="941">
        <v>0.0</v>
      </c>
      <c r="AD580" s="941">
        <v>0.0</v>
      </c>
      <c r="AE580" s="941">
        <v>0.0</v>
      </c>
      <c r="AF580" s="941">
        <v>0.0</v>
      </c>
      <c r="AG580" s="941">
        <v>0.0</v>
      </c>
      <c r="AH580" s="941">
        <v>6.0</v>
      </c>
      <c r="AI580" s="941">
        <v>0.0</v>
      </c>
      <c r="AJ580" s="941">
        <v>16.0</v>
      </c>
      <c r="AK580" s="941">
        <v>8.0</v>
      </c>
      <c r="AL580" s="941">
        <v>3.0</v>
      </c>
      <c r="AM580" s="941">
        <v>0.0</v>
      </c>
    </row>
    <row r="581">
      <c r="A581" s="1" t="s">
        <v>132</v>
      </c>
      <c r="B581" s="941">
        <v>1.0</v>
      </c>
      <c r="C581" s="941">
        <v>1.0</v>
      </c>
      <c r="D581" s="941">
        <v>0.0</v>
      </c>
      <c r="E581" s="941">
        <v>0.0</v>
      </c>
      <c r="F581" s="941">
        <v>4.0</v>
      </c>
      <c r="G581" s="941">
        <v>90.0</v>
      </c>
      <c r="H581" s="941">
        <v>91.0</v>
      </c>
      <c r="I581" s="941">
        <v>-1.0</v>
      </c>
      <c r="J581" s="941">
        <v>4.0</v>
      </c>
      <c r="K581" s="941">
        <v>5.0</v>
      </c>
      <c r="L581" s="941">
        <v>0.0</v>
      </c>
      <c r="M581" s="941">
        <v>1206.0</v>
      </c>
      <c r="N581" s="941">
        <v>1582.0</v>
      </c>
      <c r="O581" s="941">
        <v>13.0</v>
      </c>
      <c r="P581" s="941">
        <v>155.0</v>
      </c>
      <c r="Q581" s="941">
        <v>0.0</v>
      </c>
      <c r="R581" s="941">
        <v>1.0</v>
      </c>
      <c r="S581" s="941">
        <v>0.0</v>
      </c>
      <c r="T581" s="941">
        <v>0.0</v>
      </c>
      <c r="U581" s="941">
        <v>0.0</v>
      </c>
      <c r="V581" s="941">
        <v>1.0</v>
      </c>
      <c r="W581" s="941">
        <v>0.0</v>
      </c>
      <c r="X581" s="941">
        <v>11.0</v>
      </c>
      <c r="Y581" s="941">
        <v>2.0</v>
      </c>
      <c r="Z581" s="941">
        <v>0.0</v>
      </c>
      <c r="AA581" s="941">
        <v>0.0</v>
      </c>
      <c r="AB581" s="941">
        <v>0.0</v>
      </c>
      <c r="AC581" s="941">
        <v>0.0</v>
      </c>
      <c r="AD581" s="941">
        <v>0.0</v>
      </c>
      <c r="AE581" s="941">
        <v>0.0</v>
      </c>
      <c r="AF581" s="941">
        <v>0.0</v>
      </c>
      <c r="AG581" s="941">
        <v>0.0</v>
      </c>
      <c r="AH581" s="941">
        <v>11.0</v>
      </c>
      <c r="AI581" s="941">
        <v>0.0</v>
      </c>
      <c r="AJ581" s="941">
        <v>6.0</v>
      </c>
      <c r="AK581" s="941">
        <v>11.0</v>
      </c>
      <c r="AL581" s="941">
        <v>2.0</v>
      </c>
      <c r="AM581" s="941">
        <v>0.0</v>
      </c>
    </row>
    <row r="582">
      <c r="A582" s="1" t="s">
        <v>119</v>
      </c>
      <c r="B582" s="941">
        <v>1.0</v>
      </c>
      <c r="C582" s="941">
        <v>0.0</v>
      </c>
      <c r="D582" s="941">
        <v>1.0</v>
      </c>
      <c r="E582" s="941">
        <v>2.0</v>
      </c>
      <c r="F582" s="941">
        <v>11.0</v>
      </c>
      <c r="G582" s="941">
        <v>74.0</v>
      </c>
      <c r="H582" s="941">
        <v>73.0</v>
      </c>
      <c r="I582" s="941">
        <v>1.0</v>
      </c>
      <c r="J582" s="941">
        <v>5.0</v>
      </c>
      <c r="K582" s="941">
        <v>5.0</v>
      </c>
      <c r="L582" s="941">
        <v>4.0</v>
      </c>
      <c r="M582" s="941">
        <v>1258.0</v>
      </c>
      <c r="N582" s="941">
        <v>1582.0</v>
      </c>
      <c r="O582" s="941">
        <v>17.0</v>
      </c>
      <c r="P582" s="941">
        <v>515.0</v>
      </c>
      <c r="Q582" s="941">
        <v>0.0</v>
      </c>
      <c r="R582" s="941">
        <v>2.0</v>
      </c>
      <c r="S582" s="941">
        <v>0.0</v>
      </c>
      <c r="T582" s="941">
        <v>0.0</v>
      </c>
      <c r="U582" s="941">
        <v>0.0</v>
      </c>
      <c r="V582" s="941">
        <v>1.0</v>
      </c>
      <c r="W582" s="941">
        <v>0.0</v>
      </c>
      <c r="X582" s="941">
        <v>8.0</v>
      </c>
      <c r="Y582" s="941">
        <v>2.0</v>
      </c>
      <c r="Z582" s="941">
        <v>0.0</v>
      </c>
      <c r="AA582" s="941">
        <v>0.0</v>
      </c>
      <c r="AB582" s="941">
        <v>0.0</v>
      </c>
      <c r="AC582" s="941">
        <v>0.0</v>
      </c>
      <c r="AD582" s="941">
        <v>0.0</v>
      </c>
      <c r="AE582" s="941">
        <v>0.0</v>
      </c>
      <c r="AF582" s="941">
        <v>0.0</v>
      </c>
      <c r="AG582" s="941">
        <v>0.0</v>
      </c>
      <c r="AH582" s="941">
        <v>0.0</v>
      </c>
      <c r="AI582" s="941">
        <v>0.0</v>
      </c>
      <c r="AJ582" s="941">
        <v>13.0</v>
      </c>
      <c r="AK582" s="941">
        <v>7.0</v>
      </c>
      <c r="AL582" s="941">
        <v>0.0</v>
      </c>
      <c r="AM582" s="941">
        <v>1.0</v>
      </c>
    </row>
    <row r="583">
      <c r="A583" s="1" t="s">
        <v>152</v>
      </c>
      <c r="B583" s="941">
        <v>1.0</v>
      </c>
      <c r="C583" s="941">
        <v>0.0</v>
      </c>
      <c r="D583" s="941">
        <v>1.0</v>
      </c>
      <c r="E583" s="941">
        <v>1.0</v>
      </c>
      <c r="F583" s="941">
        <v>1.0</v>
      </c>
      <c r="G583" s="941">
        <v>83.0</v>
      </c>
      <c r="H583" s="941">
        <v>101.0</v>
      </c>
      <c r="I583" s="941">
        <v>-18.0</v>
      </c>
      <c r="J583" s="941">
        <v>1.0</v>
      </c>
      <c r="K583" s="941">
        <v>4.0</v>
      </c>
      <c r="L583" s="941">
        <v>0.0</v>
      </c>
      <c r="M583" s="941">
        <v>1175.0</v>
      </c>
      <c r="N583" s="941">
        <v>1582.0</v>
      </c>
      <c r="O583" s="941">
        <v>11.0</v>
      </c>
      <c r="P583" s="941">
        <v>13.0</v>
      </c>
      <c r="Q583" s="941">
        <v>0.0</v>
      </c>
      <c r="R583" s="941">
        <v>0.0</v>
      </c>
      <c r="S583" s="941">
        <v>0.0</v>
      </c>
      <c r="T583" s="941">
        <v>0.0</v>
      </c>
      <c r="U583" s="941">
        <v>0.0</v>
      </c>
      <c r="V583" s="941">
        <v>0.0</v>
      </c>
      <c r="W583" s="941">
        <v>0.0</v>
      </c>
      <c r="X583" s="941">
        <v>13.0</v>
      </c>
      <c r="Y583" s="941">
        <v>2.0</v>
      </c>
      <c r="Z583" s="941">
        <v>1.0</v>
      </c>
      <c r="AA583" s="941">
        <v>0.0</v>
      </c>
      <c r="AB583" s="941">
        <v>0.0</v>
      </c>
      <c r="AC583" s="941">
        <v>0.0</v>
      </c>
      <c r="AD583" s="941">
        <v>0.0</v>
      </c>
      <c r="AE583" s="941">
        <v>0.0</v>
      </c>
      <c r="AF583" s="941">
        <v>0.0</v>
      </c>
      <c r="AG583" s="941">
        <v>0.0</v>
      </c>
      <c r="AH583" s="941">
        <v>0.0</v>
      </c>
      <c r="AI583" s="941">
        <v>0.0</v>
      </c>
      <c r="AJ583" s="941">
        <v>8.0</v>
      </c>
      <c r="AK583" s="941">
        <v>8.0</v>
      </c>
      <c r="AL583" s="941">
        <v>0.0</v>
      </c>
      <c r="AM583" s="941">
        <v>1.0</v>
      </c>
    </row>
    <row r="584">
      <c r="A584" s="1" t="s">
        <v>141</v>
      </c>
      <c r="B584" s="941">
        <v>1.0</v>
      </c>
      <c r="C584" s="941">
        <v>0.0</v>
      </c>
      <c r="D584" s="941">
        <v>1.0</v>
      </c>
      <c r="E584" s="941">
        <v>0.0</v>
      </c>
      <c r="F584" s="941">
        <v>1.0</v>
      </c>
      <c r="G584" s="941">
        <v>83.0</v>
      </c>
      <c r="H584" s="941">
        <v>96.0</v>
      </c>
      <c r="I584" s="941">
        <v>-13.0</v>
      </c>
      <c r="J584" s="941">
        <v>6.0</v>
      </c>
      <c r="K584" s="941">
        <v>4.0</v>
      </c>
      <c r="L584" s="941">
        <v>3.0</v>
      </c>
      <c r="M584" s="941">
        <v>1189.0</v>
      </c>
      <c r="N584" s="941">
        <v>1582.0</v>
      </c>
      <c r="O584" s="941">
        <v>12.0</v>
      </c>
      <c r="P584" s="941">
        <v>10.0</v>
      </c>
      <c r="Q584" s="941">
        <v>0.0</v>
      </c>
      <c r="R584" s="941">
        <v>0.0</v>
      </c>
      <c r="S584" s="941">
        <v>0.0</v>
      </c>
      <c r="T584" s="941">
        <v>0.0</v>
      </c>
      <c r="U584" s="941">
        <v>0.0</v>
      </c>
      <c r="V584" s="941">
        <v>0.0</v>
      </c>
      <c r="W584" s="941">
        <v>0.0</v>
      </c>
      <c r="X584" s="941">
        <v>17.0</v>
      </c>
      <c r="Y584" s="941">
        <v>1.0</v>
      </c>
      <c r="Z584" s="941">
        <v>0.0</v>
      </c>
      <c r="AA584" s="941">
        <v>0.0</v>
      </c>
      <c r="AB584" s="941">
        <v>0.0</v>
      </c>
      <c r="AC584" s="941">
        <v>0.0</v>
      </c>
      <c r="AD584" s="941">
        <v>0.0</v>
      </c>
      <c r="AE584" s="941">
        <v>0.0</v>
      </c>
      <c r="AF584" s="941">
        <v>0.0</v>
      </c>
      <c r="AG584" s="941">
        <v>0.0</v>
      </c>
      <c r="AH584" s="941">
        <v>1.0</v>
      </c>
      <c r="AI584" s="941">
        <v>0.0</v>
      </c>
      <c r="AJ584" s="941">
        <v>6.0</v>
      </c>
      <c r="AK584" s="941">
        <v>11.0</v>
      </c>
      <c r="AL584" s="941">
        <v>1.0</v>
      </c>
      <c r="AM584" s="941">
        <v>1.0</v>
      </c>
    </row>
    <row r="585">
      <c r="A585" s="882" t="s">
        <v>130</v>
      </c>
      <c r="B585" s="944">
        <v>1.0</v>
      </c>
      <c r="C585" s="944">
        <v>0.0</v>
      </c>
      <c r="D585" s="944">
        <v>1.0</v>
      </c>
      <c r="E585" s="944">
        <v>0.0</v>
      </c>
      <c r="F585" s="944">
        <v>0.0</v>
      </c>
      <c r="G585" s="944">
        <v>74.0</v>
      </c>
      <c r="H585" s="944">
        <v>64.0</v>
      </c>
      <c r="I585" s="944">
        <v>10.0</v>
      </c>
      <c r="J585" s="944">
        <v>8.0</v>
      </c>
      <c r="K585" s="944">
        <v>4.0</v>
      </c>
      <c r="L585" s="944">
        <v>1.0</v>
      </c>
      <c r="M585" s="944">
        <v>1283.0</v>
      </c>
      <c r="N585" s="944">
        <v>1582.0</v>
      </c>
      <c r="O585" s="944">
        <v>20.0</v>
      </c>
      <c r="P585" s="944">
        <v>6.0</v>
      </c>
      <c r="Q585" s="944">
        <v>0.0</v>
      </c>
      <c r="R585" s="944">
        <v>0.0</v>
      </c>
      <c r="S585" s="944">
        <v>0.0</v>
      </c>
      <c r="T585" s="944">
        <v>0.0</v>
      </c>
      <c r="U585" s="944">
        <v>0.0</v>
      </c>
      <c r="V585" s="944">
        <v>0.0</v>
      </c>
      <c r="W585" s="944">
        <v>0.0</v>
      </c>
      <c r="X585" s="944">
        <v>6.0</v>
      </c>
      <c r="Y585" s="944">
        <v>1.0</v>
      </c>
      <c r="Z585" s="944">
        <v>0.0</v>
      </c>
      <c r="AA585" s="944">
        <v>0.0</v>
      </c>
      <c r="AB585" s="944">
        <v>0.0</v>
      </c>
      <c r="AC585" s="944">
        <v>0.0</v>
      </c>
      <c r="AD585" s="944">
        <v>0.0</v>
      </c>
      <c r="AE585" s="944">
        <v>0.0</v>
      </c>
      <c r="AF585" s="944">
        <v>0.0</v>
      </c>
      <c r="AG585" s="944">
        <v>0.0</v>
      </c>
      <c r="AH585" s="944">
        <v>4.0</v>
      </c>
      <c r="AI585" s="944">
        <v>0.0</v>
      </c>
      <c r="AJ585" s="944">
        <v>11.0</v>
      </c>
      <c r="AK585" s="944">
        <v>4.0</v>
      </c>
      <c r="AL585" s="944">
        <v>1.0</v>
      </c>
      <c r="AM585" s="944">
        <v>1.0</v>
      </c>
    </row>
    <row r="586">
      <c r="A586" s="1" t="s">
        <v>132</v>
      </c>
      <c r="B586" s="941">
        <v>1.0</v>
      </c>
      <c r="C586" s="941">
        <v>1.0</v>
      </c>
      <c r="D586" s="941">
        <v>0.0</v>
      </c>
      <c r="E586" s="941">
        <v>4.0</v>
      </c>
      <c r="F586" s="941">
        <v>24.0</v>
      </c>
      <c r="G586" s="941">
        <v>105.0</v>
      </c>
      <c r="H586" s="941">
        <v>80.0</v>
      </c>
      <c r="I586" s="941">
        <v>25.0</v>
      </c>
      <c r="J586" s="941">
        <v>1.0</v>
      </c>
      <c r="K586" s="941">
        <v>6.0</v>
      </c>
      <c r="L586" s="941">
        <v>0.0</v>
      </c>
      <c r="M586" s="941">
        <v>1495.0</v>
      </c>
      <c r="N586" s="941">
        <v>1839.0</v>
      </c>
      <c r="O586" s="941">
        <v>18.0</v>
      </c>
      <c r="P586" s="941">
        <v>518.0</v>
      </c>
      <c r="Q586" s="941">
        <v>0.0</v>
      </c>
      <c r="R586" s="941">
        <v>4.0</v>
      </c>
      <c r="S586" s="941">
        <v>0.0</v>
      </c>
      <c r="T586" s="941">
        <v>0.0</v>
      </c>
      <c r="U586" s="941">
        <v>0.0</v>
      </c>
      <c r="V586" s="941">
        <v>0.0</v>
      </c>
      <c r="W586" s="941">
        <v>0.0</v>
      </c>
      <c r="X586" s="941">
        <v>14.0</v>
      </c>
      <c r="Y586" s="941">
        <v>3.0</v>
      </c>
      <c r="Z586" s="941">
        <v>0.0</v>
      </c>
      <c r="AA586" s="941">
        <v>0.0</v>
      </c>
      <c r="AB586" s="941">
        <v>0.0</v>
      </c>
      <c r="AC586" s="941">
        <v>0.0</v>
      </c>
      <c r="AD586" s="941">
        <v>0.0</v>
      </c>
      <c r="AE586" s="941">
        <v>0.0</v>
      </c>
      <c r="AF586" s="941">
        <v>0.0</v>
      </c>
      <c r="AG586" s="941">
        <v>0.0</v>
      </c>
      <c r="AH586" s="941">
        <v>2.0</v>
      </c>
      <c r="AI586" s="941">
        <v>1.0</v>
      </c>
      <c r="AJ586" s="941">
        <v>17.0</v>
      </c>
      <c r="AK586" s="941">
        <v>10.0</v>
      </c>
      <c r="AL586" s="941">
        <v>1.0</v>
      </c>
      <c r="AM586" s="941">
        <v>0.0</v>
      </c>
    </row>
    <row r="587">
      <c r="A587" s="1" t="s">
        <v>136</v>
      </c>
      <c r="B587" s="941">
        <v>1.0</v>
      </c>
      <c r="C587" s="941">
        <v>1.0</v>
      </c>
      <c r="D587" s="941">
        <v>0.0</v>
      </c>
      <c r="E587" s="941">
        <v>1.0</v>
      </c>
      <c r="F587" s="941">
        <v>0.0</v>
      </c>
      <c r="G587" s="941">
        <v>115.0</v>
      </c>
      <c r="H587" s="941">
        <v>120.0</v>
      </c>
      <c r="I587" s="941">
        <v>-5.0</v>
      </c>
      <c r="J587" s="941">
        <v>5.0</v>
      </c>
      <c r="K587" s="941">
        <v>5.0</v>
      </c>
      <c r="L587" s="941">
        <v>0.0</v>
      </c>
      <c r="M587" s="941">
        <v>1384.0</v>
      </c>
      <c r="N587" s="941">
        <v>1839.0</v>
      </c>
      <c r="O587" s="941">
        <v>11.0</v>
      </c>
      <c r="P587" s="941">
        <v>10.0</v>
      </c>
      <c r="Q587" s="941">
        <v>0.0</v>
      </c>
      <c r="R587" s="941">
        <v>1.0</v>
      </c>
      <c r="S587" s="941">
        <v>0.0</v>
      </c>
      <c r="T587" s="941">
        <v>0.0</v>
      </c>
      <c r="U587" s="941">
        <v>0.0</v>
      </c>
      <c r="V587" s="941">
        <v>1.0</v>
      </c>
      <c r="W587" s="941">
        <v>0.0</v>
      </c>
      <c r="X587" s="941">
        <v>24.0</v>
      </c>
      <c r="Y587" s="941">
        <v>4.0</v>
      </c>
      <c r="Z587" s="941">
        <v>1.0</v>
      </c>
      <c r="AA587" s="941">
        <v>1.0</v>
      </c>
      <c r="AB587" s="941">
        <v>0.0</v>
      </c>
      <c r="AC587" s="941">
        <v>0.0</v>
      </c>
      <c r="AD587" s="941">
        <v>0.0</v>
      </c>
      <c r="AE587" s="941">
        <v>0.0</v>
      </c>
      <c r="AF587" s="941">
        <v>0.0</v>
      </c>
      <c r="AG587" s="941">
        <v>0.0</v>
      </c>
      <c r="AH587" s="941">
        <v>5.0</v>
      </c>
      <c r="AI587" s="941">
        <v>0.0</v>
      </c>
      <c r="AJ587" s="941">
        <v>7.0</v>
      </c>
      <c r="AK587" s="941">
        <v>19.0</v>
      </c>
      <c r="AL587" s="941">
        <v>0.0</v>
      </c>
      <c r="AM587" s="941">
        <v>0.0</v>
      </c>
    </row>
    <row r="588">
      <c r="A588" s="1" t="s">
        <v>114</v>
      </c>
      <c r="B588" s="941">
        <v>1.0</v>
      </c>
      <c r="C588" s="941">
        <v>1.0</v>
      </c>
      <c r="D588" s="941">
        <v>0.0</v>
      </c>
      <c r="E588" s="941">
        <v>0.0</v>
      </c>
      <c r="F588" s="941">
        <v>1.0</v>
      </c>
      <c r="G588" s="941">
        <v>86.0</v>
      </c>
      <c r="H588" s="941">
        <v>101.0</v>
      </c>
      <c r="I588" s="941">
        <v>-15.0</v>
      </c>
      <c r="J588" s="941">
        <v>8.0</v>
      </c>
      <c r="K588" s="941">
        <v>5.0</v>
      </c>
      <c r="L588" s="941">
        <v>1.0</v>
      </c>
      <c r="M588" s="941">
        <v>1443.0</v>
      </c>
      <c r="N588" s="941">
        <v>1839.0</v>
      </c>
      <c r="O588" s="941">
        <v>14.0</v>
      </c>
      <c r="P588" s="941">
        <v>79.0</v>
      </c>
      <c r="Q588" s="941">
        <v>0.0</v>
      </c>
      <c r="R588" s="941">
        <v>2.0</v>
      </c>
      <c r="S588" s="941">
        <v>0.0</v>
      </c>
      <c r="T588" s="941">
        <v>0.0</v>
      </c>
      <c r="U588" s="941">
        <v>0.0</v>
      </c>
      <c r="V588" s="941">
        <v>2.0</v>
      </c>
      <c r="W588" s="941">
        <v>0.0</v>
      </c>
      <c r="X588" s="941">
        <v>8.0</v>
      </c>
      <c r="Y588" s="941">
        <v>2.0</v>
      </c>
      <c r="Z588" s="941">
        <v>0.0</v>
      </c>
      <c r="AA588" s="941">
        <v>0.0</v>
      </c>
      <c r="AB588" s="941">
        <v>0.0</v>
      </c>
      <c r="AC588" s="941">
        <v>0.0</v>
      </c>
      <c r="AD588" s="941">
        <v>0.0</v>
      </c>
      <c r="AE588" s="941">
        <v>0.0</v>
      </c>
      <c r="AF588" s="941">
        <v>0.0</v>
      </c>
      <c r="AG588" s="941">
        <v>0.0</v>
      </c>
      <c r="AH588" s="941">
        <v>0.0</v>
      </c>
      <c r="AI588" s="941">
        <v>0.0</v>
      </c>
      <c r="AJ588" s="941">
        <v>13.0</v>
      </c>
      <c r="AK588" s="941">
        <v>15.0</v>
      </c>
      <c r="AL588" s="941">
        <v>1.0</v>
      </c>
      <c r="AM588" s="941">
        <v>0.0</v>
      </c>
    </row>
    <row r="589">
      <c r="A589" s="1" t="s">
        <v>147</v>
      </c>
      <c r="B589" s="941">
        <v>1.0</v>
      </c>
      <c r="C589" s="941">
        <v>1.0</v>
      </c>
      <c r="D589" s="941">
        <v>0.0</v>
      </c>
      <c r="E589" s="941">
        <v>0.0</v>
      </c>
      <c r="F589" s="941">
        <v>0.0</v>
      </c>
      <c r="G589" s="941">
        <v>91.0</v>
      </c>
      <c r="H589" s="941">
        <v>115.0</v>
      </c>
      <c r="I589" s="941">
        <v>-24.0</v>
      </c>
      <c r="J589" s="941">
        <v>7.0</v>
      </c>
      <c r="K589" s="941">
        <v>5.0</v>
      </c>
      <c r="L589" s="941">
        <v>3.0</v>
      </c>
      <c r="M589" s="941">
        <v>1403.0</v>
      </c>
      <c r="N589" s="941">
        <v>1839.0</v>
      </c>
      <c r="O589" s="941">
        <v>12.0</v>
      </c>
      <c r="P589" s="941">
        <v>13.0</v>
      </c>
      <c r="Q589" s="941">
        <v>0.0</v>
      </c>
      <c r="R589" s="941">
        <v>1.0</v>
      </c>
      <c r="S589" s="941">
        <v>0.0</v>
      </c>
      <c r="T589" s="941">
        <v>0.0</v>
      </c>
      <c r="U589" s="941">
        <v>0.0</v>
      </c>
      <c r="V589" s="941">
        <v>1.0</v>
      </c>
      <c r="W589" s="941">
        <v>0.0</v>
      </c>
      <c r="X589" s="941">
        <v>14.0</v>
      </c>
      <c r="Y589" s="941">
        <v>1.0</v>
      </c>
      <c r="Z589" s="941">
        <v>1.0</v>
      </c>
      <c r="AA589" s="941">
        <v>0.0</v>
      </c>
      <c r="AB589" s="941">
        <v>0.0</v>
      </c>
      <c r="AC589" s="941">
        <v>0.0</v>
      </c>
      <c r="AD589" s="941">
        <v>0.0</v>
      </c>
      <c r="AE589" s="941">
        <v>0.0</v>
      </c>
      <c r="AF589" s="941">
        <v>0.0</v>
      </c>
      <c r="AG589" s="941">
        <v>0.0</v>
      </c>
      <c r="AH589" s="941">
        <v>7.0</v>
      </c>
      <c r="AI589" s="941">
        <v>0.0</v>
      </c>
      <c r="AJ589" s="941">
        <v>5.0</v>
      </c>
      <c r="AK589" s="941">
        <v>10.0</v>
      </c>
      <c r="AL589" s="941">
        <v>2.0</v>
      </c>
      <c r="AM589" s="941">
        <v>0.0</v>
      </c>
    </row>
    <row r="590">
      <c r="A590" s="1" t="s">
        <v>119</v>
      </c>
      <c r="B590" s="941">
        <v>1.0</v>
      </c>
      <c r="C590" s="941">
        <v>0.0</v>
      </c>
      <c r="D590" s="941">
        <v>1.0</v>
      </c>
      <c r="E590" s="941">
        <v>2.0</v>
      </c>
      <c r="F590" s="941">
        <v>29.0</v>
      </c>
      <c r="G590" s="941">
        <v>81.0</v>
      </c>
      <c r="H590" s="941">
        <v>64.0</v>
      </c>
      <c r="I590" s="941">
        <v>17.0</v>
      </c>
      <c r="J590" s="941">
        <v>6.0</v>
      </c>
      <c r="K590" s="941">
        <v>10.0</v>
      </c>
      <c r="L590" s="941">
        <v>0.0</v>
      </c>
      <c r="M590" s="941">
        <v>1549.0</v>
      </c>
      <c r="N590" s="941">
        <v>1839.0</v>
      </c>
      <c r="O590" s="941">
        <v>24.0</v>
      </c>
      <c r="P590" s="941">
        <v>956.0</v>
      </c>
      <c r="Q590" s="941">
        <v>0.0</v>
      </c>
      <c r="R590" s="941">
        <v>2.0</v>
      </c>
      <c r="S590" s="941">
        <v>1.0</v>
      </c>
      <c r="T590" s="941">
        <v>0.0</v>
      </c>
      <c r="U590" s="941">
        <v>0.0</v>
      </c>
      <c r="V590" s="941">
        <v>0.0</v>
      </c>
      <c r="W590" s="941">
        <v>0.0</v>
      </c>
      <c r="X590" s="941">
        <v>12.0</v>
      </c>
      <c r="Y590" s="941">
        <v>1.0</v>
      </c>
      <c r="Z590" s="941">
        <v>0.0</v>
      </c>
      <c r="AA590" s="941">
        <v>0.0</v>
      </c>
      <c r="AB590" s="941">
        <v>0.0</v>
      </c>
      <c r="AC590" s="941">
        <v>0.0</v>
      </c>
      <c r="AD590" s="941">
        <v>0.0</v>
      </c>
      <c r="AE590" s="941">
        <v>0.0</v>
      </c>
      <c r="AF590" s="941">
        <v>0.0</v>
      </c>
      <c r="AG590" s="941">
        <v>0.0</v>
      </c>
      <c r="AH590" s="941">
        <v>0.0</v>
      </c>
      <c r="AI590" s="941">
        <v>0.0</v>
      </c>
      <c r="AJ590" s="941">
        <v>14.0</v>
      </c>
      <c r="AK590" s="941">
        <v>9.0</v>
      </c>
      <c r="AL590" s="941">
        <v>0.0</v>
      </c>
      <c r="AM590" s="941">
        <v>1.0</v>
      </c>
    </row>
    <row r="591">
      <c r="A591" s="1" t="s">
        <v>130</v>
      </c>
      <c r="B591" s="941">
        <v>1.0</v>
      </c>
      <c r="C591" s="941">
        <v>0.0</v>
      </c>
      <c r="D591" s="941">
        <v>1.0</v>
      </c>
      <c r="E591" s="941">
        <v>0.0</v>
      </c>
      <c r="F591" s="941">
        <v>0.0</v>
      </c>
      <c r="G591" s="941">
        <v>119.0</v>
      </c>
      <c r="H591" s="941">
        <v>89.0</v>
      </c>
      <c r="I591" s="941">
        <v>30.0</v>
      </c>
      <c r="J591" s="941">
        <v>11.0</v>
      </c>
      <c r="K591" s="941">
        <v>7.0</v>
      </c>
      <c r="L591" s="941">
        <v>5.0</v>
      </c>
      <c r="M591" s="941">
        <v>1477.0</v>
      </c>
      <c r="N591" s="941">
        <v>1839.0</v>
      </c>
      <c r="O591" s="941">
        <v>16.0</v>
      </c>
      <c r="P591" s="941">
        <v>14.0</v>
      </c>
      <c r="Q591" s="941">
        <v>0.0</v>
      </c>
      <c r="R591" s="941">
        <v>5.0</v>
      </c>
      <c r="S591" s="941">
        <v>0.0</v>
      </c>
      <c r="T591" s="941">
        <v>0.0</v>
      </c>
      <c r="U591" s="941">
        <v>0.0</v>
      </c>
      <c r="V591" s="941">
        <v>5.0</v>
      </c>
      <c r="W591" s="941">
        <v>0.0</v>
      </c>
      <c r="X591" s="941">
        <v>19.0</v>
      </c>
      <c r="Y591" s="941">
        <v>3.0</v>
      </c>
      <c r="Z591" s="941">
        <v>1.0</v>
      </c>
      <c r="AA591" s="941">
        <v>1.0</v>
      </c>
      <c r="AB591" s="941">
        <v>1.0</v>
      </c>
      <c r="AC591" s="941">
        <v>0.0</v>
      </c>
      <c r="AD591" s="941">
        <v>0.0</v>
      </c>
      <c r="AE591" s="941">
        <v>0.0</v>
      </c>
      <c r="AF591" s="941">
        <v>0.0</v>
      </c>
      <c r="AG591" s="941">
        <v>0.0</v>
      </c>
      <c r="AH591" s="941">
        <v>5.0</v>
      </c>
      <c r="AI591" s="941">
        <v>0.0</v>
      </c>
      <c r="AJ591" s="941">
        <v>13.0</v>
      </c>
      <c r="AK591" s="941">
        <v>13.0</v>
      </c>
      <c r="AL591" s="941">
        <v>1.0</v>
      </c>
      <c r="AM591" s="941">
        <v>1.0</v>
      </c>
    </row>
    <row r="592">
      <c r="A592" s="1" t="s">
        <v>152</v>
      </c>
      <c r="B592" s="941">
        <v>1.0</v>
      </c>
      <c r="C592" s="941">
        <v>0.0</v>
      </c>
      <c r="D592" s="941">
        <v>1.0</v>
      </c>
      <c r="E592" s="941">
        <v>0.0</v>
      </c>
      <c r="F592" s="941">
        <v>1.0</v>
      </c>
      <c r="G592" s="941">
        <v>101.0</v>
      </c>
      <c r="H592" s="941">
        <v>128.0</v>
      </c>
      <c r="I592" s="941">
        <v>-27.0</v>
      </c>
      <c r="J592" s="941">
        <v>5.0</v>
      </c>
      <c r="K592" s="941">
        <v>7.0</v>
      </c>
      <c r="L592" s="941">
        <v>0.0</v>
      </c>
      <c r="M592" s="941">
        <v>1364.0</v>
      </c>
      <c r="N592" s="941">
        <v>1839.0</v>
      </c>
      <c r="O592" s="941">
        <v>10.0</v>
      </c>
      <c r="P592" s="941">
        <v>12.0</v>
      </c>
      <c r="Q592" s="941">
        <v>0.0</v>
      </c>
      <c r="R592" s="941">
        <v>1.0</v>
      </c>
      <c r="S592" s="941">
        <v>0.0</v>
      </c>
      <c r="T592" s="941">
        <v>0.0</v>
      </c>
      <c r="U592" s="941">
        <v>0.0</v>
      </c>
      <c r="V592" s="941">
        <v>1.0</v>
      </c>
      <c r="W592" s="941">
        <v>0.0</v>
      </c>
      <c r="X592" s="941">
        <v>9.0</v>
      </c>
      <c r="Y592" s="941">
        <v>1.0</v>
      </c>
      <c r="Z592" s="941">
        <v>0.0</v>
      </c>
      <c r="AA592" s="941">
        <v>0.0</v>
      </c>
      <c r="AB592" s="941">
        <v>0.0</v>
      </c>
      <c r="AC592" s="941">
        <v>0.0</v>
      </c>
      <c r="AD592" s="941">
        <v>0.0</v>
      </c>
      <c r="AE592" s="941">
        <v>0.0</v>
      </c>
      <c r="AF592" s="941">
        <v>0.0</v>
      </c>
      <c r="AG592" s="941">
        <v>0.0</v>
      </c>
      <c r="AH592" s="941">
        <v>4.0</v>
      </c>
      <c r="AI592" s="941">
        <v>0.0</v>
      </c>
      <c r="AJ592" s="941">
        <v>13.0</v>
      </c>
      <c r="AK592" s="941">
        <v>10.0</v>
      </c>
      <c r="AL592" s="941">
        <v>0.0</v>
      </c>
      <c r="AM592" s="941">
        <v>1.0</v>
      </c>
    </row>
    <row r="593">
      <c r="A593" s="1" t="s">
        <v>141</v>
      </c>
      <c r="B593" s="941">
        <v>1.0</v>
      </c>
      <c r="C593" s="941">
        <v>0.0</v>
      </c>
      <c r="D593" s="941">
        <v>1.0</v>
      </c>
      <c r="E593" s="941">
        <v>0.0</v>
      </c>
      <c r="F593" s="941">
        <v>0.0</v>
      </c>
      <c r="G593" s="941">
        <v>104.0</v>
      </c>
      <c r="H593" s="941">
        <v>134.0</v>
      </c>
      <c r="I593" s="941">
        <v>-30.0</v>
      </c>
      <c r="J593" s="941">
        <v>10.0</v>
      </c>
      <c r="K593" s="941">
        <v>4.0</v>
      </c>
      <c r="L593" s="941">
        <v>6.0</v>
      </c>
      <c r="M593" s="941">
        <v>1343.0</v>
      </c>
      <c r="N593" s="941">
        <v>1839.0</v>
      </c>
      <c r="O593" s="941">
        <v>10.0</v>
      </c>
      <c r="P593" s="941">
        <v>18.0</v>
      </c>
      <c r="Q593" s="941">
        <v>0.0</v>
      </c>
      <c r="R593" s="941">
        <v>0.0</v>
      </c>
      <c r="S593" s="941">
        <v>0.0</v>
      </c>
      <c r="T593" s="941">
        <v>0.0</v>
      </c>
      <c r="U593" s="941">
        <v>0.0</v>
      </c>
      <c r="V593" s="941">
        <v>0.0</v>
      </c>
      <c r="W593" s="941">
        <v>0.0</v>
      </c>
      <c r="X593" s="941">
        <v>19.0</v>
      </c>
      <c r="Y593" s="941">
        <v>4.0</v>
      </c>
      <c r="Z593" s="941">
        <v>1.0</v>
      </c>
      <c r="AA593" s="941">
        <v>0.0</v>
      </c>
      <c r="AB593" s="941">
        <v>0.0</v>
      </c>
      <c r="AC593" s="941">
        <v>0.0</v>
      </c>
      <c r="AD593" s="941">
        <v>0.0</v>
      </c>
      <c r="AE593" s="941">
        <v>0.0</v>
      </c>
      <c r="AF593" s="941">
        <v>0.0</v>
      </c>
      <c r="AG593" s="941">
        <v>0.0</v>
      </c>
      <c r="AH593" s="941">
        <v>1.0</v>
      </c>
      <c r="AI593" s="941">
        <v>0.0</v>
      </c>
      <c r="AJ593" s="941">
        <v>10.0</v>
      </c>
      <c r="AK593" s="941">
        <v>14.0</v>
      </c>
      <c r="AL593" s="941">
        <v>2.0</v>
      </c>
      <c r="AM593" s="941">
        <v>1.0</v>
      </c>
    </row>
    <row r="594">
      <c r="A594" s="946" t="s">
        <v>132</v>
      </c>
      <c r="B594" s="939">
        <v>1.0</v>
      </c>
      <c r="C594" s="939">
        <v>1.0</v>
      </c>
      <c r="D594" s="939">
        <v>0.0</v>
      </c>
      <c r="E594" s="939">
        <v>3.0</v>
      </c>
      <c r="F594" s="939">
        <v>7.0</v>
      </c>
      <c r="G594" s="939">
        <v>72.0</v>
      </c>
      <c r="H594" s="939">
        <v>85.0</v>
      </c>
      <c r="I594" s="939">
        <v>-13.0</v>
      </c>
      <c r="J594" s="939">
        <v>6.0</v>
      </c>
      <c r="K594" s="939">
        <v>5.0</v>
      </c>
      <c r="L594" s="939">
        <v>1.0</v>
      </c>
      <c r="M594" s="939">
        <v>1054.0</v>
      </c>
      <c r="N594" s="939">
        <v>1438.0</v>
      </c>
      <c r="O594" s="939">
        <v>12.0</v>
      </c>
      <c r="P594" s="939">
        <v>203.0</v>
      </c>
      <c r="Q594" s="939">
        <v>0.0</v>
      </c>
      <c r="R594" s="939">
        <v>2.0</v>
      </c>
      <c r="S594" s="939">
        <v>0.0</v>
      </c>
      <c r="T594" s="939">
        <v>0.0</v>
      </c>
      <c r="U594" s="939">
        <v>0.0</v>
      </c>
      <c r="V594" s="939">
        <v>1.0</v>
      </c>
      <c r="W594" s="939">
        <v>0.0</v>
      </c>
      <c r="X594" s="939">
        <v>9.0</v>
      </c>
      <c r="Y594" s="939">
        <v>2.0</v>
      </c>
      <c r="Z594" s="939">
        <v>1.0</v>
      </c>
      <c r="AA594" s="939">
        <v>1.0</v>
      </c>
      <c r="AB594" s="939">
        <v>0.0</v>
      </c>
      <c r="AC594" s="939">
        <v>0.0</v>
      </c>
      <c r="AD594" s="939">
        <v>0.0</v>
      </c>
      <c r="AE594" s="939">
        <v>0.0</v>
      </c>
      <c r="AF594" s="939">
        <v>0.0</v>
      </c>
      <c r="AG594" s="939">
        <v>0.0</v>
      </c>
      <c r="AH594" s="939">
        <v>1.0</v>
      </c>
      <c r="AI594" s="939">
        <v>0.0</v>
      </c>
      <c r="AJ594" s="939">
        <v>7.0</v>
      </c>
      <c r="AK594" s="939">
        <v>4.0</v>
      </c>
      <c r="AL594" s="939">
        <v>2.0</v>
      </c>
      <c r="AM594" s="940">
        <v>0.0</v>
      </c>
    </row>
    <row r="595">
      <c r="A595" s="935" t="s">
        <v>121</v>
      </c>
      <c r="B595" s="941">
        <v>1.0</v>
      </c>
      <c r="C595" s="941">
        <v>1.0</v>
      </c>
      <c r="D595" s="941">
        <v>0.0</v>
      </c>
      <c r="E595" s="941">
        <v>1.0</v>
      </c>
      <c r="F595" s="941">
        <v>0.0</v>
      </c>
      <c r="G595" s="941">
        <v>75.0</v>
      </c>
      <c r="H595" s="941">
        <v>70.0</v>
      </c>
      <c r="I595" s="941">
        <v>5.0</v>
      </c>
      <c r="J595" s="941">
        <v>3.0</v>
      </c>
      <c r="K595" s="941">
        <v>5.0</v>
      </c>
      <c r="L595" s="941">
        <v>2.0</v>
      </c>
      <c r="M595" s="941">
        <v>1108.0</v>
      </c>
      <c r="N595" s="941">
        <v>1438.0</v>
      </c>
      <c r="O595" s="941">
        <v>15.0</v>
      </c>
      <c r="P595" s="941">
        <v>16.0</v>
      </c>
      <c r="Q595" s="941">
        <v>0.0</v>
      </c>
      <c r="R595" s="941">
        <v>1.0</v>
      </c>
      <c r="S595" s="941">
        <v>0.0</v>
      </c>
      <c r="T595" s="941">
        <v>0.0</v>
      </c>
      <c r="U595" s="941">
        <v>0.0</v>
      </c>
      <c r="V595" s="941">
        <v>1.0</v>
      </c>
      <c r="W595" s="941">
        <v>0.0</v>
      </c>
      <c r="X595" s="941">
        <v>11.0</v>
      </c>
      <c r="Y595" s="941">
        <v>1.0</v>
      </c>
      <c r="Z595" s="941">
        <v>0.0</v>
      </c>
      <c r="AA595" s="941">
        <v>0.0</v>
      </c>
      <c r="AB595" s="941">
        <v>0.0</v>
      </c>
      <c r="AC595" s="941">
        <v>0.0</v>
      </c>
      <c r="AD595" s="941">
        <v>0.0</v>
      </c>
      <c r="AE595" s="941">
        <v>0.0</v>
      </c>
      <c r="AF595" s="941">
        <v>0.0</v>
      </c>
      <c r="AG595" s="941">
        <v>0.0</v>
      </c>
      <c r="AH595" s="941">
        <v>3.0</v>
      </c>
      <c r="AI595" s="941">
        <v>0.0</v>
      </c>
      <c r="AJ595" s="941">
        <v>3.0</v>
      </c>
      <c r="AK595" s="941">
        <v>9.0</v>
      </c>
      <c r="AL595" s="941">
        <v>2.0</v>
      </c>
      <c r="AM595" s="942">
        <v>0.0</v>
      </c>
    </row>
    <row r="596">
      <c r="A596" s="935" t="s">
        <v>154</v>
      </c>
      <c r="B596" s="941">
        <v>1.0</v>
      </c>
      <c r="C596" s="941">
        <v>1.0</v>
      </c>
      <c r="D596" s="941">
        <v>0.0</v>
      </c>
      <c r="E596" s="941">
        <v>1.0</v>
      </c>
      <c r="F596" s="941">
        <v>6.0</v>
      </c>
      <c r="G596" s="941">
        <v>40.0</v>
      </c>
      <c r="H596" s="941">
        <v>53.0</v>
      </c>
      <c r="I596" s="941">
        <v>-13.0</v>
      </c>
      <c r="J596" s="941">
        <v>1.0</v>
      </c>
      <c r="K596" s="941">
        <v>5.0</v>
      </c>
      <c r="L596" s="941">
        <v>0.0</v>
      </c>
      <c r="M596" s="941">
        <v>1157.0</v>
      </c>
      <c r="N596" s="941">
        <v>1438.0</v>
      </c>
      <c r="O596" s="941">
        <v>21.0</v>
      </c>
      <c r="P596" s="941">
        <v>386.0</v>
      </c>
      <c r="Q596" s="941">
        <v>0.0</v>
      </c>
      <c r="R596" s="941">
        <v>1.0</v>
      </c>
      <c r="S596" s="941">
        <v>0.0</v>
      </c>
      <c r="T596" s="941">
        <v>0.0</v>
      </c>
      <c r="U596" s="941">
        <v>0.0</v>
      </c>
      <c r="V596" s="941">
        <v>0.0</v>
      </c>
      <c r="W596" s="941">
        <v>0.0</v>
      </c>
      <c r="X596" s="941">
        <v>4.0</v>
      </c>
      <c r="Y596" s="941">
        <v>0.0</v>
      </c>
      <c r="Z596" s="941">
        <v>0.0</v>
      </c>
      <c r="AA596" s="941">
        <v>0.0</v>
      </c>
      <c r="AB596" s="941">
        <v>0.0</v>
      </c>
      <c r="AC596" s="941">
        <v>0.0</v>
      </c>
      <c r="AD596" s="941">
        <v>0.0</v>
      </c>
      <c r="AE596" s="941">
        <v>0.0</v>
      </c>
      <c r="AF596" s="941">
        <v>0.0</v>
      </c>
      <c r="AG596" s="941">
        <v>0.0</v>
      </c>
      <c r="AH596" s="941">
        <v>4.0</v>
      </c>
      <c r="AI596" s="941">
        <v>0.0</v>
      </c>
      <c r="AJ596" s="941">
        <v>1.0</v>
      </c>
      <c r="AK596" s="941">
        <v>6.0</v>
      </c>
      <c r="AL596" s="941">
        <v>1.0</v>
      </c>
      <c r="AM596" s="942">
        <v>0.0</v>
      </c>
    </row>
    <row r="597">
      <c r="A597" s="935" t="s">
        <v>514</v>
      </c>
      <c r="B597" s="941">
        <v>1.0</v>
      </c>
      <c r="C597" s="941">
        <v>1.0</v>
      </c>
      <c r="D597" s="941">
        <v>0.0</v>
      </c>
      <c r="E597" s="941">
        <v>0.0</v>
      </c>
      <c r="F597" s="941">
        <v>0.0</v>
      </c>
      <c r="G597" s="941">
        <v>83.0</v>
      </c>
      <c r="H597" s="941">
        <v>96.0</v>
      </c>
      <c r="I597" s="941">
        <v>-13.0</v>
      </c>
      <c r="J597" s="941">
        <v>4.0</v>
      </c>
      <c r="K597" s="941">
        <v>6.0</v>
      </c>
      <c r="L597" s="941">
        <v>3.0</v>
      </c>
      <c r="M597" s="941">
        <v>1030.0</v>
      </c>
      <c r="N597" s="941">
        <v>1438.0</v>
      </c>
      <c r="O597" s="941">
        <v>10.0</v>
      </c>
      <c r="P597" s="941">
        <v>30.0</v>
      </c>
      <c r="Q597" s="941">
        <v>0.0</v>
      </c>
      <c r="R597" s="941">
        <v>1.0</v>
      </c>
      <c r="S597" s="941">
        <v>0.0</v>
      </c>
      <c r="T597" s="941">
        <v>0.0</v>
      </c>
      <c r="U597" s="941">
        <v>0.0</v>
      </c>
      <c r="V597" s="941">
        <v>1.0</v>
      </c>
      <c r="W597" s="941">
        <v>0.0</v>
      </c>
      <c r="X597" s="941">
        <v>10.0</v>
      </c>
      <c r="Y597" s="941">
        <v>2.0</v>
      </c>
      <c r="Z597" s="941">
        <v>2.0</v>
      </c>
      <c r="AA597" s="941">
        <v>0.0</v>
      </c>
      <c r="AB597" s="941">
        <v>0.0</v>
      </c>
      <c r="AC597" s="941">
        <v>0.0</v>
      </c>
      <c r="AD597" s="941">
        <v>0.0</v>
      </c>
      <c r="AE597" s="941">
        <v>0.0</v>
      </c>
      <c r="AF597" s="941">
        <v>0.0</v>
      </c>
      <c r="AG597" s="941">
        <v>0.0</v>
      </c>
      <c r="AH597" s="941">
        <v>0.0</v>
      </c>
      <c r="AI597" s="941">
        <v>0.0</v>
      </c>
      <c r="AJ597" s="941">
        <v>6.0</v>
      </c>
      <c r="AK597" s="941">
        <v>5.0</v>
      </c>
      <c r="AL597" s="941">
        <v>2.0</v>
      </c>
      <c r="AM597" s="942">
        <v>0.0</v>
      </c>
    </row>
    <row r="598">
      <c r="A598" s="935" t="s">
        <v>118</v>
      </c>
      <c r="B598" s="941">
        <v>1.0</v>
      </c>
      <c r="C598" s="941">
        <v>0.0</v>
      </c>
      <c r="D598" s="941">
        <v>1.0</v>
      </c>
      <c r="E598" s="941">
        <v>4.0</v>
      </c>
      <c r="F598" s="941">
        <v>13.0</v>
      </c>
      <c r="G598" s="941">
        <v>67.0</v>
      </c>
      <c r="H598" s="941">
        <v>50.0</v>
      </c>
      <c r="I598" s="941">
        <v>17.0</v>
      </c>
      <c r="J598" s="941">
        <v>1.0</v>
      </c>
      <c r="K598" s="941">
        <v>6.0</v>
      </c>
      <c r="L598" s="941">
        <v>0.0</v>
      </c>
      <c r="M598" s="941">
        <v>1164.0</v>
      </c>
      <c r="N598" s="941">
        <v>1438.0</v>
      </c>
      <c r="O598" s="941">
        <v>23.0</v>
      </c>
      <c r="P598" s="941">
        <v>541.0</v>
      </c>
      <c r="Q598" s="941">
        <v>0.0</v>
      </c>
      <c r="R598" s="941">
        <v>3.0</v>
      </c>
      <c r="S598" s="941">
        <v>0.0</v>
      </c>
      <c r="T598" s="941">
        <v>0.0</v>
      </c>
      <c r="U598" s="941">
        <v>0.0</v>
      </c>
      <c r="V598" s="941">
        <v>0.0</v>
      </c>
      <c r="W598" s="941">
        <v>0.0</v>
      </c>
      <c r="X598" s="941">
        <v>12.0</v>
      </c>
      <c r="Y598" s="941">
        <v>3.0</v>
      </c>
      <c r="Z598" s="941">
        <v>3.0</v>
      </c>
      <c r="AA598" s="941">
        <v>0.0</v>
      </c>
      <c r="AB598" s="941">
        <v>0.0</v>
      </c>
      <c r="AC598" s="941">
        <v>0.0</v>
      </c>
      <c r="AD598" s="941">
        <v>0.0</v>
      </c>
      <c r="AE598" s="941">
        <v>0.0</v>
      </c>
      <c r="AF598" s="941">
        <v>0.0</v>
      </c>
      <c r="AG598" s="941">
        <v>0.0</v>
      </c>
      <c r="AH598" s="941">
        <v>4.0</v>
      </c>
      <c r="AI598" s="941">
        <v>0.0</v>
      </c>
      <c r="AJ598" s="941">
        <v>13.0</v>
      </c>
      <c r="AK598" s="941">
        <v>4.0</v>
      </c>
      <c r="AL598" s="941">
        <v>1.0</v>
      </c>
      <c r="AM598" s="942">
        <v>1.0</v>
      </c>
    </row>
    <row r="599">
      <c r="A599" s="935" t="s">
        <v>151</v>
      </c>
      <c r="B599" s="941">
        <v>1.0</v>
      </c>
      <c r="C599" s="941">
        <v>0.0</v>
      </c>
      <c r="D599" s="941">
        <v>1.0</v>
      </c>
      <c r="E599" s="941">
        <v>0.0</v>
      </c>
      <c r="F599" s="941">
        <v>1.0</v>
      </c>
      <c r="G599" s="941">
        <v>64.0</v>
      </c>
      <c r="H599" s="941">
        <v>85.0</v>
      </c>
      <c r="I599" s="941">
        <v>-21.0</v>
      </c>
      <c r="J599" s="941">
        <v>3.0</v>
      </c>
      <c r="K599" s="941">
        <v>5.0</v>
      </c>
      <c r="L599" s="941">
        <v>0.0</v>
      </c>
      <c r="M599" s="941">
        <v>1061.0</v>
      </c>
      <c r="N599" s="941">
        <v>1438.0</v>
      </c>
      <c r="O599" s="941">
        <v>12.0</v>
      </c>
      <c r="P599" s="941">
        <v>0.0</v>
      </c>
      <c r="Q599" s="941">
        <v>0.0</v>
      </c>
      <c r="R599" s="941">
        <v>2.0</v>
      </c>
      <c r="S599" s="941">
        <v>0.0</v>
      </c>
      <c r="T599" s="941">
        <v>0.0</v>
      </c>
      <c r="U599" s="941">
        <v>0.0</v>
      </c>
      <c r="V599" s="941">
        <v>2.0</v>
      </c>
      <c r="W599" s="941">
        <v>0.0</v>
      </c>
      <c r="X599" s="941">
        <v>9.0</v>
      </c>
      <c r="Y599" s="941">
        <v>2.0</v>
      </c>
      <c r="Z599" s="941">
        <v>1.0</v>
      </c>
      <c r="AA599" s="941">
        <v>0.0</v>
      </c>
      <c r="AB599" s="941">
        <v>0.0</v>
      </c>
      <c r="AC599" s="941">
        <v>0.0</v>
      </c>
      <c r="AD599" s="941">
        <v>0.0</v>
      </c>
      <c r="AE599" s="941">
        <v>0.0</v>
      </c>
      <c r="AF599" s="941">
        <v>0.0</v>
      </c>
      <c r="AG599" s="941">
        <v>0.0</v>
      </c>
      <c r="AH599" s="941">
        <v>1.0</v>
      </c>
      <c r="AI599" s="941">
        <v>0.0</v>
      </c>
      <c r="AJ599" s="941">
        <v>9.0</v>
      </c>
      <c r="AK599" s="941">
        <v>6.0</v>
      </c>
      <c r="AL599" s="941">
        <v>0.0</v>
      </c>
      <c r="AM599" s="942">
        <v>1.0</v>
      </c>
    </row>
    <row r="600">
      <c r="A600" s="935" t="s">
        <v>129</v>
      </c>
      <c r="B600" s="941">
        <v>1.0</v>
      </c>
      <c r="C600" s="941">
        <v>0.0</v>
      </c>
      <c r="D600" s="941">
        <v>1.0</v>
      </c>
      <c r="E600" s="941">
        <v>0.0</v>
      </c>
      <c r="F600" s="941">
        <v>0.0</v>
      </c>
      <c r="G600" s="941">
        <v>90.0</v>
      </c>
      <c r="H600" s="941">
        <v>72.0</v>
      </c>
      <c r="I600" s="941">
        <v>18.0</v>
      </c>
      <c r="J600" s="941">
        <v>7.0</v>
      </c>
      <c r="K600" s="941">
        <v>5.0</v>
      </c>
      <c r="L600" s="941">
        <v>0.0</v>
      </c>
      <c r="M600" s="941">
        <v>1097.0</v>
      </c>
      <c r="N600" s="941">
        <v>1438.0</v>
      </c>
      <c r="O600" s="941">
        <v>15.0</v>
      </c>
      <c r="P600" s="941">
        <v>22.0</v>
      </c>
      <c r="Q600" s="941">
        <v>0.0</v>
      </c>
      <c r="R600" s="941">
        <v>3.0</v>
      </c>
      <c r="S600" s="941">
        <v>0.0</v>
      </c>
      <c r="T600" s="941">
        <v>0.0</v>
      </c>
      <c r="U600" s="941">
        <v>0.0</v>
      </c>
      <c r="V600" s="941">
        <v>2.0</v>
      </c>
      <c r="W600" s="941">
        <v>0.0</v>
      </c>
      <c r="X600" s="941">
        <v>14.0</v>
      </c>
      <c r="Y600" s="941">
        <v>2.0</v>
      </c>
      <c r="Z600" s="941">
        <v>1.0</v>
      </c>
      <c r="AA600" s="941">
        <v>0.0</v>
      </c>
      <c r="AB600" s="941">
        <v>0.0</v>
      </c>
      <c r="AC600" s="941">
        <v>0.0</v>
      </c>
      <c r="AD600" s="941">
        <v>0.0</v>
      </c>
      <c r="AE600" s="941">
        <v>0.0</v>
      </c>
      <c r="AF600" s="941">
        <v>0.0</v>
      </c>
      <c r="AG600" s="941">
        <v>0.0</v>
      </c>
      <c r="AH600" s="941">
        <v>6.0</v>
      </c>
      <c r="AI600" s="941">
        <v>0.0</v>
      </c>
      <c r="AJ600" s="941">
        <v>8.0</v>
      </c>
      <c r="AK600" s="941">
        <v>8.0</v>
      </c>
      <c r="AL600" s="941">
        <v>1.0</v>
      </c>
      <c r="AM600" s="942">
        <v>1.0</v>
      </c>
    </row>
    <row r="601">
      <c r="A601" s="943" t="s">
        <v>140</v>
      </c>
      <c r="B601" s="944">
        <v>1.0</v>
      </c>
      <c r="C601" s="944">
        <v>0.0</v>
      </c>
      <c r="D601" s="944">
        <v>1.0</v>
      </c>
      <c r="E601" s="944">
        <v>0.0</v>
      </c>
      <c r="F601" s="944">
        <v>0.0</v>
      </c>
      <c r="G601" s="944">
        <v>65.0</v>
      </c>
      <c r="H601" s="944">
        <v>75.0</v>
      </c>
      <c r="I601" s="944">
        <v>-10.0</v>
      </c>
      <c r="J601" s="944">
        <v>6.0</v>
      </c>
      <c r="K601" s="944">
        <v>5.0</v>
      </c>
      <c r="L601" s="944">
        <v>3.0</v>
      </c>
      <c r="M601" s="944">
        <v>1088.0</v>
      </c>
      <c r="N601" s="944">
        <v>1438.0</v>
      </c>
      <c r="O601" s="944">
        <v>14.0</v>
      </c>
      <c r="P601" s="944">
        <v>5.0</v>
      </c>
      <c r="Q601" s="944">
        <v>0.0</v>
      </c>
      <c r="R601" s="944">
        <v>2.0</v>
      </c>
      <c r="S601" s="944">
        <v>0.0</v>
      </c>
      <c r="T601" s="944">
        <v>0.0</v>
      </c>
      <c r="U601" s="944">
        <v>0.0</v>
      </c>
      <c r="V601" s="944">
        <v>2.0</v>
      </c>
      <c r="W601" s="944">
        <v>0.0</v>
      </c>
      <c r="X601" s="944">
        <v>7.0</v>
      </c>
      <c r="Y601" s="944">
        <v>2.0</v>
      </c>
      <c r="Z601" s="944">
        <v>0.0</v>
      </c>
      <c r="AA601" s="944">
        <v>0.0</v>
      </c>
      <c r="AB601" s="944">
        <v>0.0</v>
      </c>
      <c r="AC601" s="944">
        <v>0.0</v>
      </c>
      <c r="AD601" s="944">
        <v>0.0</v>
      </c>
      <c r="AE601" s="944">
        <v>0.0</v>
      </c>
      <c r="AF601" s="944">
        <v>0.0</v>
      </c>
      <c r="AG601" s="944">
        <v>0.0</v>
      </c>
      <c r="AH601" s="944">
        <v>5.0</v>
      </c>
      <c r="AI601" s="944">
        <v>0.0</v>
      </c>
      <c r="AJ601" s="944">
        <v>10.0</v>
      </c>
      <c r="AK601" s="944">
        <v>6.0</v>
      </c>
      <c r="AL601" s="944">
        <v>0.0</v>
      </c>
      <c r="AM601" s="945">
        <v>1.0</v>
      </c>
    </row>
    <row r="602">
      <c r="A602" s="946" t="s">
        <v>123</v>
      </c>
      <c r="B602" s="939">
        <v>1.0</v>
      </c>
      <c r="C602" s="939">
        <v>1.0</v>
      </c>
      <c r="D602" s="939">
        <v>0.0</v>
      </c>
      <c r="E602" s="939">
        <v>5.0</v>
      </c>
      <c r="F602" s="939">
        <v>22.0</v>
      </c>
      <c r="G602" s="939">
        <v>69.0</v>
      </c>
      <c r="H602" s="939">
        <v>52.0</v>
      </c>
      <c r="I602" s="939">
        <v>17.0</v>
      </c>
      <c r="J602" s="939">
        <v>4.0</v>
      </c>
      <c r="K602" s="939">
        <v>9.0</v>
      </c>
      <c r="L602" s="939">
        <v>0.0</v>
      </c>
      <c r="M602" s="939">
        <v>1268.0</v>
      </c>
      <c r="N602" s="895">
        <v>1408.0</v>
      </c>
      <c r="O602" s="939">
        <v>24.0</v>
      </c>
      <c r="P602" s="939">
        <v>588.0</v>
      </c>
      <c r="Q602" s="939">
        <v>0.0</v>
      </c>
      <c r="R602" s="939">
        <v>2.0</v>
      </c>
      <c r="S602" s="939">
        <v>0.0</v>
      </c>
      <c r="T602" s="939">
        <v>0.0</v>
      </c>
      <c r="U602" s="939">
        <v>0.0</v>
      </c>
      <c r="V602" s="939">
        <v>1.0</v>
      </c>
      <c r="W602" s="939">
        <v>0.0</v>
      </c>
      <c r="X602" s="939">
        <v>10.0</v>
      </c>
      <c r="Y602" s="939">
        <v>1.0</v>
      </c>
      <c r="Z602" s="939">
        <v>0.0</v>
      </c>
      <c r="AA602" s="939">
        <v>0.0</v>
      </c>
      <c r="AB602" s="939">
        <v>0.0</v>
      </c>
      <c r="AC602" s="939">
        <v>0.0</v>
      </c>
      <c r="AD602" s="939">
        <v>0.0</v>
      </c>
      <c r="AE602" s="939">
        <v>0.0</v>
      </c>
      <c r="AF602" s="939">
        <v>0.0</v>
      </c>
      <c r="AG602" s="939">
        <v>0.0</v>
      </c>
      <c r="AH602" s="939">
        <v>1.0</v>
      </c>
      <c r="AI602" s="939">
        <v>0.0</v>
      </c>
      <c r="AJ602" s="939">
        <v>11.0</v>
      </c>
      <c r="AK602" s="939">
        <v>2.0</v>
      </c>
      <c r="AL602" s="939">
        <v>3.0</v>
      </c>
      <c r="AM602" s="940">
        <v>1.0</v>
      </c>
    </row>
    <row r="603">
      <c r="A603" s="935" t="s">
        <v>419</v>
      </c>
      <c r="B603" s="941">
        <v>1.0</v>
      </c>
      <c r="C603" s="941">
        <v>1.0</v>
      </c>
      <c r="D603" s="941">
        <v>0.0</v>
      </c>
      <c r="E603" s="941">
        <v>0.0</v>
      </c>
      <c r="F603" s="941">
        <v>0.0</v>
      </c>
      <c r="G603" s="941">
        <v>79.0</v>
      </c>
      <c r="H603" s="941">
        <v>78.0</v>
      </c>
      <c r="I603" s="941">
        <v>1.0</v>
      </c>
      <c r="J603" s="941">
        <v>10.0</v>
      </c>
      <c r="K603" s="941">
        <v>6.0</v>
      </c>
      <c r="L603" s="941">
        <v>0.0</v>
      </c>
      <c r="M603" s="941">
        <v>1191.0</v>
      </c>
      <c r="N603" s="1">
        <v>1408.0</v>
      </c>
      <c r="O603" s="941">
        <v>15.0</v>
      </c>
      <c r="P603" s="941">
        <v>14.0</v>
      </c>
      <c r="Q603" s="941">
        <v>0.0</v>
      </c>
      <c r="R603" s="941">
        <v>1.0</v>
      </c>
      <c r="S603" s="941">
        <v>0.0</v>
      </c>
      <c r="T603" s="941">
        <v>0.0</v>
      </c>
      <c r="U603" s="941">
        <v>0.0</v>
      </c>
      <c r="V603" s="941">
        <v>1.0</v>
      </c>
      <c r="W603" s="941">
        <v>0.0</v>
      </c>
      <c r="X603" s="941">
        <v>16.0</v>
      </c>
      <c r="Y603" s="941">
        <v>3.0</v>
      </c>
      <c r="Z603" s="941">
        <v>0.0</v>
      </c>
      <c r="AA603" s="941">
        <v>0.0</v>
      </c>
      <c r="AB603" s="941">
        <v>0.0</v>
      </c>
      <c r="AC603" s="941">
        <v>0.0</v>
      </c>
      <c r="AD603" s="941">
        <v>0.0</v>
      </c>
      <c r="AE603" s="941">
        <v>0.0</v>
      </c>
      <c r="AF603" s="941">
        <v>0.0</v>
      </c>
      <c r="AG603" s="941">
        <v>0.0</v>
      </c>
      <c r="AH603" s="941">
        <v>7.0</v>
      </c>
      <c r="AI603" s="941">
        <v>0.0</v>
      </c>
      <c r="AJ603" s="941">
        <v>2.0</v>
      </c>
      <c r="AK603" s="941">
        <v>3.0</v>
      </c>
      <c r="AL603" s="941">
        <v>1.0</v>
      </c>
      <c r="AM603" s="942">
        <v>1.0</v>
      </c>
    </row>
    <row r="604">
      <c r="A604" s="935" t="s">
        <v>145</v>
      </c>
      <c r="B604" s="941">
        <v>1.0</v>
      </c>
      <c r="C604" s="941">
        <v>1.0</v>
      </c>
      <c r="D604" s="941">
        <v>0.0</v>
      </c>
      <c r="E604" s="941">
        <v>0.0</v>
      </c>
      <c r="F604" s="941">
        <v>0.0</v>
      </c>
      <c r="G604" s="941">
        <v>90.0</v>
      </c>
      <c r="H604" s="941">
        <v>89.0</v>
      </c>
      <c r="I604" s="941">
        <v>1.0</v>
      </c>
      <c r="J604" s="941">
        <v>6.0</v>
      </c>
      <c r="K604" s="941">
        <v>6.0</v>
      </c>
      <c r="L604" s="941">
        <v>2.0</v>
      </c>
      <c r="M604" s="941">
        <v>1151.0</v>
      </c>
      <c r="N604" s="1">
        <v>1408.0</v>
      </c>
      <c r="O604" s="941">
        <v>12.0</v>
      </c>
      <c r="P604" s="941">
        <v>15.0</v>
      </c>
      <c r="Q604" s="941">
        <v>0.0</v>
      </c>
      <c r="R604" s="941">
        <v>1.0</v>
      </c>
      <c r="S604" s="941">
        <v>0.0</v>
      </c>
      <c r="T604" s="941">
        <v>0.0</v>
      </c>
      <c r="U604" s="941">
        <v>0.0</v>
      </c>
      <c r="V604" s="941">
        <v>1.0</v>
      </c>
      <c r="W604" s="941">
        <v>0.0</v>
      </c>
      <c r="X604" s="941">
        <v>16.0</v>
      </c>
      <c r="Y604" s="941">
        <v>4.0</v>
      </c>
      <c r="Z604" s="941">
        <v>0.0</v>
      </c>
      <c r="AA604" s="941">
        <v>0.0</v>
      </c>
      <c r="AB604" s="941">
        <v>0.0</v>
      </c>
      <c r="AC604" s="941">
        <v>0.0</v>
      </c>
      <c r="AD604" s="941">
        <v>0.0</v>
      </c>
      <c r="AE604" s="941">
        <v>0.0</v>
      </c>
      <c r="AF604" s="941">
        <v>0.0</v>
      </c>
      <c r="AG604" s="941">
        <v>0.0</v>
      </c>
      <c r="AH604" s="941">
        <v>8.0</v>
      </c>
      <c r="AI604" s="941">
        <v>0.0</v>
      </c>
      <c r="AJ604" s="941">
        <v>12.0</v>
      </c>
      <c r="AK604" s="941">
        <v>7.0</v>
      </c>
      <c r="AL604" s="941">
        <v>1.0</v>
      </c>
      <c r="AM604" s="942">
        <v>1.0</v>
      </c>
    </row>
    <row r="605">
      <c r="A605" s="935" t="s">
        <v>156</v>
      </c>
      <c r="B605" s="941">
        <v>1.0</v>
      </c>
      <c r="C605" s="941">
        <v>1.0</v>
      </c>
      <c r="D605" s="941">
        <v>0.0</v>
      </c>
      <c r="E605" s="941">
        <v>0.0</v>
      </c>
      <c r="F605" s="941">
        <v>0.0</v>
      </c>
      <c r="G605" s="941">
        <v>81.0</v>
      </c>
      <c r="H605" s="941">
        <v>82.0</v>
      </c>
      <c r="I605" s="941">
        <v>-1.0</v>
      </c>
      <c r="J605" s="941">
        <v>5.0</v>
      </c>
      <c r="K605" s="941">
        <v>6.0</v>
      </c>
      <c r="L605" s="941">
        <v>1.0</v>
      </c>
      <c r="M605" s="941">
        <v>1170.0</v>
      </c>
      <c r="N605" s="1">
        <v>1408.0</v>
      </c>
      <c r="O605" s="941">
        <v>14.0</v>
      </c>
      <c r="P605" s="941">
        <v>5.0</v>
      </c>
      <c r="Q605" s="941">
        <v>0.0</v>
      </c>
      <c r="R605" s="941">
        <v>1.0</v>
      </c>
      <c r="S605" s="941">
        <v>0.0</v>
      </c>
      <c r="T605" s="941">
        <v>0.0</v>
      </c>
      <c r="U605" s="941">
        <v>0.0</v>
      </c>
      <c r="V605" s="941">
        <v>1.0</v>
      </c>
      <c r="W605" s="941">
        <v>0.0</v>
      </c>
      <c r="X605" s="941">
        <v>9.0</v>
      </c>
      <c r="Y605" s="941">
        <v>1.0</v>
      </c>
      <c r="Z605" s="941">
        <v>0.0</v>
      </c>
      <c r="AA605" s="941">
        <v>0.0</v>
      </c>
      <c r="AB605" s="941">
        <v>0.0</v>
      </c>
      <c r="AC605" s="941">
        <v>0.0</v>
      </c>
      <c r="AD605" s="941">
        <v>0.0</v>
      </c>
      <c r="AE605" s="941">
        <v>0.0</v>
      </c>
      <c r="AF605" s="941">
        <v>0.0</v>
      </c>
      <c r="AG605" s="941">
        <v>0.0</v>
      </c>
      <c r="AH605" s="941">
        <v>2.0</v>
      </c>
      <c r="AI605" s="941">
        <v>0.0</v>
      </c>
      <c r="AJ605" s="941">
        <v>3.0</v>
      </c>
      <c r="AK605" s="941">
        <v>13.0</v>
      </c>
      <c r="AL605" s="941">
        <v>0.0</v>
      </c>
      <c r="AM605" s="942">
        <v>1.0</v>
      </c>
    </row>
    <row r="606">
      <c r="A606" s="935" t="s">
        <v>132</v>
      </c>
      <c r="B606" s="941">
        <v>1.0</v>
      </c>
      <c r="C606" s="941">
        <v>0.0</v>
      </c>
      <c r="D606" s="941">
        <v>1.0</v>
      </c>
      <c r="E606" s="941">
        <v>2.0</v>
      </c>
      <c r="F606" s="941">
        <v>12.0</v>
      </c>
      <c r="G606" s="941">
        <v>64.0</v>
      </c>
      <c r="H606" s="941">
        <v>67.0</v>
      </c>
      <c r="I606" s="941">
        <v>-3.0</v>
      </c>
      <c r="J606" s="941">
        <v>9.0</v>
      </c>
      <c r="K606" s="941">
        <v>4.0</v>
      </c>
      <c r="L606" s="941">
        <v>2.0</v>
      </c>
      <c r="M606" s="941">
        <v>1218.0</v>
      </c>
      <c r="N606" s="1">
        <v>1408.0</v>
      </c>
      <c r="O606" s="941">
        <v>18.0</v>
      </c>
      <c r="P606" s="941">
        <v>433.0</v>
      </c>
      <c r="Q606" s="941">
        <v>0.0</v>
      </c>
      <c r="R606" s="941">
        <v>0.0</v>
      </c>
      <c r="S606" s="941">
        <v>0.0</v>
      </c>
      <c r="T606" s="941">
        <v>0.0</v>
      </c>
      <c r="U606" s="941">
        <v>0.0</v>
      </c>
      <c r="V606" s="941">
        <v>0.0</v>
      </c>
      <c r="W606" s="941">
        <v>0.0</v>
      </c>
      <c r="X606" s="941">
        <v>7.0</v>
      </c>
      <c r="Y606" s="941">
        <v>0.0</v>
      </c>
      <c r="Z606" s="941">
        <v>0.0</v>
      </c>
      <c r="AA606" s="941">
        <v>0.0</v>
      </c>
      <c r="AB606" s="941">
        <v>0.0</v>
      </c>
      <c r="AC606" s="941">
        <v>0.0</v>
      </c>
      <c r="AD606" s="941">
        <v>0.0</v>
      </c>
      <c r="AE606" s="941">
        <v>0.0</v>
      </c>
      <c r="AF606" s="941">
        <v>0.0</v>
      </c>
      <c r="AG606" s="941">
        <v>0.0</v>
      </c>
      <c r="AH606" s="941">
        <v>0.0</v>
      </c>
      <c r="AI606" s="941">
        <v>0.0</v>
      </c>
      <c r="AJ606" s="941">
        <v>6.0</v>
      </c>
      <c r="AK606" s="941">
        <v>7.0</v>
      </c>
      <c r="AL606" s="941">
        <v>1.0</v>
      </c>
      <c r="AM606" s="942">
        <v>0.0</v>
      </c>
    </row>
    <row r="607">
      <c r="A607" s="935" t="s">
        <v>154</v>
      </c>
      <c r="B607" s="941">
        <v>1.0</v>
      </c>
      <c r="C607" s="941">
        <v>0.0</v>
      </c>
      <c r="D607" s="941">
        <v>1.0</v>
      </c>
      <c r="E607" s="941">
        <v>1.0</v>
      </c>
      <c r="F607" s="941">
        <v>1.0</v>
      </c>
      <c r="G607" s="941">
        <v>45.0</v>
      </c>
      <c r="H607" s="941">
        <v>85.0</v>
      </c>
      <c r="I607" s="941">
        <v>-40.0</v>
      </c>
      <c r="J607" s="941">
        <v>3.0</v>
      </c>
      <c r="K607" s="941">
        <v>2.0</v>
      </c>
      <c r="L607" s="941">
        <v>1.0</v>
      </c>
      <c r="M607" s="941">
        <v>1163.0</v>
      </c>
      <c r="N607" s="1">
        <v>1408.0</v>
      </c>
      <c r="O607" s="941">
        <v>13.0</v>
      </c>
      <c r="P607" s="941">
        <v>216.0</v>
      </c>
      <c r="Q607" s="941">
        <v>0.0</v>
      </c>
      <c r="R607" s="941">
        <v>0.0</v>
      </c>
      <c r="S607" s="941">
        <v>0.0</v>
      </c>
      <c r="T607" s="941">
        <v>0.0</v>
      </c>
      <c r="U607" s="941">
        <v>0.0</v>
      </c>
      <c r="V607" s="941">
        <v>0.0</v>
      </c>
      <c r="W607" s="941">
        <v>0.0</v>
      </c>
      <c r="X607" s="941">
        <v>2.0</v>
      </c>
      <c r="Y607" s="941">
        <v>0.0</v>
      </c>
      <c r="Z607" s="941">
        <v>0.0</v>
      </c>
      <c r="AA607" s="941">
        <v>0.0</v>
      </c>
      <c r="AB607" s="941">
        <v>0.0</v>
      </c>
      <c r="AC607" s="941">
        <v>0.0</v>
      </c>
      <c r="AD607" s="941">
        <v>0.0</v>
      </c>
      <c r="AE607" s="941">
        <v>0.0</v>
      </c>
      <c r="AF607" s="941">
        <v>0.0</v>
      </c>
      <c r="AG607" s="941">
        <v>0.0</v>
      </c>
      <c r="AH607" s="941">
        <v>2.0</v>
      </c>
      <c r="AI607" s="941">
        <v>0.0</v>
      </c>
      <c r="AJ607" s="941">
        <v>3.0</v>
      </c>
      <c r="AK607" s="941">
        <v>6.0</v>
      </c>
      <c r="AL607" s="941">
        <v>0.0</v>
      </c>
      <c r="AM607" s="942">
        <v>0.0</v>
      </c>
    </row>
    <row r="608">
      <c r="A608" s="935" t="s">
        <v>121</v>
      </c>
      <c r="B608" s="941">
        <v>1.0</v>
      </c>
      <c r="C608" s="941">
        <v>0.0</v>
      </c>
      <c r="D608" s="941">
        <v>1.0</v>
      </c>
      <c r="E608" s="941">
        <v>0.0</v>
      </c>
      <c r="F608" s="941">
        <v>2.0</v>
      </c>
      <c r="G608" s="941">
        <v>84.0</v>
      </c>
      <c r="H608" s="941">
        <v>67.0</v>
      </c>
      <c r="I608" s="941">
        <v>17.0</v>
      </c>
      <c r="J608" s="941">
        <v>2.0</v>
      </c>
      <c r="K608" s="941">
        <v>7.0</v>
      </c>
      <c r="L608" s="941">
        <v>1.0</v>
      </c>
      <c r="M608" s="941">
        <v>1217.0</v>
      </c>
      <c r="N608" s="1">
        <v>1408.0</v>
      </c>
      <c r="O608" s="941">
        <v>18.0</v>
      </c>
      <c r="P608" s="941">
        <v>15.0</v>
      </c>
      <c r="Q608" s="941">
        <v>0.0</v>
      </c>
      <c r="R608" s="941">
        <v>3.0</v>
      </c>
      <c r="S608" s="941">
        <v>0.0</v>
      </c>
      <c r="T608" s="941">
        <v>0.0</v>
      </c>
      <c r="U608" s="941">
        <v>0.0</v>
      </c>
      <c r="V608" s="941">
        <v>3.0</v>
      </c>
      <c r="W608" s="941">
        <v>0.0</v>
      </c>
      <c r="X608" s="941">
        <v>15.0</v>
      </c>
      <c r="Y608" s="941">
        <v>2.0</v>
      </c>
      <c r="Z608" s="941">
        <v>0.0</v>
      </c>
      <c r="AA608" s="941">
        <v>0.0</v>
      </c>
      <c r="AB608" s="941">
        <v>0.0</v>
      </c>
      <c r="AC608" s="941">
        <v>0.0</v>
      </c>
      <c r="AD608" s="941">
        <v>0.0</v>
      </c>
      <c r="AE608" s="941">
        <v>0.0</v>
      </c>
      <c r="AF608" s="941">
        <v>0.0</v>
      </c>
      <c r="AG608" s="941">
        <v>0.0</v>
      </c>
      <c r="AH608" s="941">
        <v>10.0</v>
      </c>
      <c r="AI608" s="941">
        <v>0.0</v>
      </c>
      <c r="AJ608" s="941">
        <v>12.0</v>
      </c>
      <c r="AK608" s="941">
        <v>8.0</v>
      </c>
      <c r="AL608" s="941">
        <v>1.0</v>
      </c>
      <c r="AM608" s="942">
        <v>0.0</v>
      </c>
    </row>
    <row r="609">
      <c r="A609" s="943" t="s">
        <v>514</v>
      </c>
      <c r="B609" s="944">
        <v>1.0</v>
      </c>
      <c r="C609" s="944">
        <v>0.0</v>
      </c>
      <c r="D609" s="944">
        <v>1.0</v>
      </c>
      <c r="E609" s="944">
        <v>0.0</v>
      </c>
      <c r="F609" s="944">
        <v>1.0</v>
      </c>
      <c r="G609" s="944">
        <v>93.0</v>
      </c>
      <c r="H609" s="944">
        <v>112.0</v>
      </c>
      <c r="I609" s="944">
        <v>-19.0</v>
      </c>
      <c r="J609" s="944">
        <v>4.0</v>
      </c>
      <c r="K609" s="944">
        <v>5.0</v>
      </c>
      <c r="L609" s="944">
        <v>1.0</v>
      </c>
      <c r="M609" s="944">
        <v>1091.0</v>
      </c>
      <c r="N609" s="882">
        <v>1408.0</v>
      </c>
      <c r="O609" s="944">
        <v>9.0</v>
      </c>
      <c r="P609" s="944">
        <v>14.0</v>
      </c>
      <c r="Q609" s="944">
        <v>0.0</v>
      </c>
      <c r="R609" s="944">
        <v>1.0</v>
      </c>
      <c r="S609" s="944">
        <v>0.0</v>
      </c>
      <c r="T609" s="944">
        <v>0.0</v>
      </c>
      <c r="U609" s="944">
        <v>0.0</v>
      </c>
      <c r="V609" s="944">
        <v>1.0</v>
      </c>
      <c r="W609" s="944">
        <v>0.0</v>
      </c>
      <c r="X609" s="944">
        <v>16.0</v>
      </c>
      <c r="Y609" s="944">
        <v>4.0</v>
      </c>
      <c r="Z609" s="944">
        <v>1.0</v>
      </c>
      <c r="AA609" s="944">
        <v>1.0</v>
      </c>
      <c r="AB609" s="944">
        <v>0.0</v>
      </c>
      <c r="AC609" s="944">
        <v>0.0</v>
      </c>
      <c r="AD609" s="944">
        <v>0.0</v>
      </c>
      <c r="AE609" s="944">
        <v>0.0</v>
      </c>
      <c r="AF609" s="944">
        <v>0.0</v>
      </c>
      <c r="AG609" s="944">
        <v>0.0</v>
      </c>
      <c r="AH609" s="944">
        <v>7.0</v>
      </c>
      <c r="AI609" s="944">
        <v>0.0</v>
      </c>
      <c r="AJ609" s="944">
        <v>6.0</v>
      </c>
      <c r="AK609" s="944">
        <v>10.0</v>
      </c>
      <c r="AL609" s="944">
        <v>1.0</v>
      </c>
      <c r="AM609" s="945">
        <v>0.0</v>
      </c>
    </row>
    <row r="610">
      <c r="A610" s="946" t="s">
        <v>123</v>
      </c>
      <c r="B610" s="939">
        <v>1.0</v>
      </c>
      <c r="C610" s="939">
        <v>1.0</v>
      </c>
      <c r="D610" s="939">
        <v>0.0</v>
      </c>
      <c r="E610" s="939">
        <v>3.0</v>
      </c>
      <c r="F610" s="939">
        <v>24.0</v>
      </c>
      <c r="G610" s="939">
        <v>128.0</v>
      </c>
      <c r="H610" s="939">
        <v>101.0</v>
      </c>
      <c r="I610" s="939">
        <v>27.0</v>
      </c>
      <c r="J610" s="939">
        <v>4.0</v>
      </c>
      <c r="K610" s="939">
        <v>9.0</v>
      </c>
      <c r="L610" s="939">
        <v>1.0</v>
      </c>
      <c r="M610" s="939">
        <v>1821.0</v>
      </c>
      <c r="N610" s="939">
        <v>2219.0</v>
      </c>
      <c r="O610" s="939">
        <v>18.0</v>
      </c>
      <c r="P610" s="939">
        <v>461.0</v>
      </c>
      <c r="Q610" s="939">
        <v>0.0</v>
      </c>
      <c r="R610" s="939">
        <v>4.0</v>
      </c>
      <c r="S610" s="939">
        <v>0.0</v>
      </c>
      <c r="T610" s="939">
        <v>0.0</v>
      </c>
      <c r="U610" s="939">
        <v>0.0</v>
      </c>
      <c r="V610" s="939">
        <v>2.0</v>
      </c>
      <c r="W610" s="939">
        <v>0.0</v>
      </c>
      <c r="X610" s="939">
        <v>17.0</v>
      </c>
      <c r="Y610" s="939">
        <v>4.0</v>
      </c>
      <c r="Z610" s="939">
        <v>1.0</v>
      </c>
      <c r="AA610" s="939">
        <v>0.0</v>
      </c>
      <c r="AB610" s="939">
        <v>0.0</v>
      </c>
      <c r="AC610" s="939">
        <v>0.0</v>
      </c>
      <c r="AD610" s="939">
        <v>0.0</v>
      </c>
      <c r="AE610" s="939">
        <v>0.0</v>
      </c>
      <c r="AF610" s="939">
        <v>0.0</v>
      </c>
      <c r="AG610" s="939">
        <v>0.0</v>
      </c>
      <c r="AH610" s="939">
        <v>4.0</v>
      </c>
      <c r="AI610" s="939">
        <v>0.0</v>
      </c>
      <c r="AJ610" s="939">
        <v>25.0</v>
      </c>
      <c r="AK610" s="939">
        <v>12.0</v>
      </c>
      <c r="AL610" s="939">
        <v>2.0</v>
      </c>
      <c r="AM610" s="940">
        <v>1.0</v>
      </c>
    </row>
    <row r="611">
      <c r="A611" s="935" t="s">
        <v>419</v>
      </c>
      <c r="B611" s="941">
        <v>1.0</v>
      </c>
      <c r="C611" s="941">
        <v>1.0</v>
      </c>
      <c r="D611" s="941">
        <v>0.0</v>
      </c>
      <c r="E611" s="941">
        <v>2.0</v>
      </c>
      <c r="F611" s="941">
        <v>0.0</v>
      </c>
      <c r="G611" s="941">
        <v>130.0</v>
      </c>
      <c r="H611" s="941">
        <v>108.0</v>
      </c>
      <c r="I611" s="941">
        <v>22.0</v>
      </c>
      <c r="J611" s="941">
        <v>5.0</v>
      </c>
      <c r="K611" s="941">
        <v>7.0</v>
      </c>
      <c r="L611" s="941">
        <v>1.0</v>
      </c>
      <c r="M611" s="941">
        <v>1807.0</v>
      </c>
      <c r="N611" s="941">
        <v>2219.0</v>
      </c>
      <c r="O611" s="941">
        <v>16.0</v>
      </c>
      <c r="P611" s="941">
        <v>10.0</v>
      </c>
      <c r="Q611" s="941">
        <v>0.0</v>
      </c>
      <c r="R611" s="941">
        <v>2.0</v>
      </c>
      <c r="S611" s="941">
        <v>0.0</v>
      </c>
      <c r="T611" s="941">
        <v>0.0</v>
      </c>
      <c r="U611" s="941">
        <v>0.0</v>
      </c>
      <c r="V611" s="941">
        <v>1.0</v>
      </c>
      <c r="W611" s="941">
        <v>0.0</v>
      </c>
      <c r="X611" s="941">
        <v>21.0</v>
      </c>
      <c r="Y611" s="941">
        <v>5.0</v>
      </c>
      <c r="Z611" s="941">
        <v>1.0</v>
      </c>
      <c r="AA611" s="941">
        <v>0.0</v>
      </c>
      <c r="AB611" s="941">
        <v>0.0</v>
      </c>
      <c r="AC611" s="941">
        <v>0.0</v>
      </c>
      <c r="AD611" s="941">
        <v>0.0</v>
      </c>
      <c r="AE611" s="941">
        <v>0.0</v>
      </c>
      <c r="AF611" s="941">
        <v>0.0</v>
      </c>
      <c r="AG611" s="941">
        <v>0.0</v>
      </c>
      <c r="AH611" s="941">
        <v>4.0</v>
      </c>
      <c r="AI611" s="941">
        <v>0.0</v>
      </c>
      <c r="AJ611" s="941">
        <v>12.0</v>
      </c>
      <c r="AK611" s="941">
        <v>16.0</v>
      </c>
      <c r="AL611" s="941">
        <v>0.0</v>
      </c>
      <c r="AM611" s="942">
        <v>1.0</v>
      </c>
    </row>
    <row r="612">
      <c r="A612" s="935" t="s">
        <v>145</v>
      </c>
      <c r="B612" s="941">
        <v>1.0</v>
      </c>
      <c r="C612" s="941">
        <v>1.0</v>
      </c>
      <c r="D612" s="941">
        <v>0.0</v>
      </c>
      <c r="E612" s="941">
        <v>0.0</v>
      </c>
      <c r="F612" s="941">
        <v>0.0</v>
      </c>
      <c r="G612" s="941">
        <v>116.0</v>
      </c>
      <c r="H612" s="941">
        <v>138.0</v>
      </c>
      <c r="I612" s="941">
        <v>-22.0</v>
      </c>
      <c r="J612" s="941">
        <v>15.0</v>
      </c>
      <c r="K612" s="941">
        <v>4.0</v>
      </c>
      <c r="L612" s="941">
        <v>1.0</v>
      </c>
      <c r="M612" s="941">
        <v>1715.0</v>
      </c>
      <c r="N612" s="941">
        <v>2219.0</v>
      </c>
      <c r="O612" s="941">
        <v>12.0</v>
      </c>
      <c r="P612" s="941">
        <v>1.0</v>
      </c>
      <c r="Q612" s="941">
        <v>0.0</v>
      </c>
      <c r="R612" s="941">
        <v>0.0</v>
      </c>
      <c r="S612" s="941">
        <v>0.0</v>
      </c>
      <c r="T612" s="941">
        <v>0.0</v>
      </c>
      <c r="U612" s="941">
        <v>0.0</v>
      </c>
      <c r="V612" s="941">
        <v>0.0</v>
      </c>
      <c r="W612" s="941">
        <v>0.0</v>
      </c>
      <c r="X612" s="941">
        <v>11.0</v>
      </c>
      <c r="Y612" s="941">
        <v>4.0</v>
      </c>
      <c r="Z612" s="941">
        <v>0.0</v>
      </c>
      <c r="AA612" s="941">
        <v>0.0</v>
      </c>
      <c r="AB612" s="941">
        <v>0.0</v>
      </c>
      <c r="AC612" s="941">
        <v>0.0</v>
      </c>
      <c r="AD612" s="941">
        <v>0.0</v>
      </c>
      <c r="AE612" s="941">
        <v>0.0</v>
      </c>
      <c r="AF612" s="941">
        <v>0.0</v>
      </c>
      <c r="AG612" s="941">
        <v>0.0</v>
      </c>
      <c r="AH612" s="941">
        <v>3.0</v>
      </c>
      <c r="AI612" s="941">
        <v>0.0</v>
      </c>
      <c r="AJ612" s="941">
        <v>10.0</v>
      </c>
      <c r="AK612" s="941">
        <v>19.0</v>
      </c>
      <c r="AL612" s="941">
        <v>0.0</v>
      </c>
      <c r="AM612" s="942">
        <v>1.0</v>
      </c>
    </row>
    <row r="613">
      <c r="A613" s="935" t="s">
        <v>156</v>
      </c>
      <c r="B613" s="941">
        <v>1.0</v>
      </c>
      <c r="C613" s="941">
        <v>1.0</v>
      </c>
      <c r="D613" s="941">
        <v>0.0</v>
      </c>
      <c r="E613" s="941">
        <v>0.0</v>
      </c>
      <c r="F613" s="941">
        <v>0.0</v>
      </c>
      <c r="G613" s="941">
        <v>93.0</v>
      </c>
      <c r="H613" s="941">
        <v>140.0</v>
      </c>
      <c r="I613" s="941">
        <v>-47.0</v>
      </c>
      <c r="J613" s="941">
        <v>1.0</v>
      </c>
      <c r="K613" s="941">
        <v>3.0</v>
      </c>
      <c r="L613" s="941">
        <v>1.0</v>
      </c>
      <c r="M613" s="941">
        <v>1704.0</v>
      </c>
      <c r="N613" s="941">
        <v>2219.0</v>
      </c>
      <c r="O613" s="941">
        <v>12.0</v>
      </c>
      <c r="P613" s="941">
        <v>13.0</v>
      </c>
      <c r="Q613" s="941">
        <v>0.0</v>
      </c>
      <c r="R613" s="941">
        <v>0.0</v>
      </c>
      <c r="S613" s="941">
        <v>0.0</v>
      </c>
      <c r="T613" s="941">
        <v>0.0</v>
      </c>
      <c r="U613" s="941">
        <v>0.0</v>
      </c>
      <c r="V613" s="941">
        <v>0.0</v>
      </c>
      <c r="W613" s="941">
        <v>0.0</v>
      </c>
      <c r="X613" s="941">
        <v>4.0</v>
      </c>
      <c r="Y613" s="941">
        <v>1.0</v>
      </c>
      <c r="Z613" s="941">
        <v>0.0</v>
      </c>
      <c r="AA613" s="941">
        <v>0.0</v>
      </c>
      <c r="AB613" s="941">
        <v>0.0</v>
      </c>
      <c r="AC613" s="941">
        <v>0.0</v>
      </c>
      <c r="AD613" s="941">
        <v>0.0</v>
      </c>
      <c r="AE613" s="941">
        <v>0.0</v>
      </c>
      <c r="AF613" s="941">
        <v>0.0</v>
      </c>
      <c r="AG613" s="941">
        <v>0.0</v>
      </c>
      <c r="AH613" s="941">
        <v>2.0</v>
      </c>
      <c r="AI613" s="941">
        <v>0.0</v>
      </c>
      <c r="AJ613" s="941">
        <v>14.0</v>
      </c>
      <c r="AK613" s="941">
        <v>18.0</v>
      </c>
      <c r="AL613" s="941">
        <v>1.0</v>
      </c>
      <c r="AM613" s="942">
        <v>1.0</v>
      </c>
    </row>
    <row r="614">
      <c r="A614" s="935" t="s">
        <v>514</v>
      </c>
      <c r="B614" s="941">
        <v>1.0</v>
      </c>
      <c r="C614" s="941">
        <v>0.0</v>
      </c>
      <c r="D614" s="941">
        <v>1.0</v>
      </c>
      <c r="E614" s="941">
        <v>1.0</v>
      </c>
      <c r="F614" s="941">
        <v>2.0</v>
      </c>
      <c r="G614" s="941">
        <v>150.0</v>
      </c>
      <c r="H614" s="941">
        <v>162.0</v>
      </c>
      <c r="I614" s="941">
        <v>-12.0</v>
      </c>
      <c r="J614" s="941">
        <v>13.0</v>
      </c>
      <c r="K614" s="941">
        <v>5.0</v>
      </c>
      <c r="L614" s="941">
        <v>5.0</v>
      </c>
      <c r="M614" s="941">
        <v>1640.0</v>
      </c>
      <c r="N614" s="941">
        <v>2219.0</v>
      </c>
      <c r="O614" s="941">
        <v>10.0</v>
      </c>
      <c r="P614" s="941">
        <v>80.0</v>
      </c>
      <c r="Q614" s="941">
        <v>0.0</v>
      </c>
      <c r="R614" s="941">
        <v>1.0</v>
      </c>
      <c r="S614" s="941">
        <v>0.0</v>
      </c>
      <c r="T614" s="941">
        <v>0.0</v>
      </c>
      <c r="U614" s="941">
        <v>0.0</v>
      </c>
      <c r="V614" s="941">
        <v>1.0</v>
      </c>
      <c r="W614" s="941">
        <v>0.0</v>
      </c>
      <c r="X614" s="941">
        <v>21.0</v>
      </c>
      <c r="Y614" s="941">
        <v>2.0</v>
      </c>
      <c r="Z614" s="941">
        <v>0.0</v>
      </c>
      <c r="AA614" s="941">
        <v>0.0</v>
      </c>
      <c r="AB614" s="941">
        <v>0.0</v>
      </c>
      <c r="AC614" s="941">
        <v>0.0</v>
      </c>
      <c r="AD614" s="941">
        <v>0.0</v>
      </c>
      <c r="AE614" s="941">
        <v>0.0</v>
      </c>
      <c r="AF614" s="941">
        <v>0.0</v>
      </c>
      <c r="AG614" s="941">
        <v>0.0</v>
      </c>
      <c r="AH614" s="941">
        <v>7.0</v>
      </c>
      <c r="AI614" s="941">
        <v>0.0</v>
      </c>
      <c r="AJ614" s="941">
        <v>8.0</v>
      </c>
      <c r="AK614" s="941">
        <v>25.0</v>
      </c>
      <c r="AL614" s="941">
        <v>2.0</v>
      </c>
      <c r="AM614" s="942">
        <v>0.0</v>
      </c>
    </row>
    <row r="615">
      <c r="A615" s="935" t="s">
        <v>154</v>
      </c>
      <c r="B615" s="941">
        <v>1.0</v>
      </c>
      <c r="C615" s="941">
        <v>0.0</v>
      </c>
      <c r="D615" s="941">
        <v>1.0</v>
      </c>
      <c r="E615" s="941">
        <v>1.0</v>
      </c>
      <c r="F615" s="941">
        <v>17.0</v>
      </c>
      <c r="G615" s="941">
        <v>48.0</v>
      </c>
      <c r="H615" s="941">
        <v>63.0</v>
      </c>
      <c r="I615" s="941">
        <v>-15.0</v>
      </c>
      <c r="J615" s="941">
        <v>0.0</v>
      </c>
      <c r="K615" s="941">
        <v>6.0</v>
      </c>
      <c r="L615" s="941">
        <v>0.0</v>
      </c>
      <c r="M615" s="941">
        <v>1937.0</v>
      </c>
      <c r="N615" s="941">
        <v>2219.0</v>
      </c>
      <c r="O615" s="941">
        <v>30.0</v>
      </c>
      <c r="P615" s="941">
        <v>1377.0</v>
      </c>
      <c r="Q615" s="941">
        <v>0.0</v>
      </c>
      <c r="R615" s="941">
        <v>2.0</v>
      </c>
      <c r="S615" s="941">
        <v>0.0</v>
      </c>
      <c r="T615" s="941">
        <v>0.0</v>
      </c>
      <c r="U615" s="941">
        <v>0.0</v>
      </c>
      <c r="V615" s="941">
        <v>0.0</v>
      </c>
      <c r="W615" s="941">
        <v>0.0</v>
      </c>
      <c r="X615" s="941">
        <v>1.0</v>
      </c>
      <c r="Y615" s="941">
        <v>0.0</v>
      </c>
      <c r="Z615" s="941">
        <v>0.0</v>
      </c>
      <c r="AA615" s="941">
        <v>0.0</v>
      </c>
      <c r="AB615" s="941">
        <v>0.0</v>
      </c>
      <c r="AC615" s="941">
        <v>0.0</v>
      </c>
      <c r="AD615" s="941">
        <v>0.0</v>
      </c>
      <c r="AE615" s="941">
        <v>0.0</v>
      </c>
      <c r="AF615" s="941">
        <v>0.0</v>
      </c>
      <c r="AG615" s="941">
        <v>0.0</v>
      </c>
      <c r="AH615" s="941">
        <v>1.0</v>
      </c>
      <c r="AI615" s="941">
        <v>0.0</v>
      </c>
      <c r="AJ615" s="941">
        <v>8.0</v>
      </c>
      <c r="AK615" s="941">
        <v>7.0</v>
      </c>
      <c r="AL615" s="941">
        <v>1.0</v>
      </c>
      <c r="AM615" s="942">
        <v>0.0</v>
      </c>
    </row>
    <row r="616">
      <c r="A616" s="935" t="s">
        <v>132</v>
      </c>
      <c r="B616" s="941">
        <v>1.0</v>
      </c>
      <c r="C616" s="941">
        <v>0.0</v>
      </c>
      <c r="D616" s="941">
        <v>1.0</v>
      </c>
      <c r="E616" s="941">
        <v>0.0</v>
      </c>
      <c r="F616" s="941">
        <v>0.0</v>
      </c>
      <c r="G616" s="941">
        <v>147.0</v>
      </c>
      <c r="H616" s="941">
        <v>146.0</v>
      </c>
      <c r="I616" s="941">
        <v>1.0</v>
      </c>
      <c r="J616" s="941">
        <v>11.0</v>
      </c>
      <c r="K616" s="941">
        <v>8.0</v>
      </c>
      <c r="L616" s="941">
        <v>0.0</v>
      </c>
      <c r="M616" s="941">
        <v>1685.0</v>
      </c>
      <c r="N616" s="941">
        <v>2219.0</v>
      </c>
      <c r="O616" s="941">
        <v>11.0</v>
      </c>
      <c r="P616" s="941">
        <v>0.0</v>
      </c>
      <c r="Q616" s="941">
        <v>0.0</v>
      </c>
      <c r="R616" s="941">
        <v>2.0</v>
      </c>
      <c r="S616" s="941">
        <v>0.0</v>
      </c>
      <c r="T616" s="941">
        <v>0.0</v>
      </c>
      <c r="U616" s="941">
        <v>0.0</v>
      </c>
      <c r="V616" s="941">
        <v>1.0</v>
      </c>
      <c r="W616" s="941">
        <v>0.0</v>
      </c>
      <c r="X616" s="941">
        <v>18.0</v>
      </c>
      <c r="Y616" s="941">
        <v>5.0</v>
      </c>
      <c r="Z616" s="941">
        <v>1.0</v>
      </c>
      <c r="AA616" s="941">
        <v>0.0</v>
      </c>
      <c r="AB616" s="941">
        <v>0.0</v>
      </c>
      <c r="AC616" s="941">
        <v>0.0</v>
      </c>
      <c r="AD616" s="941">
        <v>0.0</v>
      </c>
      <c r="AE616" s="941">
        <v>0.0</v>
      </c>
      <c r="AF616" s="941">
        <v>0.0</v>
      </c>
      <c r="AG616" s="941">
        <v>0.0</v>
      </c>
      <c r="AH616" s="941">
        <v>8.0</v>
      </c>
      <c r="AI616" s="941">
        <v>0.0</v>
      </c>
      <c r="AJ616" s="941">
        <v>13.0</v>
      </c>
      <c r="AK616" s="941">
        <v>20.0</v>
      </c>
      <c r="AL616" s="941">
        <v>0.0</v>
      </c>
      <c r="AM616" s="942">
        <v>0.0</v>
      </c>
    </row>
    <row r="617">
      <c r="A617" s="943" t="s">
        <v>121</v>
      </c>
      <c r="B617" s="944">
        <v>1.0</v>
      </c>
      <c r="C617" s="944">
        <v>0.0</v>
      </c>
      <c r="D617" s="944">
        <v>1.0</v>
      </c>
      <c r="E617" s="944">
        <v>0.0</v>
      </c>
      <c r="F617" s="944">
        <v>1.0</v>
      </c>
      <c r="G617" s="944">
        <v>129.0</v>
      </c>
      <c r="H617" s="944">
        <v>110.0</v>
      </c>
      <c r="I617" s="944">
        <v>19.0</v>
      </c>
      <c r="J617" s="944">
        <v>3.0</v>
      </c>
      <c r="K617" s="944">
        <v>6.0</v>
      </c>
      <c r="L617" s="944">
        <v>2.0</v>
      </c>
      <c r="M617" s="944">
        <v>1795.0</v>
      </c>
      <c r="N617" s="944">
        <v>2219.0</v>
      </c>
      <c r="O617" s="944">
        <v>16.0</v>
      </c>
      <c r="P617" s="944">
        <v>55.0</v>
      </c>
      <c r="Q617" s="944">
        <v>0.0</v>
      </c>
      <c r="R617" s="944">
        <v>2.0</v>
      </c>
      <c r="S617" s="944">
        <v>0.0</v>
      </c>
      <c r="T617" s="944">
        <v>0.0</v>
      </c>
      <c r="U617" s="944">
        <v>0.0</v>
      </c>
      <c r="V617" s="944">
        <v>2.0</v>
      </c>
      <c r="W617" s="944">
        <v>0.0</v>
      </c>
      <c r="X617" s="944">
        <v>23.0</v>
      </c>
      <c r="Y617" s="944">
        <v>4.0</v>
      </c>
      <c r="Z617" s="944">
        <v>2.0</v>
      </c>
      <c r="AA617" s="944">
        <v>0.0</v>
      </c>
      <c r="AB617" s="944">
        <v>0.0</v>
      </c>
      <c r="AC617" s="944">
        <v>0.0</v>
      </c>
      <c r="AD617" s="944">
        <v>0.0</v>
      </c>
      <c r="AE617" s="944">
        <v>0.0</v>
      </c>
      <c r="AF617" s="944">
        <v>0.0</v>
      </c>
      <c r="AG617" s="944">
        <v>0.0</v>
      </c>
      <c r="AH617" s="944">
        <v>12.0</v>
      </c>
      <c r="AI617" s="944">
        <v>0.0</v>
      </c>
      <c r="AJ617" s="944">
        <v>22.0</v>
      </c>
      <c r="AK617" s="944">
        <v>14.0</v>
      </c>
      <c r="AL617" s="944">
        <v>1.0</v>
      </c>
      <c r="AM617" s="945">
        <v>0.0</v>
      </c>
    </row>
    <row r="618">
      <c r="A618" s="946" t="s">
        <v>132</v>
      </c>
      <c r="B618" s="939">
        <v>1.0</v>
      </c>
      <c r="C618" s="939">
        <v>1.0</v>
      </c>
      <c r="D618" s="939">
        <v>0.0</v>
      </c>
      <c r="E618" s="939">
        <v>4.0</v>
      </c>
      <c r="F618" s="939">
        <v>12.0</v>
      </c>
      <c r="G618" s="939">
        <v>123.0</v>
      </c>
      <c r="H618" s="939">
        <v>115.0</v>
      </c>
      <c r="I618" s="939">
        <v>8.0</v>
      </c>
      <c r="J618" s="939">
        <v>7.0</v>
      </c>
      <c r="K618" s="939">
        <v>9.0</v>
      </c>
      <c r="L618" s="939">
        <v>1.0</v>
      </c>
      <c r="M618" s="939">
        <v>2013.0</v>
      </c>
      <c r="N618" s="939">
        <v>2438.0</v>
      </c>
      <c r="O618" s="939">
        <v>17.0</v>
      </c>
      <c r="P618" s="939">
        <v>457.0</v>
      </c>
      <c r="Q618" s="939">
        <v>0.0</v>
      </c>
      <c r="R618" s="939">
        <v>3.0</v>
      </c>
      <c r="S618" s="939">
        <v>0.0</v>
      </c>
      <c r="T618" s="939">
        <v>0.0</v>
      </c>
      <c r="U618" s="939">
        <v>0.0</v>
      </c>
      <c r="V618" s="939">
        <v>1.0</v>
      </c>
      <c r="W618" s="939">
        <v>0.0</v>
      </c>
      <c r="X618" s="939">
        <v>11.0</v>
      </c>
      <c r="Y618" s="939">
        <v>0.0</v>
      </c>
      <c r="Z618" s="939">
        <v>0.0</v>
      </c>
      <c r="AA618" s="939">
        <v>0.0</v>
      </c>
      <c r="AB618" s="939">
        <v>0.0</v>
      </c>
      <c r="AC618" s="939">
        <v>0.0</v>
      </c>
      <c r="AD618" s="939">
        <v>0.0</v>
      </c>
      <c r="AE618" s="939">
        <v>0.0</v>
      </c>
      <c r="AF618" s="939">
        <v>0.0</v>
      </c>
      <c r="AG618" s="939">
        <v>0.0</v>
      </c>
      <c r="AH618" s="939">
        <v>2.0</v>
      </c>
      <c r="AI618" s="939">
        <v>0.0</v>
      </c>
      <c r="AJ618" s="939">
        <v>15.0</v>
      </c>
      <c r="AK618" s="939">
        <v>16.0</v>
      </c>
      <c r="AL618" s="939">
        <v>0.0</v>
      </c>
      <c r="AM618" s="940">
        <v>0.0</v>
      </c>
    </row>
    <row r="619">
      <c r="A619" s="935" t="s">
        <v>136</v>
      </c>
      <c r="B619" s="941">
        <v>1.0</v>
      </c>
      <c r="C619" s="941">
        <v>1.0</v>
      </c>
      <c r="D619" s="941">
        <v>0.0</v>
      </c>
      <c r="E619" s="941">
        <v>1.0</v>
      </c>
      <c r="F619" s="941">
        <v>0.0</v>
      </c>
      <c r="G619" s="941">
        <v>169.0</v>
      </c>
      <c r="H619" s="941">
        <v>158.0</v>
      </c>
      <c r="I619" s="941">
        <v>11.0</v>
      </c>
      <c r="J619" s="941">
        <v>6.0</v>
      </c>
      <c r="K619" s="941">
        <v>4.0</v>
      </c>
      <c r="L619" s="941">
        <v>2.0</v>
      </c>
      <c r="M619" s="941">
        <v>1885.0</v>
      </c>
      <c r="N619" s="941">
        <v>2438.0</v>
      </c>
      <c r="O619" s="941">
        <v>11.0</v>
      </c>
      <c r="P619" s="941">
        <v>32.0</v>
      </c>
      <c r="Q619" s="941">
        <v>0.0</v>
      </c>
      <c r="R619" s="941">
        <v>0.0</v>
      </c>
      <c r="S619" s="941">
        <v>0.0</v>
      </c>
      <c r="T619" s="941">
        <v>0.0</v>
      </c>
      <c r="U619" s="941">
        <v>0.0</v>
      </c>
      <c r="V619" s="941">
        <v>0.0</v>
      </c>
      <c r="W619" s="941">
        <v>0.0</v>
      </c>
      <c r="X619" s="941">
        <v>30.0</v>
      </c>
      <c r="Y619" s="941">
        <v>8.0</v>
      </c>
      <c r="Z619" s="941">
        <v>1.0</v>
      </c>
      <c r="AA619" s="941">
        <v>0.0</v>
      </c>
      <c r="AB619" s="941">
        <v>0.0</v>
      </c>
      <c r="AC619" s="941">
        <v>0.0</v>
      </c>
      <c r="AD619" s="941">
        <v>0.0</v>
      </c>
      <c r="AE619" s="941">
        <v>0.0</v>
      </c>
      <c r="AF619" s="941">
        <v>0.0</v>
      </c>
      <c r="AG619" s="941">
        <v>0.0</v>
      </c>
      <c r="AH619" s="941">
        <v>0.0</v>
      </c>
      <c r="AI619" s="941">
        <v>0.0</v>
      </c>
      <c r="AJ619" s="941">
        <v>18.0</v>
      </c>
      <c r="AK619" s="941">
        <v>20.0</v>
      </c>
      <c r="AL619" s="941">
        <v>0.0</v>
      </c>
      <c r="AM619" s="942">
        <v>0.0</v>
      </c>
    </row>
    <row r="620">
      <c r="A620" s="935" t="s">
        <v>147</v>
      </c>
      <c r="B620" s="941">
        <v>1.0</v>
      </c>
      <c r="C620" s="941">
        <v>1.0</v>
      </c>
      <c r="D620" s="941">
        <v>0.0</v>
      </c>
      <c r="E620" s="941">
        <v>0.0</v>
      </c>
      <c r="F620" s="941">
        <v>0.0</v>
      </c>
      <c r="G620" s="941">
        <v>102.0</v>
      </c>
      <c r="H620" s="941">
        <v>142.0</v>
      </c>
      <c r="I620" s="941">
        <v>-40.0</v>
      </c>
      <c r="J620" s="941">
        <v>10.0</v>
      </c>
      <c r="K620" s="941">
        <v>4.0</v>
      </c>
      <c r="L620" s="941">
        <v>2.0</v>
      </c>
      <c r="M620" s="941">
        <v>1932.0</v>
      </c>
      <c r="N620" s="941">
        <v>2438.0</v>
      </c>
      <c r="O620" s="941">
        <v>13.0</v>
      </c>
      <c r="P620" s="941">
        <v>6.0</v>
      </c>
      <c r="Q620" s="941">
        <v>0.0</v>
      </c>
      <c r="R620" s="941">
        <v>0.0</v>
      </c>
      <c r="S620" s="941">
        <v>0.0</v>
      </c>
      <c r="T620" s="941">
        <v>0.0</v>
      </c>
      <c r="U620" s="941">
        <v>0.0</v>
      </c>
      <c r="V620" s="941">
        <v>0.0</v>
      </c>
      <c r="W620" s="941">
        <v>0.0</v>
      </c>
      <c r="X620" s="941">
        <v>8.0</v>
      </c>
      <c r="Y620" s="941">
        <v>0.0</v>
      </c>
      <c r="Z620" s="941">
        <v>0.0</v>
      </c>
      <c r="AA620" s="941">
        <v>0.0</v>
      </c>
      <c r="AB620" s="941">
        <v>0.0</v>
      </c>
      <c r="AC620" s="941">
        <v>0.0</v>
      </c>
      <c r="AD620" s="941">
        <v>0.0</v>
      </c>
      <c r="AE620" s="941">
        <v>0.0</v>
      </c>
      <c r="AF620" s="941">
        <v>0.0</v>
      </c>
      <c r="AG620" s="941">
        <v>0.0</v>
      </c>
      <c r="AH620" s="941">
        <v>5.0</v>
      </c>
      <c r="AI620" s="941">
        <v>0.0</v>
      </c>
      <c r="AJ620" s="941">
        <v>5.0</v>
      </c>
      <c r="AK620" s="941">
        <v>14.0</v>
      </c>
      <c r="AL620" s="941">
        <v>2.0</v>
      </c>
      <c r="AM620" s="942">
        <v>0.0</v>
      </c>
    </row>
    <row r="621">
      <c r="A621" s="935" t="s">
        <v>114</v>
      </c>
      <c r="B621" s="941">
        <v>1.0</v>
      </c>
      <c r="C621" s="941">
        <v>1.0</v>
      </c>
      <c r="D621" s="941">
        <v>0.0</v>
      </c>
      <c r="E621" s="941">
        <v>0.0</v>
      </c>
      <c r="F621" s="941">
        <v>20.0</v>
      </c>
      <c r="G621" s="941">
        <v>103.0</v>
      </c>
      <c r="H621" s="941">
        <v>105.0</v>
      </c>
      <c r="I621" s="941">
        <v>-2.0</v>
      </c>
      <c r="J621" s="941">
        <v>10.0</v>
      </c>
      <c r="K621" s="941">
        <v>13.0</v>
      </c>
      <c r="L621" s="941">
        <v>2.0</v>
      </c>
      <c r="M621" s="941">
        <v>2048.0</v>
      </c>
      <c r="N621" s="941">
        <v>2438.0</v>
      </c>
      <c r="O621" s="941">
        <v>19.0</v>
      </c>
      <c r="P621" s="941">
        <v>691.0</v>
      </c>
      <c r="Q621" s="941">
        <v>0.0</v>
      </c>
      <c r="R621" s="941">
        <v>2.0</v>
      </c>
      <c r="S621" s="941">
        <v>1.0</v>
      </c>
      <c r="T621" s="941">
        <v>0.0</v>
      </c>
      <c r="U621" s="941">
        <v>0.0</v>
      </c>
      <c r="V621" s="941">
        <v>0.0</v>
      </c>
      <c r="W621" s="941">
        <v>0.0</v>
      </c>
      <c r="X621" s="941">
        <v>10.0</v>
      </c>
      <c r="Y621" s="941">
        <v>0.0</v>
      </c>
      <c r="Z621" s="941">
        <v>0.0</v>
      </c>
      <c r="AA621" s="941">
        <v>0.0</v>
      </c>
      <c r="AB621" s="941">
        <v>0.0</v>
      </c>
      <c r="AC621" s="941">
        <v>0.0</v>
      </c>
      <c r="AD621" s="941">
        <v>0.0</v>
      </c>
      <c r="AE621" s="941">
        <v>0.0</v>
      </c>
      <c r="AF621" s="941">
        <v>0.0</v>
      </c>
      <c r="AG621" s="941">
        <v>0.0</v>
      </c>
      <c r="AH621" s="941">
        <v>4.0</v>
      </c>
      <c r="AI621" s="941">
        <v>0.0</v>
      </c>
      <c r="AJ621" s="941">
        <v>12.0</v>
      </c>
      <c r="AK621" s="941">
        <v>12.0</v>
      </c>
      <c r="AL621" s="941">
        <v>0.0</v>
      </c>
      <c r="AM621" s="942">
        <v>0.0</v>
      </c>
    </row>
    <row r="622">
      <c r="A622" s="935" t="s">
        <v>418</v>
      </c>
      <c r="B622" s="941">
        <v>1.0</v>
      </c>
      <c r="C622" s="941">
        <v>0.0</v>
      </c>
      <c r="D622" s="941">
        <v>1.0</v>
      </c>
      <c r="E622" s="941">
        <v>1.0</v>
      </c>
      <c r="F622" s="941">
        <v>0.0</v>
      </c>
      <c r="G622" s="941">
        <v>154.0</v>
      </c>
      <c r="H622" s="941">
        <v>121.0</v>
      </c>
      <c r="I622" s="941">
        <v>33.0</v>
      </c>
      <c r="J622" s="941">
        <v>8.0</v>
      </c>
      <c r="K622" s="941">
        <v>7.0</v>
      </c>
      <c r="L622" s="941">
        <v>2.0</v>
      </c>
      <c r="M622" s="941">
        <v>1997.0</v>
      </c>
      <c r="N622" s="941">
        <v>2438.0</v>
      </c>
      <c r="O622" s="941">
        <v>16.0</v>
      </c>
      <c r="P622" s="941">
        <v>35.0</v>
      </c>
      <c r="Q622" s="941">
        <v>0.0</v>
      </c>
      <c r="R622" s="941">
        <v>4.0</v>
      </c>
      <c r="S622" s="941">
        <v>0.0</v>
      </c>
      <c r="T622" s="941">
        <v>0.0</v>
      </c>
      <c r="U622" s="941">
        <v>0.0</v>
      </c>
      <c r="V622" s="941">
        <v>4.0</v>
      </c>
      <c r="W622" s="941">
        <v>0.0</v>
      </c>
      <c r="X622" s="941">
        <v>25.0</v>
      </c>
      <c r="Y622" s="941">
        <v>5.0</v>
      </c>
      <c r="Z622" s="941">
        <v>0.0</v>
      </c>
      <c r="AA622" s="941">
        <v>0.0</v>
      </c>
      <c r="AB622" s="941">
        <v>0.0</v>
      </c>
      <c r="AC622" s="941">
        <v>0.0</v>
      </c>
      <c r="AD622" s="941">
        <v>0.0</v>
      </c>
      <c r="AE622" s="941">
        <v>0.0</v>
      </c>
      <c r="AF622" s="941">
        <v>0.0</v>
      </c>
      <c r="AG622" s="941">
        <v>0.0</v>
      </c>
      <c r="AH622" s="941">
        <v>2.0</v>
      </c>
      <c r="AI622" s="941">
        <v>0.0</v>
      </c>
      <c r="AJ622" s="941">
        <v>30.0</v>
      </c>
      <c r="AK622" s="941">
        <v>23.0</v>
      </c>
      <c r="AL622" s="941">
        <v>1.0</v>
      </c>
      <c r="AM622" s="942">
        <v>1.0</v>
      </c>
    </row>
    <row r="623">
      <c r="A623" s="935" t="s">
        <v>138</v>
      </c>
      <c r="B623" s="941">
        <v>1.0</v>
      </c>
      <c r="C623" s="941">
        <v>0.0</v>
      </c>
      <c r="D623" s="941">
        <v>1.0</v>
      </c>
      <c r="E623" s="941">
        <v>0.0</v>
      </c>
      <c r="F623" s="941">
        <v>1.0</v>
      </c>
      <c r="G623" s="941">
        <v>162.0</v>
      </c>
      <c r="H623" s="941">
        <v>143.0</v>
      </c>
      <c r="I623" s="941">
        <v>19.0</v>
      </c>
      <c r="J623" s="941">
        <v>12.0</v>
      </c>
      <c r="K623" s="941">
        <v>7.0</v>
      </c>
      <c r="L623" s="941">
        <v>0.0</v>
      </c>
      <c r="M623" s="941">
        <v>1934.0</v>
      </c>
      <c r="N623" s="941">
        <v>2438.0</v>
      </c>
      <c r="O623" s="941">
        <v>13.0</v>
      </c>
      <c r="P623" s="941">
        <v>7.0</v>
      </c>
      <c r="Q623" s="941">
        <v>0.0</v>
      </c>
      <c r="R623" s="941">
        <v>5.0</v>
      </c>
      <c r="S623" s="941">
        <v>0.0</v>
      </c>
      <c r="T623" s="941">
        <v>0.0</v>
      </c>
      <c r="U623" s="941">
        <v>0.0</v>
      </c>
      <c r="V623" s="941">
        <v>4.0</v>
      </c>
      <c r="W623" s="941">
        <v>0.0</v>
      </c>
      <c r="X623" s="941">
        <v>23.0</v>
      </c>
      <c r="Y623" s="941">
        <v>4.0</v>
      </c>
      <c r="Z623" s="941">
        <v>0.0</v>
      </c>
      <c r="AA623" s="941">
        <v>0.0</v>
      </c>
      <c r="AB623" s="941">
        <v>0.0</v>
      </c>
      <c r="AC623" s="941">
        <v>0.0</v>
      </c>
      <c r="AD623" s="941">
        <v>0.0</v>
      </c>
      <c r="AE623" s="941">
        <v>0.0</v>
      </c>
      <c r="AF623" s="941">
        <v>0.0</v>
      </c>
      <c r="AG623" s="941">
        <v>0.0</v>
      </c>
      <c r="AH623" s="941">
        <v>3.0</v>
      </c>
      <c r="AI623" s="941">
        <v>0.0</v>
      </c>
      <c r="AJ623" s="941">
        <v>14.0</v>
      </c>
      <c r="AK623" s="941">
        <v>17.0</v>
      </c>
      <c r="AL623" s="941">
        <v>1.0</v>
      </c>
      <c r="AM623" s="942">
        <v>1.0</v>
      </c>
    </row>
    <row r="624">
      <c r="A624" s="935" t="s">
        <v>392</v>
      </c>
      <c r="B624" s="941">
        <v>1.0</v>
      </c>
      <c r="C624" s="941">
        <v>0.0</v>
      </c>
      <c r="D624" s="941">
        <v>1.0</v>
      </c>
      <c r="E624" s="941">
        <v>0.0</v>
      </c>
      <c r="F624" s="941">
        <v>0.0</v>
      </c>
      <c r="G624" s="941">
        <v>112.0</v>
      </c>
      <c r="H624" s="941">
        <v>167.0</v>
      </c>
      <c r="I624" s="941">
        <v>-55.0</v>
      </c>
      <c r="J624" s="941">
        <v>8.0</v>
      </c>
      <c r="K624" s="941">
        <v>4.0</v>
      </c>
      <c r="L624" s="941">
        <v>0.0</v>
      </c>
      <c r="M624" s="941">
        <v>1860.0</v>
      </c>
      <c r="N624" s="941">
        <v>2438.0</v>
      </c>
      <c r="O624" s="941">
        <v>11.0</v>
      </c>
      <c r="P624" s="941">
        <v>0.0</v>
      </c>
      <c r="Q624" s="941">
        <v>0.0</v>
      </c>
      <c r="R624" s="941">
        <v>0.0</v>
      </c>
      <c r="S624" s="941">
        <v>0.0</v>
      </c>
      <c r="T624" s="941">
        <v>0.0</v>
      </c>
      <c r="U624" s="941">
        <v>0.0</v>
      </c>
      <c r="V624" s="941">
        <v>0.0</v>
      </c>
      <c r="W624" s="941">
        <v>0.0</v>
      </c>
      <c r="X624" s="941">
        <v>14.0</v>
      </c>
      <c r="Y624" s="941">
        <v>2.0</v>
      </c>
      <c r="Z624" s="941">
        <v>1.0</v>
      </c>
      <c r="AA624" s="941">
        <v>0.0</v>
      </c>
      <c r="AB624" s="941">
        <v>0.0</v>
      </c>
      <c r="AC624" s="941">
        <v>0.0</v>
      </c>
      <c r="AD624" s="941">
        <v>0.0</v>
      </c>
      <c r="AE624" s="941">
        <v>0.0</v>
      </c>
      <c r="AF624" s="941">
        <v>0.0</v>
      </c>
      <c r="AG624" s="941">
        <v>0.0</v>
      </c>
      <c r="AH624" s="941">
        <v>0.0</v>
      </c>
      <c r="AI624" s="941">
        <v>0.0</v>
      </c>
      <c r="AJ624" s="941">
        <v>9.0</v>
      </c>
      <c r="AK624" s="941">
        <v>23.0</v>
      </c>
      <c r="AL624" s="941">
        <v>0.0</v>
      </c>
      <c r="AM624" s="942">
        <v>1.0</v>
      </c>
    </row>
    <row r="625">
      <c r="A625" s="943" t="s">
        <v>149</v>
      </c>
      <c r="B625" s="944">
        <v>1.0</v>
      </c>
      <c r="C625" s="944">
        <v>0.0</v>
      </c>
      <c r="D625" s="944">
        <v>1.0</v>
      </c>
      <c r="E625" s="944">
        <v>0.0</v>
      </c>
      <c r="F625" s="944">
        <v>10.0</v>
      </c>
      <c r="G625" s="944">
        <v>80.0</v>
      </c>
      <c r="H625" s="944">
        <v>83.0</v>
      </c>
      <c r="I625" s="944">
        <v>-3.0</v>
      </c>
      <c r="J625" s="944">
        <v>4.0</v>
      </c>
      <c r="K625" s="944">
        <v>5.0</v>
      </c>
      <c r="L625" s="944">
        <v>3.0</v>
      </c>
      <c r="M625" s="944">
        <v>2115.0</v>
      </c>
      <c r="N625" s="944">
        <v>2438.0</v>
      </c>
      <c r="O625" s="944">
        <v>25.0</v>
      </c>
      <c r="P625" s="944">
        <v>1006.0</v>
      </c>
      <c r="Q625" s="944">
        <v>0.0</v>
      </c>
      <c r="R625" s="944">
        <v>1.0</v>
      </c>
      <c r="S625" s="944">
        <v>0.0</v>
      </c>
      <c r="T625" s="944">
        <v>0.0</v>
      </c>
      <c r="U625" s="944">
        <v>0.0</v>
      </c>
      <c r="V625" s="944">
        <v>1.0</v>
      </c>
      <c r="W625" s="944">
        <v>0.0</v>
      </c>
      <c r="X625" s="944">
        <v>8.0</v>
      </c>
      <c r="Y625" s="944">
        <v>2.0</v>
      </c>
      <c r="Z625" s="944">
        <v>0.0</v>
      </c>
      <c r="AA625" s="944">
        <v>0.0</v>
      </c>
      <c r="AB625" s="944">
        <v>0.0</v>
      </c>
      <c r="AC625" s="944">
        <v>0.0</v>
      </c>
      <c r="AD625" s="944">
        <v>0.0</v>
      </c>
      <c r="AE625" s="944">
        <v>0.0</v>
      </c>
      <c r="AF625" s="944">
        <v>0.0</v>
      </c>
      <c r="AG625" s="944">
        <v>0.0</v>
      </c>
      <c r="AH625" s="944">
        <v>2.0</v>
      </c>
      <c r="AI625" s="944">
        <v>0.0</v>
      </c>
      <c r="AJ625" s="944">
        <v>17.0</v>
      </c>
      <c r="AK625" s="944">
        <v>11.0</v>
      </c>
      <c r="AL625" s="944">
        <v>2.0</v>
      </c>
      <c r="AM625" s="945">
        <v>1.0</v>
      </c>
    </row>
    <row r="626">
      <c r="A626" s="946" t="s">
        <v>149</v>
      </c>
      <c r="B626" s="895">
        <v>0.0</v>
      </c>
      <c r="C626" s="895">
        <v>0.0</v>
      </c>
      <c r="D626" s="939">
        <v>0.0</v>
      </c>
      <c r="E626" s="939">
        <v>2.0</v>
      </c>
      <c r="F626" s="939">
        <v>12.0</v>
      </c>
      <c r="G626" s="939">
        <v>27.0</v>
      </c>
      <c r="H626" s="939">
        <v>16.0</v>
      </c>
      <c r="I626" s="939">
        <v>11.0</v>
      </c>
      <c r="J626" s="939">
        <v>2.0</v>
      </c>
      <c r="K626" s="939">
        <v>8.0</v>
      </c>
      <c r="L626" s="939">
        <v>0.0</v>
      </c>
      <c r="M626" s="939">
        <v>662.0</v>
      </c>
      <c r="N626" s="939">
        <v>768.0</v>
      </c>
      <c r="O626" s="939">
        <v>41.0</v>
      </c>
      <c r="P626" s="939">
        <v>481.0</v>
      </c>
      <c r="Q626" s="939">
        <v>0.0</v>
      </c>
      <c r="R626" s="939">
        <v>2.0</v>
      </c>
      <c r="S626" s="939">
        <v>0.0</v>
      </c>
      <c r="T626" s="939">
        <v>0.0</v>
      </c>
      <c r="U626" s="939">
        <v>0.0</v>
      </c>
      <c r="V626" s="939">
        <v>0.0</v>
      </c>
      <c r="W626" s="939">
        <v>0.0</v>
      </c>
      <c r="X626" s="939">
        <v>3.0</v>
      </c>
      <c r="Y626" s="939">
        <v>0.0</v>
      </c>
      <c r="Z626" s="939">
        <v>0.0</v>
      </c>
      <c r="AA626" s="939">
        <v>0.0</v>
      </c>
      <c r="AB626" s="939">
        <v>0.0</v>
      </c>
      <c r="AC626" s="939">
        <v>0.0</v>
      </c>
      <c r="AD626" s="939">
        <v>0.0</v>
      </c>
      <c r="AE626" s="939">
        <v>0.0</v>
      </c>
      <c r="AF626" s="939">
        <v>0.0</v>
      </c>
      <c r="AG626" s="939">
        <v>0.0</v>
      </c>
      <c r="AH626" s="939">
        <v>1.0</v>
      </c>
      <c r="AI626" s="939">
        <v>0.0</v>
      </c>
      <c r="AJ626" s="939">
        <v>8.0</v>
      </c>
      <c r="AK626" s="939">
        <v>2.0</v>
      </c>
      <c r="AL626" s="939">
        <v>0.0</v>
      </c>
      <c r="AM626" s="940">
        <v>1.0</v>
      </c>
    </row>
    <row r="627">
      <c r="A627" s="935" t="s">
        <v>392</v>
      </c>
      <c r="B627" s="1">
        <v>0.0</v>
      </c>
      <c r="C627" s="1">
        <v>0.0</v>
      </c>
      <c r="D627" s="941">
        <v>0.0</v>
      </c>
      <c r="E627" s="941">
        <v>0.0</v>
      </c>
      <c r="F627" s="941">
        <v>0.0</v>
      </c>
      <c r="G627" s="941">
        <v>43.0</v>
      </c>
      <c r="H627" s="941">
        <v>55.0</v>
      </c>
      <c r="I627" s="941">
        <v>-12.0</v>
      </c>
      <c r="J627" s="941">
        <v>3.0</v>
      </c>
      <c r="K627" s="941">
        <v>4.0</v>
      </c>
      <c r="L627" s="941">
        <v>1.0</v>
      </c>
      <c r="M627" s="941">
        <v>625.0</v>
      </c>
      <c r="N627" s="941">
        <v>839.0</v>
      </c>
      <c r="O627" s="941">
        <v>11.0</v>
      </c>
      <c r="P627" s="941">
        <v>0.0</v>
      </c>
      <c r="Q627" s="941">
        <v>0.0</v>
      </c>
      <c r="R627" s="941">
        <v>0.0</v>
      </c>
      <c r="S627" s="941">
        <v>0.0</v>
      </c>
      <c r="T627" s="941">
        <v>0.0</v>
      </c>
      <c r="U627" s="941">
        <v>0.0</v>
      </c>
      <c r="V627" s="941">
        <v>0.0</v>
      </c>
      <c r="W627" s="941">
        <v>0.0</v>
      </c>
      <c r="X627" s="941">
        <v>7.0</v>
      </c>
      <c r="Y627" s="941">
        <v>3.0</v>
      </c>
      <c r="Z627" s="941">
        <v>1.0</v>
      </c>
      <c r="AA627" s="941">
        <v>0.0</v>
      </c>
      <c r="AB627" s="941">
        <v>0.0</v>
      </c>
      <c r="AC627" s="941">
        <v>0.0</v>
      </c>
      <c r="AD627" s="941">
        <v>0.0</v>
      </c>
      <c r="AE627" s="941">
        <v>0.0</v>
      </c>
      <c r="AF627" s="941">
        <v>0.0</v>
      </c>
      <c r="AG627" s="941">
        <v>0.0</v>
      </c>
      <c r="AH627" s="941">
        <v>1.0</v>
      </c>
      <c r="AI627" s="941">
        <v>0.0</v>
      </c>
      <c r="AJ627" s="941">
        <v>2.0</v>
      </c>
      <c r="AK627" s="941">
        <v>8.0</v>
      </c>
      <c r="AL627" s="941">
        <v>1.0</v>
      </c>
      <c r="AM627" s="942">
        <v>1.0</v>
      </c>
    </row>
    <row r="628">
      <c r="A628" s="935" t="s">
        <v>138</v>
      </c>
      <c r="B628" s="1">
        <v>0.0</v>
      </c>
      <c r="C628" s="1">
        <v>0.0</v>
      </c>
      <c r="D628" s="941">
        <v>0.0</v>
      </c>
      <c r="E628" s="941">
        <v>0.0</v>
      </c>
      <c r="F628" s="941">
        <v>2.0</v>
      </c>
      <c r="G628" s="941">
        <v>56.0</v>
      </c>
      <c r="H628" s="941">
        <v>38.0</v>
      </c>
      <c r="I628" s="941">
        <v>18.0</v>
      </c>
      <c r="J628" s="941">
        <v>3.0</v>
      </c>
      <c r="K628" s="941">
        <v>7.0</v>
      </c>
      <c r="L628" s="941">
        <v>0.0</v>
      </c>
      <c r="M628" s="941">
        <v>606.0</v>
      </c>
      <c r="N628" s="941">
        <v>768.0</v>
      </c>
      <c r="O628" s="941">
        <v>15.0</v>
      </c>
      <c r="P628" s="941">
        <v>7.0</v>
      </c>
      <c r="Q628" s="941">
        <v>0.0</v>
      </c>
      <c r="R628" s="941">
        <v>4.0</v>
      </c>
      <c r="S628" s="941">
        <v>0.0</v>
      </c>
      <c r="T628" s="941">
        <v>0.0</v>
      </c>
      <c r="U628" s="941">
        <v>0.0</v>
      </c>
      <c r="V628" s="941">
        <v>4.0</v>
      </c>
      <c r="W628" s="941">
        <v>0.0</v>
      </c>
      <c r="X628" s="941">
        <v>10.0</v>
      </c>
      <c r="Y628" s="941">
        <v>2.0</v>
      </c>
      <c r="Z628" s="941">
        <v>0.0</v>
      </c>
      <c r="AA628" s="941">
        <v>0.0</v>
      </c>
      <c r="AB628" s="941">
        <v>0.0</v>
      </c>
      <c r="AC628" s="941">
        <v>0.0</v>
      </c>
      <c r="AD628" s="941">
        <v>0.0</v>
      </c>
      <c r="AE628" s="941">
        <v>0.0</v>
      </c>
      <c r="AF628" s="941">
        <v>0.0</v>
      </c>
      <c r="AG628" s="941">
        <v>0.0</v>
      </c>
      <c r="AH628" s="941">
        <v>3.0</v>
      </c>
      <c r="AI628" s="941">
        <v>0.0</v>
      </c>
      <c r="AJ628" s="941">
        <v>4.0</v>
      </c>
      <c r="AK628" s="941">
        <v>2.0</v>
      </c>
      <c r="AL628" s="941">
        <v>2.0</v>
      </c>
      <c r="AM628" s="942">
        <v>1.0</v>
      </c>
    </row>
    <row r="629">
      <c r="A629" s="935" t="s">
        <v>418</v>
      </c>
      <c r="B629" s="1">
        <v>0.0</v>
      </c>
      <c r="C629" s="1">
        <v>0.0</v>
      </c>
      <c r="D629" s="941">
        <v>0.0</v>
      </c>
      <c r="E629" s="941">
        <v>0.0</v>
      </c>
      <c r="F629" s="941">
        <v>0.0</v>
      </c>
      <c r="G629" s="941">
        <v>61.0</v>
      </c>
      <c r="H629" s="941">
        <v>36.0</v>
      </c>
      <c r="I629" s="941">
        <v>25.0</v>
      </c>
      <c r="J629" s="941">
        <v>0.0</v>
      </c>
      <c r="K629" s="941">
        <v>7.0</v>
      </c>
      <c r="L629" s="941">
        <v>0.0</v>
      </c>
      <c r="M629" s="941">
        <v>608.0</v>
      </c>
      <c r="N629" s="941">
        <v>768.0</v>
      </c>
      <c r="O629" s="941">
        <v>16.0</v>
      </c>
      <c r="P629" s="941">
        <v>2.0</v>
      </c>
      <c r="Q629" s="941">
        <v>0.0</v>
      </c>
      <c r="R629" s="941">
        <v>2.0</v>
      </c>
      <c r="S629" s="941">
        <v>0.0</v>
      </c>
      <c r="T629" s="941">
        <v>0.0</v>
      </c>
      <c r="U629" s="941">
        <v>0.0</v>
      </c>
      <c r="V629" s="941">
        <v>1.0</v>
      </c>
      <c r="W629" s="941">
        <v>0.0</v>
      </c>
      <c r="X629" s="941">
        <v>13.0</v>
      </c>
      <c r="Y629" s="941">
        <v>1.0</v>
      </c>
      <c r="Z629" s="941">
        <v>1.0</v>
      </c>
      <c r="AA629" s="941">
        <v>1.0</v>
      </c>
      <c r="AB629" s="941">
        <v>1.0</v>
      </c>
      <c r="AC629" s="941">
        <v>1.0</v>
      </c>
      <c r="AD629" s="941">
        <v>0.0</v>
      </c>
      <c r="AE629" s="941">
        <v>0.0</v>
      </c>
      <c r="AF629" s="941">
        <v>0.0</v>
      </c>
      <c r="AG629" s="941">
        <v>0.0</v>
      </c>
      <c r="AH629" s="941">
        <v>0.0</v>
      </c>
      <c r="AI629" s="941">
        <v>0.0</v>
      </c>
      <c r="AJ629" s="941">
        <v>12.0</v>
      </c>
      <c r="AK629" s="941">
        <v>6.0</v>
      </c>
      <c r="AL629" s="941">
        <v>1.0</v>
      </c>
      <c r="AM629" s="942">
        <v>1.0</v>
      </c>
    </row>
    <row r="630">
      <c r="A630" s="935" t="s">
        <v>132</v>
      </c>
      <c r="B630" s="1">
        <v>0.0</v>
      </c>
      <c r="C630" s="941">
        <v>0.0</v>
      </c>
      <c r="D630" s="1">
        <v>0.0</v>
      </c>
      <c r="E630" s="941">
        <v>1.0</v>
      </c>
      <c r="F630" s="941">
        <v>4.0</v>
      </c>
      <c r="G630" s="941">
        <v>38.0</v>
      </c>
      <c r="H630" s="941">
        <v>40.0</v>
      </c>
      <c r="I630" s="941">
        <v>-2.0</v>
      </c>
      <c r="J630" s="941">
        <v>2.0</v>
      </c>
      <c r="K630" s="941">
        <v>5.0</v>
      </c>
      <c r="L630" s="941">
        <v>0.0</v>
      </c>
      <c r="M630" s="941">
        <v>668.0</v>
      </c>
      <c r="N630" s="941">
        <v>839.0</v>
      </c>
      <c r="O630" s="941">
        <v>16.0</v>
      </c>
      <c r="P630" s="941">
        <v>214.0</v>
      </c>
      <c r="Q630" s="941">
        <v>0.0</v>
      </c>
      <c r="R630" s="941">
        <v>1.0</v>
      </c>
      <c r="S630" s="941">
        <v>0.0</v>
      </c>
      <c r="T630" s="941">
        <v>0.0</v>
      </c>
      <c r="U630" s="941">
        <v>0.0</v>
      </c>
      <c r="V630" s="941">
        <v>1.0</v>
      </c>
      <c r="W630" s="941">
        <v>0.0</v>
      </c>
      <c r="X630" s="941">
        <v>7.0</v>
      </c>
      <c r="Y630" s="941">
        <v>1.0</v>
      </c>
      <c r="Z630" s="941">
        <v>1.0</v>
      </c>
      <c r="AA630" s="941">
        <v>0.0</v>
      </c>
      <c r="AB630" s="941">
        <v>0.0</v>
      </c>
      <c r="AC630" s="941">
        <v>0.0</v>
      </c>
      <c r="AD630" s="941">
        <v>0.0</v>
      </c>
      <c r="AE630" s="941">
        <v>0.0</v>
      </c>
      <c r="AF630" s="941">
        <v>0.0</v>
      </c>
      <c r="AG630" s="941">
        <v>0.0</v>
      </c>
      <c r="AH630" s="941">
        <v>0.0</v>
      </c>
      <c r="AI630" s="941">
        <v>0.0</v>
      </c>
      <c r="AJ630" s="941">
        <v>4.0</v>
      </c>
      <c r="AK630" s="941">
        <v>3.0</v>
      </c>
      <c r="AL630" s="941">
        <v>0.0</v>
      </c>
      <c r="AM630" s="942">
        <v>0.0</v>
      </c>
    </row>
    <row r="631">
      <c r="A631" s="935" t="s">
        <v>147</v>
      </c>
      <c r="B631" s="1">
        <v>0.0</v>
      </c>
      <c r="C631" s="941">
        <v>0.0</v>
      </c>
      <c r="D631" s="1">
        <v>0.0</v>
      </c>
      <c r="E631" s="941">
        <v>0.0</v>
      </c>
      <c r="F631" s="941">
        <v>0.0</v>
      </c>
      <c r="G631" s="941">
        <v>27.0</v>
      </c>
      <c r="H631" s="941">
        <v>47.0</v>
      </c>
      <c r="I631" s="941">
        <v>-20.0</v>
      </c>
      <c r="J631" s="941">
        <v>1.0</v>
      </c>
      <c r="K631" s="941">
        <v>6.0</v>
      </c>
      <c r="L631" s="941">
        <v>0.0</v>
      </c>
      <c r="M631" s="941">
        <v>646.0</v>
      </c>
      <c r="N631" s="941">
        <v>839.0</v>
      </c>
      <c r="O631" s="941">
        <v>13.0</v>
      </c>
      <c r="P631" s="941">
        <v>8.0</v>
      </c>
      <c r="Q631" s="941">
        <v>0.0</v>
      </c>
      <c r="R631" s="941">
        <v>1.0</v>
      </c>
      <c r="S631" s="941">
        <v>0.0</v>
      </c>
      <c r="T631" s="941">
        <v>0.0</v>
      </c>
      <c r="U631" s="941">
        <v>0.0</v>
      </c>
      <c r="V631" s="941">
        <v>1.0</v>
      </c>
      <c r="W631" s="941">
        <v>0.0</v>
      </c>
      <c r="X631" s="941">
        <v>3.0</v>
      </c>
      <c r="Y631" s="941">
        <v>1.0</v>
      </c>
      <c r="Z631" s="941">
        <v>0.0</v>
      </c>
      <c r="AA631" s="941">
        <v>0.0</v>
      </c>
      <c r="AB631" s="941">
        <v>0.0</v>
      </c>
      <c r="AC631" s="941">
        <v>0.0</v>
      </c>
      <c r="AD631" s="941">
        <v>0.0</v>
      </c>
      <c r="AE631" s="941">
        <v>0.0</v>
      </c>
      <c r="AF631" s="941">
        <v>0.0</v>
      </c>
      <c r="AG631" s="941">
        <v>0.0</v>
      </c>
      <c r="AH631" s="941">
        <v>0.0</v>
      </c>
      <c r="AI631" s="941">
        <v>0.0</v>
      </c>
      <c r="AJ631" s="941">
        <v>4.0</v>
      </c>
      <c r="AK631" s="941">
        <v>1.0</v>
      </c>
      <c r="AL631" s="941">
        <v>0.0</v>
      </c>
      <c r="AM631" s="942">
        <v>0.0</v>
      </c>
    </row>
    <row r="632">
      <c r="A632" s="935" t="s">
        <v>114</v>
      </c>
      <c r="B632" s="1">
        <v>0.0</v>
      </c>
      <c r="C632" s="941">
        <v>0.0</v>
      </c>
      <c r="D632" s="1">
        <v>0.0</v>
      </c>
      <c r="E632" s="941">
        <v>0.0</v>
      </c>
      <c r="F632" s="941">
        <v>0.0</v>
      </c>
      <c r="G632" s="941">
        <v>37.0</v>
      </c>
      <c r="H632" s="941">
        <v>51.0</v>
      </c>
      <c r="I632" s="941">
        <v>-14.0</v>
      </c>
      <c r="J632" s="941">
        <v>0.0</v>
      </c>
      <c r="K632" s="941">
        <v>3.0</v>
      </c>
      <c r="L632" s="941">
        <v>1.0</v>
      </c>
      <c r="M632" s="941">
        <v>562.0</v>
      </c>
      <c r="N632" s="941">
        <v>768.0</v>
      </c>
      <c r="O632" s="941">
        <v>11.0</v>
      </c>
      <c r="P632" s="941">
        <v>2.0</v>
      </c>
      <c r="Q632" s="941">
        <v>0.0</v>
      </c>
      <c r="R632" s="941">
        <v>0.0</v>
      </c>
      <c r="S632" s="941">
        <v>0.0</v>
      </c>
      <c r="T632" s="941">
        <v>0.0</v>
      </c>
      <c r="U632" s="941">
        <v>0.0</v>
      </c>
      <c r="V632" s="941">
        <v>0.0</v>
      </c>
      <c r="W632" s="941">
        <v>0.0</v>
      </c>
      <c r="X632" s="941">
        <v>7.0</v>
      </c>
      <c r="Y632" s="941">
        <v>1.0</v>
      </c>
      <c r="Z632" s="941">
        <v>0.0</v>
      </c>
      <c r="AA632" s="941">
        <v>0.0</v>
      </c>
      <c r="AB632" s="941">
        <v>0.0</v>
      </c>
      <c r="AC632" s="941">
        <v>0.0</v>
      </c>
      <c r="AD632" s="941">
        <v>0.0</v>
      </c>
      <c r="AE632" s="941">
        <v>0.0</v>
      </c>
      <c r="AF632" s="941">
        <v>0.0</v>
      </c>
      <c r="AG632" s="941">
        <v>0.0</v>
      </c>
      <c r="AH632" s="941">
        <v>0.0</v>
      </c>
      <c r="AI632" s="941">
        <v>0.0</v>
      </c>
      <c r="AJ632" s="941">
        <v>9.0</v>
      </c>
      <c r="AK632" s="941">
        <v>7.0</v>
      </c>
      <c r="AL632" s="941">
        <v>0.0</v>
      </c>
      <c r="AM632" s="942">
        <v>0.0</v>
      </c>
    </row>
    <row r="633">
      <c r="A633" s="943" t="s">
        <v>136</v>
      </c>
      <c r="B633" s="882">
        <v>0.0</v>
      </c>
      <c r="C633" s="944">
        <v>0.0</v>
      </c>
      <c r="D633" s="882">
        <v>0.0</v>
      </c>
      <c r="E633" s="944">
        <v>0.0</v>
      </c>
      <c r="F633" s="944">
        <v>1.0</v>
      </c>
      <c r="G633" s="944">
        <v>39.0</v>
      </c>
      <c r="H633" s="944">
        <v>52.0</v>
      </c>
      <c r="I633" s="944">
        <v>-13.0</v>
      </c>
      <c r="J633" s="944">
        <v>1.0</v>
      </c>
      <c r="K633" s="944">
        <v>4.0</v>
      </c>
      <c r="L633" s="944">
        <v>0.0</v>
      </c>
      <c r="M633" s="944">
        <v>559.0</v>
      </c>
      <c r="N633" s="944">
        <v>768.0</v>
      </c>
      <c r="O633" s="944">
        <v>10.0</v>
      </c>
      <c r="P633" s="944">
        <v>7.0</v>
      </c>
      <c r="Q633" s="944">
        <v>0.0</v>
      </c>
      <c r="R633" s="944">
        <v>0.0</v>
      </c>
      <c r="S633" s="944">
        <v>0.0</v>
      </c>
      <c r="T633" s="944">
        <v>0.0</v>
      </c>
      <c r="U633" s="944">
        <v>0.0</v>
      </c>
      <c r="V633" s="944">
        <v>0.0</v>
      </c>
      <c r="W633" s="944">
        <v>0.0</v>
      </c>
      <c r="X633" s="944">
        <v>9.0</v>
      </c>
      <c r="Y633" s="944">
        <v>0.0</v>
      </c>
      <c r="Z633" s="944">
        <v>0.0</v>
      </c>
      <c r="AA633" s="944">
        <v>0.0</v>
      </c>
      <c r="AB633" s="944">
        <v>0.0</v>
      </c>
      <c r="AC633" s="944">
        <v>0.0</v>
      </c>
      <c r="AD633" s="944">
        <v>0.0</v>
      </c>
      <c r="AE633" s="944">
        <v>0.0</v>
      </c>
      <c r="AF633" s="944">
        <v>0.0</v>
      </c>
      <c r="AG633" s="944">
        <v>0.0</v>
      </c>
      <c r="AH633" s="944">
        <v>1.0</v>
      </c>
      <c r="AI633" s="944">
        <v>0.0</v>
      </c>
      <c r="AJ633" s="944">
        <v>7.0</v>
      </c>
      <c r="AK633" s="944">
        <v>7.0</v>
      </c>
      <c r="AL633" s="944">
        <v>0.0</v>
      </c>
      <c r="AM633" s="945">
        <v>0.0</v>
      </c>
    </row>
    <row r="634">
      <c r="A634" s="946" t="s">
        <v>138</v>
      </c>
      <c r="B634" s="939">
        <v>1.0</v>
      </c>
      <c r="C634" s="939">
        <v>1.0</v>
      </c>
      <c r="D634" s="939">
        <v>0.0</v>
      </c>
      <c r="E634" s="939">
        <v>2.0</v>
      </c>
      <c r="F634" s="939">
        <v>0.0</v>
      </c>
      <c r="G634" s="939">
        <v>84.0</v>
      </c>
      <c r="H634" s="939">
        <v>83.0</v>
      </c>
      <c r="I634" s="939">
        <v>1.0</v>
      </c>
      <c r="J634" s="939">
        <v>5.0</v>
      </c>
      <c r="K634" s="939">
        <v>5.0</v>
      </c>
      <c r="L634" s="939">
        <v>1.0</v>
      </c>
      <c r="M634" s="939">
        <v>1018.0</v>
      </c>
      <c r="N634" s="939">
        <v>1341.0</v>
      </c>
      <c r="O634" s="939">
        <v>12.0</v>
      </c>
      <c r="P634" s="939">
        <v>35.0</v>
      </c>
      <c r="Q634" s="939">
        <v>0.0</v>
      </c>
      <c r="R634" s="939">
        <v>2.0</v>
      </c>
      <c r="S634" s="939">
        <v>0.0</v>
      </c>
      <c r="T634" s="939">
        <v>0.0</v>
      </c>
      <c r="U634" s="939">
        <v>0.0</v>
      </c>
      <c r="V634" s="939">
        <v>2.0</v>
      </c>
      <c r="W634" s="939">
        <v>0.0</v>
      </c>
      <c r="X634" s="939">
        <v>15.0</v>
      </c>
      <c r="Y634" s="939">
        <v>5.0</v>
      </c>
      <c r="Z634" s="939">
        <v>0.0</v>
      </c>
      <c r="AA634" s="939">
        <v>0.0</v>
      </c>
      <c r="AB634" s="939">
        <v>0.0</v>
      </c>
      <c r="AC634" s="939">
        <v>0.0</v>
      </c>
      <c r="AD634" s="939">
        <v>0.0</v>
      </c>
      <c r="AE634" s="939">
        <v>0.0</v>
      </c>
      <c r="AF634" s="939">
        <v>0.0</v>
      </c>
      <c r="AG634" s="939">
        <v>0.0</v>
      </c>
      <c r="AH634" s="939">
        <v>1.0</v>
      </c>
      <c r="AI634" s="939">
        <v>0.0</v>
      </c>
      <c r="AJ634" s="939">
        <v>9.0</v>
      </c>
      <c r="AK634" s="939">
        <v>10.0</v>
      </c>
      <c r="AL634" s="939">
        <v>0.0</v>
      </c>
      <c r="AM634" s="940">
        <v>1.0</v>
      </c>
    </row>
    <row r="635">
      <c r="A635" s="935" t="s">
        <v>149</v>
      </c>
      <c r="B635" s="941">
        <v>1.0</v>
      </c>
      <c r="C635" s="941">
        <v>1.0</v>
      </c>
      <c r="D635" s="941">
        <v>0.0</v>
      </c>
      <c r="E635" s="941">
        <v>1.0</v>
      </c>
      <c r="F635" s="941">
        <v>7.0</v>
      </c>
      <c r="G635" s="941">
        <v>44.0</v>
      </c>
      <c r="H635" s="941">
        <v>43.0</v>
      </c>
      <c r="I635" s="941">
        <v>1.0</v>
      </c>
      <c r="J635" s="941">
        <v>2.0</v>
      </c>
      <c r="K635" s="941">
        <v>4.0</v>
      </c>
      <c r="L635" s="941">
        <v>0.0</v>
      </c>
      <c r="M635" s="941">
        <v>1145.0</v>
      </c>
      <c r="N635" s="941">
        <v>1341.0</v>
      </c>
      <c r="O635" s="941">
        <v>26.0</v>
      </c>
      <c r="P635" s="941">
        <v>663.0</v>
      </c>
      <c r="Q635" s="941">
        <v>0.0</v>
      </c>
      <c r="R635" s="941">
        <v>0.0</v>
      </c>
      <c r="S635" s="941">
        <v>0.0</v>
      </c>
      <c r="T635" s="941">
        <v>0.0</v>
      </c>
      <c r="U635" s="941">
        <v>0.0</v>
      </c>
      <c r="V635" s="941">
        <v>0.0</v>
      </c>
      <c r="W635" s="941">
        <v>0.0</v>
      </c>
      <c r="X635" s="941">
        <v>4.0</v>
      </c>
      <c r="Y635" s="941">
        <v>2.0</v>
      </c>
      <c r="Z635" s="941">
        <v>0.0</v>
      </c>
      <c r="AA635" s="941">
        <v>0.0</v>
      </c>
      <c r="AB635" s="941">
        <v>0.0</v>
      </c>
      <c r="AC635" s="941">
        <v>0.0</v>
      </c>
      <c r="AD635" s="941">
        <v>0.0</v>
      </c>
      <c r="AE635" s="941">
        <v>0.0</v>
      </c>
      <c r="AF635" s="941">
        <v>0.0</v>
      </c>
      <c r="AG635" s="941">
        <v>0.0</v>
      </c>
      <c r="AH635" s="941">
        <v>0.0</v>
      </c>
      <c r="AI635" s="941">
        <v>0.0</v>
      </c>
      <c r="AJ635" s="941">
        <v>9.0</v>
      </c>
      <c r="AK635" s="941">
        <v>4.0</v>
      </c>
      <c r="AL635" s="941">
        <v>1.0</v>
      </c>
      <c r="AM635" s="942">
        <v>1.0</v>
      </c>
    </row>
    <row r="636">
      <c r="A636" s="935" t="s">
        <v>392</v>
      </c>
      <c r="B636" s="941">
        <v>1.0</v>
      </c>
      <c r="C636" s="941">
        <v>1.0</v>
      </c>
      <c r="D636" s="941">
        <v>0.0</v>
      </c>
      <c r="E636" s="941">
        <v>0.0</v>
      </c>
      <c r="F636" s="941">
        <v>0.0</v>
      </c>
      <c r="G636" s="941">
        <v>68.0</v>
      </c>
      <c r="H636" s="941">
        <v>103.0</v>
      </c>
      <c r="I636" s="941">
        <v>-35.0</v>
      </c>
      <c r="J636" s="941">
        <v>5.0</v>
      </c>
      <c r="K636" s="941">
        <v>5.0</v>
      </c>
      <c r="L636" s="941">
        <v>1.0</v>
      </c>
      <c r="M636" s="941">
        <v>965.0</v>
      </c>
      <c r="N636" s="941">
        <v>1341.0</v>
      </c>
      <c r="O636" s="941">
        <v>9.0</v>
      </c>
      <c r="P636" s="941">
        <v>4.0</v>
      </c>
      <c r="Q636" s="941">
        <v>0.0</v>
      </c>
      <c r="R636" s="941">
        <v>1.0</v>
      </c>
      <c r="S636" s="941">
        <v>0.0</v>
      </c>
      <c r="T636" s="941">
        <v>0.0</v>
      </c>
      <c r="U636" s="941">
        <v>0.0</v>
      </c>
      <c r="V636" s="941">
        <v>1.0</v>
      </c>
      <c r="W636" s="941">
        <v>0.0</v>
      </c>
      <c r="X636" s="941">
        <v>10.0</v>
      </c>
      <c r="Y636" s="941">
        <v>2.0</v>
      </c>
      <c r="Z636" s="941">
        <v>0.0</v>
      </c>
      <c r="AA636" s="941">
        <v>0.0</v>
      </c>
      <c r="AB636" s="941">
        <v>0.0</v>
      </c>
      <c r="AC636" s="941">
        <v>0.0</v>
      </c>
      <c r="AD636" s="941">
        <v>0.0</v>
      </c>
      <c r="AE636" s="941">
        <v>0.0</v>
      </c>
      <c r="AF636" s="941">
        <v>0.0</v>
      </c>
      <c r="AG636" s="941">
        <v>0.0</v>
      </c>
      <c r="AH636" s="941">
        <v>0.0</v>
      </c>
      <c r="AI636" s="941">
        <v>0.0</v>
      </c>
      <c r="AJ636" s="941">
        <v>5.0</v>
      </c>
      <c r="AK636" s="941">
        <v>10.0</v>
      </c>
      <c r="AL636" s="941">
        <v>1.0</v>
      </c>
      <c r="AM636" s="942">
        <v>1.0</v>
      </c>
    </row>
    <row r="637">
      <c r="A637" s="935" t="s">
        <v>418</v>
      </c>
      <c r="B637" s="941">
        <v>1.0</v>
      </c>
      <c r="C637" s="941">
        <v>1.0</v>
      </c>
      <c r="D637" s="941">
        <v>0.0</v>
      </c>
      <c r="E637" s="941">
        <v>0.0</v>
      </c>
      <c r="F637" s="941">
        <v>0.0</v>
      </c>
      <c r="G637" s="941">
        <v>87.0</v>
      </c>
      <c r="H637" s="941">
        <v>73.0</v>
      </c>
      <c r="I637" s="941">
        <v>14.0</v>
      </c>
      <c r="J637" s="941">
        <v>4.0</v>
      </c>
      <c r="K637" s="941">
        <v>5.0</v>
      </c>
      <c r="L637" s="941">
        <v>2.0</v>
      </c>
      <c r="M637" s="941">
        <v>1053.0</v>
      </c>
      <c r="N637" s="941">
        <v>1341.0</v>
      </c>
      <c r="O637" s="941">
        <v>14.0</v>
      </c>
      <c r="P637" s="941">
        <v>16.0</v>
      </c>
      <c r="Q637" s="941">
        <v>0.0</v>
      </c>
      <c r="R637" s="941">
        <v>3.0</v>
      </c>
      <c r="S637" s="941">
        <v>0.0</v>
      </c>
      <c r="T637" s="941">
        <v>0.0</v>
      </c>
      <c r="U637" s="941">
        <v>0.0</v>
      </c>
      <c r="V637" s="941">
        <v>2.0</v>
      </c>
      <c r="W637" s="941">
        <v>0.0</v>
      </c>
      <c r="X637" s="941">
        <v>16.0</v>
      </c>
      <c r="Y637" s="941">
        <v>1.0</v>
      </c>
      <c r="Z637" s="941">
        <v>0.0</v>
      </c>
      <c r="AA637" s="941">
        <v>0.0</v>
      </c>
      <c r="AB637" s="941">
        <v>0.0</v>
      </c>
      <c r="AC637" s="941">
        <v>0.0</v>
      </c>
      <c r="AD637" s="941">
        <v>0.0</v>
      </c>
      <c r="AE637" s="941">
        <v>0.0</v>
      </c>
      <c r="AF637" s="941">
        <v>0.0</v>
      </c>
      <c r="AG637" s="941">
        <v>0.0</v>
      </c>
      <c r="AH637" s="941">
        <v>1.0</v>
      </c>
      <c r="AI637" s="941">
        <v>0.0</v>
      </c>
      <c r="AJ637" s="941">
        <v>16.0</v>
      </c>
      <c r="AK637" s="941">
        <v>9.0</v>
      </c>
      <c r="AL637" s="941">
        <v>1.0</v>
      </c>
      <c r="AM637" s="942">
        <v>1.0</v>
      </c>
    </row>
    <row r="638">
      <c r="A638" s="935" t="s">
        <v>114</v>
      </c>
      <c r="B638" s="941">
        <v>1.0</v>
      </c>
      <c r="C638" s="941">
        <v>0.0</v>
      </c>
      <c r="D638" s="941">
        <v>1.0</v>
      </c>
      <c r="E638" s="941">
        <v>1.0</v>
      </c>
      <c r="F638" s="941">
        <v>0.0</v>
      </c>
      <c r="G638" s="941">
        <v>77.0</v>
      </c>
      <c r="H638" s="941">
        <v>83.0</v>
      </c>
      <c r="I638" s="941">
        <v>-6.0</v>
      </c>
      <c r="J638" s="941">
        <v>5.0</v>
      </c>
      <c r="K638" s="941">
        <v>6.0</v>
      </c>
      <c r="L638" s="941">
        <v>0.0</v>
      </c>
      <c r="M638" s="941">
        <v>1024.0</v>
      </c>
      <c r="N638" s="941">
        <v>1341.0</v>
      </c>
      <c r="O638" s="941">
        <v>12.0</v>
      </c>
      <c r="P638" s="941">
        <v>3.0</v>
      </c>
      <c r="Q638" s="941">
        <v>0.0</v>
      </c>
      <c r="R638" s="941">
        <v>1.0</v>
      </c>
      <c r="S638" s="941">
        <v>0.0</v>
      </c>
      <c r="T638" s="941">
        <v>0.0</v>
      </c>
      <c r="U638" s="941">
        <v>0.0</v>
      </c>
      <c r="V638" s="941">
        <v>1.0</v>
      </c>
      <c r="W638" s="941">
        <v>0.0</v>
      </c>
      <c r="X638" s="941">
        <v>10.0</v>
      </c>
      <c r="Y638" s="941">
        <v>1.0</v>
      </c>
      <c r="Z638" s="941">
        <v>0.0</v>
      </c>
      <c r="AA638" s="941">
        <v>0.0</v>
      </c>
      <c r="AB638" s="941">
        <v>0.0</v>
      </c>
      <c r="AC638" s="941">
        <v>0.0</v>
      </c>
      <c r="AD638" s="941">
        <v>0.0</v>
      </c>
      <c r="AE638" s="941">
        <v>0.0</v>
      </c>
      <c r="AF638" s="941">
        <v>0.0</v>
      </c>
      <c r="AG638" s="941">
        <v>0.0</v>
      </c>
      <c r="AH638" s="941">
        <v>3.0</v>
      </c>
      <c r="AI638" s="941">
        <v>0.0</v>
      </c>
      <c r="AJ638" s="941">
        <v>12.0</v>
      </c>
      <c r="AK638" s="941">
        <v>7.0</v>
      </c>
      <c r="AL638" s="941">
        <v>1.0</v>
      </c>
      <c r="AM638" s="942">
        <v>0.0</v>
      </c>
    </row>
    <row r="639">
      <c r="A639" s="935" t="s">
        <v>132</v>
      </c>
      <c r="B639" s="941">
        <v>1.0</v>
      </c>
      <c r="C639" s="941">
        <v>0.0</v>
      </c>
      <c r="D639" s="941">
        <v>1.0</v>
      </c>
      <c r="E639" s="941">
        <v>1.0</v>
      </c>
      <c r="F639" s="941">
        <v>11.0</v>
      </c>
      <c r="G639" s="941">
        <v>64.0</v>
      </c>
      <c r="H639" s="941">
        <v>58.0</v>
      </c>
      <c r="I639" s="941">
        <v>6.0</v>
      </c>
      <c r="J639" s="941">
        <v>3.0</v>
      </c>
      <c r="K639" s="941">
        <v>5.0</v>
      </c>
      <c r="L639" s="941">
        <v>1.0</v>
      </c>
      <c r="M639" s="941">
        <v>1097.0</v>
      </c>
      <c r="N639" s="941">
        <v>1341.0</v>
      </c>
      <c r="O639" s="941">
        <v>18.0</v>
      </c>
      <c r="P639" s="941">
        <v>418.0</v>
      </c>
      <c r="Q639" s="941">
        <v>0.0</v>
      </c>
      <c r="R639" s="941">
        <v>1.0</v>
      </c>
      <c r="S639" s="941">
        <v>0.0</v>
      </c>
      <c r="T639" s="941">
        <v>0.0</v>
      </c>
      <c r="U639" s="941">
        <v>0.0</v>
      </c>
      <c r="V639" s="941">
        <v>0.0</v>
      </c>
      <c r="W639" s="941">
        <v>0.0</v>
      </c>
      <c r="X639" s="941">
        <v>10.0</v>
      </c>
      <c r="Y639" s="941">
        <v>1.0</v>
      </c>
      <c r="Z639" s="941">
        <v>0.0</v>
      </c>
      <c r="AA639" s="941">
        <v>0.0</v>
      </c>
      <c r="AB639" s="941">
        <v>0.0</v>
      </c>
      <c r="AC639" s="941">
        <v>0.0</v>
      </c>
      <c r="AD639" s="941">
        <v>0.0</v>
      </c>
      <c r="AE639" s="941">
        <v>0.0</v>
      </c>
      <c r="AF639" s="941">
        <v>0.0</v>
      </c>
      <c r="AG639" s="941">
        <v>0.0</v>
      </c>
      <c r="AH639" s="941">
        <v>0.0</v>
      </c>
      <c r="AI639" s="941">
        <v>0.0</v>
      </c>
      <c r="AJ639" s="941">
        <v>12.0</v>
      </c>
      <c r="AK639" s="941">
        <v>6.0</v>
      </c>
      <c r="AL639" s="941">
        <v>0.0</v>
      </c>
      <c r="AM639" s="942">
        <v>0.0</v>
      </c>
    </row>
    <row r="640">
      <c r="A640" s="935" t="s">
        <v>147</v>
      </c>
      <c r="B640" s="941">
        <v>1.0</v>
      </c>
      <c r="C640" s="941">
        <v>0.0</v>
      </c>
      <c r="D640" s="941">
        <v>1.0</v>
      </c>
      <c r="E640" s="941">
        <v>0.0</v>
      </c>
      <c r="F640" s="941">
        <v>1.0</v>
      </c>
      <c r="G640" s="941">
        <v>59.0</v>
      </c>
      <c r="H640" s="941">
        <v>69.0</v>
      </c>
      <c r="I640" s="941">
        <v>-10.0</v>
      </c>
      <c r="J640" s="941">
        <v>9.0</v>
      </c>
      <c r="K640" s="941">
        <v>3.0</v>
      </c>
      <c r="L640" s="941">
        <v>3.0</v>
      </c>
      <c r="M640" s="941">
        <v>1066.0</v>
      </c>
      <c r="N640" s="941">
        <v>1341.0</v>
      </c>
      <c r="O640" s="941">
        <v>15.0</v>
      </c>
      <c r="P640" s="941">
        <v>14.0</v>
      </c>
      <c r="Q640" s="941">
        <v>0.0</v>
      </c>
      <c r="R640" s="941">
        <v>0.0</v>
      </c>
      <c r="S640" s="941">
        <v>0.0</v>
      </c>
      <c r="T640" s="941">
        <v>0.0</v>
      </c>
      <c r="U640" s="941">
        <v>0.0</v>
      </c>
      <c r="V640" s="941">
        <v>0.0</v>
      </c>
      <c r="W640" s="941">
        <v>0.0</v>
      </c>
      <c r="X640" s="941">
        <v>7.0</v>
      </c>
      <c r="Y640" s="941">
        <v>1.0</v>
      </c>
      <c r="Z640" s="941">
        <v>0.0</v>
      </c>
      <c r="AA640" s="941">
        <v>0.0</v>
      </c>
      <c r="AB640" s="941">
        <v>0.0</v>
      </c>
      <c r="AC640" s="941">
        <v>0.0</v>
      </c>
      <c r="AD640" s="941">
        <v>0.0</v>
      </c>
      <c r="AE640" s="941">
        <v>0.0</v>
      </c>
      <c r="AF640" s="941">
        <v>0.0</v>
      </c>
      <c r="AG640" s="941">
        <v>0.0</v>
      </c>
      <c r="AH640" s="941">
        <v>3.0</v>
      </c>
      <c r="AI640" s="941">
        <v>0.0</v>
      </c>
      <c r="AJ640" s="941">
        <v>5.0</v>
      </c>
      <c r="AK640" s="941">
        <v>10.0</v>
      </c>
      <c r="AL640" s="941">
        <v>1.0</v>
      </c>
      <c r="AM640" s="942">
        <v>0.0</v>
      </c>
    </row>
    <row r="641">
      <c r="A641" s="943" t="s">
        <v>136</v>
      </c>
      <c r="B641" s="944">
        <v>1.0</v>
      </c>
      <c r="C641" s="944">
        <v>0.0</v>
      </c>
      <c r="D641" s="944">
        <v>1.0</v>
      </c>
      <c r="E641" s="944">
        <v>0.0</v>
      </c>
      <c r="F641" s="944">
        <v>0.0</v>
      </c>
      <c r="G641" s="944">
        <v>94.0</v>
      </c>
      <c r="H641" s="944">
        <v>86.0</v>
      </c>
      <c r="I641" s="944">
        <v>8.0</v>
      </c>
      <c r="J641" s="944">
        <v>5.0</v>
      </c>
      <c r="K641" s="944">
        <v>5.0</v>
      </c>
      <c r="L641" s="944">
        <v>3.0</v>
      </c>
      <c r="M641" s="944">
        <v>1017.0</v>
      </c>
      <c r="N641" s="944">
        <v>1341.0</v>
      </c>
      <c r="O641" s="944">
        <v>11.0</v>
      </c>
      <c r="P641" s="944">
        <v>31.0</v>
      </c>
      <c r="Q641" s="944">
        <v>0.0</v>
      </c>
      <c r="R641" s="944">
        <v>2.0</v>
      </c>
      <c r="S641" s="944">
        <v>0.0</v>
      </c>
      <c r="T641" s="944">
        <v>0.0</v>
      </c>
      <c r="U641" s="944">
        <v>0.0</v>
      </c>
      <c r="V641" s="944">
        <v>1.0</v>
      </c>
      <c r="W641" s="944">
        <v>0.0</v>
      </c>
      <c r="X641" s="944">
        <v>17.0</v>
      </c>
      <c r="Y641" s="944">
        <v>5.0</v>
      </c>
      <c r="Z641" s="944">
        <v>1.0</v>
      </c>
      <c r="AA641" s="944">
        <v>1.0</v>
      </c>
      <c r="AB641" s="944">
        <v>0.0</v>
      </c>
      <c r="AC641" s="944">
        <v>0.0</v>
      </c>
      <c r="AD641" s="944">
        <v>0.0</v>
      </c>
      <c r="AE641" s="944">
        <v>0.0</v>
      </c>
      <c r="AF641" s="944">
        <v>0.0</v>
      </c>
      <c r="AG641" s="944">
        <v>0.0</v>
      </c>
      <c r="AH641" s="944">
        <v>0.0</v>
      </c>
      <c r="AI641" s="944">
        <v>0.0</v>
      </c>
      <c r="AJ641" s="944">
        <v>9.0</v>
      </c>
      <c r="AK641" s="944">
        <v>13.0</v>
      </c>
      <c r="AL641" s="944">
        <v>0.0</v>
      </c>
      <c r="AM641" s="945">
        <v>0.0</v>
      </c>
    </row>
    <row r="642">
      <c r="A642" s="946" t="s">
        <v>149</v>
      </c>
      <c r="B642" s="939">
        <v>1.0</v>
      </c>
      <c r="C642" s="939">
        <v>1.0</v>
      </c>
      <c r="D642" s="939">
        <v>0.0</v>
      </c>
      <c r="E642" s="939">
        <v>5.0</v>
      </c>
      <c r="F642" s="939">
        <v>29.0</v>
      </c>
      <c r="G642" s="939">
        <v>87.0</v>
      </c>
      <c r="H642" s="939">
        <v>52.0</v>
      </c>
      <c r="I642" s="939">
        <v>35.0</v>
      </c>
      <c r="J642" s="939">
        <v>2.0</v>
      </c>
      <c r="K642" s="939">
        <v>7.0</v>
      </c>
      <c r="L642" s="939">
        <v>1.0</v>
      </c>
      <c r="M642" s="939">
        <v>2345.0</v>
      </c>
      <c r="N642" s="939">
        <v>2591.0</v>
      </c>
      <c r="O642" s="939">
        <v>45.0</v>
      </c>
      <c r="P642" s="939">
        <v>1710.0</v>
      </c>
      <c r="Q642" s="939">
        <v>0.0</v>
      </c>
      <c r="R642" s="939">
        <v>4.0</v>
      </c>
      <c r="S642" s="939">
        <v>0.0</v>
      </c>
      <c r="T642" s="939">
        <v>0.0</v>
      </c>
      <c r="U642" s="939">
        <v>0.0</v>
      </c>
      <c r="V642" s="939">
        <v>1.0</v>
      </c>
      <c r="W642" s="939">
        <v>0.0</v>
      </c>
      <c r="X642" s="939">
        <v>8.0</v>
      </c>
      <c r="Y642" s="939">
        <v>2.0</v>
      </c>
      <c r="Z642" s="939">
        <v>0.0</v>
      </c>
      <c r="AA642" s="939">
        <v>0.0</v>
      </c>
      <c r="AB642" s="939">
        <v>0.0</v>
      </c>
      <c r="AC642" s="939">
        <v>0.0</v>
      </c>
      <c r="AD642" s="939">
        <v>0.0</v>
      </c>
      <c r="AE642" s="939">
        <v>0.0</v>
      </c>
      <c r="AF642" s="939">
        <v>0.0</v>
      </c>
      <c r="AG642" s="939">
        <v>0.0</v>
      </c>
      <c r="AH642" s="939">
        <v>1.0</v>
      </c>
      <c r="AI642" s="939">
        <v>0.0</v>
      </c>
      <c r="AJ642" s="939">
        <v>28.0</v>
      </c>
      <c r="AK642" s="939">
        <v>9.0</v>
      </c>
      <c r="AL642" s="939">
        <v>0.0</v>
      </c>
      <c r="AM642" s="940">
        <v>1.0</v>
      </c>
    </row>
    <row r="643">
      <c r="A643" s="935" t="s">
        <v>138</v>
      </c>
      <c r="B643" s="941">
        <v>1.0</v>
      </c>
      <c r="C643" s="941">
        <v>1.0</v>
      </c>
      <c r="D643" s="941">
        <v>0.0</v>
      </c>
      <c r="E643" s="941">
        <v>0.0</v>
      </c>
      <c r="F643" s="941">
        <v>0.0</v>
      </c>
      <c r="G643" s="941">
        <v>189.0</v>
      </c>
      <c r="H643" s="941">
        <v>163.0</v>
      </c>
      <c r="I643" s="941">
        <v>26.0</v>
      </c>
      <c r="J643" s="941">
        <v>9.0</v>
      </c>
      <c r="K643" s="941">
        <v>5.0</v>
      </c>
      <c r="L643" s="941">
        <v>1.0</v>
      </c>
      <c r="M643" s="941">
        <v>2016.0</v>
      </c>
      <c r="N643" s="941">
        <v>2591.0</v>
      </c>
      <c r="O643" s="941">
        <v>12.0</v>
      </c>
      <c r="P643" s="941">
        <v>23.0</v>
      </c>
      <c r="Q643" s="941">
        <v>0.0</v>
      </c>
      <c r="R643" s="941">
        <v>5.0</v>
      </c>
      <c r="S643" s="941">
        <v>0.0</v>
      </c>
      <c r="T643" s="941">
        <v>0.0</v>
      </c>
      <c r="U643" s="941">
        <v>0.0</v>
      </c>
      <c r="V643" s="941">
        <v>5.0</v>
      </c>
      <c r="W643" s="941">
        <v>0.0</v>
      </c>
      <c r="X643" s="941">
        <v>29.0</v>
      </c>
      <c r="Y643" s="941">
        <v>11.0</v>
      </c>
      <c r="Z643" s="941">
        <v>1.0</v>
      </c>
      <c r="AA643" s="941">
        <v>1.0</v>
      </c>
      <c r="AB643" s="941">
        <v>0.0</v>
      </c>
      <c r="AC643" s="941">
        <v>0.0</v>
      </c>
      <c r="AD643" s="941">
        <v>0.0</v>
      </c>
      <c r="AE643" s="941">
        <v>0.0</v>
      </c>
      <c r="AF643" s="941">
        <v>0.0</v>
      </c>
      <c r="AG643" s="941">
        <v>0.0</v>
      </c>
      <c r="AH643" s="941">
        <v>1.0</v>
      </c>
      <c r="AI643" s="941">
        <v>0.0</v>
      </c>
      <c r="AJ643" s="941">
        <v>26.0</v>
      </c>
      <c r="AK643" s="941">
        <v>20.0</v>
      </c>
      <c r="AL643" s="941">
        <v>1.0</v>
      </c>
      <c r="AM643" s="942">
        <v>1.0</v>
      </c>
    </row>
    <row r="644">
      <c r="A644" s="935" t="s">
        <v>418</v>
      </c>
      <c r="B644" s="941">
        <v>1.0</v>
      </c>
      <c r="C644" s="941">
        <v>1.0</v>
      </c>
      <c r="D644" s="941">
        <v>0.0</v>
      </c>
      <c r="E644" s="941">
        <v>0.0</v>
      </c>
      <c r="F644" s="941">
        <v>0.0</v>
      </c>
      <c r="G644" s="941">
        <v>163.0</v>
      </c>
      <c r="H644" s="941">
        <v>117.0</v>
      </c>
      <c r="I644" s="941">
        <v>46.0</v>
      </c>
      <c r="J644" s="941">
        <v>9.0</v>
      </c>
      <c r="K644" s="941">
        <v>7.0</v>
      </c>
      <c r="L644" s="941">
        <v>1.0</v>
      </c>
      <c r="M644" s="941">
        <v>2151.0</v>
      </c>
      <c r="N644" s="941">
        <v>2591.0</v>
      </c>
      <c r="O644" s="941">
        <v>18.0</v>
      </c>
      <c r="P644" s="941">
        <v>30.0</v>
      </c>
      <c r="Q644" s="941">
        <v>0.0</v>
      </c>
      <c r="R644" s="941">
        <v>5.0</v>
      </c>
      <c r="S644" s="941">
        <v>0.0</v>
      </c>
      <c r="T644" s="941">
        <v>0.0</v>
      </c>
      <c r="U644" s="941">
        <v>0.0</v>
      </c>
      <c r="V644" s="941">
        <v>5.0</v>
      </c>
      <c r="W644" s="941">
        <v>0.0</v>
      </c>
      <c r="X644" s="941">
        <v>25.0</v>
      </c>
      <c r="Y644" s="941">
        <v>5.0</v>
      </c>
      <c r="Z644" s="941">
        <v>0.0</v>
      </c>
      <c r="AA644" s="941">
        <v>0.0</v>
      </c>
      <c r="AB644" s="941">
        <v>0.0</v>
      </c>
      <c r="AC644" s="941">
        <v>0.0</v>
      </c>
      <c r="AD644" s="941">
        <v>0.0</v>
      </c>
      <c r="AE644" s="941">
        <v>0.0</v>
      </c>
      <c r="AF644" s="941">
        <v>0.0</v>
      </c>
      <c r="AG644" s="941">
        <v>0.0</v>
      </c>
      <c r="AH644" s="941">
        <v>3.0</v>
      </c>
      <c r="AI644" s="941">
        <v>0.0</v>
      </c>
      <c r="AJ644" s="941">
        <v>29.0</v>
      </c>
      <c r="AK644" s="941">
        <v>16.0</v>
      </c>
      <c r="AL644" s="941">
        <v>1.0</v>
      </c>
      <c r="AM644" s="942">
        <v>1.0</v>
      </c>
    </row>
    <row r="645">
      <c r="A645" s="935" t="s">
        <v>392</v>
      </c>
      <c r="B645" s="941">
        <v>1.0</v>
      </c>
      <c r="C645" s="941">
        <v>1.0</v>
      </c>
      <c r="D645" s="941">
        <v>0.0</v>
      </c>
      <c r="E645" s="941">
        <v>0.0</v>
      </c>
      <c r="F645" s="941">
        <v>0.0</v>
      </c>
      <c r="G645" s="941">
        <v>146.0</v>
      </c>
      <c r="H645" s="941">
        <v>179.0</v>
      </c>
      <c r="I645" s="941">
        <v>-33.0</v>
      </c>
      <c r="J645" s="941">
        <v>12.0</v>
      </c>
      <c r="K645" s="941">
        <v>6.0</v>
      </c>
      <c r="L645" s="941">
        <v>1.0</v>
      </c>
      <c r="M645" s="941">
        <v>1958.0</v>
      </c>
      <c r="N645" s="941">
        <v>2591.0</v>
      </c>
      <c r="O645" s="941">
        <v>10.0</v>
      </c>
      <c r="P645" s="941">
        <v>1.0</v>
      </c>
      <c r="Q645" s="941">
        <v>0.0</v>
      </c>
      <c r="R645" s="941">
        <v>1.0</v>
      </c>
      <c r="S645" s="941">
        <v>0.0</v>
      </c>
      <c r="T645" s="941">
        <v>0.0</v>
      </c>
      <c r="U645" s="941">
        <v>0.0</v>
      </c>
      <c r="V645" s="941">
        <v>1.0</v>
      </c>
      <c r="W645" s="941">
        <v>0.0</v>
      </c>
      <c r="X645" s="941">
        <v>17.0</v>
      </c>
      <c r="Y645" s="941">
        <v>3.0</v>
      </c>
      <c r="Z645" s="941">
        <v>0.0</v>
      </c>
      <c r="AA645" s="941">
        <v>0.0</v>
      </c>
      <c r="AB645" s="941">
        <v>0.0</v>
      </c>
      <c r="AC645" s="941">
        <v>0.0</v>
      </c>
      <c r="AD645" s="941">
        <v>0.0</v>
      </c>
      <c r="AE645" s="941">
        <v>0.0</v>
      </c>
      <c r="AF645" s="941">
        <v>0.0</v>
      </c>
      <c r="AG645" s="941">
        <v>0.0</v>
      </c>
      <c r="AH645" s="941">
        <v>4.0</v>
      </c>
      <c r="AI645" s="941">
        <v>0.0</v>
      </c>
      <c r="AJ645" s="941">
        <v>11.0</v>
      </c>
      <c r="AK645" s="941">
        <v>20.0</v>
      </c>
      <c r="AL645" s="941">
        <v>1.0</v>
      </c>
      <c r="AM645" s="942">
        <v>1.0</v>
      </c>
    </row>
    <row r="646">
      <c r="A646" s="935" t="s">
        <v>132</v>
      </c>
      <c r="B646" s="941">
        <v>1.0</v>
      </c>
      <c r="C646" s="941">
        <v>0.0</v>
      </c>
      <c r="D646" s="941">
        <v>1.0</v>
      </c>
      <c r="E646" s="941">
        <v>2.0</v>
      </c>
      <c r="F646" s="941">
        <v>15.0</v>
      </c>
      <c r="G646" s="941">
        <v>122.0</v>
      </c>
      <c r="H646" s="941">
        <v>123.0</v>
      </c>
      <c r="I646" s="941">
        <v>-1.0</v>
      </c>
      <c r="J646" s="941">
        <v>8.0</v>
      </c>
      <c r="K646" s="941">
        <v>6.0</v>
      </c>
      <c r="L646" s="941">
        <v>0.0</v>
      </c>
      <c r="M646" s="941">
        <v>2132.0</v>
      </c>
      <c r="N646" s="941">
        <v>2591.0</v>
      </c>
      <c r="O646" s="941">
        <v>17.0</v>
      </c>
      <c r="P646" s="941">
        <v>518.0</v>
      </c>
      <c r="Q646" s="941">
        <v>0.0</v>
      </c>
      <c r="R646" s="941">
        <v>1.0</v>
      </c>
      <c r="S646" s="941">
        <v>0.0</v>
      </c>
      <c r="T646" s="941">
        <v>0.0</v>
      </c>
      <c r="U646" s="941">
        <v>0.0</v>
      </c>
      <c r="V646" s="941">
        <v>0.0</v>
      </c>
      <c r="W646" s="941">
        <v>0.0</v>
      </c>
      <c r="X646" s="941">
        <v>12.0</v>
      </c>
      <c r="Y646" s="941">
        <v>2.0</v>
      </c>
      <c r="Z646" s="941">
        <v>0.0</v>
      </c>
      <c r="AA646" s="941">
        <v>0.0</v>
      </c>
      <c r="AB646" s="941">
        <v>0.0</v>
      </c>
      <c r="AC646" s="941">
        <v>0.0</v>
      </c>
      <c r="AD646" s="941">
        <v>0.0</v>
      </c>
      <c r="AE646" s="941">
        <v>0.0</v>
      </c>
      <c r="AF646" s="941">
        <v>0.0</v>
      </c>
      <c r="AG646" s="941">
        <v>0.0</v>
      </c>
      <c r="AH646" s="941">
        <v>2.0</v>
      </c>
      <c r="AI646" s="941">
        <v>0.0</v>
      </c>
      <c r="AJ646" s="941">
        <v>16.0</v>
      </c>
      <c r="AK646" s="941">
        <v>22.0</v>
      </c>
      <c r="AL646" s="941">
        <v>1.0</v>
      </c>
      <c r="AM646" s="942">
        <v>0.0</v>
      </c>
    </row>
    <row r="647">
      <c r="A647" s="935" t="s">
        <v>114</v>
      </c>
      <c r="B647" s="941">
        <v>1.0</v>
      </c>
      <c r="C647" s="941">
        <v>0.0</v>
      </c>
      <c r="D647" s="941">
        <v>1.0</v>
      </c>
      <c r="E647" s="941">
        <v>0.0</v>
      </c>
      <c r="F647" s="941">
        <v>2.0</v>
      </c>
      <c r="G647" s="941">
        <v>130.0</v>
      </c>
      <c r="H647" s="941">
        <v>149.0</v>
      </c>
      <c r="I647" s="941">
        <v>-19.0</v>
      </c>
      <c r="J647" s="941">
        <v>13.0</v>
      </c>
      <c r="K647" s="941">
        <v>5.0</v>
      </c>
      <c r="L647" s="941">
        <v>2.0</v>
      </c>
      <c r="M647" s="941">
        <v>2053.0</v>
      </c>
      <c r="N647" s="941">
        <v>2591.0</v>
      </c>
      <c r="O647" s="941">
        <v>13.0</v>
      </c>
      <c r="P647" s="941">
        <v>40.0</v>
      </c>
      <c r="Q647" s="941">
        <v>0.0</v>
      </c>
      <c r="R647" s="941">
        <v>1.0</v>
      </c>
      <c r="S647" s="941">
        <v>0.0</v>
      </c>
      <c r="T647" s="941">
        <v>0.0</v>
      </c>
      <c r="U647" s="941">
        <v>0.0</v>
      </c>
      <c r="V647" s="941">
        <v>1.0</v>
      </c>
      <c r="W647" s="941">
        <v>0.0</v>
      </c>
      <c r="X647" s="941">
        <v>13.0</v>
      </c>
      <c r="Y647" s="941">
        <v>3.0</v>
      </c>
      <c r="Z647" s="941">
        <v>0.0</v>
      </c>
      <c r="AA647" s="941">
        <v>0.0</v>
      </c>
      <c r="AB647" s="941">
        <v>0.0</v>
      </c>
      <c r="AC647" s="941">
        <v>0.0</v>
      </c>
      <c r="AD647" s="941">
        <v>0.0</v>
      </c>
      <c r="AE647" s="941">
        <v>0.0</v>
      </c>
      <c r="AF647" s="941">
        <v>0.0</v>
      </c>
      <c r="AG647" s="941">
        <v>0.0</v>
      </c>
      <c r="AH647" s="941">
        <v>2.0</v>
      </c>
      <c r="AI647" s="941">
        <v>0.0</v>
      </c>
      <c r="AJ647" s="941">
        <v>13.0</v>
      </c>
      <c r="AK647" s="941">
        <v>26.0</v>
      </c>
      <c r="AL647" s="941">
        <v>0.0</v>
      </c>
      <c r="AM647" s="942">
        <v>0.0</v>
      </c>
    </row>
    <row r="648">
      <c r="A648" s="935" t="s">
        <v>147</v>
      </c>
      <c r="B648" s="941">
        <v>1.0</v>
      </c>
      <c r="C648" s="941">
        <v>0.0</v>
      </c>
      <c r="D648" s="941">
        <v>1.0</v>
      </c>
      <c r="E648" s="941">
        <v>0.0</v>
      </c>
      <c r="F648" s="941">
        <v>0.0</v>
      </c>
      <c r="G648" s="941">
        <v>96.0</v>
      </c>
      <c r="H648" s="941">
        <v>151.0</v>
      </c>
      <c r="I648" s="941">
        <v>-55.0</v>
      </c>
      <c r="J648" s="941">
        <v>11.0</v>
      </c>
      <c r="K648" s="941">
        <v>4.0</v>
      </c>
      <c r="L648" s="941">
        <v>2.0</v>
      </c>
      <c r="M648" s="941">
        <v>2043.0</v>
      </c>
      <c r="N648" s="941">
        <v>2591.0</v>
      </c>
      <c r="O648" s="941">
        <v>13.0</v>
      </c>
      <c r="P648" s="941">
        <v>13.0</v>
      </c>
      <c r="Q648" s="941">
        <v>0.0</v>
      </c>
      <c r="R648" s="941">
        <v>0.0</v>
      </c>
      <c r="S648" s="941">
        <v>0.0</v>
      </c>
      <c r="T648" s="941">
        <v>0.0</v>
      </c>
      <c r="U648" s="941">
        <v>0.0</v>
      </c>
      <c r="V648" s="941">
        <v>0.0</v>
      </c>
      <c r="W648" s="941">
        <v>0.0</v>
      </c>
      <c r="X648" s="941">
        <v>11.0</v>
      </c>
      <c r="Y648" s="941">
        <v>0.0</v>
      </c>
      <c r="Z648" s="941">
        <v>0.0</v>
      </c>
      <c r="AA648" s="941">
        <v>0.0</v>
      </c>
      <c r="AB648" s="941">
        <v>0.0</v>
      </c>
      <c r="AC648" s="941">
        <v>0.0</v>
      </c>
      <c r="AD648" s="941">
        <v>0.0</v>
      </c>
      <c r="AE648" s="941">
        <v>0.0</v>
      </c>
      <c r="AF648" s="941">
        <v>0.0</v>
      </c>
      <c r="AG648" s="941">
        <v>0.0</v>
      </c>
      <c r="AH648" s="941">
        <v>1.0</v>
      </c>
      <c r="AI648" s="941">
        <v>0.0</v>
      </c>
      <c r="AJ648" s="941">
        <v>5.0</v>
      </c>
      <c r="AK648" s="941">
        <v>16.0</v>
      </c>
      <c r="AL648" s="941">
        <v>2.0</v>
      </c>
      <c r="AM648" s="942">
        <v>0.0</v>
      </c>
    </row>
    <row r="649">
      <c r="A649" s="943" t="s">
        <v>136</v>
      </c>
      <c r="B649" s="944">
        <v>1.0</v>
      </c>
      <c r="C649" s="944">
        <v>0.0</v>
      </c>
      <c r="D649" s="944">
        <v>1.0</v>
      </c>
      <c r="E649" s="944">
        <v>0.0</v>
      </c>
      <c r="F649" s="944">
        <v>0.0</v>
      </c>
      <c r="G649" s="944">
        <v>151.0</v>
      </c>
      <c r="H649" s="944">
        <v>175.0</v>
      </c>
      <c r="I649" s="944">
        <v>-24.0</v>
      </c>
      <c r="J649" s="944">
        <v>7.0</v>
      </c>
      <c r="K649" s="944">
        <v>4.0</v>
      </c>
      <c r="L649" s="944">
        <v>2.0</v>
      </c>
      <c r="M649" s="944">
        <v>1978.0</v>
      </c>
      <c r="N649" s="944">
        <v>2591.0</v>
      </c>
      <c r="O649" s="944">
        <v>11.0</v>
      </c>
      <c r="P649" s="944">
        <v>20.0</v>
      </c>
      <c r="Q649" s="944">
        <v>0.0</v>
      </c>
      <c r="R649" s="944">
        <v>0.0</v>
      </c>
      <c r="S649" s="944">
        <v>0.0</v>
      </c>
      <c r="T649" s="944">
        <v>0.0</v>
      </c>
      <c r="U649" s="944">
        <v>0.0</v>
      </c>
      <c r="V649" s="944">
        <v>0.0</v>
      </c>
      <c r="W649" s="944">
        <v>0.0</v>
      </c>
      <c r="X649" s="944">
        <v>21.0</v>
      </c>
      <c r="Y649" s="944">
        <v>3.0</v>
      </c>
      <c r="Z649" s="944">
        <v>0.0</v>
      </c>
      <c r="AA649" s="944">
        <v>0.0</v>
      </c>
      <c r="AB649" s="944">
        <v>0.0</v>
      </c>
      <c r="AC649" s="944">
        <v>0.0</v>
      </c>
      <c r="AD649" s="944">
        <v>0.0</v>
      </c>
      <c r="AE649" s="944">
        <v>0.0</v>
      </c>
      <c r="AF649" s="944">
        <v>0.0</v>
      </c>
      <c r="AG649" s="944">
        <v>0.0</v>
      </c>
      <c r="AH649" s="944">
        <v>1.0</v>
      </c>
      <c r="AI649" s="944">
        <v>0.0</v>
      </c>
      <c r="AJ649" s="944">
        <v>25.0</v>
      </c>
      <c r="AK649" s="944">
        <v>26.0</v>
      </c>
      <c r="AL649" s="944">
        <v>1.0</v>
      </c>
      <c r="AM649" s="945">
        <v>0.0</v>
      </c>
    </row>
    <row r="650">
      <c r="A650" s="1" t="s">
        <v>114</v>
      </c>
      <c r="B650" s="941">
        <v>1.0</v>
      </c>
      <c r="C650" s="941">
        <v>1.0</v>
      </c>
      <c r="D650" s="941">
        <v>0.0</v>
      </c>
      <c r="E650" s="941">
        <v>4.0</v>
      </c>
      <c r="F650" s="941">
        <v>13.0</v>
      </c>
      <c r="G650" s="941">
        <v>63.0</v>
      </c>
      <c r="H650" s="941">
        <v>72.0</v>
      </c>
      <c r="I650" s="941">
        <v>-9.0</v>
      </c>
      <c r="J650" s="941">
        <v>4.0</v>
      </c>
      <c r="K650" s="941">
        <v>5.0</v>
      </c>
      <c r="L650" s="941">
        <v>0.0</v>
      </c>
      <c r="M650" s="941">
        <v>1462.0</v>
      </c>
      <c r="N650" s="941">
        <v>1787.0</v>
      </c>
      <c r="O650" s="941">
        <v>20.0</v>
      </c>
      <c r="P650" s="941">
        <v>325.0</v>
      </c>
      <c r="Q650" s="941">
        <v>0.0</v>
      </c>
      <c r="R650" s="941">
        <v>1.0</v>
      </c>
      <c r="S650" s="941">
        <v>0.0</v>
      </c>
      <c r="T650" s="941">
        <v>0.0</v>
      </c>
      <c r="U650" s="941">
        <v>0.0</v>
      </c>
      <c r="V650" s="941">
        <v>0.0</v>
      </c>
      <c r="W650" s="941">
        <v>0.0</v>
      </c>
      <c r="X650" s="941">
        <v>10.0</v>
      </c>
      <c r="Y650" s="941">
        <v>1.0</v>
      </c>
      <c r="Z650" s="941">
        <v>0.0</v>
      </c>
      <c r="AA650" s="941">
        <v>0.0</v>
      </c>
      <c r="AB650" s="941">
        <v>0.0</v>
      </c>
      <c r="AC650" s="941">
        <v>0.0</v>
      </c>
      <c r="AD650" s="941">
        <v>0.0</v>
      </c>
      <c r="AE650" s="941">
        <v>0.0</v>
      </c>
      <c r="AF650" s="941">
        <v>0.0</v>
      </c>
      <c r="AG650" s="941">
        <v>0.0</v>
      </c>
      <c r="AH650" s="941">
        <v>1.0</v>
      </c>
      <c r="AI650" s="941">
        <v>0.0</v>
      </c>
      <c r="AJ650" s="941">
        <v>13.0</v>
      </c>
      <c r="AK650" s="941">
        <v>14.0</v>
      </c>
      <c r="AL650" s="941">
        <v>2.0</v>
      </c>
      <c r="AM650" s="941">
        <v>0.0</v>
      </c>
    </row>
    <row r="651">
      <c r="A651" s="1" t="s">
        <v>132</v>
      </c>
      <c r="B651" s="941">
        <v>1.0</v>
      </c>
      <c r="C651" s="941">
        <v>1.0</v>
      </c>
      <c r="D651" s="941">
        <v>0.0</v>
      </c>
      <c r="E651" s="941">
        <v>1.0</v>
      </c>
      <c r="F651" s="941">
        <v>1.0</v>
      </c>
      <c r="G651" s="941">
        <v>91.0</v>
      </c>
      <c r="H651" s="941">
        <v>92.0</v>
      </c>
      <c r="I651" s="941">
        <v>-1.0</v>
      </c>
      <c r="J651" s="941">
        <v>6.0</v>
      </c>
      <c r="K651" s="941">
        <v>7.0</v>
      </c>
      <c r="L651" s="941">
        <v>3.0</v>
      </c>
      <c r="M651" s="941">
        <v>1411.0</v>
      </c>
      <c r="N651" s="941">
        <v>1787.0</v>
      </c>
      <c r="O651" s="941">
        <v>15.0</v>
      </c>
      <c r="P651" s="941">
        <v>25.0</v>
      </c>
      <c r="Q651" s="941">
        <v>0.0</v>
      </c>
      <c r="R651" s="941">
        <v>2.0</v>
      </c>
      <c r="S651" s="941">
        <v>0.0</v>
      </c>
      <c r="T651" s="941">
        <v>0.0</v>
      </c>
      <c r="U651" s="941">
        <v>0.0</v>
      </c>
      <c r="V651" s="941">
        <v>2.0</v>
      </c>
      <c r="W651" s="941">
        <v>0.0</v>
      </c>
      <c r="X651" s="941">
        <v>9.0</v>
      </c>
      <c r="Y651" s="941">
        <v>4.0</v>
      </c>
      <c r="Z651" s="941">
        <v>0.0</v>
      </c>
      <c r="AA651" s="941">
        <v>0.0</v>
      </c>
      <c r="AB651" s="941">
        <v>0.0</v>
      </c>
      <c r="AC651" s="941">
        <v>0.0</v>
      </c>
      <c r="AD651" s="941">
        <v>0.0</v>
      </c>
      <c r="AE651" s="941">
        <v>0.0</v>
      </c>
      <c r="AF651" s="941">
        <v>0.0</v>
      </c>
      <c r="AG651" s="941">
        <v>0.0</v>
      </c>
      <c r="AH651" s="941">
        <v>0.0</v>
      </c>
      <c r="AI651" s="941">
        <v>0.0</v>
      </c>
      <c r="AJ651" s="941">
        <v>10.0</v>
      </c>
      <c r="AK651" s="941">
        <v>14.0</v>
      </c>
      <c r="AL651" s="941">
        <v>2.0</v>
      </c>
      <c r="AM651" s="941">
        <v>0.0</v>
      </c>
    </row>
    <row r="652">
      <c r="A652" s="1" t="s">
        <v>136</v>
      </c>
      <c r="B652" s="941">
        <v>1.0</v>
      </c>
      <c r="C652" s="941">
        <v>1.0</v>
      </c>
      <c r="D652" s="941">
        <v>0.0</v>
      </c>
      <c r="E652" s="941">
        <v>0.0</v>
      </c>
      <c r="F652" s="941">
        <v>0.0</v>
      </c>
      <c r="G652" s="941">
        <v>92.0</v>
      </c>
      <c r="H652" s="941">
        <v>120.0</v>
      </c>
      <c r="I652" s="941">
        <v>-28.0</v>
      </c>
      <c r="J652" s="941">
        <v>7.0</v>
      </c>
      <c r="K652" s="941">
        <v>3.0</v>
      </c>
      <c r="L652" s="941">
        <v>2.0</v>
      </c>
      <c r="M652" s="941">
        <v>1325.0</v>
      </c>
      <c r="N652" s="941">
        <v>1787.0</v>
      </c>
      <c r="O652" s="941">
        <v>11.0</v>
      </c>
      <c r="P652" s="941">
        <v>5.0</v>
      </c>
      <c r="Q652" s="941">
        <v>0.0</v>
      </c>
      <c r="R652" s="941">
        <v>0.0</v>
      </c>
      <c r="S652" s="941">
        <v>0.0</v>
      </c>
      <c r="T652" s="941">
        <v>0.0</v>
      </c>
      <c r="U652" s="941">
        <v>0.0</v>
      </c>
      <c r="V652" s="941">
        <v>0.0</v>
      </c>
      <c r="W652" s="941">
        <v>0.0</v>
      </c>
      <c r="X652" s="941">
        <v>15.0</v>
      </c>
      <c r="Y652" s="941">
        <v>2.0</v>
      </c>
      <c r="Z652" s="941">
        <v>0.0</v>
      </c>
      <c r="AA652" s="941">
        <v>0.0</v>
      </c>
      <c r="AB652" s="941">
        <v>0.0</v>
      </c>
      <c r="AC652" s="941">
        <v>0.0</v>
      </c>
      <c r="AD652" s="941">
        <v>0.0</v>
      </c>
      <c r="AE652" s="941">
        <v>0.0</v>
      </c>
      <c r="AF652" s="941">
        <v>0.0</v>
      </c>
      <c r="AG652" s="941">
        <v>0.0</v>
      </c>
      <c r="AH652" s="941">
        <v>1.0</v>
      </c>
      <c r="AI652" s="941">
        <v>0.0</v>
      </c>
      <c r="AJ652" s="941">
        <v>12.0</v>
      </c>
      <c r="AK652" s="941">
        <v>15.0</v>
      </c>
      <c r="AL652" s="941">
        <v>0.0</v>
      </c>
      <c r="AM652" s="941">
        <v>0.0</v>
      </c>
    </row>
    <row r="653">
      <c r="A653" s="1" t="s">
        <v>147</v>
      </c>
      <c r="B653" s="941">
        <v>1.0</v>
      </c>
      <c r="C653" s="941">
        <v>1.0</v>
      </c>
      <c r="D653" s="941">
        <v>0.0</v>
      </c>
      <c r="E653" s="941">
        <v>0.0</v>
      </c>
      <c r="F653" s="941">
        <v>0.0</v>
      </c>
      <c r="G653" s="941">
        <v>66.0</v>
      </c>
      <c r="H653" s="941">
        <v>94.0</v>
      </c>
      <c r="I653" s="941">
        <v>-28.0</v>
      </c>
      <c r="J653" s="941">
        <v>2.0</v>
      </c>
      <c r="K653" s="941">
        <v>4.0</v>
      </c>
      <c r="L653" s="941">
        <v>1.0</v>
      </c>
      <c r="M653" s="941">
        <v>1396.0</v>
      </c>
      <c r="N653" s="941">
        <v>1787.0</v>
      </c>
      <c r="O653" s="941">
        <v>14.0</v>
      </c>
      <c r="P653" s="941">
        <v>16.0</v>
      </c>
      <c r="Q653" s="941">
        <v>0.0</v>
      </c>
      <c r="R653" s="941">
        <v>0.0</v>
      </c>
      <c r="S653" s="941">
        <v>0.0</v>
      </c>
      <c r="T653" s="941">
        <v>0.0</v>
      </c>
      <c r="U653" s="941">
        <v>0.0</v>
      </c>
      <c r="V653" s="941">
        <v>0.0</v>
      </c>
      <c r="W653" s="941">
        <v>0.0</v>
      </c>
      <c r="X653" s="941">
        <v>6.0</v>
      </c>
      <c r="Y653" s="941">
        <v>0.0</v>
      </c>
      <c r="Z653" s="941">
        <v>0.0</v>
      </c>
      <c r="AA653" s="941">
        <v>0.0</v>
      </c>
      <c r="AB653" s="941">
        <v>0.0</v>
      </c>
      <c r="AC653" s="941">
        <v>0.0</v>
      </c>
      <c r="AD653" s="941">
        <v>0.0</v>
      </c>
      <c r="AE653" s="941">
        <v>0.0</v>
      </c>
      <c r="AF653" s="941">
        <v>0.0</v>
      </c>
      <c r="AG653" s="941">
        <v>0.0</v>
      </c>
      <c r="AH653" s="941">
        <v>0.0</v>
      </c>
      <c r="AI653" s="941">
        <v>0.0</v>
      </c>
      <c r="AJ653" s="941">
        <v>6.0</v>
      </c>
      <c r="AK653" s="941">
        <v>7.0</v>
      </c>
      <c r="AL653" s="941">
        <v>0.0</v>
      </c>
      <c r="AM653" s="941">
        <v>0.0</v>
      </c>
    </row>
    <row r="654">
      <c r="A654" s="1" t="s">
        <v>149</v>
      </c>
      <c r="B654" s="941">
        <v>1.0</v>
      </c>
      <c r="C654" s="941">
        <v>0.0</v>
      </c>
      <c r="D654" s="941">
        <v>1.0</v>
      </c>
      <c r="E654" s="941">
        <v>2.0</v>
      </c>
      <c r="F654" s="941">
        <v>11.0</v>
      </c>
      <c r="G654" s="941">
        <v>39.0</v>
      </c>
      <c r="H654" s="941">
        <v>34.0</v>
      </c>
      <c r="I654" s="941">
        <v>5.0</v>
      </c>
      <c r="J654" s="941">
        <v>3.0</v>
      </c>
      <c r="K654" s="941">
        <v>5.0</v>
      </c>
      <c r="L654" s="941">
        <v>0.0</v>
      </c>
      <c r="M654" s="941">
        <v>1576.0</v>
      </c>
      <c r="N654" s="941">
        <v>1787.0</v>
      </c>
      <c r="O654" s="941">
        <v>46.0</v>
      </c>
      <c r="P654" s="941">
        <v>1084.0</v>
      </c>
      <c r="Q654" s="941">
        <v>0.0</v>
      </c>
      <c r="R654" s="941">
        <v>1.0</v>
      </c>
      <c r="S654" s="941">
        <v>0.0</v>
      </c>
      <c r="T654" s="941">
        <v>0.0</v>
      </c>
      <c r="U654" s="941">
        <v>0.0</v>
      </c>
      <c r="V654" s="941">
        <v>0.0</v>
      </c>
      <c r="W654" s="941">
        <v>0.0</v>
      </c>
      <c r="X654" s="941">
        <v>6.0</v>
      </c>
      <c r="Y654" s="941">
        <v>0.0</v>
      </c>
      <c r="Z654" s="941">
        <v>0.0</v>
      </c>
      <c r="AA654" s="941">
        <v>0.0</v>
      </c>
      <c r="AB654" s="941">
        <v>0.0</v>
      </c>
      <c r="AC654" s="941">
        <v>0.0</v>
      </c>
      <c r="AD654" s="941">
        <v>0.0</v>
      </c>
      <c r="AE654" s="941">
        <v>0.0</v>
      </c>
      <c r="AF654" s="941">
        <v>0.0</v>
      </c>
      <c r="AG654" s="941">
        <v>0.0</v>
      </c>
      <c r="AH654" s="941">
        <v>0.0</v>
      </c>
      <c r="AI654" s="941">
        <v>0.0</v>
      </c>
      <c r="AJ654" s="941">
        <v>7.0</v>
      </c>
      <c r="AK654" s="941">
        <v>3.0</v>
      </c>
      <c r="AL654" s="941">
        <v>1.0</v>
      </c>
      <c r="AM654" s="941">
        <v>1.0</v>
      </c>
    </row>
    <row r="655">
      <c r="A655" s="1" t="s">
        <v>418</v>
      </c>
      <c r="B655" s="941">
        <v>1.0</v>
      </c>
      <c r="C655" s="941">
        <v>0.0</v>
      </c>
      <c r="D655" s="941">
        <v>1.0</v>
      </c>
      <c r="E655" s="941">
        <v>1.0</v>
      </c>
      <c r="F655" s="941">
        <v>0.0</v>
      </c>
      <c r="G655" s="941">
        <v>114.0</v>
      </c>
      <c r="H655" s="941">
        <v>82.0</v>
      </c>
      <c r="I655" s="941">
        <v>32.0</v>
      </c>
      <c r="J655" s="941">
        <v>14.0</v>
      </c>
      <c r="K655" s="941">
        <v>7.0</v>
      </c>
      <c r="L655" s="941">
        <v>1.0</v>
      </c>
      <c r="M655" s="941">
        <v>1427.0</v>
      </c>
      <c r="N655" s="941">
        <v>1787.0</v>
      </c>
      <c r="O655" s="941">
        <v>17.0</v>
      </c>
      <c r="P655" s="941">
        <v>6.0</v>
      </c>
      <c r="Q655" s="941">
        <v>0.0</v>
      </c>
      <c r="R655" s="941">
        <v>4.0</v>
      </c>
      <c r="S655" s="941">
        <v>0.0</v>
      </c>
      <c r="T655" s="941">
        <v>0.0</v>
      </c>
      <c r="U655" s="941">
        <v>0.0</v>
      </c>
      <c r="V655" s="941">
        <v>4.0</v>
      </c>
      <c r="W655" s="941">
        <v>0.0</v>
      </c>
      <c r="X655" s="941">
        <v>21.0</v>
      </c>
      <c r="Y655" s="941">
        <v>1.0</v>
      </c>
      <c r="Z655" s="941">
        <v>0.0</v>
      </c>
      <c r="AA655" s="941">
        <v>0.0</v>
      </c>
      <c r="AB655" s="941">
        <v>0.0</v>
      </c>
      <c r="AC655" s="941">
        <v>0.0</v>
      </c>
      <c r="AD655" s="941">
        <v>0.0</v>
      </c>
      <c r="AE655" s="941">
        <v>0.0</v>
      </c>
      <c r="AF655" s="941">
        <v>0.0</v>
      </c>
      <c r="AG655" s="941">
        <v>0.0</v>
      </c>
      <c r="AH655" s="941">
        <v>2.0</v>
      </c>
      <c r="AI655" s="941">
        <v>0.0</v>
      </c>
      <c r="AJ655" s="941">
        <v>26.0</v>
      </c>
      <c r="AK655" s="941">
        <v>11.0</v>
      </c>
      <c r="AL655" s="941">
        <v>2.0</v>
      </c>
      <c r="AM655" s="941">
        <v>1.0</v>
      </c>
    </row>
    <row r="656">
      <c r="A656" s="1" t="s">
        <v>392</v>
      </c>
      <c r="B656" s="941">
        <v>1.0</v>
      </c>
      <c r="C656" s="941">
        <v>0.0</v>
      </c>
      <c r="D656" s="941">
        <v>1.0</v>
      </c>
      <c r="E656" s="941">
        <v>0.0</v>
      </c>
      <c r="F656" s="941">
        <v>1.0</v>
      </c>
      <c r="G656" s="941">
        <v>100.0</v>
      </c>
      <c r="H656" s="941">
        <v>109.0</v>
      </c>
      <c r="I656" s="941">
        <v>-9.0</v>
      </c>
      <c r="J656" s="941">
        <v>4.0</v>
      </c>
      <c r="K656" s="941">
        <v>5.0</v>
      </c>
      <c r="L656" s="941">
        <v>2.0</v>
      </c>
      <c r="M656" s="941">
        <v>1352.0</v>
      </c>
      <c r="N656" s="941">
        <v>1787.0</v>
      </c>
      <c r="O656" s="941">
        <v>12.0</v>
      </c>
      <c r="P656" s="941">
        <v>5.0</v>
      </c>
      <c r="Q656" s="941">
        <v>0.0</v>
      </c>
      <c r="R656" s="941">
        <v>1.0</v>
      </c>
      <c r="S656" s="941">
        <v>0.0</v>
      </c>
      <c r="T656" s="941">
        <v>0.0</v>
      </c>
      <c r="U656" s="941">
        <v>0.0</v>
      </c>
      <c r="V656" s="941">
        <v>1.0</v>
      </c>
      <c r="W656" s="941">
        <v>0.0</v>
      </c>
      <c r="X656" s="941">
        <v>14.0</v>
      </c>
      <c r="Y656" s="941">
        <v>3.0</v>
      </c>
      <c r="Z656" s="941">
        <v>1.0</v>
      </c>
      <c r="AA656" s="941">
        <v>0.0</v>
      </c>
      <c r="AB656" s="941">
        <v>0.0</v>
      </c>
      <c r="AC656" s="941">
        <v>0.0</v>
      </c>
      <c r="AD656" s="941">
        <v>0.0</v>
      </c>
      <c r="AE656" s="941">
        <v>0.0</v>
      </c>
      <c r="AF656" s="941">
        <v>0.0</v>
      </c>
      <c r="AG656" s="941">
        <v>0.0</v>
      </c>
      <c r="AH656" s="941">
        <v>0.0</v>
      </c>
      <c r="AI656" s="941">
        <v>0.0</v>
      </c>
      <c r="AJ656" s="941">
        <v>8.0</v>
      </c>
      <c r="AK656" s="941">
        <v>12.0</v>
      </c>
      <c r="AL656" s="941">
        <v>0.0</v>
      </c>
      <c r="AM656" s="941">
        <v>1.0</v>
      </c>
    </row>
    <row r="657">
      <c r="A657" s="882" t="s">
        <v>138</v>
      </c>
      <c r="B657" s="944">
        <v>1.0</v>
      </c>
      <c r="C657" s="944">
        <v>0.0</v>
      </c>
      <c r="D657" s="944">
        <v>1.0</v>
      </c>
      <c r="E657" s="944">
        <v>0.0</v>
      </c>
      <c r="F657" s="944">
        <v>0.0</v>
      </c>
      <c r="G657" s="944">
        <v>107.0</v>
      </c>
      <c r="H657" s="944">
        <v>100.0</v>
      </c>
      <c r="I657" s="944">
        <v>7.0</v>
      </c>
      <c r="J657" s="944">
        <v>12.0</v>
      </c>
      <c r="K657" s="944">
        <v>6.0</v>
      </c>
      <c r="L657" s="944">
        <v>2.0</v>
      </c>
      <c r="M657" s="944">
        <v>1385.0</v>
      </c>
      <c r="N657" s="944">
        <v>1787.0</v>
      </c>
      <c r="O657" s="944">
        <v>13.0</v>
      </c>
      <c r="P657" s="944">
        <v>61.0</v>
      </c>
      <c r="Q657" s="944">
        <v>0.0</v>
      </c>
      <c r="R657" s="944">
        <v>4.0</v>
      </c>
      <c r="S657" s="944">
        <v>0.0</v>
      </c>
      <c r="T657" s="944">
        <v>0.0</v>
      </c>
      <c r="U657" s="944">
        <v>0.0</v>
      </c>
      <c r="V657" s="944">
        <v>4.0</v>
      </c>
      <c r="W657" s="944">
        <v>0.0</v>
      </c>
      <c r="X657" s="944">
        <v>17.0</v>
      </c>
      <c r="Y657" s="944">
        <v>3.0</v>
      </c>
      <c r="Z657" s="944">
        <v>1.0</v>
      </c>
      <c r="AA657" s="944">
        <v>1.0</v>
      </c>
      <c r="AB657" s="944">
        <v>0.0</v>
      </c>
      <c r="AC657" s="944">
        <v>0.0</v>
      </c>
      <c r="AD657" s="944">
        <v>0.0</v>
      </c>
      <c r="AE657" s="944">
        <v>0.0</v>
      </c>
      <c r="AF657" s="944">
        <v>0.0</v>
      </c>
      <c r="AG657" s="944">
        <v>0.0</v>
      </c>
      <c r="AH657" s="944">
        <v>0.0</v>
      </c>
      <c r="AI657" s="944">
        <v>0.0</v>
      </c>
      <c r="AJ657" s="944">
        <v>13.0</v>
      </c>
      <c r="AK657" s="944">
        <v>9.0</v>
      </c>
      <c r="AL657" s="944">
        <v>1.0</v>
      </c>
      <c r="AM657" s="944">
        <v>1.0</v>
      </c>
    </row>
    <row r="658">
      <c r="A658" s="1" t="s">
        <v>132</v>
      </c>
      <c r="B658" s="941">
        <v>1.0</v>
      </c>
      <c r="C658" s="941">
        <v>1.0</v>
      </c>
      <c r="D658" s="941">
        <v>0.0</v>
      </c>
      <c r="E658" s="941">
        <v>3.0</v>
      </c>
      <c r="F658" s="941">
        <v>14.0</v>
      </c>
      <c r="G658" s="941">
        <v>140.0</v>
      </c>
      <c r="H658" s="941">
        <v>137.0</v>
      </c>
      <c r="I658" s="941">
        <v>3.0</v>
      </c>
      <c r="J658" s="941">
        <v>17.0</v>
      </c>
      <c r="K658" s="941">
        <v>13.0</v>
      </c>
      <c r="L658" s="941">
        <v>4.0</v>
      </c>
      <c r="M658" s="941">
        <v>2353.0</v>
      </c>
      <c r="N658" s="941">
        <v>2855.0</v>
      </c>
      <c r="O658" s="941">
        <v>17.0</v>
      </c>
      <c r="P658" s="941">
        <v>535.0</v>
      </c>
      <c r="Q658" s="941">
        <v>0.0</v>
      </c>
      <c r="R658" s="941">
        <v>2.0</v>
      </c>
      <c r="S658" s="941">
        <v>1.0</v>
      </c>
      <c r="T658" s="941">
        <v>0.0</v>
      </c>
      <c r="U658" s="941">
        <v>0.0</v>
      </c>
      <c r="V658" s="941">
        <v>1.0</v>
      </c>
      <c r="W658" s="941">
        <v>0.0</v>
      </c>
      <c r="X658" s="941">
        <v>19.0</v>
      </c>
      <c r="Y658" s="941">
        <v>2.0</v>
      </c>
      <c r="Z658" s="941">
        <v>0.0</v>
      </c>
      <c r="AA658" s="941">
        <v>0.0</v>
      </c>
      <c r="AB658" s="941">
        <v>0.0</v>
      </c>
      <c r="AC658" s="941">
        <v>0.0</v>
      </c>
      <c r="AD658" s="941">
        <v>0.0</v>
      </c>
      <c r="AE658" s="941">
        <v>0.0</v>
      </c>
      <c r="AF658" s="941">
        <v>0.0</v>
      </c>
      <c r="AG658" s="941">
        <v>0.0</v>
      </c>
      <c r="AH658" s="941">
        <v>1.0</v>
      </c>
      <c r="AI658" s="941">
        <v>0.0</v>
      </c>
      <c r="AJ658" s="941">
        <v>29.0</v>
      </c>
      <c r="AK658" s="941">
        <v>17.0</v>
      </c>
      <c r="AL658" s="941">
        <v>0.0</v>
      </c>
      <c r="AM658" s="941">
        <v>0.0</v>
      </c>
    </row>
    <row r="659">
      <c r="A659" s="1" t="s">
        <v>114</v>
      </c>
      <c r="B659" s="941">
        <v>1.0</v>
      </c>
      <c r="C659" s="941">
        <v>1.0</v>
      </c>
      <c r="D659" s="941">
        <v>0.0</v>
      </c>
      <c r="E659" s="941">
        <v>2.0</v>
      </c>
      <c r="F659" s="941">
        <v>21.0</v>
      </c>
      <c r="G659" s="941">
        <v>159.0</v>
      </c>
      <c r="H659" s="941">
        <v>130.0</v>
      </c>
      <c r="I659" s="941">
        <v>29.0</v>
      </c>
      <c r="J659" s="941">
        <v>14.0</v>
      </c>
      <c r="K659" s="941">
        <v>9.0</v>
      </c>
      <c r="L659" s="941">
        <v>1.0</v>
      </c>
      <c r="M659" s="941">
        <v>2376.0</v>
      </c>
      <c r="N659" s="941">
        <v>2855.0</v>
      </c>
      <c r="O659" s="941">
        <v>18.0</v>
      </c>
      <c r="P659" s="941">
        <v>426.0</v>
      </c>
      <c r="Q659" s="941">
        <v>0.0</v>
      </c>
      <c r="R659" s="941">
        <v>6.0</v>
      </c>
      <c r="S659" s="941">
        <v>0.0</v>
      </c>
      <c r="T659" s="941">
        <v>0.0</v>
      </c>
      <c r="U659" s="941">
        <v>0.0</v>
      </c>
      <c r="V659" s="941">
        <v>5.0</v>
      </c>
      <c r="W659" s="941">
        <v>0.0</v>
      </c>
      <c r="X659" s="941">
        <v>25.0</v>
      </c>
      <c r="Y659" s="941">
        <v>5.0</v>
      </c>
      <c r="Z659" s="941">
        <v>0.0</v>
      </c>
      <c r="AA659" s="941">
        <v>0.0</v>
      </c>
      <c r="AB659" s="941">
        <v>0.0</v>
      </c>
      <c r="AC659" s="941">
        <v>0.0</v>
      </c>
      <c r="AD659" s="941">
        <v>0.0</v>
      </c>
      <c r="AE659" s="941">
        <v>0.0</v>
      </c>
      <c r="AF659" s="941">
        <v>0.0</v>
      </c>
      <c r="AG659" s="941">
        <v>0.0</v>
      </c>
      <c r="AH659" s="941">
        <v>3.0</v>
      </c>
      <c r="AI659" s="941">
        <v>0.0</v>
      </c>
      <c r="AJ659" s="941">
        <v>25.0</v>
      </c>
      <c r="AK659" s="941">
        <v>18.0</v>
      </c>
      <c r="AL659" s="941">
        <v>0.0</v>
      </c>
      <c r="AM659" s="941">
        <v>0.0</v>
      </c>
    </row>
    <row r="660">
      <c r="A660" s="1" t="s">
        <v>147</v>
      </c>
      <c r="B660" s="941">
        <v>1.0</v>
      </c>
      <c r="C660" s="941">
        <v>1.0</v>
      </c>
      <c r="D660" s="941">
        <v>0.0</v>
      </c>
      <c r="E660" s="941">
        <v>0.0</v>
      </c>
      <c r="F660" s="941">
        <v>0.0</v>
      </c>
      <c r="G660" s="941">
        <v>100.0</v>
      </c>
      <c r="H660" s="941">
        <v>167.0</v>
      </c>
      <c r="I660" s="941">
        <v>-67.0</v>
      </c>
      <c r="J660" s="941">
        <v>19.0</v>
      </c>
      <c r="K660" s="941">
        <v>4.0</v>
      </c>
      <c r="L660" s="941">
        <v>6.0</v>
      </c>
      <c r="M660" s="941">
        <v>2257.0</v>
      </c>
      <c r="N660" s="941">
        <v>2855.0</v>
      </c>
      <c r="O660" s="941">
        <v>13.0</v>
      </c>
      <c r="P660" s="941">
        <v>5.0</v>
      </c>
      <c r="Q660" s="941">
        <v>0.0</v>
      </c>
      <c r="R660" s="941">
        <v>0.0</v>
      </c>
      <c r="S660" s="941">
        <v>0.0</v>
      </c>
      <c r="T660" s="941">
        <v>0.0</v>
      </c>
      <c r="U660" s="941">
        <v>0.0</v>
      </c>
      <c r="V660" s="941">
        <v>0.0</v>
      </c>
      <c r="W660" s="941">
        <v>0.0</v>
      </c>
      <c r="X660" s="941">
        <v>12.0</v>
      </c>
      <c r="Y660" s="941">
        <v>2.0</v>
      </c>
      <c r="Z660" s="941">
        <v>0.0</v>
      </c>
      <c r="AA660" s="941">
        <v>0.0</v>
      </c>
      <c r="AB660" s="941">
        <v>0.0</v>
      </c>
      <c r="AC660" s="941">
        <v>0.0</v>
      </c>
      <c r="AD660" s="941">
        <v>0.0</v>
      </c>
      <c r="AE660" s="941">
        <v>0.0</v>
      </c>
      <c r="AF660" s="941">
        <v>0.0</v>
      </c>
      <c r="AG660" s="941">
        <v>0.0</v>
      </c>
      <c r="AH660" s="941">
        <v>0.0</v>
      </c>
      <c r="AI660" s="941">
        <v>0.0</v>
      </c>
      <c r="AJ660" s="941">
        <v>12.0</v>
      </c>
      <c r="AK660" s="941">
        <v>16.0</v>
      </c>
      <c r="AL660" s="941">
        <v>1.0</v>
      </c>
      <c r="AM660" s="941">
        <v>0.0</v>
      </c>
    </row>
    <row r="661">
      <c r="A661" s="1" t="s">
        <v>136</v>
      </c>
      <c r="B661" s="941">
        <v>1.0</v>
      </c>
      <c r="C661" s="941">
        <v>1.0</v>
      </c>
      <c r="D661" s="941">
        <v>0.0</v>
      </c>
      <c r="E661" s="941">
        <v>0.0</v>
      </c>
      <c r="F661" s="941">
        <v>0.0</v>
      </c>
      <c r="G661" s="941">
        <v>210.0</v>
      </c>
      <c r="H661" s="941">
        <v>201.0</v>
      </c>
      <c r="I661" s="941">
        <v>9.0</v>
      </c>
      <c r="J661" s="941">
        <v>8.0</v>
      </c>
      <c r="K661" s="941">
        <v>4.0</v>
      </c>
      <c r="L661" s="941">
        <v>2.0</v>
      </c>
      <c r="M661" s="941">
        <v>2158.0</v>
      </c>
      <c r="N661" s="941">
        <v>2855.0</v>
      </c>
      <c r="O661" s="941">
        <v>10.0</v>
      </c>
      <c r="P661" s="941">
        <v>20.0</v>
      </c>
      <c r="Q661" s="941">
        <v>0.0</v>
      </c>
      <c r="R661" s="941">
        <v>0.0</v>
      </c>
      <c r="S661" s="941">
        <v>0.0</v>
      </c>
      <c r="T661" s="941">
        <v>0.0</v>
      </c>
      <c r="U661" s="941">
        <v>0.0</v>
      </c>
      <c r="V661" s="941">
        <v>0.0</v>
      </c>
      <c r="W661" s="941">
        <v>0.0</v>
      </c>
      <c r="X661" s="941">
        <v>34.0</v>
      </c>
      <c r="Y661" s="941">
        <v>8.0</v>
      </c>
      <c r="Z661" s="941">
        <v>2.0</v>
      </c>
      <c r="AA661" s="941">
        <v>0.0</v>
      </c>
      <c r="AB661" s="941">
        <v>0.0</v>
      </c>
      <c r="AC661" s="941">
        <v>0.0</v>
      </c>
      <c r="AD661" s="941">
        <v>0.0</v>
      </c>
      <c r="AE661" s="941">
        <v>0.0</v>
      </c>
      <c r="AF661" s="941">
        <v>0.0</v>
      </c>
      <c r="AG661" s="941">
        <v>0.0</v>
      </c>
      <c r="AH661" s="941">
        <v>2.0</v>
      </c>
      <c r="AI661" s="941">
        <v>0.0</v>
      </c>
      <c r="AJ661" s="941">
        <v>23.0</v>
      </c>
      <c r="AK661" s="941">
        <v>32.0</v>
      </c>
      <c r="AL661" s="941">
        <v>0.0</v>
      </c>
      <c r="AM661" s="941">
        <v>0.0</v>
      </c>
    </row>
    <row r="662">
      <c r="A662" s="1" t="s">
        <v>149</v>
      </c>
      <c r="B662" s="941">
        <v>1.0</v>
      </c>
      <c r="C662" s="941">
        <v>0.0</v>
      </c>
      <c r="D662" s="941">
        <v>1.0</v>
      </c>
      <c r="E662" s="941">
        <v>1.0</v>
      </c>
      <c r="F662" s="941">
        <v>35.0</v>
      </c>
      <c r="G662" s="941">
        <v>90.0</v>
      </c>
      <c r="H662" s="941">
        <v>71.0</v>
      </c>
      <c r="I662" s="941">
        <v>19.0</v>
      </c>
      <c r="J662" s="941">
        <v>3.0</v>
      </c>
      <c r="K662" s="941">
        <v>6.0</v>
      </c>
      <c r="L662" s="941">
        <v>0.0</v>
      </c>
      <c r="M662" s="941">
        <v>2547.0</v>
      </c>
      <c r="N662" s="941">
        <v>2855.0</v>
      </c>
      <c r="O662" s="941">
        <v>35.0</v>
      </c>
      <c r="P662" s="941">
        <v>1573.0</v>
      </c>
      <c r="Q662" s="941">
        <v>0.0</v>
      </c>
      <c r="R662" s="941">
        <v>3.0</v>
      </c>
      <c r="S662" s="941">
        <v>0.0</v>
      </c>
      <c r="T662" s="941">
        <v>0.0</v>
      </c>
      <c r="U662" s="941">
        <v>0.0</v>
      </c>
      <c r="V662" s="941">
        <v>0.0</v>
      </c>
      <c r="W662" s="941">
        <v>0.0</v>
      </c>
      <c r="X662" s="941">
        <v>11.0</v>
      </c>
      <c r="Y662" s="941">
        <v>2.0</v>
      </c>
      <c r="Z662" s="941">
        <v>0.0</v>
      </c>
      <c r="AA662" s="941">
        <v>0.0</v>
      </c>
      <c r="AB662" s="941">
        <v>0.0</v>
      </c>
      <c r="AC662" s="941">
        <v>0.0</v>
      </c>
      <c r="AD662" s="941">
        <v>0.0</v>
      </c>
      <c r="AE662" s="941">
        <v>0.0</v>
      </c>
      <c r="AF662" s="941">
        <v>0.0</v>
      </c>
      <c r="AG662" s="941">
        <v>0.0</v>
      </c>
      <c r="AH662" s="941">
        <v>1.0</v>
      </c>
      <c r="AI662" s="941">
        <v>0.0</v>
      </c>
      <c r="AJ662" s="941">
        <v>20.0</v>
      </c>
      <c r="AK662" s="941">
        <v>13.0</v>
      </c>
      <c r="AL662" s="941">
        <v>4.0</v>
      </c>
      <c r="AM662" s="941">
        <v>1.0</v>
      </c>
    </row>
    <row r="663">
      <c r="A663" s="1" t="s">
        <v>138</v>
      </c>
      <c r="B663" s="941">
        <v>1.0</v>
      </c>
      <c r="C663" s="941">
        <v>0.0</v>
      </c>
      <c r="D663" s="941">
        <v>1.0</v>
      </c>
      <c r="E663" s="941">
        <v>1.0</v>
      </c>
      <c r="F663" s="941">
        <v>0.0</v>
      </c>
      <c r="G663" s="941">
        <v>174.0</v>
      </c>
      <c r="H663" s="941">
        <v>175.0</v>
      </c>
      <c r="I663" s="941">
        <v>-1.0</v>
      </c>
      <c r="J663" s="941">
        <v>10.0</v>
      </c>
      <c r="K663" s="941">
        <v>5.0</v>
      </c>
      <c r="L663" s="941">
        <v>1.0</v>
      </c>
      <c r="M663" s="941">
        <v>2250.0</v>
      </c>
      <c r="N663" s="941">
        <v>2855.0</v>
      </c>
      <c r="O663" s="941">
        <v>12.0</v>
      </c>
      <c r="P663" s="941">
        <v>28.0</v>
      </c>
      <c r="Q663" s="941">
        <v>0.0</v>
      </c>
      <c r="R663" s="941">
        <v>3.0</v>
      </c>
      <c r="S663" s="941">
        <v>0.0</v>
      </c>
      <c r="T663" s="941">
        <v>0.0</v>
      </c>
      <c r="U663" s="941">
        <v>0.0</v>
      </c>
      <c r="V663" s="941">
        <v>3.0</v>
      </c>
      <c r="W663" s="941">
        <v>0.0</v>
      </c>
      <c r="X663" s="941">
        <v>31.0</v>
      </c>
      <c r="Y663" s="941">
        <v>3.0</v>
      </c>
      <c r="Z663" s="941">
        <v>1.0</v>
      </c>
      <c r="AA663" s="941">
        <v>1.0</v>
      </c>
      <c r="AB663" s="941">
        <v>0.0</v>
      </c>
      <c r="AC663" s="941">
        <v>0.0</v>
      </c>
      <c r="AD663" s="941">
        <v>0.0</v>
      </c>
      <c r="AE663" s="941">
        <v>0.0</v>
      </c>
      <c r="AF663" s="941">
        <v>0.0</v>
      </c>
      <c r="AG663" s="941">
        <v>0.0</v>
      </c>
      <c r="AH663" s="941">
        <v>1.0</v>
      </c>
      <c r="AI663" s="941">
        <v>0.0</v>
      </c>
      <c r="AJ663" s="941">
        <v>22.0</v>
      </c>
      <c r="AK663" s="941">
        <v>22.0</v>
      </c>
      <c r="AL663" s="941">
        <v>1.0</v>
      </c>
      <c r="AM663" s="941">
        <v>1.0</v>
      </c>
    </row>
    <row r="664">
      <c r="A664" s="1" t="s">
        <v>418</v>
      </c>
      <c r="B664" s="941">
        <v>1.0</v>
      </c>
      <c r="C664" s="941">
        <v>0.0</v>
      </c>
      <c r="D664" s="941">
        <v>1.0</v>
      </c>
      <c r="E664" s="941">
        <v>0.0</v>
      </c>
      <c r="F664" s="941">
        <v>1.0</v>
      </c>
      <c r="G664" s="941">
        <v>219.0</v>
      </c>
      <c r="H664" s="941">
        <v>175.0</v>
      </c>
      <c r="I664" s="941">
        <v>44.0</v>
      </c>
      <c r="J664" s="941">
        <v>14.0</v>
      </c>
      <c r="K664" s="941">
        <v>6.0</v>
      </c>
      <c r="L664" s="941">
        <v>1.0</v>
      </c>
      <c r="M664" s="941">
        <v>2234.0</v>
      </c>
      <c r="N664" s="941">
        <v>2855.0</v>
      </c>
      <c r="O664" s="941">
        <v>12.0</v>
      </c>
      <c r="P664" s="941">
        <v>10.0</v>
      </c>
      <c r="Q664" s="941">
        <v>0.0</v>
      </c>
      <c r="R664" s="941">
        <v>4.0</v>
      </c>
      <c r="S664" s="941">
        <v>0.0</v>
      </c>
      <c r="T664" s="941">
        <v>0.0</v>
      </c>
      <c r="U664" s="941">
        <v>0.0</v>
      </c>
      <c r="V664" s="941">
        <v>3.0</v>
      </c>
      <c r="W664" s="941">
        <v>0.0</v>
      </c>
      <c r="X664" s="941">
        <v>37.0</v>
      </c>
      <c r="Y664" s="941">
        <v>9.0</v>
      </c>
      <c r="Z664" s="941">
        <v>0.0</v>
      </c>
      <c r="AA664" s="941">
        <v>0.0</v>
      </c>
      <c r="AB664" s="941">
        <v>0.0</v>
      </c>
      <c r="AC664" s="941">
        <v>0.0</v>
      </c>
      <c r="AD664" s="941">
        <v>0.0</v>
      </c>
      <c r="AE664" s="941">
        <v>0.0</v>
      </c>
      <c r="AF664" s="941">
        <v>0.0</v>
      </c>
      <c r="AG664" s="941">
        <v>0.0</v>
      </c>
      <c r="AH664" s="941">
        <v>7.0</v>
      </c>
      <c r="AI664" s="941">
        <v>0.0</v>
      </c>
      <c r="AJ664" s="941">
        <v>25.0</v>
      </c>
      <c r="AK664" s="941">
        <v>26.0</v>
      </c>
      <c r="AL664" s="941">
        <v>1.0</v>
      </c>
      <c r="AM664" s="941">
        <v>1.0</v>
      </c>
    </row>
    <row r="665">
      <c r="A665" s="882" t="s">
        <v>392</v>
      </c>
      <c r="B665" s="944">
        <v>1.0</v>
      </c>
      <c r="C665" s="944">
        <v>0.0</v>
      </c>
      <c r="D665" s="944">
        <v>1.0</v>
      </c>
      <c r="E665" s="944">
        <v>0.0</v>
      </c>
      <c r="F665" s="944">
        <v>0.0</v>
      </c>
      <c r="G665" s="944">
        <v>132.0</v>
      </c>
      <c r="H665" s="944">
        <v>198.0</v>
      </c>
      <c r="I665" s="944">
        <v>-66.0</v>
      </c>
      <c r="J665" s="944">
        <v>8.0</v>
      </c>
      <c r="K665" s="944">
        <v>6.0</v>
      </c>
      <c r="L665" s="944">
        <v>0.0</v>
      </c>
      <c r="M665" s="944">
        <v>2172.0</v>
      </c>
      <c r="N665" s="944">
        <v>2855.0</v>
      </c>
      <c r="O665" s="944">
        <v>10.0</v>
      </c>
      <c r="P665" s="944">
        <v>10.0</v>
      </c>
      <c r="Q665" s="944">
        <v>0.0</v>
      </c>
      <c r="R665" s="944">
        <v>2.0</v>
      </c>
      <c r="S665" s="944">
        <v>0.0</v>
      </c>
      <c r="T665" s="944">
        <v>0.0</v>
      </c>
      <c r="U665" s="944">
        <v>0.0</v>
      </c>
      <c r="V665" s="944">
        <v>2.0</v>
      </c>
      <c r="W665" s="944">
        <v>0.0</v>
      </c>
      <c r="X665" s="944">
        <v>12.0</v>
      </c>
      <c r="Y665" s="944">
        <v>2.0</v>
      </c>
      <c r="Z665" s="944">
        <v>0.0</v>
      </c>
      <c r="AA665" s="944">
        <v>0.0</v>
      </c>
      <c r="AB665" s="944">
        <v>0.0</v>
      </c>
      <c r="AC665" s="944">
        <v>0.0</v>
      </c>
      <c r="AD665" s="944">
        <v>0.0</v>
      </c>
      <c r="AE665" s="944">
        <v>0.0</v>
      </c>
      <c r="AF665" s="944">
        <v>0.0</v>
      </c>
      <c r="AG665" s="944">
        <v>0.0</v>
      </c>
      <c r="AH665" s="944">
        <v>1.0</v>
      </c>
      <c r="AI665" s="944">
        <v>0.0</v>
      </c>
      <c r="AJ665" s="944">
        <v>9.0</v>
      </c>
      <c r="AK665" s="944">
        <v>18.0</v>
      </c>
      <c r="AL665" s="944">
        <v>0.0</v>
      </c>
      <c r="AM665" s="944">
        <v>1.0</v>
      </c>
    </row>
    <row r="666">
      <c r="A666" s="946" t="s">
        <v>123</v>
      </c>
      <c r="B666" s="939">
        <v>1.0</v>
      </c>
      <c r="C666" s="939">
        <v>1.0</v>
      </c>
      <c r="D666" s="939">
        <v>0.0</v>
      </c>
      <c r="E666" s="939">
        <v>5.0</v>
      </c>
      <c r="F666" s="939">
        <v>20.0</v>
      </c>
      <c r="G666" s="939">
        <v>155.0</v>
      </c>
      <c r="H666" s="939">
        <v>119.0</v>
      </c>
      <c r="I666" s="939">
        <v>36.0</v>
      </c>
      <c r="J666" s="939">
        <v>2.0</v>
      </c>
      <c r="K666" s="939">
        <v>12.0</v>
      </c>
      <c r="L666" s="939">
        <v>1.0</v>
      </c>
      <c r="M666" s="939">
        <v>2147.0</v>
      </c>
      <c r="N666" s="939">
        <v>2620.0</v>
      </c>
      <c r="O666" s="939">
        <v>18.0</v>
      </c>
      <c r="P666" s="939">
        <v>680.0</v>
      </c>
      <c r="Q666" s="939">
        <v>0.0</v>
      </c>
      <c r="R666" s="939">
        <v>7.0</v>
      </c>
      <c r="S666" s="939">
        <v>1.0</v>
      </c>
      <c r="T666" s="939">
        <v>0.0</v>
      </c>
      <c r="U666" s="939">
        <v>0.0</v>
      </c>
      <c r="V666" s="939">
        <v>2.0</v>
      </c>
      <c r="W666" s="939">
        <v>0.0</v>
      </c>
      <c r="X666" s="939">
        <v>18.0</v>
      </c>
      <c r="Y666" s="939">
        <v>7.0</v>
      </c>
      <c r="Z666" s="939">
        <v>1.0</v>
      </c>
      <c r="AA666" s="939">
        <v>1.0</v>
      </c>
      <c r="AB666" s="939">
        <v>1.0</v>
      </c>
      <c r="AC666" s="939">
        <v>1.0</v>
      </c>
      <c r="AD666" s="939">
        <v>1.0</v>
      </c>
      <c r="AE666" s="939">
        <v>1.0</v>
      </c>
      <c r="AF666" s="939">
        <v>0.0</v>
      </c>
      <c r="AG666" s="939">
        <v>0.0</v>
      </c>
      <c r="AH666" s="939">
        <v>3.0</v>
      </c>
      <c r="AI666" s="939">
        <v>1.0</v>
      </c>
      <c r="AJ666" s="939">
        <v>27.0</v>
      </c>
      <c r="AK666" s="939">
        <v>11.0</v>
      </c>
      <c r="AL666" s="939">
        <v>1.0</v>
      </c>
      <c r="AM666" s="940">
        <v>1.0</v>
      </c>
    </row>
    <row r="667">
      <c r="A667" s="935" t="s">
        <v>145</v>
      </c>
      <c r="B667" s="941">
        <v>1.0</v>
      </c>
      <c r="C667" s="941">
        <v>1.0</v>
      </c>
      <c r="D667" s="941">
        <v>0.0</v>
      </c>
      <c r="E667" s="941">
        <v>0.0</v>
      </c>
      <c r="F667" s="941">
        <v>0.0</v>
      </c>
      <c r="G667" s="941">
        <v>165.0</v>
      </c>
      <c r="H667" s="941">
        <v>160.0</v>
      </c>
      <c r="I667" s="941">
        <v>5.0</v>
      </c>
      <c r="J667" s="941">
        <v>17.0</v>
      </c>
      <c r="K667" s="941">
        <v>5.0</v>
      </c>
      <c r="L667" s="941">
        <v>2.0</v>
      </c>
      <c r="M667" s="941">
        <v>2014.0</v>
      </c>
      <c r="N667" s="941">
        <v>2620.0</v>
      </c>
      <c r="O667" s="941">
        <v>12.0</v>
      </c>
      <c r="P667" s="941">
        <v>7.0</v>
      </c>
      <c r="Q667" s="941">
        <v>0.0</v>
      </c>
      <c r="R667" s="941">
        <v>3.0</v>
      </c>
      <c r="S667" s="941">
        <v>0.0</v>
      </c>
      <c r="T667" s="941">
        <v>0.0</v>
      </c>
      <c r="U667" s="941">
        <v>0.0</v>
      </c>
      <c r="V667" s="941">
        <v>3.0</v>
      </c>
      <c r="W667" s="941">
        <v>0.0</v>
      </c>
      <c r="X667" s="941">
        <v>25.0</v>
      </c>
      <c r="Y667" s="941">
        <v>2.0</v>
      </c>
      <c r="Z667" s="941">
        <v>0.0</v>
      </c>
      <c r="AA667" s="941">
        <v>0.0</v>
      </c>
      <c r="AB667" s="941">
        <v>0.0</v>
      </c>
      <c r="AC667" s="941">
        <v>0.0</v>
      </c>
      <c r="AD667" s="941">
        <v>0.0</v>
      </c>
      <c r="AE667" s="941">
        <v>0.0</v>
      </c>
      <c r="AF667" s="941">
        <v>0.0</v>
      </c>
      <c r="AG667" s="941">
        <v>0.0</v>
      </c>
      <c r="AH667" s="941">
        <v>7.0</v>
      </c>
      <c r="AI667" s="941">
        <v>0.0</v>
      </c>
      <c r="AJ667" s="941">
        <v>30.0</v>
      </c>
      <c r="AK667" s="941">
        <v>18.0</v>
      </c>
      <c r="AL667" s="941">
        <v>1.0</v>
      </c>
      <c r="AM667" s="942">
        <v>1.0</v>
      </c>
    </row>
    <row r="668">
      <c r="A668" s="935" t="s">
        <v>419</v>
      </c>
      <c r="B668" s="941">
        <v>1.0</v>
      </c>
      <c r="C668" s="941">
        <v>1.0</v>
      </c>
      <c r="D668" s="941">
        <v>0.0</v>
      </c>
      <c r="E668" s="941">
        <v>0.0</v>
      </c>
      <c r="F668" s="941">
        <v>0.0</v>
      </c>
      <c r="G668" s="941">
        <v>143.0</v>
      </c>
      <c r="H668" s="941">
        <v>171.0</v>
      </c>
      <c r="I668" s="941">
        <v>-28.0</v>
      </c>
      <c r="J668" s="941">
        <v>10.0</v>
      </c>
      <c r="K668" s="941">
        <v>5.0</v>
      </c>
      <c r="L668" s="941">
        <v>4.0</v>
      </c>
      <c r="M668" s="941">
        <v>1986.0</v>
      </c>
      <c r="N668" s="941">
        <v>2620.0</v>
      </c>
      <c r="O668" s="941">
        <v>11.0</v>
      </c>
      <c r="P668" s="941">
        <v>10.0</v>
      </c>
      <c r="Q668" s="941">
        <v>0.0</v>
      </c>
      <c r="R668" s="941">
        <v>1.0</v>
      </c>
      <c r="S668" s="941">
        <v>0.0</v>
      </c>
      <c r="T668" s="941">
        <v>0.0</v>
      </c>
      <c r="U668" s="941">
        <v>0.0</v>
      </c>
      <c r="V668" s="941">
        <v>1.0</v>
      </c>
      <c r="W668" s="941">
        <v>0.0</v>
      </c>
      <c r="X668" s="941">
        <v>12.0</v>
      </c>
      <c r="Y668" s="941">
        <v>1.0</v>
      </c>
      <c r="Z668" s="941">
        <v>0.0</v>
      </c>
      <c r="AA668" s="941">
        <v>0.0</v>
      </c>
      <c r="AB668" s="941">
        <v>0.0</v>
      </c>
      <c r="AC668" s="941">
        <v>0.0</v>
      </c>
      <c r="AD668" s="941">
        <v>0.0</v>
      </c>
      <c r="AE668" s="941">
        <v>0.0</v>
      </c>
      <c r="AF668" s="941">
        <v>0.0</v>
      </c>
      <c r="AG668" s="941">
        <v>0.0</v>
      </c>
      <c r="AH668" s="941">
        <v>4.0</v>
      </c>
      <c r="AI668" s="941">
        <v>0.0</v>
      </c>
      <c r="AJ668" s="941">
        <v>10.0</v>
      </c>
      <c r="AK668" s="941">
        <v>17.0</v>
      </c>
      <c r="AL668" s="941">
        <v>1.0</v>
      </c>
      <c r="AM668" s="942">
        <v>1.0</v>
      </c>
    </row>
    <row r="669">
      <c r="A669" s="935" t="s">
        <v>156</v>
      </c>
      <c r="B669" s="941">
        <v>1.0</v>
      </c>
      <c r="C669" s="941">
        <v>1.0</v>
      </c>
      <c r="D669" s="941">
        <v>0.0</v>
      </c>
      <c r="E669" s="941">
        <v>0.0</v>
      </c>
      <c r="F669" s="941">
        <v>0.0</v>
      </c>
      <c r="G669" s="941">
        <v>124.0</v>
      </c>
      <c r="H669" s="941">
        <v>179.0</v>
      </c>
      <c r="I669" s="941">
        <v>-55.0</v>
      </c>
      <c r="J669" s="941">
        <v>6.0</v>
      </c>
      <c r="K669" s="941">
        <v>4.0</v>
      </c>
      <c r="L669" s="941">
        <v>4.0</v>
      </c>
      <c r="M669" s="941">
        <v>1965.0</v>
      </c>
      <c r="N669" s="941">
        <v>2620.0</v>
      </c>
      <c r="O669" s="941">
        <v>10.0</v>
      </c>
      <c r="P669" s="941">
        <v>28.0</v>
      </c>
      <c r="Q669" s="941">
        <v>0.0</v>
      </c>
      <c r="R669" s="941">
        <v>0.0</v>
      </c>
      <c r="S669" s="941">
        <v>0.0</v>
      </c>
      <c r="T669" s="941">
        <v>0.0</v>
      </c>
      <c r="U669" s="941">
        <v>0.0</v>
      </c>
      <c r="V669" s="941">
        <v>0.0</v>
      </c>
      <c r="W669" s="941">
        <v>0.0</v>
      </c>
      <c r="X669" s="941">
        <v>12.0</v>
      </c>
      <c r="Y669" s="941">
        <v>1.0</v>
      </c>
      <c r="Z669" s="941">
        <v>0.0</v>
      </c>
      <c r="AA669" s="941">
        <v>0.0</v>
      </c>
      <c r="AB669" s="941">
        <v>0.0</v>
      </c>
      <c r="AC669" s="941">
        <v>0.0</v>
      </c>
      <c r="AD669" s="941">
        <v>0.0</v>
      </c>
      <c r="AE669" s="941">
        <v>0.0</v>
      </c>
      <c r="AF669" s="941">
        <v>0.0</v>
      </c>
      <c r="AG669" s="941">
        <v>0.0</v>
      </c>
      <c r="AH669" s="941">
        <v>2.0</v>
      </c>
      <c r="AI669" s="941">
        <v>0.0</v>
      </c>
      <c r="AJ669" s="941">
        <v>16.0</v>
      </c>
      <c r="AK669" s="941">
        <v>17.0</v>
      </c>
      <c r="AL669" s="941">
        <v>0.0</v>
      </c>
      <c r="AM669" s="942">
        <v>1.0</v>
      </c>
    </row>
    <row r="670">
      <c r="A670" s="935" t="s">
        <v>132</v>
      </c>
      <c r="B670" s="941">
        <v>1.0</v>
      </c>
      <c r="C670" s="941">
        <v>0.0</v>
      </c>
      <c r="D670" s="941">
        <v>1.0</v>
      </c>
      <c r="E670" s="941">
        <v>2.0</v>
      </c>
      <c r="F670" s="941">
        <v>7.0</v>
      </c>
      <c r="G670" s="941">
        <v>161.0</v>
      </c>
      <c r="H670" s="941">
        <v>168.0</v>
      </c>
      <c r="I670" s="941">
        <v>-7.0</v>
      </c>
      <c r="J670" s="941">
        <v>11.0</v>
      </c>
      <c r="K670" s="941">
        <v>5.0</v>
      </c>
      <c r="L670" s="941">
        <v>1.0</v>
      </c>
      <c r="M670" s="941">
        <v>1994.0</v>
      </c>
      <c r="N670" s="941">
        <v>2620.0</v>
      </c>
      <c r="O670" s="941">
        <v>11.0</v>
      </c>
      <c r="P670" s="941">
        <v>200.0</v>
      </c>
      <c r="Q670" s="941">
        <v>0.0</v>
      </c>
      <c r="R670" s="941">
        <v>2.0</v>
      </c>
      <c r="S670" s="941">
        <v>0.0</v>
      </c>
      <c r="T670" s="941">
        <v>0.0</v>
      </c>
      <c r="U670" s="941">
        <v>0.0</v>
      </c>
      <c r="V670" s="941">
        <v>1.0</v>
      </c>
      <c r="W670" s="941">
        <v>0.0</v>
      </c>
      <c r="X670" s="941">
        <v>34.0</v>
      </c>
      <c r="Y670" s="941">
        <v>2.0</v>
      </c>
      <c r="Z670" s="941">
        <v>0.0</v>
      </c>
      <c r="AA670" s="941">
        <v>0.0</v>
      </c>
      <c r="AB670" s="941">
        <v>0.0</v>
      </c>
      <c r="AC670" s="941">
        <v>0.0</v>
      </c>
      <c r="AD670" s="941">
        <v>0.0</v>
      </c>
      <c r="AE670" s="941">
        <v>0.0</v>
      </c>
      <c r="AF670" s="941">
        <v>0.0</v>
      </c>
      <c r="AG670" s="941">
        <v>0.0</v>
      </c>
      <c r="AH670" s="941">
        <v>21.0</v>
      </c>
      <c r="AI670" s="941">
        <v>0.0</v>
      </c>
      <c r="AJ670" s="941">
        <v>15.0</v>
      </c>
      <c r="AK670" s="941">
        <v>25.0</v>
      </c>
      <c r="AL670" s="941">
        <v>0.0</v>
      </c>
      <c r="AM670" s="942">
        <v>0.0</v>
      </c>
    </row>
    <row r="671">
      <c r="A671" s="935" t="s">
        <v>514</v>
      </c>
      <c r="B671" s="941">
        <v>1.0</v>
      </c>
      <c r="C671" s="941">
        <v>0.0</v>
      </c>
      <c r="D671" s="941">
        <v>1.0</v>
      </c>
      <c r="E671" s="941">
        <v>1.0</v>
      </c>
      <c r="F671" s="941">
        <v>5.0</v>
      </c>
      <c r="G671" s="941">
        <v>127.0</v>
      </c>
      <c r="H671" s="941">
        <v>151.0</v>
      </c>
      <c r="I671" s="941">
        <v>-24.0</v>
      </c>
      <c r="J671" s="941">
        <v>6.0</v>
      </c>
      <c r="K671" s="941">
        <v>8.0</v>
      </c>
      <c r="L671" s="941">
        <v>3.0</v>
      </c>
      <c r="M671" s="941">
        <v>2046.0</v>
      </c>
      <c r="N671" s="941">
        <v>2620.0</v>
      </c>
      <c r="O671" s="941">
        <v>13.0</v>
      </c>
      <c r="P671" s="941">
        <v>622.0</v>
      </c>
      <c r="Q671" s="941">
        <v>0.0</v>
      </c>
      <c r="R671" s="941">
        <v>1.0</v>
      </c>
      <c r="S671" s="941">
        <v>0.0</v>
      </c>
      <c r="T671" s="941">
        <v>0.0</v>
      </c>
      <c r="U671" s="941">
        <v>0.0</v>
      </c>
      <c r="V671" s="941">
        <v>0.0</v>
      </c>
      <c r="W671" s="941">
        <v>0.0</v>
      </c>
      <c r="X671" s="941">
        <v>18.0</v>
      </c>
      <c r="Y671" s="941">
        <v>2.0</v>
      </c>
      <c r="Z671" s="941">
        <v>0.0</v>
      </c>
      <c r="AA671" s="941">
        <v>0.0</v>
      </c>
      <c r="AB671" s="941">
        <v>0.0</v>
      </c>
      <c r="AC671" s="941">
        <v>0.0</v>
      </c>
      <c r="AD671" s="941">
        <v>0.0</v>
      </c>
      <c r="AE671" s="941">
        <v>0.0</v>
      </c>
      <c r="AF671" s="941">
        <v>0.0</v>
      </c>
      <c r="AG671" s="941">
        <v>0.0</v>
      </c>
      <c r="AH671" s="941">
        <v>6.0</v>
      </c>
      <c r="AI671" s="941">
        <v>0.0</v>
      </c>
      <c r="AJ671" s="941">
        <v>9.0</v>
      </c>
      <c r="AK671" s="941">
        <v>19.0</v>
      </c>
      <c r="AL671" s="941">
        <v>4.0</v>
      </c>
      <c r="AM671" s="942">
        <v>0.0</v>
      </c>
    </row>
    <row r="672">
      <c r="A672" s="935" t="s">
        <v>154</v>
      </c>
      <c r="B672" s="941">
        <v>1.0</v>
      </c>
      <c r="C672" s="941">
        <v>0.0</v>
      </c>
      <c r="D672" s="941">
        <v>1.0</v>
      </c>
      <c r="E672" s="941">
        <v>1.0</v>
      </c>
      <c r="F672" s="941">
        <v>9.0</v>
      </c>
      <c r="G672" s="941">
        <v>115.0</v>
      </c>
      <c r="H672" s="941">
        <v>141.0</v>
      </c>
      <c r="I672" s="941">
        <v>-26.0</v>
      </c>
      <c r="J672" s="941">
        <v>8.0</v>
      </c>
      <c r="K672" s="941">
        <v>5.0</v>
      </c>
      <c r="L672" s="941">
        <v>0.0</v>
      </c>
      <c r="M672" s="941">
        <v>2075.0</v>
      </c>
      <c r="N672" s="941">
        <v>2620.0</v>
      </c>
      <c r="O672" s="941">
        <v>14.0</v>
      </c>
      <c r="P672" s="941">
        <v>759.0</v>
      </c>
      <c r="Q672" s="941">
        <v>0.0</v>
      </c>
      <c r="R672" s="941">
        <v>1.0</v>
      </c>
      <c r="S672" s="941">
        <v>0.0</v>
      </c>
      <c r="T672" s="941">
        <v>0.0</v>
      </c>
      <c r="U672" s="941">
        <v>0.0</v>
      </c>
      <c r="V672" s="941">
        <v>0.0</v>
      </c>
      <c r="W672" s="941">
        <v>0.0</v>
      </c>
      <c r="X672" s="941">
        <v>13.0</v>
      </c>
      <c r="Y672" s="941">
        <v>1.0</v>
      </c>
      <c r="Z672" s="941">
        <v>0.0</v>
      </c>
      <c r="AA672" s="941">
        <v>0.0</v>
      </c>
      <c r="AB672" s="941">
        <v>0.0</v>
      </c>
      <c r="AC672" s="941">
        <v>0.0</v>
      </c>
      <c r="AD672" s="941">
        <v>0.0</v>
      </c>
      <c r="AE672" s="941">
        <v>0.0</v>
      </c>
      <c r="AF672" s="941">
        <v>0.0</v>
      </c>
      <c r="AG672" s="941">
        <v>0.0</v>
      </c>
      <c r="AH672" s="941">
        <v>4.0</v>
      </c>
      <c r="AI672" s="941">
        <v>0.0</v>
      </c>
      <c r="AJ672" s="941">
        <v>14.0</v>
      </c>
      <c r="AK672" s="941">
        <v>17.0</v>
      </c>
      <c r="AL672" s="941">
        <v>1.0</v>
      </c>
      <c r="AM672" s="942">
        <v>0.0</v>
      </c>
    </row>
    <row r="673">
      <c r="A673" s="943" t="s">
        <v>121</v>
      </c>
      <c r="B673" s="944">
        <v>1.0</v>
      </c>
      <c r="C673" s="944">
        <v>0.0</v>
      </c>
      <c r="D673" s="944">
        <v>1.0</v>
      </c>
      <c r="E673" s="944">
        <v>0.0</v>
      </c>
      <c r="F673" s="944">
        <v>0.0</v>
      </c>
      <c r="G673" s="944">
        <v>204.0</v>
      </c>
      <c r="H673" s="944">
        <v>143.0</v>
      </c>
      <c r="I673" s="944">
        <v>61.0</v>
      </c>
      <c r="J673" s="944">
        <v>12.0</v>
      </c>
      <c r="K673" s="944">
        <v>9.0</v>
      </c>
      <c r="L673" s="944">
        <v>2.0</v>
      </c>
      <c r="M673" s="944">
        <v>2068.0</v>
      </c>
      <c r="N673" s="944">
        <v>2620.0</v>
      </c>
      <c r="O673" s="944">
        <v>14.0</v>
      </c>
      <c r="P673" s="944">
        <v>31.0</v>
      </c>
      <c r="Q673" s="944">
        <v>0.0</v>
      </c>
      <c r="R673" s="944">
        <v>5.0</v>
      </c>
      <c r="S673" s="944">
        <v>0.0</v>
      </c>
      <c r="T673" s="944">
        <v>0.0</v>
      </c>
      <c r="U673" s="944">
        <v>0.0</v>
      </c>
      <c r="V673" s="944">
        <v>5.0</v>
      </c>
      <c r="W673" s="944">
        <v>0.0</v>
      </c>
      <c r="X673" s="944">
        <v>37.0</v>
      </c>
      <c r="Y673" s="944">
        <v>3.0</v>
      </c>
      <c r="Z673" s="944">
        <v>0.0</v>
      </c>
      <c r="AA673" s="944">
        <v>0.0</v>
      </c>
      <c r="AB673" s="944">
        <v>0.0</v>
      </c>
      <c r="AC673" s="944">
        <v>0.0</v>
      </c>
      <c r="AD673" s="944">
        <v>0.0</v>
      </c>
      <c r="AE673" s="944">
        <v>0.0</v>
      </c>
      <c r="AF673" s="944">
        <v>0.0</v>
      </c>
      <c r="AG673" s="944">
        <v>0.0</v>
      </c>
      <c r="AH673" s="944">
        <v>17.0</v>
      </c>
      <c r="AI673" s="944">
        <v>0.0</v>
      </c>
      <c r="AJ673" s="944">
        <v>21.0</v>
      </c>
      <c r="AK673" s="944">
        <v>28.0</v>
      </c>
      <c r="AL673" s="944">
        <v>1.0</v>
      </c>
      <c r="AM673" s="945">
        <v>0.0</v>
      </c>
    </row>
    <row r="674">
      <c r="A674" s="946" t="s">
        <v>123</v>
      </c>
      <c r="B674" s="939">
        <v>1.0</v>
      </c>
      <c r="C674" s="939">
        <v>1.0</v>
      </c>
      <c r="D674" s="939">
        <v>0.0</v>
      </c>
      <c r="E674" s="939">
        <v>4.0</v>
      </c>
      <c r="F674" s="939">
        <v>18.0</v>
      </c>
      <c r="G674" s="939">
        <v>65.0</v>
      </c>
      <c r="H674" s="939">
        <v>45.0</v>
      </c>
      <c r="I674" s="939">
        <v>20.0</v>
      </c>
      <c r="J674" s="939">
        <v>2.0</v>
      </c>
      <c r="K674" s="939">
        <v>8.0</v>
      </c>
      <c r="L674" s="939">
        <v>1.0</v>
      </c>
      <c r="M674" s="939">
        <v>1186.0</v>
      </c>
      <c r="N674" s="939">
        <v>1388.0</v>
      </c>
      <c r="O674" s="939">
        <v>26.0</v>
      </c>
      <c r="P674" s="939">
        <v>532.0</v>
      </c>
      <c r="Q674" s="939">
        <v>0.0</v>
      </c>
      <c r="R674" s="939">
        <v>3.0</v>
      </c>
      <c r="S674" s="939">
        <v>0.0</v>
      </c>
      <c r="T674" s="939">
        <v>0.0</v>
      </c>
      <c r="U674" s="939">
        <v>0.0</v>
      </c>
      <c r="V674" s="939">
        <v>0.0</v>
      </c>
      <c r="W674" s="939">
        <v>0.0</v>
      </c>
      <c r="X674" s="939">
        <v>7.0</v>
      </c>
      <c r="Y674" s="939">
        <v>2.0</v>
      </c>
      <c r="Z674" s="939">
        <v>0.0</v>
      </c>
      <c r="AA674" s="939">
        <v>0.0</v>
      </c>
      <c r="AB674" s="939">
        <v>0.0</v>
      </c>
      <c r="AC674" s="939">
        <v>0.0</v>
      </c>
      <c r="AD674" s="939">
        <v>0.0</v>
      </c>
      <c r="AE674" s="939">
        <v>0.0</v>
      </c>
      <c r="AF674" s="939">
        <v>0.0</v>
      </c>
      <c r="AG674" s="939">
        <v>0.0</v>
      </c>
      <c r="AH674" s="939">
        <v>0.0</v>
      </c>
      <c r="AI674" s="939">
        <v>0.0</v>
      </c>
      <c r="AJ674" s="939">
        <v>12.0</v>
      </c>
      <c r="AK674" s="939">
        <v>9.0</v>
      </c>
      <c r="AL674" s="939">
        <v>2.0</v>
      </c>
      <c r="AM674" s="940">
        <v>1.0</v>
      </c>
    </row>
    <row r="675">
      <c r="A675" s="935" t="s">
        <v>145</v>
      </c>
      <c r="B675" s="941">
        <v>1.0</v>
      </c>
      <c r="C675" s="941">
        <v>1.0</v>
      </c>
      <c r="D675" s="941">
        <v>0.0</v>
      </c>
      <c r="E675" s="941">
        <v>1.0</v>
      </c>
      <c r="F675" s="941">
        <v>0.0</v>
      </c>
      <c r="G675" s="941">
        <v>94.0</v>
      </c>
      <c r="H675" s="941">
        <v>77.0</v>
      </c>
      <c r="I675" s="941">
        <v>17.0</v>
      </c>
      <c r="J675" s="941">
        <v>8.0</v>
      </c>
      <c r="K675" s="941">
        <v>6.0</v>
      </c>
      <c r="L675" s="941">
        <v>0.0</v>
      </c>
      <c r="M675" s="941">
        <v>1089.0</v>
      </c>
      <c r="N675" s="941">
        <v>1388.0</v>
      </c>
      <c r="O675" s="941">
        <v>14.0</v>
      </c>
      <c r="P675" s="941">
        <v>7.0</v>
      </c>
      <c r="Q675" s="941">
        <v>0.0</v>
      </c>
      <c r="R675" s="941">
        <v>3.0</v>
      </c>
      <c r="S675" s="941">
        <v>0.0</v>
      </c>
      <c r="T675" s="941">
        <v>0.0</v>
      </c>
      <c r="U675" s="941">
        <v>0.0</v>
      </c>
      <c r="V675" s="941">
        <v>3.0</v>
      </c>
      <c r="W675" s="941">
        <v>0.0</v>
      </c>
      <c r="X675" s="941">
        <v>18.0</v>
      </c>
      <c r="Y675" s="941">
        <v>4.0</v>
      </c>
      <c r="Z675" s="941">
        <v>2.0</v>
      </c>
      <c r="AA675" s="941">
        <v>1.0</v>
      </c>
      <c r="AB675" s="941">
        <v>0.0</v>
      </c>
      <c r="AC675" s="941">
        <v>0.0</v>
      </c>
      <c r="AD675" s="941">
        <v>0.0</v>
      </c>
      <c r="AE675" s="941">
        <v>0.0</v>
      </c>
      <c r="AF675" s="941">
        <v>0.0</v>
      </c>
      <c r="AG675" s="941">
        <v>0.0</v>
      </c>
      <c r="AH675" s="941">
        <v>2.0</v>
      </c>
      <c r="AI675" s="941">
        <v>0.0</v>
      </c>
      <c r="AJ675" s="941">
        <v>14.0</v>
      </c>
      <c r="AK675" s="941">
        <v>8.0</v>
      </c>
      <c r="AL675" s="941">
        <v>1.0</v>
      </c>
      <c r="AM675" s="942">
        <v>1.0</v>
      </c>
    </row>
    <row r="676">
      <c r="A676" s="935" t="s">
        <v>419</v>
      </c>
      <c r="B676" s="941">
        <v>1.0</v>
      </c>
      <c r="C676" s="941">
        <v>1.0</v>
      </c>
      <c r="D676" s="941">
        <v>0.0</v>
      </c>
      <c r="E676" s="941">
        <v>0.0</v>
      </c>
      <c r="F676" s="941">
        <v>0.0</v>
      </c>
      <c r="G676" s="941">
        <v>72.0</v>
      </c>
      <c r="H676" s="941">
        <v>74.0</v>
      </c>
      <c r="I676" s="941">
        <v>-2.0</v>
      </c>
      <c r="J676" s="941">
        <v>7.0</v>
      </c>
      <c r="K676" s="941">
        <v>6.0</v>
      </c>
      <c r="L676" s="941">
        <v>1.0</v>
      </c>
      <c r="M676" s="941">
        <v>1092.0</v>
      </c>
      <c r="N676" s="941">
        <v>1388.0</v>
      </c>
      <c r="O676" s="941">
        <v>14.0</v>
      </c>
      <c r="P676" s="941">
        <v>14.0</v>
      </c>
      <c r="Q676" s="941">
        <v>0.0</v>
      </c>
      <c r="R676" s="941">
        <v>1.0</v>
      </c>
      <c r="S676" s="941">
        <v>0.0</v>
      </c>
      <c r="T676" s="941">
        <v>0.0</v>
      </c>
      <c r="U676" s="941">
        <v>0.0</v>
      </c>
      <c r="V676" s="941">
        <v>1.0</v>
      </c>
      <c r="W676" s="941">
        <v>0.0</v>
      </c>
      <c r="X676" s="941">
        <v>10.0</v>
      </c>
      <c r="Y676" s="941">
        <v>4.0</v>
      </c>
      <c r="Z676" s="941">
        <v>0.0</v>
      </c>
      <c r="AA676" s="941">
        <v>0.0</v>
      </c>
      <c r="AB676" s="941">
        <v>0.0</v>
      </c>
      <c r="AC676" s="941">
        <v>0.0</v>
      </c>
      <c r="AD676" s="941">
        <v>0.0</v>
      </c>
      <c r="AE676" s="941">
        <v>0.0</v>
      </c>
      <c r="AF676" s="941">
        <v>0.0</v>
      </c>
      <c r="AG676" s="941">
        <v>0.0</v>
      </c>
      <c r="AH676" s="941">
        <v>1.0</v>
      </c>
      <c r="AI676" s="941">
        <v>0.0</v>
      </c>
      <c r="AJ676" s="941">
        <v>7.0</v>
      </c>
      <c r="AK676" s="941">
        <v>15.0</v>
      </c>
      <c r="AL676" s="941">
        <v>1.0</v>
      </c>
      <c r="AM676" s="942">
        <v>1.0</v>
      </c>
    </row>
    <row r="677">
      <c r="A677" s="935" t="s">
        <v>156</v>
      </c>
      <c r="B677" s="941">
        <v>1.0</v>
      </c>
      <c r="C677" s="941">
        <v>1.0</v>
      </c>
      <c r="D677" s="941">
        <v>0.0</v>
      </c>
      <c r="E677" s="941">
        <v>0.0</v>
      </c>
      <c r="F677" s="941">
        <v>0.0</v>
      </c>
      <c r="G677" s="941">
        <v>67.0</v>
      </c>
      <c r="H677" s="941">
        <v>72.0</v>
      </c>
      <c r="I677" s="941">
        <v>-5.0</v>
      </c>
      <c r="J677" s="941">
        <v>5.0</v>
      </c>
      <c r="K677" s="941">
        <v>6.0</v>
      </c>
      <c r="L677" s="941">
        <v>2.0</v>
      </c>
      <c r="M677" s="941">
        <v>1104.0</v>
      </c>
      <c r="N677" s="941">
        <v>1388.0</v>
      </c>
      <c r="O677" s="941">
        <v>15.0</v>
      </c>
      <c r="P677" s="941">
        <v>8.0</v>
      </c>
      <c r="Q677" s="941">
        <v>0.0</v>
      </c>
      <c r="R677" s="941">
        <v>2.0</v>
      </c>
      <c r="S677" s="941">
        <v>0.0</v>
      </c>
      <c r="T677" s="941">
        <v>0.0</v>
      </c>
      <c r="U677" s="941">
        <v>0.0</v>
      </c>
      <c r="V677" s="941">
        <v>2.0</v>
      </c>
      <c r="W677" s="941">
        <v>0.0</v>
      </c>
      <c r="X677" s="941">
        <v>9.0</v>
      </c>
      <c r="Y677" s="941">
        <v>4.0</v>
      </c>
      <c r="Z677" s="941">
        <v>1.0</v>
      </c>
      <c r="AA677" s="941">
        <v>0.0</v>
      </c>
      <c r="AB677" s="941">
        <v>0.0</v>
      </c>
      <c r="AC677" s="941">
        <v>0.0</v>
      </c>
      <c r="AD677" s="941">
        <v>0.0</v>
      </c>
      <c r="AE677" s="941">
        <v>0.0</v>
      </c>
      <c r="AF677" s="941">
        <v>0.0</v>
      </c>
      <c r="AG677" s="941">
        <v>0.0</v>
      </c>
      <c r="AH677" s="941">
        <v>0.0</v>
      </c>
      <c r="AI677" s="941">
        <v>0.0</v>
      </c>
      <c r="AJ677" s="941">
        <v>9.0</v>
      </c>
      <c r="AK677" s="941">
        <v>7.0</v>
      </c>
      <c r="AL677" s="941">
        <v>0.0</v>
      </c>
      <c r="AM677" s="942">
        <v>1.0</v>
      </c>
    </row>
    <row r="678">
      <c r="A678" s="935" t="s">
        <v>132</v>
      </c>
      <c r="B678" s="941">
        <v>1.0</v>
      </c>
      <c r="C678" s="941">
        <v>0.0</v>
      </c>
      <c r="D678" s="941">
        <v>1.0</v>
      </c>
      <c r="E678" s="941">
        <v>0.0</v>
      </c>
      <c r="F678" s="941">
        <v>10.0</v>
      </c>
      <c r="G678" s="941">
        <v>75.0</v>
      </c>
      <c r="H678" s="941">
        <v>54.0</v>
      </c>
      <c r="I678" s="941">
        <v>21.0</v>
      </c>
      <c r="J678" s="941">
        <v>2.0</v>
      </c>
      <c r="K678" s="941">
        <v>7.0</v>
      </c>
      <c r="L678" s="941">
        <v>2.0</v>
      </c>
      <c r="M678" s="941">
        <v>1163.0</v>
      </c>
      <c r="N678" s="941">
        <v>1388.0</v>
      </c>
      <c r="O678" s="941">
        <v>21.0</v>
      </c>
      <c r="P678" s="941">
        <v>339.0</v>
      </c>
      <c r="Q678" s="941">
        <v>0.0</v>
      </c>
      <c r="R678" s="941">
        <v>2.0</v>
      </c>
      <c r="S678" s="941">
        <v>0.0</v>
      </c>
      <c r="T678" s="941">
        <v>0.0</v>
      </c>
      <c r="U678" s="941">
        <v>0.0</v>
      </c>
      <c r="V678" s="941">
        <v>0.0</v>
      </c>
      <c r="W678" s="941">
        <v>0.0</v>
      </c>
      <c r="X678" s="941">
        <v>9.0</v>
      </c>
      <c r="Y678" s="941">
        <v>1.0</v>
      </c>
      <c r="Z678" s="941">
        <v>0.0</v>
      </c>
      <c r="AA678" s="941">
        <v>0.0</v>
      </c>
      <c r="AB678" s="941">
        <v>0.0</v>
      </c>
      <c r="AC678" s="941">
        <v>0.0</v>
      </c>
      <c r="AD678" s="941">
        <v>0.0</v>
      </c>
      <c r="AE678" s="941">
        <v>0.0</v>
      </c>
      <c r="AF678" s="941">
        <v>0.0</v>
      </c>
      <c r="AG678" s="941">
        <v>0.0</v>
      </c>
      <c r="AH678" s="941">
        <v>4.0</v>
      </c>
      <c r="AI678" s="941">
        <v>0.0</v>
      </c>
      <c r="AJ678" s="941">
        <v>13.0</v>
      </c>
      <c r="AK678" s="941">
        <v>6.0</v>
      </c>
      <c r="AL678" s="941">
        <v>0.0</v>
      </c>
      <c r="AM678" s="942">
        <v>0.0</v>
      </c>
    </row>
    <row r="679">
      <c r="A679" s="935" t="s">
        <v>114</v>
      </c>
      <c r="B679" s="941">
        <v>1.0</v>
      </c>
      <c r="C679" s="941">
        <v>0.0</v>
      </c>
      <c r="D679" s="941">
        <v>1.0</v>
      </c>
      <c r="E679" s="941">
        <v>0.0</v>
      </c>
      <c r="F679" s="941">
        <v>8.0</v>
      </c>
      <c r="G679" s="941">
        <v>73.0</v>
      </c>
      <c r="H679" s="941">
        <v>79.0</v>
      </c>
      <c r="I679" s="941">
        <v>-6.0</v>
      </c>
      <c r="J679" s="941">
        <v>3.0</v>
      </c>
      <c r="K679" s="941">
        <v>8.0</v>
      </c>
      <c r="L679" s="941">
        <v>0.0</v>
      </c>
      <c r="M679" s="941">
        <v>1088.0</v>
      </c>
      <c r="N679" s="941">
        <v>1388.0</v>
      </c>
      <c r="O679" s="941">
        <v>13.0</v>
      </c>
      <c r="P679" s="941">
        <v>251.0</v>
      </c>
      <c r="Q679" s="941">
        <v>0.0</v>
      </c>
      <c r="R679" s="941">
        <v>1.0</v>
      </c>
      <c r="S679" s="941">
        <v>0.0</v>
      </c>
      <c r="T679" s="941">
        <v>0.0</v>
      </c>
      <c r="U679" s="941">
        <v>0.0</v>
      </c>
      <c r="V679" s="941">
        <v>0.0</v>
      </c>
      <c r="W679" s="941">
        <v>0.0</v>
      </c>
      <c r="X679" s="941">
        <v>10.0</v>
      </c>
      <c r="Y679" s="941">
        <v>1.0</v>
      </c>
      <c r="Z679" s="941">
        <v>0.0</v>
      </c>
      <c r="AA679" s="941">
        <v>0.0</v>
      </c>
      <c r="AB679" s="941">
        <v>0.0</v>
      </c>
      <c r="AC679" s="941">
        <v>0.0</v>
      </c>
      <c r="AD679" s="941">
        <v>0.0</v>
      </c>
      <c r="AE679" s="941">
        <v>0.0</v>
      </c>
      <c r="AF679" s="941">
        <v>0.0</v>
      </c>
      <c r="AG679" s="941">
        <v>0.0</v>
      </c>
      <c r="AH679" s="941">
        <v>1.0</v>
      </c>
      <c r="AI679" s="941">
        <v>0.0</v>
      </c>
      <c r="AJ679" s="941">
        <v>7.0</v>
      </c>
      <c r="AK679" s="941">
        <v>17.0</v>
      </c>
      <c r="AL679" s="941">
        <v>1.0</v>
      </c>
      <c r="AM679" s="942">
        <v>0.0</v>
      </c>
    </row>
    <row r="680">
      <c r="A680" s="935" t="s">
        <v>147</v>
      </c>
      <c r="B680" s="941">
        <v>1.0</v>
      </c>
      <c r="C680" s="941">
        <v>0.0</v>
      </c>
      <c r="D680" s="941">
        <v>1.0</v>
      </c>
      <c r="E680" s="941">
        <v>0.0</v>
      </c>
      <c r="F680" s="941">
        <v>0.0</v>
      </c>
      <c r="G680" s="941">
        <v>50.0</v>
      </c>
      <c r="H680" s="941">
        <v>77.0</v>
      </c>
      <c r="I680" s="941">
        <v>-27.0</v>
      </c>
      <c r="J680" s="941">
        <v>3.0</v>
      </c>
      <c r="K680" s="941">
        <v>3.0</v>
      </c>
      <c r="L680" s="941">
        <v>5.0</v>
      </c>
      <c r="M680" s="941">
        <v>1094.0</v>
      </c>
      <c r="N680" s="941">
        <v>1388.0</v>
      </c>
      <c r="O680" s="941">
        <v>14.0</v>
      </c>
      <c r="P680" s="941">
        <v>15.0</v>
      </c>
      <c r="Q680" s="941">
        <v>0.0</v>
      </c>
      <c r="R680" s="941">
        <v>0.0</v>
      </c>
      <c r="S680" s="941">
        <v>0.0</v>
      </c>
      <c r="T680" s="941">
        <v>0.0</v>
      </c>
      <c r="U680" s="941">
        <v>0.0</v>
      </c>
      <c r="V680" s="941">
        <v>0.0</v>
      </c>
      <c r="W680" s="941">
        <v>0.0</v>
      </c>
      <c r="X680" s="941">
        <v>5.0</v>
      </c>
      <c r="Y680" s="941">
        <v>0.0</v>
      </c>
      <c r="Z680" s="941">
        <v>0.0</v>
      </c>
      <c r="AA680" s="941">
        <v>0.0</v>
      </c>
      <c r="AB680" s="941">
        <v>0.0</v>
      </c>
      <c r="AC680" s="941">
        <v>0.0</v>
      </c>
      <c r="AD680" s="941">
        <v>0.0</v>
      </c>
      <c r="AE680" s="941">
        <v>0.0</v>
      </c>
      <c r="AF680" s="941">
        <v>0.0</v>
      </c>
      <c r="AG680" s="941">
        <v>0.0</v>
      </c>
      <c r="AH680" s="941">
        <v>4.0</v>
      </c>
      <c r="AI680" s="941">
        <v>0.0</v>
      </c>
      <c r="AJ680" s="941">
        <v>6.0</v>
      </c>
      <c r="AK680" s="941">
        <v>7.0</v>
      </c>
      <c r="AL680" s="941">
        <v>0.0</v>
      </c>
      <c r="AM680" s="942">
        <v>0.0</v>
      </c>
    </row>
    <row r="681">
      <c r="A681" s="943" t="s">
        <v>136</v>
      </c>
      <c r="B681" s="944">
        <v>1.0</v>
      </c>
      <c r="C681" s="944">
        <v>0.0</v>
      </c>
      <c r="D681" s="944">
        <v>1.0</v>
      </c>
      <c r="E681" s="944">
        <v>0.0</v>
      </c>
      <c r="F681" s="944">
        <v>1.0</v>
      </c>
      <c r="G681" s="944">
        <v>64.0</v>
      </c>
      <c r="H681" s="944">
        <v>108.0</v>
      </c>
      <c r="I681" s="944">
        <v>-44.0</v>
      </c>
      <c r="J681" s="944">
        <v>5.0</v>
      </c>
      <c r="K681" s="944">
        <v>3.0</v>
      </c>
      <c r="L681" s="944">
        <v>3.0</v>
      </c>
      <c r="M681" s="944">
        <v>1002.0</v>
      </c>
      <c r="N681" s="944">
        <v>1388.0</v>
      </c>
      <c r="O681" s="944">
        <v>9.0</v>
      </c>
      <c r="P681" s="944">
        <v>22.0</v>
      </c>
      <c r="Q681" s="944">
        <v>0.0</v>
      </c>
      <c r="R681" s="944">
        <v>0.0</v>
      </c>
      <c r="S681" s="944">
        <v>0.0</v>
      </c>
      <c r="T681" s="944">
        <v>0.0</v>
      </c>
      <c r="U681" s="944">
        <v>0.0</v>
      </c>
      <c r="V681" s="944">
        <v>0.0</v>
      </c>
      <c r="W681" s="944">
        <v>0.0</v>
      </c>
      <c r="X681" s="944">
        <v>11.0</v>
      </c>
      <c r="Y681" s="944">
        <v>1.0</v>
      </c>
      <c r="Z681" s="944">
        <v>0.0</v>
      </c>
      <c r="AA681" s="944">
        <v>0.0</v>
      </c>
      <c r="AB681" s="944">
        <v>0.0</v>
      </c>
      <c r="AC681" s="944">
        <v>0.0</v>
      </c>
      <c r="AD681" s="944">
        <v>0.0</v>
      </c>
      <c r="AE681" s="944">
        <v>0.0</v>
      </c>
      <c r="AF681" s="944">
        <v>0.0</v>
      </c>
      <c r="AG681" s="944">
        <v>0.0</v>
      </c>
      <c r="AH681" s="944">
        <v>2.0</v>
      </c>
      <c r="AI681" s="944">
        <v>0.0</v>
      </c>
      <c r="AJ681" s="944">
        <v>2.0</v>
      </c>
      <c r="AK681" s="944">
        <v>10.0</v>
      </c>
      <c r="AL681" s="944">
        <v>0.0</v>
      </c>
      <c r="AM681" s="945">
        <v>0.0</v>
      </c>
    </row>
    <row r="682">
      <c r="A682" s="946" t="s">
        <v>123</v>
      </c>
      <c r="B682" s="939">
        <v>1.0</v>
      </c>
      <c r="C682" s="939">
        <v>1.0</v>
      </c>
      <c r="D682" s="939">
        <v>0.0</v>
      </c>
      <c r="E682" s="939">
        <v>5.0</v>
      </c>
      <c r="F682" s="939">
        <v>20.0</v>
      </c>
      <c r="G682" s="939">
        <v>39.0</v>
      </c>
      <c r="H682" s="939">
        <v>28.0</v>
      </c>
      <c r="I682" s="939">
        <v>11.0</v>
      </c>
      <c r="J682" s="939">
        <v>0.0</v>
      </c>
      <c r="K682" s="939">
        <v>8.0</v>
      </c>
      <c r="L682" s="939">
        <v>0.0</v>
      </c>
      <c r="M682" s="939">
        <v>582.0</v>
      </c>
      <c r="N682" s="939">
        <v>773.0</v>
      </c>
      <c r="O682" s="939">
        <v>20.0</v>
      </c>
      <c r="P682" s="939">
        <v>368.0</v>
      </c>
      <c r="Q682" s="939">
        <v>0.0</v>
      </c>
      <c r="R682" s="939">
        <v>2.0</v>
      </c>
      <c r="S682" s="939">
        <v>0.0</v>
      </c>
      <c r="T682" s="939">
        <v>0.0</v>
      </c>
      <c r="U682" s="939">
        <v>0.0</v>
      </c>
      <c r="V682" s="939">
        <v>0.0</v>
      </c>
      <c r="W682" s="939">
        <v>0.0</v>
      </c>
      <c r="X682" s="939">
        <v>7.0</v>
      </c>
      <c r="Y682" s="939">
        <v>3.0</v>
      </c>
      <c r="Z682" s="939">
        <v>0.0</v>
      </c>
      <c r="AA682" s="939">
        <v>0.0</v>
      </c>
      <c r="AB682" s="939">
        <v>0.0</v>
      </c>
      <c r="AC682" s="939">
        <v>0.0</v>
      </c>
      <c r="AD682" s="939">
        <v>0.0</v>
      </c>
      <c r="AE682" s="939">
        <v>0.0</v>
      </c>
      <c r="AF682" s="939">
        <v>0.0</v>
      </c>
      <c r="AG682" s="939">
        <v>0.0</v>
      </c>
      <c r="AH682" s="939">
        <v>0.0</v>
      </c>
      <c r="AI682" s="939">
        <v>0.0</v>
      </c>
      <c r="AJ682" s="939">
        <v>8.0</v>
      </c>
      <c r="AK682" s="939">
        <v>3.0</v>
      </c>
      <c r="AL682" s="939">
        <v>1.0</v>
      </c>
      <c r="AM682" s="940">
        <v>1.0</v>
      </c>
    </row>
    <row r="683">
      <c r="A683" s="935" t="s">
        <v>145</v>
      </c>
      <c r="B683" s="941">
        <v>1.0</v>
      </c>
      <c r="C683" s="941">
        <v>1.0</v>
      </c>
      <c r="D683" s="941">
        <v>0.0</v>
      </c>
      <c r="E683" s="941">
        <v>0.0</v>
      </c>
      <c r="F683" s="941">
        <v>0.0</v>
      </c>
      <c r="G683" s="941">
        <v>43.0</v>
      </c>
      <c r="H683" s="941">
        <v>44.0</v>
      </c>
      <c r="I683" s="941">
        <v>-1.0</v>
      </c>
      <c r="J683" s="941">
        <v>9.0</v>
      </c>
      <c r="K683" s="941">
        <v>6.0</v>
      </c>
      <c r="L683" s="941">
        <v>1.0</v>
      </c>
      <c r="M683" s="941">
        <v>536.0</v>
      </c>
      <c r="N683" s="941">
        <v>773.0</v>
      </c>
      <c r="O683" s="941">
        <v>12.0</v>
      </c>
      <c r="P683" s="941">
        <v>16.0</v>
      </c>
      <c r="Q683" s="941">
        <v>0.0</v>
      </c>
      <c r="R683" s="941">
        <v>1.0</v>
      </c>
      <c r="S683" s="941">
        <v>0.0</v>
      </c>
      <c r="T683" s="941">
        <v>0.0</v>
      </c>
      <c r="U683" s="941">
        <v>0.0</v>
      </c>
      <c r="V683" s="941">
        <v>1.0</v>
      </c>
      <c r="W683" s="941">
        <v>0.0</v>
      </c>
      <c r="X683" s="941">
        <v>9.0</v>
      </c>
      <c r="Y683" s="941">
        <v>3.0</v>
      </c>
      <c r="Z683" s="941">
        <v>1.0</v>
      </c>
      <c r="AA683" s="941">
        <v>0.0</v>
      </c>
      <c r="AB683" s="941">
        <v>0.0</v>
      </c>
      <c r="AC683" s="941">
        <v>0.0</v>
      </c>
      <c r="AD683" s="941">
        <v>0.0</v>
      </c>
      <c r="AE683" s="941">
        <v>0.0</v>
      </c>
      <c r="AF683" s="941">
        <v>0.0</v>
      </c>
      <c r="AG683" s="941">
        <v>0.0</v>
      </c>
      <c r="AH683" s="941">
        <v>2.0</v>
      </c>
      <c r="AI683" s="941">
        <v>0.0</v>
      </c>
      <c r="AJ683" s="941">
        <v>5.0</v>
      </c>
      <c r="AK683" s="941">
        <v>4.0</v>
      </c>
      <c r="AL683" s="941">
        <v>1.0</v>
      </c>
      <c r="AM683" s="942">
        <v>1.0</v>
      </c>
    </row>
    <row r="684">
      <c r="A684" s="935" t="s">
        <v>156</v>
      </c>
      <c r="B684" s="941">
        <v>1.0</v>
      </c>
      <c r="C684" s="941">
        <v>1.0</v>
      </c>
      <c r="D684" s="941">
        <v>0.0</v>
      </c>
      <c r="E684" s="941">
        <v>0.0</v>
      </c>
      <c r="F684" s="941">
        <v>1.0</v>
      </c>
      <c r="G684" s="941">
        <v>47.0</v>
      </c>
      <c r="H684" s="941">
        <v>50.0</v>
      </c>
      <c r="I684" s="941">
        <v>-3.0</v>
      </c>
      <c r="J684" s="941">
        <v>1.0</v>
      </c>
      <c r="K684" s="941">
        <v>4.0</v>
      </c>
      <c r="L684" s="941">
        <v>1.0</v>
      </c>
      <c r="M684" s="941">
        <v>518.0</v>
      </c>
      <c r="N684" s="941">
        <v>773.0</v>
      </c>
      <c r="O684" s="941">
        <v>10.0</v>
      </c>
      <c r="P684" s="941">
        <v>0.0</v>
      </c>
      <c r="Q684" s="941">
        <v>0.0</v>
      </c>
      <c r="R684" s="941">
        <v>0.0</v>
      </c>
      <c r="S684" s="941">
        <v>0.0</v>
      </c>
      <c r="T684" s="941">
        <v>0.0</v>
      </c>
      <c r="U684" s="941">
        <v>0.0</v>
      </c>
      <c r="V684" s="941">
        <v>0.0</v>
      </c>
      <c r="W684" s="941">
        <v>0.0</v>
      </c>
      <c r="X684" s="941">
        <v>8.0</v>
      </c>
      <c r="Y684" s="941">
        <v>0.0</v>
      </c>
      <c r="Z684" s="941">
        <v>0.0</v>
      </c>
      <c r="AA684" s="941">
        <v>0.0</v>
      </c>
      <c r="AB684" s="941">
        <v>0.0</v>
      </c>
      <c r="AC684" s="941">
        <v>0.0</v>
      </c>
      <c r="AD684" s="941">
        <v>0.0</v>
      </c>
      <c r="AE684" s="941">
        <v>0.0</v>
      </c>
      <c r="AF684" s="941">
        <v>0.0</v>
      </c>
      <c r="AG684" s="941">
        <v>0.0</v>
      </c>
      <c r="AH684" s="941">
        <v>1.0</v>
      </c>
      <c r="AI684" s="941">
        <v>0.0</v>
      </c>
      <c r="AJ684" s="941">
        <v>5.0</v>
      </c>
      <c r="AK684" s="941">
        <v>7.0</v>
      </c>
      <c r="AL684" s="941">
        <v>0.0</v>
      </c>
      <c r="AM684" s="942">
        <v>1.0</v>
      </c>
    </row>
    <row r="685">
      <c r="A685" s="935" t="s">
        <v>419</v>
      </c>
      <c r="B685" s="941">
        <v>1.0</v>
      </c>
      <c r="C685" s="941">
        <v>1.0</v>
      </c>
      <c r="D685" s="941">
        <v>0.0</v>
      </c>
      <c r="E685" s="941">
        <v>0.0</v>
      </c>
      <c r="F685" s="941">
        <v>0.0</v>
      </c>
      <c r="G685" s="941">
        <v>43.0</v>
      </c>
      <c r="H685" s="941">
        <v>48.0</v>
      </c>
      <c r="I685" s="941">
        <v>-5.0</v>
      </c>
      <c r="J685" s="941">
        <v>3.0</v>
      </c>
      <c r="K685" s="941">
        <v>7.0</v>
      </c>
      <c r="L685" s="941">
        <v>1.0</v>
      </c>
      <c r="M685" s="941">
        <v>521.0</v>
      </c>
      <c r="N685" s="941">
        <v>773.0</v>
      </c>
      <c r="O685" s="941">
        <v>10.0</v>
      </c>
      <c r="P685" s="941">
        <v>7.0</v>
      </c>
      <c r="Q685" s="941">
        <v>0.0</v>
      </c>
      <c r="R685" s="941">
        <v>2.0</v>
      </c>
      <c r="S685" s="941">
        <v>0.0</v>
      </c>
      <c r="T685" s="941">
        <v>0.0</v>
      </c>
      <c r="U685" s="941">
        <v>0.0</v>
      </c>
      <c r="V685" s="941">
        <v>2.0</v>
      </c>
      <c r="W685" s="941">
        <v>0.0</v>
      </c>
      <c r="X685" s="941">
        <v>9.0</v>
      </c>
      <c r="Y685" s="941">
        <v>2.0</v>
      </c>
      <c r="Z685" s="941">
        <v>1.0</v>
      </c>
      <c r="AA685" s="941">
        <v>0.0</v>
      </c>
      <c r="AB685" s="941">
        <v>0.0</v>
      </c>
      <c r="AC685" s="941">
        <v>0.0</v>
      </c>
      <c r="AD685" s="941">
        <v>0.0</v>
      </c>
      <c r="AE685" s="941">
        <v>0.0</v>
      </c>
      <c r="AF685" s="941">
        <v>0.0</v>
      </c>
      <c r="AG685" s="941">
        <v>1.0</v>
      </c>
      <c r="AH685" s="941">
        <v>1.0</v>
      </c>
      <c r="AI685" s="941">
        <v>0.0</v>
      </c>
      <c r="AJ685" s="941">
        <v>2.0</v>
      </c>
      <c r="AK685" s="941">
        <v>4.0</v>
      </c>
      <c r="AL685" s="941">
        <v>1.0</v>
      </c>
      <c r="AM685" s="942">
        <v>1.0</v>
      </c>
    </row>
    <row r="686">
      <c r="A686" s="935" t="s">
        <v>132</v>
      </c>
      <c r="B686" s="941">
        <v>1.0</v>
      </c>
      <c r="C686" s="941">
        <v>0.0</v>
      </c>
      <c r="D686" s="941">
        <v>1.0</v>
      </c>
      <c r="E686" s="941">
        <v>1.0</v>
      </c>
      <c r="F686" s="941">
        <v>4.0</v>
      </c>
      <c r="G686" s="941">
        <v>46.0</v>
      </c>
      <c r="H686" s="941">
        <v>46.0</v>
      </c>
      <c r="I686" s="941">
        <v>0.0</v>
      </c>
      <c r="J686" s="941">
        <v>4.0</v>
      </c>
      <c r="K686" s="941">
        <v>5.0</v>
      </c>
      <c r="L686" s="941">
        <v>0.0</v>
      </c>
      <c r="M686" s="941">
        <v>523.0</v>
      </c>
      <c r="N686" s="941">
        <v>773.0</v>
      </c>
      <c r="O686" s="941">
        <v>11.0</v>
      </c>
      <c r="P686" s="941">
        <v>57.0</v>
      </c>
      <c r="Q686" s="941">
        <v>0.0</v>
      </c>
      <c r="R686" s="941">
        <v>1.0</v>
      </c>
      <c r="S686" s="941">
        <v>0.0</v>
      </c>
      <c r="T686" s="941">
        <v>0.0</v>
      </c>
      <c r="U686" s="941">
        <v>0.0</v>
      </c>
      <c r="V686" s="941">
        <v>0.0</v>
      </c>
      <c r="W686" s="941">
        <v>0.0</v>
      </c>
      <c r="X686" s="941">
        <v>6.0</v>
      </c>
      <c r="Y686" s="941">
        <v>1.0</v>
      </c>
      <c r="Z686" s="941">
        <v>0.0</v>
      </c>
      <c r="AA686" s="941">
        <v>0.0</v>
      </c>
      <c r="AB686" s="941">
        <v>0.0</v>
      </c>
      <c r="AC686" s="941">
        <v>0.0</v>
      </c>
      <c r="AD686" s="941">
        <v>0.0</v>
      </c>
      <c r="AE686" s="941">
        <v>0.0</v>
      </c>
      <c r="AF686" s="941">
        <v>0.0</v>
      </c>
      <c r="AG686" s="941">
        <v>0.0</v>
      </c>
      <c r="AH686" s="941">
        <v>1.0</v>
      </c>
      <c r="AI686" s="941">
        <v>0.0</v>
      </c>
      <c r="AJ686" s="941">
        <v>7.0</v>
      </c>
      <c r="AK686" s="941">
        <v>7.0</v>
      </c>
      <c r="AL686" s="941">
        <v>3.0</v>
      </c>
      <c r="AM686" s="942">
        <v>0.0</v>
      </c>
    </row>
    <row r="687">
      <c r="A687" s="935" t="s">
        <v>114</v>
      </c>
      <c r="B687" s="941">
        <v>1.0</v>
      </c>
      <c r="C687" s="941">
        <v>0.0</v>
      </c>
      <c r="D687" s="941">
        <v>1.0</v>
      </c>
      <c r="E687" s="941">
        <v>1.0</v>
      </c>
      <c r="F687" s="941">
        <v>4.0</v>
      </c>
      <c r="G687" s="941">
        <v>37.0</v>
      </c>
      <c r="H687" s="941">
        <v>40.0</v>
      </c>
      <c r="I687" s="941">
        <v>-3.0</v>
      </c>
      <c r="J687" s="941">
        <v>1.0</v>
      </c>
      <c r="K687" s="941">
        <v>7.0</v>
      </c>
      <c r="L687" s="941">
        <v>0.0</v>
      </c>
      <c r="M687" s="941">
        <v>546.0</v>
      </c>
      <c r="N687" s="941">
        <v>773.0</v>
      </c>
      <c r="O687" s="941">
        <v>13.0</v>
      </c>
      <c r="P687" s="941">
        <v>116.0</v>
      </c>
      <c r="Q687" s="941">
        <v>0.0</v>
      </c>
      <c r="R687" s="941">
        <v>1.0</v>
      </c>
      <c r="S687" s="941">
        <v>0.0</v>
      </c>
      <c r="T687" s="941">
        <v>0.0</v>
      </c>
      <c r="U687" s="941">
        <v>0.0</v>
      </c>
      <c r="V687" s="941">
        <v>1.0</v>
      </c>
      <c r="W687" s="941">
        <v>0.0</v>
      </c>
      <c r="X687" s="941">
        <v>4.0</v>
      </c>
      <c r="Y687" s="941">
        <v>1.0</v>
      </c>
      <c r="Z687" s="941">
        <v>1.0</v>
      </c>
      <c r="AA687" s="941">
        <v>1.0</v>
      </c>
      <c r="AB687" s="941">
        <v>1.0</v>
      </c>
      <c r="AC687" s="941">
        <v>1.0</v>
      </c>
      <c r="AD687" s="941">
        <v>0.0</v>
      </c>
      <c r="AE687" s="941">
        <v>0.0</v>
      </c>
      <c r="AF687" s="941">
        <v>0.0</v>
      </c>
      <c r="AG687" s="941">
        <v>0.0</v>
      </c>
      <c r="AH687" s="941">
        <v>3.0</v>
      </c>
      <c r="AI687" s="941">
        <v>0.0</v>
      </c>
      <c r="AJ687" s="941">
        <v>2.0</v>
      </c>
      <c r="AK687" s="941">
        <v>5.0</v>
      </c>
      <c r="AL687" s="941">
        <v>0.0</v>
      </c>
      <c r="AM687" s="942">
        <v>0.0</v>
      </c>
    </row>
    <row r="688">
      <c r="A688" s="935" t="s">
        <v>136</v>
      </c>
      <c r="B688" s="941">
        <v>1.0</v>
      </c>
      <c r="C688" s="941">
        <v>0.0</v>
      </c>
      <c r="D688" s="941">
        <v>1.0</v>
      </c>
      <c r="E688" s="941">
        <v>1.0</v>
      </c>
      <c r="F688" s="941">
        <v>0.0</v>
      </c>
      <c r="G688" s="941">
        <v>46.0</v>
      </c>
      <c r="H688" s="941">
        <v>52.0</v>
      </c>
      <c r="I688" s="941">
        <v>-6.0</v>
      </c>
      <c r="J688" s="941">
        <v>1.0</v>
      </c>
      <c r="K688" s="941">
        <v>3.0</v>
      </c>
      <c r="L688" s="941">
        <v>1.0</v>
      </c>
      <c r="M688" s="941">
        <v>507.0</v>
      </c>
      <c r="N688" s="941">
        <v>773.0</v>
      </c>
      <c r="O688" s="941">
        <v>9.0</v>
      </c>
      <c r="P688" s="941">
        <v>7.0</v>
      </c>
      <c r="Q688" s="941">
        <v>0.0</v>
      </c>
      <c r="R688" s="941">
        <v>0.0</v>
      </c>
      <c r="S688" s="941">
        <v>0.0</v>
      </c>
      <c r="T688" s="941">
        <v>0.0</v>
      </c>
      <c r="U688" s="941">
        <v>0.0</v>
      </c>
      <c r="V688" s="941">
        <v>0.0</v>
      </c>
      <c r="W688" s="941">
        <v>0.0</v>
      </c>
      <c r="X688" s="941">
        <v>6.0</v>
      </c>
      <c r="Y688" s="941">
        <v>1.0</v>
      </c>
      <c r="Z688" s="941">
        <v>0.0</v>
      </c>
      <c r="AA688" s="941">
        <v>0.0</v>
      </c>
      <c r="AB688" s="941">
        <v>0.0</v>
      </c>
      <c r="AC688" s="941">
        <v>0.0</v>
      </c>
      <c r="AD688" s="941">
        <v>0.0</v>
      </c>
      <c r="AE688" s="941">
        <v>0.0</v>
      </c>
      <c r="AF688" s="941">
        <v>0.0</v>
      </c>
      <c r="AG688" s="941">
        <v>0.0</v>
      </c>
      <c r="AH688" s="941">
        <v>1.0</v>
      </c>
      <c r="AI688" s="941">
        <v>0.0</v>
      </c>
      <c r="AJ688" s="941">
        <v>4.0</v>
      </c>
      <c r="AK688" s="941">
        <v>8.0</v>
      </c>
      <c r="AL688" s="941">
        <v>1.0</v>
      </c>
      <c r="AM688" s="942">
        <v>0.0</v>
      </c>
    </row>
    <row r="689">
      <c r="A689" s="943" t="s">
        <v>147</v>
      </c>
      <c r="B689" s="944">
        <v>1.0</v>
      </c>
      <c r="C689" s="944">
        <v>0.0</v>
      </c>
      <c r="D689" s="944">
        <v>1.0</v>
      </c>
      <c r="E689" s="944">
        <v>0.0</v>
      </c>
      <c r="F689" s="944">
        <v>0.0</v>
      </c>
      <c r="G689" s="944">
        <v>25.0</v>
      </c>
      <c r="H689" s="944">
        <v>42.0</v>
      </c>
      <c r="I689" s="944">
        <v>-17.0</v>
      </c>
      <c r="J689" s="944">
        <v>9.0</v>
      </c>
      <c r="K689" s="944">
        <v>3.0</v>
      </c>
      <c r="L689" s="944">
        <v>2.0</v>
      </c>
      <c r="M689" s="944">
        <v>535.0</v>
      </c>
      <c r="N689" s="944">
        <v>773.0</v>
      </c>
      <c r="O689" s="944">
        <v>12.0</v>
      </c>
      <c r="P689" s="944">
        <v>0.0</v>
      </c>
      <c r="Q689" s="944">
        <v>0.0</v>
      </c>
      <c r="R689" s="944">
        <v>0.0</v>
      </c>
      <c r="S689" s="944">
        <v>0.0</v>
      </c>
      <c r="T689" s="944">
        <v>0.0</v>
      </c>
      <c r="U689" s="944">
        <v>0.0</v>
      </c>
      <c r="V689" s="944">
        <v>0.0</v>
      </c>
      <c r="W689" s="944">
        <v>0.0</v>
      </c>
      <c r="X689" s="944">
        <v>4.0</v>
      </c>
      <c r="Y689" s="944">
        <v>0.0</v>
      </c>
      <c r="Z689" s="944">
        <v>0.0</v>
      </c>
      <c r="AA689" s="944">
        <v>0.0</v>
      </c>
      <c r="AB689" s="944">
        <v>0.0</v>
      </c>
      <c r="AC689" s="944">
        <v>0.0</v>
      </c>
      <c r="AD689" s="944">
        <v>0.0</v>
      </c>
      <c r="AE689" s="944">
        <v>0.0</v>
      </c>
      <c r="AF689" s="944">
        <v>0.0</v>
      </c>
      <c r="AG689" s="944">
        <v>0.0</v>
      </c>
      <c r="AH689" s="944">
        <v>2.0</v>
      </c>
      <c r="AI689" s="944">
        <v>0.0</v>
      </c>
      <c r="AJ689" s="944">
        <v>2.0</v>
      </c>
      <c r="AK689" s="944">
        <v>4.0</v>
      </c>
      <c r="AL689" s="944">
        <v>1.0</v>
      </c>
      <c r="AM689" s="945">
        <v>0.0</v>
      </c>
    </row>
    <row r="690">
      <c r="A690" s="946" t="s">
        <v>123</v>
      </c>
      <c r="B690" s="939">
        <v>1.0</v>
      </c>
      <c r="C690" s="939">
        <v>1.0</v>
      </c>
      <c r="D690" s="939">
        <v>0.0</v>
      </c>
      <c r="E690" s="939">
        <v>4.0</v>
      </c>
      <c r="F690" s="939">
        <v>16.0</v>
      </c>
      <c r="G690" s="939">
        <v>40.0</v>
      </c>
      <c r="H690" s="939">
        <v>35.0</v>
      </c>
      <c r="I690" s="939">
        <v>5.0</v>
      </c>
      <c r="J690" s="939">
        <v>1.0</v>
      </c>
      <c r="K690" s="939">
        <v>4.0</v>
      </c>
      <c r="L690" s="939">
        <v>0.0</v>
      </c>
      <c r="M690" s="939">
        <v>794.0</v>
      </c>
      <c r="N690" s="939">
        <v>991.0</v>
      </c>
      <c r="O690" s="939">
        <v>22.0</v>
      </c>
      <c r="P690" s="939">
        <v>450.0</v>
      </c>
      <c r="Q690" s="939">
        <v>0.0</v>
      </c>
      <c r="R690" s="939">
        <v>0.0</v>
      </c>
      <c r="S690" s="939">
        <v>0.0</v>
      </c>
      <c r="T690" s="939">
        <v>0.0</v>
      </c>
      <c r="U690" s="939">
        <v>0.0</v>
      </c>
      <c r="V690" s="939">
        <v>0.0</v>
      </c>
      <c r="W690" s="939">
        <v>0.0</v>
      </c>
      <c r="X690" s="939">
        <v>4.0</v>
      </c>
      <c r="Y690" s="939">
        <v>2.0</v>
      </c>
      <c r="Z690" s="939">
        <v>0.0</v>
      </c>
      <c r="AA690" s="939">
        <v>0.0</v>
      </c>
      <c r="AB690" s="939">
        <v>0.0</v>
      </c>
      <c r="AC690" s="939">
        <v>0.0</v>
      </c>
      <c r="AD690" s="939">
        <v>0.0</v>
      </c>
      <c r="AE690" s="939">
        <v>0.0</v>
      </c>
      <c r="AF690" s="939">
        <v>0.0</v>
      </c>
      <c r="AG690" s="939">
        <v>0.0</v>
      </c>
      <c r="AH690" s="939">
        <v>1.0</v>
      </c>
      <c r="AI690" s="939">
        <v>0.0</v>
      </c>
      <c r="AJ690" s="939">
        <v>8.0</v>
      </c>
      <c r="AK690" s="939">
        <v>1.0</v>
      </c>
      <c r="AL690" s="939">
        <v>1.0</v>
      </c>
      <c r="AM690" s="940">
        <v>1.0</v>
      </c>
    </row>
    <row r="691">
      <c r="A691" s="935" t="s">
        <v>419</v>
      </c>
      <c r="B691" s="941">
        <v>1.0</v>
      </c>
      <c r="C691" s="941">
        <v>1.0</v>
      </c>
      <c r="D691" s="941">
        <v>0.0</v>
      </c>
      <c r="E691" s="941">
        <v>1.0</v>
      </c>
      <c r="F691" s="941">
        <v>1.0</v>
      </c>
      <c r="G691" s="941">
        <v>54.0</v>
      </c>
      <c r="H691" s="941">
        <v>68.0</v>
      </c>
      <c r="I691" s="941">
        <v>-14.0</v>
      </c>
      <c r="J691" s="941">
        <v>5.0</v>
      </c>
      <c r="K691" s="941">
        <v>4.0</v>
      </c>
      <c r="L691" s="941">
        <v>1.0</v>
      </c>
      <c r="M691" s="941">
        <v>696.0</v>
      </c>
      <c r="N691" s="941">
        <v>991.0</v>
      </c>
      <c r="O691" s="941">
        <v>10.0</v>
      </c>
      <c r="P691" s="941">
        <v>0.0</v>
      </c>
      <c r="Q691" s="941">
        <v>0.0</v>
      </c>
      <c r="R691" s="941">
        <v>0.0</v>
      </c>
      <c r="S691" s="941">
        <v>0.0</v>
      </c>
      <c r="T691" s="941">
        <v>0.0</v>
      </c>
      <c r="U691" s="941">
        <v>0.0</v>
      </c>
      <c r="V691" s="941">
        <v>0.0</v>
      </c>
      <c r="W691" s="941">
        <v>0.0</v>
      </c>
      <c r="X691" s="941">
        <v>8.0</v>
      </c>
      <c r="Y691" s="941">
        <v>0.0</v>
      </c>
      <c r="Z691" s="941">
        <v>0.0</v>
      </c>
      <c r="AA691" s="941">
        <v>0.0</v>
      </c>
      <c r="AB691" s="941">
        <v>0.0</v>
      </c>
      <c r="AC691" s="941">
        <v>0.0</v>
      </c>
      <c r="AD691" s="941">
        <v>0.0</v>
      </c>
      <c r="AE691" s="941">
        <v>0.0</v>
      </c>
      <c r="AF691" s="941">
        <v>0.0</v>
      </c>
      <c r="AG691" s="941">
        <v>0.0</v>
      </c>
      <c r="AH691" s="941">
        <v>2.0</v>
      </c>
      <c r="AI691" s="941">
        <v>0.0</v>
      </c>
      <c r="AJ691" s="941">
        <v>2.0</v>
      </c>
      <c r="AK691" s="941">
        <v>7.0</v>
      </c>
      <c r="AL691" s="941">
        <v>0.0</v>
      </c>
      <c r="AM691" s="942">
        <v>1.0</v>
      </c>
    </row>
    <row r="692">
      <c r="A692" s="935" t="s">
        <v>145</v>
      </c>
      <c r="B692" s="941">
        <v>1.0</v>
      </c>
      <c r="C692" s="941">
        <v>1.0</v>
      </c>
      <c r="D692" s="941">
        <v>0.0</v>
      </c>
      <c r="E692" s="941">
        <v>0.0</v>
      </c>
      <c r="F692" s="941">
        <v>0.0</v>
      </c>
      <c r="G692" s="941">
        <v>66.0</v>
      </c>
      <c r="H692" s="941">
        <v>66.0</v>
      </c>
      <c r="I692" s="941">
        <v>0.0</v>
      </c>
      <c r="J692" s="941">
        <v>4.0</v>
      </c>
      <c r="K692" s="941">
        <v>3.0</v>
      </c>
      <c r="L692" s="941">
        <v>1.0</v>
      </c>
      <c r="M692" s="941">
        <v>700.0</v>
      </c>
      <c r="N692" s="941">
        <v>991.0</v>
      </c>
      <c r="O692" s="941">
        <v>10.0</v>
      </c>
      <c r="P692" s="941">
        <v>6.0</v>
      </c>
      <c r="Q692" s="941">
        <v>0.0</v>
      </c>
      <c r="R692" s="941">
        <v>0.0</v>
      </c>
      <c r="S692" s="941">
        <v>0.0</v>
      </c>
      <c r="T692" s="941">
        <v>0.0</v>
      </c>
      <c r="U692" s="941">
        <v>0.0</v>
      </c>
      <c r="V692" s="941">
        <v>0.0</v>
      </c>
      <c r="W692" s="941">
        <v>0.0</v>
      </c>
      <c r="X692" s="941">
        <v>12.0</v>
      </c>
      <c r="Y692" s="941">
        <v>1.0</v>
      </c>
      <c r="Z692" s="941">
        <v>0.0</v>
      </c>
      <c r="AA692" s="941">
        <v>0.0</v>
      </c>
      <c r="AB692" s="941">
        <v>0.0</v>
      </c>
      <c r="AC692" s="941">
        <v>0.0</v>
      </c>
      <c r="AD692" s="941">
        <v>0.0</v>
      </c>
      <c r="AE692" s="941">
        <v>0.0</v>
      </c>
      <c r="AF692" s="941">
        <v>0.0</v>
      </c>
      <c r="AG692" s="941">
        <v>0.0</v>
      </c>
      <c r="AH692" s="941">
        <v>2.0</v>
      </c>
      <c r="AI692" s="941">
        <v>0.0</v>
      </c>
      <c r="AJ692" s="941">
        <v>10.0</v>
      </c>
      <c r="AK692" s="941">
        <v>12.0</v>
      </c>
      <c r="AL692" s="941">
        <v>1.0</v>
      </c>
      <c r="AM692" s="942">
        <v>1.0</v>
      </c>
    </row>
    <row r="693">
      <c r="A693" s="935" t="s">
        <v>156</v>
      </c>
      <c r="B693" s="941">
        <v>1.0</v>
      </c>
      <c r="C693" s="941">
        <v>1.0</v>
      </c>
      <c r="D693" s="941">
        <v>0.0</v>
      </c>
      <c r="E693" s="941">
        <v>0.0</v>
      </c>
      <c r="F693" s="941">
        <v>0.0</v>
      </c>
      <c r="G693" s="941">
        <v>53.0</v>
      </c>
      <c r="H693" s="941">
        <v>66.0</v>
      </c>
      <c r="I693" s="941">
        <v>-13.0</v>
      </c>
      <c r="J693" s="941">
        <v>2.0</v>
      </c>
      <c r="K693" s="941">
        <v>3.0</v>
      </c>
      <c r="L693" s="941">
        <v>0.0</v>
      </c>
      <c r="M693" s="941">
        <v>699.0</v>
      </c>
      <c r="N693" s="941">
        <v>991.0</v>
      </c>
      <c r="O693" s="941">
        <v>10.0</v>
      </c>
      <c r="P693" s="941">
        <v>29.0</v>
      </c>
      <c r="Q693" s="941">
        <v>0.0</v>
      </c>
      <c r="R693" s="941">
        <v>0.0</v>
      </c>
      <c r="S693" s="941">
        <v>0.0</v>
      </c>
      <c r="T693" s="941">
        <v>0.0</v>
      </c>
      <c r="U693" s="941">
        <v>0.0</v>
      </c>
      <c r="V693" s="941">
        <v>0.0</v>
      </c>
      <c r="W693" s="941">
        <v>0.0</v>
      </c>
      <c r="X693" s="941">
        <v>6.0</v>
      </c>
      <c r="Y693" s="941">
        <v>1.0</v>
      </c>
      <c r="Z693" s="941">
        <v>0.0</v>
      </c>
      <c r="AA693" s="941">
        <v>0.0</v>
      </c>
      <c r="AB693" s="941">
        <v>0.0</v>
      </c>
      <c r="AC693" s="941">
        <v>0.0</v>
      </c>
      <c r="AD693" s="941">
        <v>0.0</v>
      </c>
      <c r="AE693" s="941">
        <v>0.0</v>
      </c>
      <c r="AF693" s="941">
        <v>0.0</v>
      </c>
      <c r="AG693" s="941">
        <v>0.0</v>
      </c>
      <c r="AH693" s="941">
        <v>0.0</v>
      </c>
      <c r="AI693" s="941">
        <v>0.0</v>
      </c>
      <c r="AJ693" s="941">
        <v>10.0</v>
      </c>
      <c r="AK693" s="941">
        <v>5.0</v>
      </c>
      <c r="AL693" s="941">
        <v>1.0</v>
      </c>
      <c r="AM693" s="942">
        <v>1.0</v>
      </c>
    </row>
    <row r="694">
      <c r="A694" s="935" t="s">
        <v>114</v>
      </c>
      <c r="B694" s="941">
        <v>1.0</v>
      </c>
      <c r="C694" s="941">
        <v>0.0</v>
      </c>
      <c r="D694" s="941">
        <v>1.0</v>
      </c>
      <c r="E694" s="941">
        <v>1.0</v>
      </c>
      <c r="F694" s="941">
        <v>7.0</v>
      </c>
      <c r="G694" s="941">
        <v>53.0</v>
      </c>
      <c r="H694" s="941">
        <v>40.0</v>
      </c>
      <c r="I694" s="941">
        <v>13.0</v>
      </c>
      <c r="J694" s="941">
        <v>0.0</v>
      </c>
      <c r="K694" s="941">
        <v>6.0</v>
      </c>
      <c r="L694" s="941">
        <v>0.0</v>
      </c>
      <c r="M694" s="941">
        <v>779.0</v>
      </c>
      <c r="N694" s="941">
        <v>991.0</v>
      </c>
      <c r="O694" s="941">
        <v>19.0</v>
      </c>
      <c r="P694" s="941">
        <v>234.0</v>
      </c>
      <c r="Q694" s="941">
        <v>0.0</v>
      </c>
      <c r="R694" s="941">
        <v>1.0</v>
      </c>
      <c r="S694" s="941">
        <v>0.0</v>
      </c>
      <c r="T694" s="941">
        <v>0.0</v>
      </c>
      <c r="U694" s="941">
        <v>0.0</v>
      </c>
      <c r="V694" s="941">
        <v>1.0</v>
      </c>
      <c r="W694" s="941">
        <v>0.0</v>
      </c>
      <c r="X694" s="941">
        <v>8.0</v>
      </c>
      <c r="Y694" s="941">
        <v>0.0</v>
      </c>
      <c r="Z694" s="941">
        <v>0.0</v>
      </c>
      <c r="AA694" s="941">
        <v>0.0</v>
      </c>
      <c r="AB694" s="941">
        <v>0.0</v>
      </c>
      <c r="AC694" s="941">
        <v>0.0</v>
      </c>
      <c r="AD694" s="941">
        <v>0.0</v>
      </c>
      <c r="AE694" s="941">
        <v>0.0</v>
      </c>
      <c r="AF694" s="941">
        <v>0.0</v>
      </c>
      <c r="AG694" s="941">
        <v>0.0</v>
      </c>
      <c r="AH694" s="941">
        <v>1.0</v>
      </c>
      <c r="AI694" s="941">
        <v>0.0</v>
      </c>
      <c r="AJ694" s="941">
        <v>7.0</v>
      </c>
      <c r="AK694" s="941">
        <v>7.0</v>
      </c>
      <c r="AL694" s="941">
        <v>0.0</v>
      </c>
      <c r="AM694" s="942">
        <v>0.0</v>
      </c>
    </row>
    <row r="695">
      <c r="A695" s="935" t="s">
        <v>132</v>
      </c>
      <c r="B695" s="941">
        <v>1.0</v>
      </c>
      <c r="C695" s="941">
        <v>0.0</v>
      </c>
      <c r="D695" s="941">
        <v>1.0</v>
      </c>
      <c r="E695" s="941">
        <v>1.0</v>
      </c>
      <c r="F695" s="941">
        <v>5.0</v>
      </c>
      <c r="G695" s="941">
        <v>63.0</v>
      </c>
      <c r="H695" s="941">
        <v>59.0</v>
      </c>
      <c r="I695" s="941">
        <v>4.0</v>
      </c>
      <c r="J695" s="941">
        <v>7.0</v>
      </c>
      <c r="K695" s="941">
        <v>5.0</v>
      </c>
      <c r="L695" s="941">
        <v>1.0</v>
      </c>
      <c r="M695" s="941">
        <v>721.0</v>
      </c>
      <c r="N695" s="941">
        <v>991.0</v>
      </c>
      <c r="O695" s="941">
        <v>12.0</v>
      </c>
      <c r="P695" s="941">
        <v>74.0</v>
      </c>
      <c r="Q695" s="941">
        <v>0.0</v>
      </c>
      <c r="R695" s="941">
        <v>1.0</v>
      </c>
      <c r="S695" s="941">
        <v>0.0</v>
      </c>
      <c r="T695" s="941">
        <v>0.0</v>
      </c>
      <c r="U695" s="941">
        <v>0.0</v>
      </c>
      <c r="V695" s="941">
        <v>1.0</v>
      </c>
      <c r="W695" s="941">
        <v>0.0</v>
      </c>
      <c r="X695" s="941">
        <v>10.0</v>
      </c>
      <c r="Y695" s="941">
        <v>3.0</v>
      </c>
      <c r="Z695" s="941">
        <v>1.0</v>
      </c>
      <c r="AA695" s="941">
        <v>0.0</v>
      </c>
      <c r="AB695" s="941">
        <v>0.0</v>
      </c>
      <c r="AC695" s="941">
        <v>0.0</v>
      </c>
      <c r="AD695" s="941">
        <v>0.0</v>
      </c>
      <c r="AE695" s="941">
        <v>0.0</v>
      </c>
      <c r="AF695" s="941">
        <v>0.0</v>
      </c>
      <c r="AG695" s="941">
        <v>0.0</v>
      </c>
      <c r="AH695" s="941">
        <v>1.0</v>
      </c>
      <c r="AI695" s="941">
        <v>0.0</v>
      </c>
      <c r="AJ695" s="941">
        <v>10.0</v>
      </c>
      <c r="AK695" s="941">
        <v>5.0</v>
      </c>
      <c r="AL695" s="941">
        <v>0.0</v>
      </c>
      <c r="AM695" s="942">
        <v>0.0</v>
      </c>
    </row>
    <row r="696">
      <c r="A696" s="935" t="s">
        <v>147</v>
      </c>
      <c r="B696" s="941">
        <v>1.0</v>
      </c>
      <c r="C696" s="941">
        <v>0.0</v>
      </c>
      <c r="D696" s="941">
        <v>1.0</v>
      </c>
      <c r="E696" s="941">
        <v>0.0</v>
      </c>
      <c r="F696" s="941">
        <v>0.0</v>
      </c>
      <c r="G696" s="941">
        <v>47.0</v>
      </c>
      <c r="H696" s="941">
        <v>61.0</v>
      </c>
      <c r="I696" s="941">
        <v>-14.0</v>
      </c>
      <c r="J696" s="941">
        <v>2.0</v>
      </c>
      <c r="K696" s="941">
        <v>3.0</v>
      </c>
      <c r="L696" s="941">
        <v>1.0</v>
      </c>
      <c r="M696" s="941">
        <v>716.0</v>
      </c>
      <c r="N696" s="941">
        <v>991.0</v>
      </c>
      <c r="O696" s="941">
        <v>11.0</v>
      </c>
      <c r="P696" s="941">
        <v>4.0</v>
      </c>
      <c r="Q696" s="941">
        <v>0.0</v>
      </c>
      <c r="R696" s="941">
        <v>0.0</v>
      </c>
      <c r="S696" s="941">
        <v>0.0</v>
      </c>
      <c r="T696" s="941">
        <v>0.0</v>
      </c>
      <c r="U696" s="941">
        <v>0.0</v>
      </c>
      <c r="V696" s="941">
        <v>0.0</v>
      </c>
      <c r="W696" s="941">
        <v>0.0</v>
      </c>
      <c r="X696" s="941">
        <v>4.0</v>
      </c>
      <c r="Y696" s="941">
        <v>0.0</v>
      </c>
      <c r="Z696" s="941">
        <v>0.0</v>
      </c>
      <c r="AA696" s="941">
        <v>0.0</v>
      </c>
      <c r="AB696" s="941">
        <v>0.0</v>
      </c>
      <c r="AC696" s="941">
        <v>0.0</v>
      </c>
      <c r="AD696" s="941">
        <v>0.0</v>
      </c>
      <c r="AE696" s="941">
        <v>0.0</v>
      </c>
      <c r="AF696" s="941">
        <v>0.0</v>
      </c>
      <c r="AG696" s="941">
        <v>0.0</v>
      </c>
      <c r="AH696" s="941">
        <v>4.0</v>
      </c>
      <c r="AI696" s="941">
        <v>0.0</v>
      </c>
      <c r="AJ696" s="941">
        <v>4.0</v>
      </c>
      <c r="AK696" s="941">
        <v>7.0</v>
      </c>
      <c r="AL696" s="941">
        <v>3.0</v>
      </c>
      <c r="AM696" s="942">
        <v>0.0</v>
      </c>
    </row>
    <row r="697">
      <c r="A697" s="943" t="s">
        <v>136</v>
      </c>
      <c r="B697" s="944">
        <v>1.0</v>
      </c>
      <c r="C697" s="944">
        <v>0.0</v>
      </c>
      <c r="D697" s="944">
        <v>1.0</v>
      </c>
      <c r="E697" s="944">
        <v>0.0</v>
      </c>
      <c r="F697" s="944">
        <v>0.0</v>
      </c>
      <c r="G697" s="944">
        <v>62.0</v>
      </c>
      <c r="H697" s="944">
        <v>65.0</v>
      </c>
      <c r="I697" s="944">
        <v>-3.0</v>
      </c>
      <c r="J697" s="944">
        <v>2.0</v>
      </c>
      <c r="K697" s="944">
        <v>3.0</v>
      </c>
      <c r="L697" s="944">
        <v>0.0</v>
      </c>
      <c r="M697" s="944">
        <v>704.0</v>
      </c>
      <c r="N697" s="944">
        <v>991.0</v>
      </c>
      <c r="O697" s="944">
        <v>10.0</v>
      </c>
      <c r="P697" s="944">
        <v>5.0</v>
      </c>
      <c r="Q697" s="944">
        <v>0.0</v>
      </c>
      <c r="R697" s="944">
        <v>0.0</v>
      </c>
      <c r="S697" s="944">
        <v>0.0</v>
      </c>
      <c r="T697" s="944">
        <v>0.0</v>
      </c>
      <c r="U697" s="944">
        <v>0.0</v>
      </c>
      <c r="V697" s="944">
        <v>0.0</v>
      </c>
      <c r="W697" s="944">
        <v>0.0</v>
      </c>
      <c r="X697" s="944">
        <v>13.0</v>
      </c>
      <c r="Y697" s="944">
        <v>1.0</v>
      </c>
      <c r="Z697" s="944">
        <v>0.0</v>
      </c>
      <c r="AA697" s="944">
        <v>0.0</v>
      </c>
      <c r="AB697" s="944">
        <v>0.0</v>
      </c>
      <c r="AC697" s="944">
        <v>0.0</v>
      </c>
      <c r="AD697" s="944">
        <v>0.0</v>
      </c>
      <c r="AE697" s="944">
        <v>0.0</v>
      </c>
      <c r="AF697" s="944">
        <v>0.0</v>
      </c>
      <c r="AG697" s="944">
        <v>0.0</v>
      </c>
      <c r="AH697" s="944">
        <v>3.0</v>
      </c>
      <c r="AI697" s="944">
        <v>0.0</v>
      </c>
      <c r="AJ697" s="944">
        <v>8.0</v>
      </c>
      <c r="AK697" s="944">
        <v>8.0</v>
      </c>
      <c r="AL697" s="944">
        <v>1.0</v>
      </c>
      <c r="AM697" s="945">
        <v>0.0</v>
      </c>
    </row>
    <row r="698">
      <c r="A698" s="1" t="s">
        <v>419</v>
      </c>
      <c r="B698" s="941">
        <v>1.0</v>
      </c>
      <c r="C698" s="941">
        <v>1.0</v>
      </c>
      <c r="D698" s="941">
        <v>0.0</v>
      </c>
      <c r="E698" s="941">
        <v>2.0</v>
      </c>
      <c r="F698" s="941">
        <v>2.0</v>
      </c>
      <c r="G698" s="941">
        <v>200.0</v>
      </c>
      <c r="H698" s="941">
        <v>166.0</v>
      </c>
      <c r="I698" s="941">
        <v>34.0</v>
      </c>
      <c r="J698" s="941">
        <v>3.0</v>
      </c>
      <c r="K698" s="941">
        <v>8.0</v>
      </c>
      <c r="L698" s="941">
        <v>2.0</v>
      </c>
      <c r="M698" s="941">
        <v>2132.0</v>
      </c>
      <c r="N698" s="941">
        <v>2740.0</v>
      </c>
      <c r="O698" s="941">
        <v>12.0</v>
      </c>
      <c r="P698" s="941">
        <v>78.0</v>
      </c>
      <c r="Q698" s="941">
        <v>0.0</v>
      </c>
      <c r="R698" s="941">
        <v>6.0</v>
      </c>
      <c r="S698" s="941">
        <v>0.0</v>
      </c>
      <c r="T698" s="941">
        <v>0.0</v>
      </c>
      <c r="U698" s="941">
        <v>0.0</v>
      </c>
      <c r="V698" s="941">
        <v>6.0</v>
      </c>
      <c r="W698" s="941">
        <v>0.0</v>
      </c>
      <c r="X698" s="941">
        <v>37.0</v>
      </c>
      <c r="Y698" s="941">
        <v>5.0</v>
      </c>
      <c r="Z698" s="941">
        <v>2.0</v>
      </c>
      <c r="AA698" s="941">
        <v>1.0</v>
      </c>
      <c r="AB698" s="941">
        <v>0.0</v>
      </c>
      <c r="AC698" s="941">
        <v>0.0</v>
      </c>
      <c r="AD698" s="941">
        <v>0.0</v>
      </c>
      <c r="AE698" s="941">
        <v>0.0</v>
      </c>
      <c r="AF698" s="941">
        <v>0.0</v>
      </c>
      <c r="AG698" s="941">
        <v>0.0</v>
      </c>
      <c r="AH698" s="941">
        <v>4.0</v>
      </c>
      <c r="AI698" s="941">
        <v>0.0</v>
      </c>
      <c r="AJ698" s="941">
        <v>21.0</v>
      </c>
      <c r="AK698" s="941">
        <v>20.0</v>
      </c>
      <c r="AL698" s="941">
        <v>2.0</v>
      </c>
      <c r="AM698" s="941">
        <v>1.0</v>
      </c>
    </row>
    <row r="699">
      <c r="A699" s="1" t="s">
        <v>123</v>
      </c>
      <c r="B699" s="941">
        <v>1.0</v>
      </c>
      <c r="C699" s="941">
        <v>1.0</v>
      </c>
      <c r="D699" s="941">
        <v>0.0</v>
      </c>
      <c r="E699" s="941">
        <v>2.0</v>
      </c>
      <c r="F699" s="941">
        <v>19.0</v>
      </c>
      <c r="G699" s="941">
        <v>102.0</v>
      </c>
      <c r="H699" s="941">
        <v>108.0</v>
      </c>
      <c r="I699" s="941">
        <v>-6.0</v>
      </c>
      <c r="J699" s="941">
        <v>5.0</v>
      </c>
      <c r="K699" s="941">
        <v>6.0</v>
      </c>
      <c r="L699" s="941">
        <v>1.0</v>
      </c>
      <c r="M699" s="941">
        <v>2306.0</v>
      </c>
      <c r="N699" s="941">
        <v>2740.0</v>
      </c>
      <c r="O699" s="941">
        <v>21.0</v>
      </c>
      <c r="P699" s="941">
        <v>1123.0</v>
      </c>
      <c r="Q699" s="941">
        <v>0.0</v>
      </c>
      <c r="R699" s="941">
        <v>2.0</v>
      </c>
      <c r="S699" s="941">
        <v>0.0</v>
      </c>
      <c r="T699" s="941">
        <v>0.0</v>
      </c>
      <c r="U699" s="941">
        <v>0.0</v>
      </c>
      <c r="V699" s="941">
        <v>0.0</v>
      </c>
      <c r="W699" s="941">
        <v>0.0</v>
      </c>
      <c r="X699" s="941">
        <v>9.0</v>
      </c>
      <c r="Y699" s="941">
        <v>1.0</v>
      </c>
      <c r="Z699" s="941">
        <v>1.0</v>
      </c>
      <c r="AA699" s="941">
        <v>0.0</v>
      </c>
      <c r="AB699" s="941">
        <v>0.0</v>
      </c>
      <c r="AC699" s="941">
        <v>0.0</v>
      </c>
      <c r="AD699" s="941">
        <v>0.0</v>
      </c>
      <c r="AE699" s="941">
        <v>0.0</v>
      </c>
      <c r="AF699" s="941">
        <v>0.0</v>
      </c>
      <c r="AG699" s="941">
        <v>0.0</v>
      </c>
      <c r="AH699" s="941">
        <v>2.0</v>
      </c>
      <c r="AI699" s="941">
        <v>0.0</v>
      </c>
      <c r="AJ699" s="941">
        <v>12.0</v>
      </c>
      <c r="AK699" s="941">
        <v>14.0</v>
      </c>
      <c r="AL699" s="941">
        <v>0.0</v>
      </c>
      <c r="AM699" s="941">
        <v>1.0</v>
      </c>
    </row>
    <row r="700">
      <c r="A700" s="1" t="s">
        <v>145</v>
      </c>
      <c r="B700" s="941">
        <v>1.0</v>
      </c>
      <c r="C700" s="941">
        <v>1.0</v>
      </c>
      <c r="D700" s="941">
        <v>0.0</v>
      </c>
      <c r="E700" s="941">
        <v>1.0</v>
      </c>
      <c r="F700" s="941">
        <v>1.0</v>
      </c>
      <c r="G700" s="941">
        <v>171.0</v>
      </c>
      <c r="H700" s="941">
        <v>171.0</v>
      </c>
      <c r="I700" s="941">
        <v>0.0</v>
      </c>
      <c r="J700" s="941">
        <v>21.0</v>
      </c>
      <c r="K700" s="941">
        <v>5.0</v>
      </c>
      <c r="L700" s="941">
        <v>4.0</v>
      </c>
      <c r="M700" s="941">
        <v>2119.0</v>
      </c>
      <c r="N700" s="941">
        <v>2740.0</v>
      </c>
      <c r="O700" s="941">
        <v>12.0</v>
      </c>
      <c r="P700" s="941">
        <v>24.0</v>
      </c>
      <c r="Q700" s="941">
        <v>0.0</v>
      </c>
      <c r="R700" s="941">
        <v>1.0</v>
      </c>
      <c r="S700" s="941">
        <v>0.0</v>
      </c>
      <c r="T700" s="941">
        <v>0.0</v>
      </c>
      <c r="U700" s="941">
        <v>0.0</v>
      </c>
      <c r="V700" s="941">
        <v>1.0</v>
      </c>
      <c r="W700" s="941">
        <v>0.0</v>
      </c>
      <c r="X700" s="941">
        <v>27.0</v>
      </c>
      <c r="Y700" s="941">
        <v>3.0</v>
      </c>
      <c r="Z700" s="941">
        <v>0.0</v>
      </c>
      <c r="AA700" s="941">
        <v>0.0</v>
      </c>
      <c r="AB700" s="941">
        <v>0.0</v>
      </c>
      <c r="AC700" s="941">
        <v>0.0</v>
      </c>
      <c r="AD700" s="941">
        <v>0.0</v>
      </c>
      <c r="AE700" s="941">
        <v>0.0</v>
      </c>
      <c r="AF700" s="941">
        <v>0.0</v>
      </c>
      <c r="AG700" s="941">
        <v>0.0</v>
      </c>
      <c r="AH700" s="941">
        <v>3.0</v>
      </c>
      <c r="AI700" s="941">
        <v>0.0</v>
      </c>
      <c r="AJ700" s="941">
        <v>18.0</v>
      </c>
      <c r="AK700" s="941">
        <v>23.0</v>
      </c>
      <c r="AL700" s="941">
        <v>2.0</v>
      </c>
      <c r="AM700" s="941">
        <v>1.0</v>
      </c>
    </row>
    <row r="701">
      <c r="A701" s="1" t="s">
        <v>159</v>
      </c>
      <c r="B701" s="941">
        <v>1.0</v>
      </c>
      <c r="C701" s="941">
        <v>1.0</v>
      </c>
      <c r="D701" s="941">
        <v>0.0</v>
      </c>
      <c r="E701" s="941">
        <v>0.0</v>
      </c>
      <c r="F701" s="941">
        <v>5.0</v>
      </c>
      <c r="G701" s="941">
        <v>131.0</v>
      </c>
      <c r="H701" s="941">
        <v>180.0</v>
      </c>
      <c r="I701" s="941">
        <v>-49.0</v>
      </c>
      <c r="J701" s="941">
        <v>7.0</v>
      </c>
      <c r="K701" s="941">
        <v>4.0</v>
      </c>
      <c r="L701" s="941">
        <v>1.0</v>
      </c>
      <c r="M701" s="941">
        <v>2097.0</v>
      </c>
      <c r="N701" s="941">
        <v>2740.0</v>
      </c>
      <c r="O701" s="941">
        <v>11.0</v>
      </c>
      <c r="P701" s="941">
        <v>287.0</v>
      </c>
      <c r="Q701" s="941">
        <v>0.0</v>
      </c>
      <c r="R701" s="941">
        <v>0.0</v>
      </c>
      <c r="S701" s="941">
        <v>0.0</v>
      </c>
      <c r="T701" s="941">
        <v>0.0</v>
      </c>
      <c r="U701" s="941">
        <v>0.0</v>
      </c>
      <c r="V701" s="941">
        <v>0.0</v>
      </c>
      <c r="W701" s="941">
        <v>0.0</v>
      </c>
      <c r="X701" s="941">
        <v>10.0</v>
      </c>
      <c r="Y701" s="941">
        <v>2.0</v>
      </c>
      <c r="Z701" s="941">
        <v>0.0</v>
      </c>
      <c r="AA701" s="941">
        <v>0.0</v>
      </c>
      <c r="AB701" s="941">
        <v>0.0</v>
      </c>
      <c r="AC701" s="941">
        <v>0.0</v>
      </c>
      <c r="AD701" s="941">
        <v>0.0</v>
      </c>
      <c r="AE701" s="941">
        <v>0.0</v>
      </c>
      <c r="AF701" s="941">
        <v>0.0</v>
      </c>
      <c r="AG701" s="941">
        <v>0.0</v>
      </c>
      <c r="AH701" s="941">
        <v>3.0</v>
      </c>
      <c r="AI701" s="941">
        <v>0.0</v>
      </c>
      <c r="AJ701" s="941">
        <v>3.0</v>
      </c>
      <c r="AK701" s="941">
        <v>20.0</v>
      </c>
      <c r="AL701" s="941">
        <v>0.0</v>
      </c>
      <c r="AM701" s="941">
        <v>1.0</v>
      </c>
    </row>
    <row r="702">
      <c r="A702" s="1" t="s">
        <v>132</v>
      </c>
      <c r="B702" s="941">
        <v>1.0</v>
      </c>
      <c r="C702" s="941">
        <v>0.0</v>
      </c>
      <c r="D702" s="941">
        <v>1.0</v>
      </c>
      <c r="E702" s="941">
        <v>2.0</v>
      </c>
      <c r="F702" s="941">
        <v>24.0</v>
      </c>
      <c r="G702" s="941">
        <v>153.0</v>
      </c>
      <c r="H702" s="941">
        <v>114.0</v>
      </c>
      <c r="I702" s="941">
        <v>39.0</v>
      </c>
      <c r="J702" s="941">
        <v>8.0</v>
      </c>
      <c r="K702" s="941">
        <v>11.0</v>
      </c>
      <c r="L702" s="941">
        <v>1.0</v>
      </c>
      <c r="M702" s="941">
        <v>2289.0</v>
      </c>
      <c r="N702" s="941">
        <v>2740.0</v>
      </c>
      <c r="O702" s="941">
        <v>20.0</v>
      </c>
      <c r="P702" s="941">
        <v>705.0</v>
      </c>
      <c r="Q702" s="941">
        <v>0.0</v>
      </c>
      <c r="R702" s="941">
        <v>4.0</v>
      </c>
      <c r="S702" s="941">
        <v>1.0</v>
      </c>
      <c r="T702" s="941">
        <v>0.0</v>
      </c>
      <c r="U702" s="941">
        <v>0.0</v>
      </c>
      <c r="V702" s="941">
        <v>2.0</v>
      </c>
      <c r="W702" s="941">
        <v>0.0</v>
      </c>
      <c r="X702" s="941">
        <v>16.0</v>
      </c>
      <c r="Y702" s="941">
        <v>1.0</v>
      </c>
      <c r="Z702" s="941">
        <v>0.0</v>
      </c>
      <c r="AA702" s="941">
        <v>0.0</v>
      </c>
      <c r="AB702" s="941">
        <v>0.0</v>
      </c>
      <c r="AC702" s="941">
        <v>0.0</v>
      </c>
      <c r="AD702" s="941">
        <v>0.0</v>
      </c>
      <c r="AE702" s="941">
        <v>0.0</v>
      </c>
      <c r="AF702" s="941">
        <v>0.0</v>
      </c>
      <c r="AG702" s="941">
        <v>0.0</v>
      </c>
      <c r="AH702" s="941">
        <v>4.0</v>
      </c>
      <c r="AI702" s="941">
        <v>0.0</v>
      </c>
      <c r="AJ702" s="941">
        <v>18.0</v>
      </c>
      <c r="AK702" s="941">
        <v>20.0</v>
      </c>
      <c r="AL702" s="941">
        <v>1.0</v>
      </c>
      <c r="AM702" s="941">
        <v>0.0</v>
      </c>
    </row>
    <row r="703">
      <c r="A703" s="1" t="s">
        <v>136</v>
      </c>
      <c r="B703" s="941">
        <v>1.0</v>
      </c>
      <c r="C703" s="941">
        <v>0.0</v>
      </c>
      <c r="D703" s="941">
        <v>1.0</v>
      </c>
      <c r="E703" s="941">
        <v>1.0</v>
      </c>
      <c r="F703" s="941">
        <v>0.0</v>
      </c>
      <c r="G703" s="941">
        <v>195.0</v>
      </c>
      <c r="H703" s="941">
        <v>201.0</v>
      </c>
      <c r="I703" s="941">
        <v>-6.0</v>
      </c>
      <c r="J703" s="941">
        <v>10.0</v>
      </c>
      <c r="K703" s="941">
        <v>5.0</v>
      </c>
      <c r="L703" s="941">
        <v>3.0</v>
      </c>
      <c r="M703" s="941">
        <v>2034.0</v>
      </c>
      <c r="N703" s="941">
        <v>2740.0</v>
      </c>
      <c r="O703" s="941">
        <v>10.0</v>
      </c>
      <c r="P703" s="941">
        <v>27.0</v>
      </c>
      <c r="Q703" s="941">
        <v>0.0</v>
      </c>
      <c r="R703" s="941">
        <v>1.0</v>
      </c>
      <c r="S703" s="941">
        <v>0.0</v>
      </c>
      <c r="T703" s="941">
        <v>0.0</v>
      </c>
      <c r="U703" s="941">
        <v>0.0</v>
      </c>
      <c r="V703" s="941">
        <v>0.0</v>
      </c>
      <c r="W703" s="941">
        <v>0.0</v>
      </c>
      <c r="X703" s="941">
        <v>34.0</v>
      </c>
      <c r="Y703" s="941">
        <v>4.0</v>
      </c>
      <c r="Z703" s="941">
        <v>0.0</v>
      </c>
      <c r="AA703" s="941">
        <v>0.0</v>
      </c>
      <c r="AB703" s="941">
        <v>0.0</v>
      </c>
      <c r="AC703" s="941">
        <v>0.0</v>
      </c>
      <c r="AD703" s="941">
        <v>0.0</v>
      </c>
      <c r="AE703" s="941">
        <v>0.0</v>
      </c>
      <c r="AF703" s="941">
        <v>0.0</v>
      </c>
      <c r="AG703" s="941">
        <v>0.0</v>
      </c>
      <c r="AH703" s="941">
        <v>12.0</v>
      </c>
      <c r="AI703" s="941">
        <v>4.0</v>
      </c>
      <c r="AJ703" s="941">
        <v>19.0</v>
      </c>
      <c r="AK703" s="941">
        <v>21.0</v>
      </c>
      <c r="AL703" s="941">
        <v>1.0</v>
      </c>
      <c r="AM703" s="941">
        <v>0.0</v>
      </c>
    </row>
    <row r="704">
      <c r="A704" s="1" t="s">
        <v>114</v>
      </c>
      <c r="B704" s="941">
        <v>1.0</v>
      </c>
      <c r="C704" s="941">
        <v>0.0</v>
      </c>
      <c r="D704" s="941">
        <v>1.0</v>
      </c>
      <c r="E704" s="941">
        <v>0.0</v>
      </c>
      <c r="F704" s="941">
        <v>2.0</v>
      </c>
      <c r="G704" s="941">
        <v>147.0</v>
      </c>
      <c r="H704" s="941">
        <v>153.0</v>
      </c>
      <c r="I704" s="941">
        <v>-6.0</v>
      </c>
      <c r="J704" s="941">
        <v>12.0</v>
      </c>
      <c r="K704" s="941">
        <v>6.0</v>
      </c>
      <c r="L704" s="941">
        <v>0.0</v>
      </c>
      <c r="M704" s="941">
        <v>2173.0</v>
      </c>
      <c r="N704" s="941">
        <v>2740.0</v>
      </c>
      <c r="O704" s="941">
        <v>14.0</v>
      </c>
      <c r="P704" s="941">
        <v>36.0</v>
      </c>
      <c r="Q704" s="941">
        <v>0.0</v>
      </c>
      <c r="R704" s="941">
        <v>2.0</v>
      </c>
      <c r="S704" s="941">
        <v>0.0</v>
      </c>
      <c r="T704" s="941">
        <v>0.0</v>
      </c>
      <c r="U704" s="941">
        <v>0.0</v>
      </c>
      <c r="V704" s="941">
        <v>2.0</v>
      </c>
      <c r="W704" s="941">
        <v>0.0</v>
      </c>
      <c r="X704" s="941">
        <v>21.0</v>
      </c>
      <c r="Y704" s="941">
        <v>5.0</v>
      </c>
      <c r="Z704" s="941">
        <v>1.0</v>
      </c>
      <c r="AA704" s="941">
        <v>0.0</v>
      </c>
      <c r="AB704" s="941">
        <v>0.0</v>
      </c>
      <c r="AC704" s="941">
        <v>0.0</v>
      </c>
      <c r="AD704" s="941">
        <v>0.0</v>
      </c>
      <c r="AE704" s="941">
        <v>0.0</v>
      </c>
      <c r="AF704" s="941">
        <v>0.0</v>
      </c>
      <c r="AG704" s="941">
        <v>0.0</v>
      </c>
      <c r="AH704" s="941">
        <v>4.0</v>
      </c>
      <c r="AI704" s="941">
        <v>0.0</v>
      </c>
      <c r="AJ704" s="941">
        <v>13.0</v>
      </c>
      <c r="AK704" s="941">
        <v>18.0</v>
      </c>
      <c r="AL704" s="941">
        <v>0.0</v>
      </c>
      <c r="AM704" s="941">
        <v>0.0</v>
      </c>
    </row>
    <row r="705">
      <c r="A705" s="1" t="s">
        <v>147</v>
      </c>
      <c r="B705" s="941">
        <v>1.0</v>
      </c>
      <c r="C705" s="941">
        <v>0.0</v>
      </c>
      <c r="D705" s="941">
        <v>1.0</v>
      </c>
      <c r="E705" s="941">
        <v>0.0</v>
      </c>
      <c r="F705" s="941">
        <v>0.0</v>
      </c>
      <c r="G705" s="941">
        <v>115.0</v>
      </c>
      <c r="H705" s="941">
        <v>154.0</v>
      </c>
      <c r="I705" s="941">
        <v>-39.0</v>
      </c>
      <c r="J705" s="941">
        <v>13.0</v>
      </c>
      <c r="K705" s="941">
        <v>4.0</v>
      </c>
      <c r="L705" s="941">
        <v>6.0</v>
      </c>
      <c r="M705" s="941">
        <v>2180.0</v>
      </c>
      <c r="N705" s="941">
        <v>2740.0</v>
      </c>
      <c r="O705" s="941">
        <v>14.0</v>
      </c>
      <c r="P705" s="941">
        <v>181.0</v>
      </c>
      <c r="Q705" s="941">
        <v>0.0</v>
      </c>
      <c r="R705" s="941">
        <v>0.0</v>
      </c>
      <c r="S705" s="941">
        <v>0.0</v>
      </c>
      <c r="T705" s="941">
        <v>0.0</v>
      </c>
      <c r="U705" s="941">
        <v>0.0</v>
      </c>
      <c r="V705" s="941">
        <v>0.0</v>
      </c>
      <c r="W705" s="941">
        <v>0.0</v>
      </c>
      <c r="X705" s="941">
        <v>12.0</v>
      </c>
      <c r="Y705" s="941">
        <v>2.0</v>
      </c>
      <c r="Z705" s="941">
        <v>1.0</v>
      </c>
      <c r="AA705" s="941">
        <v>0.0</v>
      </c>
      <c r="AB705" s="941">
        <v>0.0</v>
      </c>
      <c r="AC705" s="941">
        <v>0.0</v>
      </c>
      <c r="AD705" s="941">
        <v>0.0</v>
      </c>
      <c r="AE705" s="941">
        <v>0.0</v>
      </c>
      <c r="AF705" s="941">
        <v>0.0</v>
      </c>
      <c r="AG705" s="941">
        <v>0.0</v>
      </c>
      <c r="AH705" s="941">
        <v>8.0</v>
      </c>
      <c r="AI705" s="941">
        <v>0.0</v>
      </c>
      <c r="AJ705" s="941">
        <v>15.0</v>
      </c>
      <c r="AK705" s="941">
        <v>24.0</v>
      </c>
      <c r="AL705" s="941">
        <v>2.0</v>
      </c>
      <c r="AM705" s="941">
        <v>0.0</v>
      </c>
    </row>
  </sheetData>
  <conditionalFormatting sqref="AM1:AM1177">
    <cfRule type="cellIs" dxfId="14" priority="1" operator="equal">
      <formula>1</formula>
    </cfRule>
  </conditionalFormatting>
  <conditionalFormatting sqref="AM1:AM1177">
    <cfRule type="cellIs" dxfId="22" priority="2" operator="equal">
      <formula>0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6BDC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88"/>
    <col customWidth="1" min="3" max="4" width="3.88"/>
    <col customWidth="1" min="5" max="5" width="18.88"/>
    <col customWidth="1" min="6" max="7" width="3.88"/>
    <col customWidth="1" min="8" max="8" width="18.88"/>
    <col customWidth="1" min="9" max="10" width="3.88"/>
    <col customWidth="1" min="11" max="11" width="18.88"/>
  </cols>
  <sheetData>
    <row r="1" ht="7.5" customHeight="1">
      <c r="A1" s="1035" t="s">
        <v>589</v>
      </c>
    </row>
    <row r="2" ht="7.5" customHeight="1"/>
    <row r="3" ht="7.5" customHeight="1"/>
    <row r="4" ht="7.5" customHeight="1"/>
    <row r="5" ht="7.5" customHeight="1"/>
    <row r="6" ht="7.5" customHeight="1"/>
    <row r="7" ht="19.5" customHeight="1">
      <c r="A7" s="1036"/>
      <c r="B7" s="1037" t="s">
        <v>590</v>
      </c>
      <c r="C7" s="1038"/>
      <c r="E7" s="1037" t="s">
        <v>590</v>
      </c>
      <c r="F7" s="1038"/>
      <c r="H7" s="1037" t="s">
        <v>591</v>
      </c>
      <c r="I7" s="1038"/>
      <c r="K7" s="1039" t="s">
        <v>592</v>
      </c>
    </row>
    <row r="8" ht="7.5" customHeight="1">
      <c r="A8" s="1040"/>
      <c r="B8" s="1041" t="s">
        <v>593</v>
      </c>
      <c r="C8" s="1042"/>
      <c r="D8" s="1043"/>
      <c r="E8" s="1041" t="s">
        <v>594</v>
      </c>
      <c r="F8" s="1042"/>
      <c r="G8" s="1043"/>
      <c r="H8" s="1041" t="s">
        <v>595</v>
      </c>
      <c r="I8" s="1042"/>
      <c r="J8" s="1043"/>
      <c r="K8" s="1041" t="s">
        <v>596</v>
      </c>
    </row>
    <row r="9" ht="7.5" customHeight="1">
      <c r="A9" s="1044"/>
      <c r="B9" s="1045"/>
      <c r="C9" s="1045"/>
      <c r="D9" s="1045"/>
      <c r="E9" s="1045"/>
      <c r="F9" s="1045"/>
      <c r="G9" s="1045"/>
      <c r="H9" s="1045"/>
      <c r="I9" s="1045"/>
      <c r="J9" s="1045"/>
      <c r="K9" s="1045"/>
    </row>
    <row r="10" ht="7.5" customHeight="1">
      <c r="A10" s="899"/>
      <c r="B10" s="1046"/>
      <c r="C10" s="1046"/>
      <c r="D10" s="1046"/>
      <c r="E10" s="1046"/>
      <c r="F10" s="1046"/>
      <c r="G10" s="1046"/>
      <c r="H10" s="1046"/>
      <c r="I10" s="1046"/>
      <c r="J10" s="1046"/>
      <c r="K10" s="1046"/>
    </row>
    <row r="11" ht="7.5" customHeight="1">
      <c r="A11" s="899"/>
      <c r="B11" s="1047"/>
      <c r="C11" s="1048"/>
      <c r="D11" s="1046"/>
      <c r="E11" s="1046"/>
      <c r="F11" s="1046"/>
      <c r="G11" s="1046"/>
      <c r="H11" s="1046"/>
      <c r="I11" s="1046"/>
      <c r="J11" s="1046"/>
      <c r="K11" s="1046"/>
    </row>
    <row r="12" ht="7.5" customHeight="1">
      <c r="A12" s="899"/>
      <c r="B12" s="1047"/>
      <c r="C12" s="1046"/>
      <c r="D12" s="1048"/>
      <c r="E12" s="1046"/>
      <c r="F12" s="1046"/>
      <c r="G12" s="1046"/>
      <c r="H12" s="1046"/>
      <c r="I12" s="1046"/>
      <c r="J12" s="1046"/>
      <c r="K12" s="1046"/>
    </row>
    <row r="13" ht="7.5" customHeight="1">
      <c r="A13" s="899"/>
      <c r="B13" s="1048"/>
      <c r="C13" s="1046"/>
      <c r="D13" s="1048"/>
      <c r="E13" s="1049" t="s">
        <v>597</v>
      </c>
      <c r="F13" s="1050"/>
      <c r="G13" s="1046"/>
      <c r="H13" s="1046"/>
      <c r="I13" s="1046"/>
      <c r="J13" s="1046"/>
      <c r="K13" s="1046"/>
    </row>
    <row r="14" ht="7.5" customHeight="1">
      <c r="A14" s="899"/>
      <c r="B14" s="1048"/>
      <c r="C14" s="1046"/>
      <c r="D14" s="1048"/>
      <c r="E14" s="202"/>
      <c r="F14" s="1046"/>
      <c r="G14" s="1051"/>
      <c r="H14" s="1046"/>
      <c r="I14" s="1046"/>
      <c r="J14" s="1046"/>
      <c r="K14" s="1046"/>
    </row>
    <row r="15" ht="7.5" customHeight="1">
      <c r="A15" s="899"/>
      <c r="B15" s="1047"/>
      <c r="C15" s="1048"/>
      <c r="D15" s="1048"/>
      <c r="E15" s="1052" t="s">
        <v>598</v>
      </c>
      <c r="F15" s="1046"/>
      <c r="G15" s="1051"/>
      <c r="H15" s="1046"/>
      <c r="I15" s="1046"/>
      <c r="J15" s="1046"/>
      <c r="K15" s="1046"/>
    </row>
    <row r="16" ht="7.5" customHeight="1">
      <c r="A16" s="899"/>
      <c r="B16" s="1047"/>
      <c r="C16" s="1046"/>
      <c r="D16" s="1046"/>
      <c r="E16" s="1053"/>
      <c r="F16" s="1046"/>
      <c r="G16" s="1051"/>
      <c r="H16" s="1046"/>
      <c r="I16" s="1046"/>
      <c r="J16" s="1046"/>
      <c r="K16" s="1046"/>
    </row>
    <row r="17" ht="7.5" customHeight="1">
      <c r="A17" s="899"/>
      <c r="B17" s="1048"/>
      <c r="C17" s="1046"/>
      <c r="D17" s="1046"/>
      <c r="E17" s="1053"/>
      <c r="F17" s="1046"/>
      <c r="G17" s="1054"/>
      <c r="H17" s="1049" t="s">
        <v>599</v>
      </c>
      <c r="I17" s="1050"/>
      <c r="J17" s="1046"/>
      <c r="K17" s="1046"/>
    </row>
    <row r="18" ht="7.5" customHeight="1">
      <c r="A18" s="899"/>
      <c r="B18" s="1050"/>
      <c r="C18" s="1046"/>
      <c r="D18" s="1046"/>
      <c r="E18" s="1053"/>
      <c r="F18" s="1046"/>
      <c r="G18" s="1051"/>
      <c r="H18" s="202"/>
      <c r="I18" s="1046"/>
      <c r="J18" s="1051"/>
      <c r="K18" s="1046"/>
    </row>
    <row r="19" ht="7.5" customHeight="1">
      <c r="A19" s="899"/>
      <c r="B19" s="1055" t="s">
        <v>599</v>
      </c>
      <c r="C19" s="1050"/>
      <c r="D19" s="1046"/>
      <c r="E19" s="1053"/>
      <c r="F19" s="1046"/>
      <c r="G19" s="1051"/>
      <c r="H19" s="1046"/>
      <c r="I19" s="1046"/>
      <c r="J19" s="1051"/>
      <c r="K19" s="1046"/>
    </row>
    <row r="20" ht="7.5" customHeight="1">
      <c r="A20" s="899"/>
      <c r="B20" s="202"/>
      <c r="C20" s="1046"/>
      <c r="D20" s="1051"/>
      <c r="E20" s="1053"/>
      <c r="F20" s="1046"/>
      <c r="G20" s="1051"/>
      <c r="H20" s="1046"/>
      <c r="I20" s="1046"/>
      <c r="J20" s="1051"/>
      <c r="K20" s="1046"/>
    </row>
    <row r="21" ht="7.5" customHeight="1">
      <c r="A21" s="899"/>
      <c r="B21" s="1056" t="s">
        <v>600</v>
      </c>
      <c r="C21" s="1046"/>
      <c r="D21" s="1054"/>
      <c r="E21" s="1057" t="s">
        <v>599</v>
      </c>
      <c r="F21" s="1050"/>
      <c r="G21" s="1051"/>
      <c r="H21" s="1046"/>
      <c r="I21" s="1046"/>
      <c r="J21" s="1051"/>
      <c r="K21" s="1046"/>
    </row>
    <row r="22" ht="7.5" customHeight="1">
      <c r="A22" s="899"/>
      <c r="B22" s="202"/>
      <c r="C22" s="1046"/>
      <c r="D22" s="1051"/>
      <c r="E22" s="202"/>
      <c r="F22" s="1046"/>
      <c r="G22" s="1046"/>
      <c r="H22" s="1046"/>
      <c r="I22" s="1046"/>
      <c r="J22" s="1051"/>
      <c r="K22" s="1046"/>
    </row>
    <row r="23" ht="7.5" customHeight="1">
      <c r="A23" s="899"/>
      <c r="B23" s="1058" t="s">
        <v>601</v>
      </c>
      <c r="C23" s="1050"/>
      <c r="D23" s="1051"/>
      <c r="E23" s="1046"/>
      <c r="F23" s="1046"/>
      <c r="G23" s="1046"/>
      <c r="H23" s="1046"/>
      <c r="I23" s="1046"/>
      <c r="J23" s="1051"/>
      <c r="K23" s="1046"/>
    </row>
    <row r="24" ht="7.5" customHeight="1">
      <c r="A24" s="899"/>
      <c r="B24" s="202"/>
      <c r="C24" s="1046"/>
      <c r="D24" s="1046"/>
      <c r="E24" s="1046"/>
      <c r="F24" s="1046"/>
      <c r="G24" s="1046"/>
      <c r="H24" s="1046"/>
      <c r="I24" s="1046"/>
      <c r="J24" s="1051"/>
      <c r="K24" s="1046"/>
    </row>
    <row r="25" ht="7.5" customHeight="1">
      <c r="A25" s="899"/>
      <c r="B25" s="1048"/>
      <c r="C25" s="1046"/>
      <c r="D25" s="1046"/>
      <c r="E25" s="1046"/>
      <c r="F25" s="1046"/>
      <c r="G25" s="1046"/>
      <c r="H25" s="1059" t="s">
        <v>602</v>
      </c>
      <c r="I25" s="1043"/>
      <c r="J25" s="1054"/>
      <c r="K25" s="1060" t="s">
        <v>199</v>
      </c>
    </row>
    <row r="26" ht="7.5" customHeight="1">
      <c r="A26" s="899"/>
      <c r="B26" s="1050"/>
      <c r="C26" s="1046"/>
      <c r="D26" s="1046"/>
      <c r="E26" s="1046"/>
      <c r="F26" s="1046"/>
      <c r="G26" s="1046"/>
      <c r="H26" s="1044"/>
      <c r="I26" s="1045"/>
      <c r="J26" s="1051"/>
      <c r="K26" s="202"/>
    </row>
    <row r="27" ht="7.5" customHeight="1">
      <c r="A27" s="899"/>
      <c r="B27" s="1061" t="s">
        <v>603</v>
      </c>
      <c r="C27" s="1050"/>
      <c r="D27" s="1046"/>
      <c r="E27" s="1046"/>
      <c r="F27" s="1046"/>
      <c r="G27" s="1046"/>
      <c r="H27" s="1046"/>
      <c r="I27" s="1046"/>
      <c r="J27" s="1051"/>
      <c r="K27" s="1046"/>
    </row>
    <row r="28" ht="7.5" customHeight="1">
      <c r="A28" s="899"/>
      <c r="B28" s="202"/>
      <c r="C28" s="1046"/>
      <c r="D28" s="1051"/>
      <c r="E28" s="1046"/>
      <c r="F28" s="1046"/>
      <c r="G28" s="1046"/>
      <c r="H28" s="1046"/>
      <c r="I28" s="1046"/>
      <c r="J28" s="1051"/>
      <c r="K28" s="1046"/>
    </row>
    <row r="29" ht="7.5" customHeight="1">
      <c r="A29" s="899"/>
      <c r="B29" s="1056" t="s">
        <v>604</v>
      </c>
      <c r="C29" s="1046"/>
      <c r="D29" s="1054"/>
      <c r="E29" s="1049" t="s">
        <v>605</v>
      </c>
      <c r="F29" s="1050"/>
      <c r="G29" s="1046"/>
      <c r="H29" s="1046"/>
      <c r="I29" s="1046"/>
      <c r="J29" s="1051"/>
      <c r="K29" s="1046"/>
    </row>
    <row r="30" ht="7.5" customHeight="1">
      <c r="A30" s="899"/>
      <c r="B30" s="202"/>
      <c r="C30" s="1046"/>
      <c r="D30" s="1051"/>
      <c r="E30" s="202"/>
      <c r="F30" s="1046"/>
      <c r="G30" s="1051"/>
      <c r="H30" s="1046"/>
      <c r="I30" s="1046"/>
      <c r="J30" s="1051"/>
      <c r="K30" s="1046"/>
    </row>
    <row r="31" ht="7.5" customHeight="1">
      <c r="A31" s="899"/>
      <c r="B31" s="1062" t="s">
        <v>605</v>
      </c>
      <c r="C31" s="1050"/>
      <c r="D31" s="1051"/>
      <c r="E31" s="1052" t="s">
        <v>606</v>
      </c>
      <c r="F31" s="1046"/>
      <c r="G31" s="1051"/>
      <c r="H31" s="1046"/>
      <c r="I31" s="1046"/>
      <c r="J31" s="1051"/>
      <c r="K31" s="1046"/>
    </row>
    <row r="32" ht="7.5" customHeight="1">
      <c r="A32" s="899"/>
      <c r="B32" s="202"/>
      <c r="C32" s="1046"/>
      <c r="D32" s="1046"/>
      <c r="E32" s="1053"/>
      <c r="F32" s="1046"/>
      <c r="G32" s="1051"/>
      <c r="H32" s="1046"/>
      <c r="I32" s="1046"/>
      <c r="J32" s="1051"/>
      <c r="K32" s="1046"/>
    </row>
    <row r="33" ht="7.5" customHeight="1">
      <c r="A33" s="899"/>
      <c r="B33" s="1048"/>
      <c r="C33" s="1046"/>
      <c r="D33" s="1046"/>
      <c r="E33" s="1053"/>
      <c r="F33" s="1046"/>
      <c r="G33" s="1054"/>
      <c r="H33" s="1057" t="s">
        <v>607</v>
      </c>
      <c r="I33" s="1050"/>
      <c r="J33" s="1051"/>
      <c r="K33" s="1046"/>
    </row>
    <row r="34" ht="7.5" customHeight="1">
      <c r="A34" s="899"/>
      <c r="B34" s="1048"/>
      <c r="C34" s="1046"/>
      <c r="D34" s="1046"/>
      <c r="E34" s="1053"/>
      <c r="F34" s="1046"/>
      <c r="G34" s="1051"/>
      <c r="H34" s="202"/>
      <c r="I34" s="1046"/>
      <c r="J34" s="1046"/>
      <c r="K34" s="1046"/>
    </row>
    <row r="35" ht="7.5" customHeight="1">
      <c r="A35" s="899"/>
      <c r="B35" s="1048"/>
      <c r="C35" s="1048"/>
      <c r="D35" s="1046"/>
      <c r="E35" s="1053"/>
      <c r="F35" s="1046"/>
      <c r="G35" s="1051"/>
      <c r="H35" s="1046"/>
      <c r="I35" s="1046"/>
      <c r="J35" s="1046"/>
      <c r="K35" s="1046"/>
    </row>
    <row r="36" ht="7.5" customHeight="1">
      <c r="A36" s="899"/>
      <c r="B36" s="1048"/>
      <c r="C36" s="1046"/>
      <c r="D36" s="1048"/>
      <c r="E36" s="1053"/>
      <c r="F36" s="1046"/>
      <c r="G36" s="1051"/>
      <c r="H36" s="1046"/>
      <c r="I36" s="1046"/>
      <c r="J36" s="1046"/>
      <c r="K36" s="1046"/>
    </row>
    <row r="37" ht="7.5" customHeight="1">
      <c r="A37" s="899"/>
      <c r="B37" s="1048"/>
      <c r="C37" s="1046"/>
      <c r="D37" s="1048"/>
      <c r="E37" s="1057" t="s">
        <v>607</v>
      </c>
      <c r="F37" s="1050"/>
      <c r="G37" s="1051"/>
      <c r="H37" s="1046"/>
      <c r="I37" s="1046"/>
      <c r="J37" s="1046"/>
      <c r="K37" s="1046"/>
    </row>
    <row r="38" ht="7.5" customHeight="1">
      <c r="A38" s="899"/>
      <c r="B38" s="1048"/>
      <c r="C38" s="1046"/>
      <c r="D38" s="1048"/>
      <c r="E38" s="202"/>
      <c r="F38" s="1046"/>
      <c r="G38" s="1046"/>
      <c r="H38" s="1046"/>
      <c r="I38" s="1046"/>
      <c r="J38" s="1046"/>
      <c r="K38" s="1046"/>
    </row>
    <row r="39" ht="7.5" customHeight="1">
      <c r="A39" s="899"/>
      <c r="B39" s="1048"/>
      <c r="C39" s="1048"/>
      <c r="D39" s="1048"/>
      <c r="E39" s="1046"/>
      <c r="F39" s="1046"/>
      <c r="G39" s="1046"/>
      <c r="H39" s="1046"/>
      <c r="I39" s="1046"/>
      <c r="J39" s="1046"/>
      <c r="K39" s="1046"/>
    </row>
    <row r="40" ht="7.5" customHeight="1">
      <c r="B40" s="1063"/>
      <c r="C40" s="1064"/>
      <c r="D40" s="1064"/>
      <c r="E40" s="1064"/>
      <c r="F40" s="1064"/>
      <c r="G40" s="1064"/>
      <c r="H40" s="1064"/>
      <c r="I40" s="1064"/>
      <c r="J40" s="1064"/>
      <c r="K40" s="1064"/>
    </row>
  </sheetData>
  <mergeCells count="28">
    <mergeCell ref="H8:H9"/>
    <mergeCell ref="I8:J9"/>
    <mergeCell ref="A1:K6"/>
    <mergeCell ref="C7:D7"/>
    <mergeCell ref="F7:G7"/>
    <mergeCell ref="I7:J7"/>
    <mergeCell ref="A8:A9"/>
    <mergeCell ref="B8:B9"/>
    <mergeCell ref="C8:D9"/>
    <mergeCell ref="K8:K9"/>
    <mergeCell ref="E8:E9"/>
    <mergeCell ref="F8:G9"/>
    <mergeCell ref="E13:E14"/>
    <mergeCell ref="E15:E20"/>
    <mergeCell ref="H17:H18"/>
    <mergeCell ref="B19:B20"/>
    <mergeCell ref="E21:E22"/>
    <mergeCell ref="E29:E30"/>
    <mergeCell ref="E31:E36"/>
    <mergeCell ref="E37:E38"/>
    <mergeCell ref="B21:B22"/>
    <mergeCell ref="B23:B24"/>
    <mergeCell ref="H25:I26"/>
    <mergeCell ref="K25:K26"/>
    <mergeCell ref="B27:B28"/>
    <mergeCell ref="B29:B30"/>
    <mergeCell ref="B31:B32"/>
    <mergeCell ref="H33:H34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6BDC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4" max="4" width="15.13"/>
    <col customWidth="1" min="5" max="6" width="12.13"/>
    <col customWidth="1" min="7" max="7" width="5.63"/>
    <col customWidth="1" min="8" max="8" width="36.63"/>
    <col customWidth="1" hidden="1" min="9" max="9" width="36.63"/>
  </cols>
  <sheetData>
    <row r="1">
      <c r="A1" s="1065" t="s">
        <v>608</v>
      </c>
      <c r="B1" s="1066" t="s">
        <v>609</v>
      </c>
      <c r="C1" s="1066" t="s">
        <v>610</v>
      </c>
      <c r="D1" s="1067" t="s">
        <v>611</v>
      </c>
      <c r="E1" s="1066" t="s">
        <v>612</v>
      </c>
      <c r="F1" s="1066" t="s">
        <v>613</v>
      </c>
      <c r="G1" s="1065"/>
      <c r="H1" s="1068" t="s">
        <v>614</v>
      </c>
      <c r="I1" s="1066" t="s">
        <v>615</v>
      </c>
    </row>
    <row r="2">
      <c r="A2" s="1065"/>
      <c r="B2" s="1069" t="s">
        <v>616</v>
      </c>
      <c r="G2" s="1065"/>
      <c r="H2" s="1070"/>
      <c r="I2" s="1070"/>
    </row>
    <row r="3">
      <c r="A3" s="1071"/>
      <c r="B3" s="16" t="s">
        <v>617</v>
      </c>
      <c r="C3" s="16" t="s">
        <v>107</v>
      </c>
      <c r="D3" s="1072" t="s">
        <v>110</v>
      </c>
      <c r="E3" s="1073" t="s">
        <v>618</v>
      </c>
      <c r="F3" s="16" t="s">
        <v>389</v>
      </c>
      <c r="G3" s="1074"/>
      <c r="H3" s="1075"/>
    </row>
    <row r="4">
      <c r="B4" s="16" t="s">
        <v>619</v>
      </c>
      <c r="C4" s="16" t="s">
        <v>107</v>
      </c>
      <c r="D4" s="1072" t="s">
        <v>110</v>
      </c>
      <c r="E4" s="16" t="s">
        <v>618</v>
      </c>
      <c r="F4" s="16" t="s">
        <v>389</v>
      </c>
      <c r="H4" s="1075"/>
    </row>
    <row r="5">
      <c r="B5" s="16" t="s">
        <v>620</v>
      </c>
      <c r="C5" s="16" t="s">
        <v>107</v>
      </c>
      <c r="D5" s="1072" t="s">
        <v>110</v>
      </c>
      <c r="E5" s="1076">
        <v>45021.0</v>
      </c>
      <c r="F5" s="16" t="s">
        <v>391</v>
      </c>
      <c r="H5" s="1077"/>
    </row>
    <row r="6">
      <c r="B6" s="1069" t="s">
        <v>621</v>
      </c>
      <c r="H6" s="1077"/>
    </row>
    <row r="7">
      <c r="B7" s="16" t="s">
        <v>617</v>
      </c>
      <c r="C7" s="262" t="s">
        <v>103</v>
      </c>
      <c r="D7" s="1078" t="s">
        <v>622</v>
      </c>
      <c r="E7" s="1076">
        <v>45047.0</v>
      </c>
      <c r="F7" s="16" t="s">
        <v>389</v>
      </c>
      <c r="H7" s="1079"/>
    </row>
    <row r="8">
      <c r="B8" s="16" t="s">
        <v>619</v>
      </c>
      <c r="C8" s="16" t="s">
        <v>103</v>
      </c>
      <c r="D8" s="1072" t="s">
        <v>622</v>
      </c>
      <c r="E8" s="1076">
        <v>44962.0</v>
      </c>
      <c r="F8" s="16" t="s">
        <v>386</v>
      </c>
      <c r="H8" s="1077"/>
    </row>
    <row r="9">
      <c r="B9" s="16" t="s">
        <v>620</v>
      </c>
      <c r="C9" s="262" t="s">
        <v>103</v>
      </c>
      <c r="D9" s="1080" t="s">
        <v>622</v>
      </c>
      <c r="E9" s="1076">
        <v>45049.0</v>
      </c>
      <c r="F9" s="16" t="s">
        <v>389</v>
      </c>
      <c r="H9" s="1077"/>
    </row>
    <row r="10">
      <c r="B10" s="16" t="s">
        <v>623</v>
      </c>
      <c r="C10" s="262" t="s">
        <v>103</v>
      </c>
      <c r="D10" s="1080" t="s">
        <v>622</v>
      </c>
      <c r="E10" s="1076">
        <v>45048.0</v>
      </c>
      <c r="F10" s="16" t="s">
        <v>386</v>
      </c>
      <c r="H10" s="1077"/>
    </row>
    <row r="11">
      <c r="B11" s="1081" t="s">
        <v>624</v>
      </c>
      <c r="H11" s="1077"/>
    </row>
    <row r="12">
      <c r="B12" s="16" t="s">
        <v>617</v>
      </c>
      <c r="C12" s="262" t="s">
        <v>199</v>
      </c>
      <c r="D12" s="16" t="s">
        <v>110</v>
      </c>
      <c r="E12" s="1076">
        <v>45049.0</v>
      </c>
      <c r="F12" s="16" t="s">
        <v>386</v>
      </c>
      <c r="H12" s="1077"/>
    </row>
    <row r="13">
      <c r="B13" s="16" t="s">
        <v>619</v>
      </c>
      <c r="C13" s="262" t="s">
        <v>199</v>
      </c>
      <c r="D13" s="16" t="s">
        <v>110</v>
      </c>
      <c r="E13" s="1076">
        <v>45048.0</v>
      </c>
      <c r="F13" s="16" t="s">
        <v>389</v>
      </c>
      <c r="H13" s="1077"/>
    </row>
    <row r="14">
      <c r="A14" s="1071"/>
      <c r="B14" s="16" t="s">
        <v>620</v>
      </c>
      <c r="C14" s="262" t="s">
        <v>199</v>
      </c>
      <c r="D14" s="16" t="s">
        <v>110</v>
      </c>
      <c r="E14" s="1076">
        <v>45050.0</v>
      </c>
      <c r="F14" s="16" t="s">
        <v>386</v>
      </c>
      <c r="G14" s="1071"/>
      <c r="H14" s="1082"/>
    </row>
    <row r="15">
      <c r="A15" s="1071"/>
      <c r="B15" s="1081" t="s">
        <v>625</v>
      </c>
      <c r="G15" s="1071"/>
      <c r="H15" s="1079"/>
    </row>
    <row r="16">
      <c r="A16" s="1071"/>
      <c r="B16" s="1083" t="s">
        <v>617</v>
      </c>
      <c r="C16" s="1083" t="s">
        <v>626</v>
      </c>
      <c r="D16" s="1084" t="s">
        <v>103</v>
      </c>
      <c r="E16" s="1085">
        <v>44931.0</v>
      </c>
      <c r="F16" s="1083" t="s">
        <v>386</v>
      </c>
      <c r="G16" s="1071"/>
      <c r="H16" s="1082"/>
    </row>
    <row r="17">
      <c r="A17" s="1071"/>
      <c r="B17" s="1083" t="s">
        <v>619</v>
      </c>
      <c r="C17" s="1084" t="s">
        <v>626</v>
      </c>
      <c r="D17" s="1086" t="s">
        <v>103</v>
      </c>
      <c r="E17" s="1085">
        <v>45049.0</v>
      </c>
      <c r="F17" s="1083" t="s">
        <v>389</v>
      </c>
      <c r="G17" s="1071"/>
      <c r="H17" s="1082"/>
    </row>
    <row r="18">
      <c r="A18" s="1065"/>
      <c r="B18" s="1083" t="s">
        <v>620</v>
      </c>
      <c r="C18" s="1084" t="s">
        <v>626</v>
      </c>
      <c r="D18" s="1086" t="s">
        <v>103</v>
      </c>
      <c r="E18" s="1085">
        <v>45048.0</v>
      </c>
      <c r="F18" s="1083" t="s">
        <v>386</v>
      </c>
      <c r="G18" s="17"/>
      <c r="H18" s="1070"/>
      <c r="I18" s="1070"/>
    </row>
    <row r="19">
      <c r="B19" s="1083" t="s">
        <v>623</v>
      </c>
      <c r="C19" s="1083" t="s">
        <v>626</v>
      </c>
      <c r="D19" s="1087" t="s">
        <v>103</v>
      </c>
      <c r="E19" s="1085">
        <v>44990.0</v>
      </c>
      <c r="F19" s="1083" t="s">
        <v>389</v>
      </c>
      <c r="G19" s="1065"/>
      <c r="H19" s="17"/>
    </row>
    <row r="20">
      <c r="B20" s="1088" t="s">
        <v>627</v>
      </c>
      <c r="C20" s="1088" t="s">
        <v>626</v>
      </c>
      <c r="D20" s="1089" t="s">
        <v>103</v>
      </c>
      <c r="E20" s="1090">
        <v>44962.0</v>
      </c>
      <c r="F20" s="1088" t="s">
        <v>386</v>
      </c>
      <c r="H20" s="17"/>
    </row>
    <row r="21">
      <c r="B21" s="1091" t="s">
        <v>628</v>
      </c>
      <c r="H21" s="1082"/>
    </row>
    <row r="22">
      <c r="B22" s="1088" t="s">
        <v>617</v>
      </c>
      <c r="C22" s="1083" t="s">
        <v>199</v>
      </c>
      <c r="D22" s="1087" t="s">
        <v>103</v>
      </c>
      <c r="E22" s="1083" t="s">
        <v>629</v>
      </c>
      <c r="F22" s="1083" t="s">
        <v>630</v>
      </c>
      <c r="H22" s="1082"/>
    </row>
    <row r="23">
      <c r="B23" s="1092" t="s">
        <v>619</v>
      </c>
      <c r="C23" s="262" t="s">
        <v>199</v>
      </c>
      <c r="D23" s="1093" t="s">
        <v>103</v>
      </c>
      <c r="E23" s="1094" t="s">
        <v>631</v>
      </c>
      <c r="F23" s="1094" t="s">
        <v>389</v>
      </c>
      <c r="H23" s="1082"/>
    </row>
    <row r="24">
      <c r="B24" s="1094" t="s">
        <v>620</v>
      </c>
      <c r="C24" s="262" t="s">
        <v>199</v>
      </c>
      <c r="D24" s="1093" t="s">
        <v>103</v>
      </c>
      <c r="E24" s="1095">
        <v>45049.0</v>
      </c>
      <c r="F24" s="1094" t="s">
        <v>389</v>
      </c>
      <c r="H24" s="1082"/>
    </row>
    <row r="25">
      <c r="B25" s="1094" t="s">
        <v>623</v>
      </c>
      <c r="C25" s="262" t="s">
        <v>199</v>
      </c>
      <c r="D25" s="1093" t="s">
        <v>103</v>
      </c>
      <c r="E25" s="1095">
        <v>45048.0</v>
      </c>
      <c r="F25" s="1094" t="s">
        <v>386</v>
      </c>
      <c r="H25" s="1082"/>
    </row>
    <row r="26">
      <c r="B26" s="1094" t="s">
        <v>627</v>
      </c>
      <c r="C26" s="262" t="s">
        <v>199</v>
      </c>
      <c r="D26" s="1093" t="s">
        <v>103</v>
      </c>
      <c r="E26" s="1095">
        <v>45049.0</v>
      </c>
      <c r="F26" s="1094" t="s">
        <v>389</v>
      </c>
      <c r="H26" s="1082"/>
    </row>
    <row r="27">
      <c r="B27" s="1094"/>
      <c r="C27" s="1094"/>
      <c r="D27" s="1093"/>
      <c r="E27" s="1094"/>
      <c r="F27" s="1094"/>
      <c r="H27" s="1082"/>
    </row>
    <row r="28">
      <c r="B28" s="1094"/>
      <c r="C28" s="1094"/>
      <c r="D28" s="1093"/>
      <c r="E28" s="1094"/>
      <c r="F28" s="1094"/>
      <c r="H28" s="1082"/>
      <c r="I28" s="1096"/>
    </row>
    <row r="29">
      <c r="B29" s="1094"/>
      <c r="C29" s="1094"/>
      <c r="D29" s="1093"/>
      <c r="E29" s="1094"/>
      <c r="F29" s="1094"/>
      <c r="H29" s="1082"/>
      <c r="I29" s="1096"/>
    </row>
    <row r="30">
      <c r="B30" s="1094"/>
      <c r="C30" s="1094"/>
      <c r="D30" s="1093"/>
      <c r="E30" s="1094"/>
      <c r="F30" s="1094"/>
      <c r="H30" s="1082"/>
      <c r="I30" s="1096"/>
    </row>
    <row r="31">
      <c r="B31" s="1097"/>
      <c r="C31" s="1097"/>
      <c r="D31" s="1098"/>
      <c r="E31" s="1099"/>
      <c r="F31" s="420"/>
      <c r="H31" s="1082"/>
      <c r="I31" s="1096"/>
    </row>
    <row r="32">
      <c r="B32" s="1097"/>
      <c r="C32" s="1100"/>
      <c r="D32" s="1101"/>
      <c r="E32" s="1102"/>
      <c r="F32" s="1103"/>
      <c r="H32" s="1082"/>
      <c r="I32" s="1096"/>
    </row>
    <row r="33">
      <c r="B33" s="420"/>
      <c r="C33" s="1104"/>
      <c r="D33" s="1098"/>
      <c r="E33" s="1099"/>
      <c r="F33" s="1103"/>
      <c r="H33" s="1082"/>
      <c r="I33" s="1096"/>
    </row>
    <row r="34">
      <c r="A34" s="1065"/>
      <c r="B34" s="17"/>
      <c r="C34" s="17"/>
      <c r="D34" s="17"/>
      <c r="E34" s="17"/>
      <c r="F34" s="17"/>
      <c r="G34" s="1065"/>
      <c r="H34" s="1082"/>
      <c r="I34" s="1096"/>
    </row>
    <row r="35">
      <c r="A35" s="93"/>
      <c r="B35" s="186"/>
      <c r="C35" s="1105"/>
      <c r="D35" s="846"/>
      <c r="E35" s="1106"/>
      <c r="F35" s="1106"/>
      <c r="G35" s="17"/>
      <c r="H35" s="1070"/>
      <c r="I35" s="1070"/>
    </row>
    <row r="36">
      <c r="A36" s="1065"/>
      <c r="B36" s="420"/>
      <c r="C36" s="1104"/>
      <c r="D36" s="1098"/>
      <c r="E36" s="1099"/>
      <c r="F36" s="1099"/>
      <c r="G36" s="1065"/>
      <c r="H36" s="1082"/>
    </row>
    <row r="37">
      <c r="B37" s="1097"/>
      <c r="C37" s="1107"/>
      <c r="D37" s="1108"/>
      <c r="E37" s="1099"/>
      <c r="F37" s="1099"/>
      <c r="H37" s="1082"/>
    </row>
    <row r="38">
      <c r="B38" s="420"/>
      <c r="C38" s="1104"/>
      <c r="D38" s="1098"/>
      <c r="E38" s="1099"/>
      <c r="F38" s="1099"/>
      <c r="H38" s="1082"/>
    </row>
    <row r="39">
      <c r="B39" s="1097"/>
      <c r="C39" s="1107"/>
      <c r="D39" s="1108"/>
      <c r="E39" s="1099"/>
      <c r="F39" s="1099"/>
      <c r="H39" s="1082"/>
    </row>
    <row r="40">
      <c r="B40" s="420"/>
      <c r="C40" s="1104"/>
      <c r="D40" s="1098"/>
      <c r="E40" s="1099"/>
      <c r="F40" s="1099"/>
      <c r="H40" s="17"/>
    </row>
    <row r="41">
      <c r="B41" s="1109"/>
      <c r="C41" s="1100"/>
      <c r="D41" s="1101"/>
      <c r="E41" s="1102"/>
      <c r="F41" s="1103"/>
      <c r="H41" s="17"/>
    </row>
    <row r="42">
      <c r="B42" s="420"/>
      <c r="C42" s="1104"/>
      <c r="D42" s="1098"/>
      <c r="E42" s="1099"/>
      <c r="F42" s="1103"/>
      <c r="H42" s="17"/>
    </row>
    <row r="43">
      <c r="B43" s="1109"/>
      <c r="C43" s="1100"/>
      <c r="D43" s="1101"/>
      <c r="E43" s="1102"/>
      <c r="F43" s="1103"/>
      <c r="H43" s="17"/>
    </row>
    <row r="44">
      <c r="B44" s="420"/>
      <c r="C44" s="420"/>
      <c r="D44" s="1110"/>
      <c r="E44" s="420"/>
      <c r="F44" s="1111"/>
      <c r="H44" s="17"/>
    </row>
    <row r="45">
      <c r="B45" s="420"/>
      <c r="C45" s="420"/>
      <c r="D45" s="1110"/>
      <c r="E45" s="186"/>
      <c r="F45" s="17"/>
      <c r="H45" s="17"/>
      <c r="I45" s="1112"/>
    </row>
    <row r="46">
      <c r="B46" s="1097"/>
      <c r="C46" s="1107"/>
      <c r="D46" s="1108"/>
      <c r="E46" s="1099"/>
      <c r="F46" s="1099"/>
      <c r="H46" s="1082"/>
      <c r="I46" s="1096"/>
    </row>
    <row r="47">
      <c r="B47" s="1107"/>
      <c r="C47" s="1097"/>
      <c r="D47" s="1098"/>
      <c r="E47" s="420"/>
      <c r="F47" s="420"/>
      <c r="H47" s="1082"/>
      <c r="I47" s="1096"/>
    </row>
    <row r="48">
      <c r="B48" s="1107"/>
      <c r="C48" s="420"/>
      <c r="D48" s="1108"/>
      <c r="E48" s="1097"/>
      <c r="F48" s="420"/>
      <c r="H48" s="1082"/>
      <c r="I48" s="1096"/>
    </row>
    <row r="49">
      <c r="A49" s="186"/>
      <c r="B49" s="420"/>
      <c r="C49" s="420"/>
      <c r="D49" s="1098"/>
      <c r="E49" s="1099"/>
      <c r="F49" s="1103"/>
      <c r="G49" s="17"/>
      <c r="H49" s="1082"/>
      <c r="I49" s="1096"/>
    </row>
    <row r="50">
      <c r="A50" s="186"/>
      <c r="B50" s="1109"/>
      <c r="C50" s="1109"/>
      <c r="D50" s="1101"/>
      <c r="E50" s="1102"/>
      <c r="F50" s="1103"/>
      <c r="G50" s="17"/>
      <c r="H50" s="1082"/>
      <c r="I50" s="1096"/>
    </row>
    <row r="51">
      <c r="A51" s="186"/>
      <c r="B51" s="1097"/>
      <c r="C51" s="1107"/>
      <c r="D51" s="1108"/>
      <c r="E51" s="1097"/>
      <c r="F51" s="420"/>
      <c r="G51" s="17"/>
      <c r="H51" s="1082"/>
      <c r="I51" s="1096"/>
    </row>
    <row r="52">
      <c r="A52" s="186"/>
      <c r="B52" s="420"/>
      <c r="C52" s="1104"/>
      <c r="D52" s="1098"/>
      <c r="E52" s="420"/>
      <c r="F52" s="420"/>
      <c r="G52" s="17"/>
      <c r="H52" s="1082"/>
      <c r="I52" s="1096"/>
    </row>
    <row r="53">
      <c r="A53" s="186"/>
      <c r="B53" s="1097"/>
      <c r="C53" s="1107"/>
      <c r="D53" s="1108"/>
      <c r="E53" s="1097"/>
      <c r="F53" s="420"/>
      <c r="G53" s="17"/>
      <c r="H53" s="1082"/>
      <c r="I53" s="1096"/>
    </row>
    <row r="54">
      <c r="A54" s="186"/>
      <c r="B54" s="420"/>
      <c r="C54" s="1104"/>
      <c r="D54" s="1098"/>
      <c r="E54" s="420"/>
      <c r="F54" s="420"/>
      <c r="G54" s="17"/>
      <c r="H54" s="1082"/>
      <c r="I54" s="1096"/>
    </row>
    <row r="55">
      <c r="A55" s="186"/>
      <c r="B55" s="1097"/>
      <c r="C55" s="1107"/>
      <c r="D55" s="1108"/>
      <c r="E55" s="1097"/>
      <c r="F55" s="420"/>
      <c r="G55" s="17"/>
      <c r="H55" s="1082"/>
      <c r="I55" s="1096"/>
    </row>
    <row r="56">
      <c r="A56" s="186"/>
      <c r="B56" s="420"/>
      <c r="C56" s="1104"/>
      <c r="D56" s="1098"/>
      <c r="E56" s="1097"/>
      <c r="F56" s="420"/>
      <c r="G56" s="17"/>
      <c r="H56" s="17"/>
      <c r="I56" s="1112"/>
    </row>
    <row r="57">
      <c r="A57" s="186"/>
      <c r="B57" s="420"/>
      <c r="C57" s="1104"/>
      <c r="D57" s="1098"/>
      <c r="E57" s="1097"/>
      <c r="F57" s="420"/>
      <c r="G57" s="17"/>
      <c r="H57" s="17"/>
      <c r="I57" s="1112"/>
    </row>
    <row r="58">
      <c r="A58" s="93"/>
      <c r="B58" s="186"/>
      <c r="C58" s="1105"/>
      <c r="D58" s="846"/>
      <c r="E58" s="1106"/>
      <c r="F58" s="1106"/>
      <c r="G58" s="17"/>
      <c r="H58" s="1070"/>
      <c r="I58" s="1070"/>
    </row>
    <row r="59">
      <c r="A59" s="1065"/>
      <c r="B59" s="420"/>
      <c r="C59" s="1104"/>
      <c r="D59" s="1098"/>
      <c r="E59" s="1099"/>
      <c r="F59" s="1099"/>
      <c r="G59" s="1065"/>
      <c r="H59" s="1082"/>
      <c r="I59" s="1096"/>
    </row>
    <row r="60">
      <c r="B60" s="1097"/>
      <c r="C60" s="1107"/>
      <c r="D60" s="1108"/>
      <c r="E60" s="1099"/>
      <c r="F60" s="1099"/>
      <c r="H60" s="1082"/>
      <c r="I60" s="1096"/>
    </row>
    <row r="61">
      <c r="B61" s="420"/>
      <c r="C61" s="1104"/>
      <c r="D61" s="1098"/>
      <c r="E61" s="1099"/>
      <c r="F61" s="1099"/>
      <c r="H61" s="1082"/>
      <c r="I61" s="1096"/>
    </row>
    <row r="62">
      <c r="B62" s="1097"/>
      <c r="C62" s="1107"/>
      <c r="D62" s="1108"/>
      <c r="E62" s="1097"/>
      <c r="F62" s="420"/>
      <c r="H62" s="1082"/>
      <c r="I62" s="1096"/>
    </row>
    <row r="63">
      <c r="B63" s="420"/>
      <c r="C63" s="1104"/>
      <c r="D63" s="1098"/>
      <c r="E63" s="420"/>
      <c r="F63" s="420"/>
      <c r="H63" s="17"/>
      <c r="I63" s="1112"/>
    </row>
    <row r="64">
      <c r="B64" s="1097"/>
      <c r="C64" s="1107"/>
      <c r="D64" s="1108"/>
      <c r="E64" s="1097"/>
      <c r="F64" s="420"/>
      <c r="H64" s="17"/>
      <c r="I64" s="1112"/>
    </row>
    <row r="65">
      <c r="B65" s="420"/>
      <c r="C65" s="1104"/>
      <c r="D65" s="1098"/>
      <c r="E65" s="420"/>
      <c r="F65" s="420"/>
      <c r="H65" s="1082"/>
      <c r="I65" s="1113"/>
    </row>
    <row r="66">
      <c r="B66" s="1097"/>
      <c r="C66" s="1107"/>
      <c r="D66" s="1108"/>
      <c r="E66" s="1097"/>
      <c r="F66" s="420"/>
      <c r="H66" s="1082"/>
      <c r="I66" s="1113"/>
    </row>
    <row r="67">
      <c r="B67" s="420"/>
      <c r="C67" s="420"/>
      <c r="D67" s="1098"/>
      <c r="E67" s="420"/>
      <c r="F67" s="420"/>
      <c r="H67" s="1082"/>
      <c r="I67" s="1112"/>
    </row>
    <row r="68">
      <c r="B68" s="1097"/>
      <c r="C68" s="1107"/>
      <c r="D68" s="1108"/>
      <c r="E68" s="1097"/>
      <c r="F68" s="420"/>
      <c r="H68" s="17"/>
      <c r="I68" s="1112"/>
    </row>
    <row r="69">
      <c r="B69" s="1114"/>
      <c r="C69" s="1115"/>
      <c r="D69" s="1116"/>
      <c r="E69" s="1114"/>
      <c r="F69" s="1117"/>
      <c r="H69" s="17"/>
      <c r="I69" s="1112"/>
    </row>
    <row r="70">
      <c r="B70" s="1118"/>
      <c r="C70" s="1119"/>
      <c r="D70" s="1120"/>
      <c r="E70" s="1118"/>
      <c r="F70" s="1117"/>
      <c r="H70" s="17"/>
      <c r="I70" s="1112"/>
    </row>
    <row r="71">
      <c r="B71" s="420"/>
      <c r="C71" s="1104"/>
      <c r="D71" s="1098"/>
      <c r="E71" s="420"/>
      <c r="F71" s="420"/>
      <c r="H71" s="1079"/>
      <c r="I71" s="1113"/>
    </row>
    <row r="72">
      <c r="A72" s="186"/>
      <c r="B72" s="1097"/>
      <c r="C72" s="1107"/>
      <c r="D72" s="1108"/>
      <c r="E72" s="1097"/>
      <c r="F72" s="420"/>
      <c r="G72" s="17"/>
      <c r="H72" s="1079"/>
      <c r="I72" s="1113"/>
    </row>
    <row r="73">
      <c r="A73" s="186"/>
      <c r="B73" s="420"/>
      <c r="C73" s="1104"/>
      <c r="D73" s="1098"/>
      <c r="E73" s="420"/>
      <c r="F73" s="420"/>
      <c r="G73" s="17"/>
      <c r="H73" s="1079"/>
      <c r="I73" s="1113"/>
    </row>
    <row r="74">
      <c r="A74" s="186"/>
      <c r="B74" s="1097"/>
      <c r="C74" s="1107"/>
      <c r="D74" s="1108"/>
      <c r="E74" s="1097"/>
      <c r="F74" s="420"/>
      <c r="G74" s="17"/>
      <c r="H74" s="1079"/>
      <c r="I74" s="1113"/>
    </row>
    <row r="75">
      <c r="A75" s="186"/>
      <c r="B75" s="420"/>
      <c r="C75" s="1104"/>
      <c r="D75" s="1098"/>
      <c r="E75" s="420"/>
      <c r="F75" s="420"/>
      <c r="G75" s="17"/>
      <c r="H75" s="17"/>
      <c r="I75" s="1112"/>
    </row>
    <row r="76">
      <c r="A76" s="186"/>
      <c r="B76" s="1097"/>
      <c r="C76" s="1107"/>
      <c r="D76" s="1108"/>
      <c r="E76" s="1097"/>
      <c r="F76" s="420"/>
      <c r="G76" s="17"/>
      <c r="H76" s="17"/>
      <c r="I76" s="1112"/>
    </row>
    <row r="77">
      <c r="A77" s="186"/>
      <c r="B77" s="420"/>
      <c r="C77" s="1104"/>
      <c r="D77" s="1098"/>
      <c r="E77" s="420"/>
      <c r="F77" s="420"/>
      <c r="G77" s="17"/>
      <c r="H77" s="17"/>
      <c r="I77" s="1112"/>
    </row>
    <row r="78">
      <c r="A78" s="186"/>
      <c r="B78" s="1097"/>
      <c r="C78" s="1107"/>
      <c r="D78" s="1108"/>
      <c r="E78" s="1097"/>
      <c r="F78" s="420"/>
      <c r="G78" s="17"/>
      <c r="H78" s="17"/>
      <c r="I78" s="1112"/>
    </row>
    <row r="79">
      <c r="A79" s="186"/>
      <c r="B79" s="420"/>
      <c r="C79" s="1104"/>
      <c r="D79" s="1098"/>
      <c r="E79" s="420"/>
      <c r="F79" s="420"/>
      <c r="G79" s="17"/>
      <c r="H79" s="17"/>
      <c r="I79" s="1112"/>
    </row>
    <row r="80">
      <c r="A80" s="186"/>
      <c r="B80" s="1097"/>
      <c r="C80" s="1107"/>
      <c r="D80" s="1108"/>
      <c r="E80" s="1097"/>
      <c r="F80" s="420"/>
      <c r="G80" s="17"/>
      <c r="H80" s="17"/>
      <c r="I80" s="1112"/>
    </row>
    <row r="81">
      <c r="A81" s="93"/>
      <c r="B81" s="186"/>
      <c r="C81" s="1105"/>
      <c r="D81" s="846"/>
      <c r="E81" s="1106"/>
      <c r="F81" s="1106"/>
      <c r="G81" s="17"/>
      <c r="H81" s="1070"/>
      <c r="I81" s="1070"/>
    </row>
    <row r="82">
      <c r="A82" s="1065"/>
      <c r="B82" s="420"/>
      <c r="C82" s="1104"/>
      <c r="D82" s="1121"/>
      <c r="E82" s="1099"/>
      <c r="F82" s="1099"/>
      <c r="G82" s="1065"/>
      <c r="H82" s="17"/>
      <c r="I82" s="1112"/>
    </row>
    <row r="83">
      <c r="B83" s="1097"/>
      <c r="C83" s="1107"/>
      <c r="D83" s="1122"/>
      <c r="E83" s="1099"/>
      <c r="F83" s="1099"/>
      <c r="H83" s="17"/>
      <c r="I83" s="1112"/>
    </row>
    <row r="84">
      <c r="B84" s="420"/>
      <c r="C84" s="1104"/>
      <c r="D84" s="1121"/>
      <c r="E84" s="1099"/>
      <c r="F84" s="1099"/>
      <c r="H84" s="17"/>
      <c r="I84" s="1112"/>
    </row>
    <row r="85">
      <c r="B85" s="1097"/>
      <c r="C85" s="1097"/>
      <c r="D85" s="1098"/>
      <c r="E85" s="1097"/>
      <c r="F85" s="420"/>
      <c r="H85" s="1082"/>
      <c r="I85" s="1112"/>
    </row>
    <row r="86">
      <c r="B86" s="420"/>
      <c r="C86" s="1104"/>
      <c r="D86" s="1121"/>
      <c r="E86" s="1114"/>
      <c r="F86" s="1117"/>
      <c r="H86" s="1082"/>
      <c r="I86" s="1112"/>
    </row>
    <row r="87">
      <c r="B87" s="1097"/>
      <c r="C87" s="1107"/>
      <c r="D87" s="1122"/>
      <c r="E87" s="1118"/>
      <c r="F87" s="1117"/>
      <c r="H87" s="1082"/>
      <c r="I87" s="1112"/>
    </row>
    <row r="88">
      <c r="B88" s="1114"/>
      <c r="C88" s="1097"/>
      <c r="D88" s="1121"/>
      <c r="E88" s="1114"/>
      <c r="F88" s="1117"/>
      <c r="H88" s="1082"/>
      <c r="I88" s="1112"/>
    </row>
    <row r="89">
      <c r="B89" s="1097"/>
      <c r="C89" s="1097"/>
      <c r="D89" s="1108"/>
      <c r="E89" s="1097"/>
      <c r="F89" s="420"/>
      <c r="H89" s="1082"/>
      <c r="I89" s="1112"/>
    </row>
    <row r="90">
      <c r="B90" s="1114"/>
      <c r="C90" s="1115"/>
      <c r="D90" s="1123"/>
      <c r="E90" s="1097"/>
      <c r="F90" s="420"/>
      <c r="H90" s="1082"/>
      <c r="I90" s="1112"/>
    </row>
    <row r="91">
      <c r="B91" s="1118"/>
      <c r="C91" s="1114"/>
      <c r="D91" s="1120"/>
      <c r="E91" s="1097"/>
      <c r="F91" s="420"/>
      <c r="H91" s="17"/>
      <c r="I91" s="1112"/>
    </row>
    <row r="92">
      <c r="B92" s="1114"/>
      <c r="C92" s="1118"/>
      <c r="D92" s="1116"/>
      <c r="E92" s="1114"/>
      <c r="F92" s="1117"/>
      <c r="H92" s="17"/>
      <c r="I92" s="1112"/>
    </row>
    <row r="93">
      <c r="B93" s="1118"/>
      <c r="C93" s="1119"/>
      <c r="D93" s="1120"/>
      <c r="E93" s="1118"/>
      <c r="F93" s="1117"/>
      <c r="H93" s="17"/>
      <c r="I93" s="1112"/>
    </row>
    <row r="94">
      <c r="B94" s="1114"/>
      <c r="C94" s="1115"/>
      <c r="D94" s="1116"/>
      <c r="E94" s="1114"/>
      <c r="F94" s="1117"/>
      <c r="H94" s="17"/>
      <c r="I94" s="1112"/>
    </row>
    <row r="95">
      <c r="A95" s="186"/>
      <c r="B95" s="1118"/>
      <c r="C95" s="1119"/>
      <c r="D95" s="1120"/>
      <c r="E95" s="1118"/>
      <c r="F95" s="1117"/>
      <c r="G95" s="17"/>
      <c r="H95" s="17"/>
      <c r="I95" s="1112"/>
    </row>
    <row r="96">
      <c r="A96" s="186"/>
      <c r="B96" s="1114"/>
      <c r="C96" s="1104"/>
      <c r="D96" s="1116"/>
      <c r="E96" s="1114"/>
      <c r="F96" s="1117"/>
      <c r="G96" s="17"/>
      <c r="H96" s="1082"/>
      <c r="I96" s="1112"/>
    </row>
    <row r="97">
      <c r="A97" s="186"/>
      <c r="B97" s="1118"/>
      <c r="C97" s="1119"/>
      <c r="D97" s="1120"/>
      <c r="E97" s="1118"/>
      <c r="F97" s="1117"/>
      <c r="G97" s="17"/>
      <c r="H97" s="1082"/>
      <c r="I97" s="1112"/>
    </row>
    <row r="98">
      <c r="A98" s="186"/>
      <c r="B98" s="1114"/>
      <c r="C98" s="1115"/>
      <c r="D98" s="1116"/>
      <c r="E98" s="1114"/>
      <c r="F98" s="1117"/>
      <c r="G98" s="17"/>
      <c r="H98" s="17"/>
      <c r="I98" s="17"/>
    </row>
    <row r="99">
      <c r="A99" s="1065"/>
      <c r="B99" s="1117"/>
      <c r="C99" s="1117"/>
      <c r="D99" s="1124"/>
      <c r="E99" s="1117"/>
      <c r="F99" s="1117"/>
      <c r="G99" s="1065"/>
      <c r="H99" s="1082"/>
      <c r="I99" s="1112"/>
    </row>
    <row r="100">
      <c r="B100" s="1117"/>
      <c r="C100" s="1117"/>
      <c r="D100" s="1124"/>
      <c r="E100" s="1117"/>
      <c r="F100" s="1117"/>
      <c r="H100" s="1082"/>
      <c r="I100" s="1112"/>
    </row>
    <row r="101">
      <c r="B101" s="1117"/>
      <c r="C101" s="1117"/>
      <c r="D101" s="1124"/>
      <c r="E101" s="1117"/>
      <c r="F101" s="1117"/>
      <c r="H101" s="1082"/>
      <c r="I101" s="1112"/>
    </row>
    <row r="102">
      <c r="B102" s="1117"/>
      <c r="C102" s="1117"/>
      <c r="D102" s="1117"/>
      <c r="E102" s="1117"/>
      <c r="F102" s="1117"/>
      <c r="H102" s="17"/>
      <c r="I102" s="1112"/>
    </row>
    <row r="103">
      <c r="B103" s="1117"/>
      <c r="C103" s="1117"/>
      <c r="D103" s="1117"/>
      <c r="E103" s="1117"/>
      <c r="F103" s="1117"/>
      <c r="H103" s="17"/>
      <c r="I103" s="1112"/>
    </row>
    <row r="104" hidden="1">
      <c r="B104" s="1117"/>
      <c r="C104" s="1117"/>
      <c r="D104" s="1117"/>
      <c r="E104" s="1117"/>
      <c r="F104" s="1117"/>
      <c r="H104" s="1070"/>
      <c r="I104" s="1125"/>
    </row>
    <row r="105" hidden="1">
      <c r="B105" s="1117"/>
      <c r="C105" s="1117"/>
      <c r="D105" s="1117"/>
      <c r="E105" s="1117"/>
      <c r="F105" s="1117"/>
      <c r="H105" s="1079"/>
      <c r="I105" s="1126"/>
    </row>
    <row r="106" hidden="1">
      <c r="B106" s="1117"/>
      <c r="C106" s="1117"/>
      <c r="D106" s="1117"/>
      <c r="E106" s="1117"/>
      <c r="F106" s="1117"/>
      <c r="H106" s="1079"/>
      <c r="I106" s="1126"/>
    </row>
    <row r="107" hidden="1">
      <c r="B107" s="1117"/>
      <c r="C107" s="1117"/>
      <c r="D107" s="1117"/>
      <c r="E107" s="1117"/>
      <c r="F107" s="1117"/>
      <c r="H107" s="1079"/>
      <c r="I107" s="1126"/>
    </row>
    <row r="108" hidden="1">
      <c r="B108" s="1117"/>
      <c r="C108" s="1117"/>
      <c r="D108" s="1117"/>
      <c r="E108" s="1117"/>
      <c r="F108" s="1117"/>
      <c r="H108" s="1079"/>
      <c r="I108" s="1126"/>
    </row>
    <row r="109" hidden="1">
      <c r="B109" s="1117"/>
      <c r="C109" s="1117"/>
      <c r="D109" s="1117"/>
      <c r="E109" s="1117"/>
      <c r="F109" s="1117"/>
      <c r="H109" s="1079"/>
      <c r="I109" s="1126"/>
    </row>
    <row r="110" hidden="1">
      <c r="B110" s="1117"/>
      <c r="C110" s="1117"/>
      <c r="D110" s="1117"/>
      <c r="E110" s="1117"/>
      <c r="F110" s="1117"/>
      <c r="H110" s="1070"/>
      <c r="I110" s="1125"/>
    </row>
    <row r="111" hidden="1">
      <c r="B111" s="1117"/>
      <c r="C111" s="1117"/>
      <c r="D111" s="1117"/>
      <c r="E111" s="1117"/>
      <c r="F111" s="1117"/>
      <c r="H111" s="1079"/>
      <c r="I111" s="1126"/>
    </row>
    <row r="112" hidden="1">
      <c r="B112" s="1117"/>
      <c r="C112" s="1117"/>
      <c r="D112" s="1117"/>
      <c r="E112" s="1117"/>
      <c r="F112" s="1117"/>
      <c r="H112" s="1079"/>
      <c r="I112" s="1126"/>
    </row>
    <row r="113" hidden="1">
      <c r="B113" s="1117"/>
      <c r="C113" s="1117"/>
      <c r="D113" s="1117"/>
      <c r="E113" s="1117"/>
      <c r="F113" s="1117"/>
      <c r="H113" s="1079"/>
      <c r="I113" s="1126"/>
    </row>
    <row r="114" hidden="1">
      <c r="B114" s="1117"/>
      <c r="C114" s="1117"/>
      <c r="D114" s="1117"/>
      <c r="E114" s="1117"/>
      <c r="F114" s="1117"/>
      <c r="H114" s="1079"/>
      <c r="I114" s="1126"/>
    </row>
    <row r="115" hidden="1">
      <c r="B115" s="1117"/>
      <c r="C115" s="1117"/>
      <c r="D115" s="1117"/>
      <c r="E115" s="1117"/>
      <c r="F115" s="1117"/>
      <c r="H115" s="1070"/>
      <c r="I115" s="1125"/>
    </row>
    <row r="116" hidden="1">
      <c r="B116" s="1117"/>
      <c r="C116" s="1117"/>
      <c r="D116" s="1117"/>
      <c r="E116" s="1117"/>
      <c r="F116" s="1117"/>
      <c r="H116" s="1079"/>
      <c r="I116" s="1126"/>
    </row>
    <row r="117" hidden="1">
      <c r="B117" s="1117"/>
      <c r="C117" s="1117"/>
      <c r="D117" s="1117"/>
      <c r="E117" s="1117"/>
      <c r="F117" s="1117"/>
      <c r="H117" s="1079"/>
      <c r="I117" s="1126"/>
    </row>
    <row r="118" hidden="1">
      <c r="B118" s="1117"/>
      <c r="C118" s="1117"/>
      <c r="D118" s="1117"/>
      <c r="E118" s="1117"/>
      <c r="F118" s="1117"/>
      <c r="H118" s="1079"/>
      <c r="I118" s="1126"/>
    </row>
    <row r="119" hidden="1">
      <c r="B119" s="1117"/>
      <c r="C119" s="1117"/>
      <c r="D119" s="1117"/>
      <c r="E119" s="1117"/>
      <c r="F119" s="1117"/>
      <c r="H119" s="1079"/>
      <c r="I119" s="1126"/>
    </row>
    <row r="120" hidden="1">
      <c r="B120" s="1117"/>
      <c r="C120" s="1117"/>
      <c r="D120" s="1117"/>
      <c r="E120" s="1117"/>
      <c r="F120" s="1117"/>
      <c r="H120" s="17"/>
    </row>
    <row r="121" hidden="1">
      <c r="B121" s="1117"/>
      <c r="C121" s="1117"/>
      <c r="D121" s="1117"/>
      <c r="E121" s="1117"/>
      <c r="F121" s="1117"/>
      <c r="H121" s="17"/>
    </row>
    <row r="122" hidden="1">
      <c r="B122" s="1117"/>
      <c r="C122" s="1117"/>
      <c r="D122" s="1117"/>
      <c r="E122" s="1117"/>
      <c r="F122" s="1117"/>
      <c r="H122" s="17"/>
    </row>
    <row r="123" hidden="1">
      <c r="B123" s="1117"/>
      <c r="C123" s="1117"/>
      <c r="D123" s="1117"/>
      <c r="E123" s="1117"/>
      <c r="F123" s="1117"/>
      <c r="H123" s="17"/>
    </row>
    <row r="124" hidden="1">
      <c r="B124" s="1117"/>
      <c r="C124" s="1117"/>
      <c r="D124" s="1117"/>
      <c r="E124" s="1117"/>
      <c r="F124" s="1117"/>
      <c r="H124" s="17"/>
    </row>
    <row r="125" hidden="1">
      <c r="B125" s="1117"/>
      <c r="C125" s="1117"/>
      <c r="D125" s="1117"/>
      <c r="E125" s="1117"/>
      <c r="F125" s="1117"/>
      <c r="H125" s="17"/>
    </row>
    <row r="126" hidden="1">
      <c r="B126" s="1117"/>
      <c r="C126" s="1117"/>
      <c r="D126" s="1117"/>
      <c r="E126" s="1117"/>
      <c r="F126" s="1117"/>
      <c r="H126" s="17"/>
    </row>
    <row r="127" hidden="1">
      <c r="B127" s="1117"/>
      <c r="C127" s="1117"/>
      <c r="D127" s="1117"/>
      <c r="E127" s="1117"/>
      <c r="F127" s="1117"/>
      <c r="H127" s="17"/>
    </row>
    <row r="128" hidden="1">
      <c r="B128" s="1117"/>
      <c r="C128" s="1117"/>
      <c r="D128" s="1117"/>
      <c r="E128" s="1117"/>
      <c r="F128" s="1117"/>
      <c r="H128" s="17"/>
    </row>
    <row r="129" hidden="1">
      <c r="B129" s="1117"/>
      <c r="C129" s="1117"/>
      <c r="D129" s="1117"/>
      <c r="E129" s="1117"/>
      <c r="F129" s="1117"/>
      <c r="H129" s="17"/>
    </row>
    <row r="130" hidden="1">
      <c r="B130" s="1117"/>
      <c r="C130" s="1117"/>
      <c r="D130" s="1117"/>
      <c r="E130" s="1117"/>
      <c r="F130" s="1117"/>
      <c r="H130" s="17"/>
    </row>
    <row r="131" hidden="1">
      <c r="B131" s="1117"/>
      <c r="C131" s="1117"/>
      <c r="D131" s="1117"/>
      <c r="E131" s="1117"/>
      <c r="F131" s="1117"/>
      <c r="H131" s="17"/>
    </row>
    <row r="132" hidden="1">
      <c r="B132" s="1117"/>
      <c r="C132" s="1117"/>
      <c r="D132" s="1117"/>
      <c r="E132" s="1117"/>
      <c r="F132" s="1117"/>
      <c r="H132" s="17"/>
    </row>
    <row r="133" hidden="1">
      <c r="B133" s="1117"/>
      <c r="C133" s="1117"/>
      <c r="D133" s="1117"/>
      <c r="E133" s="1117"/>
      <c r="F133" s="1117"/>
      <c r="H133" s="17"/>
    </row>
    <row r="134" hidden="1">
      <c r="B134" s="1117"/>
      <c r="C134" s="1117"/>
      <c r="D134" s="1117"/>
      <c r="E134" s="1117"/>
      <c r="F134" s="1117"/>
      <c r="H134" s="17"/>
    </row>
    <row r="135" hidden="1">
      <c r="B135" s="1117"/>
      <c r="C135" s="1117"/>
      <c r="D135" s="1117"/>
      <c r="E135" s="1117"/>
      <c r="F135" s="1117"/>
      <c r="H135" s="17"/>
    </row>
    <row r="136" hidden="1">
      <c r="B136" s="1117"/>
      <c r="C136" s="1117"/>
      <c r="D136" s="1117"/>
      <c r="E136" s="1117"/>
      <c r="F136" s="1117"/>
      <c r="H136" s="17"/>
    </row>
    <row r="137" hidden="1">
      <c r="B137" s="1117"/>
      <c r="C137" s="1117"/>
      <c r="D137" s="1117"/>
      <c r="E137" s="1117"/>
      <c r="F137" s="1117"/>
      <c r="H137" s="17"/>
    </row>
    <row r="138" hidden="1">
      <c r="B138" s="1117"/>
      <c r="C138" s="1117"/>
      <c r="D138" s="1117"/>
      <c r="E138" s="1117"/>
      <c r="F138" s="1117"/>
      <c r="H138" s="17"/>
    </row>
    <row r="139" hidden="1">
      <c r="B139" s="1117"/>
      <c r="C139" s="1117"/>
      <c r="D139" s="1117"/>
      <c r="E139" s="1117"/>
      <c r="F139" s="1117"/>
      <c r="H139" s="17"/>
    </row>
    <row r="140" hidden="1">
      <c r="B140" s="1117"/>
      <c r="C140" s="1117"/>
      <c r="D140" s="1117"/>
      <c r="E140" s="1117"/>
      <c r="F140" s="1117"/>
      <c r="H140" s="17"/>
    </row>
    <row r="141" hidden="1">
      <c r="B141" s="1117"/>
      <c r="C141" s="1117"/>
      <c r="D141" s="1117"/>
      <c r="E141" s="1117"/>
      <c r="F141" s="1117"/>
      <c r="H141" s="17"/>
    </row>
    <row r="142" hidden="1">
      <c r="B142" s="1117"/>
      <c r="C142" s="1117"/>
      <c r="D142" s="1117"/>
      <c r="E142" s="1117"/>
      <c r="F142" s="1117"/>
      <c r="H142" s="17"/>
    </row>
    <row r="143" hidden="1">
      <c r="B143" s="1117"/>
      <c r="C143" s="1117"/>
      <c r="D143" s="1117"/>
      <c r="E143" s="1117"/>
      <c r="F143" s="1117"/>
      <c r="H143" s="17"/>
    </row>
    <row r="144" hidden="1">
      <c r="B144" s="1117"/>
      <c r="C144" s="1117"/>
      <c r="D144" s="1117"/>
      <c r="E144" s="1117"/>
      <c r="F144" s="1117"/>
      <c r="H144" s="17"/>
    </row>
    <row r="145">
      <c r="B145" s="1117"/>
      <c r="C145" s="1117"/>
      <c r="D145" s="1117"/>
      <c r="E145" s="1117"/>
      <c r="F145" s="1117"/>
      <c r="H145" s="17"/>
    </row>
    <row r="146">
      <c r="B146" s="186"/>
      <c r="C146" s="186"/>
      <c r="D146" s="1127"/>
      <c r="E146" s="186"/>
      <c r="F146" s="186"/>
      <c r="H146" s="17"/>
    </row>
    <row r="147">
      <c r="B147" s="186"/>
      <c r="C147" s="186"/>
      <c r="D147" s="1127"/>
      <c r="E147" s="186"/>
      <c r="F147" s="186"/>
      <c r="H147" s="17"/>
    </row>
    <row r="148">
      <c r="B148" s="186"/>
      <c r="C148" s="186"/>
      <c r="D148" s="1127"/>
      <c r="E148" s="186"/>
      <c r="F148" s="186"/>
      <c r="H148" s="1082"/>
    </row>
    <row r="149">
      <c r="B149" s="186"/>
      <c r="C149" s="186"/>
      <c r="D149" s="1127"/>
      <c r="E149" s="186"/>
      <c r="F149" s="186"/>
      <c r="H149" s="1082"/>
    </row>
    <row r="150">
      <c r="B150" s="186"/>
      <c r="C150" s="186"/>
      <c r="D150" s="1127"/>
      <c r="E150" s="186"/>
      <c r="F150" s="186"/>
      <c r="H150" s="1082"/>
    </row>
    <row r="151">
      <c r="B151" s="186"/>
      <c r="C151" s="186"/>
      <c r="D151" s="1127"/>
      <c r="E151" s="186"/>
      <c r="F151" s="186"/>
      <c r="H151" s="1082"/>
    </row>
    <row r="152">
      <c r="B152" s="186"/>
      <c r="C152" s="186"/>
      <c r="D152" s="1127"/>
      <c r="E152" s="186"/>
      <c r="F152" s="186"/>
      <c r="H152" s="1082"/>
    </row>
    <row r="153">
      <c r="B153" s="186"/>
      <c r="C153" s="186"/>
      <c r="D153" s="1127"/>
      <c r="E153" s="186"/>
      <c r="F153" s="186"/>
      <c r="H153" s="1082"/>
    </row>
    <row r="154">
      <c r="B154" s="186"/>
      <c r="C154" s="186"/>
      <c r="D154" s="1127"/>
      <c r="E154" s="186"/>
      <c r="F154" s="186"/>
      <c r="H154" s="17"/>
    </row>
    <row r="155">
      <c r="B155" s="186"/>
      <c r="C155" s="186"/>
      <c r="D155" s="1127"/>
      <c r="E155" s="186"/>
      <c r="F155" s="186"/>
      <c r="H155" s="17"/>
    </row>
    <row r="156">
      <c r="B156" s="186"/>
      <c r="C156" s="186"/>
      <c r="D156" s="1127"/>
      <c r="E156" s="186"/>
      <c r="F156" s="186"/>
      <c r="H156" s="17"/>
    </row>
    <row r="157">
      <c r="B157" s="186"/>
      <c r="C157" s="186"/>
      <c r="D157" s="1127"/>
      <c r="E157" s="186"/>
      <c r="F157" s="186"/>
      <c r="H157" s="17"/>
    </row>
    <row r="158">
      <c r="B158" s="186"/>
      <c r="C158" s="186"/>
      <c r="D158" s="1127"/>
      <c r="E158" s="186"/>
      <c r="F158" s="186"/>
      <c r="H158" s="17"/>
    </row>
    <row r="159">
      <c r="A159" s="186"/>
      <c r="B159" s="1114"/>
      <c r="C159" s="1115"/>
      <c r="D159" s="1116"/>
      <c r="E159" s="1114"/>
      <c r="F159" s="1117"/>
      <c r="G159" s="17"/>
      <c r="H159" s="17"/>
    </row>
    <row r="160">
      <c r="A160" s="1065"/>
      <c r="B160" s="420"/>
      <c r="C160" s="186"/>
      <c r="D160" s="1127"/>
      <c r="E160" s="186"/>
      <c r="F160" s="186"/>
      <c r="G160" s="1065"/>
      <c r="H160" s="1082"/>
    </row>
    <row r="161">
      <c r="B161" s="186"/>
      <c r="C161" s="186"/>
      <c r="D161" s="1127"/>
      <c r="E161" s="186"/>
      <c r="F161" s="186"/>
      <c r="H161" s="17"/>
    </row>
    <row r="162">
      <c r="B162" s="186"/>
      <c r="C162" s="186"/>
      <c r="D162" s="1127"/>
      <c r="E162" s="186"/>
      <c r="F162" s="186"/>
      <c r="H162" s="17"/>
    </row>
    <row r="163">
      <c r="B163" s="186"/>
      <c r="C163" s="186"/>
      <c r="D163" s="1127"/>
      <c r="E163" s="186"/>
      <c r="F163" s="186"/>
      <c r="H163" s="17"/>
    </row>
    <row r="164">
      <c r="B164" s="186"/>
      <c r="C164" s="186"/>
      <c r="D164" s="1127"/>
      <c r="E164" s="186"/>
      <c r="F164" s="186"/>
      <c r="H164" s="17"/>
    </row>
    <row r="165">
      <c r="B165" s="186"/>
      <c r="C165" s="186"/>
      <c r="D165" s="1127"/>
      <c r="E165" s="186"/>
      <c r="F165" s="186"/>
      <c r="H165" s="17"/>
    </row>
    <row r="166">
      <c r="B166" s="186"/>
      <c r="C166" s="186"/>
      <c r="D166" s="1127"/>
      <c r="E166" s="186"/>
      <c r="F166" s="186"/>
      <c r="H166" s="17"/>
    </row>
    <row r="167">
      <c r="B167" s="186"/>
      <c r="C167" s="186"/>
      <c r="D167" s="1127"/>
      <c r="E167" s="186"/>
      <c r="F167" s="186"/>
      <c r="H167" s="17"/>
    </row>
    <row r="168">
      <c r="B168" s="186"/>
      <c r="C168" s="186"/>
      <c r="D168" s="1127"/>
      <c r="E168" s="186"/>
      <c r="F168" s="186"/>
      <c r="H168" s="17"/>
    </row>
    <row r="169">
      <c r="B169" s="186"/>
      <c r="C169" s="186"/>
      <c r="D169" s="1127"/>
      <c r="E169" s="186"/>
      <c r="F169" s="186"/>
      <c r="H169" s="17"/>
    </row>
    <row r="170">
      <c r="B170" s="186"/>
      <c r="C170" s="186"/>
      <c r="D170" s="1127"/>
      <c r="E170" s="186"/>
      <c r="F170" s="186"/>
      <c r="H170" s="17"/>
    </row>
    <row r="171">
      <c r="B171" s="186"/>
      <c r="C171" s="186"/>
      <c r="D171" s="1127"/>
      <c r="E171" s="186"/>
      <c r="F171" s="186"/>
      <c r="H171" s="17"/>
    </row>
    <row r="172">
      <c r="B172" s="186"/>
      <c r="C172" s="186"/>
      <c r="D172" s="1127"/>
      <c r="E172" s="186"/>
      <c r="F172" s="186"/>
      <c r="H172" s="17"/>
    </row>
    <row r="173">
      <c r="B173" s="186"/>
      <c r="C173" s="186"/>
      <c r="D173" s="1127"/>
      <c r="E173" s="186"/>
      <c r="F173" s="186"/>
      <c r="H173" s="17"/>
    </row>
    <row r="174">
      <c r="B174" s="186"/>
      <c r="C174" s="186"/>
      <c r="D174" s="1127"/>
      <c r="E174" s="186"/>
      <c r="F174" s="186"/>
      <c r="H174" s="17"/>
    </row>
    <row r="175">
      <c r="B175" s="186"/>
      <c r="C175" s="186"/>
      <c r="D175" s="1127"/>
      <c r="E175" s="186"/>
      <c r="F175" s="186"/>
      <c r="H175" s="17"/>
    </row>
    <row r="176">
      <c r="B176" s="1114"/>
      <c r="C176" s="1115"/>
      <c r="D176" s="1116"/>
      <c r="E176" s="1114"/>
      <c r="F176" s="1117"/>
      <c r="H176" s="17"/>
    </row>
  </sheetData>
  <mergeCells count="22">
    <mergeCell ref="B15:F15"/>
    <mergeCell ref="B21:F21"/>
    <mergeCell ref="A18:A33"/>
    <mergeCell ref="A36:A48"/>
    <mergeCell ref="A59:A71"/>
    <mergeCell ref="A82:A94"/>
    <mergeCell ref="A99:A158"/>
    <mergeCell ref="A160:A176"/>
    <mergeCell ref="C35:D35"/>
    <mergeCell ref="C58:D58"/>
    <mergeCell ref="G59:G71"/>
    <mergeCell ref="C81:D81"/>
    <mergeCell ref="G82:G94"/>
    <mergeCell ref="G99:G158"/>
    <mergeCell ref="G160:G176"/>
    <mergeCell ref="B2:F2"/>
    <mergeCell ref="A3:A13"/>
    <mergeCell ref="G3:G13"/>
    <mergeCell ref="B6:F6"/>
    <mergeCell ref="B11:F11"/>
    <mergeCell ref="G19:G33"/>
    <mergeCell ref="G36:G48"/>
  </mergeCells>
  <conditionalFormatting sqref="E1:F1 E3:F5 E7:F10 E16:F20 E22:F98 E146:F176">
    <cfRule type="cellIs" dxfId="25" priority="1" operator="equal">
      <formula>"Sandbox"</formula>
    </cfRule>
  </conditionalFormatting>
  <conditionalFormatting sqref="E1:F1 E3:F5 E7:F10 E16:F20 E22:F98 E146:F176">
    <cfRule type="cellIs" dxfId="2" priority="2" operator="equal">
      <formula>"Foundry"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5"/>
    <col customWidth="1" min="2" max="2" width="24.0"/>
    <col customWidth="1" min="3" max="3" width="14.5"/>
    <col customWidth="1" hidden="1" min="4" max="6" width="5.25"/>
    <col customWidth="1" min="7" max="7" width="5.0"/>
    <col customWidth="1" min="8" max="8" width="5.88"/>
    <col customWidth="1" min="9" max="9" width="5.0"/>
    <col customWidth="1" min="10" max="10" width="5.88"/>
    <col customWidth="1" min="11" max="11" width="6.88"/>
    <col customWidth="1" min="12" max="12" width="6.5"/>
    <col customWidth="1" min="13" max="13" width="6.63"/>
    <col customWidth="1" min="14" max="14" width="6.5"/>
    <col customWidth="1" min="15" max="15" width="8.5"/>
    <col customWidth="1" min="16" max="16" width="8.88"/>
    <col customWidth="1" min="17" max="17" width="9.5"/>
    <col customWidth="1" min="18" max="18" width="10.5"/>
    <col customWidth="1" min="19" max="19" width="10.38"/>
    <col customWidth="1" min="20" max="20" width="11.63"/>
    <col customWidth="1" min="21" max="21" width="12.88"/>
    <col customWidth="1" min="22" max="22" width="11.88"/>
    <col customWidth="1" min="23" max="23" width="9.38"/>
    <col customWidth="1" min="24" max="24" width="11.63"/>
    <col customWidth="1" min="25" max="25" width="10.13"/>
    <col customWidth="1" min="26" max="26" width="9.0"/>
    <col customWidth="1" min="27" max="27" width="8.0"/>
    <col customWidth="1" min="28" max="28" width="10.0"/>
    <col customWidth="1" min="29" max="29" width="10.13"/>
    <col customWidth="1" min="30" max="30" width="11.88"/>
    <col customWidth="1" min="31" max="31" width="11.13"/>
    <col customWidth="1" min="32" max="32" width="12.63"/>
    <col customWidth="1" min="33" max="33" width="9.0"/>
    <col customWidth="1" min="34" max="34" width="7.63"/>
    <col customWidth="1" min="35" max="35" width="9.0"/>
    <col customWidth="1" min="36" max="36" width="12.5"/>
    <col customWidth="1" min="37" max="37" width="13.25"/>
    <col customWidth="1" min="38" max="38" width="8.5"/>
    <col customWidth="1" min="39" max="39" width="9.13"/>
    <col customWidth="1" min="40" max="40" width="13.25"/>
    <col customWidth="1" min="41" max="41" width="15.0"/>
    <col customWidth="1" min="42" max="42" width="7.5"/>
    <col customWidth="1" min="43" max="43" width="10.0"/>
    <col customWidth="1" min="44" max="44" width="10.13"/>
    <col customWidth="1" min="45" max="45" width="11.38"/>
    <col customWidth="1" min="46" max="46" width="12.13"/>
    <col customWidth="1" min="47" max="47" width="11.25"/>
    <col customWidth="1" min="48" max="48" width="11.13"/>
    <col customWidth="1" min="49" max="49" width="11.5"/>
    <col customWidth="1" min="50" max="50" width="10.75"/>
    <col customWidth="1" min="51" max="51" width="11.0"/>
    <col customWidth="1" min="52" max="52" width="9.38"/>
    <col customWidth="1" min="53" max="53" width="9.63"/>
    <col customWidth="1" hidden="1" min="54" max="54" width="9.38"/>
  </cols>
  <sheetData>
    <row r="1">
      <c r="A1" s="12" t="s">
        <v>632</v>
      </c>
      <c r="B1" s="12" t="s">
        <v>188</v>
      </c>
      <c r="C1" s="12" t="s">
        <v>394</v>
      </c>
      <c r="D1" s="12" t="s">
        <v>633</v>
      </c>
      <c r="E1" s="1" t="s">
        <v>634</v>
      </c>
      <c r="F1" s="1" t="s">
        <v>635</v>
      </c>
      <c r="G1" s="12" t="s">
        <v>189</v>
      </c>
      <c r="H1" s="12" t="s">
        <v>636</v>
      </c>
      <c r="I1" s="12" t="s">
        <v>20</v>
      </c>
      <c r="J1" s="12" t="s">
        <v>21</v>
      </c>
      <c r="K1" s="12" t="s">
        <v>22</v>
      </c>
      <c r="L1" s="12" t="s">
        <v>23</v>
      </c>
      <c r="M1" s="12" t="s">
        <v>24</v>
      </c>
      <c r="N1" s="12" t="s">
        <v>25</v>
      </c>
      <c r="O1" s="12" t="s">
        <v>26</v>
      </c>
      <c r="P1" s="12" t="s">
        <v>27</v>
      </c>
      <c r="Q1" s="12" t="s">
        <v>28</v>
      </c>
      <c r="R1" s="12" t="s">
        <v>29</v>
      </c>
      <c r="S1" s="12" t="s">
        <v>30</v>
      </c>
      <c r="T1" s="12" t="s">
        <v>31</v>
      </c>
      <c r="U1" s="12" t="s">
        <v>32</v>
      </c>
      <c r="V1" s="12" t="s">
        <v>637</v>
      </c>
      <c r="W1" s="12" t="s">
        <v>337</v>
      </c>
      <c r="X1" s="12" t="s">
        <v>339</v>
      </c>
      <c r="Y1" s="12" t="s">
        <v>33</v>
      </c>
      <c r="Z1" s="12" t="s">
        <v>34</v>
      </c>
      <c r="AA1" s="12" t="s">
        <v>35</v>
      </c>
      <c r="AB1" s="12" t="s">
        <v>36</v>
      </c>
      <c r="AC1" s="12" t="s">
        <v>37</v>
      </c>
      <c r="AD1" s="12" t="s">
        <v>38</v>
      </c>
      <c r="AE1" s="12" t="s">
        <v>39</v>
      </c>
      <c r="AF1" s="12" t="s">
        <v>542</v>
      </c>
      <c r="AG1" s="12" t="s">
        <v>543</v>
      </c>
      <c r="AH1" s="12" t="s">
        <v>349</v>
      </c>
      <c r="AI1" s="12" t="s">
        <v>40</v>
      </c>
      <c r="AJ1" s="12" t="s">
        <v>638</v>
      </c>
      <c r="AK1" s="12" t="s">
        <v>350</v>
      </c>
      <c r="AL1" s="12" t="s">
        <v>41</v>
      </c>
      <c r="AM1" s="12" t="s">
        <v>42</v>
      </c>
      <c r="AN1" s="12" t="s">
        <v>639</v>
      </c>
      <c r="AO1" s="12" t="s">
        <v>43</v>
      </c>
      <c r="AP1" s="12" t="s">
        <v>44</v>
      </c>
      <c r="AQ1" s="12" t="s">
        <v>45</v>
      </c>
      <c r="AR1" s="12" t="s">
        <v>46</v>
      </c>
      <c r="AS1" s="12" t="s">
        <v>47</v>
      </c>
      <c r="AT1" s="12" t="s">
        <v>48</v>
      </c>
      <c r="AU1" s="12" t="s">
        <v>49</v>
      </c>
      <c r="AV1" s="12" t="s">
        <v>50</v>
      </c>
      <c r="AW1" s="12" t="s">
        <v>51</v>
      </c>
      <c r="AX1" s="12" t="s">
        <v>52</v>
      </c>
      <c r="AY1" s="12" t="s">
        <v>53</v>
      </c>
      <c r="AZ1" s="12" t="s">
        <v>54</v>
      </c>
      <c r="BA1" s="12" t="s">
        <v>55</v>
      </c>
      <c r="BB1" s="1" t="s">
        <v>640</v>
      </c>
    </row>
    <row r="2">
      <c r="A2" s="1128" t="str">
        <f t="array" ref="A2">IFERROR(INDEX(TeamInfo!$1:$45,MATCH(C2,TeamInfo!C:C,0),1),"")</f>
        <v/>
      </c>
      <c r="B2" s="1128" t="str">
        <f t="array" ref="B2">IFERROR(INDEX(TeamInfo!$1:$45,MATCH(C2,TeamInfo!C:C,0),2),"")</f>
        <v/>
      </c>
      <c r="C2" s="1129"/>
      <c r="D2" s="1129"/>
      <c r="E2" s="1129"/>
      <c r="F2" s="1129"/>
      <c r="G2" s="1130"/>
      <c r="H2" s="1130"/>
      <c r="I2" s="1130"/>
      <c r="J2" s="1130"/>
      <c r="K2" s="1130"/>
      <c r="L2" s="1130"/>
      <c r="M2" s="1130"/>
      <c r="N2" s="1130"/>
      <c r="O2" s="1130"/>
      <c r="P2" s="1130"/>
      <c r="Q2" s="1130"/>
      <c r="R2" s="1130"/>
      <c r="S2" s="1130"/>
      <c r="T2" s="1130"/>
      <c r="U2" s="1130"/>
      <c r="V2" s="1130"/>
      <c r="W2" s="1130"/>
      <c r="X2" s="1130"/>
      <c r="Y2" s="1130"/>
      <c r="Z2" s="1130"/>
      <c r="AA2" s="1130"/>
      <c r="AB2" s="1130"/>
      <c r="AC2" s="1130"/>
      <c r="AD2" s="1130"/>
      <c r="AE2" s="1130"/>
      <c r="AF2" s="1130"/>
      <c r="AG2" s="1130"/>
      <c r="AH2" s="1130"/>
      <c r="AI2" s="1130"/>
      <c r="AJ2" s="1130"/>
      <c r="AK2" s="1130"/>
      <c r="AL2" s="1130"/>
      <c r="AM2" s="1130"/>
      <c r="AN2" s="1130"/>
      <c r="AO2" s="1130"/>
      <c r="AP2" s="1130"/>
      <c r="AQ2" s="1130"/>
      <c r="AR2" s="1130"/>
      <c r="AS2" s="1130"/>
      <c r="AT2" s="1130"/>
      <c r="AU2" s="1130"/>
      <c r="AV2" s="1130"/>
      <c r="AW2" s="1130"/>
      <c r="AX2" s="1130"/>
      <c r="AY2" s="1130"/>
      <c r="AZ2" s="1130"/>
      <c r="BA2" s="1130"/>
      <c r="BB2" s="427"/>
    </row>
    <row r="3">
      <c r="A3" s="1128" t="str">
        <f t="array" ref="A3">IFERROR(INDEX(TeamInfo!$1:$45,MATCH(C3,TeamInfo!C:C,0),1),"")</f>
        <v/>
      </c>
      <c r="B3" s="1128" t="str">
        <f t="array" ref="B3">IFERROR(INDEX(TeamInfo!$1:$45,MATCH(C3,TeamInfo!C:C,0),2),"")</f>
        <v/>
      </c>
      <c r="C3" s="1129"/>
      <c r="D3" s="1129"/>
      <c r="E3" s="1129"/>
      <c r="F3" s="1129"/>
      <c r="G3" s="1130"/>
      <c r="H3" s="1130"/>
      <c r="I3" s="1130"/>
      <c r="J3" s="1130"/>
      <c r="K3" s="1130"/>
      <c r="L3" s="1130"/>
      <c r="M3" s="1130"/>
      <c r="N3" s="1130"/>
      <c r="O3" s="1130"/>
      <c r="P3" s="1130"/>
      <c r="Q3" s="1130"/>
      <c r="R3" s="1130"/>
      <c r="S3" s="1130"/>
      <c r="T3" s="1130"/>
      <c r="U3" s="1130"/>
      <c r="V3" s="1130"/>
      <c r="W3" s="1130"/>
      <c r="X3" s="1130"/>
      <c r="Y3" s="1130"/>
      <c r="Z3" s="1130"/>
      <c r="AA3" s="1130"/>
      <c r="AB3" s="1130"/>
      <c r="AC3" s="1130"/>
      <c r="AD3" s="1130"/>
      <c r="AE3" s="1130"/>
      <c r="AF3" s="1130"/>
      <c r="AG3" s="1130"/>
      <c r="AH3" s="1130"/>
      <c r="AI3" s="1130"/>
      <c r="AJ3" s="1130"/>
      <c r="AK3" s="1130"/>
      <c r="AL3" s="1130"/>
      <c r="AM3" s="1130"/>
      <c r="AN3" s="1130"/>
      <c r="AO3" s="1130"/>
      <c r="AP3" s="1130"/>
      <c r="AQ3" s="1130"/>
      <c r="AR3" s="1130"/>
      <c r="AS3" s="1130"/>
      <c r="AT3" s="1130"/>
      <c r="AU3" s="1130"/>
      <c r="AV3" s="1130"/>
      <c r="AW3" s="1130"/>
      <c r="AX3" s="1130"/>
      <c r="AY3" s="1130"/>
      <c r="AZ3" s="1130"/>
      <c r="BA3" s="1130"/>
      <c r="BB3" s="427"/>
    </row>
    <row r="4">
      <c r="A4" s="1128" t="str">
        <f t="array" ref="A4">IFERROR(INDEX(TeamInfo!$1:$45,MATCH(C4,TeamInfo!C:C,0),1),"")</f>
        <v/>
      </c>
      <c r="B4" s="1128" t="str">
        <f t="array" ref="B4">IFERROR(INDEX(TeamInfo!$1:$45,MATCH(C4,TeamInfo!C:C,0),2),"")</f>
        <v/>
      </c>
      <c r="C4" s="1129"/>
      <c r="D4" s="1129"/>
      <c r="E4" s="1129"/>
      <c r="F4" s="1129"/>
      <c r="G4" s="1130"/>
      <c r="H4" s="1130"/>
      <c r="I4" s="1130"/>
      <c r="J4" s="1130"/>
      <c r="K4" s="1130"/>
      <c r="L4" s="1130"/>
      <c r="M4" s="1130"/>
      <c r="N4" s="1130"/>
      <c r="O4" s="1130"/>
      <c r="P4" s="1130"/>
      <c r="Q4" s="1130"/>
      <c r="R4" s="1130"/>
      <c r="S4" s="1130"/>
      <c r="T4" s="1130"/>
      <c r="U4" s="1130"/>
      <c r="V4" s="1130"/>
      <c r="W4" s="1130"/>
      <c r="X4" s="1130"/>
      <c r="Y4" s="1130"/>
      <c r="Z4" s="1130"/>
      <c r="AA4" s="1130"/>
      <c r="AB4" s="1130"/>
      <c r="AC4" s="1130"/>
      <c r="AD4" s="1130"/>
      <c r="AE4" s="1130"/>
      <c r="AF4" s="1130"/>
      <c r="AG4" s="1130"/>
      <c r="AH4" s="1130"/>
      <c r="AI4" s="1130"/>
      <c r="AJ4" s="1130"/>
      <c r="AK4" s="1130"/>
      <c r="AL4" s="1130"/>
      <c r="AM4" s="1130"/>
      <c r="AN4" s="1130"/>
      <c r="AO4" s="1130"/>
      <c r="AP4" s="1130"/>
      <c r="AQ4" s="1130"/>
      <c r="AR4" s="1130"/>
      <c r="AS4" s="1130"/>
      <c r="AT4" s="1130"/>
      <c r="AU4" s="1130"/>
      <c r="AV4" s="1130"/>
      <c r="AW4" s="1130"/>
      <c r="AX4" s="1130"/>
      <c r="AY4" s="1130"/>
      <c r="AZ4" s="1130"/>
      <c r="BA4" s="1130"/>
      <c r="BB4" s="427"/>
    </row>
    <row r="5">
      <c r="A5" s="1128" t="str">
        <f t="array" ref="A5">IFERROR(INDEX(TeamInfo!$1:$45,MATCH(C5,TeamInfo!C:C,0),1),"")</f>
        <v/>
      </c>
      <c r="B5" s="1128" t="str">
        <f t="array" ref="B5">IFERROR(INDEX(TeamInfo!$1:$45,MATCH(C5,TeamInfo!C:C,0),2),"")</f>
        <v/>
      </c>
      <c r="C5" s="1129"/>
      <c r="D5" s="1129"/>
      <c r="E5" s="1129"/>
      <c r="F5" s="1129"/>
      <c r="G5" s="1130"/>
      <c r="H5" s="1130"/>
      <c r="I5" s="1130"/>
      <c r="J5" s="1130"/>
      <c r="K5" s="1130"/>
      <c r="L5" s="1130"/>
      <c r="M5" s="1130"/>
      <c r="N5" s="1130"/>
      <c r="O5" s="1130"/>
      <c r="P5" s="1130"/>
      <c r="Q5" s="1130"/>
      <c r="R5" s="1130"/>
      <c r="S5" s="1130"/>
      <c r="T5" s="1130"/>
      <c r="U5" s="1130"/>
      <c r="V5" s="1130"/>
      <c r="W5" s="1130"/>
      <c r="X5" s="1130"/>
      <c r="Y5" s="1130"/>
      <c r="Z5" s="1130"/>
      <c r="AA5" s="1130"/>
      <c r="AB5" s="1130"/>
      <c r="AC5" s="1130"/>
      <c r="AD5" s="1130"/>
      <c r="AE5" s="1130"/>
      <c r="AF5" s="1130"/>
      <c r="AG5" s="1130"/>
      <c r="AH5" s="1130"/>
      <c r="AI5" s="1130"/>
      <c r="AJ5" s="1130"/>
      <c r="AK5" s="1130"/>
      <c r="AL5" s="1130"/>
      <c r="AM5" s="1130"/>
      <c r="AN5" s="1130"/>
      <c r="AO5" s="1130"/>
      <c r="AP5" s="1130"/>
      <c r="AQ5" s="1130"/>
      <c r="AR5" s="1130"/>
      <c r="AS5" s="1130"/>
      <c r="AT5" s="1130"/>
      <c r="AU5" s="1130"/>
      <c r="AV5" s="1130"/>
      <c r="AW5" s="1130"/>
      <c r="AX5" s="1130"/>
      <c r="AY5" s="1130"/>
      <c r="AZ5" s="1130"/>
      <c r="BA5" s="1130"/>
      <c r="BB5" s="427"/>
    </row>
    <row r="6">
      <c r="A6" s="1131" t="str">
        <f t="array" ref="A6">IFERROR(INDEX(TeamInfo!$1:$45,MATCH(C6,TeamInfo!C:C,0),1),"")</f>
        <v/>
      </c>
      <c r="B6" s="1131" t="str">
        <f t="array" ref="B6">IFERROR(INDEX(TeamInfo!$1:$45,MATCH(C6,TeamInfo!C:C,0),2),"")</f>
        <v/>
      </c>
      <c r="C6" s="905"/>
      <c r="D6" s="905"/>
      <c r="E6" s="905"/>
      <c r="F6" s="905"/>
      <c r="G6" s="906"/>
      <c r="H6" s="906"/>
      <c r="I6" s="906"/>
      <c r="J6" s="906"/>
      <c r="K6" s="906"/>
      <c r="L6" s="906"/>
      <c r="M6" s="906"/>
      <c r="N6" s="906"/>
      <c r="O6" s="906"/>
      <c r="P6" s="906"/>
      <c r="Q6" s="906"/>
      <c r="R6" s="906"/>
      <c r="S6" s="906"/>
      <c r="T6" s="906"/>
      <c r="U6" s="906"/>
      <c r="V6" s="906"/>
      <c r="W6" s="906"/>
      <c r="X6" s="906"/>
      <c r="Y6" s="906"/>
      <c r="Z6" s="906"/>
      <c r="AA6" s="906"/>
      <c r="AB6" s="906"/>
      <c r="AC6" s="906"/>
      <c r="AD6" s="906"/>
      <c r="AE6" s="906"/>
      <c r="AF6" s="906"/>
      <c r="AG6" s="906"/>
      <c r="AH6" s="906"/>
      <c r="AI6" s="906"/>
      <c r="AJ6" s="906"/>
      <c r="AK6" s="906"/>
      <c r="AL6" s="906"/>
      <c r="AM6" s="906"/>
      <c r="AN6" s="906"/>
      <c r="AO6" s="906"/>
      <c r="AP6" s="906"/>
      <c r="AQ6" s="906"/>
      <c r="AR6" s="906"/>
      <c r="AS6" s="906"/>
      <c r="AT6" s="906"/>
      <c r="AU6" s="906"/>
      <c r="AV6" s="906"/>
      <c r="AW6" s="906"/>
      <c r="AX6" s="906"/>
      <c r="AY6" s="906"/>
      <c r="AZ6" s="906"/>
      <c r="BA6" s="906"/>
      <c r="BB6" s="1132"/>
    </row>
    <row r="7">
      <c r="A7" s="1131" t="str">
        <f t="array" ref="A7">IFERROR(INDEX(TeamInfo!$1:$45,MATCH(C7,TeamInfo!C:C,0),1),"")</f>
        <v/>
      </c>
      <c r="B7" s="1131" t="str">
        <f t="array" ref="B7">IFERROR(INDEX(TeamInfo!$1:$45,MATCH(C7,TeamInfo!C:C,0),2),"")</f>
        <v/>
      </c>
      <c r="C7" s="905"/>
      <c r="D7" s="905"/>
      <c r="E7" s="905"/>
      <c r="F7" s="905"/>
      <c r="G7" s="906"/>
      <c r="H7" s="906"/>
      <c r="I7" s="906"/>
      <c r="J7" s="906"/>
      <c r="K7" s="906"/>
      <c r="L7" s="906"/>
      <c r="M7" s="906"/>
      <c r="N7" s="906"/>
      <c r="O7" s="906"/>
      <c r="P7" s="906"/>
      <c r="Q7" s="906"/>
      <c r="R7" s="906"/>
      <c r="S7" s="906"/>
      <c r="T7" s="906"/>
      <c r="U7" s="906"/>
      <c r="V7" s="906"/>
      <c r="W7" s="906"/>
      <c r="X7" s="906"/>
      <c r="Y7" s="906"/>
      <c r="Z7" s="906"/>
      <c r="AA7" s="906"/>
      <c r="AB7" s="906"/>
      <c r="AC7" s="906"/>
      <c r="AD7" s="906"/>
      <c r="AE7" s="906"/>
      <c r="AF7" s="906"/>
      <c r="AG7" s="906"/>
      <c r="AH7" s="906"/>
      <c r="AI7" s="906"/>
      <c r="AJ7" s="906"/>
      <c r="AK7" s="906"/>
      <c r="AL7" s="906"/>
      <c r="AM7" s="906"/>
      <c r="AN7" s="906"/>
      <c r="AO7" s="906"/>
      <c r="AP7" s="906"/>
      <c r="AQ7" s="906"/>
      <c r="AR7" s="906"/>
      <c r="AS7" s="906"/>
      <c r="AT7" s="906"/>
      <c r="AU7" s="906"/>
      <c r="AV7" s="906"/>
      <c r="AW7" s="906"/>
      <c r="AX7" s="906"/>
      <c r="AY7" s="906"/>
      <c r="AZ7" s="906"/>
      <c r="BA7" s="906"/>
      <c r="BB7" s="1132"/>
    </row>
    <row r="8">
      <c r="A8" s="1131" t="str">
        <f t="array" ref="A8">IFERROR(INDEX(TeamInfo!$1:$45,MATCH(C8,TeamInfo!C:C,0),1),"")</f>
        <v/>
      </c>
      <c r="B8" s="1131" t="str">
        <f t="array" ref="B8">IFERROR(INDEX(TeamInfo!$1:$45,MATCH(C8,TeamInfo!C:C,0),2),"")</f>
        <v/>
      </c>
      <c r="C8" s="905"/>
      <c r="D8" s="905"/>
      <c r="E8" s="905"/>
      <c r="F8" s="905"/>
      <c r="G8" s="906"/>
      <c r="H8" s="906"/>
      <c r="I8" s="906"/>
      <c r="J8" s="906"/>
      <c r="K8" s="906"/>
      <c r="L8" s="906"/>
      <c r="M8" s="906"/>
      <c r="N8" s="906"/>
      <c r="O8" s="906"/>
      <c r="P8" s="906"/>
      <c r="Q8" s="906"/>
      <c r="R8" s="906"/>
      <c r="S8" s="906"/>
      <c r="T8" s="906"/>
      <c r="U8" s="906"/>
      <c r="V8" s="906"/>
      <c r="W8" s="906"/>
      <c r="X8" s="906"/>
      <c r="Y8" s="906"/>
      <c r="Z8" s="906"/>
      <c r="AA8" s="906"/>
      <c r="AB8" s="906"/>
      <c r="AC8" s="906"/>
      <c r="AD8" s="906"/>
      <c r="AE8" s="906"/>
      <c r="AF8" s="906"/>
      <c r="AG8" s="906"/>
      <c r="AH8" s="906"/>
      <c r="AI8" s="906"/>
      <c r="AJ8" s="906"/>
      <c r="AK8" s="906"/>
      <c r="AL8" s="906"/>
      <c r="AM8" s="906"/>
      <c r="AN8" s="906"/>
      <c r="AO8" s="906"/>
      <c r="AP8" s="906"/>
      <c r="AQ8" s="906"/>
      <c r="AR8" s="906"/>
      <c r="AS8" s="906"/>
      <c r="AT8" s="906"/>
      <c r="AU8" s="906"/>
      <c r="AV8" s="906"/>
      <c r="AW8" s="906"/>
      <c r="AX8" s="906"/>
      <c r="AY8" s="906"/>
      <c r="AZ8" s="906"/>
      <c r="BA8" s="906"/>
      <c r="BB8" s="1132"/>
    </row>
    <row r="9">
      <c r="A9" s="1131" t="str">
        <f t="array" ref="A9">IFERROR(INDEX(TeamInfo!$1:$45,MATCH(C9,TeamInfo!C:C,0),1),"")</f>
        <v/>
      </c>
      <c r="B9" s="1131" t="str">
        <f t="array" ref="B9">IFERROR(INDEX(TeamInfo!$1:$45,MATCH(C9,TeamInfo!C:C,0),2),"")</f>
        <v/>
      </c>
      <c r="C9" s="905"/>
      <c r="D9" s="905"/>
      <c r="E9" s="905"/>
      <c r="F9" s="905"/>
      <c r="G9" s="906"/>
      <c r="H9" s="906"/>
      <c r="I9" s="906"/>
      <c r="J9" s="906"/>
      <c r="K9" s="906"/>
      <c r="L9" s="906"/>
      <c r="M9" s="906"/>
      <c r="N9" s="906"/>
      <c r="O9" s="906"/>
      <c r="P9" s="906"/>
      <c r="Q9" s="906"/>
      <c r="R9" s="906"/>
      <c r="S9" s="906"/>
      <c r="T9" s="906"/>
      <c r="U9" s="906"/>
      <c r="V9" s="906"/>
      <c r="W9" s="906"/>
      <c r="X9" s="906"/>
      <c r="Y9" s="906"/>
      <c r="Z9" s="906"/>
      <c r="AA9" s="906"/>
      <c r="AB9" s="906"/>
      <c r="AC9" s="906"/>
      <c r="AD9" s="906"/>
      <c r="AE9" s="906"/>
      <c r="AF9" s="906"/>
      <c r="AG9" s="906"/>
      <c r="AH9" s="906"/>
      <c r="AI9" s="906"/>
      <c r="AJ9" s="906"/>
      <c r="AK9" s="906"/>
      <c r="AL9" s="906"/>
      <c r="AM9" s="906"/>
      <c r="AN9" s="906"/>
      <c r="AO9" s="906"/>
      <c r="AP9" s="906"/>
      <c r="AQ9" s="906"/>
      <c r="AR9" s="906"/>
      <c r="AS9" s="906"/>
      <c r="AT9" s="906"/>
      <c r="AU9" s="906"/>
      <c r="AV9" s="906"/>
      <c r="AW9" s="906"/>
      <c r="AX9" s="906"/>
      <c r="AY9" s="906"/>
      <c r="AZ9" s="906"/>
      <c r="BA9" s="906"/>
      <c r="BB9" s="1132"/>
    </row>
    <row r="10">
      <c r="A10" s="1128" t="str">
        <f t="array" ref="A10">IFERROR(INDEX(TeamInfo!$1:$45,MATCH(C10,TeamInfo!C:C,0),1),"")</f>
        <v/>
      </c>
      <c r="B10" s="1128" t="str">
        <f t="array" ref="B10">IFERROR(INDEX(TeamInfo!$1:$45,MATCH(C10,TeamInfo!C:C,0),2),"")</f>
        <v/>
      </c>
      <c r="C10" s="1129"/>
      <c r="D10" s="427"/>
      <c r="E10" s="427"/>
      <c r="F10" s="427"/>
      <c r="G10" s="1130"/>
      <c r="H10" s="1130"/>
      <c r="I10" s="1130"/>
      <c r="J10" s="1130"/>
      <c r="K10" s="1130"/>
      <c r="L10" s="1130"/>
      <c r="M10" s="1130"/>
      <c r="N10" s="1130"/>
      <c r="O10" s="1130"/>
      <c r="P10" s="1130"/>
      <c r="Q10" s="1130"/>
      <c r="R10" s="1130"/>
      <c r="S10" s="1130"/>
      <c r="T10" s="1130"/>
      <c r="U10" s="1130"/>
      <c r="V10" s="1130"/>
      <c r="W10" s="1130"/>
      <c r="X10" s="1130"/>
      <c r="Y10" s="1130"/>
      <c r="Z10" s="1130"/>
      <c r="AA10" s="1130"/>
      <c r="AB10" s="1130"/>
      <c r="AC10" s="1130"/>
      <c r="AD10" s="1130"/>
      <c r="AE10" s="1130"/>
      <c r="AF10" s="1130"/>
      <c r="AG10" s="1130"/>
      <c r="AH10" s="1130"/>
      <c r="AI10" s="1130"/>
      <c r="AJ10" s="1130"/>
      <c r="AK10" s="1130"/>
      <c r="AL10" s="1130"/>
      <c r="AM10" s="1130"/>
      <c r="AN10" s="1130"/>
      <c r="AO10" s="1130"/>
      <c r="AP10" s="1130"/>
      <c r="AQ10" s="1130"/>
      <c r="AR10" s="1130"/>
      <c r="AS10" s="1130"/>
      <c r="AT10" s="1130"/>
      <c r="AU10" s="1130"/>
      <c r="AV10" s="1130"/>
      <c r="AW10" s="1130"/>
      <c r="AX10" s="1130"/>
      <c r="AY10" s="1130"/>
      <c r="AZ10" s="1130"/>
      <c r="BA10" s="1130"/>
      <c r="BB10" s="427"/>
    </row>
    <row r="11">
      <c r="A11" s="1128" t="str">
        <f t="array" ref="A11">IFERROR(INDEX(TeamInfo!$1:$45,MATCH(C11,TeamInfo!C:C,0),1),"")</f>
        <v/>
      </c>
      <c r="B11" s="1128" t="str">
        <f t="array" ref="B11">IFERROR(INDEX(TeamInfo!$1:$45,MATCH(C11,TeamInfo!C:C,0),2),"")</f>
        <v/>
      </c>
      <c r="C11" s="1129"/>
      <c r="D11" s="427"/>
      <c r="E11" s="427"/>
      <c r="F11" s="427"/>
      <c r="G11" s="1130"/>
      <c r="H11" s="1130"/>
      <c r="I11" s="1130"/>
      <c r="J11" s="1130"/>
      <c r="K11" s="1130"/>
      <c r="L11" s="1130"/>
      <c r="M11" s="1130"/>
      <c r="N11" s="1130"/>
      <c r="O11" s="1130"/>
      <c r="P11" s="1130"/>
      <c r="Q11" s="1130"/>
      <c r="R11" s="1130"/>
      <c r="S11" s="1130"/>
      <c r="T11" s="1130"/>
      <c r="U11" s="1130"/>
      <c r="V11" s="1130"/>
      <c r="W11" s="1130"/>
      <c r="X11" s="1130"/>
      <c r="Y11" s="1130"/>
      <c r="Z11" s="1130"/>
      <c r="AA11" s="1130"/>
      <c r="AB11" s="1130"/>
      <c r="AC11" s="1130"/>
      <c r="AD11" s="1130"/>
      <c r="AE11" s="1130"/>
      <c r="AF11" s="1130"/>
      <c r="AG11" s="1130"/>
      <c r="AH11" s="1130"/>
      <c r="AI11" s="1130"/>
      <c r="AJ11" s="1130"/>
      <c r="AK11" s="1130"/>
      <c r="AL11" s="1130"/>
      <c r="AM11" s="1130"/>
      <c r="AN11" s="1130"/>
      <c r="AO11" s="1130"/>
      <c r="AP11" s="1130"/>
      <c r="AQ11" s="1130"/>
      <c r="AR11" s="1130"/>
      <c r="AS11" s="1130"/>
      <c r="AT11" s="1130"/>
      <c r="AU11" s="1130"/>
      <c r="AV11" s="1130"/>
      <c r="AW11" s="1130"/>
      <c r="AX11" s="1130"/>
      <c r="AY11" s="1130"/>
      <c r="AZ11" s="1130"/>
      <c r="BA11" s="1130"/>
      <c r="BB11" s="427"/>
    </row>
    <row r="12">
      <c r="A12" s="1128" t="str">
        <f t="array" ref="A12">IFERROR(INDEX(TeamInfo!$1:$45,MATCH(C12,TeamInfo!C:C,0),1),"")</f>
        <v/>
      </c>
      <c r="B12" s="1128" t="str">
        <f t="array" ref="B12">IFERROR(INDEX(TeamInfo!$1:$45,MATCH(C12,TeamInfo!C:C,0),2),"")</f>
        <v/>
      </c>
      <c r="C12" s="1129"/>
      <c r="D12" s="427"/>
      <c r="E12" s="427"/>
      <c r="F12" s="427"/>
      <c r="G12" s="1130"/>
      <c r="H12" s="1130"/>
      <c r="I12" s="1130"/>
      <c r="J12" s="1130"/>
      <c r="K12" s="1130"/>
      <c r="L12" s="1130"/>
      <c r="M12" s="1130"/>
      <c r="N12" s="1130"/>
      <c r="O12" s="1130"/>
      <c r="P12" s="1130"/>
      <c r="Q12" s="1130"/>
      <c r="R12" s="1130"/>
      <c r="S12" s="1130"/>
      <c r="T12" s="1130"/>
      <c r="U12" s="1130"/>
      <c r="V12" s="1130"/>
      <c r="W12" s="1130"/>
      <c r="X12" s="1130"/>
      <c r="Y12" s="1130"/>
      <c r="Z12" s="1130"/>
      <c r="AA12" s="1130"/>
      <c r="AB12" s="1130"/>
      <c r="AC12" s="1130"/>
      <c r="AD12" s="1130"/>
      <c r="AE12" s="1130"/>
      <c r="AF12" s="1130"/>
      <c r="AG12" s="1130"/>
      <c r="AH12" s="1130"/>
      <c r="AI12" s="1130"/>
      <c r="AJ12" s="1130"/>
      <c r="AK12" s="1130"/>
      <c r="AL12" s="1130"/>
      <c r="AM12" s="1130"/>
      <c r="AN12" s="1130"/>
      <c r="AO12" s="1130"/>
      <c r="AP12" s="1130"/>
      <c r="AQ12" s="1130"/>
      <c r="AR12" s="1130"/>
      <c r="AS12" s="1130"/>
      <c r="AT12" s="1130"/>
      <c r="AU12" s="1130"/>
      <c r="AV12" s="1130"/>
      <c r="AW12" s="1130"/>
      <c r="AX12" s="1130"/>
      <c r="AY12" s="1130"/>
      <c r="AZ12" s="1130"/>
      <c r="BA12" s="1130"/>
      <c r="BB12" s="427"/>
    </row>
    <row r="13">
      <c r="A13" s="1128" t="str">
        <f t="array" ref="A13">IFERROR(INDEX(TeamInfo!$1:$45,MATCH(C13,TeamInfo!C:C,0),1),"")</f>
        <v/>
      </c>
      <c r="B13" s="1128" t="str">
        <f t="array" ref="B13">IFERROR(INDEX(TeamInfo!$1:$45,MATCH(C13,TeamInfo!C:C,0),2),"")</f>
        <v/>
      </c>
      <c r="C13" s="1129"/>
      <c r="D13" s="1133"/>
      <c r="E13" s="1133"/>
      <c r="F13" s="1133"/>
      <c r="G13" s="1130"/>
      <c r="H13" s="1130"/>
      <c r="I13" s="1130"/>
      <c r="J13" s="1130"/>
      <c r="K13" s="1130"/>
      <c r="L13" s="1130"/>
      <c r="M13" s="1130"/>
      <c r="N13" s="1130"/>
      <c r="O13" s="1130"/>
      <c r="P13" s="1130"/>
      <c r="Q13" s="1130"/>
      <c r="R13" s="1130"/>
      <c r="S13" s="1130"/>
      <c r="T13" s="1130"/>
      <c r="U13" s="1130"/>
      <c r="V13" s="1130"/>
      <c r="W13" s="1130"/>
      <c r="X13" s="1130"/>
      <c r="Y13" s="1130"/>
      <c r="Z13" s="1130"/>
      <c r="AA13" s="1130"/>
      <c r="AB13" s="1130"/>
      <c r="AC13" s="1130"/>
      <c r="AD13" s="1130"/>
      <c r="AE13" s="1130"/>
      <c r="AF13" s="1130"/>
      <c r="AG13" s="1130"/>
      <c r="AH13" s="1130"/>
      <c r="AI13" s="1130"/>
      <c r="AJ13" s="1130"/>
      <c r="AK13" s="1130"/>
      <c r="AL13" s="1130"/>
      <c r="AM13" s="1130"/>
      <c r="AN13" s="1130"/>
      <c r="AO13" s="1130"/>
      <c r="AP13" s="1130"/>
      <c r="AQ13" s="1130"/>
      <c r="AR13" s="1130"/>
      <c r="AS13" s="1130"/>
      <c r="AT13" s="1130"/>
      <c r="AU13" s="1130"/>
      <c r="AV13" s="1130"/>
      <c r="AW13" s="1130"/>
      <c r="AX13" s="1130"/>
      <c r="AY13" s="1130"/>
      <c r="AZ13" s="1130"/>
      <c r="BA13" s="1130"/>
      <c r="BB13" s="427"/>
    </row>
    <row r="14">
      <c r="A14" s="1131" t="str">
        <f t="array" ref="A14">IFERROR(INDEX(TeamInfo!$1:$45,MATCH(C14,TeamInfo!C:C,0),1),"")</f>
        <v/>
      </c>
      <c r="B14" s="1131" t="str">
        <f t="array" ref="B14">IFERROR(INDEX(TeamInfo!$1:$45,MATCH(C14,TeamInfo!C:C,0),2),"")</f>
        <v/>
      </c>
      <c r="C14" s="905"/>
      <c r="D14" s="1134"/>
      <c r="E14" s="1134"/>
      <c r="F14" s="1134"/>
      <c r="G14" s="906"/>
      <c r="H14" s="906"/>
      <c r="I14" s="906"/>
      <c r="J14" s="906"/>
      <c r="K14" s="906"/>
      <c r="L14" s="906"/>
      <c r="M14" s="906"/>
      <c r="N14" s="906"/>
      <c r="O14" s="906"/>
      <c r="P14" s="906"/>
      <c r="Q14" s="906"/>
      <c r="R14" s="906"/>
      <c r="S14" s="906"/>
      <c r="T14" s="906"/>
      <c r="U14" s="906"/>
      <c r="V14" s="906"/>
      <c r="W14" s="906"/>
      <c r="X14" s="906"/>
      <c r="Y14" s="906"/>
      <c r="Z14" s="906"/>
      <c r="AA14" s="906"/>
      <c r="AB14" s="906"/>
      <c r="AC14" s="906"/>
      <c r="AD14" s="906"/>
      <c r="AE14" s="906"/>
      <c r="AF14" s="906"/>
      <c r="AG14" s="906"/>
      <c r="AH14" s="906"/>
      <c r="AI14" s="906"/>
      <c r="AJ14" s="906"/>
      <c r="AK14" s="906"/>
      <c r="AL14" s="906"/>
      <c r="AM14" s="906"/>
      <c r="AN14" s="906"/>
      <c r="AO14" s="906"/>
      <c r="AP14" s="906"/>
      <c r="AQ14" s="906"/>
      <c r="AR14" s="906"/>
      <c r="AS14" s="906"/>
      <c r="AT14" s="906"/>
      <c r="AU14" s="906"/>
      <c r="AV14" s="906"/>
      <c r="AW14" s="906"/>
      <c r="AX14" s="906"/>
      <c r="AY14" s="906"/>
      <c r="AZ14" s="906"/>
      <c r="BA14" s="906"/>
      <c r="BB14" s="1132"/>
    </row>
    <row r="15">
      <c r="A15" s="1131" t="str">
        <f t="array" ref="A15">IFERROR(INDEX(TeamInfo!$1:$45,MATCH(C15,TeamInfo!C:C,0),1),"")</f>
        <v/>
      </c>
      <c r="B15" s="1131" t="str">
        <f t="array" ref="B15">IFERROR(INDEX(TeamInfo!$1:$45,MATCH(C15,TeamInfo!C:C,0),2),"")</f>
        <v/>
      </c>
      <c r="C15" s="905"/>
      <c r="D15" s="1132"/>
      <c r="E15" s="1132"/>
      <c r="F15" s="1132"/>
      <c r="G15" s="906"/>
      <c r="H15" s="906"/>
      <c r="I15" s="906"/>
      <c r="J15" s="906"/>
      <c r="K15" s="906"/>
      <c r="L15" s="906"/>
      <c r="M15" s="906"/>
      <c r="N15" s="906"/>
      <c r="O15" s="906"/>
      <c r="P15" s="906"/>
      <c r="Q15" s="906"/>
      <c r="R15" s="906"/>
      <c r="S15" s="906"/>
      <c r="T15" s="906"/>
      <c r="U15" s="906"/>
      <c r="V15" s="906"/>
      <c r="W15" s="906"/>
      <c r="X15" s="906"/>
      <c r="Y15" s="906"/>
      <c r="Z15" s="906"/>
      <c r="AA15" s="906"/>
      <c r="AB15" s="906"/>
      <c r="AC15" s="906"/>
      <c r="AD15" s="906"/>
      <c r="AE15" s="906"/>
      <c r="AF15" s="906"/>
      <c r="AG15" s="906"/>
      <c r="AH15" s="906"/>
      <c r="AI15" s="906"/>
      <c r="AJ15" s="906"/>
      <c r="AK15" s="906"/>
      <c r="AL15" s="906"/>
      <c r="AM15" s="906"/>
      <c r="AN15" s="906"/>
      <c r="AO15" s="906"/>
      <c r="AP15" s="906"/>
      <c r="AQ15" s="906"/>
      <c r="AR15" s="906"/>
      <c r="AS15" s="906"/>
      <c r="AT15" s="906"/>
      <c r="AU15" s="906"/>
      <c r="AV15" s="906"/>
      <c r="AW15" s="906"/>
      <c r="AX15" s="906"/>
      <c r="AY15" s="906"/>
      <c r="AZ15" s="906"/>
      <c r="BA15" s="906"/>
      <c r="BB15" s="1132"/>
    </row>
    <row r="16">
      <c r="A16" s="1131" t="str">
        <f t="array" ref="A16">IFERROR(INDEX(TeamInfo!$1:$45,MATCH(C16,TeamInfo!C:C,0),1),"")</f>
        <v/>
      </c>
      <c r="B16" s="1131" t="str">
        <f t="array" ref="B16">IFERROR(INDEX(TeamInfo!$1:$45,MATCH(C16,TeamInfo!C:C,0),2),"")</f>
        <v/>
      </c>
      <c r="C16" s="905"/>
      <c r="D16" s="1132"/>
      <c r="E16" s="1132"/>
      <c r="F16" s="1132"/>
      <c r="G16" s="906"/>
      <c r="H16" s="906"/>
      <c r="I16" s="906"/>
      <c r="J16" s="906"/>
      <c r="K16" s="906"/>
      <c r="L16" s="906"/>
      <c r="M16" s="906"/>
      <c r="N16" s="906"/>
      <c r="O16" s="906"/>
      <c r="P16" s="906"/>
      <c r="Q16" s="906"/>
      <c r="R16" s="906"/>
      <c r="S16" s="906"/>
      <c r="T16" s="906"/>
      <c r="U16" s="906"/>
      <c r="V16" s="906"/>
      <c r="W16" s="906"/>
      <c r="X16" s="906"/>
      <c r="Y16" s="906"/>
      <c r="Z16" s="906"/>
      <c r="AA16" s="906"/>
      <c r="AB16" s="906"/>
      <c r="AC16" s="906"/>
      <c r="AD16" s="906"/>
      <c r="AE16" s="906"/>
      <c r="AF16" s="906"/>
      <c r="AG16" s="906"/>
      <c r="AH16" s="906"/>
      <c r="AI16" s="906"/>
      <c r="AJ16" s="906"/>
      <c r="AK16" s="906"/>
      <c r="AL16" s="906"/>
      <c r="AM16" s="906"/>
      <c r="AN16" s="906"/>
      <c r="AO16" s="906"/>
      <c r="AP16" s="906"/>
      <c r="AQ16" s="906"/>
      <c r="AR16" s="906"/>
      <c r="AS16" s="906"/>
      <c r="AT16" s="906"/>
      <c r="AU16" s="906"/>
      <c r="AV16" s="906"/>
      <c r="AW16" s="906"/>
      <c r="AX16" s="906"/>
      <c r="AY16" s="906"/>
      <c r="AZ16" s="906"/>
      <c r="BA16" s="906"/>
      <c r="BB16" s="1132"/>
    </row>
    <row r="17">
      <c r="A17" s="1131" t="str">
        <f t="array" ref="A17">IFERROR(INDEX(TeamInfo!$1:$45,MATCH(C17,TeamInfo!C:C,0),1),"")</f>
        <v/>
      </c>
      <c r="B17" s="1131" t="str">
        <f t="array" ref="B17">IFERROR(INDEX(TeamInfo!$1:$45,MATCH(C17,TeamInfo!C:C,0),2),"")</f>
        <v/>
      </c>
      <c r="C17" s="905"/>
      <c r="D17" s="1132"/>
      <c r="E17" s="1132"/>
      <c r="F17" s="1132"/>
      <c r="G17" s="906"/>
      <c r="H17" s="906"/>
      <c r="I17" s="906"/>
      <c r="J17" s="906"/>
      <c r="K17" s="906"/>
      <c r="L17" s="906"/>
      <c r="M17" s="906"/>
      <c r="N17" s="906"/>
      <c r="O17" s="906"/>
      <c r="P17" s="906"/>
      <c r="Q17" s="906"/>
      <c r="R17" s="906"/>
      <c r="S17" s="906"/>
      <c r="T17" s="906"/>
      <c r="U17" s="906"/>
      <c r="V17" s="906"/>
      <c r="W17" s="906"/>
      <c r="X17" s="906"/>
      <c r="Y17" s="906"/>
      <c r="Z17" s="906"/>
      <c r="AA17" s="906"/>
      <c r="AB17" s="906"/>
      <c r="AC17" s="906"/>
      <c r="AD17" s="906"/>
      <c r="AE17" s="906"/>
      <c r="AF17" s="906"/>
      <c r="AG17" s="906"/>
      <c r="AH17" s="906"/>
      <c r="AI17" s="906"/>
      <c r="AJ17" s="906"/>
      <c r="AK17" s="906"/>
      <c r="AL17" s="906"/>
      <c r="AM17" s="906"/>
      <c r="AN17" s="906"/>
      <c r="AO17" s="906"/>
      <c r="AP17" s="906"/>
      <c r="AQ17" s="906"/>
      <c r="AR17" s="906"/>
      <c r="AS17" s="906"/>
      <c r="AT17" s="906"/>
      <c r="AU17" s="906"/>
      <c r="AV17" s="906"/>
      <c r="AW17" s="906"/>
      <c r="AX17" s="906"/>
      <c r="AY17" s="906"/>
      <c r="AZ17" s="906"/>
      <c r="BA17" s="906"/>
      <c r="BB17" s="1132"/>
    </row>
    <row r="18">
      <c r="A18" s="1128" t="str">
        <f t="array" ref="A18">IFERROR(INDEX(TeamInfo!$1:$45,MATCH(C18,TeamInfo!C:C,0),1),"")</f>
        <v/>
      </c>
      <c r="B18" s="1128" t="str">
        <f t="array" ref="B18">IFERROR(INDEX(TeamInfo!$1:$45,MATCH(C18,TeamInfo!C:C,0),2),"")</f>
        <v/>
      </c>
      <c r="C18" s="1135"/>
      <c r="D18" s="1129"/>
      <c r="E18" s="1129"/>
      <c r="F18" s="1129"/>
      <c r="G18" s="1130"/>
      <c r="H18" s="1130"/>
      <c r="I18" s="1136"/>
      <c r="J18" s="1136"/>
      <c r="K18" s="1136"/>
      <c r="L18" s="1136"/>
      <c r="M18" s="1136"/>
      <c r="N18" s="1136"/>
      <c r="O18" s="1136"/>
      <c r="P18" s="1136"/>
      <c r="Q18" s="1136"/>
      <c r="R18" s="1136"/>
      <c r="S18" s="1136"/>
      <c r="T18" s="1136"/>
      <c r="U18" s="1136"/>
      <c r="V18" s="1136"/>
      <c r="W18" s="1136"/>
      <c r="X18" s="1136"/>
      <c r="Y18" s="1136"/>
      <c r="Z18" s="1136"/>
      <c r="AA18" s="1136"/>
      <c r="AB18" s="1136"/>
      <c r="AC18" s="1136"/>
      <c r="AD18" s="1136"/>
      <c r="AE18" s="1136"/>
      <c r="AF18" s="1136"/>
      <c r="AG18" s="1136"/>
      <c r="AH18" s="1136"/>
      <c r="AI18" s="1136"/>
      <c r="AJ18" s="1136"/>
      <c r="AK18" s="1136"/>
      <c r="AL18" s="1136"/>
      <c r="AM18" s="1136"/>
      <c r="AN18" s="1136"/>
      <c r="AO18" s="1136"/>
      <c r="AP18" s="1136"/>
      <c r="AQ18" s="1136"/>
      <c r="AR18" s="1136"/>
      <c r="AS18" s="1136"/>
      <c r="AT18" s="1136"/>
      <c r="AU18" s="1136"/>
      <c r="AV18" s="1136"/>
      <c r="AW18" s="1136"/>
      <c r="AX18" s="1136"/>
      <c r="AY18" s="1136"/>
      <c r="AZ18" s="1136"/>
      <c r="BA18" s="1136"/>
      <c r="BB18" s="427"/>
    </row>
    <row r="19">
      <c r="A19" s="1128" t="str">
        <f t="array" ref="A19">IFERROR(INDEX(TeamInfo!$1:$45,MATCH(C19,TeamInfo!C:C,0),1),"")</f>
        <v/>
      </c>
      <c r="B19" s="1128" t="str">
        <f t="array" ref="B19">IFERROR(INDEX(TeamInfo!$1:$45,MATCH(C19,TeamInfo!C:C,0),2),"")</f>
        <v/>
      </c>
      <c r="C19" s="1135"/>
      <c r="D19" s="1129"/>
      <c r="E19" s="1129"/>
      <c r="F19" s="1129"/>
      <c r="G19" s="1130"/>
      <c r="H19" s="1130"/>
      <c r="I19" s="1136"/>
      <c r="J19" s="1136"/>
      <c r="K19" s="1136"/>
      <c r="L19" s="1136"/>
      <c r="M19" s="1136"/>
      <c r="N19" s="1136"/>
      <c r="O19" s="1136"/>
      <c r="P19" s="1136"/>
      <c r="Q19" s="1136"/>
      <c r="R19" s="1136"/>
      <c r="S19" s="1136"/>
      <c r="T19" s="1136"/>
      <c r="U19" s="1136"/>
      <c r="V19" s="1136"/>
      <c r="W19" s="1136"/>
      <c r="X19" s="1136"/>
      <c r="Y19" s="1136"/>
      <c r="Z19" s="1136"/>
      <c r="AA19" s="1136"/>
      <c r="AB19" s="1136"/>
      <c r="AC19" s="1136"/>
      <c r="AD19" s="1136"/>
      <c r="AE19" s="1136"/>
      <c r="AF19" s="1136"/>
      <c r="AG19" s="1136"/>
      <c r="AH19" s="1136"/>
      <c r="AI19" s="1136"/>
      <c r="AJ19" s="1136"/>
      <c r="AK19" s="1136"/>
      <c r="AL19" s="1136"/>
      <c r="AM19" s="1136"/>
      <c r="AN19" s="1136"/>
      <c r="AO19" s="1136"/>
      <c r="AP19" s="1136"/>
      <c r="AQ19" s="1136"/>
      <c r="AR19" s="1136"/>
      <c r="AS19" s="1136"/>
      <c r="AT19" s="1136"/>
      <c r="AU19" s="1136"/>
      <c r="AV19" s="1136"/>
      <c r="AW19" s="1136"/>
      <c r="AX19" s="1136"/>
      <c r="AY19" s="1136"/>
      <c r="AZ19" s="1136"/>
      <c r="BA19" s="1136"/>
      <c r="BB19" s="427"/>
    </row>
    <row r="20">
      <c r="A20" s="1128" t="str">
        <f t="array" ref="A20">IFERROR(INDEX(TeamInfo!$1:$45,MATCH(C20,TeamInfo!C:C,0),1),"")</f>
        <v/>
      </c>
      <c r="B20" s="1128" t="str">
        <f t="array" ref="B20">IFERROR(INDEX(TeamInfo!$1:$45,MATCH(C20,TeamInfo!C:C,0),2),"")</f>
        <v/>
      </c>
      <c r="C20" s="1135"/>
      <c r="D20" s="1129"/>
      <c r="E20" s="1129"/>
      <c r="F20" s="1129"/>
      <c r="G20" s="1130"/>
      <c r="H20" s="1130"/>
      <c r="I20" s="1136"/>
      <c r="J20" s="1136"/>
      <c r="K20" s="1136"/>
      <c r="L20" s="1136"/>
      <c r="M20" s="1136"/>
      <c r="N20" s="1136"/>
      <c r="O20" s="1136"/>
      <c r="P20" s="1136"/>
      <c r="Q20" s="1136"/>
      <c r="R20" s="1136"/>
      <c r="S20" s="1136"/>
      <c r="T20" s="1136"/>
      <c r="U20" s="1136"/>
      <c r="V20" s="1136"/>
      <c r="W20" s="1136"/>
      <c r="X20" s="1136"/>
      <c r="Y20" s="1136"/>
      <c r="Z20" s="1136"/>
      <c r="AA20" s="1136"/>
      <c r="AB20" s="1136"/>
      <c r="AC20" s="1136"/>
      <c r="AD20" s="1136"/>
      <c r="AE20" s="1136"/>
      <c r="AF20" s="1136"/>
      <c r="AG20" s="1136"/>
      <c r="AH20" s="1136"/>
      <c r="AI20" s="1136"/>
      <c r="AJ20" s="1136"/>
      <c r="AK20" s="1136"/>
      <c r="AL20" s="1136"/>
      <c r="AM20" s="1136"/>
      <c r="AN20" s="1136"/>
      <c r="AO20" s="1136"/>
      <c r="AP20" s="1136"/>
      <c r="AQ20" s="1136"/>
      <c r="AR20" s="1136"/>
      <c r="AS20" s="1136"/>
      <c r="AT20" s="1136"/>
      <c r="AU20" s="1136"/>
      <c r="AV20" s="1136"/>
      <c r="AW20" s="1136"/>
      <c r="AX20" s="1136"/>
      <c r="AY20" s="1136"/>
      <c r="AZ20" s="1136"/>
      <c r="BA20" s="1136"/>
      <c r="BB20" s="427"/>
    </row>
    <row r="21">
      <c r="A21" s="1128" t="str">
        <f t="array" ref="A21">IFERROR(INDEX(TeamInfo!$1:$45,MATCH(C21,TeamInfo!C:C,0),1),"")</f>
        <v/>
      </c>
      <c r="B21" s="1128" t="str">
        <f t="array" ref="B21">IFERROR(INDEX(TeamInfo!$1:$45,MATCH(C21,TeamInfo!C:C,0),2),"")</f>
        <v/>
      </c>
      <c r="C21" s="1135"/>
      <c r="D21" s="1129"/>
      <c r="E21" s="1129"/>
      <c r="F21" s="1129"/>
      <c r="G21" s="1130"/>
      <c r="H21" s="1130"/>
      <c r="I21" s="1136"/>
      <c r="J21" s="1136"/>
      <c r="K21" s="1136"/>
      <c r="L21" s="1136"/>
      <c r="M21" s="1136"/>
      <c r="N21" s="1136"/>
      <c r="O21" s="1136"/>
      <c r="P21" s="1136"/>
      <c r="Q21" s="1136"/>
      <c r="R21" s="1136"/>
      <c r="S21" s="1136"/>
      <c r="T21" s="1136"/>
      <c r="U21" s="1136"/>
      <c r="V21" s="1136"/>
      <c r="W21" s="1136"/>
      <c r="X21" s="1136"/>
      <c r="Y21" s="1136"/>
      <c r="Z21" s="1136"/>
      <c r="AA21" s="1136"/>
      <c r="AB21" s="1136"/>
      <c r="AC21" s="1136"/>
      <c r="AD21" s="1136"/>
      <c r="AE21" s="1136"/>
      <c r="AF21" s="1136"/>
      <c r="AG21" s="1136"/>
      <c r="AH21" s="1136"/>
      <c r="AI21" s="1136"/>
      <c r="AJ21" s="1136"/>
      <c r="AK21" s="1136"/>
      <c r="AL21" s="1136"/>
      <c r="AM21" s="1136"/>
      <c r="AN21" s="1136"/>
      <c r="AO21" s="1136"/>
      <c r="AP21" s="1136"/>
      <c r="AQ21" s="1136"/>
      <c r="AR21" s="1136"/>
      <c r="AS21" s="1136"/>
      <c r="AT21" s="1136"/>
      <c r="AU21" s="1136"/>
      <c r="AV21" s="1136"/>
      <c r="AW21" s="1136"/>
      <c r="AX21" s="1136"/>
      <c r="AY21" s="1136"/>
      <c r="AZ21" s="1136"/>
      <c r="BA21" s="1136"/>
      <c r="BB21" s="427"/>
    </row>
    <row r="22">
      <c r="A22" s="1131" t="str">
        <f t="array" ref="A22">IFERROR(INDEX(TeamInfo!$1:$45,MATCH(C22,TeamInfo!C:C,0),1),"")</f>
        <v/>
      </c>
      <c r="B22" s="1131" t="str">
        <f t="array" ref="B22">IFERROR(INDEX(TeamInfo!$1:$45,MATCH(C22,TeamInfo!C:C,0),2),"")</f>
        <v/>
      </c>
      <c r="C22" s="1137"/>
      <c r="D22" s="1138"/>
      <c r="E22" s="1138"/>
      <c r="F22" s="1138"/>
      <c r="G22" s="906"/>
      <c r="H22" s="906"/>
      <c r="I22" s="912"/>
      <c r="J22" s="912"/>
      <c r="K22" s="912"/>
      <c r="L22" s="912"/>
      <c r="M22" s="912"/>
      <c r="N22" s="912"/>
      <c r="O22" s="912"/>
      <c r="P22" s="912"/>
      <c r="Q22" s="912"/>
      <c r="R22" s="912"/>
      <c r="S22" s="912"/>
      <c r="T22" s="912"/>
      <c r="U22" s="912"/>
      <c r="V22" s="912"/>
      <c r="W22" s="912"/>
      <c r="X22" s="912"/>
      <c r="Y22" s="912"/>
      <c r="Z22" s="912"/>
      <c r="AA22" s="912"/>
      <c r="AB22" s="912"/>
      <c r="AC22" s="912"/>
      <c r="AD22" s="912"/>
      <c r="AE22" s="912"/>
      <c r="AF22" s="912"/>
      <c r="AG22" s="912"/>
      <c r="AH22" s="912"/>
      <c r="AI22" s="912"/>
      <c r="AJ22" s="912"/>
      <c r="AK22" s="912"/>
      <c r="AL22" s="912"/>
      <c r="AM22" s="912"/>
      <c r="AN22" s="912"/>
      <c r="AO22" s="912"/>
      <c r="AP22" s="912"/>
      <c r="AQ22" s="912"/>
      <c r="AR22" s="912"/>
      <c r="AS22" s="912"/>
      <c r="AT22" s="912"/>
      <c r="AU22" s="912"/>
      <c r="AV22" s="912"/>
      <c r="AW22" s="912"/>
      <c r="AX22" s="912"/>
      <c r="AY22" s="912"/>
      <c r="AZ22" s="912"/>
      <c r="BA22" s="912"/>
      <c r="BB22" s="1139"/>
    </row>
    <row r="23">
      <c r="A23" s="1131" t="str">
        <f t="array" ref="A23">IFERROR(INDEX(TeamInfo!$1:$45,MATCH(C23,TeamInfo!C:C,0),1),"")</f>
        <v/>
      </c>
      <c r="B23" s="1131" t="str">
        <f t="array" ref="B23">IFERROR(INDEX(TeamInfo!$1:$45,MATCH(C23,TeamInfo!C:C,0),2),"")</f>
        <v/>
      </c>
      <c r="C23" s="1137"/>
      <c r="D23" s="1138"/>
      <c r="E23" s="1138"/>
      <c r="F23" s="1138"/>
      <c r="G23" s="906"/>
      <c r="H23" s="906"/>
      <c r="I23" s="912"/>
      <c r="J23" s="912"/>
      <c r="K23" s="912"/>
      <c r="L23" s="912"/>
      <c r="M23" s="912"/>
      <c r="N23" s="912"/>
      <c r="O23" s="912"/>
      <c r="P23" s="912"/>
      <c r="Q23" s="912"/>
      <c r="R23" s="912"/>
      <c r="S23" s="912"/>
      <c r="T23" s="912"/>
      <c r="U23" s="912"/>
      <c r="V23" s="912"/>
      <c r="W23" s="912"/>
      <c r="X23" s="912"/>
      <c r="Y23" s="912"/>
      <c r="Z23" s="912"/>
      <c r="AA23" s="912"/>
      <c r="AB23" s="912"/>
      <c r="AC23" s="912"/>
      <c r="AD23" s="912"/>
      <c r="AE23" s="912"/>
      <c r="AF23" s="912"/>
      <c r="AG23" s="912"/>
      <c r="AH23" s="912"/>
      <c r="AI23" s="912"/>
      <c r="AJ23" s="912"/>
      <c r="AK23" s="912"/>
      <c r="AL23" s="912"/>
      <c r="AM23" s="912"/>
      <c r="AN23" s="912"/>
      <c r="AO23" s="912"/>
      <c r="AP23" s="912"/>
      <c r="AQ23" s="912"/>
      <c r="AR23" s="912"/>
      <c r="AS23" s="912"/>
      <c r="AT23" s="912"/>
      <c r="AU23" s="912"/>
      <c r="AV23" s="912"/>
      <c r="AW23" s="912"/>
      <c r="AX23" s="912"/>
      <c r="AY23" s="912"/>
      <c r="AZ23" s="912"/>
      <c r="BA23" s="912"/>
      <c r="BB23" s="1139"/>
    </row>
    <row r="24">
      <c r="A24" s="1131" t="str">
        <f t="array" ref="A24">IFERROR(INDEX(TeamInfo!$1:$45,MATCH(C24,TeamInfo!C:C,0),1),"")</f>
        <v/>
      </c>
      <c r="B24" s="1131" t="str">
        <f t="array" ref="B24">IFERROR(INDEX(TeamInfo!$1:$45,MATCH(C24,TeamInfo!C:C,0),2),"")</f>
        <v/>
      </c>
      <c r="C24" s="1137"/>
      <c r="D24" s="1138"/>
      <c r="E24" s="1138"/>
      <c r="F24" s="1138"/>
      <c r="G24" s="906"/>
      <c r="H24" s="906"/>
      <c r="I24" s="912"/>
      <c r="J24" s="912"/>
      <c r="K24" s="912"/>
      <c r="L24" s="912"/>
      <c r="M24" s="912"/>
      <c r="N24" s="912"/>
      <c r="O24" s="912"/>
      <c r="P24" s="912"/>
      <c r="Q24" s="912"/>
      <c r="R24" s="912"/>
      <c r="S24" s="912"/>
      <c r="T24" s="912"/>
      <c r="U24" s="912"/>
      <c r="V24" s="912"/>
      <c r="W24" s="912"/>
      <c r="X24" s="912"/>
      <c r="Y24" s="912"/>
      <c r="Z24" s="912"/>
      <c r="AA24" s="912"/>
      <c r="AB24" s="912"/>
      <c r="AC24" s="912"/>
      <c r="AD24" s="912"/>
      <c r="AE24" s="912"/>
      <c r="AF24" s="912"/>
      <c r="AG24" s="912"/>
      <c r="AH24" s="912"/>
      <c r="AI24" s="912"/>
      <c r="AJ24" s="912"/>
      <c r="AK24" s="912"/>
      <c r="AL24" s="912"/>
      <c r="AM24" s="912"/>
      <c r="AN24" s="912"/>
      <c r="AO24" s="912"/>
      <c r="AP24" s="912"/>
      <c r="AQ24" s="912"/>
      <c r="AR24" s="912"/>
      <c r="AS24" s="912"/>
      <c r="AT24" s="912"/>
      <c r="AU24" s="912"/>
      <c r="AV24" s="912"/>
      <c r="AW24" s="912"/>
      <c r="AX24" s="912"/>
      <c r="AY24" s="912"/>
      <c r="AZ24" s="912"/>
      <c r="BA24" s="912"/>
      <c r="BB24" s="1139"/>
    </row>
    <row r="25">
      <c r="A25" s="1131" t="str">
        <f t="array" ref="A25">IFERROR(INDEX(TeamInfo!$1:$45,MATCH(C25,TeamInfo!C:C,0),1),"")</f>
        <v/>
      </c>
      <c r="B25" s="1131" t="str">
        <f t="array" ref="B25">IFERROR(INDEX(TeamInfo!$1:$45,MATCH(C25,TeamInfo!C:C,0),2),"")</f>
        <v/>
      </c>
      <c r="C25" s="1137"/>
      <c r="D25" s="1138"/>
      <c r="E25" s="1138"/>
      <c r="F25" s="1138"/>
      <c r="G25" s="906"/>
      <c r="H25" s="906"/>
      <c r="I25" s="912"/>
      <c r="J25" s="912"/>
      <c r="K25" s="912"/>
      <c r="L25" s="912"/>
      <c r="M25" s="912"/>
      <c r="N25" s="912"/>
      <c r="O25" s="912"/>
      <c r="P25" s="912"/>
      <c r="Q25" s="912"/>
      <c r="R25" s="912"/>
      <c r="S25" s="912"/>
      <c r="T25" s="912"/>
      <c r="U25" s="912"/>
      <c r="V25" s="912"/>
      <c r="W25" s="912"/>
      <c r="X25" s="912"/>
      <c r="Y25" s="912"/>
      <c r="Z25" s="912"/>
      <c r="AA25" s="912"/>
      <c r="AB25" s="912"/>
      <c r="AC25" s="912"/>
      <c r="AD25" s="912"/>
      <c r="AE25" s="912"/>
      <c r="AF25" s="912"/>
      <c r="AG25" s="912"/>
      <c r="AH25" s="912"/>
      <c r="AI25" s="912"/>
      <c r="AJ25" s="912"/>
      <c r="AK25" s="912"/>
      <c r="AL25" s="912"/>
      <c r="AM25" s="912"/>
      <c r="AN25" s="912"/>
      <c r="AO25" s="912"/>
      <c r="AP25" s="912"/>
      <c r="AQ25" s="912"/>
      <c r="AR25" s="912"/>
      <c r="AS25" s="912"/>
      <c r="AT25" s="912"/>
      <c r="AU25" s="912"/>
      <c r="AV25" s="912"/>
      <c r="AW25" s="912"/>
      <c r="AX25" s="912"/>
      <c r="AY25" s="912"/>
      <c r="AZ25" s="912"/>
      <c r="BA25" s="912"/>
      <c r="BB25" s="1139"/>
    </row>
    <row r="26">
      <c r="A26" s="1140" t="s">
        <v>641</v>
      </c>
      <c r="B26" s="1141"/>
      <c r="C26" s="1142"/>
      <c r="D26" s="1142"/>
      <c r="E26" s="1142"/>
      <c r="F26" s="1142"/>
      <c r="G26" s="1142"/>
      <c r="H26" s="1142"/>
      <c r="I26" s="1142"/>
      <c r="J26" s="1142"/>
      <c r="K26" s="1142"/>
      <c r="L26" s="1142"/>
      <c r="M26" s="1142"/>
      <c r="N26" s="1142"/>
      <c r="O26" s="1142"/>
      <c r="P26" s="1143"/>
      <c r="Q26" s="1142"/>
      <c r="R26" s="1142"/>
      <c r="S26" s="1142"/>
      <c r="T26" s="1142"/>
      <c r="U26" s="1142"/>
      <c r="V26" s="1142"/>
      <c r="W26" s="1142"/>
      <c r="X26" s="1142"/>
      <c r="Y26" s="1142"/>
      <c r="Z26" s="1142"/>
      <c r="AA26" s="1142"/>
      <c r="AB26" s="1142"/>
      <c r="AC26" s="1142"/>
      <c r="AD26" s="1142"/>
      <c r="AE26" s="1142"/>
      <c r="AF26" s="1142"/>
      <c r="AG26" s="1142"/>
      <c r="AH26" s="1142"/>
      <c r="AI26" s="1142"/>
      <c r="AJ26" s="1142"/>
      <c r="AK26" s="1142"/>
      <c r="AL26" s="1142"/>
      <c r="AM26" s="1142"/>
      <c r="AN26" s="1142"/>
      <c r="AO26" s="1142"/>
      <c r="AP26" s="1142"/>
      <c r="AQ26" s="1142"/>
      <c r="AR26" s="1142"/>
      <c r="AS26" s="1142"/>
      <c r="AT26" s="1142"/>
      <c r="AU26" s="1142"/>
      <c r="AV26" s="1142"/>
      <c r="AW26" s="1142"/>
      <c r="AX26" s="1142"/>
      <c r="AY26" s="1142"/>
      <c r="AZ26" s="1142"/>
      <c r="BA26" s="1142"/>
      <c r="BB26" s="1140"/>
    </row>
    <row r="27">
      <c r="A27" s="1138" t="str">
        <f t="array" ref="A27">IFERROR(INDEX(TeamInfo!$1:$45,MATCH(C27,TeamInfo!C:C,0),1),"")</f>
        <v/>
      </c>
      <c r="B27" s="1144" t="str">
        <f t="array" ref="B27">IFERROR(INDEX(TeamInfo!$1:$45,MATCH($C27,TeamInfo!C:C,0),2),"")</f>
        <v/>
      </c>
      <c r="C27" s="905"/>
      <c r="D27" s="1138"/>
      <c r="E27" s="1138"/>
      <c r="F27" s="1138"/>
      <c r="G27" s="1134"/>
      <c r="H27" s="1134"/>
      <c r="I27" s="1134"/>
      <c r="J27" s="1134"/>
      <c r="K27" s="1134"/>
      <c r="L27" s="1134"/>
      <c r="M27" s="1134"/>
      <c r="N27" s="1134"/>
      <c r="O27" s="1134"/>
      <c r="P27" s="1134"/>
      <c r="Q27" s="1134"/>
      <c r="R27" s="1134"/>
      <c r="S27" s="1134"/>
      <c r="T27" s="1134"/>
      <c r="U27" s="1134"/>
      <c r="V27" s="1134"/>
      <c r="W27" s="1134"/>
      <c r="X27" s="1134"/>
      <c r="Y27" s="1134"/>
      <c r="Z27" s="1134"/>
      <c r="AA27" s="1134"/>
      <c r="AB27" s="1134"/>
      <c r="AC27" s="1134"/>
      <c r="AD27" s="1134"/>
      <c r="AE27" s="1134"/>
      <c r="AF27" s="1134"/>
      <c r="AG27" s="1134"/>
      <c r="AH27" s="1134"/>
      <c r="AI27" s="1134"/>
      <c r="AJ27" s="1134"/>
      <c r="AK27" s="1134"/>
      <c r="AL27" s="1134"/>
      <c r="AM27" s="1134"/>
      <c r="AN27" s="1134"/>
      <c r="AO27" s="1134"/>
      <c r="AP27" s="1134"/>
      <c r="AQ27" s="1134"/>
      <c r="AR27" s="1134"/>
      <c r="AS27" s="1134"/>
      <c r="AT27" s="1134"/>
      <c r="AU27" s="1134"/>
      <c r="AV27" s="1134"/>
      <c r="AW27" s="1134"/>
      <c r="AX27" s="1134"/>
      <c r="AY27" s="1134"/>
      <c r="AZ27" s="1134"/>
      <c r="BA27" s="1134"/>
      <c r="BB27" s="1139"/>
    </row>
    <row r="28">
      <c r="A28" s="1138" t="str">
        <f t="array" ref="A28">IFERROR(INDEX(TeamInfo!$1:$45,MATCH(C28,TeamInfo!C:C,0),1),"")</f>
        <v/>
      </c>
      <c r="B28" s="1144" t="str">
        <f t="array" ref="B28">IFERROR(INDEX(TeamInfo!$1:$45,MATCH($C28,TeamInfo!C:C,0),2),"")</f>
        <v/>
      </c>
      <c r="C28" s="905"/>
      <c r="D28" s="1138"/>
      <c r="E28" s="1138"/>
      <c r="F28" s="1138"/>
      <c r="G28" s="906"/>
      <c r="H28" s="906"/>
      <c r="I28" s="906"/>
      <c r="J28" s="906"/>
      <c r="K28" s="906"/>
      <c r="L28" s="906"/>
      <c r="M28" s="906"/>
      <c r="N28" s="906"/>
      <c r="O28" s="906"/>
      <c r="P28" s="906"/>
      <c r="Q28" s="906"/>
      <c r="R28" s="906"/>
      <c r="S28" s="906"/>
      <c r="T28" s="906"/>
      <c r="U28" s="906"/>
      <c r="V28" s="906"/>
      <c r="W28" s="906"/>
      <c r="X28" s="906"/>
      <c r="Y28" s="906"/>
      <c r="Z28" s="906"/>
      <c r="AA28" s="906"/>
      <c r="AB28" s="906"/>
      <c r="AC28" s="906"/>
      <c r="AD28" s="906"/>
      <c r="AE28" s="906"/>
      <c r="AF28" s="906"/>
      <c r="AG28" s="906"/>
      <c r="AH28" s="906"/>
      <c r="AI28" s="906"/>
      <c r="AJ28" s="906"/>
      <c r="AK28" s="906"/>
      <c r="AL28" s="906"/>
      <c r="AM28" s="906"/>
      <c r="AN28" s="906"/>
      <c r="AO28" s="906"/>
      <c r="AP28" s="906"/>
      <c r="AQ28" s="906"/>
      <c r="AR28" s="906"/>
      <c r="AS28" s="906"/>
      <c r="AT28" s="906"/>
      <c r="AU28" s="906"/>
      <c r="AV28" s="906"/>
      <c r="AW28" s="906"/>
      <c r="AX28" s="906"/>
      <c r="AY28" s="906"/>
      <c r="AZ28" s="906"/>
      <c r="BA28" s="906"/>
      <c r="BB28" s="1139"/>
    </row>
    <row r="29">
      <c r="A29" s="1138" t="str">
        <f t="array" ref="A29">IFERROR(INDEX(TeamInfo!$1:$45,MATCH(C29,TeamInfo!C:C,0),1),"")</f>
        <v/>
      </c>
      <c r="B29" s="1144" t="str">
        <f t="array" ref="B29">IFERROR(INDEX(TeamInfo!$1:$45,MATCH($C29,TeamInfo!C:C,0),2),"")</f>
        <v/>
      </c>
      <c r="C29" s="905"/>
      <c r="D29" s="1138"/>
      <c r="E29" s="1138"/>
      <c r="F29" s="1138"/>
      <c r="G29" s="906"/>
      <c r="H29" s="906"/>
      <c r="I29" s="906"/>
      <c r="J29" s="906"/>
      <c r="K29" s="906"/>
      <c r="L29" s="906"/>
      <c r="M29" s="906"/>
      <c r="N29" s="906"/>
      <c r="O29" s="906"/>
      <c r="P29" s="906"/>
      <c r="Q29" s="906"/>
      <c r="R29" s="906"/>
      <c r="S29" s="906"/>
      <c r="T29" s="906"/>
      <c r="U29" s="906"/>
      <c r="V29" s="906"/>
      <c r="W29" s="906"/>
      <c r="X29" s="906"/>
      <c r="Y29" s="906"/>
      <c r="Z29" s="906"/>
      <c r="AA29" s="906"/>
      <c r="AB29" s="906"/>
      <c r="AC29" s="906"/>
      <c r="AD29" s="906"/>
      <c r="AE29" s="906"/>
      <c r="AF29" s="906"/>
      <c r="AG29" s="906"/>
      <c r="AH29" s="906"/>
      <c r="AI29" s="906"/>
      <c r="AJ29" s="906"/>
      <c r="AK29" s="906"/>
      <c r="AL29" s="906"/>
      <c r="AM29" s="906"/>
      <c r="AN29" s="906"/>
      <c r="AO29" s="906"/>
      <c r="AP29" s="906"/>
      <c r="AQ29" s="906"/>
      <c r="AR29" s="906"/>
      <c r="AS29" s="906"/>
      <c r="AT29" s="906"/>
      <c r="AU29" s="906"/>
      <c r="AV29" s="906"/>
      <c r="AW29" s="906"/>
      <c r="AX29" s="906"/>
      <c r="AY29" s="906"/>
      <c r="AZ29" s="906"/>
      <c r="BA29" s="906"/>
      <c r="BB29" s="1139"/>
    </row>
    <row r="30">
      <c r="A30" s="1138" t="str">
        <f t="array" ref="A30">IFERROR(INDEX(TeamInfo!$1:$45,MATCH(C30,TeamInfo!C:C,0),1),"")</f>
        <v/>
      </c>
      <c r="B30" s="1144" t="str">
        <f t="array" ref="B30">IFERROR(INDEX(TeamInfo!$1:$45,MATCH($C30,TeamInfo!C:C,0),2),"")</f>
        <v/>
      </c>
      <c r="C30" s="905"/>
      <c r="D30" s="1138"/>
      <c r="E30" s="1138"/>
      <c r="F30" s="1138"/>
      <c r="G30" s="906"/>
      <c r="H30" s="906"/>
      <c r="I30" s="906"/>
      <c r="J30" s="906"/>
      <c r="K30" s="906"/>
      <c r="L30" s="906"/>
      <c r="M30" s="906"/>
      <c r="N30" s="906"/>
      <c r="O30" s="906"/>
      <c r="P30" s="906"/>
      <c r="Q30" s="906"/>
      <c r="R30" s="906"/>
      <c r="S30" s="906"/>
      <c r="T30" s="906"/>
      <c r="U30" s="906"/>
      <c r="V30" s="906"/>
      <c r="W30" s="906"/>
      <c r="X30" s="906"/>
      <c r="Y30" s="906"/>
      <c r="Z30" s="906"/>
      <c r="AA30" s="906"/>
      <c r="AB30" s="906"/>
      <c r="AC30" s="906"/>
      <c r="AD30" s="906"/>
      <c r="AE30" s="906"/>
      <c r="AF30" s="906"/>
      <c r="AG30" s="906"/>
      <c r="AH30" s="906"/>
      <c r="AI30" s="906"/>
      <c r="AJ30" s="906"/>
      <c r="AK30" s="906"/>
      <c r="AL30" s="906"/>
      <c r="AM30" s="906"/>
      <c r="AN30" s="906"/>
      <c r="AO30" s="906"/>
      <c r="AP30" s="906"/>
      <c r="AQ30" s="906"/>
      <c r="AR30" s="906"/>
      <c r="AS30" s="906"/>
      <c r="AT30" s="906"/>
      <c r="AU30" s="906"/>
      <c r="AV30" s="906"/>
      <c r="AW30" s="906"/>
      <c r="AX30" s="906"/>
      <c r="AY30" s="906"/>
      <c r="AZ30" s="906"/>
      <c r="BA30" s="906"/>
      <c r="BB30" s="1139"/>
    </row>
    <row r="31">
      <c r="A31" s="1145" t="str">
        <f t="array" ref="A31">IFERROR(INDEX(TeamInfo!$1:$45,MATCH(C31,TeamInfo!C:C,0),1),"")</f>
        <v/>
      </c>
      <c r="B31" s="1146" t="str">
        <f t="array" ref="B31">IFERROR(INDEX(TeamInfo!$1:$45,MATCH($C31,TeamInfo!C:C,0),2),"")</f>
        <v/>
      </c>
      <c r="C31" s="1129"/>
      <c r="D31" s="1129"/>
      <c r="E31" s="1129"/>
      <c r="F31" s="1129"/>
      <c r="G31" s="1130"/>
      <c r="H31" s="1130"/>
      <c r="I31" s="1130"/>
      <c r="J31" s="1130"/>
      <c r="K31" s="1130"/>
      <c r="L31" s="1130"/>
      <c r="M31" s="1130"/>
      <c r="N31" s="1130"/>
      <c r="O31" s="1130"/>
      <c r="P31" s="1130"/>
      <c r="Q31" s="1130"/>
      <c r="R31" s="1130"/>
      <c r="S31" s="1130"/>
      <c r="T31" s="1130"/>
      <c r="U31" s="1130"/>
      <c r="V31" s="1130"/>
      <c r="W31" s="1130"/>
      <c r="X31" s="1130"/>
      <c r="Y31" s="1130"/>
      <c r="Z31" s="1130"/>
      <c r="AA31" s="1130"/>
      <c r="AB31" s="1130"/>
      <c r="AC31" s="1130"/>
      <c r="AD31" s="1130"/>
      <c r="AE31" s="1130"/>
      <c r="AF31" s="1130"/>
      <c r="AG31" s="1130"/>
      <c r="AH31" s="1130"/>
      <c r="AI31" s="1130"/>
      <c r="AJ31" s="1130"/>
      <c r="AK31" s="1130"/>
      <c r="AL31" s="1130"/>
      <c r="AM31" s="1130"/>
      <c r="AN31" s="1130"/>
      <c r="AO31" s="1130"/>
      <c r="AP31" s="1130"/>
      <c r="AQ31" s="1130"/>
      <c r="AR31" s="1130"/>
      <c r="AS31" s="1130"/>
      <c r="AT31" s="1130"/>
      <c r="AU31" s="1130"/>
      <c r="AV31" s="1130"/>
      <c r="AW31" s="1130"/>
      <c r="AX31" s="1130"/>
      <c r="AY31" s="1130"/>
      <c r="AZ31" s="1130"/>
      <c r="BA31" s="1130"/>
      <c r="BB31" s="427"/>
    </row>
    <row r="32">
      <c r="A32" s="1145" t="str">
        <f t="array" ref="A32">IFERROR(INDEX(TeamInfo!$1:$45,MATCH(C32,TeamInfo!C:C,0),1),"")</f>
        <v/>
      </c>
      <c r="B32" s="1146" t="str">
        <f t="array" ref="B32">IFERROR(INDEX(TeamInfo!$1:$45,MATCH($C32,TeamInfo!C:C,0),2),"")</f>
        <v/>
      </c>
      <c r="C32" s="1129"/>
      <c r="D32" s="1129"/>
      <c r="E32" s="1129"/>
      <c r="F32" s="1129"/>
      <c r="G32" s="1130"/>
      <c r="H32" s="1130"/>
      <c r="I32" s="1130"/>
      <c r="J32" s="1130"/>
      <c r="K32" s="1130"/>
      <c r="L32" s="1130"/>
      <c r="M32" s="1130"/>
      <c r="N32" s="1130"/>
      <c r="O32" s="1130"/>
      <c r="P32" s="1130"/>
      <c r="Q32" s="1130"/>
      <c r="R32" s="1130"/>
      <c r="S32" s="1130"/>
      <c r="T32" s="1130"/>
      <c r="U32" s="1130"/>
      <c r="V32" s="1130"/>
      <c r="W32" s="1130"/>
      <c r="X32" s="1130"/>
      <c r="Y32" s="1130"/>
      <c r="Z32" s="1130"/>
      <c r="AA32" s="1130"/>
      <c r="AB32" s="1130"/>
      <c r="AC32" s="1130"/>
      <c r="AD32" s="1130"/>
      <c r="AE32" s="1130"/>
      <c r="AF32" s="1130"/>
      <c r="AG32" s="1130"/>
      <c r="AH32" s="1130"/>
      <c r="AI32" s="1130"/>
      <c r="AJ32" s="1130"/>
      <c r="AK32" s="1130"/>
      <c r="AL32" s="1130"/>
      <c r="AM32" s="1130"/>
      <c r="AN32" s="1130"/>
      <c r="AO32" s="1130"/>
      <c r="AP32" s="1130"/>
      <c r="AQ32" s="1130"/>
      <c r="AR32" s="1130"/>
      <c r="AS32" s="1130"/>
      <c r="AT32" s="1130"/>
      <c r="AU32" s="1130"/>
      <c r="AV32" s="1130"/>
      <c r="AW32" s="1130"/>
      <c r="AX32" s="1130"/>
      <c r="AY32" s="1130"/>
      <c r="AZ32" s="1130"/>
      <c r="BA32" s="1130"/>
      <c r="BB32" s="427"/>
    </row>
    <row r="33">
      <c r="A33" s="1145" t="str">
        <f t="array" ref="A33">IFERROR(INDEX(TeamInfo!$1:$45,MATCH(C33,TeamInfo!C:C,0),1),"")</f>
        <v/>
      </c>
      <c r="B33" s="1146" t="str">
        <f t="array" ref="B33">IFERROR(INDEX(TeamInfo!$1:$45,MATCH($C33,TeamInfo!C:C,0),2),"")</f>
        <v/>
      </c>
      <c r="C33" s="1129"/>
      <c r="D33" s="1129"/>
      <c r="E33" s="1129"/>
      <c r="F33" s="1129"/>
      <c r="G33" s="1130"/>
      <c r="H33" s="1130"/>
      <c r="I33" s="1130"/>
      <c r="J33" s="1130"/>
      <c r="K33" s="1130"/>
      <c r="L33" s="1130"/>
      <c r="M33" s="1130"/>
      <c r="N33" s="1130"/>
      <c r="O33" s="1130"/>
      <c r="P33" s="1130"/>
      <c r="Q33" s="1130"/>
      <c r="R33" s="1130"/>
      <c r="S33" s="1130"/>
      <c r="T33" s="1130"/>
      <c r="U33" s="1130"/>
      <c r="V33" s="1130"/>
      <c r="W33" s="1130"/>
      <c r="X33" s="1130"/>
      <c r="Y33" s="1130"/>
      <c r="Z33" s="1130"/>
      <c r="AA33" s="1130"/>
      <c r="AB33" s="1130"/>
      <c r="AC33" s="1130"/>
      <c r="AD33" s="1130"/>
      <c r="AE33" s="1130"/>
      <c r="AF33" s="1130"/>
      <c r="AG33" s="1130"/>
      <c r="AH33" s="1130"/>
      <c r="AI33" s="1130"/>
      <c r="AJ33" s="1130"/>
      <c r="AK33" s="1130"/>
      <c r="AL33" s="1130"/>
      <c r="AM33" s="1130"/>
      <c r="AN33" s="1130"/>
      <c r="AO33" s="1130"/>
      <c r="AP33" s="1130"/>
      <c r="AQ33" s="1130"/>
      <c r="AR33" s="1130"/>
      <c r="AS33" s="1130"/>
      <c r="AT33" s="1130"/>
      <c r="AU33" s="1130"/>
      <c r="AV33" s="1130"/>
      <c r="AW33" s="1130"/>
      <c r="AX33" s="1130"/>
      <c r="AY33" s="1130"/>
      <c r="AZ33" s="1130"/>
      <c r="BA33" s="1130"/>
      <c r="BB33" s="427"/>
    </row>
    <row r="34">
      <c r="A34" s="1145" t="str">
        <f t="array" ref="A34">IFERROR(INDEX(TeamInfo!$1:$45,MATCH(C34,TeamInfo!C:C,0),1),"")</f>
        <v/>
      </c>
      <c r="B34" s="1146" t="str">
        <f t="array" ref="B34">IFERROR(INDEX(TeamInfo!$1:$45,MATCH($C34,TeamInfo!C:C,0),2),"")</f>
        <v/>
      </c>
      <c r="C34" s="1129"/>
      <c r="D34" s="1129"/>
      <c r="E34" s="1129"/>
      <c r="F34" s="1129"/>
      <c r="G34" s="1130"/>
      <c r="H34" s="1130"/>
      <c r="I34" s="1130"/>
      <c r="J34" s="1130"/>
      <c r="K34" s="1130"/>
      <c r="L34" s="1130"/>
      <c r="M34" s="1130"/>
      <c r="N34" s="1130"/>
      <c r="O34" s="1130"/>
      <c r="P34" s="1130"/>
      <c r="Q34" s="1130"/>
      <c r="R34" s="1130"/>
      <c r="S34" s="1130"/>
      <c r="T34" s="1130"/>
      <c r="U34" s="1130"/>
      <c r="V34" s="1130"/>
      <c r="W34" s="1130"/>
      <c r="X34" s="1130"/>
      <c r="Y34" s="1130"/>
      <c r="Z34" s="1130"/>
      <c r="AA34" s="1130"/>
      <c r="AB34" s="1130"/>
      <c r="AC34" s="1130"/>
      <c r="AD34" s="1130"/>
      <c r="AE34" s="1130"/>
      <c r="AF34" s="1130"/>
      <c r="AG34" s="1130"/>
      <c r="AH34" s="1130"/>
      <c r="AI34" s="1130"/>
      <c r="AJ34" s="1130"/>
      <c r="AK34" s="1130"/>
      <c r="AL34" s="1130"/>
      <c r="AM34" s="1130"/>
      <c r="AN34" s="1130"/>
      <c r="AO34" s="1130"/>
      <c r="AP34" s="1130"/>
      <c r="AQ34" s="1130"/>
      <c r="AR34" s="1130"/>
      <c r="AS34" s="1130"/>
      <c r="AT34" s="1130"/>
      <c r="AU34" s="1130"/>
      <c r="AV34" s="1130"/>
      <c r="AW34" s="1130"/>
      <c r="AX34" s="1130"/>
      <c r="AY34" s="1130"/>
      <c r="AZ34" s="1130"/>
      <c r="BA34" s="1130"/>
      <c r="BB34" s="427"/>
    </row>
    <row r="35">
      <c r="A35" s="1147" t="str">
        <f t="array" ref="A35">IFERROR(INDEX(TeamInfo!$1:$45,MATCH(C35,TeamInfo!C:C,0),1),"")</f>
        <v/>
      </c>
      <c r="B35" s="1148" t="str">
        <f t="array" ref="B35">IFERROR(INDEX(TeamInfo!$1:$45,MATCH($C35,TeamInfo!C:C,0),2),"")</f>
        <v/>
      </c>
      <c r="C35" s="1149"/>
      <c r="D35" s="1150"/>
      <c r="E35" s="1150"/>
      <c r="F35" s="1150"/>
      <c r="G35" s="1134"/>
      <c r="H35" s="1134"/>
      <c r="I35" s="1134"/>
      <c r="J35" s="1134"/>
      <c r="K35" s="1134"/>
      <c r="L35" s="1134"/>
      <c r="M35" s="1134"/>
      <c r="N35" s="1134"/>
      <c r="O35" s="1134"/>
      <c r="P35" s="1134"/>
      <c r="Q35" s="1134"/>
      <c r="R35" s="1134"/>
      <c r="S35" s="1134"/>
      <c r="T35" s="1134"/>
      <c r="U35" s="1134"/>
      <c r="V35" s="1134"/>
      <c r="W35" s="1134"/>
      <c r="X35" s="1134"/>
      <c r="Y35" s="1134"/>
      <c r="Z35" s="1134"/>
      <c r="AA35" s="1134"/>
      <c r="AB35" s="1134"/>
      <c r="AC35" s="1134"/>
      <c r="AD35" s="1134"/>
      <c r="AE35" s="1134"/>
      <c r="AF35" s="1134"/>
      <c r="AG35" s="1134"/>
      <c r="AH35" s="1134"/>
      <c r="AI35" s="1134"/>
      <c r="AJ35" s="1134"/>
      <c r="AK35" s="1134"/>
      <c r="AL35" s="1134"/>
      <c r="AM35" s="1134"/>
      <c r="AN35" s="1134"/>
      <c r="AO35" s="1134"/>
      <c r="AP35" s="1134"/>
      <c r="AQ35" s="1134"/>
      <c r="AR35" s="1134"/>
      <c r="AS35" s="1134"/>
      <c r="AT35" s="1134"/>
      <c r="AU35" s="1134"/>
      <c r="AV35" s="1134"/>
      <c r="AW35" s="1134"/>
      <c r="AX35" s="1134"/>
      <c r="AY35" s="1134"/>
      <c r="AZ35" s="1134"/>
      <c r="BA35" s="1134"/>
      <c r="BB35" s="1151"/>
    </row>
    <row r="36">
      <c r="A36" s="1152" t="str">
        <f t="array" ref="A36">IFERROR(INDEX(TeamInfo!$1:$45,MATCH(C36,TeamInfo!C:C,0),1),"")</f>
        <v/>
      </c>
      <c r="B36" s="1144" t="str">
        <f t="array" ref="B36">IFERROR(INDEX(TeamInfo!$1:$45,MATCH($C36,TeamInfo!C:C,0),2),"")</f>
        <v/>
      </c>
      <c r="C36" s="905"/>
      <c r="D36" s="1138"/>
      <c r="E36" s="1138"/>
      <c r="F36" s="1138"/>
      <c r="G36" s="906"/>
      <c r="H36" s="906"/>
      <c r="I36" s="906"/>
      <c r="J36" s="906"/>
      <c r="K36" s="906"/>
      <c r="L36" s="906"/>
      <c r="M36" s="906"/>
      <c r="N36" s="906"/>
      <c r="O36" s="906"/>
      <c r="P36" s="906"/>
      <c r="Q36" s="906"/>
      <c r="R36" s="906"/>
      <c r="S36" s="906"/>
      <c r="T36" s="906"/>
      <c r="U36" s="906"/>
      <c r="V36" s="906"/>
      <c r="W36" s="906"/>
      <c r="X36" s="906"/>
      <c r="Y36" s="906"/>
      <c r="Z36" s="906"/>
      <c r="AA36" s="906"/>
      <c r="AB36" s="906"/>
      <c r="AC36" s="906"/>
      <c r="AD36" s="906"/>
      <c r="AE36" s="906"/>
      <c r="AF36" s="906"/>
      <c r="AG36" s="906"/>
      <c r="AH36" s="906"/>
      <c r="AI36" s="906"/>
      <c r="AJ36" s="906"/>
      <c r="AK36" s="906"/>
      <c r="AL36" s="906"/>
      <c r="AM36" s="906"/>
      <c r="AN36" s="906"/>
      <c r="AO36" s="906"/>
      <c r="AP36" s="906"/>
      <c r="AQ36" s="906"/>
      <c r="AR36" s="906"/>
      <c r="AS36" s="906"/>
      <c r="AT36" s="906"/>
      <c r="AU36" s="906"/>
      <c r="AV36" s="906"/>
      <c r="AW36" s="906"/>
      <c r="AX36" s="906"/>
      <c r="AY36" s="906"/>
      <c r="AZ36" s="906"/>
      <c r="BA36" s="906"/>
      <c r="BB36" s="1153"/>
    </row>
    <row r="37">
      <c r="A37" s="1152" t="str">
        <f t="array" ref="A37">IFERROR(INDEX(TeamInfo!$1:$45,MATCH(C37,TeamInfo!C:C,0),1),"")</f>
        <v/>
      </c>
      <c r="B37" s="1144" t="str">
        <f t="array" ref="B37">IFERROR(INDEX(TeamInfo!$1:$45,MATCH($C37,TeamInfo!C:C,0),2),"")</f>
        <v/>
      </c>
      <c r="C37" s="905"/>
      <c r="D37" s="1138"/>
      <c r="E37" s="1138"/>
      <c r="F37" s="1138"/>
      <c r="G37" s="906"/>
      <c r="H37" s="906"/>
      <c r="I37" s="906"/>
      <c r="J37" s="906"/>
      <c r="K37" s="906"/>
      <c r="L37" s="906"/>
      <c r="M37" s="906"/>
      <c r="N37" s="906"/>
      <c r="O37" s="906"/>
      <c r="P37" s="906"/>
      <c r="Q37" s="906"/>
      <c r="R37" s="906"/>
      <c r="S37" s="906"/>
      <c r="T37" s="906"/>
      <c r="U37" s="906"/>
      <c r="V37" s="906"/>
      <c r="W37" s="906"/>
      <c r="X37" s="906"/>
      <c r="Y37" s="906"/>
      <c r="Z37" s="906"/>
      <c r="AA37" s="906"/>
      <c r="AB37" s="906"/>
      <c r="AC37" s="906"/>
      <c r="AD37" s="906"/>
      <c r="AE37" s="906"/>
      <c r="AF37" s="906"/>
      <c r="AG37" s="906"/>
      <c r="AH37" s="906"/>
      <c r="AI37" s="906"/>
      <c r="AJ37" s="906"/>
      <c r="AK37" s="906"/>
      <c r="AL37" s="906"/>
      <c r="AM37" s="906"/>
      <c r="AN37" s="906"/>
      <c r="AO37" s="906"/>
      <c r="AP37" s="906"/>
      <c r="AQ37" s="906"/>
      <c r="AR37" s="906"/>
      <c r="AS37" s="906"/>
      <c r="AT37" s="906"/>
      <c r="AU37" s="906"/>
      <c r="AV37" s="906"/>
      <c r="AW37" s="906"/>
      <c r="AX37" s="906"/>
      <c r="AY37" s="906"/>
      <c r="AZ37" s="906"/>
      <c r="BA37" s="906"/>
      <c r="BB37" s="1153"/>
    </row>
    <row r="38">
      <c r="A38" s="1152" t="str">
        <f t="array" ref="A38">IFERROR(INDEX(TeamInfo!$1:$45,MATCH(C38,TeamInfo!C:C,0),1),"")</f>
        <v/>
      </c>
      <c r="B38" s="1144" t="str">
        <f t="array" ref="B38">IFERROR(INDEX(TeamInfo!$1:$45,MATCH($C38,TeamInfo!C:C,0),2),"")</f>
        <v/>
      </c>
      <c r="C38" s="905"/>
      <c r="D38" s="1138"/>
      <c r="E38" s="1138"/>
      <c r="F38" s="1138"/>
      <c r="G38" s="906"/>
      <c r="H38" s="906"/>
      <c r="I38" s="906"/>
      <c r="J38" s="906"/>
      <c r="K38" s="906"/>
      <c r="L38" s="906"/>
      <c r="M38" s="906"/>
      <c r="N38" s="906"/>
      <c r="O38" s="906"/>
      <c r="P38" s="906"/>
      <c r="Q38" s="906"/>
      <c r="R38" s="906"/>
      <c r="S38" s="906"/>
      <c r="T38" s="906"/>
      <c r="U38" s="906"/>
      <c r="V38" s="906"/>
      <c r="W38" s="906"/>
      <c r="X38" s="906"/>
      <c r="Y38" s="906"/>
      <c r="Z38" s="906"/>
      <c r="AA38" s="906"/>
      <c r="AB38" s="906"/>
      <c r="AC38" s="906"/>
      <c r="AD38" s="906"/>
      <c r="AE38" s="906"/>
      <c r="AF38" s="906"/>
      <c r="AG38" s="906"/>
      <c r="AH38" s="906"/>
      <c r="AI38" s="906"/>
      <c r="AJ38" s="906"/>
      <c r="AK38" s="906"/>
      <c r="AL38" s="906"/>
      <c r="AM38" s="906"/>
      <c r="AN38" s="906"/>
      <c r="AO38" s="906"/>
      <c r="AP38" s="906"/>
      <c r="AQ38" s="906"/>
      <c r="AR38" s="906"/>
      <c r="AS38" s="906"/>
      <c r="AT38" s="906"/>
      <c r="AU38" s="906"/>
      <c r="AV38" s="906"/>
      <c r="AW38" s="906"/>
      <c r="AX38" s="906"/>
      <c r="AY38" s="906"/>
      <c r="AZ38" s="906"/>
      <c r="BA38" s="906"/>
      <c r="BB38" s="1153"/>
    </row>
    <row r="39">
      <c r="A39" s="1154" t="str">
        <f t="array" ref="A39">IFERROR(INDEX(TeamInfo!$1:$45,MATCH(C39,TeamInfo!C:C,0),1),"")</f>
        <v/>
      </c>
      <c r="B39" s="1146" t="str">
        <f t="array" ref="B39">IFERROR(INDEX(TeamInfo!$1:$45,MATCH($C39,TeamInfo!C:C,0),2),"")</f>
        <v/>
      </c>
      <c r="C39" s="1129"/>
      <c r="D39" s="1129"/>
      <c r="E39" s="1129"/>
      <c r="F39" s="1129"/>
      <c r="G39" s="1130"/>
      <c r="H39" s="1130"/>
      <c r="I39" s="1130"/>
      <c r="J39" s="1130"/>
      <c r="K39" s="1130"/>
      <c r="L39" s="1130"/>
      <c r="M39" s="1130"/>
      <c r="N39" s="1130"/>
      <c r="O39" s="1130"/>
      <c r="P39" s="1130"/>
      <c r="Q39" s="1130"/>
      <c r="R39" s="1130"/>
      <c r="S39" s="1130"/>
      <c r="T39" s="1130"/>
      <c r="U39" s="1130"/>
      <c r="V39" s="1130"/>
      <c r="W39" s="1130"/>
      <c r="X39" s="1130"/>
      <c r="Y39" s="1130"/>
      <c r="Z39" s="1130"/>
      <c r="AA39" s="1130"/>
      <c r="AB39" s="1130"/>
      <c r="AC39" s="1130"/>
      <c r="AD39" s="1130"/>
      <c r="AE39" s="1130"/>
      <c r="AF39" s="1130"/>
      <c r="AG39" s="1130"/>
      <c r="AH39" s="1130"/>
      <c r="AI39" s="1130"/>
      <c r="AJ39" s="1130"/>
      <c r="AK39" s="1130"/>
      <c r="AL39" s="1130"/>
      <c r="AM39" s="1130"/>
      <c r="AN39" s="1130"/>
      <c r="AO39" s="1130"/>
      <c r="AP39" s="1130"/>
      <c r="AQ39" s="1130"/>
      <c r="AR39" s="1130"/>
      <c r="AS39" s="1130"/>
      <c r="AT39" s="1130"/>
      <c r="AU39" s="1130"/>
      <c r="AV39" s="1130"/>
      <c r="AW39" s="1130"/>
      <c r="AX39" s="1130"/>
      <c r="AY39" s="1130"/>
      <c r="AZ39" s="1130"/>
      <c r="BA39" s="1130"/>
      <c r="BB39" s="1155"/>
    </row>
    <row r="40">
      <c r="A40" s="1154" t="str">
        <f t="array" ref="A40">IFERROR(INDEX(TeamInfo!$1:$45,MATCH(C40,TeamInfo!C:C,0),1),"")</f>
        <v/>
      </c>
      <c r="B40" s="1146" t="str">
        <f t="array" ref="B40">IFERROR(INDEX(TeamInfo!$1:$45,MATCH($C40,TeamInfo!C:C,0),2),"")</f>
        <v/>
      </c>
      <c r="C40" s="1129"/>
      <c r="D40" s="1129"/>
      <c r="E40" s="1129"/>
      <c r="F40" s="1129"/>
      <c r="G40" s="1130"/>
      <c r="H40" s="1130"/>
      <c r="I40" s="1130"/>
      <c r="J40" s="1130"/>
      <c r="K40" s="1130"/>
      <c r="L40" s="1130"/>
      <c r="M40" s="1130"/>
      <c r="N40" s="1130"/>
      <c r="O40" s="1130"/>
      <c r="P40" s="1130"/>
      <c r="Q40" s="1130"/>
      <c r="R40" s="1130"/>
      <c r="S40" s="1130"/>
      <c r="T40" s="1130"/>
      <c r="U40" s="1130"/>
      <c r="V40" s="1130"/>
      <c r="W40" s="1130"/>
      <c r="X40" s="1130"/>
      <c r="Y40" s="1130"/>
      <c r="Z40" s="1130"/>
      <c r="AA40" s="1130"/>
      <c r="AB40" s="1130"/>
      <c r="AC40" s="1130"/>
      <c r="AD40" s="1130"/>
      <c r="AE40" s="1130"/>
      <c r="AF40" s="1130"/>
      <c r="AG40" s="1130"/>
      <c r="AH40" s="1130"/>
      <c r="AI40" s="1130"/>
      <c r="AJ40" s="1130"/>
      <c r="AK40" s="1130"/>
      <c r="AL40" s="1130"/>
      <c r="AM40" s="1130"/>
      <c r="AN40" s="1130"/>
      <c r="AO40" s="1130"/>
      <c r="AP40" s="1130"/>
      <c r="AQ40" s="1130"/>
      <c r="AR40" s="1130"/>
      <c r="AS40" s="1130"/>
      <c r="AT40" s="1130"/>
      <c r="AU40" s="1130"/>
      <c r="AV40" s="1130"/>
      <c r="AW40" s="1130"/>
      <c r="AX40" s="1130"/>
      <c r="AY40" s="1130"/>
      <c r="AZ40" s="1130"/>
      <c r="BA40" s="1130"/>
      <c r="BB40" s="1155"/>
    </row>
    <row r="41">
      <c r="A41" s="1154" t="str">
        <f t="array" ref="A41">IFERROR(INDEX(TeamInfo!$1:$45,MATCH(C41,TeamInfo!C:C,0),1),"")</f>
        <v/>
      </c>
      <c r="B41" s="1146" t="str">
        <f t="array" ref="B41">IFERROR(INDEX(TeamInfo!$1:$45,MATCH($C41,TeamInfo!C:C,0),2),"")</f>
        <v/>
      </c>
      <c r="C41" s="1129"/>
      <c r="D41" s="1129"/>
      <c r="E41" s="1129"/>
      <c r="F41" s="1129"/>
      <c r="G41" s="1130"/>
      <c r="H41" s="1130"/>
      <c r="I41" s="1130"/>
      <c r="J41" s="1130"/>
      <c r="K41" s="1130"/>
      <c r="L41" s="1130"/>
      <c r="M41" s="1130"/>
      <c r="N41" s="1130"/>
      <c r="O41" s="1130"/>
      <c r="P41" s="1130"/>
      <c r="Q41" s="1130"/>
      <c r="R41" s="1130"/>
      <c r="S41" s="1130"/>
      <c r="T41" s="1130"/>
      <c r="U41" s="1130"/>
      <c r="V41" s="1130"/>
      <c r="W41" s="1130"/>
      <c r="X41" s="1130"/>
      <c r="Y41" s="1130"/>
      <c r="Z41" s="1130"/>
      <c r="AA41" s="1130"/>
      <c r="AB41" s="1130"/>
      <c r="AC41" s="1130"/>
      <c r="AD41" s="1130"/>
      <c r="AE41" s="1130"/>
      <c r="AF41" s="1130"/>
      <c r="AG41" s="1130"/>
      <c r="AH41" s="1130"/>
      <c r="AI41" s="1130"/>
      <c r="AJ41" s="1130"/>
      <c r="AK41" s="1130"/>
      <c r="AL41" s="1130"/>
      <c r="AM41" s="1130"/>
      <c r="AN41" s="1130"/>
      <c r="AO41" s="1130"/>
      <c r="AP41" s="1130"/>
      <c r="AQ41" s="1130"/>
      <c r="AR41" s="1130"/>
      <c r="AS41" s="1130"/>
      <c r="AT41" s="1130"/>
      <c r="AU41" s="1130"/>
      <c r="AV41" s="1130"/>
      <c r="AW41" s="1130"/>
      <c r="AX41" s="1130"/>
      <c r="AY41" s="1130"/>
      <c r="AZ41" s="1130"/>
      <c r="BA41" s="1130"/>
      <c r="BB41" s="1155"/>
    </row>
    <row r="42">
      <c r="A42" s="1156" t="str">
        <f t="array" ref="A42">IFERROR(INDEX(TeamInfo!$1:$45,MATCH(C42,TeamInfo!C:C,0),1),"")</f>
        <v/>
      </c>
      <c r="B42" s="1157" t="str">
        <f t="array" ref="B42">IFERROR(INDEX(TeamInfo!$1:$45,MATCH($C42,TeamInfo!C:C,0),2),"")</f>
        <v/>
      </c>
      <c r="C42" s="1158"/>
      <c r="D42" s="1158"/>
      <c r="E42" s="1158"/>
      <c r="F42" s="1158"/>
      <c r="G42" s="1133"/>
      <c r="H42" s="1133"/>
      <c r="I42" s="1133"/>
      <c r="J42" s="1133"/>
      <c r="K42" s="1133"/>
      <c r="L42" s="1133"/>
      <c r="M42" s="1133"/>
      <c r="N42" s="1133"/>
      <c r="O42" s="1133"/>
      <c r="P42" s="1133"/>
      <c r="Q42" s="1133"/>
      <c r="R42" s="1133"/>
      <c r="S42" s="1133"/>
      <c r="T42" s="1133"/>
      <c r="U42" s="1133"/>
      <c r="V42" s="1133"/>
      <c r="W42" s="1133"/>
      <c r="X42" s="1133"/>
      <c r="Y42" s="1133"/>
      <c r="Z42" s="1133"/>
      <c r="AA42" s="1133"/>
      <c r="AB42" s="1133"/>
      <c r="AC42" s="1133"/>
      <c r="AD42" s="1133"/>
      <c r="AE42" s="1133"/>
      <c r="AF42" s="1133"/>
      <c r="AG42" s="1133"/>
      <c r="AH42" s="1133"/>
      <c r="AI42" s="1133"/>
      <c r="AJ42" s="1133"/>
      <c r="AK42" s="1133"/>
      <c r="AL42" s="1133"/>
      <c r="AM42" s="1133"/>
      <c r="AN42" s="1133"/>
      <c r="AO42" s="1133"/>
      <c r="AP42" s="1133"/>
      <c r="AQ42" s="1133"/>
      <c r="AR42" s="1133"/>
      <c r="AS42" s="1133"/>
      <c r="AT42" s="1133"/>
      <c r="AU42" s="1133"/>
      <c r="AV42" s="1133"/>
      <c r="AW42" s="1133"/>
      <c r="AX42" s="1133"/>
      <c r="AY42" s="1133"/>
      <c r="AZ42" s="1133"/>
      <c r="BA42" s="1133"/>
      <c r="BB42" s="1159"/>
    </row>
    <row r="43">
      <c r="A43" s="1160" t="str">
        <f t="array" ref="A43">IFERROR(INDEX(TeamInfo!$1:$45,MATCH(C43,TeamInfo!C:C,0),1),"")</f>
        <v/>
      </c>
      <c r="B43" s="1161" t="str">
        <f t="array" ref="B43">IFERROR(INDEX(TeamInfo!$1:$45,MATCH($C43,TeamInfo!C:C,0),2),"")</f>
        <v/>
      </c>
      <c r="C43" s="1162"/>
      <c r="D43" s="1162"/>
      <c r="E43" s="1162"/>
      <c r="F43" s="1162"/>
      <c r="G43" s="1163"/>
      <c r="H43" s="1163"/>
      <c r="I43" s="1163"/>
      <c r="J43" s="1163"/>
      <c r="K43" s="1163"/>
      <c r="L43" s="1163"/>
      <c r="M43" s="1163"/>
      <c r="N43" s="1163"/>
      <c r="O43" s="1163"/>
      <c r="P43" s="1163"/>
      <c r="Q43" s="1163"/>
      <c r="R43" s="1163"/>
      <c r="S43" s="1163"/>
      <c r="T43" s="1163"/>
      <c r="U43" s="1163"/>
      <c r="V43" s="1163"/>
      <c r="W43" s="1163"/>
      <c r="X43" s="1163"/>
      <c r="Y43" s="1163"/>
      <c r="Z43" s="1163"/>
      <c r="AA43" s="1163"/>
      <c r="AB43" s="1163"/>
      <c r="AC43" s="1163"/>
      <c r="AD43" s="1163"/>
      <c r="AE43" s="1163"/>
      <c r="AF43" s="1163"/>
      <c r="AG43" s="1163"/>
      <c r="AH43" s="1163"/>
      <c r="AI43" s="1163"/>
      <c r="AJ43" s="1163"/>
      <c r="AK43" s="1163"/>
      <c r="AL43" s="1163"/>
      <c r="AM43" s="1163"/>
      <c r="AN43" s="1163"/>
      <c r="AO43" s="1163"/>
      <c r="AP43" s="1163"/>
      <c r="AQ43" s="1163"/>
      <c r="AR43" s="1163"/>
      <c r="AS43" s="1163"/>
      <c r="AT43" s="1163"/>
      <c r="AU43" s="1163"/>
      <c r="AV43" s="1163"/>
      <c r="AW43" s="1163"/>
      <c r="AX43" s="1163"/>
      <c r="AY43" s="1163"/>
      <c r="AZ43" s="1163"/>
      <c r="BA43" s="1163"/>
      <c r="BB43" s="1164"/>
    </row>
    <row r="44">
      <c r="A44" s="1154" t="str">
        <f t="array" ref="A44">IFERROR(INDEX(TeamInfo!$1:$45,MATCH(C44,TeamInfo!C:C,0),1),"")</f>
        <v/>
      </c>
      <c r="B44" s="1146" t="str">
        <f t="array" ref="B44">IFERROR(INDEX(TeamInfo!$1:$45,MATCH($C44,TeamInfo!C:C,0),2),"")</f>
        <v/>
      </c>
      <c r="C44" s="1129"/>
      <c r="D44" s="1129"/>
      <c r="E44" s="1129"/>
      <c r="F44" s="1129"/>
      <c r="G44" s="1130"/>
      <c r="H44" s="1130"/>
      <c r="I44" s="1130"/>
      <c r="J44" s="1130"/>
      <c r="K44" s="1130"/>
      <c r="L44" s="1130"/>
      <c r="M44" s="1130"/>
      <c r="N44" s="1130"/>
      <c r="O44" s="1130"/>
      <c r="P44" s="1130"/>
      <c r="Q44" s="1130"/>
      <c r="R44" s="1130"/>
      <c r="S44" s="1130"/>
      <c r="T44" s="1130"/>
      <c r="U44" s="1130"/>
      <c r="V44" s="1130"/>
      <c r="W44" s="1130"/>
      <c r="X44" s="1130"/>
      <c r="Y44" s="1130"/>
      <c r="Z44" s="1130"/>
      <c r="AA44" s="1130"/>
      <c r="AB44" s="1130"/>
      <c r="AC44" s="1130"/>
      <c r="AD44" s="1130"/>
      <c r="AE44" s="1130"/>
      <c r="AF44" s="1130"/>
      <c r="AG44" s="1130"/>
      <c r="AH44" s="1130"/>
      <c r="AI44" s="1130"/>
      <c r="AJ44" s="1130"/>
      <c r="AK44" s="1130"/>
      <c r="AL44" s="1130"/>
      <c r="AM44" s="1130"/>
      <c r="AN44" s="1130"/>
      <c r="AO44" s="1130"/>
      <c r="AP44" s="1130"/>
      <c r="AQ44" s="1130"/>
      <c r="AR44" s="1130"/>
      <c r="AS44" s="1130"/>
      <c r="AT44" s="1130"/>
      <c r="AU44" s="1130"/>
      <c r="AV44" s="1130"/>
      <c r="AW44" s="1130"/>
      <c r="AX44" s="1130"/>
      <c r="AY44" s="1130"/>
      <c r="AZ44" s="1130"/>
      <c r="BA44" s="1130"/>
      <c r="BB44" s="1155"/>
    </row>
    <row r="45">
      <c r="A45" s="1154" t="str">
        <f t="array" ref="A45">IFERROR(INDEX(TeamInfo!$1:$45,MATCH(C45,TeamInfo!C:C,0),1),"")</f>
        <v/>
      </c>
      <c r="B45" s="1146" t="str">
        <f t="array" ref="B45">IFERROR(INDEX(TeamInfo!$1:$45,MATCH($C45,TeamInfo!C:C,0),2),"")</f>
        <v/>
      </c>
      <c r="C45" s="1129"/>
      <c r="D45" s="1129"/>
      <c r="E45" s="1129"/>
      <c r="F45" s="1129"/>
      <c r="G45" s="1130"/>
      <c r="H45" s="1130"/>
      <c r="I45" s="1130"/>
      <c r="J45" s="1130"/>
      <c r="K45" s="1130"/>
      <c r="L45" s="1130"/>
      <c r="M45" s="1130"/>
      <c r="N45" s="1130"/>
      <c r="O45" s="1130"/>
      <c r="P45" s="1130"/>
      <c r="Q45" s="1130"/>
      <c r="R45" s="1130"/>
      <c r="S45" s="1130"/>
      <c r="T45" s="1130"/>
      <c r="U45" s="1130"/>
      <c r="V45" s="1130"/>
      <c r="W45" s="1130"/>
      <c r="X45" s="1130"/>
      <c r="Y45" s="1130"/>
      <c r="Z45" s="1130"/>
      <c r="AA45" s="1130"/>
      <c r="AB45" s="1130"/>
      <c r="AC45" s="1130"/>
      <c r="AD45" s="1130"/>
      <c r="AE45" s="1130"/>
      <c r="AF45" s="1130"/>
      <c r="AG45" s="1130"/>
      <c r="AH45" s="1130"/>
      <c r="AI45" s="1130"/>
      <c r="AJ45" s="1130"/>
      <c r="AK45" s="1130"/>
      <c r="AL45" s="1130"/>
      <c r="AM45" s="1130"/>
      <c r="AN45" s="1130"/>
      <c r="AO45" s="1130"/>
      <c r="AP45" s="1130"/>
      <c r="AQ45" s="1130"/>
      <c r="AR45" s="1130"/>
      <c r="AS45" s="1130"/>
      <c r="AT45" s="1130"/>
      <c r="AU45" s="1130"/>
      <c r="AV45" s="1130"/>
      <c r="AW45" s="1130"/>
      <c r="AX45" s="1130"/>
      <c r="AY45" s="1130"/>
      <c r="AZ45" s="1130"/>
      <c r="BA45" s="1130"/>
      <c r="BB45" s="1155"/>
    </row>
    <row r="46">
      <c r="A46" s="1154" t="str">
        <f t="array" ref="A46">IFERROR(INDEX(TeamInfo!$1:$45,MATCH(C46,TeamInfo!C:C,0),1),"")</f>
        <v/>
      </c>
      <c r="B46" s="1146" t="str">
        <f t="array" ref="B46">IFERROR(INDEX(TeamInfo!$1:$45,MATCH($C46,TeamInfo!C:C,0),2),"")</f>
        <v/>
      </c>
      <c r="C46" s="1129"/>
      <c r="D46" s="1129"/>
      <c r="E46" s="1129"/>
      <c r="F46" s="1129"/>
      <c r="G46" s="1130"/>
      <c r="H46" s="1130"/>
      <c r="I46" s="1130"/>
      <c r="J46" s="1130"/>
      <c r="K46" s="1130"/>
      <c r="L46" s="1130"/>
      <c r="M46" s="1130"/>
      <c r="N46" s="1130"/>
      <c r="O46" s="1130"/>
      <c r="P46" s="1130"/>
      <c r="Q46" s="1130"/>
      <c r="R46" s="1130"/>
      <c r="S46" s="1130"/>
      <c r="T46" s="1130"/>
      <c r="U46" s="1130"/>
      <c r="V46" s="1130"/>
      <c r="W46" s="1130"/>
      <c r="X46" s="1130"/>
      <c r="Y46" s="1130"/>
      <c r="Z46" s="1130"/>
      <c r="AA46" s="1130"/>
      <c r="AB46" s="1130"/>
      <c r="AC46" s="1130"/>
      <c r="AD46" s="1130"/>
      <c r="AE46" s="1130"/>
      <c r="AF46" s="1130"/>
      <c r="AG46" s="1130"/>
      <c r="AH46" s="1130"/>
      <c r="AI46" s="1130"/>
      <c r="AJ46" s="1130"/>
      <c r="AK46" s="1130"/>
      <c r="AL46" s="1130"/>
      <c r="AM46" s="1130"/>
      <c r="AN46" s="1130"/>
      <c r="AO46" s="1130"/>
      <c r="AP46" s="1130"/>
      <c r="AQ46" s="1130"/>
      <c r="AR46" s="1130"/>
      <c r="AS46" s="1130"/>
      <c r="AT46" s="1130"/>
      <c r="AU46" s="1130"/>
      <c r="AV46" s="1130"/>
      <c r="AW46" s="1130"/>
      <c r="AX46" s="1130"/>
      <c r="AY46" s="1130"/>
      <c r="AZ46" s="1130"/>
      <c r="BA46" s="1130"/>
      <c r="BB46" s="1155"/>
    </row>
    <row r="47">
      <c r="A47" s="1152" t="str">
        <f t="array" ref="A47">IFERROR(INDEX(TeamInfo!$1:$45,MATCH(C47,TeamInfo!C:C,0),1),"")</f>
        <v/>
      </c>
      <c r="B47" s="1144" t="str">
        <f t="array" ref="B47">IFERROR(INDEX(TeamInfo!$1:$45,MATCH($C47,TeamInfo!C:C,0),2),"")</f>
        <v/>
      </c>
      <c r="C47" s="905"/>
      <c r="D47" s="1138"/>
      <c r="E47" s="1138"/>
      <c r="F47" s="1138"/>
      <c r="G47" s="906"/>
      <c r="H47" s="906"/>
      <c r="I47" s="906"/>
      <c r="J47" s="906"/>
      <c r="K47" s="906"/>
      <c r="L47" s="906"/>
      <c r="M47" s="906"/>
      <c r="N47" s="906"/>
      <c r="O47" s="906"/>
      <c r="P47" s="906"/>
      <c r="Q47" s="906"/>
      <c r="R47" s="906"/>
      <c r="S47" s="906"/>
      <c r="T47" s="906"/>
      <c r="U47" s="906"/>
      <c r="V47" s="906"/>
      <c r="W47" s="906"/>
      <c r="X47" s="906"/>
      <c r="Y47" s="906"/>
      <c r="Z47" s="906"/>
      <c r="AA47" s="906"/>
      <c r="AB47" s="906"/>
      <c r="AC47" s="906"/>
      <c r="AD47" s="906"/>
      <c r="AE47" s="906"/>
      <c r="AF47" s="906"/>
      <c r="AG47" s="906"/>
      <c r="AH47" s="906"/>
      <c r="AI47" s="906"/>
      <c r="AJ47" s="906"/>
      <c r="AK47" s="906"/>
      <c r="AL47" s="906"/>
      <c r="AM47" s="906"/>
      <c r="AN47" s="906"/>
      <c r="AO47" s="906"/>
      <c r="AP47" s="906"/>
      <c r="AQ47" s="906"/>
      <c r="AR47" s="906"/>
      <c r="AS47" s="906"/>
      <c r="AT47" s="906"/>
      <c r="AU47" s="906"/>
      <c r="AV47" s="906"/>
      <c r="AW47" s="906"/>
      <c r="AX47" s="906"/>
      <c r="AY47" s="906"/>
      <c r="AZ47" s="906"/>
      <c r="BA47" s="906"/>
      <c r="BB47" s="1153"/>
    </row>
    <row r="48">
      <c r="A48" s="1152" t="str">
        <f t="array" ref="A48">IFERROR(INDEX(TeamInfo!$1:$45,MATCH(C48,TeamInfo!C:C,0),1),"")</f>
        <v/>
      </c>
      <c r="B48" s="1144" t="str">
        <f t="array" ref="B48">IFERROR(INDEX(TeamInfo!$1:$45,MATCH($C48,TeamInfo!C:C,0),2),"")</f>
        <v/>
      </c>
      <c r="C48" s="905"/>
      <c r="D48" s="1138"/>
      <c r="E48" s="1138"/>
      <c r="F48" s="1138"/>
      <c r="G48" s="906"/>
      <c r="H48" s="906"/>
      <c r="I48" s="906"/>
      <c r="J48" s="906"/>
      <c r="K48" s="906"/>
      <c r="L48" s="906"/>
      <c r="M48" s="906"/>
      <c r="N48" s="906"/>
      <c r="O48" s="906"/>
      <c r="P48" s="906"/>
      <c r="Q48" s="906"/>
      <c r="R48" s="906"/>
      <c r="S48" s="906"/>
      <c r="T48" s="906"/>
      <c r="U48" s="906"/>
      <c r="V48" s="906"/>
      <c r="W48" s="906"/>
      <c r="X48" s="906"/>
      <c r="Y48" s="906"/>
      <c r="Z48" s="906"/>
      <c r="AA48" s="906"/>
      <c r="AB48" s="906"/>
      <c r="AC48" s="906"/>
      <c r="AD48" s="906"/>
      <c r="AE48" s="906"/>
      <c r="AF48" s="906"/>
      <c r="AG48" s="906"/>
      <c r="AH48" s="906"/>
      <c r="AI48" s="906"/>
      <c r="AJ48" s="906"/>
      <c r="AK48" s="906"/>
      <c r="AL48" s="906"/>
      <c r="AM48" s="906"/>
      <c r="AN48" s="906"/>
      <c r="AO48" s="906"/>
      <c r="AP48" s="906"/>
      <c r="AQ48" s="906"/>
      <c r="AR48" s="906"/>
      <c r="AS48" s="906"/>
      <c r="AT48" s="906"/>
      <c r="AU48" s="906"/>
      <c r="AV48" s="906"/>
      <c r="AW48" s="906"/>
      <c r="AX48" s="906"/>
      <c r="AY48" s="906"/>
      <c r="AZ48" s="906"/>
      <c r="BA48" s="906"/>
      <c r="BB48" s="1153"/>
    </row>
    <row r="49">
      <c r="A49" s="1152" t="str">
        <f t="array" ref="A49">IFERROR(INDEX(TeamInfo!$1:$45,MATCH(C49,TeamInfo!C:C,0),1),"")</f>
        <v/>
      </c>
      <c r="B49" s="1144" t="str">
        <f t="array" ref="B49">IFERROR(INDEX(TeamInfo!$1:$45,MATCH($C49,TeamInfo!C:C,0),2),"")</f>
        <v/>
      </c>
      <c r="C49" s="905"/>
      <c r="D49" s="1138"/>
      <c r="E49" s="1138"/>
      <c r="F49" s="1138"/>
      <c r="G49" s="906"/>
      <c r="H49" s="906"/>
      <c r="I49" s="906"/>
      <c r="J49" s="906"/>
      <c r="K49" s="906"/>
      <c r="L49" s="906"/>
      <c r="M49" s="906"/>
      <c r="N49" s="906"/>
      <c r="O49" s="906"/>
      <c r="P49" s="906"/>
      <c r="Q49" s="906"/>
      <c r="R49" s="906"/>
      <c r="S49" s="906"/>
      <c r="T49" s="906"/>
      <c r="U49" s="906"/>
      <c r="V49" s="906"/>
      <c r="W49" s="906"/>
      <c r="X49" s="906"/>
      <c r="Y49" s="906"/>
      <c r="Z49" s="906"/>
      <c r="AA49" s="906"/>
      <c r="AB49" s="906"/>
      <c r="AC49" s="906"/>
      <c r="AD49" s="906"/>
      <c r="AE49" s="906"/>
      <c r="AF49" s="906"/>
      <c r="AG49" s="906"/>
      <c r="AH49" s="906"/>
      <c r="AI49" s="906"/>
      <c r="AJ49" s="906"/>
      <c r="AK49" s="906"/>
      <c r="AL49" s="906"/>
      <c r="AM49" s="906"/>
      <c r="AN49" s="906"/>
      <c r="AO49" s="906"/>
      <c r="AP49" s="906"/>
      <c r="AQ49" s="906"/>
      <c r="AR49" s="906"/>
      <c r="AS49" s="906"/>
      <c r="AT49" s="906"/>
      <c r="AU49" s="906"/>
      <c r="AV49" s="906"/>
      <c r="AW49" s="906"/>
      <c r="AX49" s="906"/>
      <c r="AY49" s="906"/>
      <c r="AZ49" s="906"/>
      <c r="BA49" s="906"/>
      <c r="BB49" s="1153"/>
    </row>
    <row r="50">
      <c r="A50" s="1165" t="str">
        <f t="array" ref="A50">IFERROR(INDEX(TeamInfo!$1:$45,MATCH(C50,TeamInfo!C:C,0),1),"")</f>
        <v/>
      </c>
      <c r="B50" s="1166" t="str">
        <f t="array" ref="B50">IFERROR(INDEX(TeamInfo!$1:$45,MATCH($C50,TeamInfo!C:C,0),2),"")</f>
        <v/>
      </c>
      <c r="C50" s="1167"/>
      <c r="D50" s="1168"/>
      <c r="E50" s="1168"/>
      <c r="F50" s="1168"/>
      <c r="G50" s="1169"/>
      <c r="H50" s="1169"/>
      <c r="I50" s="1169"/>
      <c r="J50" s="1169"/>
      <c r="K50" s="1169"/>
      <c r="L50" s="1169"/>
      <c r="M50" s="1169"/>
      <c r="N50" s="1169"/>
      <c r="O50" s="1169"/>
      <c r="P50" s="1169"/>
      <c r="Q50" s="1169"/>
      <c r="R50" s="1169"/>
      <c r="S50" s="1169"/>
      <c r="T50" s="1169"/>
      <c r="U50" s="1169"/>
      <c r="V50" s="1169"/>
      <c r="W50" s="1169"/>
      <c r="X50" s="1169"/>
      <c r="Y50" s="1169"/>
      <c r="Z50" s="1169"/>
      <c r="AA50" s="1169"/>
      <c r="AB50" s="1169"/>
      <c r="AC50" s="1169"/>
      <c r="AD50" s="1169"/>
      <c r="AE50" s="1169"/>
      <c r="AF50" s="1169"/>
      <c r="AG50" s="1169"/>
      <c r="AH50" s="1169"/>
      <c r="AI50" s="1169"/>
      <c r="AJ50" s="1169"/>
      <c r="AK50" s="1169"/>
      <c r="AL50" s="1169"/>
      <c r="AM50" s="1169"/>
      <c r="AN50" s="1169"/>
      <c r="AO50" s="1169"/>
      <c r="AP50" s="1169"/>
      <c r="AQ50" s="1169"/>
      <c r="AR50" s="1169"/>
      <c r="AS50" s="1169"/>
      <c r="AT50" s="1169"/>
      <c r="AU50" s="1169"/>
      <c r="AV50" s="1169"/>
      <c r="AW50" s="1169"/>
      <c r="AX50" s="1169"/>
      <c r="AY50" s="1169"/>
      <c r="AZ50" s="1169"/>
      <c r="BA50" s="1169"/>
      <c r="BB50" s="1170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75"/>
    <col customWidth="1" min="2" max="2" width="24.0"/>
    <col customWidth="1" min="3" max="3" width="14.5"/>
    <col customWidth="1" hidden="1" min="4" max="6" width="5.25"/>
    <col customWidth="1" min="7" max="7" width="5.0"/>
    <col customWidth="1" min="8" max="8" width="5.88"/>
    <col customWidth="1" min="9" max="9" width="5.63"/>
    <col customWidth="1" min="10" max="10" width="4.5"/>
    <col customWidth="1" min="11" max="11" width="6.88"/>
    <col customWidth="1" min="12" max="12" width="6.5"/>
    <col customWidth="1" min="13" max="13" width="6.63"/>
    <col customWidth="1" min="14" max="14" width="6.13"/>
    <col customWidth="1" min="15" max="15" width="8.5"/>
    <col customWidth="1" min="16" max="16" width="8.88"/>
    <col customWidth="1" min="17" max="17" width="9.5"/>
    <col customWidth="1" min="18" max="18" width="10.5"/>
    <col customWidth="1" min="19" max="19" width="10.38"/>
    <col customWidth="1" min="20" max="20" width="11.63"/>
    <col customWidth="1" min="21" max="21" width="12.88"/>
    <col customWidth="1" min="22" max="22" width="11.88"/>
    <col customWidth="1" min="23" max="23" width="9.38"/>
    <col customWidth="1" min="24" max="24" width="11.63"/>
    <col customWidth="1" min="25" max="25" width="10.13"/>
    <col customWidth="1" min="26" max="26" width="9.0"/>
    <col customWidth="1" min="27" max="27" width="8.0"/>
    <col customWidth="1" min="28" max="28" width="10.0"/>
    <col customWidth="1" min="29" max="29" width="10.13"/>
    <col customWidth="1" min="30" max="30" width="11.88"/>
    <col customWidth="1" min="31" max="31" width="11.13"/>
    <col customWidth="1" min="32" max="32" width="12.63"/>
    <col customWidth="1" min="33" max="33" width="9.0"/>
    <col customWidth="1" min="34" max="34" width="7.63"/>
    <col customWidth="1" min="35" max="35" width="8.25"/>
    <col customWidth="1" min="36" max="36" width="12.5"/>
    <col customWidth="1" min="37" max="37" width="13.25"/>
    <col customWidth="1" min="38" max="38" width="8.5"/>
    <col customWidth="1" min="39" max="39" width="9.13"/>
    <col customWidth="1" min="40" max="40" width="13.25"/>
    <col customWidth="1" min="41" max="41" width="15.0"/>
    <col customWidth="1" min="42" max="42" width="7.5"/>
    <col customWidth="1" min="43" max="43" width="10.0"/>
    <col customWidth="1" min="44" max="44" width="10.13"/>
    <col customWidth="1" min="45" max="45" width="11.38"/>
    <col customWidth="1" min="46" max="46" width="12.13"/>
    <col customWidth="1" min="47" max="47" width="11.25"/>
    <col customWidth="1" min="48" max="48" width="11.13"/>
    <col customWidth="1" min="49" max="49" width="11.5"/>
    <col customWidth="1" min="50" max="50" width="10.75"/>
    <col customWidth="1" min="51" max="51" width="11.0"/>
    <col customWidth="1" min="52" max="52" width="9.38"/>
    <col customWidth="1" min="53" max="53" width="9.63"/>
  </cols>
  <sheetData>
    <row r="1">
      <c r="A1" s="12" t="s">
        <v>632</v>
      </c>
      <c r="B1" s="12" t="s">
        <v>188</v>
      </c>
      <c r="C1" s="12" t="s">
        <v>394</v>
      </c>
      <c r="D1" s="12" t="s">
        <v>633</v>
      </c>
      <c r="E1" s="1" t="s">
        <v>634</v>
      </c>
      <c r="F1" s="1" t="s">
        <v>635</v>
      </c>
      <c r="G1" s="12" t="s">
        <v>189</v>
      </c>
      <c r="H1" s="12" t="s">
        <v>636</v>
      </c>
      <c r="I1" s="12" t="s">
        <v>20</v>
      </c>
      <c r="J1" s="12" t="s">
        <v>21</v>
      </c>
      <c r="K1" s="12" t="s">
        <v>22</v>
      </c>
      <c r="L1" s="12" t="s">
        <v>23</v>
      </c>
      <c r="M1" s="12" t="s">
        <v>24</v>
      </c>
      <c r="N1" s="12" t="s">
        <v>25</v>
      </c>
      <c r="O1" s="12" t="s">
        <v>26</v>
      </c>
      <c r="P1" s="12" t="s">
        <v>27</v>
      </c>
      <c r="Q1" s="12" t="s">
        <v>28</v>
      </c>
      <c r="R1" s="12" t="s">
        <v>29</v>
      </c>
      <c r="S1" s="12" t="s">
        <v>30</v>
      </c>
      <c r="T1" s="12" t="s">
        <v>31</v>
      </c>
      <c r="U1" s="12" t="s">
        <v>32</v>
      </c>
      <c r="V1" s="12" t="s">
        <v>637</v>
      </c>
      <c r="W1" s="12" t="s">
        <v>337</v>
      </c>
      <c r="X1" s="12" t="s">
        <v>339</v>
      </c>
      <c r="Y1" s="12" t="s">
        <v>33</v>
      </c>
      <c r="Z1" s="12" t="s">
        <v>34</v>
      </c>
      <c r="AA1" s="12" t="s">
        <v>35</v>
      </c>
      <c r="AB1" s="12" t="s">
        <v>36</v>
      </c>
      <c r="AC1" s="12" t="s">
        <v>37</v>
      </c>
      <c r="AD1" s="12" t="s">
        <v>38</v>
      </c>
      <c r="AE1" s="12" t="s">
        <v>39</v>
      </c>
      <c r="AF1" s="12" t="s">
        <v>542</v>
      </c>
      <c r="AG1" s="12" t="s">
        <v>543</v>
      </c>
      <c r="AH1" s="12" t="s">
        <v>349</v>
      </c>
      <c r="AI1" s="12" t="s">
        <v>40</v>
      </c>
      <c r="AJ1" s="12" t="s">
        <v>638</v>
      </c>
      <c r="AK1" s="12" t="s">
        <v>350</v>
      </c>
      <c r="AL1" s="12" t="s">
        <v>41</v>
      </c>
      <c r="AM1" s="12" t="s">
        <v>42</v>
      </c>
      <c r="AN1" s="12" t="s">
        <v>642</v>
      </c>
      <c r="AO1" s="12" t="s">
        <v>639</v>
      </c>
      <c r="AP1" s="12" t="s">
        <v>43</v>
      </c>
      <c r="AQ1" s="12" t="s">
        <v>44</v>
      </c>
      <c r="AR1" s="12" t="s">
        <v>45</v>
      </c>
      <c r="AS1" s="12" t="s">
        <v>46</v>
      </c>
      <c r="AT1" s="12" t="s">
        <v>47</v>
      </c>
      <c r="AU1" s="12" t="s">
        <v>48</v>
      </c>
      <c r="AV1" s="12" t="s">
        <v>49</v>
      </c>
      <c r="AW1" s="12" t="s">
        <v>50</v>
      </c>
      <c r="AX1" s="12" t="s">
        <v>51</v>
      </c>
      <c r="AY1" s="12" t="s">
        <v>52</v>
      </c>
      <c r="AZ1" s="12" t="s">
        <v>643</v>
      </c>
      <c r="BA1" s="12" t="s">
        <v>53</v>
      </c>
      <c r="BB1" s="12" t="s">
        <v>54</v>
      </c>
      <c r="BC1" s="12" t="s">
        <v>55</v>
      </c>
      <c r="BD1" s="12"/>
    </row>
    <row r="2">
      <c r="A2" s="1171"/>
      <c r="B2" s="1172"/>
      <c r="C2" s="1173"/>
      <c r="D2" s="1163"/>
      <c r="E2" s="1163"/>
      <c r="F2" s="1163"/>
      <c r="G2" s="1174"/>
      <c r="H2" s="1174"/>
      <c r="I2" s="1174"/>
      <c r="J2" s="1174"/>
      <c r="K2" s="1174"/>
      <c r="L2" s="1174"/>
      <c r="M2" s="1174"/>
      <c r="N2" s="1174"/>
      <c r="O2" s="1174"/>
      <c r="P2" s="1174"/>
      <c r="Q2" s="1174"/>
      <c r="R2" s="1174"/>
      <c r="S2" s="1174"/>
      <c r="T2" s="1174"/>
      <c r="U2" s="1174"/>
      <c r="V2" s="1174"/>
      <c r="W2" s="1174"/>
      <c r="X2" s="1174"/>
      <c r="Y2" s="1174"/>
      <c r="Z2" s="1174"/>
      <c r="AA2" s="1174"/>
      <c r="AB2" s="1174"/>
      <c r="AC2" s="1174"/>
      <c r="AD2" s="1174"/>
      <c r="AE2" s="1174"/>
      <c r="AF2" s="1174"/>
      <c r="AG2" s="1174"/>
      <c r="AH2" s="1174"/>
      <c r="AI2" s="1174"/>
      <c r="AJ2" s="1174"/>
      <c r="AK2" s="1174"/>
      <c r="AL2" s="1174"/>
      <c r="AM2" s="1174"/>
      <c r="AN2" s="1174"/>
      <c r="AO2" s="1174"/>
      <c r="AP2" s="1174"/>
      <c r="AQ2" s="1174"/>
      <c r="AR2" s="1174"/>
      <c r="AS2" s="1174"/>
      <c r="AT2" s="1174"/>
      <c r="AU2" s="1174"/>
      <c r="AV2" s="1174"/>
      <c r="AW2" s="1174"/>
      <c r="AX2" s="1174"/>
      <c r="AY2" s="1174"/>
      <c r="AZ2" s="1174"/>
      <c r="BA2" s="1174"/>
      <c r="BB2" s="1175"/>
      <c r="BC2" s="1176"/>
      <c r="BD2" s="1177"/>
    </row>
    <row r="3">
      <c r="A3" s="1178"/>
      <c r="B3" s="1131"/>
      <c r="C3" s="1179"/>
      <c r="D3" s="427"/>
      <c r="E3" s="427"/>
      <c r="F3" s="427"/>
      <c r="G3" s="1180"/>
      <c r="H3" s="1180"/>
      <c r="I3" s="1180"/>
      <c r="J3" s="1180"/>
      <c r="K3" s="1180"/>
      <c r="L3" s="1180"/>
      <c r="M3" s="1180"/>
      <c r="N3" s="1180"/>
      <c r="O3" s="1180"/>
      <c r="P3" s="1180"/>
      <c r="Q3" s="1180"/>
      <c r="R3" s="1180"/>
      <c r="S3" s="1180"/>
      <c r="T3" s="1180"/>
      <c r="U3" s="1180"/>
      <c r="V3" s="1180"/>
      <c r="W3" s="1180"/>
      <c r="X3" s="1180"/>
      <c r="Y3" s="1180"/>
      <c r="Z3" s="1180"/>
      <c r="AA3" s="1180"/>
      <c r="AB3" s="1180"/>
      <c r="AC3" s="1180"/>
      <c r="AD3" s="1180"/>
      <c r="AE3" s="1180"/>
      <c r="AF3" s="1180"/>
      <c r="AG3" s="1180"/>
      <c r="AH3" s="1180"/>
      <c r="AI3" s="1180"/>
      <c r="AJ3" s="1180"/>
      <c r="AK3" s="1180"/>
      <c r="AL3" s="1180"/>
      <c r="AM3" s="1180"/>
      <c r="AN3" s="1180"/>
      <c r="AO3" s="1180"/>
      <c r="AP3" s="1180"/>
      <c r="AQ3" s="1180"/>
      <c r="AR3" s="1180"/>
      <c r="AS3" s="1180"/>
      <c r="AT3" s="1180"/>
      <c r="AU3" s="1180"/>
      <c r="AV3" s="1180"/>
      <c r="AW3" s="1180"/>
      <c r="AX3" s="1180"/>
      <c r="AY3" s="1180"/>
      <c r="AZ3" s="1180"/>
      <c r="BA3" s="1180"/>
      <c r="BB3" s="1177"/>
      <c r="BC3" s="1181"/>
      <c r="BD3" s="1177"/>
    </row>
    <row r="4">
      <c r="A4" s="1178"/>
      <c r="B4" s="1131"/>
      <c r="C4" s="1179"/>
      <c r="D4" s="427"/>
      <c r="E4" s="427"/>
      <c r="F4" s="427"/>
      <c r="G4" s="1180"/>
      <c r="H4" s="1180"/>
      <c r="I4" s="1180"/>
      <c r="J4" s="1180"/>
      <c r="K4" s="1180"/>
      <c r="L4" s="1180"/>
      <c r="M4" s="1180"/>
      <c r="N4" s="1180"/>
      <c r="O4" s="1180"/>
      <c r="P4" s="1180"/>
      <c r="Q4" s="1180"/>
      <c r="R4" s="1180"/>
      <c r="S4" s="1180"/>
      <c r="T4" s="1180"/>
      <c r="U4" s="1180"/>
      <c r="V4" s="1180"/>
      <c r="W4" s="1180"/>
      <c r="X4" s="1180"/>
      <c r="Y4" s="1180"/>
      <c r="Z4" s="1180"/>
      <c r="AA4" s="1180"/>
      <c r="AB4" s="1180"/>
      <c r="AC4" s="1180"/>
      <c r="AD4" s="1180"/>
      <c r="AE4" s="1180"/>
      <c r="AF4" s="1180"/>
      <c r="AG4" s="1180"/>
      <c r="AH4" s="1180"/>
      <c r="AI4" s="1180"/>
      <c r="AJ4" s="1180"/>
      <c r="AK4" s="1180"/>
      <c r="AL4" s="1180"/>
      <c r="AM4" s="1180"/>
      <c r="AN4" s="1180"/>
      <c r="AO4" s="1180"/>
      <c r="AP4" s="1180"/>
      <c r="AQ4" s="1180"/>
      <c r="AR4" s="1180"/>
      <c r="AS4" s="1180"/>
      <c r="AT4" s="1180"/>
      <c r="AU4" s="1180"/>
      <c r="AV4" s="1180"/>
      <c r="AW4" s="1180"/>
      <c r="AX4" s="1180"/>
      <c r="AY4" s="1180"/>
      <c r="AZ4" s="1180"/>
      <c r="BA4" s="1180"/>
      <c r="BB4" s="1177"/>
      <c r="BC4" s="1181"/>
      <c r="BD4" s="1177"/>
    </row>
    <row r="5">
      <c r="A5" s="1178"/>
      <c r="B5" s="1131"/>
      <c r="C5" s="1179"/>
      <c r="D5" s="427"/>
      <c r="E5" s="427"/>
      <c r="F5" s="427"/>
      <c r="G5" s="1180"/>
      <c r="H5" s="1180"/>
      <c r="I5" s="1180"/>
      <c r="J5" s="1180"/>
      <c r="K5" s="1180"/>
      <c r="L5" s="1180"/>
      <c r="M5" s="1180"/>
      <c r="N5" s="1180"/>
      <c r="O5" s="1180"/>
      <c r="P5" s="1180"/>
      <c r="Q5" s="1180"/>
      <c r="R5" s="1180"/>
      <c r="S5" s="1180"/>
      <c r="T5" s="1180"/>
      <c r="U5" s="1180"/>
      <c r="V5" s="1180"/>
      <c r="W5" s="1180"/>
      <c r="X5" s="1180"/>
      <c r="Y5" s="1180"/>
      <c r="Z5" s="1180"/>
      <c r="AA5" s="1180"/>
      <c r="AB5" s="1180"/>
      <c r="AC5" s="1180"/>
      <c r="AD5" s="1180"/>
      <c r="AE5" s="1180"/>
      <c r="AF5" s="1180"/>
      <c r="AG5" s="1180"/>
      <c r="AH5" s="1180"/>
      <c r="AI5" s="1180"/>
      <c r="AJ5" s="1180"/>
      <c r="AK5" s="1180"/>
      <c r="AL5" s="1180"/>
      <c r="AM5" s="1180"/>
      <c r="AN5" s="1180"/>
      <c r="AO5" s="1180"/>
      <c r="AP5" s="1180"/>
      <c r="AQ5" s="1180"/>
      <c r="AR5" s="1180"/>
      <c r="AS5" s="1180"/>
      <c r="AT5" s="1180"/>
      <c r="AU5" s="1180"/>
      <c r="AV5" s="1180"/>
      <c r="AW5" s="1180"/>
      <c r="AX5" s="1180"/>
      <c r="AY5" s="1180"/>
      <c r="AZ5" s="1180"/>
      <c r="BA5" s="1180"/>
      <c r="BB5" s="1177"/>
      <c r="BC5" s="1181"/>
      <c r="BD5" s="1177"/>
    </row>
    <row r="6">
      <c r="A6" s="1182"/>
      <c r="B6" s="1128"/>
      <c r="C6" s="1183"/>
      <c r="D6" s="1132"/>
      <c r="E6" s="1132"/>
      <c r="F6" s="1132"/>
      <c r="G6" s="1184"/>
      <c r="H6" s="1184"/>
      <c r="I6" s="1184"/>
      <c r="J6" s="1184"/>
      <c r="K6" s="1184"/>
      <c r="L6" s="1184"/>
      <c r="M6" s="1184"/>
      <c r="N6" s="1184"/>
      <c r="O6" s="1184"/>
      <c r="P6" s="1184"/>
      <c r="Q6" s="1184"/>
      <c r="R6" s="1184"/>
      <c r="S6" s="1184"/>
      <c r="T6" s="1184"/>
      <c r="U6" s="1184"/>
      <c r="V6" s="1184"/>
      <c r="W6" s="1184"/>
      <c r="X6" s="1184"/>
      <c r="Y6" s="1184"/>
      <c r="Z6" s="1184"/>
      <c r="AA6" s="1184"/>
      <c r="AB6" s="1184"/>
      <c r="AC6" s="1184"/>
      <c r="AD6" s="1184"/>
      <c r="AE6" s="1184"/>
      <c r="AF6" s="1184"/>
      <c r="AG6" s="1184"/>
      <c r="AH6" s="1184"/>
      <c r="AI6" s="1184"/>
      <c r="AJ6" s="1184"/>
      <c r="AK6" s="1184"/>
      <c r="AL6" s="1184"/>
      <c r="AM6" s="1184"/>
      <c r="AN6" s="1184"/>
      <c r="AO6" s="1184"/>
      <c r="AP6" s="1184"/>
      <c r="AQ6" s="1184"/>
      <c r="AR6" s="1184"/>
      <c r="AS6" s="1184"/>
      <c r="AT6" s="1184"/>
      <c r="AU6" s="1184"/>
      <c r="AV6" s="1184"/>
      <c r="AW6" s="1184"/>
      <c r="AX6" s="1184"/>
      <c r="AY6" s="1184"/>
      <c r="AZ6" s="1184"/>
      <c r="BA6" s="1184"/>
      <c r="BB6" s="1185"/>
      <c r="BC6" s="1186"/>
      <c r="BD6" s="1185"/>
    </row>
    <row r="7">
      <c r="A7" s="1182"/>
      <c r="B7" s="1128"/>
      <c r="C7" s="1183"/>
      <c r="D7" s="1132"/>
      <c r="E7" s="1132"/>
      <c r="F7" s="1132"/>
      <c r="G7" s="1184"/>
      <c r="H7" s="1184"/>
      <c r="I7" s="1184"/>
      <c r="J7" s="1184"/>
      <c r="K7" s="1184"/>
      <c r="L7" s="1184"/>
      <c r="M7" s="1184"/>
      <c r="N7" s="1184"/>
      <c r="O7" s="1184"/>
      <c r="P7" s="1184"/>
      <c r="Q7" s="1184"/>
      <c r="R7" s="1184"/>
      <c r="S7" s="1184"/>
      <c r="T7" s="1184"/>
      <c r="U7" s="1184"/>
      <c r="V7" s="1184"/>
      <c r="W7" s="1184"/>
      <c r="X7" s="1184"/>
      <c r="Y7" s="1184"/>
      <c r="Z7" s="1184"/>
      <c r="AA7" s="1184"/>
      <c r="AB7" s="1184"/>
      <c r="AC7" s="1184"/>
      <c r="AD7" s="1184"/>
      <c r="AE7" s="1184"/>
      <c r="AF7" s="1184"/>
      <c r="AG7" s="1184"/>
      <c r="AH7" s="1184"/>
      <c r="AI7" s="1184"/>
      <c r="AJ7" s="1184"/>
      <c r="AK7" s="1184"/>
      <c r="AL7" s="1184"/>
      <c r="AM7" s="1184"/>
      <c r="AN7" s="1184"/>
      <c r="AO7" s="1184"/>
      <c r="AP7" s="1184"/>
      <c r="AQ7" s="1184"/>
      <c r="AR7" s="1184"/>
      <c r="AS7" s="1184"/>
      <c r="AT7" s="1184"/>
      <c r="AU7" s="1184"/>
      <c r="AV7" s="1184"/>
      <c r="AW7" s="1184"/>
      <c r="AX7" s="1184"/>
      <c r="AY7" s="1184"/>
      <c r="AZ7" s="1184"/>
      <c r="BA7" s="1184"/>
      <c r="BB7" s="1185"/>
      <c r="BC7" s="1186"/>
      <c r="BD7" s="1185"/>
    </row>
    <row r="8">
      <c r="A8" s="1182"/>
      <c r="B8" s="1128"/>
      <c r="C8" s="1183"/>
      <c r="D8" s="1132"/>
      <c r="E8" s="1132"/>
      <c r="F8" s="1132"/>
      <c r="G8" s="1184"/>
      <c r="H8" s="1184"/>
      <c r="I8" s="1184"/>
      <c r="J8" s="1184"/>
      <c r="K8" s="1184"/>
      <c r="L8" s="1184"/>
      <c r="M8" s="1184"/>
      <c r="N8" s="1184"/>
      <c r="O8" s="1184"/>
      <c r="P8" s="1184"/>
      <c r="Q8" s="1184"/>
      <c r="R8" s="1184"/>
      <c r="S8" s="1184"/>
      <c r="T8" s="1184"/>
      <c r="U8" s="1184"/>
      <c r="V8" s="1184"/>
      <c r="W8" s="1184"/>
      <c r="X8" s="1184"/>
      <c r="Y8" s="1184"/>
      <c r="Z8" s="1184"/>
      <c r="AA8" s="1184"/>
      <c r="AB8" s="1184"/>
      <c r="AC8" s="1184"/>
      <c r="AD8" s="1184"/>
      <c r="AE8" s="1184"/>
      <c r="AF8" s="1184"/>
      <c r="AG8" s="1184"/>
      <c r="AH8" s="1184"/>
      <c r="AI8" s="1184"/>
      <c r="AJ8" s="1184"/>
      <c r="AK8" s="1184"/>
      <c r="AL8" s="1184"/>
      <c r="AM8" s="1184"/>
      <c r="AN8" s="1184"/>
      <c r="AO8" s="1184"/>
      <c r="AP8" s="1184"/>
      <c r="AQ8" s="1184"/>
      <c r="AR8" s="1184"/>
      <c r="AS8" s="1184"/>
      <c r="AT8" s="1184"/>
      <c r="AU8" s="1184"/>
      <c r="AV8" s="1184"/>
      <c r="AW8" s="1184"/>
      <c r="AX8" s="1184"/>
      <c r="AY8" s="1184"/>
      <c r="AZ8" s="1184"/>
      <c r="BA8" s="1184"/>
      <c r="BB8" s="1185"/>
      <c r="BC8" s="1186"/>
      <c r="BD8" s="1185"/>
    </row>
    <row r="9">
      <c r="A9" s="1187"/>
      <c r="B9" s="1188"/>
      <c r="C9" s="1183"/>
      <c r="D9" s="1169"/>
      <c r="E9" s="1169"/>
      <c r="F9" s="1169"/>
      <c r="G9" s="1189"/>
      <c r="H9" s="1189"/>
      <c r="I9" s="1184"/>
      <c r="J9" s="1184"/>
      <c r="K9" s="1184"/>
      <c r="L9" s="1184"/>
      <c r="M9" s="1184"/>
      <c r="N9" s="1184"/>
      <c r="O9" s="1184"/>
      <c r="P9" s="1184"/>
      <c r="Q9" s="1184"/>
      <c r="R9" s="1184"/>
      <c r="S9" s="1184"/>
      <c r="T9" s="1184"/>
      <c r="U9" s="1184"/>
      <c r="V9" s="1184"/>
      <c r="W9" s="1184"/>
      <c r="X9" s="1184"/>
      <c r="Y9" s="1184"/>
      <c r="Z9" s="1184"/>
      <c r="AA9" s="1184"/>
      <c r="AB9" s="1184"/>
      <c r="AC9" s="1184"/>
      <c r="AD9" s="1184"/>
      <c r="AE9" s="1184"/>
      <c r="AF9" s="1184"/>
      <c r="AG9" s="1184"/>
      <c r="AH9" s="1184"/>
      <c r="AI9" s="1184"/>
      <c r="AJ9" s="1184"/>
      <c r="AK9" s="1184"/>
      <c r="AL9" s="1184"/>
      <c r="AM9" s="1184"/>
      <c r="AN9" s="1184"/>
      <c r="AO9" s="1184"/>
      <c r="AP9" s="1184"/>
      <c r="AQ9" s="1184"/>
      <c r="AR9" s="1184"/>
      <c r="AS9" s="1184"/>
      <c r="AT9" s="1184"/>
      <c r="AU9" s="1184"/>
      <c r="AV9" s="1184"/>
      <c r="AW9" s="1184"/>
      <c r="AX9" s="1184"/>
      <c r="AY9" s="1184"/>
      <c r="AZ9" s="1184"/>
      <c r="BA9" s="1184"/>
      <c r="BB9" s="1190"/>
      <c r="BC9" s="1191"/>
      <c r="BD9" s="1185"/>
    </row>
    <row r="10">
      <c r="A10" s="1192" t="str">
        <f t="array" ref="A10">IFERROR(INDEX(TeamInfo!$1:$45,MATCH(C10,TeamInfo!C:C,0),1),"")</f>
        <v/>
      </c>
      <c r="B10" s="1193" t="str">
        <f t="array" ref="B10">IFERROR(INDEX(TeamInfo!$1:$45,MATCH(C10,TeamInfo!C:C,0),2),"")</f>
        <v/>
      </c>
      <c r="C10" s="1162"/>
      <c r="D10" s="1162"/>
      <c r="E10" s="1162"/>
      <c r="F10" s="1162"/>
      <c r="G10" s="1163"/>
      <c r="H10" s="1163"/>
      <c r="I10" s="1163"/>
      <c r="J10" s="1163"/>
      <c r="K10" s="1163"/>
      <c r="L10" s="1163"/>
      <c r="M10" s="1163"/>
      <c r="N10" s="1163"/>
      <c r="O10" s="1163"/>
      <c r="P10" s="1163"/>
      <c r="Q10" s="1163"/>
      <c r="R10" s="1163"/>
      <c r="S10" s="1163"/>
      <c r="T10" s="1163"/>
      <c r="U10" s="1163"/>
      <c r="V10" s="1163"/>
      <c r="W10" s="1163"/>
      <c r="X10" s="1163"/>
      <c r="Y10" s="1163"/>
      <c r="Z10" s="1163"/>
      <c r="AA10" s="1163"/>
      <c r="AB10" s="1163"/>
      <c r="AC10" s="1163"/>
      <c r="AD10" s="1163"/>
      <c r="AE10" s="1163"/>
      <c r="AF10" s="1163"/>
      <c r="AG10" s="1163"/>
      <c r="AH10" s="1163"/>
      <c r="AI10" s="1163"/>
      <c r="AJ10" s="1163"/>
      <c r="AK10" s="1163"/>
      <c r="AL10" s="1163"/>
      <c r="AM10" s="1163"/>
      <c r="AN10" s="1163"/>
      <c r="AO10" s="1163"/>
      <c r="AP10" s="1163"/>
      <c r="AQ10" s="1163"/>
      <c r="AR10" s="1163"/>
      <c r="AS10" s="1163"/>
      <c r="AT10" s="1163"/>
      <c r="AU10" s="1163"/>
      <c r="AV10" s="1163"/>
      <c r="AW10" s="1163"/>
      <c r="AX10" s="1163"/>
      <c r="AY10" s="1163"/>
      <c r="AZ10" s="1163"/>
      <c r="BA10" s="1163"/>
      <c r="BB10" s="1164"/>
      <c r="BC10" s="427"/>
      <c r="BD10" s="427"/>
    </row>
    <row r="11">
      <c r="A11" s="1182" t="str">
        <f t="array" ref="A11">IFERROR(INDEX(TeamInfo!$1:$45,MATCH(C11,TeamInfo!C:C,0),1),"")</f>
        <v/>
      </c>
      <c r="B11" s="1128" t="str">
        <f t="array" ref="B11">IFERROR(INDEX(TeamInfo!$1:$45,MATCH(C11,TeamInfo!C:C,0),2),"")</f>
        <v/>
      </c>
      <c r="C11" s="1129"/>
      <c r="D11" s="1129"/>
      <c r="E11" s="1129"/>
      <c r="F11" s="1129"/>
      <c r="G11" s="1130"/>
      <c r="H11" s="1130"/>
      <c r="I11" s="1130"/>
      <c r="J11" s="1130"/>
      <c r="K11" s="1130"/>
      <c r="L11" s="1130"/>
      <c r="M11" s="1130"/>
      <c r="N11" s="1130"/>
      <c r="O11" s="1130"/>
      <c r="P11" s="1130"/>
      <c r="Q11" s="1130"/>
      <c r="R11" s="1130"/>
      <c r="S11" s="1130"/>
      <c r="T11" s="1130"/>
      <c r="U11" s="1130"/>
      <c r="V11" s="1130"/>
      <c r="W11" s="1130"/>
      <c r="X11" s="1130"/>
      <c r="Y11" s="1130"/>
      <c r="Z11" s="1130"/>
      <c r="AA11" s="1130"/>
      <c r="AB11" s="1130"/>
      <c r="AC11" s="1130"/>
      <c r="AD11" s="1130"/>
      <c r="AE11" s="1130"/>
      <c r="AF11" s="1130"/>
      <c r="AG11" s="1130"/>
      <c r="AH11" s="1130"/>
      <c r="AI11" s="1130"/>
      <c r="AJ11" s="1130"/>
      <c r="AK11" s="1130"/>
      <c r="AL11" s="1130"/>
      <c r="AM11" s="1130"/>
      <c r="AN11" s="1130"/>
      <c r="AO11" s="1130"/>
      <c r="AP11" s="1130"/>
      <c r="AQ11" s="1130"/>
      <c r="AR11" s="1130"/>
      <c r="AS11" s="1130"/>
      <c r="AT11" s="1130"/>
      <c r="AU11" s="1130"/>
      <c r="AV11" s="1130"/>
      <c r="AW11" s="1130"/>
      <c r="AX11" s="1130"/>
      <c r="AY11" s="1130"/>
      <c r="AZ11" s="1130"/>
      <c r="BA11" s="1130"/>
      <c r="BB11" s="1155"/>
      <c r="BC11" s="427"/>
      <c r="BD11" s="427"/>
    </row>
    <row r="12">
      <c r="A12" s="1182" t="str">
        <f t="array" ref="A12">IFERROR(INDEX(TeamInfo!$1:$45,MATCH(C12,TeamInfo!C:C,0),1),"")</f>
        <v/>
      </c>
      <c r="B12" s="1128" t="str">
        <f t="array" ref="B12">IFERROR(INDEX(TeamInfo!$1:$45,MATCH(C12,TeamInfo!C:C,0),2),"")</f>
        <v/>
      </c>
      <c r="C12" s="1129"/>
      <c r="D12" s="1129"/>
      <c r="E12" s="1129"/>
      <c r="F12" s="1129"/>
      <c r="G12" s="1130"/>
      <c r="H12" s="1130"/>
      <c r="I12" s="1130"/>
      <c r="J12" s="1130"/>
      <c r="K12" s="1130"/>
      <c r="L12" s="1130"/>
      <c r="M12" s="1130"/>
      <c r="N12" s="1130"/>
      <c r="O12" s="1130"/>
      <c r="P12" s="1130"/>
      <c r="Q12" s="1130"/>
      <c r="R12" s="1130"/>
      <c r="S12" s="1130"/>
      <c r="T12" s="1130"/>
      <c r="U12" s="1130"/>
      <c r="V12" s="1130"/>
      <c r="W12" s="1130"/>
      <c r="X12" s="1130"/>
      <c r="Y12" s="1130"/>
      <c r="Z12" s="1130"/>
      <c r="AA12" s="1130"/>
      <c r="AB12" s="1130"/>
      <c r="AC12" s="1130"/>
      <c r="AD12" s="1130"/>
      <c r="AE12" s="1130"/>
      <c r="AF12" s="1130"/>
      <c r="AG12" s="1130"/>
      <c r="AH12" s="1130"/>
      <c r="AI12" s="1130"/>
      <c r="AJ12" s="1130"/>
      <c r="AK12" s="1130"/>
      <c r="AL12" s="1130"/>
      <c r="AM12" s="1130"/>
      <c r="AN12" s="1130"/>
      <c r="AO12" s="1130"/>
      <c r="AP12" s="1130"/>
      <c r="AQ12" s="1130"/>
      <c r="AR12" s="1130"/>
      <c r="AS12" s="1130"/>
      <c r="AT12" s="1130"/>
      <c r="AU12" s="1130"/>
      <c r="AV12" s="1130"/>
      <c r="AW12" s="1130"/>
      <c r="AX12" s="1130"/>
      <c r="AY12" s="1130"/>
      <c r="AZ12" s="1130"/>
      <c r="BA12" s="1130"/>
      <c r="BB12" s="1155"/>
      <c r="BC12" s="427"/>
      <c r="BD12" s="427"/>
    </row>
    <row r="13">
      <c r="A13" s="1182" t="str">
        <f t="array" ref="A13">IFERROR(INDEX(TeamInfo!$1:$45,MATCH(C13,TeamInfo!C:C,0),1),"")</f>
        <v/>
      </c>
      <c r="B13" s="1128" t="str">
        <f t="array" ref="B13">IFERROR(INDEX(TeamInfo!$1:$45,MATCH(C13,TeamInfo!C:C,0),2),"")</f>
        <v/>
      </c>
      <c r="C13" s="1129"/>
      <c r="D13" s="1129"/>
      <c r="E13" s="1129"/>
      <c r="F13" s="1129"/>
      <c r="G13" s="1130"/>
      <c r="H13" s="1130"/>
      <c r="I13" s="1130"/>
      <c r="J13" s="1130"/>
      <c r="K13" s="1130"/>
      <c r="L13" s="1130"/>
      <c r="M13" s="1130"/>
      <c r="N13" s="1130"/>
      <c r="O13" s="1130"/>
      <c r="P13" s="1130"/>
      <c r="Q13" s="1130"/>
      <c r="R13" s="1130"/>
      <c r="S13" s="1130"/>
      <c r="T13" s="1130"/>
      <c r="U13" s="1130"/>
      <c r="V13" s="1130"/>
      <c r="W13" s="1130"/>
      <c r="X13" s="1130"/>
      <c r="Y13" s="1130"/>
      <c r="Z13" s="1130"/>
      <c r="AA13" s="1130"/>
      <c r="AB13" s="1130"/>
      <c r="AC13" s="1130"/>
      <c r="AD13" s="1130"/>
      <c r="AE13" s="1130"/>
      <c r="AF13" s="1130"/>
      <c r="AG13" s="1130"/>
      <c r="AH13" s="1130"/>
      <c r="AI13" s="1130"/>
      <c r="AJ13" s="1130"/>
      <c r="AK13" s="1130"/>
      <c r="AL13" s="1130"/>
      <c r="AM13" s="1130"/>
      <c r="AN13" s="1130"/>
      <c r="AO13" s="1130"/>
      <c r="AP13" s="1130"/>
      <c r="AQ13" s="1130"/>
      <c r="AR13" s="1130"/>
      <c r="AS13" s="1130"/>
      <c r="AT13" s="1130"/>
      <c r="AU13" s="1130"/>
      <c r="AV13" s="1130"/>
      <c r="AW13" s="1130"/>
      <c r="AX13" s="1130"/>
      <c r="AY13" s="1130"/>
      <c r="AZ13" s="1130"/>
      <c r="BA13" s="1130"/>
      <c r="BB13" s="1155"/>
      <c r="BC13" s="427"/>
      <c r="BD13" s="427"/>
    </row>
    <row r="14">
      <c r="A14" s="1178" t="str">
        <f t="array" ref="A14">IFERROR(INDEX(TeamInfo!$1:$45,MATCH(C14,TeamInfo!C:C,0),1),"")</f>
        <v/>
      </c>
      <c r="B14" s="1131" t="str">
        <f t="array" ref="B14">IFERROR(INDEX(TeamInfo!$1:$45,MATCH(C14,TeamInfo!C:C,0),2),"")</f>
        <v/>
      </c>
      <c r="C14" s="905"/>
      <c r="D14" s="1138"/>
      <c r="E14" s="1138"/>
      <c r="F14" s="1138"/>
      <c r="G14" s="1139"/>
      <c r="H14" s="1139"/>
      <c r="I14" s="1139"/>
      <c r="J14" s="1139"/>
      <c r="K14" s="1139"/>
      <c r="L14" s="1139"/>
      <c r="M14" s="1139"/>
      <c r="N14" s="1139"/>
      <c r="O14" s="1139"/>
      <c r="P14" s="1139"/>
      <c r="Q14" s="1139"/>
      <c r="R14" s="1139"/>
      <c r="S14" s="1139"/>
      <c r="T14" s="1139"/>
      <c r="U14" s="1139"/>
      <c r="V14" s="1139"/>
      <c r="W14" s="1139"/>
      <c r="X14" s="1139"/>
      <c r="Y14" s="1139"/>
      <c r="Z14" s="1139"/>
      <c r="AA14" s="1139"/>
      <c r="AB14" s="1139"/>
      <c r="AC14" s="1139"/>
      <c r="AD14" s="1139"/>
      <c r="AE14" s="1139"/>
      <c r="AF14" s="1139"/>
      <c r="AG14" s="1139"/>
      <c r="AH14" s="1139"/>
      <c r="AI14" s="1139"/>
      <c r="AJ14" s="1139"/>
      <c r="AK14" s="1139"/>
      <c r="AL14" s="1139"/>
      <c r="AM14" s="1139"/>
      <c r="AN14" s="1139"/>
      <c r="AO14" s="1139"/>
      <c r="AP14" s="1139"/>
      <c r="AQ14" s="1139"/>
      <c r="AR14" s="1139"/>
      <c r="AS14" s="1139"/>
      <c r="AT14" s="1139"/>
      <c r="AU14" s="1139"/>
      <c r="AV14" s="1139"/>
      <c r="AW14" s="1139"/>
      <c r="AX14" s="1139"/>
      <c r="AY14" s="1139"/>
      <c r="AZ14" s="1139"/>
      <c r="BA14" s="1139"/>
      <c r="BB14" s="1153"/>
      <c r="BC14" s="1139"/>
      <c r="BD14" s="1139"/>
    </row>
    <row r="15">
      <c r="A15" s="1178" t="str">
        <f t="array" ref="A15">IFERROR(INDEX(TeamInfo!$1:$45,MATCH(C15,TeamInfo!C:C,0),1),"")</f>
        <v/>
      </c>
      <c r="B15" s="1131" t="str">
        <f t="array" ref="B15">IFERROR(INDEX(TeamInfo!$1:$45,MATCH(C15,TeamInfo!C:C,0),2),"")</f>
        <v/>
      </c>
      <c r="C15" s="905"/>
      <c r="D15" s="1138"/>
      <c r="E15" s="1138"/>
      <c r="F15" s="1138"/>
      <c r="G15" s="1139"/>
      <c r="H15" s="1139"/>
      <c r="I15" s="1139"/>
      <c r="J15" s="1139"/>
      <c r="K15" s="1139"/>
      <c r="L15" s="1139"/>
      <c r="M15" s="1139"/>
      <c r="N15" s="1139"/>
      <c r="O15" s="1139"/>
      <c r="P15" s="1139"/>
      <c r="Q15" s="1139"/>
      <c r="R15" s="1139"/>
      <c r="S15" s="1139"/>
      <c r="T15" s="1139"/>
      <c r="U15" s="1139"/>
      <c r="V15" s="1139"/>
      <c r="W15" s="1139"/>
      <c r="X15" s="1139"/>
      <c r="Y15" s="1139"/>
      <c r="Z15" s="1139"/>
      <c r="AA15" s="1139"/>
      <c r="AB15" s="1139"/>
      <c r="AC15" s="1139"/>
      <c r="AD15" s="1139"/>
      <c r="AE15" s="1139"/>
      <c r="AF15" s="1139"/>
      <c r="AG15" s="1139"/>
      <c r="AH15" s="1139"/>
      <c r="AI15" s="1139"/>
      <c r="AJ15" s="1139"/>
      <c r="AK15" s="1139"/>
      <c r="AL15" s="1139"/>
      <c r="AM15" s="1139"/>
      <c r="AN15" s="1139"/>
      <c r="AO15" s="1139"/>
      <c r="AP15" s="1139"/>
      <c r="AQ15" s="1139"/>
      <c r="AR15" s="1139"/>
      <c r="AS15" s="1139"/>
      <c r="AT15" s="1139"/>
      <c r="AU15" s="1139"/>
      <c r="AV15" s="1139"/>
      <c r="AW15" s="1139"/>
      <c r="AX15" s="1139"/>
      <c r="AY15" s="1139"/>
      <c r="AZ15" s="1139"/>
      <c r="BA15" s="1139"/>
      <c r="BB15" s="1153"/>
      <c r="BC15" s="1139"/>
      <c r="BD15" s="1139"/>
    </row>
    <row r="16">
      <c r="A16" s="1178" t="str">
        <f t="array" ref="A16">IFERROR(INDEX(TeamInfo!$1:$45,MATCH(C16,TeamInfo!C:C,0),1),"")</f>
        <v/>
      </c>
      <c r="B16" s="1131" t="str">
        <f t="array" ref="B16">IFERROR(INDEX(TeamInfo!$1:$45,MATCH(C16,TeamInfo!C:C,0),2),"")</f>
        <v/>
      </c>
      <c r="C16" s="905"/>
      <c r="D16" s="1138"/>
      <c r="E16" s="1138"/>
      <c r="F16" s="1138"/>
      <c r="G16" s="1139"/>
      <c r="H16" s="1139"/>
      <c r="I16" s="1139"/>
      <c r="J16" s="1139"/>
      <c r="K16" s="1139"/>
      <c r="L16" s="1139"/>
      <c r="M16" s="1139"/>
      <c r="N16" s="1139"/>
      <c r="O16" s="1139"/>
      <c r="P16" s="1139"/>
      <c r="Q16" s="1139"/>
      <c r="R16" s="1139"/>
      <c r="S16" s="1139"/>
      <c r="T16" s="1139"/>
      <c r="U16" s="1139"/>
      <c r="V16" s="1139"/>
      <c r="W16" s="1139"/>
      <c r="X16" s="1139"/>
      <c r="Y16" s="1139"/>
      <c r="Z16" s="1139"/>
      <c r="AA16" s="1139"/>
      <c r="AB16" s="1139"/>
      <c r="AC16" s="1139"/>
      <c r="AD16" s="1139"/>
      <c r="AE16" s="1139"/>
      <c r="AF16" s="1139"/>
      <c r="AG16" s="1139"/>
      <c r="AH16" s="1139"/>
      <c r="AI16" s="1139"/>
      <c r="AJ16" s="1139"/>
      <c r="AK16" s="1139"/>
      <c r="AL16" s="1139"/>
      <c r="AM16" s="1139"/>
      <c r="AN16" s="1139"/>
      <c r="AO16" s="1139"/>
      <c r="AP16" s="1139"/>
      <c r="AQ16" s="1139"/>
      <c r="AR16" s="1139"/>
      <c r="AS16" s="1139"/>
      <c r="AT16" s="1139"/>
      <c r="AU16" s="1139"/>
      <c r="AV16" s="1139"/>
      <c r="AW16" s="1139"/>
      <c r="AX16" s="1139"/>
      <c r="AY16" s="1139"/>
      <c r="AZ16" s="1139"/>
      <c r="BA16" s="1139"/>
      <c r="BB16" s="1153"/>
      <c r="BC16" s="1139"/>
      <c r="BD16" s="1139"/>
    </row>
    <row r="17">
      <c r="A17" s="1194" t="str">
        <f t="array" ref="A17">IFERROR(INDEX(TeamInfo!$1:$45,MATCH(C17,TeamInfo!C:C,0),1),"")</f>
        <v/>
      </c>
      <c r="B17" s="1195" t="str">
        <f t="array" ref="B17">IFERROR(INDEX(TeamInfo!$1:$45,MATCH(C17,TeamInfo!C:C,0),2),"")</f>
        <v/>
      </c>
      <c r="C17" s="1167"/>
      <c r="D17" s="1168"/>
      <c r="E17" s="1168"/>
      <c r="F17" s="1168"/>
      <c r="G17" s="1196"/>
      <c r="H17" s="1196"/>
      <c r="I17" s="1196"/>
      <c r="J17" s="1196"/>
      <c r="K17" s="1196"/>
      <c r="L17" s="1196"/>
      <c r="M17" s="1196"/>
      <c r="N17" s="1196"/>
      <c r="O17" s="1196"/>
      <c r="P17" s="1196"/>
      <c r="Q17" s="1196"/>
      <c r="R17" s="1196"/>
      <c r="S17" s="1196"/>
      <c r="T17" s="1196"/>
      <c r="U17" s="1196"/>
      <c r="V17" s="1196"/>
      <c r="W17" s="1196"/>
      <c r="X17" s="1196"/>
      <c r="Y17" s="1196"/>
      <c r="Z17" s="1196"/>
      <c r="AA17" s="1196"/>
      <c r="AB17" s="1196"/>
      <c r="AC17" s="1196"/>
      <c r="AD17" s="1196"/>
      <c r="AE17" s="1196"/>
      <c r="AF17" s="1196"/>
      <c r="AG17" s="1196"/>
      <c r="AH17" s="1196"/>
      <c r="AI17" s="1196"/>
      <c r="AJ17" s="1196"/>
      <c r="AK17" s="1196"/>
      <c r="AL17" s="1196"/>
      <c r="AM17" s="1196"/>
      <c r="AN17" s="1196"/>
      <c r="AO17" s="1196"/>
      <c r="AP17" s="1196"/>
      <c r="AQ17" s="1196"/>
      <c r="AR17" s="1196"/>
      <c r="AS17" s="1196"/>
      <c r="AT17" s="1196"/>
      <c r="AU17" s="1196"/>
      <c r="AV17" s="1196"/>
      <c r="AW17" s="1196"/>
      <c r="AX17" s="1196"/>
      <c r="AY17" s="1196"/>
      <c r="AZ17" s="1196"/>
      <c r="BA17" s="1196"/>
      <c r="BB17" s="1170"/>
      <c r="BC17" s="1139"/>
      <c r="BD17" s="1139"/>
    </row>
    <row r="18">
      <c r="A18" s="1192" t="str">
        <f t="array" ref="A18">IFERROR(INDEX(TeamInfo!$1:$45,MATCH(C18,TeamInfo!C:C,0),1),"")</f>
        <v/>
      </c>
      <c r="B18" s="1193" t="str">
        <f t="array" ref="B18">IFERROR(INDEX(TeamInfo!$1:$45,MATCH(C18,TeamInfo!C:C,0),2),"")</f>
        <v/>
      </c>
      <c r="C18" s="1162"/>
      <c r="D18" s="1162"/>
      <c r="E18" s="1162"/>
      <c r="F18" s="1162"/>
      <c r="G18" s="1162"/>
      <c r="H18" s="1162"/>
      <c r="I18" s="1162"/>
      <c r="J18" s="1162"/>
      <c r="K18" s="1162"/>
      <c r="L18" s="1162"/>
      <c r="M18" s="1162"/>
      <c r="N18" s="1162"/>
      <c r="O18" s="1162"/>
      <c r="P18" s="1162"/>
      <c r="Q18" s="1162"/>
      <c r="R18" s="1162"/>
      <c r="S18" s="1162"/>
      <c r="T18" s="1162"/>
      <c r="U18" s="1162"/>
      <c r="V18" s="1162"/>
      <c r="W18" s="1162"/>
      <c r="X18" s="1162"/>
      <c r="Y18" s="1162"/>
      <c r="Z18" s="1162"/>
      <c r="AA18" s="1162"/>
      <c r="AB18" s="1162"/>
      <c r="AC18" s="1162"/>
      <c r="AD18" s="1162"/>
      <c r="AE18" s="1162"/>
      <c r="AF18" s="1162"/>
      <c r="AG18" s="1162"/>
      <c r="AH18" s="1162"/>
      <c r="AI18" s="1162"/>
      <c r="AJ18" s="1162"/>
      <c r="AK18" s="1162"/>
      <c r="AL18" s="1162"/>
      <c r="AM18" s="1162"/>
      <c r="AN18" s="1162"/>
      <c r="AO18" s="1162"/>
      <c r="AP18" s="1162"/>
      <c r="AQ18" s="1162"/>
      <c r="AR18" s="1162"/>
      <c r="AS18" s="1162"/>
      <c r="AT18" s="1162"/>
      <c r="AU18" s="1162"/>
      <c r="AV18" s="1162"/>
      <c r="AW18" s="1162"/>
      <c r="AX18" s="1162"/>
      <c r="AY18" s="1162"/>
      <c r="AZ18" s="1162"/>
      <c r="BA18" s="1162"/>
      <c r="BB18" s="1164"/>
      <c r="BC18" s="427"/>
      <c r="BD18" s="427"/>
    </row>
    <row r="19">
      <c r="A19" s="1182" t="str">
        <f t="array" ref="A19">IFERROR(INDEX(TeamInfo!$1:$45,MATCH(C19,TeamInfo!C:C,0),1),"")</f>
        <v/>
      </c>
      <c r="B19" s="1128" t="str">
        <f t="array" ref="B19">IFERROR(INDEX(TeamInfo!$1:$45,MATCH(C19,TeamInfo!C:C,0),2),"")</f>
        <v/>
      </c>
      <c r="C19" s="1129"/>
      <c r="D19" s="1129"/>
      <c r="E19" s="1129"/>
      <c r="F19" s="1129"/>
      <c r="G19" s="1130"/>
      <c r="H19" s="1130"/>
      <c r="I19" s="1130"/>
      <c r="J19" s="1130"/>
      <c r="K19" s="1130"/>
      <c r="L19" s="1130"/>
      <c r="M19" s="1130"/>
      <c r="N19" s="1130"/>
      <c r="O19" s="1130"/>
      <c r="P19" s="1130"/>
      <c r="Q19" s="1130"/>
      <c r="R19" s="1130"/>
      <c r="S19" s="1130"/>
      <c r="T19" s="1130"/>
      <c r="U19" s="1130"/>
      <c r="V19" s="1130"/>
      <c r="W19" s="1130"/>
      <c r="X19" s="1130"/>
      <c r="Y19" s="1130"/>
      <c r="Z19" s="1130"/>
      <c r="AA19" s="1130"/>
      <c r="AB19" s="1130"/>
      <c r="AC19" s="1130"/>
      <c r="AD19" s="1130"/>
      <c r="AE19" s="1130"/>
      <c r="AF19" s="1130"/>
      <c r="AG19" s="1130"/>
      <c r="AH19" s="1130"/>
      <c r="AI19" s="1130"/>
      <c r="AJ19" s="1130"/>
      <c r="AK19" s="1130"/>
      <c r="AL19" s="1130"/>
      <c r="AM19" s="1130"/>
      <c r="AN19" s="1130"/>
      <c r="AO19" s="1130"/>
      <c r="AP19" s="1130"/>
      <c r="AQ19" s="1130"/>
      <c r="AR19" s="1130"/>
      <c r="AS19" s="1130"/>
      <c r="AT19" s="1130"/>
      <c r="AU19" s="1130"/>
      <c r="AV19" s="1130"/>
      <c r="AW19" s="1130"/>
      <c r="AX19" s="1130"/>
      <c r="AY19" s="1130"/>
      <c r="AZ19" s="1130"/>
      <c r="BA19" s="1130"/>
      <c r="BB19" s="1155"/>
      <c r="BC19" s="427"/>
      <c r="BD19" s="427"/>
    </row>
    <row r="20">
      <c r="A20" s="1182" t="str">
        <f t="array" ref="A20">IFERROR(INDEX(TeamInfo!$1:$45,MATCH(C20,TeamInfo!C:C,0),1),"")</f>
        <v/>
      </c>
      <c r="B20" s="1128" t="str">
        <f t="array" ref="B20">IFERROR(INDEX(TeamInfo!$1:$45,MATCH(C20,TeamInfo!C:C,0),2),"")</f>
        <v/>
      </c>
      <c r="C20" s="1129"/>
      <c r="D20" s="1129"/>
      <c r="E20" s="1129"/>
      <c r="F20" s="1129"/>
      <c r="G20" s="1130"/>
      <c r="H20" s="1130"/>
      <c r="I20" s="1130"/>
      <c r="J20" s="1130"/>
      <c r="K20" s="1130"/>
      <c r="L20" s="1130"/>
      <c r="M20" s="1130"/>
      <c r="N20" s="1130"/>
      <c r="O20" s="1130"/>
      <c r="P20" s="1130"/>
      <c r="Q20" s="1130"/>
      <c r="R20" s="1130"/>
      <c r="S20" s="1130"/>
      <c r="T20" s="1130"/>
      <c r="U20" s="1130"/>
      <c r="V20" s="1130"/>
      <c r="W20" s="1130"/>
      <c r="X20" s="1130"/>
      <c r="Y20" s="1130"/>
      <c r="Z20" s="1130"/>
      <c r="AA20" s="1130"/>
      <c r="AB20" s="1130"/>
      <c r="AC20" s="1130"/>
      <c r="AD20" s="1130"/>
      <c r="AE20" s="1130"/>
      <c r="AF20" s="1130"/>
      <c r="AG20" s="1130"/>
      <c r="AH20" s="1130"/>
      <c r="AI20" s="1130"/>
      <c r="AJ20" s="1130"/>
      <c r="AK20" s="1130"/>
      <c r="AL20" s="1130"/>
      <c r="AM20" s="1130"/>
      <c r="AN20" s="1130"/>
      <c r="AO20" s="1130"/>
      <c r="AP20" s="1130"/>
      <c r="AQ20" s="1130"/>
      <c r="AR20" s="1130"/>
      <c r="AS20" s="1130"/>
      <c r="AT20" s="1130"/>
      <c r="AU20" s="1130"/>
      <c r="AV20" s="1130"/>
      <c r="AW20" s="1130"/>
      <c r="AX20" s="1130"/>
      <c r="AY20" s="1130"/>
      <c r="AZ20" s="1130"/>
      <c r="BA20" s="1130"/>
      <c r="BB20" s="1155"/>
      <c r="BC20" s="427"/>
      <c r="BD20" s="427"/>
    </row>
    <row r="21">
      <c r="A21" s="1182" t="str">
        <f t="array" ref="A21">IFERROR(INDEX(TeamInfo!$1:$45,MATCH(C21,TeamInfo!C:C,0),1),"")</f>
        <v/>
      </c>
      <c r="B21" s="1128" t="str">
        <f t="array" ref="B21">IFERROR(INDEX(TeamInfo!$1:$45,MATCH(C21,TeamInfo!C:C,0),2),"")</f>
        <v/>
      </c>
      <c r="C21" s="1129"/>
      <c r="D21" s="1129"/>
      <c r="E21" s="1129"/>
      <c r="F21" s="1129"/>
      <c r="G21" s="1130"/>
      <c r="H21" s="1130"/>
      <c r="I21" s="1130"/>
      <c r="J21" s="1130"/>
      <c r="K21" s="1130"/>
      <c r="L21" s="1130"/>
      <c r="M21" s="1130"/>
      <c r="N21" s="1130"/>
      <c r="O21" s="1130"/>
      <c r="P21" s="1130"/>
      <c r="Q21" s="1130"/>
      <c r="R21" s="1130"/>
      <c r="S21" s="1130"/>
      <c r="T21" s="1130"/>
      <c r="U21" s="1130"/>
      <c r="V21" s="1130"/>
      <c r="W21" s="1130"/>
      <c r="X21" s="1130"/>
      <c r="Y21" s="1130"/>
      <c r="Z21" s="1130"/>
      <c r="AA21" s="1130"/>
      <c r="AB21" s="1130"/>
      <c r="AC21" s="1130"/>
      <c r="AD21" s="1130"/>
      <c r="AE21" s="1130"/>
      <c r="AF21" s="1130"/>
      <c r="AG21" s="1130"/>
      <c r="AH21" s="1130"/>
      <c r="AI21" s="1130"/>
      <c r="AJ21" s="1130"/>
      <c r="AK21" s="1130"/>
      <c r="AL21" s="1130"/>
      <c r="AM21" s="1130"/>
      <c r="AN21" s="1130"/>
      <c r="AO21" s="1130"/>
      <c r="AP21" s="1130"/>
      <c r="AQ21" s="1130"/>
      <c r="AR21" s="1130"/>
      <c r="AS21" s="1130"/>
      <c r="AT21" s="1130"/>
      <c r="AU21" s="1130"/>
      <c r="AV21" s="1130"/>
      <c r="AW21" s="1130"/>
      <c r="AX21" s="1130"/>
      <c r="AY21" s="1130"/>
      <c r="AZ21" s="1130"/>
      <c r="BA21" s="1130"/>
      <c r="BB21" s="1155"/>
      <c r="BC21" s="427"/>
      <c r="BD21" s="427"/>
    </row>
    <row r="22">
      <c r="A22" s="1178" t="str">
        <f t="array" ref="A22">IFERROR(INDEX(TeamInfo!$1:$45,MATCH(C22,TeamInfo!C:C,0),1),"")</f>
        <v/>
      </c>
      <c r="B22" s="1131" t="str">
        <f t="array" ref="B22">IFERROR(INDEX(TeamInfo!$1:$45,MATCH(C22,TeamInfo!C:C,0),2),"")</f>
        <v/>
      </c>
      <c r="C22" s="905"/>
      <c r="D22" s="1138"/>
      <c r="E22" s="1138"/>
      <c r="F22" s="1138"/>
      <c r="G22" s="906"/>
      <c r="H22" s="906"/>
      <c r="I22" s="906"/>
      <c r="J22" s="906"/>
      <c r="K22" s="906"/>
      <c r="L22" s="906"/>
      <c r="M22" s="906"/>
      <c r="N22" s="906"/>
      <c r="O22" s="906"/>
      <c r="P22" s="906"/>
      <c r="Q22" s="906"/>
      <c r="R22" s="906"/>
      <c r="S22" s="906"/>
      <c r="T22" s="906"/>
      <c r="U22" s="906"/>
      <c r="V22" s="906"/>
      <c r="W22" s="906"/>
      <c r="X22" s="906"/>
      <c r="Y22" s="906"/>
      <c r="Z22" s="906"/>
      <c r="AA22" s="906"/>
      <c r="AB22" s="906"/>
      <c r="AC22" s="906"/>
      <c r="AD22" s="906"/>
      <c r="AE22" s="906"/>
      <c r="AF22" s="906"/>
      <c r="AG22" s="906"/>
      <c r="AH22" s="906"/>
      <c r="AI22" s="906"/>
      <c r="AJ22" s="906"/>
      <c r="AK22" s="906"/>
      <c r="AL22" s="906"/>
      <c r="AM22" s="906"/>
      <c r="AN22" s="906"/>
      <c r="AO22" s="906"/>
      <c r="AP22" s="906"/>
      <c r="AQ22" s="906"/>
      <c r="AR22" s="906"/>
      <c r="AS22" s="906"/>
      <c r="AT22" s="906"/>
      <c r="AU22" s="906"/>
      <c r="AV22" s="906"/>
      <c r="AW22" s="906"/>
      <c r="AX22" s="906"/>
      <c r="AY22" s="906"/>
      <c r="AZ22" s="906"/>
      <c r="BA22" s="906"/>
      <c r="BB22" s="1153"/>
      <c r="BC22" s="1139"/>
      <c r="BD22" s="1139"/>
    </row>
    <row r="23">
      <c r="A23" s="1178" t="str">
        <f t="array" ref="A23">IFERROR(INDEX(TeamInfo!$1:$45,MATCH(C23,TeamInfo!C:C,0),1),"")</f>
        <v/>
      </c>
      <c r="B23" s="1131" t="str">
        <f t="array" ref="B23">IFERROR(INDEX(TeamInfo!$1:$45,MATCH(C23,TeamInfo!C:C,0),2),"")</f>
        <v/>
      </c>
      <c r="C23" s="905"/>
      <c r="D23" s="1138"/>
      <c r="E23" s="1138"/>
      <c r="F23" s="1138"/>
      <c r="G23" s="906"/>
      <c r="H23" s="906"/>
      <c r="I23" s="906"/>
      <c r="J23" s="906"/>
      <c r="K23" s="906"/>
      <c r="L23" s="906"/>
      <c r="M23" s="906"/>
      <c r="N23" s="906"/>
      <c r="O23" s="906"/>
      <c r="P23" s="906"/>
      <c r="Q23" s="906"/>
      <c r="R23" s="906"/>
      <c r="S23" s="906"/>
      <c r="T23" s="906"/>
      <c r="U23" s="906"/>
      <c r="V23" s="906"/>
      <c r="W23" s="906"/>
      <c r="X23" s="906"/>
      <c r="Y23" s="906"/>
      <c r="Z23" s="906"/>
      <c r="AA23" s="906"/>
      <c r="AB23" s="906"/>
      <c r="AC23" s="906"/>
      <c r="AD23" s="906"/>
      <c r="AE23" s="906"/>
      <c r="AF23" s="906"/>
      <c r="AG23" s="906"/>
      <c r="AH23" s="906"/>
      <c r="AI23" s="906"/>
      <c r="AJ23" s="906"/>
      <c r="AK23" s="906"/>
      <c r="AL23" s="906"/>
      <c r="AM23" s="906"/>
      <c r="AN23" s="906"/>
      <c r="AO23" s="906"/>
      <c r="AP23" s="906"/>
      <c r="AQ23" s="906"/>
      <c r="AR23" s="906"/>
      <c r="AS23" s="906"/>
      <c r="AT23" s="906"/>
      <c r="AU23" s="906"/>
      <c r="AV23" s="906"/>
      <c r="AW23" s="906"/>
      <c r="AX23" s="906"/>
      <c r="AY23" s="906"/>
      <c r="AZ23" s="906"/>
      <c r="BA23" s="906"/>
      <c r="BB23" s="1153"/>
      <c r="BC23" s="1139"/>
      <c r="BD23" s="1139"/>
    </row>
    <row r="24">
      <c r="A24" s="1178" t="str">
        <f t="array" ref="A24">IFERROR(INDEX(TeamInfo!$1:$45,MATCH(C24,TeamInfo!C:C,0),1),"")</f>
        <v/>
      </c>
      <c r="B24" s="1131" t="str">
        <f t="array" ref="B24">IFERROR(INDEX(TeamInfo!$1:$45,MATCH(C24,TeamInfo!C:C,0),2),"")</f>
        <v/>
      </c>
      <c r="C24" s="905"/>
      <c r="D24" s="1138"/>
      <c r="E24" s="1138"/>
      <c r="F24" s="1138"/>
      <c r="G24" s="906"/>
      <c r="H24" s="906"/>
      <c r="I24" s="906"/>
      <c r="J24" s="906"/>
      <c r="K24" s="906"/>
      <c r="L24" s="906"/>
      <c r="M24" s="906"/>
      <c r="N24" s="906"/>
      <c r="O24" s="906"/>
      <c r="P24" s="906"/>
      <c r="Q24" s="906"/>
      <c r="R24" s="906"/>
      <c r="S24" s="906"/>
      <c r="T24" s="906"/>
      <c r="U24" s="906"/>
      <c r="V24" s="906"/>
      <c r="W24" s="906"/>
      <c r="X24" s="906"/>
      <c r="Y24" s="906"/>
      <c r="Z24" s="906"/>
      <c r="AA24" s="906"/>
      <c r="AB24" s="906"/>
      <c r="AC24" s="906"/>
      <c r="AD24" s="906"/>
      <c r="AE24" s="906"/>
      <c r="AF24" s="906"/>
      <c r="AG24" s="906"/>
      <c r="AH24" s="906"/>
      <c r="AI24" s="906"/>
      <c r="AJ24" s="906"/>
      <c r="AK24" s="906"/>
      <c r="AL24" s="906"/>
      <c r="AM24" s="906"/>
      <c r="AN24" s="906"/>
      <c r="AO24" s="906"/>
      <c r="AP24" s="906"/>
      <c r="AQ24" s="906"/>
      <c r="AR24" s="906"/>
      <c r="AS24" s="906"/>
      <c r="AT24" s="906"/>
      <c r="AU24" s="906"/>
      <c r="AV24" s="906"/>
      <c r="AW24" s="906"/>
      <c r="AX24" s="906"/>
      <c r="AY24" s="906"/>
      <c r="AZ24" s="906"/>
      <c r="BA24" s="906"/>
      <c r="BB24" s="1153"/>
      <c r="BC24" s="1139"/>
      <c r="BD24" s="1139"/>
    </row>
    <row r="25">
      <c r="A25" s="1194" t="str">
        <f t="array" ref="A25">IFERROR(INDEX(TeamInfo!$1:$45,MATCH(C25,TeamInfo!C:C,0),1),"")</f>
        <v/>
      </c>
      <c r="B25" s="1195" t="str">
        <f t="array" ref="B25">IFERROR(INDEX(TeamInfo!$1:$45,MATCH(C25,TeamInfo!C:C,0),2),"")</f>
        <v/>
      </c>
      <c r="C25" s="1167"/>
      <c r="D25" s="1168"/>
      <c r="E25" s="1168"/>
      <c r="F25" s="1168"/>
      <c r="G25" s="1167"/>
      <c r="H25" s="1167"/>
      <c r="I25" s="1167"/>
      <c r="J25" s="1167"/>
      <c r="K25" s="1167"/>
      <c r="L25" s="1167"/>
      <c r="M25" s="1167"/>
      <c r="N25" s="1167"/>
      <c r="O25" s="1167"/>
      <c r="P25" s="1167"/>
      <c r="Q25" s="1167"/>
      <c r="R25" s="1167"/>
      <c r="S25" s="1167"/>
      <c r="T25" s="1167"/>
      <c r="U25" s="1167"/>
      <c r="V25" s="1167"/>
      <c r="W25" s="1167"/>
      <c r="X25" s="1167"/>
      <c r="Y25" s="1167"/>
      <c r="Z25" s="1167"/>
      <c r="AA25" s="1167"/>
      <c r="AB25" s="1167"/>
      <c r="AC25" s="1167"/>
      <c r="AD25" s="1167"/>
      <c r="AE25" s="1167"/>
      <c r="AF25" s="1167"/>
      <c r="AG25" s="1167"/>
      <c r="AH25" s="1167"/>
      <c r="AI25" s="1167"/>
      <c r="AJ25" s="1167"/>
      <c r="AK25" s="1167"/>
      <c r="AL25" s="1167"/>
      <c r="AM25" s="1167"/>
      <c r="AN25" s="1167"/>
      <c r="AO25" s="1167"/>
      <c r="AP25" s="1167"/>
      <c r="AQ25" s="1167"/>
      <c r="AR25" s="1167"/>
      <c r="AS25" s="1167"/>
      <c r="AT25" s="1167"/>
      <c r="AU25" s="1167"/>
      <c r="AV25" s="1167"/>
      <c r="AW25" s="1167"/>
      <c r="AX25" s="1167"/>
      <c r="AY25" s="1167"/>
      <c r="AZ25" s="1167"/>
      <c r="BA25" s="1167"/>
      <c r="BB25" s="1170"/>
      <c r="BC25" s="1139"/>
      <c r="BD25" s="1139"/>
    </row>
    <row r="26">
      <c r="A26" s="1171" t="str">
        <f t="array" ref="A26">IFERROR(INDEX(TeamInfo!$1:$45,MATCH(C26,TeamInfo!C:C,0),1),"")</f>
        <v/>
      </c>
      <c r="B26" s="1172" t="str">
        <f t="array" ref="B26">IFERROR(INDEX(TeamInfo!$1:$45,MATCH(C26,TeamInfo!C:C,0),2),"")</f>
        <v/>
      </c>
      <c r="C26" s="1149"/>
      <c r="D26" s="1149"/>
      <c r="E26" s="1149"/>
      <c r="F26" s="1149"/>
      <c r="G26" s="1134"/>
      <c r="H26" s="1134"/>
      <c r="I26" s="1134"/>
      <c r="J26" s="1134"/>
      <c r="K26" s="1134"/>
      <c r="L26" s="1134"/>
      <c r="M26" s="1134"/>
      <c r="N26" s="1134"/>
      <c r="O26" s="1134"/>
      <c r="P26" s="1134"/>
      <c r="Q26" s="1134"/>
      <c r="R26" s="1134"/>
      <c r="S26" s="1134"/>
      <c r="T26" s="1134"/>
      <c r="U26" s="1134"/>
      <c r="V26" s="1134"/>
      <c r="W26" s="1134"/>
      <c r="X26" s="1134"/>
      <c r="Y26" s="1134"/>
      <c r="Z26" s="1134"/>
      <c r="AA26" s="1134"/>
      <c r="AB26" s="1134"/>
      <c r="AC26" s="1134"/>
      <c r="AD26" s="1134"/>
      <c r="AE26" s="1134"/>
      <c r="AF26" s="1134"/>
      <c r="AG26" s="1134"/>
      <c r="AH26" s="1134"/>
      <c r="AI26" s="1134"/>
      <c r="AJ26" s="1134"/>
      <c r="AK26" s="1134"/>
      <c r="AL26" s="1134"/>
      <c r="AM26" s="1134"/>
      <c r="AN26" s="1134"/>
      <c r="AO26" s="1134"/>
      <c r="AP26" s="1134"/>
      <c r="AQ26" s="1134"/>
      <c r="AR26" s="1134"/>
      <c r="AS26" s="1134"/>
      <c r="AT26" s="1134"/>
      <c r="AU26" s="1134"/>
      <c r="AV26" s="1134"/>
      <c r="AW26" s="1134"/>
      <c r="AX26" s="1134"/>
      <c r="AY26" s="1134"/>
      <c r="AZ26" s="1134"/>
      <c r="BA26" s="1134"/>
      <c r="BB26" s="1197"/>
      <c r="BC26" s="1132"/>
      <c r="BD26" s="1132"/>
    </row>
    <row r="27">
      <c r="A27" s="1178" t="str">
        <f t="array" ref="A27">IFERROR(INDEX(TeamInfo!$1:$45,MATCH(C27,TeamInfo!C:C,0),1),"")</f>
        <v/>
      </c>
      <c r="B27" s="1131" t="str">
        <f t="array" ref="B27">IFERROR(INDEX(TeamInfo!$1:$45,MATCH(C27,TeamInfo!C:C,0),2),"")</f>
        <v/>
      </c>
      <c r="C27" s="905"/>
      <c r="D27" s="905"/>
      <c r="E27" s="905"/>
      <c r="F27" s="905"/>
      <c r="G27" s="906"/>
      <c r="H27" s="906"/>
      <c r="I27" s="906"/>
      <c r="J27" s="906"/>
      <c r="K27" s="906"/>
      <c r="L27" s="906"/>
      <c r="M27" s="906"/>
      <c r="N27" s="906"/>
      <c r="O27" s="906"/>
      <c r="P27" s="906"/>
      <c r="Q27" s="906"/>
      <c r="R27" s="906"/>
      <c r="S27" s="906"/>
      <c r="T27" s="906"/>
      <c r="U27" s="906"/>
      <c r="V27" s="906"/>
      <c r="W27" s="906"/>
      <c r="X27" s="906"/>
      <c r="Y27" s="906"/>
      <c r="Z27" s="906"/>
      <c r="AA27" s="906"/>
      <c r="AB27" s="906"/>
      <c r="AC27" s="906"/>
      <c r="AD27" s="906"/>
      <c r="AE27" s="906"/>
      <c r="AF27" s="906"/>
      <c r="AG27" s="906"/>
      <c r="AH27" s="906"/>
      <c r="AI27" s="906"/>
      <c r="AJ27" s="906"/>
      <c r="AK27" s="906"/>
      <c r="AL27" s="906"/>
      <c r="AM27" s="906"/>
      <c r="AN27" s="906"/>
      <c r="AO27" s="906"/>
      <c r="AP27" s="906"/>
      <c r="AQ27" s="906"/>
      <c r="AR27" s="906"/>
      <c r="AS27" s="906"/>
      <c r="AT27" s="906"/>
      <c r="AU27" s="906"/>
      <c r="AV27" s="906"/>
      <c r="AW27" s="906"/>
      <c r="AX27" s="906"/>
      <c r="AY27" s="906"/>
      <c r="AZ27" s="906"/>
      <c r="BA27" s="906"/>
      <c r="BB27" s="1198"/>
      <c r="BC27" s="1132"/>
      <c r="BD27" s="1132"/>
    </row>
    <row r="28">
      <c r="A28" s="1178" t="str">
        <f t="array" ref="A28">IFERROR(INDEX(TeamInfo!$1:$45,MATCH(C28,TeamInfo!C:C,0),1),"")</f>
        <v/>
      </c>
      <c r="B28" s="1131" t="str">
        <f t="array" ref="B28">IFERROR(INDEX(TeamInfo!$1:$45,MATCH(C28,TeamInfo!C:C,0),2),"")</f>
        <v/>
      </c>
      <c r="C28" s="905"/>
      <c r="D28" s="905"/>
      <c r="E28" s="905"/>
      <c r="F28" s="905"/>
      <c r="G28" s="906"/>
      <c r="H28" s="906"/>
      <c r="I28" s="906"/>
      <c r="J28" s="906"/>
      <c r="K28" s="906"/>
      <c r="L28" s="906"/>
      <c r="M28" s="906"/>
      <c r="N28" s="906"/>
      <c r="O28" s="906"/>
      <c r="P28" s="906"/>
      <c r="Q28" s="906"/>
      <c r="R28" s="906"/>
      <c r="S28" s="906"/>
      <c r="T28" s="906"/>
      <c r="U28" s="906"/>
      <c r="V28" s="906"/>
      <c r="W28" s="906"/>
      <c r="X28" s="906"/>
      <c r="Y28" s="906"/>
      <c r="Z28" s="906"/>
      <c r="AA28" s="906"/>
      <c r="AB28" s="906"/>
      <c r="AC28" s="906"/>
      <c r="AD28" s="906"/>
      <c r="AE28" s="906"/>
      <c r="AF28" s="906"/>
      <c r="AG28" s="906"/>
      <c r="AH28" s="906"/>
      <c r="AI28" s="906"/>
      <c r="AJ28" s="906"/>
      <c r="AK28" s="906"/>
      <c r="AL28" s="906"/>
      <c r="AM28" s="906"/>
      <c r="AN28" s="906"/>
      <c r="AO28" s="906"/>
      <c r="AP28" s="906"/>
      <c r="AQ28" s="906"/>
      <c r="AR28" s="906"/>
      <c r="AS28" s="906"/>
      <c r="AT28" s="906"/>
      <c r="AU28" s="906"/>
      <c r="AV28" s="906"/>
      <c r="AW28" s="906"/>
      <c r="AX28" s="906"/>
      <c r="AY28" s="906"/>
      <c r="AZ28" s="906"/>
      <c r="BA28" s="906"/>
      <c r="BB28" s="1198"/>
      <c r="BC28" s="1132"/>
      <c r="BD28" s="1132"/>
    </row>
    <row r="29">
      <c r="A29" s="1178" t="str">
        <f t="array" ref="A29">IFERROR(INDEX(TeamInfo!$1:$45,MATCH(C29,TeamInfo!C:C,0),1),"")</f>
        <v/>
      </c>
      <c r="B29" s="1131" t="str">
        <f t="array" ref="B29">IFERROR(INDEX(TeamInfo!$1:$45,MATCH(C29,TeamInfo!C:C,0),2),"")</f>
        <v/>
      </c>
      <c r="C29" s="905"/>
      <c r="D29" s="905"/>
      <c r="E29" s="905"/>
      <c r="F29" s="905"/>
      <c r="G29" s="906"/>
      <c r="H29" s="906"/>
      <c r="I29" s="906"/>
      <c r="J29" s="906"/>
      <c r="K29" s="906"/>
      <c r="L29" s="906"/>
      <c r="M29" s="906"/>
      <c r="N29" s="906"/>
      <c r="O29" s="906"/>
      <c r="P29" s="906"/>
      <c r="Q29" s="906"/>
      <c r="R29" s="906"/>
      <c r="S29" s="906"/>
      <c r="T29" s="906"/>
      <c r="U29" s="906"/>
      <c r="V29" s="906"/>
      <c r="W29" s="906"/>
      <c r="X29" s="906"/>
      <c r="Y29" s="906"/>
      <c r="Z29" s="906"/>
      <c r="AA29" s="906"/>
      <c r="AB29" s="906"/>
      <c r="AC29" s="906"/>
      <c r="AD29" s="906"/>
      <c r="AE29" s="906"/>
      <c r="AF29" s="906"/>
      <c r="AG29" s="906"/>
      <c r="AH29" s="906"/>
      <c r="AI29" s="906"/>
      <c r="AJ29" s="906"/>
      <c r="AK29" s="906"/>
      <c r="AL29" s="906"/>
      <c r="AM29" s="906"/>
      <c r="AN29" s="906"/>
      <c r="AO29" s="906"/>
      <c r="AP29" s="906"/>
      <c r="AQ29" s="906"/>
      <c r="AR29" s="906"/>
      <c r="AS29" s="906"/>
      <c r="AT29" s="906"/>
      <c r="AU29" s="906"/>
      <c r="AV29" s="906"/>
      <c r="AW29" s="906"/>
      <c r="AX29" s="906"/>
      <c r="AY29" s="906"/>
      <c r="AZ29" s="906"/>
      <c r="BA29" s="906"/>
      <c r="BB29" s="1198"/>
      <c r="BC29" s="1132"/>
      <c r="BD29" s="1132"/>
    </row>
    <row r="30">
      <c r="A30" s="1182" t="str">
        <f t="array" ref="A30">IFERROR(INDEX(TeamInfo!$1:$45,MATCH(C30,TeamInfo!C:C,0),1),"")</f>
        <v/>
      </c>
      <c r="B30" s="1128" t="str">
        <f t="array" ref="B30">IFERROR(INDEX(TeamInfo!$1:$45,MATCH(C30,TeamInfo!C:C,0),2),"")</f>
        <v/>
      </c>
      <c r="C30" s="1129"/>
      <c r="D30" s="1129"/>
      <c r="E30" s="1129"/>
      <c r="F30" s="1129"/>
      <c r="G30" s="1130"/>
      <c r="H30" s="1130"/>
      <c r="I30" s="1130"/>
      <c r="J30" s="1130"/>
      <c r="K30" s="1130"/>
      <c r="L30" s="1130"/>
      <c r="M30" s="1130"/>
      <c r="N30" s="1130"/>
      <c r="O30" s="1130"/>
      <c r="P30" s="1130"/>
      <c r="Q30" s="1130"/>
      <c r="R30" s="1130"/>
      <c r="S30" s="1130"/>
      <c r="T30" s="1130"/>
      <c r="U30" s="1130"/>
      <c r="V30" s="1130"/>
      <c r="W30" s="1130"/>
      <c r="X30" s="1130"/>
      <c r="Y30" s="1130"/>
      <c r="Z30" s="1130"/>
      <c r="AA30" s="1130"/>
      <c r="AB30" s="1130"/>
      <c r="AC30" s="1130"/>
      <c r="AD30" s="1130"/>
      <c r="AE30" s="1130"/>
      <c r="AF30" s="1130"/>
      <c r="AG30" s="1130"/>
      <c r="AH30" s="1130"/>
      <c r="AI30" s="1130"/>
      <c r="AJ30" s="1130"/>
      <c r="AK30" s="1130"/>
      <c r="AL30" s="1130"/>
      <c r="AM30" s="1130"/>
      <c r="AN30" s="1130"/>
      <c r="AO30" s="1130"/>
      <c r="AP30" s="1130"/>
      <c r="AQ30" s="1130"/>
      <c r="AR30" s="1130"/>
      <c r="AS30" s="1130"/>
      <c r="AT30" s="1130"/>
      <c r="AU30" s="1130"/>
      <c r="AV30" s="1130"/>
      <c r="AW30" s="1130"/>
      <c r="AX30" s="1130"/>
      <c r="AY30" s="1130"/>
      <c r="AZ30" s="1130"/>
      <c r="BA30" s="1130"/>
      <c r="BB30" s="1155"/>
      <c r="BC30" s="427"/>
      <c r="BD30" s="427"/>
    </row>
    <row r="31">
      <c r="A31" s="1182" t="str">
        <f t="array" ref="A31">IFERROR(INDEX(TeamInfo!$1:$45,MATCH(C31,TeamInfo!C:C,0),1),"")</f>
        <v/>
      </c>
      <c r="B31" s="1128" t="str">
        <f t="array" ref="B31">IFERROR(INDEX(TeamInfo!$1:$45,MATCH(C31,TeamInfo!C:C,0),2),"")</f>
        <v/>
      </c>
      <c r="C31" s="1129"/>
      <c r="D31" s="1129"/>
      <c r="E31" s="1129"/>
      <c r="F31" s="1129"/>
      <c r="G31" s="1130"/>
      <c r="H31" s="1130"/>
      <c r="I31" s="1130"/>
      <c r="J31" s="1130"/>
      <c r="K31" s="1130"/>
      <c r="L31" s="1130"/>
      <c r="M31" s="1130"/>
      <c r="N31" s="1130"/>
      <c r="O31" s="1130"/>
      <c r="P31" s="1130"/>
      <c r="Q31" s="1130"/>
      <c r="R31" s="1130"/>
      <c r="S31" s="1130"/>
      <c r="T31" s="1130"/>
      <c r="U31" s="1130"/>
      <c r="V31" s="1130"/>
      <c r="W31" s="1130"/>
      <c r="X31" s="1130"/>
      <c r="Y31" s="1130"/>
      <c r="Z31" s="1130"/>
      <c r="AA31" s="1130"/>
      <c r="AB31" s="1130"/>
      <c r="AC31" s="1130"/>
      <c r="AD31" s="1130"/>
      <c r="AE31" s="1130"/>
      <c r="AF31" s="1130"/>
      <c r="AG31" s="1130"/>
      <c r="AH31" s="1130"/>
      <c r="AI31" s="1130"/>
      <c r="AJ31" s="1130"/>
      <c r="AK31" s="1130"/>
      <c r="AL31" s="1130"/>
      <c r="AM31" s="1130"/>
      <c r="AN31" s="1130"/>
      <c r="AO31" s="1130"/>
      <c r="AP31" s="1130"/>
      <c r="AQ31" s="1130"/>
      <c r="AR31" s="1130"/>
      <c r="AS31" s="1130"/>
      <c r="AT31" s="1130"/>
      <c r="AU31" s="1130"/>
      <c r="AV31" s="1130"/>
      <c r="AW31" s="1130"/>
      <c r="AX31" s="1130"/>
      <c r="AY31" s="1130"/>
      <c r="AZ31" s="1130"/>
      <c r="BA31" s="1130"/>
      <c r="BB31" s="1155"/>
      <c r="BC31" s="427"/>
      <c r="BD31" s="427"/>
    </row>
    <row r="32">
      <c r="A32" s="1182" t="str">
        <f t="array" ref="A32">IFERROR(INDEX(TeamInfo!$1:$45,MATCH(C32,TeamInfo!C:C,0),1),"")</f>
        <v/>
      </c>
      <c r="B32" s="1128" t="str">
        <f t="array" ref="B32">IFERROR(INDEX(TeamInfo!$1:$45,MATCH(C32,TeamInfo!C:C,0),2),"")</f>
        <v/>
      </c>
      <c r="C32" s="1129"/>
      <c r="D32" s="1129"/>
      <c r="E32" s="1129"/>
      <c r="F32" s="1129"/>
      <c r="G32" s="1130"/>
      <c r="H32" s="1130"/>
      <c r="I32" s="1130"/>
      <c r="J32" s="1130"/>
      <c r="K32" s="1130"/>
      <c r="L32" s="1130"/>
      <c r="M32" s="1130"/>
      <c r="N32" s="1130"/>
      <c r="O32" s="1130"/>
      <c r="P32" s="1130"/>
      <c r="Q32" s="1130"/>
      <c r="R32" s="1130"/>
      <c r="S32" s="1130"/>
      <c r="T32" s="1130"/>
      <c r="U32" s="1130"/>
      <c r="V32" s="1130"/>
      <c r="W32" s="1130"/>
      <c r="X32" s="1130"/>
      <c r="Y32" s="1130"/>
      <c r="Z32" s="1130"/>
      <c r="AA32" s="1130"/>
      <c r="AB32" s="1130"/>
      <c r="AC32" s="1130"/>
      <c r="AD32" s="1130"/>
      <c r="AE32" s="1130"/>
      <c r="AF32" s="1130"/>
      <c r="AG32" s="1130"/>
      <c r="AH32" s="1130"/>
      <c r="AI32" s="1130"/>
      <c r="AJ32" s="1130"/>
      <c r="AK32" s="1130"/>
      <c r="AL32" s="1130"/>
      <c r="AM32" s="1130"/>
      <c r="AN32" s="1130"/>
      <c r="AO32" s="1130"/>
      <c r="AP32" s="1130"/>
      <c r="AQ32" s="1130"/>
      <c r="AR32" s="1130"/>
      <c r="AS32" s="1130"/>
      <c r="AT32" s="1130"/>
      <c r="AU32" s="1130"/>
      <c r="AV32" s="1130"/>
      <c r="AW32" s="1130"/>
      <c r="AX32" s="1130"/>
      <c r="AY32" s="1130"/>
      <c r="AZ32" s="1130"/>
      <c r="BA32" s="1130"/>
      <c r="BB32" s="1155"/>
      <c r="BC32" s="427"/>
      <c r="BD32" s="427"/>
    </row>
    <row r="33">
      <c r="A33" s="1187" t="str">
        <f t="array" ref="A33">IFERROR(INDEX(TeamInfo!$1:$45,MATCH(C33,TeamInfo!C:C,0),1),"")</f>
        <v/>
      </c>
      <c r="B33" s="1188" t="str">
        <f t="array" ref="B33">IFERROR(INDEX(TeamInfo!$1:$45,MATCH(C33,TeamInfo!C:C,0),2),"")</f>
        <v/>
      </c>
      <c r="C33" s="1158"/>
      <c r="D33" s="1158"/>
      <c r="E33" s="1158"/>
      <c r="F33" s="1158"/>
      <c r="G33" s="1133"/>
      <c r="H33" s="1133"/>
      <c r="I33" s="1133"/>
      <c r="J33" s="1133"/>
      <c r="K33" s="1133"/>
      <c r="L33" s="1133"/>
      <c r="M33" s="1133"/>
      <c r="N33" s="1133"/>
      <c r="O33" s="1133"/>
      <c r="P33" s="1133"/>
      <c r="Q33" s="1133"/>
      <c r="R33" s="1133"/>
      <c r="S33" s="1133"/>
      <c r="T33" s="1133"/>
      <c r="U33" s="1133"/>
      <c r="V33" s="1133"/>
      <c r="W33" s="1133"/>
      <c r="X33" s="1133"/>
      <c r="Y33" s="1133"/>
      <c r="Z33" s="1133"/>
      <c r="AA33" s="1133"/>
      <c r="AB33" s="1133"/>
      <c r="AC33" s="1133"/>
      <c r="AD33" s="1133"/>
      <c r="AE33" s="1133"/>
      <c r="AF33" s="1133"/>
      <c r="AG33" s="1133"/>
      <c r="AH33" s="1133"/>
      <c r="AI33" s="1133"/>
      <c r="AJ33" s="1133"/>
      <c r="AK33" s="1133"/>
      <c r="AL33" s="1133"/>
      <c r="AM33" s="1133"/>
      <c r="AN33" s="1133"/>
      <c r="AO33" s="1133"/>
      <c r="AP33" s="1133"/>
      <c r="AQ33" s="1133"/>
      <c r="AR33" s="1133"/>
      <c r="AS33" s="1133"/>
      <c r="AT33" s="1133"/>
      <c r="AU33" s="1133"/>
      <c r="AV33" s="1133"/>
      <c r="AW33" s="1133"/>
      <c r="AX33" s="1133"/>
      <c r="AY33" s="1133"/>
      <c r="AZ33" s="1133"/>
      <c r="BA33" s="1133"/>
      <c r="BB33" s="1159"/>
      <c r="BC33" s="427"/>
      <c r="BD33" s="427"/>
    </row>
    <row r="34">
      <c r="A34" s="1140" t="s">
        <v>644</v>
      </c>
      <c r="B34" s="1140"/>
      <c r="C34" s="1140"/>
      <c r="D34" s="1142"/>
      <c r="E34" s="1142"/>
      <c r="F34" s="1142"/>
      <c r="G34" s="1142"/>
      <c r="H34" s="1142"/>
      <c r="I34" s="1142"/>
      <c r="J34" s="1142"/>
      <c r="K34" s="1142"/>
      <c r="L34" s="1142"/>
      <c r="M34" s="1142"/>
      <c r="N34" s="1142"/>
      <c r="O34" s="1142"/>
      <c r="P34" s="1142"/>
      <c r="Q34" s="1142"/>
      <c r="R34" s="1142"/>
      <c r="S34" s="1142"/>
      <c r="T34" s="1142"/>
      <c r="U34" s="1142"/>
      <c r="V34" s="1142"/>
      <c r="W34" s="1142"/>
      <c r="X34" s="1142"/>
      <c r="Y34" s="1142"/>
      <c r="Z34" s="1142"/>
      <c r="AA34" s="1142"/>
      <c r="AB34" s="1142"/>
      <c r="AC34" s="1142"/>
      <c r="AD34" s="1142"/>
      <c r="AE34" s="1142"/>
      <c r="AF34" s="1142"/>
      <c r="AG34" s="1142"/>
      <c r="AH34" s="1142"/>
      <c r="AI34" s="1142"/>
      <c r="AJ34" s="1142"/>
      <c r="AK34" s="1142"/>
      <c r="AL34" s="1142"/>
      <c r="AM34" s="1142"/>
      <c r="AN34" s="1142"/>
      <c r="AO34" s="1142"/>
      <c r="AP34" s="1142"/>
      <c r="AQ34" s="1142"/>
      <c r="AR34" s="1142"/>
      <c r="AS34" s="1142"/>
      <c r="AT34" s="1142"/>
      <c r="AU34" s="1142"/>
      <c r="AV34" s="1142"/>
      <c r="AW34" s="1142"/>
      <c r="AX34" s="1142"/>
      <c r="AY34" s="1142"/>
      <c r="AZ34" s="1142"/>
      <c r="BA34" s="1142"/>
      <c r="BB34" s="1140"/>
      <c r="BC34" s="1140"/>
      <c r="BD34" s="1140"/>
    </row>
    <row r="35">
      <c r="A35" s="1171" t="str">
        <f t="array" ref="A35">IFERROR(INDEX(TeamInfo!$1:$45,MATCH(C35,TeamInfo!C:C,0),1),"")</f>
        <v/>
      </c>
      <c r="B35" s="1172" t="str">
        <f t="array" ref="B35">IFERROR(INDEX(TeamInfo!$1:$45,MATCH(C35,TeamInfo!C:C,0),2),"")</f>
        <v/>
      </c>
      <c r="C35" s="1149"/>
      <c r="D35" s="1149"/>
      <c r="E35" s="1149"/>
      <c r="F35" s="1149"/>
      <c r="G35" s="1134"/>
      <c r="H35" s="1134"/>
      <c r="I35" s="1134"/>
      <c r="J35" s="1134"/>
      <c r="K35" s="1134"/>
      <c r="L35" s="1134"/>
      <c r="M35" s="1134"/>
      <c r="N35" s="1134"/>
      <c r="O35" s="1134"/>
      <c r="P35" s="1134"/>
      <c r="Q35" s="1134"/>
      <c r="R35" s="1134"/>
      <c r="S35" s="1134"/>
      <c r="T35" s="1134"/>
      <c r="U35" s="1134"/>
      <c r="V35" s="1134"/>
      <c r="W35" s="1134"/>
      <c r="X35" s="1134"/>
      <c r="Y35" s="1134"/>
      <c r="Z35" s="1134"/>
      <c r="AA35" s="1134"/>
      <c r="AB35" s="1134"/>
      <c r="AC35" s="1134"/>
      <c r="AD35" s="1134"/>
      <c r="AE35" s="1134"/>
      <c r="AF35" s="1134"/>
      <c r="AG35" s="1134"/>
      <c r="AH35" s="1134"/>
      <c r="AI35" s="1134"/>
      <c r="AJ35" s="1134"/>
      <c r="AK35" s="1134"/>
      <c r="AL35" s="1134"/>
      <c r="AM35" s="1134"/>
      <c r="AN35" s="1134"/>
      <c r="AO35" s="1134"/>
      <c r="AP35" s="1134"/>
      <c r="AQ35" s="1134"/>
      <c r="AR35" s="1134"/>
      <c r="AS35" s="1134"/>
      <c r="AT35" s="1134"/>
      <c r="AU35" s="1134"/>
      <c r="AV35" s="1134"/>
      <c r="AW35" s="1134"/>
      <c r="AX35" s="1134"/>
      <c r="AY35" s="1134"/>
      <c r="AZ35" s="1134"/>
      <c r="BA35" s="1134"/>
      <c r="BB35" s="1197"/>
      <c r="BC35" s="1132"/>
      <c r="BD35" s="1132"/>
    </row>
    <row r="36">
      <c r="A36" s="1178" t="str">
        <f t="array" ref="A36">IFERROR(INDEX(TeamInfo!$1:$45,MATCH(C36,TeamInfo!C:C,0),1),"")</f>
        <v/>
      </c>
      <c r="B36" s="1131" t="str">
        <f t="array" ref="B36">IFERROR(INDEX(TeamInfo!$1:$45,MATCH(C36,TeamInfo!C:C,0),2),"")</f>
        <v/>
      </c>
      <c r="C36" s="905"/>
      <c r="D36" s="905"/>
      <c r="E36" s="905"/>
      <c r="F36" s="905"/>
      <c r="G36" s="906"/>
      <c r="H36" s="906"/>
      <c r="I36" s="906"/>
      <c r="J36" s="906"/>
      <c r="K36" s="906"/>
      <c r="L36" s="906"/>
      <c r="M36" s="906"/>
      <c r="N36" s="906"/>
      <c r="O36" s="906"/>
      <c r="P36" s="906"/>
      <c r="Q36" s="906"/>
      <c r="R36" s="906"/>
      <c r="S36" s="906"/>
      <c r="T36" s="906"/>
      <c r="U36" s="906"/>
      <c r="V36" s="906"/>
      <c r="W36" s="906"/>
      <c r="X36" s="906"/>
      <c r="Y36" s="906"/>
      <c r="Z36" s="906"/>
      <c r="AA36" s="906"/>
      <c r="AB36" s="906"/>
      <c r="AC36" s="906"/>
      <c r="AD36" s="906"/>
      <c r="AE36" s="906"/>
      <c r="AF36" s="906"/>
      <c r="AG36" s="906"/>
      <c r="AH36" s="906"/>
      <c r="AI36" s="906"/>
      <c r="AJ36" s="906"/>
      <c r="AK36" s="906"/>
      <c r="AL36" s="906"/>
      <c r="AM36" s="906"/>
      <c r="AN36" s="906"/>
      <c r="AO36" s="906"/>
      <c r="AP36" s="906"/>
      <c r="AQ36" s="906"/>
      <c r="AR36" s="906"/>
      <c r="AS36" s="906"/>
      <c r="AT36" s="906"/>
      <c r="AU36" s="906"/>
      <c r="AV36" s="906"/>
      <c r="AW36" s="906"/>
      <c r="AX36" s="906"/>
      <c r="AY36" s="906"/>
      <c r="AZ36" s="906"/>
      <c r="BA36" s="906"/>
      <c r="BB36" s="1198"/>
      <c r="BC36" s="1132"/>
      <c r="BD36" s="1132"/>
    </row>
    <row r="37">
      <c r="A37" s="1178" t="str">
        <f t="array" ref="A37">IFERROR(INDEX(TeamInfo!$1:$45,MATCH(C37,TeamInfo!C:C,0),1),"")</f>
        <v/>
      </c>
      <c r="B37" s="1131" t="str">
        <f t="array" ref="B37">IFERROR(INDEX(TeamInfo!$1:$45,MATCH(C37,TeamInfo!C:C,0),2),"")</f>
        <v/>
      </c>
      <c r="C37" s="905"/>
      <c r="D37" s="905"/>
      <c r="E37" s="905"/>
      <c r="F37" s="905"/>
      <c r="G37" s="906"/>
      <c r="H37" s="906"/>
      <c r="I37" s="906"/>
      <c r="J37" s="906"/>
      <c r="K37" s="906"/>
      <c r="L37" s="906"/>
      <c r="M37" s="906"/>
      <c r="N37" s="906"/>
      <c r="O37" s="906"/>
      <c r="P37" s="906"/>
      <c r="Q37" s="906"/>
      <c r="R37" s="906"/>
      <c r="S37" s="906"/>
      <c r="T37" s="906"/>
      <c r="U37" s="906"/>
      <c r="V37" s="906"/>
      <c r="W37" s="906"/>
      <c r="X37" s="906"/>
      <c r="Y37" s="906"/>
      <c r="Z37" s="906"/>
      <c r="AA37" s="906"/>
      <c r="AB37" s="906"/>
      <c r="AC37" s="906"/>
      <c r="AD37" s="906"/>
      <c r="AE37" s="906"/>
      <c r="AF37" s="906"/>
      <c r="AG37" s="906"/>
      <c r="AH37" s="906"/>
      <c r="AI37" s="906"/>
      <c r="AJ37" s="906"/>
      <c r="AK37" s="906"/>
      <c r="AL37" s="906"/>
      <c r="AM37" s="906"/>
      <c r="AN37" s="906"/>
      <c r="AO37" s="906"/>
      <c r="AP37" s="906"/>
      <c r="AQ37" s="906"/>
      <c r="AR37" s="906"/>
      <c r="AS37" s="906"/>
      <c r="AT37" s="906"/>
      <c r="AU37" s="906"/>
      <c r="AV37" s="906"/>
      <c r="AW37" s="906"/>
      <c r="AX37" s="906"/>
      <c r="AY37" s="906"/>
      <c r="AZ37" s="906"/>
      <c r="BA37" s="906"/>
      <c r="BB37" s="1198"/>
      <c r="BC37" s="1132"/>
      <c r="BD37" s="1132"/>
    </row>
    <row r="38">
      <c r="A38" s="1178" t="str">
        <f t="array" ref="A38">IFERROR(INDEX(TeamInfo!$1:$45,MATCH(C38,TeamInfo!C:C,0),1),"")</f>
        <v/>
      </c>
      <c r="B38" s="1131" t="str">
        <f t="array" ref="B38">IFERROR(INDEX(TeamInfo!$1:$45,MATCH(C38,TeamInfo!C:C,0),2),"")</f>
        <v/>
      </c>
      <c r="C38" s="905"/>
      <c r="D38" s="905"/>
      <c r="E38" s="905"/>
      <c r="F38" s="905"/>
      <c r="G38" s="906"/>
      <c r="H38" s="906"/>
      <c r="I38" s="906"/>
      <c r="J38" s="906"/>
      <c r="K38" s="906"/>
      <c r="L38" s="906"/>
      <c r="M38" s="906"/>
      <c r="N38" s="906"/>
      <c r="O38" s="906"/>
      <c r="P38" s="906"/>
      <c r="Q38" s="906"/>
      <c r="R38" s="906"/>
      <c r="S38" s="906"/>
      <c r="T38" s="906"/>
      <c r="U38" s="906"/>
      <c r="V38" s="906"/>
      <c r="W38" s="906"/>
      <c r="X38" s="906"/>
      <c r="Y38" s="906"/>
      <c r="Z38" s="906"/>
      <c r="AA38" s="906"/>
      <c r="AB38" s="906"/>
      <c r="AC38" s="906"/>
      <c r="AD38" s="906"/>
      <c r="AE38" s="906"/>
      <c r="AF38" s="906"/>
      <c r="AG38" s="906"/>
      <c r="AH38" s="906"/>
      <c r="AI38" s="906"/>
      <c r="AJ38" s="906"/>
      <c r="AK38" s="906"/>
      <c r="AL38" s="906"/>
      <c r="AM38" s="906"/>
      <c r="AN38" s="906"/>
      <c r="AO38" s="906"/>
      <c r="AP38" s="906"/>
      <c r="AQ38" s="906"/>
      <c r="AR38" s="906"/>
      <c r="AS38" s="906"/>
      <c r="AT38" s="906"/>
      <c r="AU38" s="906"/>
      <c r="AV38" s="906"/>
      <c r="AW38" s="906"/>
      <c r="AX38" s="906"/>
      <c r="AY38" s="906"/>
      <c r="AZ38" s="906"/>
      <c r="BA38" s="906"/>
      <c r="BB38" s="1198"/>
      <c r="BC38" s="1132"/>
      <c r="BD38" s="1132"/>
    </row>
    <row r="39">
      <c r="A39" s="1182" t="str">
        <f t="array" ref="A39">IFERROR(INDEX(TeamInfo!$1:$45,MATCH(C39,TeamInfo!C:C,0),1),"")</f>
        <v/>
      </c>
      <c r="B39" s="1128" t="str">
        <f t="array" ref="B39">IFERROR(INDEX(TeamInfo!$1:$45,MATCH(C39,TeamInfo!C:C,0),2),"")</f>
        <v/>
      </c>
      <c r="C39" s="1129"/>
      <c r="D39" s="1129"/>
      <c r="E39" s="1129"/>
      <c r="F39" s="1129"/>
      <c r="G39" s="1130"/>
      <c r="H39" s="1130"/>
      <c r="I39" s="1130"/>
      <c r="J39" s="1130"/>
      <c r="K39" s="1130"/>
      <c r="L39" s="1130"/>
      <c r="M39" s="1130"/>
      <c r="N39" s="1130"/>
      <c r="O39" s="1130"/>
      <c r="P39" s="1130"/>
      <c r="Q39" s="1130"/>
      <c r="R39" s="1130"/>
      <c r="S39" s="1130"/>
      <c r="T39" s="1130"/>
      <c r="U39" s="1130"/>
      <c r="V39" s="1130"/>
      <c r="W39" s="1130"/>
      <c r="X39" s="1130"/>
      <c r="Y39" s="1130"/>
      <c r="Z39" s="1130"/>
      <c r="AA39" s="1130"/>
      <c r="AB39" s="1130"/>
      <c r="AC39" s="1130"/>
      <c r="AD39" s="1130"/>
      <c r="AE39" s="1130"/>
      <c r="AF39" s="1130"/>
      <c r="AG39" s="1130"/>
      <c r="AH39" s="1130"/>
      <c r="AI39" s="1130"/>
      <c r="AJ39" s="1130"/>
      <c r="AK39" s="1130"/>
      <c r="AL39" s="1130"/>
      <c r="AM39" s="1130"/>
      <c r="AN39" s="1130"/>
      <c r="AO39" s="1130"/>
      <c r="AP39" s="1130"/>
      <c r="AQ39" s="1130"/>
      <c r="AR39" s="1130"/>
      <c r="AS39" s="1130"/>
      <c r="AT39" s="1130"/>
      <c r="AU39" s="1130"/>
      <c r="AV39" s="1130"/>
      <c r="AW39" s="1130"/>
      <c r="AX39" s="1130"/>
      <c r="AY39" s="1130"/>
      <c r="AZ39" s="1130"/>
      <c r="BA39" s="1130"/>
      <c r="BB39" s="1155"/>
      <c r="BC39" s="427"/>
      <c r="BD39" s="427"/>
    </row>
    <row r="40">
      <c r="A40" s="1182" t="str">
        <f t="array" ref="A40">IFERROR(INDEX(TeamInfo!$1:$45,MATCH(C40,TeamInfo!C:C,0),1),"")</f>
        <v/>
      </c>
      <c r="B40" s="1128" t="str">
        <f t="array" ref="B40">IFERROR(INDEX(TeamInfo!$1:$45,MATCH(C40,TeamInfo!C:C,0),2),"")</f>
        <v/>
      </c>
      <c r="C40" s="1129"/>
      <c r="D40" s="1129"/>
      <c r="E40" s="1129"/>
      <c r="F40" s="1129"/>
      <c r="G40" s="1130"/>
      <c r="H40" s="1130"/>
      <c r="I40" s="1130"/>
      <c r="J40" s="1130"/>
      <c r="K40" s="1130"/>
      <c r="L40" s="1130"/>
      <c r="M40" s="1130"/>
      <c r="N40" s="1130"/>
      <c r="O40" s="1130"/>
      <c r="P40" s="1130"/>
      <c r="Q40" s="1130"/>
      <c r="R40" s="1130"/>
      <c r="S40" s="1130"/>
      <c r="T40" s="1130"/>
      <c r="U40" s="1130"/>
      <c r="V40" s="1130"/>
      <c r="W40" s="1130"/>
      <c r="X40" s="1130"/>
      <c r="Y40" s="1130"/>
      <c r="Z40" s="1130"/>
      <c r="AA40" s="1130"/>
      <c r="AB40" s="1130"/>
      <c r="AC40" s="1130"/>
      <c r="AD40" s="1130"/>
      <c r="AE40" s="1130"/>
      <c r="AF40" s="1130"/>
      <c r="AG40" s="1130"/>
      <c r="AH40" s="1130"/>
      <c r="AI40" s="1130"/>
      <c r="AJ40" s="1130"/>
      <c r="AK40" s="1130"/>
      <c r="AL40" s="1130"/>
      <c r="AM40" s="1130"/>
      <c r="AN40" s="1130"/>
      <c r="AO40" s="1130"/>
      <c r="AP40" s="1130"/>
      <c r="AQ40" s="1130"/>
      <c r="AR40" s="1130"/>
      <c r="AS40" s="1130"/>
      <c r="AT40" s="1130"/>
      <c r="AU40" s="1130"/>
      <c r="AV40" s="1130"/>
      <c r="AW40" s="1130"/>
      <c r="AX40" s="1130"/>
      <c r="AY40" s="1130"/>
      <c r="AZ40" s="1130"/>
      <c r="BA40" s="1130"/>
      <c r="BB40" s="1155"/>
      <c r="BC40" s="427"/>
      <c r="BD40" s="427"/>
    </row>
    <row r="41">
      <c r="A41" s="1182" t="str">
        <f t="array" ref="A41">IFERROR(INDEX(TeamInfo!$1:$45,MATCH(C41,TeamInfo!C:C,0),1),"")</f>
        <v/>
      </c>
      <c r="B41" s="1128" t="str">
        <f t="array" ref="B41">IFERROR(INDEX(TeamInfo!$1:$45,MATCH(C41,TeamInfo!C:C,0),2),"")</f>
        <v/>
      </c>
      <c r="C41" s="1129"/>
      <c r="D41" s="1129"/>
      <c r="E41" s="1129"/>
      <c r="F41" s="1129"/>
      <c r="G41" s="1130"/>
      <c r="H41" s="1130"/>
      <c r="I41" s="1130"/>
      <c r="J41" s="1130"/>
      <c r="K41" s="1130"/>
      <c r="L41" s="1130"/>
      <c r="M41" s="1130"/>
      <c r="N41" s="1130"/>
      <c r="O41" s="1130"/>
      <c r="P41" s="1130"/>
      <c r="Q41" s="1130"/>
      <c r="R41" s="1130"/>
      <c r="S41" s="1130"/>
      <c r="T41" s="1130"/>
      <c r="U41" s="1130"/>
      <c r="V41" s="1130"/>
      <c r="W41" s="1130"/>
      <c r="X41" s="1130"/>
      <c r="Y41" s="1130"/>
      <c r="Z41" s="1130"/>
      <c r="AA41" s="1130"/>
      <c r="AB41" s="1130"/>
      <c r="AC41" s="1130"/>
      <c r="AD41" s="1130"/>
      <c r="AE41" s="1130"/>
      <c r="AF41" s="1130"/>
      <c r="AG41" s="1130"/>
      <c r="AH41" s="1130"/>
      <c r="AI41" s="1130"/>
      <c r="AJ41" s="1130"/>
      <c r="AK41" s="1130"/>
      <c r="AL41" s="1130"/>
      <c r="AM41" s="1130"/>
      <c r="AN41" s="1130"/>
      <c r="AO41" s="1130"/>
      <c r="AP41" s="1130"/>
      <c r="AQ41" s="1130"/>
      <c r="AR41" s="1130"/>
      <c r="AS41" s="1130"/>
      <c r="AT41" s="1130"/>
      <c r="AU41" s="1130"/>
      <c r="AV41" s="1130"/>
      <c r="AW41" s="1130"/>
      <c r="AX41" s="1130"/>
      <c r="AY41" s="1130"/>
      <c r="AZ41" s="1130"/>
      <c r="BA41" s="1130"/>
      <c r="BB41" s="1155"/>
      <c r="BC41" s="427"/>
      <c r="BD41" s="427"/>
    </row>
    <row r="42">
      <c r="A42" s="1187" t="str">
        <f t="array" ref="A42">IFERROR(INDEX(TeamInfo!$1:$45,MATCH(C42,TeamInfo!C:C,0),1),"")</f>
        <v/>
      </c>
      <c r="B42" s="1188" t="str">
        <f t="array" ref="B42">IFERROR(INDEX(TeamInfo!$1:$45,MATCH(C42,TeamInfo!C:C,0),2),"")</f>
        <v/>
      </c>
      <c r="C42" s="1158"/>
      <c r="D42" s="1158"/>
      <c r="E42" s="1158"/>
      <c r="F42" s="1158"/>
      <c r="G42" s="1133"/>
      <c r="H42" s="1133"/>
      <c r="I42" s="1133"/>
      <c r="J42" s="1133"/>
      <c r="K42" s="1133"/>
      <c r="L42" s="1133"/>
      <c r="M42" s="1133"/>
      <c r="N42" s="1133"/>
      <c r="O42" s="1133"/>
      <c r="P42" s="1133"/>
      <c r="Q42" s="1133"/>
      <c r="R42" s="1133"/>
      <c r="S42" s="1133"/>
      <c r="T42" s="1133"/>
      <c r="U42" s="1133"/>
      <c r="V42" s="1133"/>
      <c r="W42" s="1133"/>
      <c r="X42" s="1133"/>
      <c r="Y42" s="1133"/>
      <c r="Z42" s="1133"/>
      <c r="AA42" s="1133"/>
      <c r="AB42" s="1133"/>
      <c r="AC42" s="1133"/>
      <c r="AD42" s="1133"/>
      <c r="AE42" s="1133"/>
      <c r="AF42" s="1133"/>
      <c r="AG42" s="1133"/>
      <c r="AH42" s="1133"/>
      <c r="AI42" s="1133"/>
      <c r="AJ42" s="1133"/>
      <c r="AK42" s="1133"/>
      <c r="AL42" s="1133"/>
      <c r="AM42" s="1133"/>
      <c r="AN42" s="1133"/>
      <c r="AO42" s="1133"/>
      <c r="AP42" s="1133"/>
      <c r="AQ42" s="1133"/>
      <c r="AR42" s="1133"/>
      <c r="AS42" s="1133"/>
      <c r="AT42" s="1133"/>
      <c r="AU42" s="1133"/>
      <c r="AV42" s="1133"/>
      <c r="AW42" s="1133"/>
      <c r="AX42" s="1133"/>
      <c r="AY42" s="1133"/>
      <c r="AZ42" s="1133"/>
      <c r="BA42" s="1133"/>
      <c r="BB42" s="1159"/>
      <c r="BC42" s="427"/>
      <c r="BD42" s="427"/>
    </row>
    <row r="43">
      <c r="A43" s="1192" t="str">
        <f t="array" ref="A43">IFERROR(INDEX(TeamInfo!$1:$45,MATCH(C43,TeamInfo!C:C,0),1),"")</f>
        <v/>
      </c>
      <c r="B43" s="1193" t="str">
        <f t="array" ref="B43">IFERROR(INDEX(TeamInfo!$1:$45,MATCH(C43,TeamInfo!C:C,0),2),"")</f>
        <v/>
      </c>
      <c r="C43" s="1162"/>
      <c r="D43" s="1162"/>
      <c r="E43" s="1162"/>
      <c r="F43" s="1162"/>
      <c r="G43" s="1163"/>
      <c r="H43" s="1163"/>
      <c r="I43" s="1163"/>
      <c r="J43" s="1163"/>
      <c r="K43" s="1163"/>
      <c r="L43" s="1163"/>
      <c r="M43" s="1163"/>
      <c r="N43" s="1163"/>
      <c r="O43" s="1163"/>
      <c r="P43" s="1163"/>
      <c r="Q43" s="1163"/>
      <c r="R43" s="1163"/>
      <c r="S43" s="1163"/>
      <c r="T43" s="1163"/>
      <c r="U43" s="1163"/>
      <c r="V43" s="1163"/>
      <c r="W43" s="1163"/>
      <c r="X43" s="1163"/>
      <c r="Y43" s="1163"/>
      <c r="Z43" s="1163"/>
      <c r="AA43" s="1163"/>
      <c r="AB43" s="1163"/>
      <c r="AC43" s="1163"/>
      <c r="AD43" s="1163"/>
      <c r="AE43" s="1163"/>
      <c r="AF43" s="1163"/>
      <c r="AG43" s="1163"/>
      <c r="AH43" s="1163"/>
      <c r="AI43" s="1163"/>
      <c r="AJ43" s="1163"/>
      <c r="AK43" s="1163"/>
      <c r="AL43" s="1163"/>
      <c r="AM43" s="1163"/>
      <c r="AN43" s="1163"/>
      <c r="AO43" s="1163"/>
      <c r="AP43" s="1163"/>
      <c r="AQ43" s="1163"/>
      <c r="AR43" s="1163"/>
      <c r="AS43" s="1163"/>
      <c r="AT43" s="1163"/>
      <c r="AU43" s="1163"/>
      <c r="AV43" s="1163"/>
      <c r="AW43" s="1163"/>
      <c r="AX43" s="1163"/>
      <c r="AY43" s="1163"/>
      <c r="AZ43" s="1163"/>
      <c r="BA43" s="1163"/>
      <c r="BB43" s="1164"/>
      <c r="BC43" s="427"/>
      <c r="BD43" s="427"/>
    </row>
    <row r="44">
      <c r="A44" s="1182" t="str">
        <f t="array" ref="A44">IFERROR(INDEX(TeamInfo!$1:$45,MATCH(C44,TeamInfo!C:C,0),1),"")</f>
        <v/>
      </c>
      <c r="B44" s="1128" t="str">
        <f t="array" ref="B44">IFERROR(INDEX(TeamInfo!$1:$45,MATCH(C44,TeamInfo!C:C,0),2),"")</f>
        <v/>
      </c>
      <c r="C44" s="1129"/>
      <c r="D44" s="1129"/>
      <c r="E44" s="1129"/>
      <c r="F44" s="1129"/>
      <c r="G44" s="1130"/>
      <c r="H44" s="1130"/>
      <c r="I44" s="1130"/>
      <c r="J44" s="1130"/>
      <c r="K44" s="1130"/>
      <c r="L44" s="1130"/>
      <c r="M44" s="1130"/>
      <c r="N44" s="1130"/>
      <c r="O44" s="1130"/>
      <c r="P44" s="1130"/>
      <c r="Q44" s="1130"/>
      <c r="R44" s="1130"/>
      <c r="S44" s="1130"/>
      <c r="T44" s="1130"/>
      <c r="U44" s="1130"/>
      <c r="V44" s="1130"/>
      <c r="W44" s="1130"/>
      <c r="X44" s="1130"/>
      <c r="Y44" s="1130"/>
      <c r="Z44" s="1130"/>
      <c r="AA44" s="1130"/>
      <c r="AB44" s="1130"/>
      <c r="AC44" s="1130"/>
      <c r="AD44" s="1130"/>
      <c r="AE44" s="1130"/>
      <c r="AF44" s="1130"/>
      <c r="AG44" s="1130"/>
      <c r="AH44" s="1130"/>
      <c r="AI44" s="1130"/>
      <c r="AJ44" s="1130"/>
      <c r="AK44" s="1130"/>
      <c r="AL44" s="1130"/>
      <c r="AM44" s="1130"/>
      <c r="AN44" s="1130"/>
      <c r="AO44" s="1130"/>
      <c r="AP44" s="1130"/>
      <c r="AQ44" s="1130"/>
      <c r="AR44" s="1130"/>
      <c r="AS44" s="1130"/>
      <c r="AT44" s="1130"/>
      <c r="AU44" s="1130"/>
      <c r="AV44" s="1130"/>
      <c r="AW44" s="1130"/>
      <c r="AX44" s="1130"/>
      <c r="AY44" s="1130"/>
      <c r="AZ44" s="1130"/>
      <c r="BA44" s="1130"/>
      <c r="BB44" s="1155"/>
      <c r="BC44" s="427"/>
      <c r="BD44" s="427"/>
    </row>
    <row r="45">
      <c r="A45" s="1182" t="str">
        <f t="array" ref="A45">IFERROR(INDEX(TeamInfo!$1:$45,MATCH(C45,TeamInfo!C:C,0),1),"")</f>
        <v/>
      </c>
      <c r="B45" s="1128" t="str">
        <f t="array" ref="B45">IFERROR(INDEX(TeamInfo!$1:$45,MATCH(C45,TeamInfo!C:C,0),2),"")</f>
        <v/>
      </c>
      <c r="C45" s="1129"/>
      <c r="D45" s="1129"/>
      <c r="E45" s="1129"/>
      <c r="F45" s="1129"/>
      <c r="G45" s="1130"/>
      <c r="H45" s="1130"/>
      <c r="I45" s="1130"/>
      <c r="J45" s="1130"/>
      <c r="K45" s="1130"/>
      <c r="L45" s="1130"/>
      <c r="M45" s="1130"/>
      <c r="N45" s="1130"/>
      <c r="O45" s="1130"/>
      <c r="P45" s="1130"/>
      <c r="Q45" s="1130"/>
      <c r="R45" s="1130"/>
      <c r="S45" s="1130"/>
      <c r="T45" s="1130"/>
      <c r="U45" s="1130"/>
      <c r="V45" s="1130"/>
      <c r="W45" s="1130"/>
      <c r="X45" s="1130"/>
      <c r="Y45" s="1130"/>
      <c r="Z45" s="1130"/>
      <c r="AA45" s="1130"/>
      <c r="AB45" s="1130"/>
      <c r="AC45" s="1130"/>
      <c r="AD45" s="1130"/>
      <c r="AE45" s="1130"/>
      <c r="AF45" s="1130"/>
      <c r="AG45" s="1130"/>
      <c r="AH45" s="1130"/>
      <c r="AI45" s="1130"/>
      <c r="AJ45" s="1130"/>
      <c r="AK45" s="1130"/>
      <c r="AL45" s="1130"/>
      <c r="AM45" s="1130"/>
      <c r="AN45" s="1130"/>
      <c r="AO45" s="1130"/>
      <c r="AP45" s="1130"/>
      <c r="AQ45" s="1130"/>
      <c r="AR45" s="1130"/>
      <c r="AS45" s="1130"/>
      <c r="AT45" s="1130"/>
      <c r="AU45" s="1130"/>
      <c r="AV45" s="1130"/>
      <c r="AW45" s="1130"/>
      <c r="AX45" s="1130"/>
      <c r="AY45" s="1130"/>
      <c r="AZ45" s="1130"/>
      <c r="BA45" s="1130"/>
      <c r="BB45" s="1155"/>
      <c r="BC45" s="427"/>
      <c r="BD45" s="427"/>
    </row>
    <row r="46">
      <c r="A46" s="1182" t="str">
        <f t="array" ref="A46">IFERROR(INDEX(TeamInfo!$1:$45,MATCH(C46,TeamInfo!C:C,0),1),"")</f>
        <v/>
      </c>
      <c r="B46" s="1128" t="str">
        <f t="array" ref="B46">IFERROR(INDEX(TeamInfo!$1:$45,MATCH(C46,TeamInfo!C:C,0),2),"")</f>
        <v/>
      </c>
      <c r="C46" s="1129"/>
      <c r="D46" s="1129"/>
      <c r="E46" s="1129"/>
      <c r="F46" s="1129"/>
      <c r="G46" s="1130"/>
      <c r="H46" s="1130"/>
      <c r="I46" s="1130"/>
      <c r="J46" s="1130"/>
      <c r="K46" s="1130"/>
      <c r="L46" s="1130"/>
      <c r="M46" s="1130"/>
      <c r="N46" s="1130"/>
      <c r="O46" s="1130"/>
      <c r="P46" s="1130"/>
      <c r="Q46" s="1130"/>
      <c r="R46" s="1130"/>
      <c r="S46" s="1130"/>
      <c r="T46" s="1130"/>
      <c r="U46" s="1130"/>
      <c r="V46" s="1130"/>
      <c r="W46" s="1130"/>
      <c r="X46" s="1130"/>
      <c r="Y46" s="1130"/>
      <c r="Z46" s="1130"/>
      <c r="AA46" s="1130"/>
      <c r="AB46" s="1130"/>
      <c r="AC46" s="1130"/>
      <c r="AD46" s="1130"/>
      <c r="AE46" s="1130"/>
      <c r="AF46" s="1130"/>
      <c r="AG46" s="1130"/>
      <c r="AH46" s="1130"/>
      <c r="AI46" s="1130"/>
      <c r="AJ46" s="1130"/>
      <c r="AK46" s="1130"/>
      <c r="AL46" s="1130"/>
      <c r="AM46" s="1130"/>
      <c r="AN46" s="1130"/>
      <c r="AO46" s="1130"/>
      <c r="AP46" s="1130"/>
      <c r="AQ46" s="1130"/>
      <c r="AR46" s="1130"/>
      <c r="AS46" s="1130"/>
      <c r="AT46" s="1130"/>
      <c r="AU46" s="1130"/>
      <c r="AV46" s="1130"/>
      <c r="AW46" s="1130"/>
      <c r="AX46" s="1130"/>
      <c r="AY46" s="1130"/>
      <c r="AZ46" s="1130"/>
      <c r="BA46" s="1130"/>
      <c r="BB46" s="1155"/>
      <c r="BC46" s="427"/>
      <c r="BD46" s="427"/>
    </row>
    <row r="47">
      <c r="A47" s="1178" t="str">
        <f t="array" ref="A47">IFERROR(INDEX(TeamInfo!$1:$45,MATCH(C47,TeamInfo!C:C,0),1),"")</f>
        <v/>
      </c>
      <c r="B47" s="1131" t="str">
        <f t="array" ref="B47">IFERROR(INDEX(TeamInfo!$1:$45,MATCH(C47,TeamInfo!C:C,0),2),"")</f>
        <v/>
      </c>
      <c r="C47" s="905"/>
      <c r="D47" s="905"/>
      <c r="E47" s="905"/>
      <c r="F47" s="905"/>
      <c r="G47" s="906"/>
      <c r="H47" s="906"/>
      <c r="I47" s="906"/>
      <c r="J47" s="906"/>
      <c r="K47" s="906"/>
      <c r="L47" s="906"/>
      <c r="M47" s="906"/>
      <c r="N47" s="906"/>
      <c r="O47" s="906"/>
      <c r="P47" s="906"/>
      <c r="Q47" s="906"/>
      <c r="R47" s="906"/>
      <c r="S47" s="906"/>
      <c r="T47" s="906"/>
      <c r="U47" s="906"/>
      <c r="V47" s="906"/>
      <c r="W47" s="906"/>
      <c r="X47" s="906"/>
      <c r="Y47" s="906"/>
      <c r="Z47" s="906"/>
      <c r="AA47" s="906"/>
      <c r="AB47" s="906"/>
      <c r="AC47" s="906"/>
      <c r="AD47" s="906"/>
      <c r="AE47" s="906"/>
      <c r="AF47" s="906"/>
      <c r="AG47" s="906"/>
      <c r="AH47" s="906"/>
      <c r="AI47" s="906"/>
      <c r="AJ47" s="906"/>
      <c r="AK47" s="906"/>
      <c r="AL47" s="906"/>
      <c r="AM47" s="906"/>
      <c r="AN47" s="906"/>
      <c r="AO47" s="906"/>
      <c r="AP47" s="906"/>
      <c r="AQ47" s="906"/>
      <c r="AR47" s="906"/>
      <c r="AS47" s="906"/>
      <c r="AT47" s="906"/>
      <c r="AU47" s="906"/>
      <c r="AV47" s="906"/>
      <c r="AW47" s="906"/>
      <c r="AX47" s="906"/>
      <c r="AY47" s="906"/>
      <c r="AZ47" s="906"/>
      <c r="BA47" s="906"/>
      <c r="BB47" s="1198"/>
      <c r="BC47" s="1132"/>
      <c r="BD47" s="1132"/>
    </row>
    <row r="48">
      <c r="A48" s="1178" t="str">
        <f t="array" ref="A48">IFERROR(INDEX(TeamInfo!$1:$45,MATCH(C48,TeamInfo!C:C,0),1),"")</f>
        <v/>
      </c>
      <c r="B48" s="1131" t="str">
        <f t="array" ref="B48">IFERROR(INDEX(TeamInfo!$1:$45,MATCH(C48,TeamInfo!C:C,0),2),"")</f>
        <v/>
      </c>
      <c r="C48" s="905"/>
      <c r="D48" s="905"/>
      <c r="E48" s="905"/>
      <c r="F48" s="905"/>
      <c r="G48" s="906"/>
      <c r="H48" s="906"/>
      <c r="I48" s="906"/>
      <c r="J48" s="906"/>
      <c r="K48" s="906"/>
      <c r="L48" s="906"/>
      <c r="M48" s="906"/>
      <c r="N48" s="906"/>
      <c r="O48" s="906"/>
      <c r="P48" s="906"/>
      <c r="Q48" s="906"/>
      <c r="R48" s="906"/>
      <c r="S48" s="906"/>
      <c r="T48" s="906"/>
      <c r="U48" s="906"/>
      <c r="V48" s="906"/>
      <c r="W48" s="906"/>
      <c r="X48" s="906"/>
      <c r="Y48" s="906"/>
      <c r="Z48" s="906"/>
      <c r="AA48" s="906"/>
      <c r="AB48" s="906"/>
      <c r="AC48" s="906"/>
      <c r="AD48" s="906"/>
      <c r="AE48" s="906"/>
      <c r="AF48" s="906"/>
      <c r="AG48" s="906"/>
      <c r="AH48" s="906"/>
      <c r="AI48" s="906"/>
      <c r="AJ48" s="906"/>
      <c r="AK48" s="906"/>
      <c r="AL48" s="906"/>
      <c r="AM48" s="906"/>
      <c r="AN48" s="906"/>
      <c r="AO48" s="906"/>
      <c r="AP48" s="906"/>
      <c r="AQ48" s="906"/>
      <c r="AR48" s="906"/>
      <c r="AS48" s="906"/>
      <c r="AT48" s="906"/>
      <c r="AU48" s="906"/>
      <c r="AV48" s="906"/>
      <c r="AW48" s="906"/>
      <c r="AX48" s="906"/>
      <c r="AY48" s="906"/>
      <c r="AZ48" s="906"/>
      <c r="BA48" s="906"/>
      <c r="BB48" s="1198"/>
      <c r="BC48" s="1132"/>
      <c r="BD48" s="1132"/>
    </row>
    <row r="49">
      <c r="A49" s="1178" t="str">
        <f t="array" ref="A49">IFERROR(INDEX(TeamInfo!$1:$45,MATCH(C49,TeamInfo!C:C,0),1),"")</f>
        <v/>
      </c>
      <c r="B49" s="1131" t="str">
        <f t="array" ref="B49">IFERROR(INDEX(TeamInfo!$1:$45,MATCH(C49,TeamInfo!C:C,0),2),"")</f>
        <v/>
      </c>
      <c r="C49" s="905"/>
      <c r="D49" s="905"/>
      <c r="E49" s="905"/>
      <c r="F49" s="905"/>
      <c r="G49" s="906"/>
      <c r="H49" s="906"/>
      <c r="I49" s="906"/>
      <c r="J49" s="906"/>
      <c r="K49" s="906"/>
      <c r="L49" s="906"/>
      <c r="M49" s="906"/>
      <c r="N49" s="906"/>
      <c r="O49" s="906"/>
      <c r="P49" s="906"/>
      <c r="Q49" s="906"/>
      <c r="R49" s="906"/>
      <c r="S49" s="906"/>
      <c r="T49" s="906"/>
      <c r="U49" s="906"/>
      <c r="V49" s="906"/>
      <c r="W49" s="906"/>
      <c r="X49" s="906"/>
      <c r="Y49" s="906"/>
      <c r="Z49" s="906"/>
      <c r="AA49" s="906"/>
      <c r="AB49" s="906"/>
      <c r="AC49" s="906"/>
      <c r="AD49" s="906"/>
      <c r="AE49" s="906"/>
      <c r="AF49" s="906"/>
      <c r="AG49" s="906"/>
      <c r="AH49" s="906"/>
      <c r="AI49" s="906"/>
      <c r="AJ49" s="906"/>
      <c r="AK49" s="906"/>
      <c r="AL49" s="906"/>
      <c r="AM49" s="906"/>
      <c r="AN49" s="906"/>
      <c r="AO49" s="906"/>
      <c r="AP49" s="906"/>
      <c r="AQ49" s="906"/>
      <c r="AR49" s="906"/>
      <c r="AS49" s="906"/>
      <c r="AT49" s="906"/>
      <c r="AU49" s="906"/>
      <c r="AV49" s="906"/>
      <c r="AW49" s="906"/>
      <c r="AX49" s="906"/>
      <c r="AY49" s="906"/>
      <c r="AZ49" s="906"/>
      <c r="BA49" s="906"/>
      <c r="BB49" s="1198"/>
      <c r="BC49" s="1132"/>
      <c r="BD49" s="1132"/>
    </row>
    <row r="50">
      <c r="A50" s="1194" t="str">
        <f t="array" ref="A50">IFERROR(INDEX(TeamInfo!$1:$45,MATCH(C50,TeamInfo!C:C,0),1),"")</f>
        <v/>
      </c>
      <c r="B50" s="1195" t="str">
        <f t="array" ref="B50">IFERROR(INDEX(TeamInfo!$1:$45,MATCH(C50,TeamInfo!C:C,0),2),"")</f>
        <v/>
      </c>
      <c r="C50" s="1167"/>
      <c r="D50" s="1167"/>
      <c r="E50" s="1167"/>
      <c r="F50" s="1167"/>
      <c r="G50" s="1169"/>
      <c r="H50" s="1169"/>
      <c r="I50" s="1169"/>
      <c r="J50" s="1169"/>
      <c r="K50" s="1169"/>
      <c r="L50" s="1169"/>
      <c r="M50" s="1169"/>
      <c r="N50" s="1169"/>
      <c r="O50" s="1169"/>
      <c r="P50" s="1169"/>
      <c r="Q50" s="1169"/>
      <c r="R50" s="1169"/>
      <c r="S50" s="1169"/>
      <c r="T50" s="1169"/>
      <c r="U50" s="1169"/>
      <c r="V50" s="1169"/>
      <c r="W50" s="1169"/>
      <c r="X50" s="1169"/>
      <c r="Y50" s="1169"/>
      <c r="Z50" s="1169"/>
      <c r="AA50" s="1169"/>
      <c r="AB50" s="1169"/>
      <c r="AC50" s="1169"/>
      <c r="AD50" s="1169"/>
      <c r="AE50" s="1169"/>
      <c r="AF50" s="1169"/>
      <c r="AG50" s="1169"/>
      <c r="AH50" s="1169"/>
      <c r="AI50" s="1169"/>
      <c r="AJ50" s="1169"/>
      <c r="AK50" s="1169"/>
      <c r="AL50" s="1169"/>
      <c r="AM50" s="1169"/>
      <c r="AN50" s="1169"/>
      <c r="AO50" s="1169"/>
      <c r="AP50" s="1169"/>
      <c r="AQ50" s="1169"/>
      <c r="AR50" s="1169"/>
      <c r="AS50" s="1169"/>
      <c r="AT50" s="1169"/>
      <c r="AU50" s="1169"/>
      <c r="AV50" s="1169"/>
      <c r="AW50" s="1169"/>
      <c r="AX50" s="1169"/>
      <c r="AY50" s="1169"/>
      <c r="AZ50" s="1169"/>
      <c r="BA50" s="1169"/>
      <c r="BB50" s="1199"/>
      <c r="BC50" s="1132"/>
      <c r="BD50" s="1132"/>
    </row>
    <row r="51" hidden="1">
      <c r="B51" s="390"/>
    </row>
    <row r="52" hidden="1">
      <c r="B52" s="390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8.38"/>
    <col customWidth="1" min="3" max="3" width="8.63"/>
    <col customWidth="1" min="4" max="4" width="8.5"/>
    <col customWidth="1" min="5" max="5" width="7.88"/>
    <col customWidth="1" min="6" max="7" width="9.38"/>
    <col customWidth="1" min="8" max="8" width="11.25"/>
    <col customWidth="1" min="9" max="9" width="10.75"/>
    <col customWidth="1" min="10" max="10" width="11.13"/>
    <col customWidth="1" min="11" max="11" width="11.38"/>
    <col customWidth="1" min="12" max="12" width="12.38"/>
    <col customWidth="1" min="13" max="13" width="13.0"/>
    <col customWidth="1" min="14" max="14" width="12.75"/>
    <col customWidth="1" min="15" max="15" width="13.88"/>
    <col customWidth="1" min="16" max="16" width="15.0"/>
    <col customWidth="1" min="17" max="17" width="14.13"/>
    <col customWidth="1" min="18" max="18" width="12.25"/>
    <col customWidth="1" min="19" max="19" width="14.13"/>
    <col customWidth="1" min="20" max="20" width="12.5"/>
    <col customWidth="1" min="21" max="21" width="11.25"/>
    <col customWidth="1" min="22" max="22" width="11.63"/>
    <col customWidth="1" min="23" max="23" width="12.25"/>
    <col customWidth="1" min="24" max="24" width="12.63"/>
    <col customWidth="1" min="25" max="25" width="14.13"/>
    <col customWidth="1" min="26" max="26" width="13.38"/>
    <col customWidth="1" min="27" max="27" width="14.75"/>
    <col customWidth="1" min="28" max="28" width="11.38"/>
    <col customWidth="1" min="29" max="29" width="10.25"/>
    <col customWidth="1" min="30" max="30" width="10.63"/>
    <col customWidth="1" min="31" max="31" width="14.5"/>
    <col customWidth="1" min="32" max="32" width="15.25"/>
    <col customWidth="1" min="33" max="33" width="11.13"/>
    <col customWidth="1" min="34" max="34" width="11.75"/>
    <col customWidth="1" min="35" max="35" width="15.25"/>
    <col customWidth="1" min="36" max="36" width="16.75"/>
    <col customWidth="1" min="37" max="37" width="11.63"/>
    <col customWidth="1" min="38" max="38" width="12.63"/>
    <col customWidth="1" min="39" max="39" width="12.5"/>
    <col customWidth="1" min="40" max="40" width="13.63"/>
    <col customWidth="1" min="41" max="41" width="14.75"/>
    <col customWidth="1" min="42" max="42" width="13.88"/>
    <col customWidth="1" min="43" max="43" width="13.63"/>
    <col customWidth="1" min="44" max="44" width="13.75"/>
    <col customWidth="1" min="45" max="45" width="13.0"/>
    <col customWidth="1" min="46" max="46" width="13.63"/>
    <col customWidth="1" min="47" max="47" width="12.63"/>
    <col customWidth="1" min="48" max="48" width="11.88"/>
  </cols>
  <sheetData>
    <row r="1">
      <c r="A1" s="667" t="s">
        <v>547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6"/>
      <c r="AU1" s="306"/>
      <c r="AV1" s="306"/>
      <c r="AW1" s="663"/>
    </row>
    <row r="2">
      <c r="A2" s="1200" t="s">
        <v>546</v>
      </c>
      <c r="B2" s="1201" t="str">
        <f>IFERROR(__xludf.DUMMYFUNCTION("QUERY('Round 1'!A:BA, ""select Avg(E),Avg(F),Avg(G),Avg(H),Avg(I),Avg(J),Avg(K),Avg(L),Avg(M),Avg(N),Avg(O),Avg(P),Avg(Q),Avg(R),Avg(S),Avg(T),Avg(U),Avg(V),Avg(W),Avg(X),Avg(Y),Avg(Z),Avg(AA),Avg(AB),Avg(AC),Avg(AD),Avg(AE),Avg(AF),Avg(AG),Avg(AH),Avg(AI"&amp;"),Avg(AJ),Avg(AK),Avg(AL),Avg(AM),Avg(AN),Avg(AO),Avg(AP),Avg(AQ),Avg(AR),Avg(AS),Avg(AT),Avg(AU),Avg(AV),Avg(AW),Avg(AX),Avg(AY)"",1)"),"#VALUE!")</f>
        <v>#VALUE!</v>
      </c>
      <c r="C2" s="663"/>
      <c r="D2" s="663"/>
      <c r="E2" s="663"/>
      <c r="F2" s="663"/>
      <c r="G2" s="663"/>
      <c r="H2" s="663"/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663"/>
      <c r="Z2" s="663"/>
      <c r="AA2" s="663"/>
      <c r="AB2" s="663"/>
      <c r="AC2" s="663"/>
      <c r="AD2" s="663"/>
      <c r="AE2" s="663"/>
      <c r="AF2" s="663"/>
      <c r="AG2" s="663"/>
      <c r="AH2" s="663"/>
      <c r="AI2" s="663"/>
      <c r="AJ2" s="663"/>
      <c r="AK2" s="663"/>
      <c r="AL2" s="663"/>
      <c r="AM2" s="663"/>
      <c r="AN2" s="663"/>
      <c r="AO2" s="663"/>
      <c r="AP2" s="663"/>
      <c r="AQ2" s="663"/>
      <c r="AR2" s="663"/>
      <c r="AS2" s="663"/>
      <c r="AT2" s="663"/>
      <c r="AU2" s="663"/>
      <c r="AV2" s="663"/>
      <c r="AW2" s="663"/>
    </row>
    <row r="3">
      <c r="A3" s="306"/>
      <c r="B3" s="663"/>
      <c r="C3" s="663"/>
      <c r="D3" s="663"/>
      <c r="E3" s="663"/>
      <c r="F3" s="663"/>
      <c r="G3" s="663"/>
      <c r="H3" s="663"/>
      <c r="I3" s="663"/>
      <c r="J3" s="663"/>
      <c r="K3" s="663"/>
      <c r="L3" s="663"/>
      <c r="M3" s="663"/>
      <c r="N3" s="663"/>
      <c r="O3" s="663"/>
      <c r="P3" s="663"/>
      <c r="Q3" s="663"/>
      <c r="R3" s="663"/>
      <c r="S3" s="663"/>
      <c r="T3" s="663"/>
      <c r="U3" s="663"/>
      <c r="V3" s="663"/>
      <c r="W3" s="663"/>
      <c r="X3" s="663"/>
      <c r="Y3" s="663"/>
      <c r="Z3" s="663"/>
      <c r="AA3" s="663"/>
      <c r="AB3" s="663"/>
      <c r="AC3" s="663"/>
      <c r="AD3" s="663"/>
      <c r="AE3" s="663"/>
      <c r="AF3" s="663"/>
      <c r="AG3" s="663"/>
      <c r="AH3" s="663"/>
      <c r="AI3" s="663"/>
      <c r="AJ3" s="663"/>
      <c r="AK3" s="663"/>
      <c r="AL3" s="663"/>
      <c r="AM3" s="663"/>
      <c r="AN3" s="663"/>
      <c r="AO3" s="663"/>
      <c r="AP3" s="663"/>
      <c r="AQ3" s="663"/>
      <c r="AR3" s="663"/>
      <c r="AS3" s="663"/>
      <c r="AT3" s="663"/>
      <c r="AU3" s="663"/>
      <c r="AV3" s="663"/>
      <c r="AW3" s="663"/>
    </row>
    <row r="4">
      <c r="A4" s="667" t="s">
        <v>548</v>
      </c>
      <c r="B4" s="306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  <c r="W4" s="306"/>
      <c r="X4" s="306"/>
      <c r="Y4" s="306"/>
      <c r="Z4" s="306"/>
      <c r="AA4" s="306"/>
      <c r="AB4" s="306"/>
      <c r="AC4" s="306"/>
      <c r="AD4" s="306"/>
      <c r="AE4" s="306"/>
      <c r="AF4" s="306"/>
      <c r="AG4" s="306"/>
      <c r="AH4" s="306"/>
      <c r="AI4" s="306"/>
      <c r="AJ4" s="306"/>
      <c r="AK4" s="306"/>
      <c r="AL4" s="306"/>
      <c r="AM4" s="306"/>
      <c r="AN4" s="306"/>
      <c r="AO4" s="306"/>
      <c r="AP4" s="306"/>
      <c r="AQ4" s="306"/>
      <c r="AR4" s="306"/>
      <c r="AS4" s="306"/>
      <c r="AT4" s="306"/>
      <c r="AU4" s="306"/>
      <c r="AV4" s="306"/>
      <c r="AW4" s="663"/>
    </row>
    <row r="5">
      <c r="A5" s="1200" t="s">
        <v>546</v>
      </c>
      <c r="B5" s="1201" t="str">
        <f>IFERROR(__xludf.DUMMYFUNCTION("QUERY('Round 2'!A:BA, ""select Avg(E),Avg(F),Avg(G),Avg(H),Avg(I),Avg(J),Avg(K),Avg(L),Avg(M),Avg(N),Avg(O),Avg(P),Avg(Q),Avg(R),Avg(S),Avg(T),Avg(U),Avg(V),Avg(W),Avg(X),Avg(Y),Avg(Z),Avg(AA),Avg(AB),Avg(AC),Avg(AD),Avg(AE),Avg(AF),Avg(AG),Avg(AH),Avg(AI"&amp;"),Avg(AJ),Avg(AK),Avg(AL),Avg(AM),Avg(AN),Avg(AO),Avg(AP),Avg(AQ),Avg(AR),Avg(AS),Avg(AT),Avg(AU),Avg(AV),Avg(AW),Avg(AX),Avg(AY)"",1)"),"#VALUE!")</f>
        <v>#VALUE!</v>
      </c>
      <c r="C5" s="663"/>
      <c r="D5" s="663"/>
      <c r="E5" s="663"/>
      <c r="F5" s="663"/>
      <c r="G5" s="663"/>
      <c r="H5" s="663"/>
      <c r="I5" s="663"/>
      <c r="J5" s="663"/>
      <c r="K5" s="663"/>
      <c r="L5" s="663"/>
      <c r="M5" s="663"/>
      <c r="N5" s="663"/>
      <c r="O5" s="663"/>
      <c r="P5" s="663"/>
      <c r="Q5" s="663"/>
      <c r="R5" s="663"/>
      <c r="S5" s="663"/>
      <c r="T5" s="663"/>
      <c r="U5" s="663"/>
      <c r="V5" s="663"/>
      <c r="W5" s="663"/>
      <c r="X5" s="663"/>
      <c r="Y5" s="663"/>
      <c r="Z5" s="663"/>
      <c r="AA5" s="663"/>
      <c r="AB5" s="663"/>
      <c r="AC5" s="663"/>
      <c r="AD5" s="663"/>
      <c r="AE5" s="663"/>
      <c r="AF5" s="663"/>
      <c r="AG5" s="663"/>
      <c r="AH5" s="663"/>
      <c r="AI5" s="663"/>
      <c r="AJ5" s="663"/>
      <c r="AK5" s="663"/>
      <c r="AL5" s="663"/>
      <c r="AM5" s="663"/>
      <c r="AN5" s="663"/>
      <c r="AO5" s="663"/>
      <c r="AP5" s="663"/>
      <c r="AQ5" s="663"/>
      <c r="AR5" s="663"/>
      <c r="AS5" s="663"/>
      <c r="AT5" s="663"/>
      <c r="AU5" s="663"/>
      <c r="AV5" s="663"/>
      <c r="AW5" s="663"/>
    </row>
    <row r="6">
      <c r="A6" s="306"/>
      <c r="B6" s="663"/>
      <c r="C6" s="663"/>
      <c r="D6" s="663"/>
      <c r="E6" s="663"/>
      <c r="F6" s="663"/>
      <c r="G6" s="663"/>
      <c r="H6" s="663"/>
      <c r="I6" s="663"/>
      <c r="J6" s="663"/>
      <c r="K6" s="663"/>
      <c r="L6" s="663"/>
      <c r="M6" s="663"/>
      <c r="N6" s="663"/>
      <c r="O6" s="663"/>
      <c r="P6" s="663"/>
      <c r="Q6" s="663"/>
      <c r="R6" s="663"/>
      <c r="S6" s="663"/>
      <c r="T6" s="663"/>
      <c r="U6" s="663"/>
      <c r="V6" s="663"/>
      <c r="W6" s="663"/>
      <c r="X6" s="663"/>
      <c r="Y6" s="663"/>
      <c r="Z6" s="663"/>
      <c r="AA6" s="663"/>
      <c r="AB6" s="663"/>
      <c r="AC6" s="663"/>
      <c r="AD6" s="663"/>
      <c r="AE6" s="663"/>
      <c r="AF6" s="663"/>
      <c r="AG6" s="663"/>
      <c r="AH6" s="663"/>
      <c r="AI6" s="663"/>
      <c r="AJ6" s="663"/>
      <c r="AK6" s="663"/>
      <c r="AL6" s="663"/>
      <c r="AM6" s="663"/>
      <c r="AN6" s="663"/>
      <c r="AO6" s="663"/>
      <c r="AP6" s="663"/>
      <c r="AQ6" s="663"/>
      <c r="AR6" s="663"/>
      <c r="AS6" s="663"/>
      <c r="AT6" s="663"/>
      <c r="AU6" s="663"/>
      <c r="AV6" s="663"/>
      <c r="AW6" s="663"/>
    </row>
    <row r="7">
      <c r="A7" s="667" t="s">
        <v>549</v>
      </c>
      <c r="B7" s="306"/>
      <c r="C7" s="306"/>
      <c r="D7" s="306"/>
      <c r="E7" s="306"/>
      <c r="F7" s="306"/>
      <c r="G7" s="306"/>
      <c r="H7" s="306"/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  <c r="U7" s="306"/>
      <c r="V7" s="306"/>
      <c r="W7" s="306"/>
      <c r="X7" s="306"/>
      <c r="Y7" s="306"/>
      <c r="Z7" s="306"/>
      <c r="AA7" s="306"/>
      <c r="AB7" s="306"/>
      <c r="AC7" s="306"/>
      <c r="AD7" s="306"/>
      <c r="AE7" s="306"/>
      <c r="AF7" s="306"/>
      <c r="AG7" s="306"/>
      <c r="AH7" s="306"/>
      <c r="AI7" s="306"/>
      <c r="AJ7" s="306"/>
      <c r="AK7" s="306"/>
      <c r="AL7" s="306"/>
      <c r="AM7" s="306"/>
      <c r="AN7" s="306"/>
      <c r="AO7" s="306"/>
      <c r="AP7" s="306"/>
      <c r="AQ7" s="306"/>
      <c r="AR7" s="306"/>
      <c r="AS7" s="306"/>
      <c r="AT7" s="306"/>
      <c r="AU7" s="306"/>
      <c r="AV7" s="306"/>
      <c r="AW7" s="663"/>
    </row>
    <row r="8">
      <c r="A8" s="1200" t="s">
        <v>546</v>
      </c>
      <c r="B8" s="663" t="str">
        <f>IFERROR(__xludf.DUMMYFUNCTION("QUERY('Round 3'!A:BC, ""select Avg(E),Avg(F),Avg(G),Avg(H),Avg(I),Avg(J),Avg(K),Avg(L),Avg(M),Avg(N),Avg(O),Avg(P),Avg(Q),Avg(R),Avg(S),Avg(T),Avg(U),Avg(V),Avg(W),Avg(X),Avg(Y),Avg(Z),Avg(AA),Avg(AB),Avg(AC),Avg(AD),Avg(AE),Avg(AF),Avg(AG),Avg(AH),Avg(AI"&amp;"),Avg(AJ),Avg(AK),Avg(AL),Avg(AM),Avg(AN),Avg(AO),Avg(AP),Avg(AQ),Avg(AR),Avg(AS),Avg(AT),Avg(AU),Avg(AV),Avg(AW),Avg(AX),Avg(AY)"",1)"),"#VALUE!")</f>
        <v>#VALUE!</v>
      </c>
      <c r="C8" s="663"/>
      <c r="D8" s="663"/>
      <c r="E8" s="663"/>
      <c r="F8" s="663"/>
      <c r="G8" s="663"/>
      <c r="H8" s="663"/>
      <c r="I8" s="663"/>
      <c r="J8" s="663"/>
      <c r="K8" s="663"/>
      <c r="L8" s="663"/>
      <c r="M8" s="663"/>
      <c r="N8" s="663"/>
      <c r="O8" s="663"/>
      <c r="P8" s="663"/>
      <c r="Q8" s="663"/>
      <c r="R8" s="663"/>
      <c r="S8" s="663"/>
      <c r="T8" s="663"/>
      <c r="U8" s="663"/>
      <c r="V8" s="663"/>
      <c r="W8" s="663"/>
      <c r="X8" s="663"/>
      <c r="Y8" s="663"/>
      <c r="Z8" s="663"/>
      <c r="AA8" s="663"/>
      <c r="AB8" s="663"/>
      <c r="AC8" s="663"/>
      <c r="AD8" s="663"/>
      <c r="AE8" s="663"/>
      <c r="AF8" s="663"/>
      <c r="AG8" s="663"/>
      <c r="AH8" s="663"/>
      <c r="AI8" s="663"/>
      <c r="AJ8" s="663"/>
      <c r="AK8" s="663"/>
      <c r="AL8" s="663"/>
      <c r="AM8" s="663"/>
      <c r="AN8" s="663"/>
      <c r="AO8" s="663"/>
      <c r="AP8" s="663"/>
      <c r="AQ8" s="663"/>
      <c r="AR8" s="663"/>
      <c r="AS8" s="663"/>
      <c r="AT8" s="663"/>
      <c r="AU8" s="663"/>
      <c r="AV8" s="663"/>
      <c r="AW8" s="663"/>
    </row>
    <row r="9">
      <c r="A9" s="306"/>
      <c r="B9" s="663"/>
      <c r="C9" s="663"/>
      <c r="D9" s="663"/>
      <c r="E9" s="663"/>
      <c r="F9" s="663"/>
      <c r="G9" s="663"/>
      <c r="H9" s="663"/>
      <c r="I9" s="663"/>
      <c r="J9" s="663"/>
      <c r="K9" s="663"/>
      <c r="L9" s="663"/>
      <c r="M9" s="663"/>
      <c r="N9" s="663"/>
      <c r="O9" s="663"/>
      <c r="P9" s="663"/>
      <c r="Q9" s="663"/>
      <c r="R9" s="663"/>
      <c r="S9" s="663"/>
      <c r="T9" s="663"/>
      <c r="U9" s="663"/>
      <c r="V9" s="663"/>
      <c r="W9" s="663"/>
      <c r="X9" s="663"/>
      <c r="Y9" s="663"/>
      <c r="Z9" s="663"/>
      <c r="AA9" s="663"/>
      <c r="AB9" s="663"/>
      <c r="AC9" s="663"/>
      <c r="AD9" s="663"/>
      <c r="AE9" s="663"/>
      <c r="AF9" s="663"/>
      <c r="AG9" s="663"/>
      <c r="AH9" s="663"/>
      <c r="AI9" s="663"/>
      <c r="AJ9" s="663"/>
      <c r="AK9" s="663"/>
      <c r="AL9" s="663"/>
      <c r="AM9" s="663"/>
      <c r="AN9" s="663"/>
      <c r="AO9" s="663"/>
      <c r="AP9" s="663"/>
      <c r="AQ9" s="663"/>
      <c r="AR9" s="663"/>
      <c r="AS9" s="663"/>
      <c r="AT9" s="663"/>
      <c r="AU9" s="663"/>
      <c r="AV9" s="663"/>
      <c r="AW9" s="663"/>
    </row>
    <row r="10">
      <c r="A10" s="667" t="s">
        <v>550</v>
      </c>
      <c r="B10" s="306"/>
      <c r="C10" s="306"/>
      <c r="D10" s="306"/>
      <c r="E10" s="306"/>
      <c r="F10" s="306"/>
      <c r="G10" s="306"/>
      <c r="H10" s="306"/>
      <c r="I10" s="306"/>
      <c r="J10" s="306"/>
      <c r="K10" s="306"/>
      <c r="L10" s="306"/>
      <c r="M10" s="306"/>
      <c r="N10" s="306"/>
      <c r="O10" s="306"/>
      <c r="P10" s="306"/>
      <c r="Q10" s="306"/>
      <c r="R10" s="306"/>
      <c r="S10" s="306"/>
      <c r="T10" s="306"/>
      <c r="U10" s="306"/>
      <c r="V10" s="306"/>
      <c r="W10" s="306"/>
      <c r="X10" s="306"/>
      <c r="Y10" s="306"/>
      <c r="Z10" s="306"/>
      <c r="AA10" s="306"/>
      <c r="AB10" s="306"/>
      <c r="AC10" s="306"/>
      <c r="AD10" s="306"/>
      <c r="AE10" s="306"/>
      <c r="AF10" s="306"/>
      <c r="AG10" s="306"/>
      <c r="AH10" s="306"/>
      <c r="AI10" s="306"/>
      <c r="AJ10" s="306"/>
      <c r="AK10" s="306"/>
      <c r="AL10" s="306"/>
      <c r="AM10" s="306"/>
      <c r="AN10" s="306"/>
      <c r="AO10" s="306"/>
      <c r="AP10" s="306"/>
      <c r="AQ10" s="306"/>
      <c r="AR10" s="306"/>
      <c r="AS10" s="306"/>
      <c r="AT10" s="306"/>
      <c r="AU10" s="306"/>
      <c r="AV10" s="306"/>
      <c r="AW10" s="663"/>
    </row>
    <row r="11">
      <c r="A11" s="1200" t="s">
        <v>546</v>
      </c>
      <c r="B11" s="663" t="str">
        <f>IFERROR(__xludf.DUMMYFUNCTION("QUERY(Semifinals!A:BB, ""select Avg(E),Avg(F),Avg(G),Avg(H),Avg(I),Avg(J),Avg(K),Avg(L),Avg(M),Avg(N),Avg(O),Avg(P),Avg(Q),Avg(R),Avg(S),Avg(T),Avg(U),Avg(V),Avg(W),Avg(X),Avg(Y),Avg(Z),Avg(AA),Avg(AB),Avg(AC),Avg(AD),Avg(AE),Avg(AF),Avg(AG),Avg(AH),Avg(A"&amp;"I),Avg(AJ),Avg(AK),Avg(AL),Avg(AM),Avg(AN),Avg(AO),Avg(AP),Avg(AQ),Avg(AR),Avg(AS),Avg(AT),Avg(AU),Avg(AV),Avg(AW),Avg(AX),Avg(AY)"",1)"),"#VALUE!")</f>
        <v>#VALUE!</v>
      </c>
      <c r="C11" s="663"/>
      <c r="D11" s="663"/>
      <c r="E11" s="663"/>
      <c r="F11" s="663"/>
      <c r="G11" s="663"/>
      <c r="H11" s="663"/>
      <c r="I11" s="663"/>
      <c r="J11" s="663"/>
      <c r="K11" s="663"/>
      <c r="L11" s="663"/>
      <c r="M11" s="663"/>
      <c r="N11" s="663"/>
      <c r="O11" s="663"/>
      <c r="P11" s="663"/>
      <c r="Q11" s="663"/>
      <c r="R11" s="663"/>
      <c r="S11" s="663"/>
      <c r="T11" s="663"/>
      <c r="U11" s="663"/>
      <c r="V11" s="663"/>
      <c r="W11" s="663"/>
      <c r="X11" s="663"/>
      <c r="Y11" s="663"/>
      <c r="Z11" s="663"/>
      <c r="AA11" s="663"/>
      <c r="AB11" s="663"/>
      <c r="AC11" s="663"/>
      <c r="AD11" s="663"/>
      <c r="AE11" s="663"/>
      <c r="AF11" s="663"/>
      <c r="AG11" s="663"/>
      <c r="AH11" s="663"/>
      <c r="AI11" s="663"/>
      <c r="AJ11" s="663"/>
      <c r="AK11" s="663"/>
      <c r="AL11" s="663"/>
      <c r="AM11" s="663"/>
      <c r="AN11" s="663"/>
      <c r="AO11" s="663"/>
      <c r="AP11" s="663"/>
      <c r="AQ11" s="663"/>
      <c r="AR11" s="663"/>
      <c r="AS11" s="663"/>
      <c r="AT11" s="663"/>
      <c r="AU11" s="663"/>
      <c r="AV11" s="663"/>
      <c r="AW11" s="663"/>
    </row>
    <row r="12">
      <c r="A12" s="306"/>
      <c r="B12" s="663"/>
      <c r="C12" s="663"/>
      <c r="D12" s="663"/>
      <c r="E12" s="663"/>
      <c r="F12" s="663"/>
      <c r="G12" s="663"/>
      <c r="H12" s="663"/>
      <c r="I12" s="663"/>
      <c r="J12" s="663"/>
      <c r="K12" s="663"/>
      <c r="L12" s="663"/>
      <c r="M12" s="663"/>
      <c r="N12" s="663"/>
      <c r="O12" s="663"/>
      <c r="P12" s="663"/>
      <c r="Q12" s="663"/>
      <c r="R12" s="663"/>
      <c r="S12" s="663"/>
      <c r="T12" s="663"/>
      <c r="U12" s="663"/>
      <c r="V12" s="663"/>
      <c r="W12" s="663"/>
      <c r="X12" s="663"/>
      <c r="Y12" s="663"/>
      <c r="Z12" s="663"/>
      <c r="AA12" s="663"/>
      <c r="AB12" s="663"/>
      <c r="AC12" s="663"/>
      <c r="AD12" s="663"/>
      <c r="AE12" s="663"/>
      <c r="AF12" s="663"/>
      <c r="AG12" s="663"/>
      <c r="AH12" s="663"/>
      <c r="AI12" s="663"/>
      <c r="AJ12" s="663"/>
      <c r="AK12" s="663"/>
      <c r="AL12" s="663"/>
      <c r="AM12" s="663"/>
      <c r="AN12" s="663"/>
      <c r="AO12" s="663"/>
      <c r="AP12" s="663"/>
      <c r="AQ12" s="663"/>
      <c r="AR12" s="663"/>
      <c r="AS12" s="663"/>
      <c r="AT12" s="663"/>
      <c r="AU12" s="663"/>
      <c r="AV12" s="663"/>
      <c r="AW12" s="663"/>
    </row>
    <row r="13">
      <c r="A13" s="667" t="s">
        <v>551</v>
      </c>
      <c r="B13" s="306"/>
      <c r="C13" s="306"/>
      <c r="D13" s="306"/>
      <c r="E13" s="306"/>
      <c r="F13" s="306"/>
      <c r="G13" s="306"/>
      <c r="H13" s="306"/>
      <c r="I13" s="306"/>
      <c r="J13" s="306"/>
      <c r="K13" s="306"/>
      <c r="L13" s="306"/>
      <c r="M13" s="306"/>
      <c r="N13" s="306"/>
      <c r="O13" s="306"/>
      <c r="P13" s="306"/>
      <c r="Q13" s="306"/>
      <c r="R13" s="306"/>
      <c r="S13" s="306"/>
      <c r="T13" s="306"/>
      <c r="U13" s="306"/>
      <c r="V13" s="306"/>
      <c r="W13" s="306"/>
      <c r="X13" s="306"/>
      <c r="Y13" s="306"/>
      <c r="Z13" s="306"/>
      <c r="AA13" s="306"/>
      <c r="AB13" s="306"/>
      <c r="AC13" s="306"/>
      <c r="AD13" s="306"/>
      <c r="AE13" s="306"/>
      <c r="AF13" s="306"/>
      <c r="AG13" s="306"/>
      <c r="AH13" s="306"/>
      <c r="AI13" s="306"/>
      <c r="AJ13" s="306"/>
      <c r="AK13" s="306"/>
      <c r="AL13" s="306"/>
      <c r="AM13" s="306"/>
      <c r="AN13" s="306"/>
      <c r="AO13" s="306"/>
      <c r="AP13" s="306"/>
      <c r="AQ13" s="306"/>
      <c r="AR13" s="306"/>
      <c r="AS13" s="306"/>
      <c r="AT13" s="306"/>
      <c r="AU13" s="306"/>
      <c r="AV13" s="306"/>
      <c r="AW13" s="663"/>
    </row>
    <row r="14">
      <c r="A14" s="1200" t="s">
        <v>546</v>
      </c>
      <c r="B14" s="663" t="str">
        <f>IFERROR(__xludf.DUMMYFUNCTION("QUERY(Finals!A:BB, ""select Avg(E),Avg(F),Avg(G),Avg(H),Avg(I),Avg(J),Avg(K),Avg(L),Avg(M),Avg(N),Avg(O),Avg(P),Avg(Q),Avg(R),Avg(S),Avg(T),Avg(U),Avg(V),Avg(W),Avg(X),Avg(Y),Avg(Z),Avg(AA),Avg(AB),Avg(AC),Avg(AD),Avg(AE),Avg(AF),Avg(AG),Avg(AH),Avg(AI),A"&amp;"vg(AJ),Avg(AK),Avg(AL),Avg(AM),Avg(AN),Avg(AO),Avg(AP),Avg(AQ),Avg(AR),Avg(AS),Avg(AT),Avg(AU),Avg(AV),Avg(AW),Avg(AX),Avg(AY)"",1)"),"#VALUE!")</f>
        <v>#VALUE!</v>
      </c>
      <c r="C14" s="663"/>
      <c r="D14" s="663"/>
      <c r="E14" s="663"/>
      <c r="F14" s="663"/>
      <c r="G14" s="663"/>
      <c r="H14" s="663"/>
      <c r="I14" s="663"/>
      <c r="J14" s="663"/>
      <c r="K14" s="663"/>
      <c r="L14" s="663"/>
      <c r="M14" s="663"/>
      <c r="N14" s="663"/>
      <c r="O14" s="663"/>
      <c r="P14" s="663"/>
      <c r="Q14" s="663"/>
      <c r="R14" s="663"/>
      <c r="S14" s="663"/>
      <c r="T14" s="663"/>
      <c r="U14" s="663"/>
      <c r="V14" s="663"/>
      <c r="W14" s="663"/>
      <c r="X14" s="663"/>
      <c r="Y14" s="663"/>
      <c r="Z14" s="663"/>
      <c r="AA14" s="663"/>
      <c r="AB14" s="663"/>
      <c r="AC14" s="663"/>
      <c r="AD14" s="663"/>
      <c r="AE14" s="663"/>
      <c r="AF14" s="663"/>
      <c r="AG14" s="663"/>
      <c r="AH14" s="663"/>
      <c r="AI14" s="663"/>
      <c r="AJ14" s="663"/>
      <c r="AK14" s="663"/>
      <c r="AL14" s="663"/>
      <c r="AM14" s="663"/>
      <c r="AN14" s="663"/>
      <c r="AO14" s="663"/>
      <c r="AP14" s="663"/>
      <c r="AQ14" s="663"/>
      <c r="AR14" s="663"/>
      <c r="AS14" s="663"/>
      <c r="AT14" s="663"/>
      <c r="AU14" s="663"/>
      <c r="AV14" s="663"/>
      <c r="AW14" s="663"/>
    </row>
    <row r="15">
      <c r="A15" s="306"/>
      <c r="B15" s="663"/>
      <c r="C15" s="663"/>
      <c r="D15" s="663"/>
      <c r="E15" s="663"/>
      <c r="F15" s="663"/>
      <c r="G15" s="663"/>
      <c r="H15" s="663"/>
      <c r="I15" s="663"/>
      <c r="J15" s="663"/>
      <c r="K15" s="663"/>
      <c r="L15" s="663"/>
      <c r="M15" s="663"/>
      <c r="N15" s="663"/>
      <c r="O15" s="663"/>
      <c r="P15" s="663"/>
      <c r="Q15" s="663"/>
      <c r="R15" s="663"/>
      <c r="S15" s="663"/>
      <c r="T15" s="663"/>
      <c r="U15" s="663"/>
      <c r="V15" s="663"/>
      <c r="W15" s="663"/>
      <c r="X15" s="663"/>
      <c r="Y15" s="663"/>
      <c r="Z15" s="663"/>
      <c r="AA15" s="663"/>
      <c r="AB15" s="663"/>
      <c r="AC15" s="663"/>
      <c r="AD15" s="663"/>
      <c r="AE15" s="663"/>
      <c r="AF15" s="663"/>
      <c r="AG15" s="663"/>
      <c r="AH15" s="663"/>
      <c r="AI15" s="663"/>
      <c r="AJ15" s="663"/>
      <c r="AK15" s="663"/>
      <c r="AL15" s="663"/>
      <c r="AM15" s="663"/>
      <c r="AN15" s="663"/>
      <c r="AO15" s="663"/>
      <c r="AP15" s="663"/>
      <c r="AQ15" s="663"/>
      <c r="AR15" s="663"/>
      <c r="AS15" s="663"/>
      <c r="AT15" s="663"/>
      <c r="AU15" s="663"/>
      <c r="AV15" s="663"/>
      <c r="AW15" s="663"/>
    </row>
    <row r="16">
      <c r="A16" s="663"/>
      <c r="B16" s="663"/>
      <c r="C16" s="663"/>
      <c r="D16" s="663"/>
      <c r="E16" s="663"/>
      <c r="F16" s="663"/>
      <c r="G16" s="663"/>
      <c r="H16" s="663"/>
      <c r="I16" s="663"/>
      <c r="J16" s="663"/>
      <c r="K16" s="663"/>
      <c r="L16" s="663"/>
      <c r="M16" s="663"/>
      <c r="N16" s="663"/>
      <c r="O16" s="663"/>
      <c r="P16" s="663"/>
      <c r="Q16" s="663"/>
      <c r="R16" s="663"/>
      <c r="S16" s="663"/>
      <c r="T16" s="663"/>
      <c r="U16" s="663"/>
      <c r="V16" s="663"/>
      <c r="W16" s="663"/>
      <c r="X16" s="663"/>
      <c r="Y16" s="663"/>
      <c r="Z16" s="663"/>
      <c r="AA16" s="663"/>
      <c r="AB16" s="663"/>
      <c r="AC16" s="663"/>
      <c r="AD16" s="663"/>
      <c r="AE16" s="663"/>
      <c r="AF16" s="663"/>
      <c r="AG16" s="663"/>
      <c r="AH16" s="663"/>
      <c r="AI16" s="663"/>
      <c r="AJ16" s="663"/>
      <c r="AK16" s="663"/>
      <c r="AL16" s="663"/>
      <c r="AM16" s="663"/>
      <c r="AN16" s="663"/>
      <c r="AO16" s="663"/>
      <c r="AP16" s="663"/>
      <c r="AQ16" s="663"/>
      <c r="AR16" s="663"/>
      <c r="AS16" s="663"/>
      <c r="AT16" s="663"/>
      <c r="AU16" s="663"/>
      <c r="AV16" s="663"/>
      <c r="AW16" s="663"/>
    </row>
    <row r="17">
      <c r="A17" s="663"/>
      <c r="B17" s="663"/>
      <c r="C17" s="663"/>
      <c r="D17" s="663"/>
      <c r="E17" s="663"/>
      <c r="F17" s="663"/>
      <c r="G17" s="663"/>
      <c r="H17" s="663"/>
      <c r="I17" s="663"/>
      <c r="J17" s="663"/>
      <c r="K17" s="663"/>
      <c r="L17" s="663"/>
      <c r="M17" s="663"/>
      <c r="N17" s="663"/>
      <c r="O17" s="663"/>
      <c r="P17" s="663"/>
      <c r="Q17" s="663"/>
      <c r="R17" s="663"/>
      <c r="S17" s="663"/>
      <c r="T17" s="663"/>
      <c r="U17" s="663"/>
      <c r="V17" s="663"/>
      <c r="W17" s="663"/>
      <c r="X17" s="663"/>
      <c r="Y17" s="663"/>
      <c r="Z17" s="663"/>
      <c r="AA17" s="663"/>
      <c r="AB17" s="663"/>
      <c r="AC17" s="663"/>
      <c r="AD17" s="663"/>
      <c r="AE17" s="663"/>
      <c r="AF17" s="663"/>
      <c r="AG17" s="663"/>
      <c r="AH17" s="663"/>
      <c r="AI17" s="663"/>
      <c r="AJ17" s="663"/>
      <c r="AK17" s="663"/>
      <c r="AL17" s="663"/>
      <c r="AM17" s="663"/>
      <c r="AN17" s="663"/>
      <c r="AO17" s="663"/>
      <c r="AP17" s="663"/>
      <c r="AQ17" s="663"/>
      <c r="AR17" s="663"/>
      <c r="AS17" s="663"/>
      <c r="AT17" s="663"/>
      <c r="AU17" s="663"/>
      <c r="AV17" s="663"/>
      <c r="AW17" s="663"/>
    </row>
    <row r="18">
      <c r="A18" s="663"/>
      <c r="B18" s="663"/>
      <c r="C18" s="663"/>
      <c r="D18" s="663"/>
      <c r="E18" s="663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663"/>
      <c r="Q18" s="663"/>
      <c r="R18" s="663"/>
      <c r="S18" s="663"/>
      <c r="T18" s="663"/>
      <c r="U18" s="663"/>
      <c r="V18" s="663"/>
      <c r="W18" s="663"/>
      <c r="X18" s="663"/>
      <c r="Y18" s="663"/>
      <c r="Z18" s="663"/>
      <c r="AA18" s="663"/>
      <c r="AB18" s="663"/>
      <c r="AC18" s="663"/>
      <c r="AD18" s="663"/>
      <c r="AE18" s="663"/>
      <c r="AF18" s="663"/>
      <c r="AG18" s="663"/>
      <c r="AH18" s="663"/>
      <c r="AI18" s="663"/>
      <c r="AJ18" s="663"/>
      <c r="AK18" s="663"/>
      <c r="AL18" s="663"/>
      <c r="AM18" s="663"/>
      <c r="AN18" s="663"/>
      <c r="AO18" s="663"/>
      <c r="AP18" s="663"/>
      <c r="AQ18" s="663"/>
      <c r="AR18" s="663"/>
      <c r="AS18" s="663"/>
      <c r="AT18" s="663"/>
      <c r="AU18" s="663"/>
      <c r="AV18" s="663"/>
      <c r="AW18" s="663"/>
    </row>
    <row r="19">
      <c r="A19" s="663"/>
      <c r="B19" s="663"/>
      <c r="C19" s="663"/>
      <c r="D19" s="663"/>
      <c r="E19" s="663"/>
      <c r="F19" s="663"/>
      <c r="G19" s="663"/>
      <c r="H19" s="663"/>
      <c r="I19" s="663"/>
      <c r="J19" s="663"/>
      <c r="K19" s="663"/>
      <c r="L19" s="663"/>
      <c r="M19" s="663"/>
      <c r="N19" s="663"/>
      <c r="O19" s="663"/>
      <c r="P19" s="663"/>
      <c r="Q19" s="663"/>
      <c r="R19" s="663"/>
      <c r="S19" s="663"/>
      <c r="T19" s="663"/>
      <c r="U19" s="663"/>
      <c r="V19" s="663"/>
      <c r="W19" s="663"/>
      <c r="X19" s="663"/>
      <c r="Y19" s="663"/>
      <c r="Z19" s="663"/>
      <c r="AA19" s="663"/>
      <c r="AB19" s="663"/>
      <c r="AC19" s="663"/>
      <c r="AD19" s="663"/>
      <c r="AE19" s="663"/>
      <c r="AF19" s="663"/>
      <c r="AG19" s="663"/>
      <c r="AH19" s="663"/>
      <c r="AI19" s="663"/>
      <c r="AJ19" s="663"/>
      <c r="AK19" s="663"/>
      <c r="AL19" s="663"/>
      <c r="AM19" s="663"/>
      <c r="AN19" s="663"/>
      <c r="AO19" s="663"/>
      <c r="AP19" s="663"/>
      <c r="AQ19" s="663"/>
      <c r="AR19" s="663"/>
      <c r="AS19" s="663"/>
      <c r="AT19" s="663"/>
      <c r="AU19" s="663"/>
      <c r="AV19" s="663"/>
      <c r="AW19" s="663"/>
    </row>
    <row r="20">
      <c r="A20" s="663"/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63"/>
      <c r="AB20" s="663"/>
      <c r="AC20" s="663"/>
      <c r="AD20" s="663"/>
      <c r="AE20" s="663"/>
      <c r="AF20" s="663"/>
      <c r="AG20" s="663"/>
      <c r="AH20" s="663"/>
      <c r="AI20" s="663"/>
      <c r="AJ20" s="663"/>
      <c r="AK20" s="663"/>
      <c r="AL20" s="663"/>
      <c r="AM20" s="663"/>
      <c r="AN20" s="663"/>
      <c r="AO20" s="663"/>
      <c r="AP20" s="663"/>
      <c r="AQ20" s="663"/>
      <c r="AR20" s="663"/>
      <c r="AS20" s="663"/>
      <c r="AT20" s="663"/>
      <c r="AU20" s="663"/>
      <c r="AV20" s="663"/>
      <c r="AW20" s="663"/>
    </row>
    <row r="21">
      <c r="A21" s="663"/>
      <c r="B21" s="663"/>
      <c r="C21" s="663"/>
      <c r="D21" s="663"/>
      <c r="E21" s="663"/>
      <c r="F21" s="663"/>
      <c r="G21" s="663"/>
      <c r="H21" s="663"/>
      <c r="I21" s="663"/>
      <c r="J21" s="663"/>
      <c r="K21" s="663"/>
      <c r="L21" s="663"/>
      <c r="M21" s="663"/>
      <c r="N21" s="663"/>
      <c r="O21" s="663"/>
      <c r="P21" s="663"/>
      <c r="Q21" s="663"/>
      <c r="R21" s="663"/>
      <c r="S21" s="663"/>
      <c r="T21" s="663"/>
      <c r="U21" s="663"/>
      <c r="V21" s="663"/>
      <c r="W21" s="663"/>
      <c r="X21" s="663"/>
      <c r="Y21" s="663"/>
      <c r="Z21" s="663"/>
      <c r="AA21" s="663"/>
      <c r="AB21" s="663"/>
      <c r="AC21" s="663"/>
      <c r="AD21" s="663"/>
      <c r="AE21" s="663"/>
      <c r="AF21" s="663"/>
      <c r="AG21" s="663"/>
      <c r="AH21" s="663"/>
      <c r="AI21" s="663"/>
      <c r="AJ21" s="663"/>
      <c r="AK21" s="663"/>
      <c r="AL21" s="663"/>
      <c r="AM21" s="663"/>
      <c r="AN21" s="663"/>
      <c r="AO21" s="663"/>
      <c r="AP21" s="663"/>
      <c r="AQ21" s="663"/>
      <c r="AR21" s="663"/>
      <c r="AS21" s="663"/>
      <c r="AT21" s="663"/>
      <c r="AU21" s="663"/>
      <c r="AV21" s="663"/>
      <c r="AW21" s="663"/>
    </row>
    <row r="22">
      <c r="A22" s="663"/>
      <c r="B22" s="663"/>
      <c r="C22" s="663"/>
      <c r="D22" s="663"/>
      <c r="E22" s="663"/>
      <c r="F22" s="663"/>
      <c r="G22" s="663"/>
      <c r="H22" s="663"/>
      <c r="I22" s="663"/>
      <c r="J22" s="663"/>
      <c r="K22" s="663"/>
      <c r="L22" s="663"/>
      <c r="M22" s="663"/>
      <c r="N22" s="663"/>
      <c r="O22" s="663"/>
      <c r="P22" s="663"/>
      <c r="Q22" s="663"/>
      <c r="R22" s="663"/>
      <c r="S22" s="663"/>
      <c r="T22" s="663"/>
      <c r="U22" s="663"/>
      <c r="V22" s="663"/>
      <c r="W22" s="663"/>
      <c r="X22" s="663"/>
      <c r="Y22" s="663"/>
      <c r="Z22" s="663"/>
      <c r="AA22" s="663"/>
      <c r="AB22" s="663"/>
      <c r="AC22" s="663"/>
      <c r="AD22" s="663"/>
      <c r="AE22" s="663"/>
      <c r="AF22" s="663"/>
      <c r="AG22" s="663"/>
      <c r="AH22" s="663"/>
      <c r="AI22" s="663"/>
      <c r="AJ22" s="663"/>
      <c r="AK22" s="663"/>
      <c r="AL22" s="663"/>
      <c r="AM22" s="663"/>
      <c r="AN22" s="663"/>
      <c r="AO22" s="663"/>
      <c r="AP22" s="663"/>
      <c r="AQ22" s="663"/>
      <c r="AR22" s="663"/>
      <c r="AS22" s="663"/>
      <c r="AT22" s="663"/>
      <c r="AU22" s="663"/>
      <c r="AV22" s="663"/>
      <c r="AW22" s="663"/>
    </row>
    <row r="23">
      <c r="A23" s="663"/>
      <c r="B23" s="663"/>
      <c r="C23" s="663"/>
      <c r="D23" s="663"/>
      <c r="E23" s="663"/>
      <c r="F23" s="663"/>
      <c r="G23" s="663"/>
      <c r="H23" s="663"/>
      <c r="I23" s="663"/>
      <c r="J23" s="663"/>
      <c r="K23" s="663"/>
      <c r="L23" s="663"/>
      <c r="M23" s="663"/>
      <c r="N23" s="663"/>
      <c r="O23" s="663"/>
      <c r="P23" s="663"/>
      <c r="Q23" s="663"/>
      <c r="R23" s="663"/>
      <c r="S23" s="663"/>
      <c r="T23" s="663"/>
      <c r="U23" s="663"/>
      <c r="V23" s="663"/>
      <c r="W23" s="663"/>
      <c r="X23" s="663"/>
      <c r="Y23" s="663"/>
      <c r="Z23" s="663"/>
      <c r="AA23" s="663"/>
      <c r="AB23" s="663"/>
      <c r="AC23" s="663"/>
      <c r="AD23" s="663"/>
      <c r="AE23" s="663"/>
      <c r="AF23" s="663"/>
      <c r="AG23" s="663"/>
      <c r="AH23" s="663"/>
      <c r="AI23" s="663"/>
      <c r="AJ23" s="663"/>
      <c r="AK23" s="663"/>
      <c r="AL23" s="663"/>
      <c r="AM23" s="663"/>
      <c r="AN23" s="663"/>
      <c r="AO23" s="663"/>
      <c r="AP23" s="663"/>
      <c r="AQ23" s="663"/>
      <c r="AR23" s="663"/>
      <c r="AS23" s="663"/>
      <c r="AT23" s="663"/>
      <c r="AU23" s="663"/>
      <c r="AV23" s="663"/>
      <c r="AW23" s="663"/>
    </row>
    <row r="24">
      <c r="A24" s="663"/>
      <c r="B24" s="663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63"/>
      <c r="P24" s="663"/>
      <c r="Q24" s="663"/>
      <c r="R24" s="663"/>
      <c r="S24" s="663"/>
      <c r="T24" s="663"/>
      <c r="U24" s="663"/>
      <c r="V24" s="663"/>
      <c r="W24" s="663"/>
      <c r="X24" s="663"/>
      <c r="Y24" s="663"/>
      <c r="Z24" s="663"/>
      <c r="AA24" s="663"/>
      <c r="AB24" s="663"/>
      <c r="AC24" s="663"/>
      <c r="AD24" s="663"/>
      <c r="AE24" s="663"/>
      <c r="AF24" s="663"/>
      <c r="AG24" s="663"/>
      <c r="AH24" s="663"/>
      <c r="AI24" s="663"/>
      <c r="AJ24" s="663"/>
      <c r="AK24" s="663"/>
      <c r="AL24" s="663"/>
      <c r="AM24" s="663"/>
      <c r="AN24" s="663"/>
      <c r="AO24" s="663"/>
      <c r="AP24" s="663"/>
      <c r="AQ24" s="663"/>
      <c r="AR24" s="663"/>
      <c r="AS24" s="663"/>
      <c r="AT24" s="663"/>
      <c r="AU24" s="663"/>
      <c r="AV24" s="663"/>
      <c r="AW24" s="663"/>
    </row>
    <row r="25">
      <c r="A25" s="663"/>
      <c r="B25" s="663"/>
      <c r="C25" s="663"/>
      <c r="D25" s="663"/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63"/>
      <c r="P25" s="663"/>
      <c r="Q25" s="663"/>
      <c r="R25" s="663"/>
      <c r="S25" s="663"/>
      <c r="T25" s="663"/>
      <c r="U25" s="663"/>
      <c r="V25" s="663"/>
      <c r="W25" s="663"/>
      <c r="X25" s="663"/>
      <c r="Y25" s="663"/>
      <c r="Z25" s="663"/>
      <c r="AA25" s="663"/>
      <c r="AB25" s="663"/>
      <c r="AC25" s="663"/>
      <c r="AD25" s="663"/>
      <c r="AE25" s="663"/>
      <c r="AF25" s="663"/>
      <c r="AG25" s="663"/>
      <c r="AH25" s="663"/>
      <c r="AI25" s="663"/>
      <c r="AJ25" s="663"/>
      <c r="AK25" s="663"/>
      <c r="AL25" s="663"/>
      <c r="AM25" s="663"/>
      <c r="AN25" s="663"/>
      <c r="AO25" s="663"/>
      <c r="AP25" s="663"/>
      <c r="AQ25" s="663"/>
      <c r="AR25" s="663"/>
      <c r="AS25" s="663"/>
      <c r="AT25" s="663"/>
      <c r="AU25" s="663"/>
      <c r="AV25" s="663"/>
      <c r="AW25" s="663"/>
    </row>
    <row r="26">
      <c r="A26" s="663"/>
      <c r="B26" s="663"/>
      <c r="C26" s="663"/>
      <c r="D26" s="663"/>
      <c r="E26" s="663"/>
      <c r="F26" s="663"/>
      <c r="G26" s="663"/>
      <c r="H26" s="663"/>
      <c r="I26" s="663"/>
      <c r="J26" s="663"/>
      <c r="K26" s="663"/>
      <c r="L26" s="663"/>
      <c r="M26" s="663"/>
      <c r="N26" s="663"/>
      <c r="O26" s="663"/>
      <c r="P26" s="663"/>
      <c r="Q26" s="663"/>
      <c r="R26" s="663"/>
      <c r="S26" s="663"/>
      <c r="T26" s="663"/>
      <c r="U26" s="663"/>
      <c r="V26" s="663"/>
      <c r="W26" s="663"/>
      <c r="X26" s="663"/>
      <c r="Y26" s="663"/>
      <c r="Z26" s="663"/>
      <c r="AA26" s="663"/>
      <c r="AB26" s="663"/>
      <c r="AC26" s="663"/>
      <c r="AD26" s="663"/>
      <c r="AE26" s="663"/>
      <c r="AF26" s="663"/>
      <c r="AG26" s="663"/>
      <c r="AH26" s="663"/>
      <c r="AI26" s="663"/>
      <c r="AJ26" s="663"/>
      <c r="AK26" s="663"/>
      <c r="AL26" s="663"/>
      <c r="AM26" s="663"/>
      <c r="AN26" s="663"/>
      <c r="AO26" s="663"/>
      <c r="AP26" s="663"/>
      <c r="AQ26" s="663"/>
      <c r="AR26" s="663"/>
      <c r="AS26" s="663"/>
      <c r="AT26" s="663"/>
      <c r="AU26" s="663"/>
      <c r="AV26" s="663"/>
      <c r="AW26" s="663"/>
    </row>
    <row r="27">
      <c r="A27" s="663"/>
      <c r="B27" s="663"/>
      <c r="C27" s="663"/>
      <c r="D27" s="663"/>
      <c r="E27" s="663"/>
      <c r="F27" s="663"/>
      <c r="G27" s="663"/>
      <c r="H27" s="663"/>
      <c r="I27" s="663"/>
      <c r="J27" s="663"/>
      <c r="K27" s="663"/>
      <c r="L27" s="663"/>
      <c r="M27" s="663"/>
      <c r="N27" s="663"/>
      <c r="O27" s="663"/>
      <c r="P27" s="663"/>
      <c r="Q27" s="663"/>
      <c r="R27" s="663"/>
      <c r="S27" s="663"/>
      <c r="T27" s="663"/>
      <c r="U27" s="663"/>
      <c r="V27" s="663"/>
      <c r="W27" s="663"/>
      <c r="X27" s="663"/>
      <c r="Y27" s="663"/>
      <c r="Z27" s="663"/>
      <c r="AA27" s="663"/>
      <c r="AB27" s="663"/>
      <c r="AC27" s="663"/>
      <c r="AD27" s="663"/>
      <c r="AE27" s="663"/>
      <c r="AF27" s="663"/>
      <c r="AG27" s="663"/>
      <c r="AH27" s="663"/>
      <c r="AI27" s="663"/>
      <c r="AJ27" s="663"/>
      <c r="AK27" s="663"/>
      <c r="AL27" s="663"/>
      <c r="AM27" s="663"/>
      <c r="AN27" s="663"/>
      <c r="AO27" s="663"/>
      <c r="AP27" s="663"/>
      <c r="AQ27" s="663"/>
      <c r="AR27" s="663"/>
      <c r="AS27" s="663"/>
      <c r="AT27" s="663"/>
      <c r="AU27" s="663"/>
      <c r="AV27" s="663"/>
      <c r="AW27" s="663"/>
    </row>
    <row r="28">
      <c r="A28" s="663"/>
      <c r="B28" s="663"/>
      <c r="C28" s="663"/>
      <c r="D28" s="663"/>
      <c r="E28" s="663"/>
      <c r="F28" s="663"/>
      <c r="G28" s="663"/>
      <c r="H28" s="663"/>
      <c r="I28" s="663"/>
      <c r="J28" s="663"/>
      <c r="K28" s="663"/>
      <c r="L28" s="663"/>
      <c r="M28" s="663"/>
      <c r="N28" s="663"/>
      <c r="O28" s="663"/>
      <c r="P28" s="663"/>
      <c r="Q28" s="663"/>
      <c r="R28" s="663"/>
      <c r="S28" s="663"/>
      <c r="T28" s="663"/>
      <c r="U28" s="663"/>
      <c r="V28" s="663"/>
      <c r="W28" s="663"/>
      <c r="X28" s="663"/>
      <c r="Y28" s="663"/>
      <c r="Z28" s="663"/>
      <c r="AA28" s="663"/>
      <c r="AB28" s="663"/>
      <c r="AC28" s="663"/>
      <c r="AD28" s="663"/>
      <c r="AE28" s="663"/>
      <c r="AF28" s="663"/>
      <c r="AG28" s="663"/>
      <c r="AH28" s="663"/>
      <c r="AI28" s="663"/>
      <c r="AJ28" s="663"/>
      <c r="AK28" s="663"/>
      <c r="AL28" s="663"/>
      <c r="AM28" s="663"/>
      <c r="AN28" s="663"/>
      <c r="AO28" s="663"/>
      <c r="AP28" s="663"/>
      <c r="AQ28" s="663"/>
      <c r="AR28" s="663"/>
      <c r="AS28" s="663"/>
      <c r="AT28" s="663"/>
      <c r="AU28" s="663"/>
      <c r="AV28" s="663"/>
      <c r="AW28" s="663"/>
    </row>
    <row r="29">
      <c r="A29" s="663"/>
      <c r="B29" s="663"/>
      <c r="C29" s="663"/>
      <c r="D29" s="663"/>
      <c r="E29" s="663"/>
      <c r="F29" s="663"/>
      <c r="G29" s="663"/>
      <c r="H29" s="663"/>
      <c r="I29" s="663"/>
      <c r="J29" s="663"/>
      <c r="K29" s="663"/>
      <c r="L29" s="663"/>
      <c r="M29" s="663"/>
      <c r="N29" s="663"/>
      <c r="O29" s="663"/>
      <c r="P29" s="663"/>
      <c r="Q29" s="663"/>
      <c r="R29" s="663"/>
      <c r="S29" s="663"/>
      <c r="T29" s="663"/>
      <c r="U29" s="663"/>
      <c r="V29" s="663"/>
      <c r="W29" s="663"/>
      <c r="X29" s="663"/>
      <c r="Y29" s="663"/>
      <c r="Z29" s="663"/>
      <c r="AA29" s="663"/>
      <c r="AB29" s="663"/>
      <c r="AC29" s="663"/>
      <c r="AD29" s="663"/>
      <c r="AE29" s="663"/>
      <c r="AF29" s="663"/>
      <c r="AG29" s="663"/>
      <c r="AH29" s="663"/>
      <c r="AI29" s="663"/>
      <c r="AJ29" s="663"/>
      <c r="AK29" s="663"/>
      <c r="AL29" s="663"/>
      <c r="AM29" s="663"/>
      <c r="AN29" s="663"/>
      <c r="AO29" s="663"/>
      <c r="AP29" s="663"/>
      <c r="AQ29" s="663"/>
      <c r="AR29" s="663"/>
      <c r="AS29" s="663"/>
      <c r="AT29" s="663"/>
      <c r="AU29" s="663"/>
      <c r="AV29" s="663"/>
      <c r="AW29" s="663"/>
    </row>
    <row r="30">
      <c r="A30" s="663"/>
      <c r="B30" s="663"/>
      <c r="C30" s="663"/>
      <c r="D30" s="663"/>
      <c r="E30" s="663"/>
      <c r="F30" s="663"/>
      <c r="G30" s="663"/>
      <c r="H30" s="663"/>
      <c r="I30" s="663"/>
      <c r="J30" s="663"/>
      <c r="K30" s="663"/>
      <c r="L30" s="663"/>
      <c r="M30" s="663"/>
      <c r="N30" s="663"/>
      <c r="O30" s="663"/>
      <c r="P30" s="663"/>
      <c r="Q30" s="663"/>
      <c r="R30" s="663"/>
      <c r="S30" s="663"/>
      <c r="T30" s="663"/>
      <c r="U30" s="663"/>
      <c r="V30" s="663"/>
      <c r="W30" s="663"/>
      <c r="X30" s="663"/>
      <c r="Y30" s="663"/>
      <c r="Z30" s="663"/>
      <c r="AA30" s="663"/>
      <c r="AB30" s="663"/>
      <c r="AC30" s="663"/>
      <c r="AD30" s="663"/>
      <c r="AE30" s="663"/>
      <c r="AF30" s="663"/>
      <c r="AG30" s="663"/>
      <c r="AH30" s="663"/>
      <c r="AI30" s="663"/>
      <c r="AJ30" s="663"/>
      <c r="AK30" s="663"/>
      <c r="AL30" s="663"/>
      <c r="AM30" s="663"/>
      <c r="AN30" s="663"/>
      <c r="AO30" s="663"/>
      <c r="AP30" s="663"/>
      <c r="AQ30" s="663"/>
      <c r="AR30" s="663"/>
      <c r="AS30" s="663"/>
      <c r="AT30" s="663"/>
      <c r="AU30" s="663"/>
      <c r="AV30" s="663"/>
      <c r="AW30" s="663"/>
    </row>
    <row r="31">
      <c r="A31" s="663"/>
      <c r="B31" s="663"/>
      <c r="C31" s="663"/>
      <c r="D31" s="663"/>
      <c r="E31" s="663"/>
      <c r="F31" s="663"/>
      <c r="G31" s="663"/>
      <c r="H31" s="663"/>
      <c r="I31" s="663"/>
      <c r="J31" s="663"/>
      <c r="K31" s="663"/>
      <c r="L31" s="663"/>
      <c r="M31" s="663"/>
      <c r="N31" s="663"/>
      <c r="O31" s="663"/>
      <c r="P31" s="663"/>
      <c r="Q31" s="663"/>
      <c r="R31" s="663"/>
      <c r="S31" s="663"/>
      <c r="T31" s="663"/>
      <c r="U31" s="663"/>
      <c r="V31" s="663"/>
      <c r="W31" s="663"/>
      <c r="X31" s="663"/>
      <c r="Y31" s="663"/>
      <c r="Z31" s="663"/>
      <c r="AA31" s="663"/>
      <c r="AB31" s="663"/>
      <c r="AC31" s="663"/>
      <c r="AD31" s="663"/>
      <c r="AE31" s="663"/>
      <c r="AF31" s="663"/>
      <c r="AG31" s="663"/>
      <c r="AH31" s="663"/>
      <c r="AI31" s="663"/>
      <c r="AJ31" s="663"/>
      <c r="AK31" s="663"/>
      <c r="AL31" s="663"/>
      <c r="AM31" s="663"/>
      <c r="AN31" s="663"/>
      <c r="AO31" s="663"/>
      <c r="AP31" s="663"/>
      <c r="AQ31" s="663"/>
      <c r="AR31" s="663"/>
      <c r="AS31" s="663"/>
      <c r="AT31" s="663"/>
      <c r="AU31" s="663"/>
      <c r="AV31" s="663"/>
      <c r="AW31" s="663"/>
    </row>
    <row r="32">
      <c r="A32" s="663"/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63"/>
      <c r="P32" s="663"/>
      <c r="Q32" s="663"/>
      <c r="R32" s="663"/>
      <c r="S32" s="663"/>
      <c r="T32" s="663"/>
      <c r="U32" s="663"/>
      <c r="V32" s="663"/>
      <c r="W32" s="663"/>
      <c r="X32" s="663"/>
      <c r="Y32" s="663"/>
      <c r="Z32" s="663"/>
      <c r="AA32" s="663"/>
      <c r="AB32" s="663"/>
      <c r="AC32" s="663"/>
      <c r="AD32" s="663"/>
      <c r="AE32" s="663"/>
      <c r="AF32" s="663"/>
      <c r="AG32" s="663"/>
      <c r="AH32" s="663"/>
      <c r="AI32" s="663"/>
      <c r="AJ32" s="663"/>
      <c r="AK32" s="663"/>
      <c r="AL32" s="663"/>
      <c r="AM32" s="663"/>
      <c r="AN32" s="663"/>
      <c r="AO32" s="663"/>
      <c r="AP32" s="663"/>
      <c r="AQ32" s="663"/>
      <c r="AR32" s="663"/>
      <c r="AS32" s="663"/>
      <c r="AT32" s="663"/>
      <c r="AU32" s="663"/>
      <c r="AV32" s="663"/>
      <c r="AW32" s="663"/>
    </row>
    <row r="33">
      <c r="A33" s="663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63"/>
      <c r="P33" s="663"/>
      <c r="Q33" s="663"/>
      <c r="R33" s="663"/>
      <c r="S33" s="663"/>
      <c r="T33" s="663"/>
      <c r="U33" s="663"/>
      <c r="V33" s="663"/>
      <c r="W33" s="663"/>
      <c r="X33" s="663"/>
      <c r="Y33" s="663"/>
      <c r="Z33" s="663"/>
      <c r="AA33" s="663"/>
      <c r="AB33" s="663"/>
      <c r="AC33" s="663"/>
      <c r="AD33" s="663"/>
      <c r="AE33" s="663"/>
      <c r="AF33" s="663"/>
      <c r="AG33" s="663"/>
      <c r="AH33" s="663"/>
      <c r="AI33" s="663"/>
      <c r="AJ33" s="663"/>
      <c r="AK33" s="663"/>
      <c r="AL33" s="663"/>
      <c r="AM33" s="663"/>
      <c r="AN33" s="663"/>
      <c r="AO33" s="663"/>
      <c r="AP33" s="663"/>
      <c r="AQ33" s="663"/>
      <c r="AR33" s="663"/>
      <c r="AS33" s="663"/>
      <c r="AT33" s="663"/>
      <c r="AU33" s="663"/>
      <c r="AV33" s="663"/>
      <c r="AW33" s="663"/>
    </row>
    <row r="34">
      <c r="A34" s="663"/>
      <c r="B34" s="663"/>
      <c r="C34" s="663"/>
      <c r="D34" s="663"/>
      <c r="E34" s="663"/>
      <c r="F34" s="663"/>
      <c r="G34" s="663"/>
      <c r="H34" s="663"/>
      <c r="I34" s="663"/>
      <c r="J34" s="663"/>
      <c r="K34" s="663"/>
      <c r="L34" s="663"/>
      <c r="M34" s="663"/>
      <c r="N34" s="663"/>
      <c r="O34" s="663"/>
      <c r="P34" s="663"/>
      <c r="Q34" s="663"/>
      <c r="R34" s="663"/>
      <c r="S34" s="663"/>
      <c r="T34" s="663"/>
      <c r="U34" s="663"/>
      <c r="V34" s="663"/>
      <c r="W34" s="663"/>
      <c r="X34" s="663"/>
      <c r="Y34" s="663"/>
      <c r="Z34" s="663"/>
      <c r="AA34" s="663"/>
      <c r="AB34" s="663"/>
      <c r="AC34" s="663"/>
      <c r="AD34" s="663"/>
      <c r="AE34" s="663"/>
      <c r="AF34" s="663"/>
      <c r="AG34" s="663"/>
      <c r="AH34" s="663"/>
      <c r="AI34" s="663"/>
      <c r="AJ34" s="663"/>
      <c r="AK34" s="663"/>
      <c r="AL34" s="663"/>
      <c r="AM34" s="663"/>
      <c r="AN34" s="663"/>
      <c r="AO34" s="663"/>
      <c r="AP34" s="663"/>
      <c r="AQ34" s="663"/>
      <c r="AR34" s="663"/>
      <c r="AS34" s="663"/>
      <c r="AT34" s="663"/>
      <c r="AU34" s="663"/>
      <c r="AV34" s="663"/>
      <c r="AW34" s="663"/>
    </row>
    <row r="35">
      <c r="A35" s="663"/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63"/>
      <c r="AB35" s="663"/>
      <c r="AC35" s="663"/>
      <c r="AD35" s="663"/>
      <c r="AE35" s="663"/>
      <c r="AF35" s="663"/>
      <c r="AG35" s="663"/>
      <c r="AH35" s="663"/>
      <c r="AI35" s="663"/>
      <c r="AJ35" s="663"/>
      <c r="AK35" s="663"/>
      <c r="AL35" s="663"/>
      <c r="AM35" s="663"/>
      <c r="AN35" s="663"/>
      <c r="AO35" s="663"/>
      <c r="AP35" s="663"/>
      <c r="AQ35" s="663"/>
      <c r="AR35" s="663"/>
      <c r="AS35" s="663"/>
      <c r="AT35" s="663"/>
      <c r="AU35" s="663"/>
      <c r="AV35" s="663"/>
      <c r="AW35" s="663"/>
    </row>
    <row r="36">
      <c r="A36" s="663"/>
      <c r="B36" s="663"/>
      <c r="C36" s="663"/>
      <c r="D36" s="663"/>
      <c r="E36" s="663"/>
      <c r="F36" s="663"/>
      <c r="G36" s="663"/>
      <c r="H36" s="663"/>
      <c r="I36" s="663"/>
      <c r="J36" s="663"/>
      <c r="K36" s="663"/>
      <c r="L36" s="663"/>
      <c r="M36" s="663"/>
      <c r="N36" s="663"/>
      <c r="O36" s="663"/>
      <c r="P36" s="663"/>
      <c r="Q36" s="663"/>
      <c r="R36" s="663"/>
      <c r="S36" s="663"/>
      <c r="T36" s="663"/>
      <c r="U36" s="663"/>
      <c r="V36" s="663"/>
      <c r="W36" s="663"/>
      <c r="X36" s="663"/>
      <c r="Y36" s="663"/>
      <c r="Z36" s="663"/>
      <c r="AA36" s="663"/>
      <c r="AB36" s="663"/>
      <c r="AC36" s="663"/>
      <c r="AD36" s="663"/>
      <c r="AE36" s="663"/>
      <c r="AF36" s="663"/>
      <c r="AG36" s="663"/>
      <c r="AH36" s="663"/>
      <c r="AI36" s="663"/>
      <c r="AJ36" s="663"/>
      <c r="AK36" s="663"/>
      <c r="AL36" s="663"/>
      <c r="AM36" s="663"/>
      <c r="AN36" s="663"/>
      <c r="AO36" s="663"/>
      <c r="AP36" s="663"/>
      <c r="AQ36" s="663"/>
      <c r="AR36" s="663"/>
      <c r="AS36" s="663"/>
      <c r="AT36" s="663"/>
      <c r="AU36" s="663"/>
      <c r="AV36" s="663"/>
      <c r="AW36" s="663"/>
    </row>
    <row r="37">
      <c r="A37" s="663"/>
      <c r="B37" s="663"/>
      <c r="C37" s="663"/>
      <c r="D37" s="663"/>
      <c r="E37" s="663"/>
      <c r="F37" s="663"/>
      <c r="G37" s="663"/>
      <c r="H37" s="663"/>
      <c r="I37" s="663"/>
      <c r="J37" s="663"/>
      <c r="K37" s="663"/>
      <c r="L37" s="663"/>
      <c r="M37" s="663"/>
      <c r="N37" s="663"/>
      <c r="O37" s="663"/>
      <c r="P37" s="663"/>
      <c r="Q37" s="663"/>
      <c r="R37" s="663"/>
      <c r="S37" s="663"/>
      <c r="T37" s="663"/>
      <c r="U37" s="663"/>
      <c r="V37" s="663"/>
      <c r="W37" s="663"/>
      <c r="X37" s="663"/>
      <c r="Y37" s="663"/>
      <c r="Z37" s="663"/>
      <c r="AA37" s="663"/>
      <c r="AB37" s="663"/>
      <c r="AC37" s="663"/>
      <c r="AD37" s="663"/>
      <c r="AE37" s="663"/>
      <c r="AF37" s="663"/>
      <c r="AG37" s="663"/>
      <c r="AH37" s="663"/>
      <c r="AI37" s="663"/>
      <c r="AJ37" s="663"/>
      <c r="AK37" s="663"/>
      <c r="AL37" s="663"/>
      <c r="AM37" s="663"/>
      <c r="AN37" s="663"/>
      <c r="AO37" s="663"/>
      <c r="AP37" s="663"/>
      <c r="AQ37" s="663"/>
      <c r="AR37" s="663"/>
      <c r="AS37" s="663"/>
      <c r="AT37" s="663"/>
      <c r="AU37" s="663"/>
      <c r="AV37" s="663"/>
      <c r="AW37" s="663"/>
    </row>
    <row r="38">
      <c r="A38" s="663"/>
      <c r="B38" s="663"/>
      <c r="C38" s="663"/>
      <c r="D38" s="663"/>
      <c r="E38" s="663"/>
      <c r="F38" s="663"/>
      <c r="G38" s="663"/>
      <c r="H38" s="663"/>
      <c r="I38" s="663"/>
      <c r="J38" s="663"/>
      <c r="K38" s="663"/>
      <c r="L38" s="663"/>
      <c r="M38" s="663"/>
      <c r="N38" s="663"/>
      <c r="O38" s="663"/>
      <c r="P38" s="663"/>
      <c r="Q38" s="663"/>
      <c r="R38" s="663"/>
      <c r="S38" s="663"/>
      <c r="T38" s="663"/>
      <c r="U38" s="663"/>
      <c r="V38" s="663"/>
      <c r="W38" s="663"/>
      <c r="X38" s="663"/>
      <c r="Y38" s="663"/>
      <c r="Z38" s="663"/>
      <c r="AA38" s="663"/>
      <c r="AB38" s="663"/>
      <c r="AC38" s="663"/>
      <c r="AD38" s="663"/>
      <c r="AE38" s="663"/>
      <c r="AF38" s="663"/>
      <c r="AG38" s="663"/>
      <c r="AH38" s="663"/>
      <c r="AI38" s="663"/>
      <c r="AJ38" s="663"/>
      <c r="AK38" s="663"/>
      <c r="AL38" s="663"/>
      <c r="AM38" s="663"/>
      <c r="AN38" s="663"/>
      <c r="AO38" s="663"/>
      <c r="AP38" s="663"/>
      <c r="AQ38" s="663"/>
      <c r="AR38" s="663"/>
      <c r="AS38" s="663"/>
      <c r="AT38" s="663"/>
      <c r="AU38" s="663"/>
      <c r="AV38" s="663"/>
      <c r="AW38" s="663"/>
    </row>
    <row r="39">
      <c r="A39" s="663"/>
      <c r="B39" s="663"/>
      <c r="C39" s="663"/>
      <c r="D39" s="663"/>
      <c r="E39" s="663"/>
      <c r="F39" s="663"/>
      <c r="G39" s="663"/>
      <c r="H39" s="663"/>
      <c r="I39" s="663"/>
      <c r="J39" s="663"/>
      <c r="K39" s="663"/>
      <c r="L39" s="663"/>
      <c r="M39" s="663"/>
      <c r="N39" s="663"/>
      <c r="O39" s="663"/>
      <c r="P39" s="663"/>
      <c r="Q39" s="663"/>
      <c r="R39" s="663"/>
      <c r="S39" s="663"/>
      <c r="T39" s="663"/>
      <c r="U39" s="663"/>
      <c r="V39" s="663"/>
      <c r="W39" s="663"/>
      <c r="X39" s="663"/>
      <c r="Y39" s="663"/>
      <c r="Z39" s="663"/>
      <c r="AA39" s="663"/>
      <c r="AB39" s="663"/>
      <c r="AC39" s="663"/>
      <c r="AD39" s="663"/>
      <c r="AE39" s="663"/>
      <c r="AF39" s="663"/>
      <c r="AG39" s="663"/>
      <c r="AH39" s="663"/>
      <c r="AI39" s="663"/>
      <c r="AJ39" s="663"/>
      <c r="AK39" s="663"/>
      <c r="AL39" s="663"/>
      <c r="AM39" s="663"/>
      <c r="AN39" s="663"/>
      <c r="AO39" s="663"/>
      <c r="AP39" s="663"/>
      <c r="AQ39" s="663"/>
      <c r="AR39" s="663"/>
      <c r="AS39" s="663"/>
      <c r="AT39" s="663"/>
      <c r="AU39" s="663"/>
      <c r="AV39" s="663"/>
      <c r="AW39" s="663"/>
    </row>
    <row r="40">
      <c r="A40" s="663"/>
      <c r="B40" s="663"/>
      <c r="C40" s="663"/>
      <c r="D40" s="663"/>
      <c r="E40" s="663"/>
      <c r="F40" s="663"/>
      <c r="G40" s="663"/>
      <c r="H40" s="663"/>
      <c r="I40" s="663"/>
      <c r="J40" s="663"/>
      <c r="K40" s="663"/>
      <c r="L40" s="663"/>
      <c r="M40" s="663"/>
      <c r="N40" s="663"/>
      <c r="O40" s="663"/>
      <c r="P40" s="663"/>
      <c r="Q40" s="663"/>
      <c r="R40" s="663"/>
      <c r="S40" s="663"/>
      <c r="T40" s="663"/>
      <c r="U40" s="663"/>
      <c r="V40" s="663"/>
      <c r="W40" s="663"/>
      <c r="X40" s="663"/>
      <c r="Y40" s="663"/>
      <c r="Z40" s="663"/>
      <c r="AA40" s="663"/>
      <c r="AB40" s="663"/>
      <c r="AC40" s="663"/>
      <c r="AD40" s="663"/>
      <c r="AE40" s="663"/>
      <c r="AF40" s="663"/>
      <c r="AG40" s="663"/>
      <c r="AH40" s="663"/>
      <c r="AI40" s="663"/>
      <c r="AJ40" s="663"/>
      <c r="AK40" s="663"/>
      <c r="AL40" s="663"/>
      <c r="AM40" s="663"/>
      <c r="AN40" s="663"/>
      <c r="AO40" s="663"/>
      <c r="AP40" s="663"/>
      <c r="AQ40" s="663"/>
      <c r="AR40" s="663"/>
      <c r="AS40" s="663"/>
      <c r="AT40" s="663"/>
      <c r="AU40" s="663"/>
      <c r="AV40" s="663"/>
      <c r="AW40" s="663"/>
    </row>
    <row r="41">
      <c r="A41" s="663"/>
      <c r="B41" s="663"/>
      <c r="C41" s="663"/>
      <c r="D41" s="663"/>
      <c r="E41" s="663"/>
      <c r="F41" s="663"/>
      <c r="G41" s="663"/>
      <c r="H41" s="663"/>
      <c r="I41" s="663"/>
      <c r="J41" s="663"/>
      <c r="K41" s="663"/>
      <c r="L41" s="663"/>
      <c r="M41" s="663"/>
      <c r="N41" s="663"/>
      <c r="O41" s="663"/>
      <c r="P41" s="663"/>
      <c r="Q41" s="663"/>
      <c r="R41" s="663"/>
      <c r="S41" s="663"/>
      <c r="T41" s="663"/>
      <c r="U41" s="663"/>
      <c r="V41" s="663"/>
      <c r="W41" s="663"/>
      <c r="X41" s="663"/>
      <c r="Y41" s="663"/>
      <c r="Z41" s="663"/>
      <c r="AA41" s="663"/>
      <c r="AB41" s="663"/>
      <c r="AC41" s="663"/>
      <c r="AD41" s="663"/>
      <c r="AE41" s="663"/>
      <c r="AF41" s="663"/>
      <c r="AG41" s="663"/>
      <c r="AH41" s="663"/>
      <c r="AI41" s="663"/>
      <c r="AJ41" s="663"/>
      <c r="AK41" s="663"/>
      <c r="AL41" s="663"/>
      <c r="AM41" s="663"/>
      <c r="AN41" s="663"/>
      <c r="AO41" s="663"/>
      <c r="AP41" s="663"/>
      <c r="AQ41" s="663"/>
      <c r="AR41" s="663"/>
      <c r="AS41" s="663"/>
      <c r="AT41" s="663"/>
      <c r="AU41" s="663"/>
      <c r="AV41" s="663"/>
      <c r="AW41" s="663"/>
    </row>
    <row r="42">
      <c r="A42" s="663"/>
      <c r="B42" s="663"/>
      <c r="C42" s="663"/>
      <c r="D42" s="663"/>
      <c r="E42" s="663"/>
      <c r="F42" s="663"/>
      <c r="G42" s="663"/>
      <c r="H42" s="663"/>
      <c r="I42" s="663"/>
      <c r="J42" s="663"/>
      <c r="K42" s="663"/>
      <c r="L42" s="663"/>
      <c r="M42" s="663"/>
      <c r="N42" s="663"/>
      <c r="O42" s="663"/>
      <c r="P42" s="663"/>
      <c r="Q42" s="663"/>
      <c r="R42" s="663"/>
      <c r="S42" s="663"/>
      <c r="T42" s="663"/>
      <c r="U42" s="663"/>
      <c r="V42" s="663"/>
      <c r="W42" s="663"/>
      <c r="X42" s="663"/>
      <c r="Y42" s="663"/>
      <c r="Z42" s="663"/>
      <c r="AA42" s="663"/>
      <c r="AB42" s="663"/>
      <c r="AC42" s="663"/>
      <c r="AD42" s="663"/>
      <c r="AE42" s="663"/>
      <c r="AF42" s="663"/>
      <c r="AG42" s="663"/>
      <c r="AH42" s="663"/>
      <c r="AI42" s="663"/>
      <c r="AJ42" s="663"/>
      <c r="AK42" s="663"/>
      <c r="AL42" s="663"/>
      <c r="AM42" s="663"/>
      <c r="AN42" s="663"/>
      <c r="AO42" s="663"/>
      <c r="AP42" s="663"/>
      <c r="AQ42" s="663"/>
      <c r="AR42" s="663"/>
      <c r="AS42" s="663"/>
      <c r="AT42" s="663"/>
      <c r="AU42" s="663"/>
      <c r="AV42" s="663"/>
      <c r="AW42" s="663"/>
    </row>
    <row r="43">
      <c r="A43" s="663"/>
      <c r="B43" s="663"/>
      <c r="C43" s="663"/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N43" s="663"/>
      <c r="O43" s="663"/>
      <c r="P43" s="663"/>
      <c r="Q43" s="663"/>
      <c r="R43" s="663"/>
      <c r="S43" s="663"/>
      <c r="T43" s="663"/>
      <c r="U43" s="663"/>
      <c r="V43" s="663"/>
      <c r="W43" s="663"/>
      <c r="X43" s="663"/>
      <c r="Y43" s="663"/>
      <c r="Z43" s="663"/>
      <c r="AA43" s="663"/>
      <c r="AB43" s="663"/>
      <c r="AC43" s="663"/>
      <c r="AD43" s="663"/>
      <c r="AE43" s="663"/>
      <c r="AF43" s="663"/>
      <c r="AG43" s="663"/>
      <c r="AH43" s="663"/>
      <c r="AI43" s="663"/>
      <c r="AJ43" s="663"/>
      <c r="AK43" s="663"/>
      <c r="AL43" s="663"/>
      <c r="AM43" s="663"/>
      <c r="AN43" s="663"/>
      <c r="AO43" s="663"/>
      <c r="AP43" s="663"/>
      <c r="AQ43" s="663"/>
      <c r="AR43" s="663"/>
      <c r="AS43" s="663"/>
      <c r="AT43" s="663"/>
      <c r="AU43" s="663"/>
      <c r="AV43" s="663"/>
      <c r="AW43" s="663"/>
    </row>
    <row r="44">
      <c r="A44" s="663"/>
      <c r="B44" s="663"/>
      <c r="C44" s="663"/>
      <c r="D44" s="663"/>
      <c r="E44" s="663"/>
      <c r="F44" s="663"/>
      <c r="G44" s="663"/>
      <c r="H44" s="663"/>
      <c r="I44" s="663"/>
      <c r="J44" s="663"/>
      <c r="K44" s="663"/>
      <c r="L44" s="663"/>
      <c r="M44" s="663"/>
      <c r="N44" s="663"/>
      <c r="O44" s="663"/>
      <c r="P44" s="663"/>
      <c r="Q44" s="663"/>
      <c r="R44" s="663"/>
      <c r="S44" s="663"/>
      <c r="T44" s="663"/>
      <c r="U44" s="663"/>
      <c r="V44" s="663"/>
      <c r="W44" s="663"/>
      <c r="X44" s="663"/>
      <c r="Y44" s="663"/>
      <c r="Z44" s="663"/>
      <c r="AA44" s="663"/>
      <c r="AB44" s="663"/>
      <c r="AC44" s="663"/>
      <c r="AD44" s="663"/>
      <c r="AE44" s="663"/>
      <c r="AF44" s="663"/>
      <c r="AG44" s="663"/>
      <c r="AH44" s="663"/>
      <c r="AI44" s="663"/>
      <c r="AJ44" s="663"/>
      <c r="AK44" s="663"/>
      <c r="AL44" s="663"/>
      <c r="AM44" s="663"/>
      <c r="AN44" s="663"/>
      <c r="AO44" s="663"/>
      <c r="AP44" s="663"/>
      <c r="AQ44" s="663"/>
      <c r="AR44" s="663"/>
      <c r="AS44" s="663"/>
      <c r="AT44" s="663"/>
      <c r="AU44" s="663"/>
      <c r="AV44" s="663"/>
      <c r="AW44" s="663"/>
    </row>
    <row r="45">
      <c r="A45" s="663"/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63"/>
      <c r="AB45" s="663"/>
      <c r="AC45" s="663"/>
      <c r="AD45" s="663"/>
      <c r="AE45" s="663"/>
      <c r="AF45" s="663"/>
      <c r="AG45" s="663"/>
      <c r="AH45" s="663"/>
      <c r="AI45" s="663"/>
      <c r="AJ45" s="663"/>
      <c r="AK45" s="663"/>
      <c r="AL45" s="663"/>
      <c r="AM45" s="663"/>
      <c r="AN45" s="663"/>
      <c r="AO45" s="663"/>
      <c r="AP45" s="663"/>
      <c r="AQ45" s="663"/>
      <c r="AR45" s="663"/>
      <c r="AS45" s="663"/>
      <c r="AT45" s="663"/>
      <c r="AU45" s="663"/>
      <c r="AV45" s="663"/>
      <c r="AW45" s="663"/>
    </row>
    <row r="46">
      <c r="A46" s="663"/>
      <c r="B46" s="663"/>
      <c r="C46" s="663"/>
      <c r="D46" s="663"/>
      <c r="E46" s="663"/>
      <c r="F46" s="663"/>
      <c r="G46" s="663"/>
      <c r="H46" s="663"/>
      <c r="I46" s="663"/>
      <c r="J46" s="663"/>
      <c r="K46" s="663"/>
      <c r="L46" s="663"/>
      <c r="M46" s="663"/>
      <c r="N46" s="663"/>
      <c r="O46" s="663"/>
      <c r="P46" s="663"/>
      <c r="Q46" s="663"/>
      <c r="R46" s="663"/>
      <c r="S46" s="663"/>
      <c r="T46" s="663"/>
      <c r="U46" s="663"/>
      <c r="V46" s="663"/>
      <c r="W46" s="663"/>
      <c r="X46" s="663"/>
      <c r="Y46" s="663"/>
      <c r="Z46" s="663"/>
      <c r="AA46" s="663"/>
      <c r="AB46" s="663"/>
      <c r="AC46" s="663"/>
      <c r="AD46" s="663"/>
      <c r="AE46" s="663"/>
      <c r="AF46" s="663"/>
      <c r="AG46" s="663"/>
      <c r="AH46" s="663"/>
      <c r="AI46" s="663"/>
      <c r="AJ46" s="663"/>
      <c r="AK46" s="663"/>
      <c r="AL46" s="663"/>
      <c r="AM46" s="663"/>
      <c r="AN46" s="663"/>
      <c r="AO46" s="663"/>
      <c r="AP46" s="663"/>
      <c r="AQ46" s="663"/>
      <c r="AR46" s="663"/>
      <c r="AS46" s="663"/>
      <c r="AT46" s="663"/>
      <c r="AU46" s="663"/>
      <c r="AV46" s="663"/>
      <c r="AW46" s="663"/>
    </row>
    <row r="47">
      <c r="A47" s="663"/>
      <c r="B47" s="663"/>
      <c r="C47" s="663"/>
      <c r="D47" s="663"/>
      <c r="E47" s="663"/>
      <c r="F47" s="663"/>
      <c r="G47" s="663"/>
      <c r="H47" s="663"/>
      <c r="I47" s="663"/>
      <c r="J47" s="663"/>
      <c r="K47" s="663"/>
      <c r="L47" s="663"/>
      <c r="M47" s="663"/>
      <c r="N47" s="663"/>
      <c r="O47" s="663"/>
      <c r="P47" s="663"/>
      <c r="Q47" s="663"/>
      <c r="R47" s="663"/>
      <c r="S47" s="663"/>
      <c r="T47" s="663"/>
      <c r="U47" s="663"/>
      <c r="V47" s="663"/>
      <c r="W47" s="663"/>
      <c r="X47" s="663"/>
      <c r="Y47" s="663"/>
      <c r="Z47" s="663"/>
      <c r="AA47" s="663"/>
      <c r="AB47" s="663"/>
      <c r="AC47" s="663"/>
      <c r="AD47" s="663"/>
      <c r="AE47" s="663"/>
      <c r="AF47" s="663"/>
      <c r="AG47" s="663"/>
      <c r="AH47" s="663"/>
      <c r="AI47" s="663"/>
      <c r="AJ47" s="663"/>
      <c r="AK47" s="663"/>
      <c r="AL47" s="663"/>
      <c r="AM47" s="663"/>
      <c r="AN47" s="663"/>
      <c r="AO47" s="663"/>
      <c r="AP47" s="663"/>
      <c r="AQ47" s="663"/>
      <c r="AR47" s="663"/>
      <c r="AS47" s="663"/>
      <c r="AT47" s="663"/>
      <c r="AU47" s="663"/>
      <c r="AV47" s="663"/>
      <c r="AW47" s="663"/>
    </row>
    <row r="48">
      <c r="A48" s="663"/>
      <c r="B48" s="663"/>
      <c r="C48" s="663"/>
      <c r="D48" s="663"/>
      <c r="E48" s="663"/>
      <c r="F48" s="663"/>
      <c r="G48" s="663"/>
      <c r="H48" s="663"/>
      <c r="I48" s="663"/>
      <c r="J48" s="663"/>
      <c r="K48" s="663"/>
      <c r="L48" s="663"/>
      <c r="M48" s="663"/>
      <c r="N48" s="663"/>
      <c r="O48" s="663"/>
      <c r="P48" s="663"/>
      <c r="Q48" s="663"/>
      <c r="R48" s="663"/>
      <c r="S48" s="663"/>
      <c r="T48" s="663"/>
      <c r="U48" s="663"/>
      <c r="V48" s="663"/>
      <c r="W48" s="663"/>
      <c r="X48" s="663"/>
      <c r="Y48" s="663"/>
      <c r="Z48" s="663"/>
      <c r="AA48" s="663"/>
      <c r="AB48" s="663"/>
      <c r="AC48" s="663"/>
      <c r="AD48" s="663"/>
      <c r="AE48" s="663"/>
      <c r="AF48" s="663"/>
      <c r="AG48" s="663"/>
      <c r="AH48" s="663"/>
      <c r="AI48" s="663"/>
      <c r="AJ48" s="663"/>
      <c r="AK48" s="663"/>
      <c r="AL48" s="663"/>
      <c r="AM48" s="663"/>
      <c r="AN48" s="663"/>
      <c r="AO48" s="663"/>
      <c r="AP48" s="663"/>
      <c r="AQ48" s="663"/>
      <c r="AR48" s="663"/>
      <c r="AS48" s="663"/>
      <c r="AT48" s="663"/>
      <c r="AU48" s="663"/>
      <c r="AV48" s="663"/>
      <c r="AW48" s="663"/>
    </row>
    <row r="49">
      <c r="A49" s="663"/>
      <c r="B49" s="663"/>
      <c r="C49" s="663"/>
      <c r="D49" s="663"/>
      <c r="E49" s="663"/>
      <c r="F49" s="663"/>
      <c r="G49" s="663"/>
      <c r="H49" s="663"/>
      <c r="I49" s="663"/>
      <c r="J49" s="663"/>
      <c r="K49" s="663"/>
      <c r="L49" s="663"/>
      <c r="M49" s="663"/>
      <c r="N49" s="663"/>
      <c r="O49" s="663"/>
      <c r="P49" s="663"/>
      <c r="Q49" s="663"/>
      <c r="R49" s="663"/>
      <c r="S49" s="663"/>
      <c r="T49" s="663"/>
      <c r="U49" s="663"/>
      <c r="V49" s="663"/>
      <c r="W49" s="663"/>
      <c r="X49" s="663"/>
      <c r="Y49" s="663"/>
      <c r="Z49" s="663"/>
      <c r="AA49" s="663"/>
      <c r="AB49" s="663"/>
      <c r="AC49" s="663"/>
      <c r="AD49" s="663"/>
      <c r="AE49" s="663"/>
      <c r="AF49" s="663"/>
      <c r="AG49" s="663"/>
      <c r="AH49" s="663"/>
      <c r="AI49" s="663"/>
      <c r="AJ49" s="663"/>
      <c r="AK49" s="663"/>
      <c r="AL49" s="663"/>
      <c r="AM49" s="663"/>
      <c r="AN49" s="663"/>
      <c r="AO49" s="663"/>
      <c r="AP49" s="663"/>
      <c r="AQ49" s="663"/>
      <c r="AR49" s="663"/>
      <c r="AS49" s="663"/>
      <c r="AT49" s="663"/>
      <c r="AU49" s="663"/>
      <c r="AV49" s="663"/>
      <c r="AW49" s="663"/>
    </row>
    <row r="50">
      <c r="A50" s="663"/>
      <c r="B50" s="663"/>
      <c r="C50" s="663"/>
      <c r="D50" s="663"/>
      <c r="E50" s="663"/>
      <c r="F50" s="663"/>
      <c r="G50" s="663"/>
      <c r="H50" s="663"/>
      <c r="I50" s="663"/>
      <c r="J50" s="663"/>
      <c r="K50" s="663"/>
      <c r="L50" s="663"/>
      <c r="M50" s="663"/>
      <c r="N50" s="663"/>
      <c r="O50" s="663"/>
      <c r="P50" s="663"/>
      <c r="Q50" s="663"/>
      <c r="R50" s="663"/>
      <c r="S50" s="663"/>
      <c r="T50" s="663"/>
      <c r="U50" s="663"/>
      <c r="V50" s="663"/>
      <c r="W50" s="663"/>
      <c r="X50" s="663"/>
      <c r="Y50" s="663"/>
      <c r="Z50" s="663"/>
      <c r="AA50" s="663"/>
      <c r="AB50" s="663"/>
      <c r="AC50" s="663"/>
      <c r="AD50" s="663"/>
      <c r="AE50" s="663"/>
      <c r="AF50" s="663"/>
      <c r="AG50" s="663"/>
      <c r="AH50" s="663"/>
      <c r="AI50" s="663"/>
      <c r="AJ50" s="663"/>
      <c r="AK50" s="663"/>
      <c r="AL50" s="663"/>
      <c r="AM50" s="663"/>
      <c r="AN50" s="663"/>
      <c r="AO50" s="663"/>
      <c r="AP50" s="663"/>
      <c r="AQ50" s="663"/>
      <c r="AR50" s="663"/>
      <c r="AS50" s="663"/>
      <c r="AT50" s="663"/>
      <c r="AU50" s="663"/>
      <c r="AV50" s="663"/>
      <c r="AW50" s="663"/>
    </row>
    <row r="51">
      <c r="A51" s="663"/>
      <c r="B51" s="663"/>
      <c r="C51" s="663"/>
      <c r="D51" s="663"/>
      <c r="E51" s="663"/>
      <c r="F51" s="663"/>
      <c r="G51" s="663"/>
      <c r="H51" s="663"/>
      <c r="I51" s="663"/>
      <c r="J51" s="663"/>
      <c r="K51" s="663"/>
      <c r="L51" s="663"/>
      <c r="M51" s="663"/>
      <c r="N51" s="663"/>
      <c r="O51" s="663"/>
      <c r="P51" s="663"/>
      <c r="Q51" s="663"/>
      <c r="R51" s="663"/>
      <c r="S51" s="663"/>
      <c r="T51" s="663"/>
      <c r="U51" s="663"/>
      <c r="V51" s="663"/>
      <c r="W51" s="663"/>
      <c r="X51" s="663"/>
      <c r="Y51" s="663"/>
      <c r="Z51" s="663"/>
      <c r="AA51" s="663"/>
      <c r="AB51" s="663"/>
      <c r="AC51" s="663"/>
      <c r="AD51" s="663"/>
      <c r="AE51" s="663"/>
      <c r="AF51" s="663"/>
      <c r="AG51" s="663"/>
      <c r="AH51" s="663"/>
      <c r="AI51" s="663"/>
      <c r="AJ51" s="663"/>
      <c r="AK51" s="663"/>
      <c r="AL51" s="663"/>
      <c r="AM51" s="663"/>
      <c r="AN51" s="663"/>
      <c r="AO51" s="663"/>
      <c r="AP51" s="663"/>
      <c r="AQ51" s="663"/>
      <c r="AR51" s="663"/>
      <c r="AS51" s="663"/>
      <c r="AT51" s="663"/>
      <c r="AU51" s="663"/>
      <c r="AV51" s="663"/>
      <c r="AW51" s="663"/>
    </row>
    <row r="52">
      <c r="A52" s="663"/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63"/>
      <c r="P52" s="663"/>
      <c r="Q52" s="663"/>
      <c r="R52" s="663"/>
      <c r="S52" s="663"/>
      <c r="T52" s="663"/>
      <c r="U52" s="663"/>
      <c r="V52" s="663"/>
      <c r="W52" s="663"/>
      <c r="X52" s="663"/>
      <c r="Y52" s="663"/>
      <c r="Z52" s="663"/>
      <c r="AA52" s="663"/>
      <c r="AB52" s="663"/>
      <c r="AC52" s="663"/>
      <c r="AD52" s="663"/>
      <c r="AE52" s="663"/>
      <c r="AF52" s="663"/>
      <c r="AG52" s="663"/>
      <c r="AH52" s="663"/>
      <c r="AI52" s="663"/>
      <c r="AJ52" s="663"/>
      <c r="AK52" s="663"/>
      <c r="AL52" s="663"/>
      <c r="AM52" s="663"/>
      <c r="AN52" s="663"/>
      <c r="AO52" s="663"/>
      <c r="AP52" s="663"/>
      <c r="AQ52" s="663"/>
      <c r="AR52" s="663"/>
      <c r="AS52" s="663"/>
      <c r="AT52" s="663"/>
      <c r="AU52" s="663"/>
      <c r="AV52" s="663"/>
      <c r="AW52" s="663"/>
    </row>
    <row r="53">
      <c r="A53" s="663"/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63"/>
      <c r="AB53" s="663"/>
      <c r="AC53" s="663"/>
      <c r="AD53" s="663"/>
      <c r="AE53" s="663"/>
      <c r="AF53" s="663"/>
      <c r="AG53" s="663"/>
      <c r="AH53" s="663"/>
      <c r="AI53" s="663"/>
      <c r="AJ53" s="663"/>
      <c r="AK53" s="663"/>
      <c r="AL53" s="663"/>
      <c r="AM53" s="663"/>
      <c r="AN53" s="663"/>
      <c r="AO53" s="663"/>
      <c r="AP53" s="663"/>
      <c r="AQ53" s="663"/>
      <c r="AR53" s="663"/>
      <c r="AS53" s="663"/>
      <c r="AT53" s="663"/>
      <c r="AU53" s="663"/>
      <c r="AV53" s="663"/>
      <c r="AW53" s="663"/>
    </row>
    <row r="54">
      <c r="A54" s="663"/>
      <c r="B54" s="663"/>
      <c r="C54" s="663"/>
      <c r="D54" s="663"/>
      <c r="E54" s="663"/>
      <c r="F54" s="663"/>
      <c r="G54" s="663"/>
      <c r="H54" s="663"/>
      <c r="I54" s="663"/>
      <c r="J54" s="663"/>
      <c r="K54" s="663"/>
      <c r="L54" s="663"/>
      <c r="M54" s="663"/>
      <c r="N54" s="663"/>
      <c r="O54" s="663"/>
      <c r="P54" s="663"/>
      <c r="Q54" s="663"/>
      <c r="R54" s="663"/>
      <c r="S54" s="663"/>
      <c r="T54" s="663"/>
      <c r="U54" s="663"/>
      <c r="V54" s="663"/>
      <c r="W54" s="663"/>
      <c r="X54" s="663"/>
      <c r="Y54" s="663"/>
      <c r="Z54" s="663"/>
      <c r="AA54" s="663"/>
      <c r="AB54" s="663"/>
      <c r="AC54" s="663"/>
      <c r="AD54" s="663"/>
      <c r="AE54" s="663"/>
      <c r="AF54" s="663"/>
      <c r="AG54" s="663"/>
      <c r="AH54" s="663"/>
      <c r="AI54" s="663"/>
      <c r="AJ54" s="663"/>
      <c r="AK54" s="663"/>
      <c r="AL54" s="663"/>
      <c r="AM54" s="663"/>
      <c r="AN54" s="663"/>
      <c r="AO54" s="663"/>
      <c r="AP54" s="663"/>
      <c r="AQ54" s="663"/>
      <c r="AR54" s="663"/>
      <c r="AS54" s="663"/>
      <c r="AT54" s="663"/>
      <c r="AU54" s="663"/>
      <c r="AV54" s="663"/>
      <c r="AW54" s="663"/>
    </row>
    <row r="55">
      <c r="A55" s="663"/>
      <c r="B55" s="663"/>
      <c r="C55" s="663"/>
      <c r="D55" s="663"/>
      <c r="E55" s="663"/>
      <c r="F55" s="663"/>
      <c r="G55" s="663"/>
      <c r="H55" s="663"/>
      <c r="I55" s="663"/>
      <c r="J55" s="663"/>
      <c r="K55" s="663"/>
      <c r="L55" s="663"/>
      <c r="M55" s="663"/>
      <c r="N55" s="663"/>
      <c r="O55" s="663"/>
      <c r="P55" s="663"/>
      <c r="Q55" s="663"/>
      <c r="R55" s="663"/>
      <c r="S55" s="663"/>
      <c r="T55" s="663"/>
      <c r="U55" s="663"/>
      <c r="V55" s="663"/>
      <c r="W55" s="663"/>
      <c r="X55" s="663"/>
      <c r="Y55" s="663"/>
      <c r="Z55" s="663"/>
      <c r="AA55" s="663"/>
      <c r="AB55" s="663"/>
      <c r="AC55" s="663"/>
      <c r="AD55" s="663"/>
      <c r="AE55" s="663"/>
      <c r="AF55" s="663"/>
      <c r="AG55" s="663"/>
      <c r="AH55" s="663"/>
      <c r="AI55" s="663"/>
      <c r="AJ55" s="663"/>
      <c r="AK55" s="663"/>
      <c r="AL55" s="663"/>
      <c r="AM55" s="663"/>
      <c r="AN55" s="663"/>
      <c r="AO55" s="663"/>
      <c r="AP55" s="663"/>
      <c r="AQ55" s="663"/>
      <c r="AR55" s="663"/>
      <c r="AS55" s="663"/>
      <c r="AT55" s="663"/>
      <c r="AU55" s="663"/>
      <c r="AV55" s="663"/>
      <c r="AW55" s="663"/>
    </row>
    <row r="56">
      <c r="A56" s="663"/>
      <c r="B56" s="663"/>
      <c r="C56" s="663"/>
      <c r="D56" s="663"/>
      <c r="E56" s="663"/>
      <c r="F56" s="663"/>
      <c r="G56" s="663"/>
      <c r="H56" s="663"/>
      <c r="I56" s="663"/>
      <c r="J56" s="663"/>
      <c r="K56" s="663"/>
      <c r="L56" s="663"/>
      <c r="M56" s="663"/>
      <c r="N56" s="663"/>
      <c r="O56" s="663"/>
      <c r="P56" s="663"/>
      <c r="Q56" s="663"/>
      <c r="R56" s="663"/>
      <c r="S56" s="663"/>
      <c r="T56" s="663"/>
      <c r="U56" s="663"/>
      <c r="V56" s="663"/>
      <c r="W56" s="663"/>
      <c r="X56" s="663"/>
      <c r="Y56" s="663"/>
      <c r="Z56" s="663"/>
      <c r="AA56" s="663"/>
      <c r="AB56" s="663"/>
      <c r="AC56" s="663"/>
      <c r="AD56" s="663"/>
      <c r="AE56" s="663"/>
      <c r="AF56" s="663"/>
      <c r="AG56" s="663"/>
      <c r="AH56" s="663"/>
      <c r="AI56" s="663"/>
      <c r="AJ56" s="663"/>
      <c r="AK56" s="663"/>
      <c r="AL56" s="663"/>
      <c r="AM56" s="663"/>
      <c r="AN56" s="663"/>
      <c r="AO56" s="663"/>
      <c r="AP56" s="663"/>
      <c r="AQ56" s="663"/>
      <c r="AR56" s="663"/>
      <c r="AS56" s="663"/>
      <c r="AT56" s="663"/>
      <c r="AU56" s="663"/>
      <c r="AV56" s="663"/>
      <c r="AW56" s="663"/>
    </row>
    <row r="57">
      <c r="A57" s="663"/>
      <c r="B57" s="663"/>
      <c r="C57" s="663"/>
      <c r="D57" s="663"/>
      <c r="E57" s="663"/>
      <c r="F57" s="663"/>
      <c r="G57" s="663"/>
      <c r="H57" s="663"/>
      <c r="I57" s="663"/>
      <c r="J57" s="663"/>
      <c r="K57" s="663"/>
      <c r="L57" s="663"/>
      <c r="M57" s="663"/>
      <c r="N57" s="663"/>
      <c r="O57" s="663"/>
      <c r="P57" s="663"/>
      <c r="Q57" s="663"/>
      <c r="R57" s="663"/>
      <c r="S57" s="663"/>
      <c r="T57" s="663"/>
      <c r="U57" s="663"/>
      <c r="V57" s="663"/>
      <c r="W57" s="663"/>
      <c r="X57" s="663"/>
      <c r="Y57" s="663"/>
      <c r="Z57" s="663"/>
      <c r="AA57" s="663"/>
      <c r="AB57" s="663"/>
      <c r="AC57" s="663"/>
      <c r="AD57" s="663"/>
      <c r="AE57" s="663"/>
      <c r="AF57" s="663"/>
      <c r="AG57" s="663"/>
      <c r="AH57" s="663"/>
      <c r="AI57" s="663"/>
      <c r="AJ57" s="663"/>
      <c r="AK57" s="663"/>
      <c r="AL57" s="663"/>
      <c r="AM57" s="663"/>
      <c r="AN57" s="663"/>
      <c r="AO57" s="663"/>
      <c r="AP57" s="663"/>
      <c r="AQ57" s="663"/>
      <c r="AR57" s="663"/>
      <c r="AS57" s="663"/>
      <c r="AT57" s="663"/>
      <c r="AU57" s="663"/>
      <c r="AV57" s="663"/>
      <c r="AW57" s="663"/>
    </row>
    <row r="58">
      <c r="A58" s="663"/>
      <c r="B58" s="663"/>
      <c r="C58" s="663"/>
      <c r="D58" s="663"/>
      <c r="E58" s="663"/>
      <c r="F58" s="663"/>
      <c r="G58" s="663"/>
      <c r="H58" s="663"/>
      <c r="I58" s="663"/>
      <c r="J58" s="663"/>
      <c r="K58" s="663"/>
      <c r="L58" s="663"/>
      <c r="M58" s="663"/>
      <c r="N58" s="663"/>
      <c r="O58" s="663"/>
      <c r="P58" s="663"/>
      <c r="Q58" s="663"/>
      <c r="R58" s="663"/>
      <c r="S58" s="663"/>
      <c r="T58" s="663"/>
      <c r="U58" s="663"/>
      <c r="V58" s="663"/>
      <c r="W58" s="663"/>
      <c r="X58" s="663"/>
      <c r="Y58" s="663"/>
      <c r="Z58" s="663"/>
      <c r="AA58" s="663"/>
      <c r="AB58" s="663"/>
      <c r="AC58" s="663"/>
      <c r="AD58" s="663"/>
      <c r="AE58" s="663"/>
      <c r="AF58" s="663"/>
      <c r="AG58" s="663"/>
      <c r="AH58" s="663"/>
      <c r="AI58" s="663"/>
      <c r="AJ58" s="663"/>
      <c r="AK58" s="663"/>
      <c r="AL58" s="663"/>
      <c r="AM58" s="663"/>
      <c r="AN58" s="663"/>
      <c r="AO58" s="663"/>
      <c r="AP58" s="663"/>
      <c r="AQ58" s="663"/>
      <c r="AR58" s="663"/>
      <c r="AS58" s="663"/>
      <c r="AT58" s="663"/>
      <c r="AU58" s="663"/>
      <c r="AV58" s="663"/>
      <c r="AW58" s="663"/>
    </row>
    <row r="59">
      <c r="A59" s="663"/>
      <c r="B59" s="663"/>
      <c r="C59" s="663"/>
      <c r="D59" s="663"/>
      <c r="E59" s="663"/>
      <c r="F59" s="663"/>
      <c r="G59" s="663"/>
      <c r="H59" s="663"/>
      <c r="I59" s="663"/>
      <c r="J59" s="663"/>
      <c r="K59" s="663"/>
      <c r="L59" s="663"/>
      <c r="M59" s="663"/>
      <c r="N59" s="663"/>
      <c r="O59" s="663"/>
      <c r="P59" s="663"/>
      <c r="Q59" s="663"/>
      <c r="R59" s="663"/>
      <c r="S59" s="663"/>
      <c r="T59" s="663"/>
      <c r="U59" s="663"/>
      <c r="V59" s="663"/>
      <c r="W59" s="663"/>
      <c r="X59" s="663"/>
      <c r="Y59" s="663"/>
      <c r="Z59" s="663"/>
      <c r="AA59" s="663"/>
      <c r="AB59" s="663"/>
      <c r="AC59" s="663"/>
      <c r="AD59" s="663"/>
      <c r="AE59" s="663"/>
      <c r="AF59" s="663"/>
      <c r="AG59" s="663"/>
      <c r="AH59" s="663"/>
      <c r="AI59" s="663"/>
      <c r="AJ59" s="663"/>
      <c r="AK59" s="663"/>
      <c r="AL59" s="663"/>
      <c r="AM59" s="663"/>
      <c r="AN59" s="663"/>
      <c r="AO59" s="663"/>
      <c r="AP59" s="663"/>
      <c r="AQ59" s="663"/>
      <c r="AR59" s="663"/>
      <c r="AS59" s="663"/>
      <c r="AT59" s="663"/>
      <c r="AU59" s="663"/>
      <c r="AV59" s="663"/>
      <c r="AW59" s="663"/>
    </row>
    <row r="60">
      <c r="A60" s="663"/>
      <c r="B60" s="663"/>
      <c r="C60" s="663"/>
      <c r="D60" s="663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3"/>
      <c r="R60" s="663"/>
      <c r="S60" s="663"/>
      <c r="T60" s="663"/>
      <c r="U60" s="663"/>
      <c r="V60" s="663"/>
      <c r="W60" s="663"/>
      <c r="X60" s="663"/>
      <c r="Y60" s="663"/>
      <c r="Z60" s="663"/>
      <c r="AA60" s="663"/>
      <c r="AB60" s="663"/>
      <c r="AC60" s="663"/>
      <c r="AD60" s="663"/>
      <c r="AE60" s="663"/>
      <c r="AF60" s="663"/>
      <c r="AG60" s="663"/>
      <c r="AH60" s="663"/>
      <c r="AI60" s="663"/>
      <c r="AJ60" s="663"/>
      <c r="AK60" s="663"/>
      <c r="AL60" s="663"/>
      <c r="AM60" s="663"/>
      <c r="AN60" s="663"/>
      <c r="AO60" s="663"/>
      <c r="AP60" s="663"/>
      <c r="AQ60" s="663"/>
      <c r="AR60" s="663"/>
      <c r="AS60" s="663"/>
      <c r="AT60" s="663"/>
      <c r="AU60" s="663"/>
      <c r="AV60" s="663"/>
      <c r="AW60" s="663"/>
    </row>
    <row r="61">
      <c r="A61" s="663"/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3"/>
      <c r="R61" s="663"/>
      <c r="S61" s="663"/>
      <c r="T61" s="663"/>
      <c r="U61" s="663"/>
      <c r="V61" s="663"/>
      <c r="W61" s="663"/>
      <c r="X61" s="663"/>
      <c r="Y61" s="663"/>
      <c r="Z61" s="663"/>
      <c r="AA61" s="663"/>
      <c r="AB61" s="663"/>
      <c r="AC61" s="663"/>
      <c r="AD61" s="663"/>
      <c r="AE61" s="663"/>
      <c r="AF61" s="663"/>
      <c r="AG61" s="663"/>
      <c r="AH61" s="663"/>
      <c r="AI61" s="663"/>
      <c r="AJ61" s="663"/>
      <c r="AK61" s="663"/>
      <c r="AL61" s="663"/>
      <c r="AM61" s="663"/>
      <c r="AN61" s="663"/>
      <c r="AO61" s="663"/>
      <c r="AP61" s="663"/>
      <c r="AQ61" s="663"/>
      <c r="AR61" s="663"/>
      <c r="AS61" s="663"/>
      <c r="AT61" s="663"/>
      <c r="AU61" s="663"/>
      <c r="AV61" s="663"/>
      <c r="AW61" s="663"/>
    </row>
    <row r="62">
      <c r="A62" s="663"/>
      <c r="B62" s="663"/>
      <c r="C62" s="663"/>
      <c r="D62" s="663"/>
      <c r="E62" s="663"/>
      <c r="F62" s="663"/>
      <c r="G62" s="663"/>
      <c r="H62" s="663"/>
      <c r="I62" s="663"/>
      <c r="J62" s="663"/>
      <c r="K62" s="663"/>
      <c r="L62" s="663"/>
      <c r="M62" s="663"/>
      <c r="N62" s="663"/>
      <c r="O62" s="663"/>
      <c r="P62" s="663"/>
      <c r="Q62" s="663"/>
      <c r="R62" s="663"/>
      <c r="S62" s="663"/>
      <c r="T62" s="663"/>
      <c r="U62" s="663"/>
      <c r="V62" s="663"/>
      <c r="W62" s="663"/>
      <c r="X62" s="663"/>
      <c r="Y62" s="663"/>
      <c r="Z62" s="663"/>
      <c r="AA62" s="663"/>
      <c r="AB62" s="663"/>
      <c r="AC62" s="663"/>
      <c r="AD62" s="663"/>
      <c r="AE62" s="663"/>
      <c r="AF62" s="663"/>
      <c r="AG62" s="663"/>
      <c r="AH62" s="663"/>
      <c r="AI62" s="663"/>
      <c r="AJ62" s="663"/>
      <c r="AK62" s="663"/>
      <c r="AL62" s="663"/>
      <c r="AM62" s="663"/>
      <c r="AN62" s="663"/>
      <c r="AO62" s="663"/>
      <c r="AP62" s="663"/>
      <c r="AQ62" s="663"/>
      <c r="AR62" s="663"/>
      <c r="AS62" s="663"/>
      <c r="AT62" s="663"/>
      <c r="AU62" s="663"/>
      <c r="AV62" s="663"/>
      <c r="AW62" s="663"/>
    </row>
    <row r="63">
      <c r="A63" s="663"/>
      <c r="B63" s="663"/>
      <c r="C63" s="663"/>
      <c r="D63" s="663"/>
      <c r="E63" s="663"/>
      <c r="F63" s="663"/>
      <c r="G63" s="663"/>
      <c r="H63" s="663"/>
      <c r="I63" s="663"/>
      <c r="J63" s="663"/>
      <c r="K63" s="663"/>
      <c r="L63" s="663"/>
      <c r="M63" s="663"/>
      <c r="N63" s="663"/>
      <c r="O63" s="663"/>
      <c r="P63" s="663"/>
      <c r="Q63" s="663"/>
      <c r="R63" s="663"/>
      <c r="S63" s="663"/>
      <c r="T63" s="663"/>
      <c r="U63" s="663"/>
      <c r="V63" s="663"/>
      <c r="W63" s="663"/>
      <c r="X63" s="663"/>
      <c r="Y63" s="663"/>
      <c r="Z63" s="663"/>
      <c r="AA63" s="663"/>
      <c r="AB63" s="663"/>
      <c r="AC63" s="663"/>
      <c r="AD63" s="663"/>
      <c r="AE63" s="663"/>
      <c r="AF63" s="663"/>
      <c r="AG63" s="663"/>
      <c r="AH63" s="663"/>
      <c r="AI63" s="663"/>
      <c r="AJ63" s="663"/>
      <c r="AK63" s="663"/>
      <c r="AL63" s="663"/>
      <c r="AM63" s="663"/>
      <c r="AN63" s="663"/>
      <c r="AO63" s="663"/>
      <c r="AP63" s="663"/>
      <c r="AQ63" s="663"/>
      <c r="AR63" s="663"/>
      <c r="AS63" s="663"/>
      <c r="AT63" s="663"/>
      <c r="AU63" s="663"/>
      <c r="AV63" s="663"/>
      <c r="AW63" s="663"/>
    </row>
    <row r="64">
      <c r="A64" s="663"/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63"/>
      <c r="P64" s="663"/>
      <c r="Q64" s="663"/>
      <c r="R64" s="663"/>
      <c r="S64" s="663"/>
      <c r="T64" s="663"/>
      <c r="U64" s="663"/>
      <c r="V64" s="663"/>
      <c r="W64" s="663"/>
      <c r="X64" s="663"/>
      <c r="Y64" s="663"/>
      <c r="Z64" s="663"/>
      <c r="AA64" s="663"/>
      <c r="AB64" s="663"/>
      <c r="AC64" s="663"/>
      <c r="AD64" s="663"/>
      <c r="AE64" s="663"/>
      <c r="AF64" s="663"/>
      <c r="AG64" s="663"/>
      <c r="AH64" s="663"/>
      <c r="AI64" s="663"/>
      <c r="AJ64" s="663"/>
      <c r="AK64" s="663"/>
      <c r="AL64" s="663"/>
      <c r="AM64" s="663"/>
      <c r="AN64" s="663"/>
      <c r="AO64" s="663"/>
      <c r="AP64" s="663"/>
      <c r="AQ64" s="663"/>
      <c r="AR64" s="663"/>
      <c r="AS64" s="663"/>
      <c r="AT64" s="663"/>
      <c r="AU64" s="663"/>
      <c r="AV64" s="663"/>
      <c r="AW64" s="663"/>
    </row>
    <row r="65">
      <c r="A65" s="663"/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3"/>
      <c r="Q65" s="663"/>
      <c r="R65" s="663"/>
      <c r="S65" s="663"/>
      <c r="T65" s="663"/>
      <c r="U65" s="663"/>
      <c r="V65" s="663"/>
      <c r="W65" s="663"/>
      <c r="X65" s="663"/>
      <c r="Y65" s="663"/>
      <c r="Z65" s="663"/>
      <c r="AA65" s="663"/>
      <c r="AB65" s="663"/>
      <c r="AC65" s="663"/>
      <c r="AD65" s="663"/>
      <c r="AE65" s="663"/>
      <c r="AF65" s="663"/>
      <c r="AG65" s="663"/>
      <c r="AH65" s="663"/>
      <c r="AI65" s="663"/>
      <c r="AJ65" s="663"/>
      <c r="AK65" s="663"/>
      <c r="AL65" s="663"/>
      <c r="AM65" s="663"/>
      <c r="AN65" s="663"/>
      <c r="AO65" s="663"/>
      <c r="AP65" s="663"/>
      <c r="AQ65" s="663"/>
      <c r="AR65" s="663"/>
      <c r="AS65" s="663"/>
      <c r="AT65" s="663"/>
      <c r="AU65" s="663"/>
      <c r="AV65" s="663"/>
      <c r="AW65" s="663"/>
    </row>
    <row r="66">
      <c r="A66" s="663"/>
      <c r="B66" s="663"/>
      <c r="C66" s="663"/>
      <c r="D66" s="663"/>
      <c r="E66" s="663"/>
      <c r="F66" s="663"/>
      <c r="G66" s="663"/>
      <c r="H66" s="663"/>
      <c r="I66" s="663"/>
      <c r="J66" s="663"/>
      <c r="K66" s="663"/>
      <c r="L66" s="663"/>
      <c r="M66" s="663"/>
      <c r="N66" s="663"/>
      <c r="O66" s="663"/>
      <c r="P66" s="663"/>
      <c r="Q66" s="663"/>
      <c r="R66" s="663"/>
      <c r="S66" s="663"/>
      <c r="T66" s="663"/>
      <c r="U66" s="663"/>
      <c r="V66" s="663"/>
      <c r="W66" s="663"/>
      <c r="X66" s="663"/>
      <c r="Y66" s="663"/>
      <c r="Z66" s="663"/>
      <c r="AA66" s="663"/>
      <c r="AB66" s="663"/>
      <c r="AC66" s="663"/>
      <c r="AD66" s="663"/>
      <c r="AE66" s="663"/>
      <c r="AF66" s="663"/>
      <c r="AG66" s="663"/>
      <c r="AH66" s="663"/>
      <c r="AI66" s="663"/>
      <c r="AJ66" s="663"/>
      <c r="AK66" s="663"/>
      <c r="AL66" s="663"/>
      <c r="AM66" s="663"/>
      <c r="AN66" s="663"/>
      <c r="AO66" s="663"/>
      <c r="AP66" s="663"/>
      <c r="AQ66" s="663"/>
      <c r="AR66" s="663"/>
      <c r="AS66" s="663"/>
      <c r="AT66" s="663"/>
      <c r="AU66" s="663"/>
      <c r="AV66" s="663"/>
      <c r="AW66" s="663"/>
    </row>
    <row r="67">
      <c r="A67" s="663"/>
      <c r="B67" s="663"/>
      <c r="C67" s="663"/>
      <c r="D67" s="663"/>
      <c r="E67" s="663"/>
      <c r="F67" s="663"/>
      <c r="G67" s="663"/>
      <c r="H67" s="663"/>
      <c r="I67" s="663"/>
      <c r="J67" s="663"/>
      <c r="K67" s="663"/>
      <c r="L67" s="663"/>
      <c r="M67" s="663"/>
      <c r="N67" s="663"/>
      <c r="O67" s="663"/>
      <c r="P67" s="663"/>
      <c r="Q67" s="663"/>
      <c r="R67" s="663"/>
      <c r="S67" s="663"/>
      <c r="T67" s="663"/>
      <c r="U67" s="663"/>
      <c r="V67" s="663"/>
      <c r="W67" s="663"/>
      <c r="X67" s="663"/>
      <c r="Y67" s="663"/>
      <c r="Z67" s="663"/>
      <c r="AA67" s="663"/>
      <c r="AB67" s="663"/>
      <c r="AC67" s="663"/>
      <c r="AD67" s="663"/>
      <c r="AE67" s="663"/>
      <c r="AF67" s="663"/>
      <c r="AG67" s="663"/>
      <c r="AH67" s="663"/>
      <c r="AI67" s="663"/>
      <c r="AJ67" s="663"/>
      <c r="AK67" s="663"/>
      <c r="AL67" s="663"/>
      <c r="AM67" s="663"/>
      <c r="AN67" s="663"/>
      <c r="AO67" s="663"/>
      <c r="AP67" s="663"/>
      <c r="AQ67" s="663"/>
      <c r="AR67" s="663"/>
      <c r="AS67" s="663"/>
      <c r="AT67" s="663"/>
      <c r="AU67" s="663"/>
      <c r="AV67" s="663"/>
      <c r="AW67" s="663"/>
    </row>
    <row r="68">
      <c r="A68" s="663"/>
      <c r="B68" s="663"/>
      <c r="C68" s="663"/>
      <c r="D68" s="663"/>
      <c r="E68" s="663"/>
      <c r="F68" s="663"/>
      <c r="G68" s="663"/>
      <c r="H68" s="663"/>
      <c r="I68" s="663"/>
      <c r="J68" s="663"/>
      <c r="K68" s="663"/>
      <c r="L68" s="663"/>
      <c r="M68" s="663"/>
      <c r="N68" s="663"/>
      <c r="O68" s="663"/>
      <c r="P68" s="663"/>
      <c r="Q68" s="663"/>
      <c r="R68" s="663"/>
      <c r="S68" s="663"/>
      <c r="T68" s="663"/>
      <c r="U68" s="663"/>
      <c r="V68" s="663"/>
      <c r="W68" s="663"/>
      <c r="X68" s="663"/>
      <c r="Y68" s="663"/>
      <c r="Z68" s="663"/>
      <c r="AA68" s="663"/>
      <c r="AB68" s="663"/>
      <c r="AC68" s="663"/>
      <c r="AD68" s="663"/>
      <c r="AE68" s="663"/>
      <c r="AF68" s="663"/>
      <c r="AG68" s="663"/>
      <c r="AH68" s="663"/>
      <c r="AI68" s="663"/>
      <c r="AJ68" s="663"/>
      <c r="AK68" s="663"/>
      <c r="AL68" s="663"/>
      <c r="AM68" s="663"/>
      <c r="AN68" s="663"/>
      <c r="AO68" s="663"/>
      <c r="AP68" s="663"/>
      <c r="AQ68" s="663"/>
      <c r="AR68" s="663"/>
      <c r="AS68" s="663"/>
      <c r="AT68" s="663"/>
      <c r="AU68" s="663"/>
      <c r="AV68" s="663"/>
      <c r="AW68" s="663"/>
    </row>
    <row r="69">
      <c r="A69" s="663"/>
      <c r="B69" s="663"/>
      <c r="C69" s="663"/>
      <c r="D69" s="663"/>
      <c r="E69" s="663"/>
      <c r="F69" s="663"/>
      <c r="G69" s="663"/>
      <c r="H69" s="663"/>
      <c r="I69" s="663"/>
      <c r="J69" s="663"/>
      <c r="K69" s="663"/>
      <c r="L69" s="663"/>
      <c r="M69" s="663"/>
      <c r="N69" s="663"/>
      <c r="O69" s="663"/>
      <c r="P69" s="663"/>
      <c r="Q69" s="663"/>
      <c r="R69" s="663"/>
      <c r="S69" s="663"/>
      <c r="T69" s="663"/>
      <c r="U69" s="663"/>
      <c r="V69" s="663"/>
      <c r="W69" s="663"/>
      <c r="X69" s="663"/>
      <c r="Y69" s="663"/>
      <c r="Z69" s="663"/>
      <c r="AA69" s="663"/>
      <c r="AB69" s="663"/>
      <c r="AC69" s="663"/>
      <c r="AD69" s="663"/>
      <c r="AE69" s="663"/>
      <c r="AF69" s="663"/>
      <c r="AG69" s="663"/>
      <c r="AH69" s="663"/>
      <c r="AI69" s="663"/>
      <c r="AJ69" s="663"/>
      <c r="AK69" s="663"/>
      <c r="AL69" s="663"/>
      <c r="AM69" s="663"/>
      <c r="AN69" s="663"/>
      <c r="AO69" s="663"/>
      <c r="AP69" s="663"/>
      <c r="AQ69" s="663"/>
      <c r="AR69" s="663"/>
      <c r="AS69" s="663"/>
      <c r="AT69" s="663"/>
      <c r="AU69" s="663"/>
      <c r="AV69" s="663"/>
      <c r="AW69" s="663"/>
    </row>
    <row r="70">
      <c r="A70" s="663"/>
      <c r="B70" s="663"/>
      <c r="C70" s="663"/>
      <c r="D70" s="663"/>
      <c r="E70" s="663"/>
      <c r="F70" s="663"/>
      <c r="G70" s="663"/>
      <c r="H70" s="663"/>
      <c r="I70" s="663"/>
      <c r="J70" s="663"/>
      <c r="K70" s="663"/>
      <c r="L70" s="663"/>
      <c r="M70" s="663"/>
      <c r="N70" s="663"/>
      <c r="O70" s="663"/>
      <c r="P70" s="663"/>
      <c r="Q70" s="663"/>
      <c r="R70" s="663"/>
      <c r="S70" s="663"/>
      <c r="T70" s="663"/>
      <c r="U70" s="663"/>
      <c r="V70" s="663"/>
      <c r="W70" s="663"/>
      <c r="X70" s="663"/>
      <c r="Y70" s="663"/>
      <c r="Z70" s="663"/>
      <c r="AA70" s="663"/>
      <c r="AB70" s="663"/>
      <c r="AC70" s="663"/>
      <c r="AD70" s="663"/>
      <c r="AE70" s="663"/>
      <c r="AF70" s="663"/>
      <c r="AG70" s="663"/>
      <c r="AH70" s="663"/>
      <c r="AI70" s="663"/>
      <c r="AJ70" s="663"/>
      <c r="AK70" s="663"/>
      <c r="AL70" s="663"/>
      <c r="AM70" s="663"/>
      <c r="AN70" s="663"/>
      <c r="AO70" s="663"/>
      <c r="AP70" s="663"/>
      <c r="AQ70" s="663"/>
      <c r="AR70" s="663"/>
      <c r="AS70" s="663"/>
      <c r="AT70" s="663"/>
      <c r="AU70" s="663"/>
      <c r="AV70" s="663"/>
      <c r="AW70" s="663"/>
    </row>
    <row r="71">
      <c r="A71" s="663"/>
      <c r="B71" s="663"/>
      <c r="C71" s="663"/>
      <c r="D71" s="663"/>
      <c r="E71" s="663"/>
      <c r="F71" s="663"/>
      <c r="G71" s="663"/>
      <c r="H71" s="663"/>
      <c r="I71" s="663"/>
      <c r="J71" s="663"/>
      <c r="K71" s="663"/>
      <c r="L71" s="663"/>
      <c r="M71" s="663"/>
      <c r="N71" s="663"/>
      <c r="O71" s="663"/>
      <c r="P71" s="663"/>
      <c r="Q71" s="663"/>
      <c r="R71" s="663"/>
      <c r="S71" s="663"/>
      <c r="T71" s="663"/>
      <c r="U71" s="663"/>
      <c r="V71" s="663"/>
      <c r="W71" s="663"/>
      <c r="X71" s="663"/>
      <c r="Y71" s="663"/>
      <c r="Z71" s="663"/>
      <c r="AA71" s="663"/>
      <c r="AB71" s="663"/>
      <c r="AC71" s="663"/>
      <c r="AD71" s="663"/>
      <c r="AE71" s="663"/>
      <c r="AF71" s="663"/>
      <c r="AG71" s="663"/>
      <c r="AH71" s="663"/>
      <c r="AI71" s="663"/>
      <c r="AJ71" s="663"/>
      <c r="AK71" s="663"/>
      <c r="AL71" s="663"/>
      <c r="AM71" s="663"/>
      <c r="AN71" s="663"/>
      <c r="AO71" s="663"/>
      <c r="AP71" s="663"/>
      <c r="AQ71" s="663"/>
      <c r="AR71" s="663"/>
      <c r="AS71" s="663"/>
      <c r="AT71" s="663"/>
      <c r="AU71" s="663"/>
      <c r="AV71" s="663"/>
      <c r="AW71" s="663"/>
    </row>
    <row r="72">
      <c r="A72" s="663"/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3"/>
      <c r="P72" s="663"/>
      <c r="Q72" s="663"/>
      <c r="R72" s="663"/>
      <c r="S72" s="663"/>
      <c r="T72" s="663"/>
      <c r="U72" s="663"/>
      <c r="V72" s="663"/>
      <c r="W72" s="663"/>
      <c r="X72" s="663"/>
      <c r="Y72" s="663"/>
      <c r="Z72" s="663"/>
      <c r="AA72" s="663"/>
      <c r="AB72" s="663"/>
      <c r="AC72" s="663"/>
      <c r="AD72" s="663"/>
      <c r="AE72" s="663"/>
      <c r="AF72" s="663"/>
      <c r="AG72" s="663"/>
      <c r="AH72" s="663"/>
      <c r="AI72" s="663"/>
      <c r="AJ72" s="663"/>
      <c r="AK72" s="663"/>
      <c r="AL72" s="663"/>
      <c r="AM72" s="663"/>
      <c r="AN72" s="663"/>
      <c r="AO72" s="663"/>
      <c r="AP72" s="663"/>
      <c r="AQ72" s="663"/>
      <c r="AR72" s="663"/>
      <c r="AS72" s="663"/>
      <c r="AT72" s="663"/>
      <c r="AU72" s="663"/>
      <c r="AV72" s="663"/>
      <c r="AW72" s="663"/>
    </row>
    <row r="73">
      <c r="A73" s="663"/>
      <c r="B73" s="663"/>
      <c r="C73" s="663"/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63"/>
      <c r="P73" s="663"/>
      <c r="Q73" s="663"/>
      <c r="R73" s="663"/>
      <c r="S73" s="663"/>
      <c r="T73" s="663"/>
      <c r="U73" s="663"/>
      <c r="V73" s="663"/>
      <c r="W73" s="663"/>
      <c r="X73" s="663"/>
      <c r="Y73" s="663"/>
      <c r="Z73" s="663"/>
      <c r="AA73" s="663"/>
      <c r="AB73" s="663"/>
      <c r="AC73" s="663"/>
      <c r="AD73" s="663"/>
      <c r="AE73" s="663"/>
      <c r="AF73" s="663"/>
      <c r="AG73" s="663"/>
      <c r="AH73" s="663"/>
      <c r="AI73" s="663"/>
      <c r="AJ73" s="663"/>
      <c r="AK73" s="663"/>
      <c r="AL73" s="663"/>
      <c r="AM73" s="663"/>
      <c r="AN73" s="663"/>
      <c r="AO73" s="663"/>
      <c r="AP73" s="663"/>
      <c r="AQ73" s="663"/>
      <c r="AR73" s="663"/>
      <c r="AS73" s="663"/>
      <c r="AT73" s="663"/>
      <c r="AU73" s="663"/>
      <c r="AV73" s="663"/>
      <c r="AW73" s="663"/>
    </row>
    <row r="74">
      <c r="A74" s="663"/>
      <c r="B74" s="663"/>
      <c r="C74" s="663"/>
      <c r="D74" s="663"/>
      <c r="E74" s="663"/>
      <c r="F74" s="663"/>
      <c r="G74" s="663"/>
      <c r="H74" s="663"/>
      <c r="I74" s="663"/>
      <c r="J74" s="663"/>
      <c r="K74" s="663"/>
      <c r="L74" s="663"/>
      <c r="M74" s="663"/>
      <c r="N74" s="663"/>
      <c r="O74" s="663"/>
      <c r="P74" s="663"/>
      <c r="Q74" s="663"/>
      <c r="R74" s="663"/>
      <c r="S74" s="663"/>
      <c r="T74" s="663"/>
      <c r="U74" s="663"/>
      <c r="V74" s="663"/>
      <c r="W74" s="663"/>
      <c r="X74" s="663"/>
      <c r="Y74" s="663"/>
      <c r="Z74" s="663"/>
      <c r="AA74" s="663"/>
      <c r="AB74" s="663"/>
      <c r="AC74" s="663"/>
      <c r="AD74" s="663"/>
      <c r="AE74" s="663"/>
      <c r="AF74" s="663"/>
      <c r="AG74" s="663"/>
      <c r="AH74" s="663"/>
      <c r="AI74" s="663"/>
      <c r="AJ74" s="663"/>
      <c r="AK74" s="663"/>
      <c r="AL74" s="663"/>
      <c r="AM74" s="663"/>
      <c r="AN74" s="663"/>
      <c r="AO74" s="663"/>
      <c r="AP74" s="663"/>
      <c r="AQ74" s="663"/>
      <c r="AR74" s="663"/>
      <c r="AS74" s="663"/>
      <c r="AT74" s="663"/>
      <c r="AU74" s="663"/>
      <c r="AV74" s="663"/>
      <c r="AW74" s="663"/>
    </row>
    <row r="75">
      <c r="A75" s="663"/>
      <c r="B75" s="663"/>
      <c r="C75" s="663"/>
      <c r="D75" s="663"/>
      <c r="E75" s="663"/>
      <c r="F75" s="663"/>
      <c r="G75" s="663"/>
      <c r="H75" s="663"/>
      <c r="I75" s="663"/>
      <c r="J75" s="663"/>
      <c r="K75" s="663"/>
      <c r="L75" s="663"/>
      <c r="M75" s="663"/>
      <c r="N75" s="663"/>
      <c r="O75" s="663"/>
      <c r="P75" s="663"/>
      <c r="Q75" s="663"/>
      <c r="R75" s="663"/>
      <c r="S75" s="663"/>
      <c r="T75" s="663"/>
      <c r="U75" s="663"/>
      <c r="V75" s="663"/>
      <c r="W75" s="663"/>
      <c r="X75" s="663"/>
      <c r="Y75" s="663"/>
      <c r="Z75" s="663"/>
      <c r="AA75" s="663"/>
      <c r="AB75" s="663"/>
      <c r="AC75" s="663"/>
      <c r="AD75" s="663"/>
      <c r="AE75" s="663"/>
      <c r="AF75" s="663"/>
      <c r="AG75" s="663"/>
      <c r="AH75" s="663"/>
      <c r="AI75" s="663"/>
      <c r="AJ75" s="663"/>
      <c r="AK75" s="663"/>
      <c r="AL75" s="663"/>
      <c r="AM75" s="663"/>
      <c r="AN75" s="663"/>
      <c r="AO75" s="663"/>
      <c r="AP75" s="663"/>
      <c r="AQ75" s="663"/>
      <c r="AR75" s="663"/>
      <c r="AS75" s="663"/>
      <c r="AT75" s="663"/>
      <c r="AU75" s="663"/>
      <c r="AV75" s="663"/>
      <c r="AW75" s="663"/>
    </row>
    <row r="76">
      <c r="A76" s="663"/>
      <c r="B76" s="663"/>
      <c r="C76" s="663"/>
      <c r="D76" s="663"/>
      <c r="E76" s="663"/>
      <c r="F76" s="663"/>
      <c r="G76" s="663"/>
      <c r="H76" s="663"/>
      <c r="I76" s="663"/>
      <c r="J76" s="663"/>
      <c r="K76" s="663"/>
      <c r="L76" s="663"/>
      <c r="M76" s="663"/>
      <c r="N76" s="663"/>
      <c r="O76" s="663"/>
      <c r="P76" s="663"/>
      <c r="Q76" s="663"/>
      <c r="R76" s="663"/>
      <c r="S76" s="663"/>
      <c r="T76" s="663"/>
      <c r="U76" s="663"/>
      <c r="V76" s="663"/>
      <c r="W76" s="663"/>
      <c r="X76" s="663"/>
      <c r="Y76" s="663"/>
      <c r="Z76" s="663"/>
      <c r="AA76" s="663"/>
      <c r="AB76" s="663"/>
      <c r="AC76" s="663"/>
      <c r="AD76" s="663"/>
      <c r="AE76" s="663"/>
      <c r="AF76" s="663"/>
      <c r="AG76" s="663"/>
      <c r="AH76" s="663"/>
      <c r="AI76" s="663"/>
      <c r="AJ76" s="663"/>
      <c r="AK76" s="663"/>
      <c r="AL76" s="663"/>
      <c r="AM76" s="663"/>
      <c r="AN76" s="663"/>
      <c r="AO76" s="663"/>
      <c r="AP76" s="663"/>
      <c r="AQ76" s="663"/>
      <c r="AR76" s="663"/>
      <c r="AS76" s="663"/>
      <c r="AT76" s="663"/>
      <c r="AU76" s="663"/>
      <c r="AV76" s="663"/>
      <c r="AW76" s="663"/>
    </row>
    <row r="77">
      <c r="A77" s="663"/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N77" s="663"/>
      <c r="O77" s="663"/>
      <c r="P77" s="663"/>
      <c r="Q77" s="663"/>
      <c r="R77" s="663"/>
      <c r="S77" s="663"/>
      <c r="T77" s="663"/>
      <c r="U77" s="663"/>
      <c r="V77" s="663"/>
      <c r="W77" s="663"/>
      <c r="X77" s="663"/>
      <c r="Y77" s="663"/>
      <c r="Z77" s="663"/>
      <c r="AA77" s="663"/>
      <c r="AB77" s="663"/>
      <c r="AC77" s="663"/>
      <c r="AD77" s="663"/>
      <c r="AE77" s="663"/>
      <c r="AF77" s="663"/>
      <c r="AG77" s="663"/>
      <c r="AH77" s="663"/>
      <c r="AI77" s="663"/>
      <c r="AJ77" s="663"/>
      <c r="AK77" s="663"/>
      <c r="AL77" s="663"/>
      <c r="AM77" s="663"/>
      <c r="AN77" s="663"/>
      <c r="AO77" s="663"/>
      <c r="AP77" s="663"/>
      <c r="AQ77" s="663"/>
      <c r="AR77" s="663"/>
      <c r="AS77" s="663"/>
      <c r="AT77" s="663"/>
      <c r="AU77" s="663"/>
      <c r="AV77" s="663"/>
      <c r="AW77" s="663"/>
    </row>
    <row r="78">
      <c r="A78" s="663"/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663"/>
      <c r="M78" s="663"/>
      <c r="N78" s="663"/>
      <c r="O78" s="663"/>
      <c r="P78" s="663"/>
      <c r="Q78" s="663"/>
      <c r="R78" s="663"/>
      <c r="S78" s="663"/>
      <c r="T78" s="663"/>
      <c r="U78" s="663"/>
      <c r="V78" s="663"/>
      <c r="W78" s="663"/>
      <c r="X78" s="663"/>
      <c r="Y78" s="663"/>
      <c r="Z78" s="663"/>
      <c r="AA78" s="663"/>
      <c r="AB78" s="663"/>
      <c r="AC78" s="663"/>
      <c r="AD78" s="663"/>
      <c r="AE78" s="663"/>
      <c r="AF78" s="663"/>
      <c r="AG78" s="663"/>
      <c r="AH78" s="663"/>
      <c r="AI78" s="663"/>
      <c r="AJ78" s="663"/>
      <c r="AK78" s="663"/>
      <c r="AL78" s="663"/>
      <c r="AM78" s="663"/>
      <c r="AN78" s="663"/>
      <c r="AO78" s="663"/>
      <c r="AP78" s="663"/>
      <c r="AQ78" s="663"/>
      <c r="AR78" s="663"/>
      <c r="AS78" s="663"/>
      <c r="AT78" s="663"/>
      <c r="AU78" s="663"/>
      <c r="AV78" s="663"/>
      <c r="AW78" s="663"/>
    </row>
    <row r="79">
      <c r="A79" s="663"/>
      <c r="B79" s="663"/>
      <c r="C79" s="663"/>
      <c r="D79" s="663"/>
      <c r="E79" s="663"/>
      <c r="F79" s="663"/>
      <c r="G79" s="663"/>
      <c r="H79" s="663"/>
      <c r="I79" s="663"/>
      <c r="J79" s="663"/>
      <c r="K79" s="663"/>
      <c r="L79" s="663"/>
      <c r="M79" s="663"/>
      <c r="N79" s="663"/>
      <c r="O79" s="663"/>
      <c r="P79" s="663"/>
      <c r="Q79" s="663"/>
      <c r="R79" s="663"/>
      <c r="S79" s="663"/>
      <c r="T79" s="663"/>
      <c r="U79" s="663"/>
      <c r="V79" s="663"/>
      <c r="W79" s="663"/>
      <c r="X79" s="663"/>
      <c r="Y79" s="663"/>
      <c r="Z79" s="663"/>
      <c r="AA79" s="663"/>
      <c r="AB79" s="663"/>
      <c r="AC79" s="663"/>
      <c r="AD79" s="663"/>
      <c r="AE79" s="663"/>
      <c r="AF79" s="663"/>
      <c r="AG79" s="663"/>
      <c r="AH79" s="663"/>
      <c r="AI79" s="663"/>
      <c r="AJ79" s="663"/>
      <c r="AK79" s="663"/>
      <c r="AL79" s="663"/>
      <c r="AM79" s="663"/>
      <c r="AN79" s="663"/>
      <c r="AO79" s="663"/>
      <c r="AP79" s="663"/>
      <c r="AQ79" s="663"/>
      <c r="AR79" s="663"/>
      <c r="AS79" s="663"/>
      <c r="AT79" s="663"/>
      <c r="AU79" s="663"/>
      <c r="AV79" s="663"/>
      <c r="AW79" s="663"/>
    </row>
    <row r="80">
      <c r="A80" s="663"/>
      <c r="B80" s="663"/>
      <c r="C80" s="663"/>
      <c r="D80" s="663"/>
      <c r="E80" s="663"/>
      <c r="F80" s="663"/>
      <c r="G80" s="663"/>
      <c r="H80" s="663"/>
      <c r="I80" s="663"/>
      <c r="J80" s="663"/>
      <c r="K80" s="663"/>
      <c r="L80" s="663"/>
      <c r="M80" s="663"/>
      <c r="N80" s="663"/>
      <c r="O80" s="663"/>
      <c r="P80" s="663"/>
      <c r="Q80" s="663"/>
      <c r="R80" s="663"/>
      <c r="S80" s="663"/>
      <c r="T80" s="663"/>
      <c r="U80" s="663"/>
      <c r="V80" s="663"/>
      <c r="W80" s="663"/>
      <c r="X80" s="663"/>
      <c r="Y80" s="663"/>
      <c r="Z80" s="663"/>
      <c r="AA80" s="663"/>
      <c r="AB80" s="663"/>
      <c r="AC80" s="663"/>
      <c r="AD80" s="663"/>
      <c r="AE80" s="663"/>
      <c r="AF80" s="663"/>
      <c r="AG80" s="663"/>
      <c r="AH80" s="663"/>
      <c r="AI80" s="663"/>
      <c r="AJ80" s="663"/>
      <c r="AK80" s="663"/>
      <c r="AL80" s="663"/>
      <c r="AM80" s="663"/>
      <c r="AN80" s="663"/>
      <c r="AO80" s="663"/>
      <c r="AP80" s="663"/>
      <c r="AQ80" s="663"/>
      <c r="AR80" s="663"/>
      <c r="AS80" s="663"/>
      <c r="AT80" s="663"/>
      <c r="AU80" s="663"/>
      <c r="AV80" s="663"/>
      <c r="AW80" s="663"/>
    </row>
    <row r="81">
      <c r="A81" s="663"/>
      <c r="B81" s="663"/>
      <c r="C81" s="663"/>
      <c r="D81" s="663"/>
      <c r="E81" s="663"/>
      <c r="F81" s="663"/>
      <c r="G81" s="663"/>
      <c r="H81" s="663"/>
      <c r="I81" s="663"/>
      <c r="J81" s="663"/>
      <c r="K81" s="663"/>
      <c r="L81" s="663"/>
      <c r="M81" s="663"/>
      <c r="N81" s="663"/>
      <c r="O81" s="663"/>
      <c r="P81" s="663"/>
      <c r="Q81" s="663"/>
      <c r="R81" s="663"/>
      <c r="S81" s="663"/>
      <c r="T81" s="663"/>
      <c r="U81" s="663"/>
      <c r="V81" s="663"/>
      <c r="W81" s="663"/>
      <c r="X81" s="663"/>
      <c r="Y81" s="663"/>
      <c r="Z81" s="663"/>
      <c r="AA81" s="663"/>
      <c r="AB81" s="663"/>
      <c r="AC81" s="663"/>
      <c r="AD81" s="663"/>
      <c r="AE81" s="663"/>
      <c r="AF81" s="663"/>
      <c r="AG81" s="663"/>
      <c r="AH81" s="663"/>
      <c r="AI81" s="663"/>
      <c r="AJ81" s="663"/>
      <c r="AK81" s="663"/>
      <c r="AL81" s="663"/>
      <c r="AM81" s="663"/>
      <c r="AN81" s="663"/>
      <c r="AO81" s="663"/>
      <c r="AP81" s="663"/>
      <c r="AQ81" s="663"/>
      <c r="AR81" s="663"/>
      <c r="AS81" s="663"/>
      <c r="AT81" s="663"/>
      <c r="AU81" s="663"/>
      <c r="AV81" s="663"/>
      <c r="AW81" s="663"/>
    </row>
    <row r="82">
      <c r="A82" s="663"/>
      <c r="B82" s="663"/>
      <c r="C82" s="663"/>
      <c r="D82" s="663"/>
      <c r="E82" s="663"/>
      <c r="F82" s="663"/>
      <c r="G82" s="663"/>
      <c r="H82" s="663"/>
      <c r="I82" s="663"/>
      <c r="J82" s="663"/>
      <c r="K82" s="663"/>
      <c r="L82" s="663"/>
      <c r="M82" s="663"/>
      <c r="N82" s="663"/>
      <c r="O82" s="663"/>
      <c r="P82" s="663"/>
      <c r="Q82" s="663"/>
      <c r="R82" s="663"/>
      <c r="S82" s="663"/>
      <c r="T82" s="663"/>
      <c r="U82" s="663"/>
      <c r="V82" s="663"/>
      <c r="W82" s="663"/>
      <c r="X82" s="663"/>
      <c r="Y82" s="663"/>
      <c r="Z82" s="663"/>
      <c r="AA82" s="663"/>
      <c r="AB82" s="663"/>
      <c r="AC82" s="663"/>
      <c r="AD82" s="663"/>
      <c r="AE82" s="663"/>
      <c r="AF82" s="663"/>
      <c r="AG82" s="663"/>
      <c r="AH82" s="663"/>
      <c r="AI82" s="663"/>
      <c r="AJ82" s="663"/>
      <c r="AK82" s="663"/>
      <c r="AL82" s="663"/>
      <c r="AM82" s="663"/>
      <c r="AN82" s="663"/>
      <c r="AO82" s="663"/>
      <c r="AP82" s="663"/>
      <c r="AQ82" s="663"/>
      <c r="AR82" s="663"/>
      <c r="AS82" s="663"/>
      <c r="AT82" s="663"/>
      <c r="AU82" s="663"/>
      <c r="AV82" s="663"/>
      <c r="AW82" s="663"/>
    </row>
    <row r="83">
      <c r="A83" s="663"/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63"/>
      <c r="AB83" s="663"/>
      <c r="AC83" s="663"/>
      <c r="AD83" s="663"/>
      <c r="AE83" s="663"/>
      <c r="AF83" s="663"/>
      <c r="AG83" s="663"/>
      <c r="AH83" s="663"/>
      <c r="AI83" s="663"/>
      <c r="AJ83" s="663"/>
      <c r="AK83" s="663"/>
      <c r="AL83" s="663"/>
      <c r="AM83" s="663"/>
      <c r="AN83" s="663"/>
      <c r="AO83" s="663"/>
      <c r="AP83" s="663"/>
      <c r="AQ83" s="663"/>
      <c r="AR83" s="663"/>
      <c r="AS83" s="663"/>
      <c r="AT83" s="663"/>
      <c r="AU83" s="663"/>
      <c r="AV83" s="663"/>
      <c r="AW83" s="663"/>
    </row>
    <row r="84">
      <c r="A84" s="663"/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3"/>
      <c r="P84" s="663"/>
      <c r="Q84" s="663"/>
      <c r="R84" s="663"/>
      <c r="S84" s="663"/>
      <c r="T84" s="663"/>
      <c r="U84" s="663"/>
      <c r="V84" s="663"/>
      <c r="W84" s="663"/>
      <c r="X84" s="663"/>
      <c r="Y84" s="663"/>
      <c r="Z84" s="663"/>
      <c r="AA84" s="663"/>
      <c r="AB84" s="663"/>
      <c r="AC84" s="663"/>
      <c r="AD84" s="663"/>
      <c r="AE84" s="663"/>
      <c r="AF84" s="663"/>
      <c r="AG84" s="663"/>
      <c r="AH84" s="663"/>
      <c r="AI84" s="663"/>
      <c r="AJ84" s="663"/>
      <c r="AK84" s="663"/>
      <c r="AL84" s="663"/>
      <c r="AM84" s="663"/>
      <c r="AN84" s="663"/>
      <c r="AO84" s="663"/>
      <c r="AP84" s="663"/>
      <c r="AQ84" s="663"/>
      <c r="AR84" s="663"/>
      <c r="AS84" s="663"/>
      <c r="AT84" s="663"/>
      <c r="AU84" s="663"/>
      <c r="AV84" s="663"/>
      <c r="AW84" s="663"/>
    </row>
    <row r="85">
      <c r="A85" s="663"/>
      <c r="B85" s="663"/>
      <c r="C85" s="663"/>
      <c r="D85" s="663"/>
      <c r="E85" s="663"/>
      <c r="F85" s="663"/>
      <c r="G85" s="663"/>
      <c r="H85" s="663"/>
      <c r="I85" s="663"/>
      <c r="J85" s="663"/>
      <c r="K85" s="663"/>
      <c r="L85" s="663"/>
      <c r="M85" s="663"/>
      <c r="N85" s="663"/>
      <c r="O85" s="663"/>
      <c r="P85" s="663"/>
      <c r="Q85" s="663"/>
      <c r="R85" s="663"/>
      <c r="S85" s="663"/>
      <c r="T85" s="663"/>
      <c r="U85" s="663"/>
      <c r="V85" s="663"/>
      <c r="W85" s="663"/>
      <c r="X85" s="663"/>
      <c r="Y85" s="663"/>
      <c r="Z85" s="663"/>
      <c r="AA85" s="663"/>
      <c r="AB85" s="663"/>
      <c r="AC85" s="663"/>
      <c r="AD85" s="663"/>
      <c r="AE85" s="663"/>
      <c r="AF85" s="663"/>
      <c r="AG85" s="663"/>
      <c r="AH85" s="663"/>
      <c r="AI85" s="663"/>
      <c r="AJ85" s="663"/>
      <c r="AK85" s="663"/>
      <c r="AL85" s="663"/>
      <c r="AM85" s="663"/>
      <c r="AN85" s="663"/>
      <c r="AO85" s="663"/>
      <c r="AP85" s="663"/>
      <c r="AQ85" s="663"/>
      <c r="AR85" s="663"/>
      <c r="AS85" s="663"/>
      <c r="AT85" s="663"/>
      <c r="AU85" s="663"/>
      <c r="AV85" s="663"/>
      <c r="AW85" s="663"/>
    </row>
    <row r="86">
      <c r="A86" s="663"/>
      <c r="B86" s="663"/>
      <c r="C86" s="663"/>
      <c r="D86" s="663"/>
      <c r="E86" s="663"/>
      <c r="F86" s="663"/>
      <c r="G86" s="663"/>
      <c r="H86" s="663"/>
      <c r="I86" s="663"/>
      <c r="J86" s="663"/>
      <c r="K86" s="663"/>
      <c r="L86" s="663"/>
      <c r="M86" s="663"/>
      <c r="N86" s="663"/>
      <c r="O86" s="663"/>
      <c r="P86" s="663"/>
      <c r="Q86" s="663"/>
      <c r="R86" s="663"/>
      <c r="S86" s="663"/>
      <c r="T86" s="663"/>
      <c r="U86" s="663"/>
      <c r="V86" s="663"/>
      <c r="W86" s="663"/>
      <c r="X86" s="663"/>
      <c r="Y86" s="663"/>
      <c r="Z86" s="663"/>
      <c r="AA86" s="663"/>
      <c r="AB86" s="663"/>
      <c r="AC86" s="663"/>
      <c r="AD86" s="663"/>
      <c r="AE86" s="663"/>
      <c r="AF86" s="663"/>
      <c r="AG86" s="663"/>
      <c r="AH86" s="663"/>
      <c r="AI86" s="663"/>
      <c r="AJ86" s="663"/>
      <c r="AK86" s="663"/>
      <c r="AL86" s="663"/>
      <c r="AM86" s="663"/>
      <c r="AN86" s="663"/>
      <c r="AO86" s="663"/>
      <c r="AP86" s="663"/>
      <c r="AQ86" s="663"/>
      <c r="AR86" s="663"/>
      <c r="AS86" s="663"/>
      <c r="AT86" s="663"/>
      <c r="AU86" s="663"/>
      <c r="AV86" s="663"/>
      <c r="AW86" s="663"/>
    </row>
    <row r="87">
      <c r="A87" s="663"/>
      <c r="B87" s="663"/>
      <c r="C87" s="663"/>
      <c r="D87" s="663"/>
      <c r="E87" s="663"/>
      <c r="F87" s="663"/>
      <c r="G87" s="663"/>
      <c r="H87" s="663"/>
      <c r="I87" s="663"/>
      <c r="J87" s="663"/>
      <c r="K87" s="663"/>
      <c r="L87" s="663"/>
      <c r="M87" s="663"/>
      <c r="N87" s="663"/>
      <c r="O87" s="663"/>
      <c r="P87" s="663"/>
      <c r="Q87" s="663"/>
      <c r="R87" s="663"/>
      <c r="S87" s="663"/>
      <c r="T87" s="663"/>
      <c r="U87" s="663"/>
      <c r="V87" s="663"/>
      <c r="W87" s="663"/>
      <c r="X87" s="663"/>
      <c r="Y87" s="663"/>
      <c r="Z87" s="663"/>
      <c r="AA87" s="663"/>
      <c r="AB87" s="663"/>
      <c r="AC87" s="663"/>
      <c r="AD87" s="663"/>
      <c r="AE87" s="663"/>
      <c r="AF87" s="663"/>
      <c r="AG87" s="663"/>
      <c r="AH87" s="663"/>
      <c r="AI87" s="663"/>
      <c r="AJ87" s="663"/>
      <c r="AK87" s="663"/>
      <c r="AL87" s="663"/>
      <c r="AM87" s="663"/>
      <c r="AN87" s="663"/>
      <c r="AO87" s="663"/>
      <c r="AP87" s="663"/>
      <c r="AQ87" s="663"/>
      <c r="AR87" s="663"/>
      <c r="AS87" s="663"/>
      <c r="AT87" s="663"/>
      <c r="AU87" s="663"/>
      <c r="AV87" s="663"/>
      <c r="AW87" s="663"/>
    </row>
    <row r="88">
      <c r="A88" s="663"/>
      <c r="B88" s="663"/>
      <c r="C88" s="663"/>
      <c r="D88" s="663"/>
      <c r="E88" s="663"/>
      <c r="F88" s="663"/>
      <c r="G88" s="663"/>
      <c r="H88" s="663"/>
      <c r="I88" s="663"/>
      <c r="J88" s="663"/>
      <c r="K88" s="663"/>
      <c r="L88" s="663"/>
      <c r="M88" s="663"/>
      <c r="N88" s="663"/>
      <c r="O88" s="663"/>
      <c r="P88" s="663"/>
      <c r="Q88" s="663"/>
      <c r="R88" s="663"/>
      <c r="S88" s="663"/>
      <c r="T88" s="663"/>
      <c r="U88" s="663"/>
      <c r="V88" s="663"/>
      <c r="W88" s="663"/>
      <c r="X88" s="663"/>
      <c r="Y88" s="663"/>
      <c r="Z88" s="663"/>
      <c r="AA88" s="663"/>
      <c r="AB88" s="663"/>
      <c r="AC88" s="663"/>
      <c r="AD88" s="663"/>
      <c r="AE88" s="663"/>
      <c r="AF88" s="663"/>
      <c r="AG88" s="663"/>
      <c r="AH88" s="663"/>
      <c r="AI88" s="663"/>
      <c r="AJ88" s="663"/>
      <c r="AK88" s="663"/>
      <c r="AL88" s="663"/>
      <c r="AM88" s="663"/>
      <c r="AN88" s="663"/>
      <c r="AO88" s="663"/>
      <c r="AP88" s="663"/>
      <c r="AQ88" s="663"/>
      <c r="AR88" s="663"/>
      <c r="AS88" s="663"/>
      <c r="AT88" s="663"/>
      <c r="AU88" s="663"/>
      <c r="AV88" s="663"/>
      <c r="AW88" s="663"/>
    </row>
    <row r="89">
      <c r="A89" s="663"/>
      <c r="B89" s="663"/>
      <c r="C89" s="663"/>
      <c r="D89" s="663"/>
      <c r="E89" s="663"/>
      <c r="F89" s="663"/>
      <c r="G89" s="663"/>
      <c r="H89" s="663"/>
      <c r="I89" s="663"/>
      <c r="J89" s="663"/>
      <c r="K89" s="663"/>
      <c r="L89" s="663"/>
      <c r="M89" s="663"/>
      <c r="N89" s="663"/>
      <c r="O89" s="663"/>
      <c r="P89" s="663"/>
      <c r="Q89" s="663"/>
      <c r="R89" s="663"/>
      <c r="S89" s="663"/>
      <c r="T89" s="663"/>
      <c r="U89" s="663"/>
      <c r="V89" s="663"/>
      <c r="W89" s="663"/>
      <c r="X89" s="663"/>
      <c r="Y89" s="663"/>
      <c r="Z89" s="663"/>
      <c r="AA89" s="663"/>
      <c r="AB89" s="663"/>
      <c r="AC89" s="663"/>
      <c r="AD89" s="663"/>
      <c r="AE89" s="663"/>
      <c r="AF89" s="663"/>
      <c r="AG89" s="663"/>
      <c r="AH89" s="663"/>
      <c r="AI89" s="663"/>
      <c r="AJ89" s="663"/>
      <c r="AK89" s="663"/>
      <c r="AL89" s="663"/>
      <c r="AM89" s="663"/>
      <c r="AN89" s="663"/>
      <c r="AO89" s="663"/>
      <c r="AP89" s="663"/>
      <c r="AQ89" s="663"/>
      <c r="AR89" s="663"/>
      <c r="AS89" s="663"/>
      <c r="AT89" s="663"/>
      <c r="AU89" s="663"/>
      <c r="AV89" s="663"/>
      <c r="AW89" s="663"/>
    </row>
    <row r="90">
      <c r="A90" s="663"/>
      <c r="B90" s="663"/>
      <c r="C90" s="663"/>
      <c r="D90" s="663"/>
      <c r="E90" s="663"/>
      <c r="F90" s="663"/>
      <c r="G90" s="663"/>
      <c r="H90" s="663"/>
      <c r="I90" s="663"/>
      <c r="J90" s="663"/>
      <c r="K90" s="663"/>
      <c r="L90" s="663"/>
      <c r="M90" s="663"/>
      <c r="N90" s="663"/>
      <c r="O90" s="663"/>
      <c r="P90" s="663"/>
      <c r="Q90" s="663"/>
      <c r="R90" s="663"/>
      <c r="S90" s="663"/>
      <c r="T90" s="663"/>
      <c r="U90" s="663"/>
      <c r="V90" s="663"/>
      <c r="W90" s="663"/>
      <c r="X90" s="663"/>
      <c r="Y90" s="663"/>
      <c r="Z90" s="663"/>
      <c r="AA90" s="663"/>
      <c r="AB90" s="663"/>
      <c r="AC90" s="663"/>
      <c r="AD90" s="663"/>
      <c r="AE90" s="663"/>
      <c r="AF90" s="663"/>
      <c r="AG90" s="663"/>
      <c r="AH90" s="663"/>
      <c r="AI90" s="663"/>
      <c r="AJ90" s="663"/>
      <c r="AK90" s="663"/>
      <c r="AL90" s="663"/>
      <c r="AM90" s="663"/>
      <c r="AN90" s="663"/>
      <c r="AO90" s="663"/>
      <c r="AP90" s="663"/>
      <c r="AQ90" s="663"/>
      <c r="AR90" s="663"/>
      <c r="AS90" s="663"/>
      <c r="AT90" s="663"/>
      <c r="AU90" s="663"/>
      <c r="AV90" s="663"/>
      <c r="AW90" s="663"/>
    </row>
    <row r="91">
      <c r="A91" s="663"/>
      <c r="B91" s="663"/>
      <c r="C91" s="663"/>
      <c r="D91" s="663"/>
      <c r="E91" s="663"/>
      <c r="F91" s="663"/>
      <c r="G91" s="663"/>
      <c r="H91" s="663"/>
      <c r="I91" s="663"/>
      <c r="J91" s="663"/>
      <c r="K91" s="663"/>
      <c r="L91" s="663"/>
      <c r="M91" s="663"/>
      <c r="N91" s="663"/>
      <c r="O91" s="663"/>
      <c r="P91" s="663"/>
      <c r="Q91" s="663"/>
      <c r="R91" s="663"/>
      <c r="S91" s="663"/>
      <c r="T91" s="663"/>
      <c r="U91" s="663"/>
      <c r="V91" s="663"/>
      <c r="W91" s="663"/>
      <c r="X91" s="663"/>
      <c r="Y91" s="663"/>
      <c r="Z91" s="663"/>
      <c r="AA91" s="663"/>
      <c r="AB91" s="663"/>
      <c r="AC91" s="663"/>
      <c r="AD91" s="663"/>
      <c r="AE91" s="663"/>
      <c r="AF91" s="663"/>
      <c r="AG91" s="663"/>
      <c r="AH91" s="663"/>
      <c r="AI91" s="663"/>
      <c r="AJ91" s="663"/>
      <c r="AK91" s="663"/>
      <c r="AL91" s="663"/>
      <c r="AM91" s="663"/>
      <c r="AN91" s="663"/>
      <c r="AO91" s="663"/>
      <c r="AP91" s="663"/>
      <c r="AQ91" s="663"/>
      <c r="AR91" s="663"/>
      <c r="AS91" s="663"/>
      <c r="AT91" s="663"/>
      <c r="AU91" s="663"/>
      <c r="AV91" s="663"/>
      <c r="AW91" s="663"/>
    </row>
    <row r="92">
      <c r="A92" s="663"/>
      <c r="B92" s="663"/>
      <c r="C92" s="663"/>
      <c r="D92" s="663"/>
      <c r="E92" s="663"/>
      <c r="F92" s="663"/>
      <c r="G92" s="663"/>
      <c r="H92" s="663"/>
      <c r="I92" s="663"/>
      <c r="J92" s="663"/>
      <c r="K92" s="663"/>
      <c r="L92" s="663"/>
      <c r="M92" s="663"/>
      <c r="N92" s="663"/>
      <c r="O92" s="663"/>
      <c r="P92" s="663"/>
      <c r="Q92" s="663"/>
      <c r="R92" s="663"/>
      <c r="S92" s="663"/>
      <c r="T92" s="663"/>
      <c r="U92" s="663"/>
      <c r="V92" s="663"/>
      <c r="W92" s="663"/>
      <c r="X92" s="663"/>
      <c r="Y92" s="663"/>
      <c r="Z92" s="663"/>
      <c r="AA92" s="663"/>
      <c r="AB92" s="663"/>
      <c r="AC92" s="663"/>
      <c r="AD92" s="663"/>
      <c r="AE92" s="663"/>
      <c r="AF92" s="663"/>
      <c r="AG92" s="663"/>
      <c r="AH92" s="663"/>
      <c r="AI92" s="663"/>
      <c r="AJ92" s="663"/>
      <c r="AK92" s="663"/>
      <c r="AL92" s="663"/>
      <c r="AM92" s="663"/>
      <c r="AN92" s="663"/>
      <c r="AO92" s="663"/>
      <c r="AP92" s="663"/>
      <c r="AQ92" s="663"/>
      <c r="AR92" s="663"/>
      <c r="AS92" s="663"/>
      <c r="AT92" s="663"/>
      <c r="AU92" s="663"/>
      <c r="AV92" s="663"/>
      <c r="AW92" s="663"/>
    </row>
    <row r="93">
      <c r="A93" s="663"/>
      <c r="B93" s="663"/>
      <c r="C93" s="663"/>
      <c r="D93" s="663"/>
      <c r="E93" s="663"/>
      <c r="F93" s="663"/>
      <c r="G93" s="663"/>
      <c r="H93" s="663"/>
      <c r="I93" s="663"/>
      <c r="J93" s="663"/>
      <c r="K93" s="663"/>
      <c r="L93" s="663"/>
      <c r="M93" s="663"/>
      <c r="N93" s="663"/>
      <c r="O93" s="663"/>
      <c r="P93" s="663"/>
      <c r="Q93" s="663"/>
      <c r="R93" s="663"/>
      <c r="S93" s="663"/>
      <c r="T93" s="663"/>
      <c r="U93" s="663"/>
      <c r="V93" s="663"/>
      <c r="W93" s="663"/>
      <c r="X93" s="663"/>
      <c r="Y93" s="663"/>
      <c r="Z93" s="663"/>
      <c r="AA93" s="663"/>
      <c r="AB93" s="663"/>
      <c r="AC93" s="663"/>
      <c r="AD93" s="663"/>
      <c r="AE93" s="663"/>
      <c r="AF93" s="663"/>
      <c r="AG93" s="663"/>
      <c r="AH93" s="663"/>
      <c r="AI93" s="663"/>
      <c r="AJ93" s="663"/>
      <c r="AK93" s="663"/>
      <c r="AL93" s="663"/>
      <c r="AM93" s="663"/>
      <c r="AN93" s="663"/>
      <c r="AO93" s="663"/>
      <c r="AP93" s="663"/>
      <c r="AQ93" s="663"/>
      <c r="AR93" s="663"/>
      <c r="AS93" s="663"/>
      <c r="AT93" s="663"/>
      <c r="AU93" s="663"/>
      <c r="AV93" s="663"/>
      <c r="AW93" s="663"/>
    </row>
    <row r="94">
      <c r="A94" s="663"/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63"/>
      <c r="P94" s="663"/>
      <c r="Q94" s="663"/>
      <c r="R94" s="663"/>
      <c r="S94" s="663"/>
      <c r="T94" s="663"/>
      <c r="U94" s="663"/>
      <c r="V94" s="663"/>
      <c r="W94" s="663"/>
      <c r="X94" s="663"/>
      <c r="Y94" s="663"/>
      <c r="Z94" s="663"/>
      <c r="AA94" s="663"/>
      <c r="AB94" s="663"/>
      <c r="AC94" s="663"/>
      <c r="AD94" s="663"/>
      <c r="AE94" s="663"/>
      <c r="AF94" s="663"/>
      <c r="AG94" s="663"/>
      <c r="AH94" s="663"/>
      <c r="AI94" s="663"/>
      <c r="AJ94" s="663"/>
      <c r="AK94" s="663"/>
      <c r="AL94" s="663"/>
      <c r="AM94" s="663"/>
      <c r="AN94" s="663"/>
      <c r="AO94" s="663"/>
      <c r="AP94" s="663"/>
      <c r="AQ94" s="663"/>
      <c r="AR94" s="663"/>
      <c r="AS94" s="663"/>
      <c r="AT94" s="663"/>
      <c r="AU94" s="663"/>
      <c r="AV94" s="663"/>
      <c r="AW94" s="663"/>
    </row>
    <row r="95">
      <c r="A95" s="663"/>
      <c r="B95" s="663"/>
      <c r="C95" s="663"/>
      <c r="D95" s="663"/>
      <c r="E95" s="663"/>
      <c r="F95" s="663"/>
      <c r="G95" s="663"/>
      <c r="H95" s="663"/>
      <c r="I95" s="663"/>
      <c r="J95" s="663"/>
      <c r="K95" s="663"/>
      <c r="L95" s="663"/>
      <c r="M95" s="663"/>
      <c r="N95" s="663"/>
      <c r="O95" s="663"/>
      <c r="P95" s="663"/>
      <c r="Q95" s="663"/>
      <c r="R95" s="663"/>
      <c r="S95" s="663"/>
      <c r="T95" s="663"/>
      <c r="U95" s="663"/>
      <c r="V95" s="663"/>
      <c r="W95" s="663"/>
      <c r="X95" s="663"/>
      <c r="Y95" s="663"/>
      <c r="Z95" s="663"/>
      <c r="AA95" s="663"/>
      <c r="AB95" s="663"/>
      <c r="AC95" s="663"/>
      <c r="AD95" s="663"/>
      <c r="AE95" s="663"/>
      <c r="AF95" s="663"/>
      <c r="AG95" s="663"/>
      <c r="AH95" s="663"/>
      <c r="AI95" s="663"/>
      <c r="AJ95" s="663"/>
      <c r="AK95" s="663"/>
      <c r="AL95" s="663"/>
      <c r="AM95" s="663"/>
      <c r="AN95" s="663"/>
      <c r="AO95" s="663"/>
      <c r="AP95" s="663"/>
      <c r="AQ95" s="663"/>
      <c r="AR95" s="663"/>
      <c r="AS95" s="663"/>
      <c r="AT95" s="663"/>
      <c r="AU95" s="663"/>
      <c r="AV95" s="663"/>
      <c r="AW95" s="663"/>
    </row>
    <row r="96">
      <c r="A96" s="663"/>
      <c r="B96" s="663"/>
      <c r="C96" s="663"/>
      <c r="D96" s="663"/>
      <c r="E96" s="663"/>
      <c r="F96" s="663"/>
      <c r="G96" s="663"/>
      <c r="H96" s="663"/>
      <c r="I96" s="663"/>
      <c r="J96" s="663"/>
      <c r="K96" s="663"/>
      <c r="L96" s="663"/>
      <c r="M96" s="663"/>
      <c r="N96" s="663"/>
      <c r="O96" s="663"/>
      <c r="P96" s="663"/>
      <c r="Q96" s="663"/>
      <c r="R96" s="663"/>
      <c r="S96" s="663"/>
      <c r="T96" s="663"/>
      <c r="U96" s="663"/>
      <c r="V96" s="663"/>
      <c r="W96" s="663"/>
      <c r="X96" s="663"/>
      <c r="Y96" s="663"/>
      <c r="Z96" s="663"/>
      <c r="AA96" s="663"/>
      <c r="AB96" s="663"/>
      <c r="AC96" s="663"/>
      <c r="AD96" s="663"/>
      <c r="AE96" s="663"/>
      <c r="AF96" s="663"/>
      <c r="AG96" s="663"/>
      <c r="AH96" s="663"/>
      <c r="AI96" s="663"/>
      <c r="AJ96" s="663"/>
      <c r="AK96" s="663"/>
      <c r="AL96" s="663"/>
      <c r="AM96" s="663"/>
      <c r="AN96" s="663"/>
      <c r="AO96" s="663"/>
      <c r="AP96" s="663"/>
      <c r="AQ96" s="663"/>
      <c r="AR96" s="663"/>
      <c r="AS96" s="663"/>
      <c r="AT96" s="663"/>
      <c r="AU96" s="663"/>
      <c r="AV96" s="663"/>
      <c r="AW96" s="663"/>
    </row>
    <row r="97">
      <c r="A97" s="663"/>
      <c r="B97" s="663"/>
      <c r="C97" s="663"/>
      <c r="D97" s="663"/>
      <c r="E97" s="663"/>
      <c r="F97" s="663"/>
      <c r="G97" s="663"/>
      <c r="H97" s="663"/>
      <c r="I97" s="663"/>
      <c r="J97" s="663"/>
      <c r="K97" s="663"/>
      <c r="L97" s="663"/>
      <c r="M97" s="663"/>
      <c r="N97" s="663"/>
      <c r="O97" s="663"/>
      <c r="P97" s="663"/>
      <c r="Q97" s="663"/>
      <c r="R97" s="663"/>
      <c r="S97" s="663"/>
      <c r="T97" s="663"/>
      <c r="U97" s="663"/>
      <c r="V97" s="663"/>
      <c r="W97" s="663"/>
      <c r="X97" s="663"/>
      <c r="Y97" s="663"/>
      <c r="Z97" s="663"/>
      <c r="AA97" s="663"/>
      <c r="AB97" s="663"/>
      <c r="AC97" s="663"/>
      <c r="AD97" s="663"/>
      <c r="AE97" s="663"/>
      <c r="AF97" s="663"/>
      <c r="AG97" s="663"/>
      <c r="AH97" s="663"/>
      <c r="AI97" s="663"/>
      <c r="AJ97" s="663"/>
      <c r="AK97" s="663"/>
      <c r="AL97" s="663"/>
      <c r="AM97" s="663"/>
      <c r="AN97" s="663"/>
      <c r="AO97" s="663"/>
      <c r="AP97" s="663"/>
      <c r="AQ97" s="663"/>
      <c r="AR97" s="663"/>
      <c r="AS97" s="663"/>
      <c r="AT97" s="663"/>
      <c r="AU97" s="663"/>
      <c r="AV97" s="663"/>
      <c r="AW97" s="663"/>
    </row>
    <row r="98">
      <c r="A98" s="663"/>
      <c r="B98" s="663"/>
      <c r="C98" s="663"/>
      <c r="D98" s="663"/>
      <c r="E98" s="663"/>
      <c r="F98" s="663"/>
      <c r="G98" s="663"/>
      <c r="H98" s="663"/>
      <c r="I98" s="663"/>
      <c r="J98" s="663"/>
      <c r="K98" s="663"/>
      <c r="L98" s="663"/>
      <c r="M98" s="663"/>
      <c r="N98" s="663"/>
      <c r="O98" s="663"/>
      <c r="P98" s="663"/>
      <c r="Q98" s="663"/>
      <c r="R98" s="663"/>
      <c r="S98" s="663"/>
      <c r="T98" s="663"/>
      <c r="U98" s="663"/>
      <c r="V98" s="663"/>
      <c r="W98" s="663"/>
      <c r="X98" s="663"/>
      <c r="Y98" s="663"/>
      <c r="Z98" s="663"/>
      <c r="AA98" s="663"/>
      <c r="AB98" s="663"/>
      <c r="AC98" s="663"/>
      <c r="AD98" s="663"/>
      <c r="AE98" s="663"/>
      <c r="AF98" s="663"/>
      <c r="AG98" s="663"/>
      <c r="AH98" s="663"/>
      <c r="AI98" s="663"/>
      <c r="AJ98" s="663"/>
      <c r="AK98" s="663"/>
      <c r="AL98" s="663"/>
      <c r="AM98" s="663"/>
      <c r="AN98" s="663"/>
      <c r="AO98" s="663"/>
      <c r="AP98" s="663"/>
      <c r="AQ98" s="663"/>
      <c r="AR98" s="663"/>
      <c r="AS98" s="663"/>
      <c r="AT98" s="663"/>
      <c r="AU98" s="663"/>
      <c r="AV98" s="663"/>
      <c r="AW98" s="663"/>
    </row>
    <row r="99">
      <c r="A99" s="663"/>
      <c r="B99" s="663"/>
      <c r="C99" s="663"/>
      <c r="D99" s="663"/>
      <c r="E99" s="663"/>
      <c r="F99" s="663"/>
      <c r="G99" s="663"/>
      <c r="H99" s="663"/>
      <c r="I99" s="663"/>
      <c r="J99" s="663"/>
      <c r="K99" s="663"/>
      <c r="L99" s="663"/>
      <c r="M99" s="663"/>
      <c r="N99" s="663"/>
      <c r="O99" s="663"/>
      <c r="P99" s="663"/>
      <c r="Q99" s="663"/>
      <c r="R99" s="663"/>
      <c r="S99" s="663"/>
      <c r="T99" s="663"/>
      <c r="U99" s="663"/>
      <c r="V99" s="663"/>
      <c r="W99" s="663"/>
      <c r="X99" s="663"/>
      <c r="Y99" s="663"/>
      <c r="Z99" s="663"/>
      <c r="AA99" s="663"/>
      <c r="AB99" s="663"/>
      <c r="AC99" s="663"/>
      <c r="AD99" s="663"/>
      <c r="AE99" s="663"/>
      <c r="AF99" s="663"/>
      <c r="AG99" s="663"/>
      <c r="AH99" s="663"/>
      <c r="AI99" s="663"/>
      <c r="AJ99" s="663"/>
      <c r="AK99" s="663"/>
      <c r="AL99" s="663"/>
      <c r="AM99" s="663"/>
      <c r="AN99" s="663"/>
      <c r="AO99" s="663"/>
      <c r="AP99" s="663"/>
      <c r="AQ99" s="663"/>
      <c r="AR99" s="663"/>
      <c r="AS99" s="663"/>
      <c r="AT99" s="663"/>
      <c r="AU99" s="663"/>
      <c r="AV99" s="663"/>
      <c r="AW99" s="663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25"/>
    <col customWidth="1" min="2" max="2" width="24.0"/>
    <col customWidth="1" min="3" max="3" width="14.5"/>
    <col customWidth="1" hidden="1" min="4" max="6" width="5.25"/>
    <col customWidth="1" min="7" max="7" width="5.0"/>
    <col customWidth="1" min="8" max="8" width="5.88"/>
    <col customWidth="1" min="9" max="9" width="5.63"/>
    <col customWidth="1" min="10" max="10" width="4.5"/>
    <col customWidth="1" min="11" max="11" width="6.88"/>
    <col customWidth="1" min="12" max="12" width="6.5"/>
    <col customWidth="1" min="13" max="13" width="6.63"/>
    <col customWidth="1" min="14" max="14" width="6.13"/>
    <col customWidth="1" min="15" max="15" width="8.5"/>
    <col customWidth="1" min="16" max="16" width="8.88"/>
    <col customWidth="1" min="17" max="17" width="9.5"/>
    <col customWidth="1" min="18" max="18" width="10.5"/>
    <col customWidth="1" min="19" max="19" width="10.38"/>
    <col customWidth="1" min="20" max="20" width="11.63"/>
    <col customWidth="1" min="21" max="21" width="12.88"/>
    <col customWidth="1" min="22" max="22" width="11.88"/>
    <col customWidth="1" min="23" max="23" width="9.38"/>
    <col customWidth="1" min="24" max="24" width="11.63"/>
    <col customWidth="1" min="25" max="25" width="10.13"/>
    <col customWidth="1" min="26" max="26" width="9.0"/>
    <col customWidth="1" min="27" max="27" width="8.0"/>
    <col customWidth="1" min="28" max="28" width="10.0"/>
    <col customWidth="1" min="29" max="29" width="10.13"/>
    <col customWidth="1" min="30" max="30" width="11.88"/>
    <col customWidth="1" min="31" max="31" width="11.13"/>
    <col customWidth="1" min="32" max="32" width="12.63"/>
    <col customWidth="1" min="33" max="33" width="9.0"/>
    <col customWidth="1" min="34" max="34" width="7.63"/>
    <col customWidth="1" min="35" max="35" width="8.25"/>
    <col customWidth="1" min="36" max="36" width="12.5"/>
    <col customWidth="1" min="37" max="37" width="13.25"/>
    <col customWidth="1" min="38" max="38" width="8.5"/>
    <col customWidth="1" min="39" max="40" width="9.13"/>
    <col customWidth="1" min="41" max="41" width="13.25"/>
    <col customWidth="1" min="42" max="42" width="15.0"/>
    <col customWidth="1" min="43" max="43" width="7.5"/>
    <col customWidth="1" min="44" max="44" width="10.0"/>
    <col customWidth="1" min="45" max="45" width="10.13"/>
    <col customWidth="1" min="46" max="46" width="11.38"/>
    <col customWidth="1" min="47" max="47" width="12.13"/>
    <col customWidth="1" min="48" max="48" width="11.25"/>
    <col customWidth="1" min="49" max="49" width="11.13"/>
    <col customWidth="1" min="50" max="50" width="11.5"/>
    <col customWidth="1" min="51" max="52" width="10.75"/>
    <col customWidth="1" min="53" max="53" width="11.0"/>
    <col customWidth="1" min="54" max="54" width="9.38"/>
    <col customWidth="1" min="55" max="57" width="9.63"/>
    <col customWidth="1" hidden="1" min="58" max="58" width="9.63"/>
  </cols>
  <sheetData>
    <row r="1">
      <c r="A1" s="12" t="s">
        <v>632</v>
      </c>
      <c r="B1" s="12" t="s">
        <v>188</v>
      </c>
      <c r="C1" s="12" t="s">
        <v>394</v>
      </c>
      <c r="D1" s="12" t="s">
        <v>633</v>
      </c>
      <c r="E1" s="1" t="s">
        <v>634</v>
      </c>
      <c r="F1" s="1" t="s">
        <v>635</v>
      </c>
      <c r="G1" s="12" t="s">
        <v>189</v>
      </c>
      <c r="H1" s="12" t="s">
        <v>636</v>
      </c>
      <c r="I1" s="12" t="s">
        <v>20</v>
      </c>
      <c r="J1" s="12" t="s">
        <v>21</v>
      </c>
      <c r="K1" s="12" t="s">
        <v>22</v>
      </c>
      <c r="L1" s="12" t="s">
        <v>23</v>
      </c>
      <c r="M1" s="12" t="s">
        <v>24</v>
      </c>
      <c r="N1" s="12" t="s">
        <v>25</v>
      </c>
      <c r="O1" s="12" t="s">
        <v>26</v>
      </c>
      <c r="P1" s="12" t="s">
        <v>27</v>
      </c>
      <c r="Q1" s="12" t="s">
        <v>28</v>
      </c>
      <c r="R1" s="12" t="s">
        <v>29</v>
      </c>
      <c r="S1" s="12" t="s">
        <v>30</v>
      </c>
      <c r="T1" s="12" t="s">
        <v>31</v>
      </c>
      <c r="U1" s="12" t="s">
        <v>32</v>
      </c>
      <c r="V1" s="12" t="s">
        <v>637</v>
      </c>
      <c r="W1" s="12" t="s">
        <v>337</v>
      </c>
      <c r="X1" s="12" t="s">
        <v>339</v>
      </c>
      <c r="Y1" s="12" t="s">
        <v>33</v>
      </c>
      <c r="Z1" s="12" t="s">
        <v>34</v>
      </c>
      <c r="AA1" s="12" t="s">
        <v>35</v>
      </c>
      <c r="AB1" s="12" t="s">
        <v>36</v>
      </c>
      <c r="AC1" s="12" t="s">
        <v>37</v>
      </c>
      <c r="AD1" s="12" t="s">
        <v>38</v>
      </c>
      <c r="AE1" s="12" t="s">
        <v>39</v>
      </c>
      <c r="AF1" s="12" t="s">
        <v>542</v>
      </c>
      <c r="AG1" s="12" t="s">
        <v>543</v>
      </c>
      <c r="AH1" s="12" t="s">
        <v>349</v>
      </c>
      <c r="AI1" s="12" t="s">
        <v>40</v>
      </c>
      <c r="AJ1" s="12" t="s">
        <v>638</v>
      </c>
      <c r="AK1" s="12" t="s">
        <v>350</v>
      </c>
      <c r="AL1" s="12" t="s">
        <v>41</v>
      </c>
      <c r="AM1" s="12" t="s">
        <v>42</v>
      </c>
      <c r="AN1" s="12" t="s">
        <v>642</v>
      </c>
      <c r="AO1" s="12" t="s">
        <v>639</v>
      </c>
      <c r="AP1" s="12" t="s">
        <v>43</v>
      </c>
      <c r="AQ1" s="12" t="s">
        <v>44</v>
      </c>
      <c r="AR1" s="12" t="s">
        <v>45</v>
      </c>
      <c r="AS1" s="12" t="s">
        <v>46</v>
      </c>
      <c r="AT1" s="12" t="s">
        <v>47</v>
      </c>
      <c r="AU1" s="12" t="s">
        <v>48</v>
      </c>
      <c r="AV1" s="12" t="s">
        <v>49</v>
      </c>
      <c r="AW1" s="12" t="s">
        <v>50</v>
      </c>
      <c r="AX1" s="12" t="s">
        <v>51</v>
      </c>
      <c r="AY1" s="12" t="s">
        <v>52</v>
      </c>
      <c r="AZ1" s="12" t="s">
        <v>643</v>
      </c>
      <c r="BA1" s="12" t="s">
        <v>53</v>
      </c>
      <c r="BB1" s="12" t="s">
        <v>54</v>
      </c>
      <c r="BC1" s="12" t="s">
        <v>55</v>
      </c>
      <c r="BD1" s="12"/>
      <c r="BE1" s="12"/>
      <c r="BF1" s="1" t="s">
        <v>640</v>
      </c>
    </row>
    <row r="2">
      <c r="A2" s="1193"/>
      <c r="B2" s="1193"/>
      <c r="C2" s="1202"/>
      <c r="D2" s="1149"/>
      <c r="E2" s="1149"/>
      <c r="F2" s="1149"/>
      <c r="G2" s="1203"/>
      <c r="H2" s="1203"/>
      <c r="I2" s="1203"/>
      <c r="J2" s="1203"/>
      <c r="K2" s="1203"/>
      <c r="L2" s="1203"/>
      <c r="M2" s="1203"/>
      <c r="N2" s="1203"/>
      <c r="O2" s="1203"/>
      <c r="P2" s="1203"/>
      <c r="Q2" s="1203"/>
      <c r="R2" s="1203"/>
      <c r="S2" s="1203"/>
      <c r="T2" s="1203"/>
      <c r="U2" s="1203"/>
      <c r="V2" s="1203"/>
      <c r="W2" s="1203"/>
      <c r="X2" s="1203"/>
      <c r="Y2" s="1203"/>
      <c r="Z2" s="1203"/>
      <c r="AA2" s="1203"/>
      <c r="AB2" s="1203"/>
      <c r="AC2" s="1203"/>
      <c r="AD2" s="1203"/>
      <c r="AE2" s="1203"/>
      <c r="AF2" s="1203"/>
      <c r="AG2" s="1203"/>
      <c r="AH2" s="1203"/>
      <c r="AI2" s="1203"/>
      <c r="AJ2" s="1203"/>
      <c r="AK2" s="1203"/>
      <c r="AL2" s="1203"/>
      <c r="AM2" s="1203"/>
      <c r="AN2" s="1203"/>
      <c r="AO2" s="1203"/>
      <c r="AP2" s="1203"/>
      <c r="AQ2" s="1203"/>
      <c r="AR2" s="1203"/>
      <c r="AS2" s="1203"/>
      <c r="AT2" s="1203"/>
      <c r="AU2" s="1203"/>
      <c r="AV2" s="1203"/>
      <c r="AW2" s="1203"/>
      <c r="AX2" s="1203"/>
      <c r="AY2" s="1203"/>
      <c r="AZ2" s="1203"/>
      <c r="BA2" s="1203"/>
      <c r="BB2" s="1204"/>
      <c r="BC2" s="1205"/>
      <c r="BD2" s="1206"/>
      <c r="BE2" s="1207"/>
      <c r="BF2" s="906"/>
    </row>
    <row r="3">
      <c r="A3" s="1128"/>
      <c r="B3" s="1128"/>
      <c r="C3" s="1183"/>
      <c r="D3" s="905"/>
      <c r="E3" s="905"/>
      <c r="F3" s="905"/>
      <c r="G3" s="1184"/>
      <c r="H3" s="1184"/>
      <c r="I3" s="1184"/>
      <c r="J3" s="1184"/>
      <c r="K3" s="1184"/>
      <c r="L3" s="1184"/>
      <c r="M3" s="1184"/>
      <c r="N3" s="1184"/>
      <c r="O3" s="1184"/>
      <c r="P3" s="1184"/>
      <c r="Q3" s="1184"/>
      <c r="R3" s="1184"/>
      <c r="S3" s="1184"/>
      <c r="T3" s="1184"/>
      <c r="U3" s="1184"/>
      <c r="V3" s="1184"/>
      <c r="W3" s="1184"/>
      <c r="X3" s="1184"/>
      <c r="Y3" s="1184"/>
      <c r="Z3" s="1184"/>
      <c r="AA3" s="1184"/>
      <c r="AB3" s="1184"/>
      <c r="AC3" s="1184"/>
      <c r="AD3" s="1184"/>
      <c r="AE3" s="1184"/>
      <c r="AF3" s="1184"/>
      <c r="AG3" s="1184"/>
      <c r="AH3" s="1184"/>
      <c r="AI3" s="1184"/>
      <c r="AJ3" s="1184"/>
      <c r="AK3" s="1184"/>
      <c r="AL3" s="1184"/>
      <c r="AM3" s="1184"/>
      <c r="AN3" s="1184"/>
      <c r="AO3" s="1184"/>
      <c r="AP3" s="1184"/>
      <c r="AQ3" s="1184"/>
      <c r="AR3" s="1184"/>
      <c r="AS3" s="1184"/>
      <c r="AT3" s="1184"/>
      <c r="AU3" s="1184"/>
      <c r="AV3" s="1184"/>
      <c r="AW3" s="1184"/>
      <c r="AX3" s="1184"/>
      <c r="AY3" s="1184"/>
      <c r="AZ3" s="1184"/>
      <c r="BA3" s="1184"/>
      <c r="BB3" s="1185"/>
      <c r="BC3" s="1186"/>
      <c r="BD3" s="1185"/>
      <c r="BE3" s="1208"/>
      <c r="BF3" s="906"/>
    </row>
    <row r="4">
      <c r="A4" s="1128"/>
      <c r="B4" s="1128"/>
      <c r="C4" s="1183"/>
      <c r="D4" s="905"/>
      <c r="E4" s="905"/>
      <c r="F4" s="905"/>
      <c r="G4" s="1184"/>
      <c r="H4" s="1184"/>
      <c r="I4" s="1184"/>
      <c r="J4" s="1184"/>
      <c r="K4" s="1184"/>
      <c r="L4" s="1184"/>
      <c r="M4" s="1184"/>
      <c r="N4" s="1184"/>
      <c r="O4" s="1184"/>
      <c r="P4" s="1184"/>
      <c r="Q4" s="1184"/>
      <c r="R4" s="1184"/>
      <c r="S4" s="1184"/>
      <c r="T4" s="1184"/>
      <c r="U4" s="1184"/>
      <c r="V4" s="1184"/>
      <c r="W4" s="1184"/>
      <c r="X4" s="1184"/>
      <c r="Y4" s="1184"/>
      <c r="Z4" s="1184"/>
      <c r="AA4" s="1184"/>
      <c r="AB4" s="1184"/>
      <c r="AC4" s="1184"/>
      <c r="AD4" s="1184"/>
      <c r="AE4" s="1184"/>
      <c r="AF4" s="1184"/>
      <c r="AG4" s="1184"/>
      <c r="AH4" s="1184"/>
      <c r="AI4" s="1184"/>
      <c r="AJ4" s="1184"/>
      <c r="AK4" s="1184"/>
      <c r="AL4" s="1184"/>
      <c r="AM4" s="1184"/>
      <c r="AN4" s="1184"/>
      <c r="AO4" s="1184"/>
      <c r="AP4" s="1184"/>
      <c r="AQ4" s="1184"/>
      <c r="AR4" s="1184"/>
      <c r="AS4" s="1184"/>
      <c r="AT4" s="1184"/>
      <c r="AU4" s="1184"/>
      <c r="AV4" s="1184"/>
      <c r="AW4" s="1184"/>
      <c r="AX4" s="1184"/>
      <c r="AY4" s="1184"/>
      <c r="AZ4" s="1184"/>
      <c r="BA4" s="1184"/>
      <c r="BB4" s="1185"/>
      <c r="BC4" s="1186"/>
      <c r="BD4" s="1185"/>
      <c r="BE4" s="1208"/>
      <c r="BF4" s="906"/>
    </row>
    <row r="5">
      <c r="A5" s="1128"/>
      <c r="B5" s="1128"/>
      <c r="C5" s="1183"/>
      <c r="D5" s="905"/>
      <c r="E5" s="905"/>
      <c r="F5" s="905"/>
      <c r="G5" s="1184"/>
      <c r="H5" s="1184"/>
      <c r="I5" s="1184"/>
      <c r="J5" s="1184"/>
      <c r="K5" s="1184"/>
      <c r="L5" s="1184"/>
      <c r="M5" s="1184"/>
      <c r="N5" s="1184"/>
      <c r="O5" s="1184"/>
      <c r="P5" s="1184"/>
      <c r="Q5" s="1184"/>
      <c r="R5" s="1184"/>
      <c r="S5" s="1184"/>
      <c r="T5" s="1184"/>
      <c r="U5" s="1184"/>
      <c r="V5" s="1184"/>
      <c r="W5" s="1184"/>
      <c r="X5" s="1184"/>
      <c r="Y5" s="1184"/>
      <c r="Z5" s="1184"/>
      <c r="AA5" s="1184"/>
      <c r="AB5" s="1184"/>
      <c r="AC5" s="1184"/>
      <c r="AD5" s="1184"/>
      <c r="AE5" s="1184"/>
      <c r="AF5" s="1184"/>
      <c r="AG5" s="1184"/>
      <c r="AH5" s="1184"/>
      <c r="AI5" s="1184"/>
      <c r="AJ5" s="1184"/>
      <c r="AK5" s="1184"/>
      <c r="AL5" s="1184"/>
      <c r="AM5" s="1184"/>
      <c r="AN5" s="1184"/>
      <c r="AO5" s="1184"/>
      <c r="AP5" s="1184"/>
      <c r="AQ5" s="1184"/>
      <c r="AR5" s="1184"/>
      <c r="AS5" s="1184"/>
      <c r="AT5" s="1184"/>
      <c r="AU5" s="1184"/>
      <c r="AV5" s="1184"/>
      <c r="AW5" s="1184"/>
      <c r="AX5" s="1184"/>
      <c r="AY5" s="1184"/>
      <c r="AZ5" s="1184"/>
      <c r="BA5" s="1184"/>
      <c r="BB5" s="1185"/>
      <c r="BC5" s="1186"/>
      <c r="BD5" s="1185"/>
      <c r="BE5" s="1208"/>
      <c r="BF5" s="906"/>
    </row>
    <row r="6">
      <c r="A6" s="1131"/>
      <c r="B6" s="1131"/>
      <c r="C6" s="1179"/>
      <c r="D6" s="1129"/>
      <c r="E6" s="1129"/>
      <c r="F6" s="1129"/>
      <c r="G6" s="1180"/>
      <c r="H6" s="1180"/>
      <c r="I6" s="1180"/>
      <c r="J6" s="1180"/>
      <c r="K6" s="1180"/>
      <c r="L6" s="1180"/>
      <c r="M6" s="1180"/>
      <c r="N6" s="1180"/>
      <c r="O6" s="1180"/>
      <c r="P6" s="1180"/>
      <c r="Q6" s="1180"/>
      <c r="R6" s="1180"/>
      <c r="S6" s="1180"/>
      <c r="T6" s="1180"/>
      <c r="U6" s="1180"/>
      <c r="V6" s="1180"/>
      <c r="W6" s="1180"/>
      <c r="X6" s="1180"/>
      <c r="Y6" s="1180"/>
      <c r="Z6" s="1180"/>
      <c r="AA6" s="1180"/>
      <c r="AB6" s="1180"/>
      <c r="AC6" s="1180"/>
      <c r="AD6" s="1180"/>
      <c r="AE6" s="1180"/>
      <c r="AF6" s="1180"/>
      <c r="AG6" s="1180"/>
      <c r="AH6" s="1180"/>
      <c r="AI6" s="1180"/>
      <c r="AJ6" s="1180"/>
      <c r="AK6" s="1180"/>
      <c r="AL6" s="1180"/>
      <c r="AM6" s="1180"/>
      <c r="AN6" s="1180"/>
      <c r="AO6" s="1180"/>
      <c r="AP6" s="1180"/>
      <c r="AQ6" s="1180"/>
      <c r="AR6" s="1180"/>
      <c r="AS6" s="1180"/>
      <c r="AT6" s="1180"/>
      <c r="AU6" s="1180"/>
      <c r="AV6" s="1180"/>
      <c r="AW6" s="1180"/>
      <c r="AX6" s="1180"/>
      <c r="AY6" s="1180"/>
      <c r="AZ6" s="1180"/>
      <c r="BA6" s="1180"/>
      <c r="BB6" s="1177"/>
      <c r="BC6" s="1181"/>
      <c r="BD6" s="1177"/>
      <c r="BE6" s="1209"/>
      <c r="BF6" s="1130"/>
    </row>
    <row r="7">
      <c r="A7" s="1131"/>
      <c r="B7" s="1131"/>
      <c r="C7" s="1179"/>
      <c r="D7" s="1129"/>
      <c r="E7" s="1129"/>
      <c r="F7" s="1129"/>
      <c r="G7" s="1180"/>
      <c r="H7" s="1180"/>
      <c r="I7" s="1180"/>
      <c r="J7" s="1180"/>
      <c r="K7" s="1180"/>
      <c r="L7" s="1180"/>
      <c r="M7" s="1180"/>
      <c r="N7" s="1180"/>
      <c r="O7" s="1180"/>
      <c r="P7" s="1180"/>
      <c r="Q7" s="1180"/>
      <c r="R7" s="1180"/>
      <c r="S7" s="1180"/>
      <c r="T7" s="1180"/>
      <c r="U7" s="1180"/>
      <c r="V7" s="1180"/>
      <c r="W7" s="1180"/>
      <c r="X7" s="1180"/>
      <c r="Y7" s="1180"/>
      <c r="Z7" s="1180"/>
      <c r="AA7" s="1180"/>
      <c r="AB7" s="1180"/>
      <c r="AC7" s="1180"/>
      <c r="AD7" s="1180"/>
      <c r="AE7" s="1180"/>
      <c r="AF7" s="1180"/>
      <c r="AG7" s="1180"/>
      <c r="AH7" s="1180"/>
      <c r="AI7" s="1180"/>
      <c r="AJ7" s="1180"/>
      <c r="AK7" s="1180"/>
      <c r="AL7" s="1180"/>
      <c r="AM7" s="1180"/>
      <c r="AN7" s="1180"/>
      <c r="AO7" s="1180"/>
      <c r="AP7" s="1180"/>
      <c r="AQ7" s="1180"/>
      <c r="AR7" s="1180"/>
      <c r="AS7" s="1180"/>
      <c r="AT7" s="1180"/>
      <c r="AU7" s="1180"/>
      <c r="AV7" s="1180"/>
      <c r="AW7" s="1180"/>
      <c r="AX7" s="1180"/>
      <c r="AY7" s="1180"/>
      <c r="AZ7" s="1180"/>
      <c r="BA7" s="1180"/>
      <c r="BB7" s="1177"/>
      <c r="BC7" s="1181"/>
      <c r="BD7" s="1177"/>
      <c r="BE7" s="1209"/>
      <c r="BF7" s="1130"/>
    </row>
    <row r="8">
      <c r="A8" s="1131"/>
      <c r="B8" s="1131"/>
      <c r="C8" s="1179"/>
      <c r="D8" s="1129"/>
      <c r="E8" s="1129"/>
      <c r="F8" s="1129"/>
      <c r="G8" s="1180"/>
      <c r="H8" s="1180"/>
      <c r="I8" s="1180"/>
      <c r="J8" s="1180"/>
      <c r="K8" s="1180"/>
      <c r="L8" s="1180"/>
      <c r="M8" s="1180"/>
      <c r="N8" s="1180"/>
      <c r="O8" s="1180"/>
      <c r="P8" s="1180"/>
      <c r="Q8" s="1180"/>
      <c r="R8" s="1180"/>
      <c r="S8" s="1180"/>
      <c r="T8" s="1180"/>
      <c r="U8" s="1180"/>
      <c r="V8" s="1180"/>
      <c r="W8" s="1180"/>
      <c r="X8" s="1180"/>
      <c r="Y8" s="1180"/>
      <c r="Z8" s="1180"/>
      <c r="AA8" s="1180"/>
      <c r="AB8" s="1180"/>
      <c r="AC8" s="1180"/>
      <c r="AD8" s="1180"/>
      <c r="AE8" s="1180"/>
      <c r="AF8" s="1180"/>
      <c r="AG8" s="1180"/>
      <c r="AH8" s="1180"/>
      <c r="AI8" s="1180"/>
      <c r="AJ8" s="1180"/>
      <c r="AK8" s="1180"/>
      <c r="AL8" s="1180"/>
      <c r="AM8" s="1180"/>
      <c r="AN8" s="1180"/>
      <c r="AO8" s="1180"/>
      <c r="AP8" s="1180"/>
      <c r="AQ8" s="1180"/>
      <c r="AR8" s="1180"/>
      <c r="AS8" s="1180"/>
      <c r="AT8" s="1180"/>
      <c r="AU8" s="1180"/>
      <c r="AV8" s="1180"/>
      <c r="AW8" s="1180"/>
      <c r="AX8" s="1180"/>
      <c r="AY8" s="1180"/>
      <c r="AZ8" s="1180"/>
      <c r="BA8" s="1180"/>
      <c r="BB8" s="1177"/>
      <c r="BC8" s="1181"/>
      <c r="BD8" s="1177"/>
      <c r="BE8" s="1209"/>
      <c r="BF8" s="1130"/>
    </row>
    <row r="9">
      <c r="A9" s="1195"/>
      <c r="B9" s="1195"/>
      <c r="C9" s="1210"/>
      <c r="D9" s="1158"/>
      <c r="E9" s="1158"/>
      <c r="F9" s="1158"/>
      <c r="G9" s="1211"/>
      <c r="H9" s="1211"/>
      <c r="I9" s="1211"/>
      <c r="J9" s="1211"/>
      <c r="K9" s="1211"/>
      <c r="L9" s="1211"/>
      <c r="M9" s="1211"/>
      <c r="N9" s="1211"/>
      <c r="O9" s="1211"/>
      <c r="P9" s="1211"/>
      <c r="Q9" s="1211"/>
      <c r="R9" s="1211"/>
      <c r="S9" s="1211"/>
      <c r="T9" s="1211"/>
      <c r="U9" s="1211"/>
      <c r="V9" s="1211"/>
      <c r="W9" s="1211"/>
      <c r="X9" s="1211"/>
      <c r="Y9" s="1211"/>
      <c r="Z9" s="1211"/>
      <c r="AA9" s="1211"/>
      <c r="AB9" s="1211"/>
      <c r="AC9" s="1211"/>
      <c r="AD9" s="1211"/>
      <c r="AE9" s="1211"/>
      <c r="AF9" s="1211"/>
      <c r="AG9" s="1211"/>
      <c r="AH9" s="1211"/>
      <c r="AI9" s="1211"/>
      <c r="AJ9" s="1211"/>
      <c r="AK9" s="1211"/>
      <c r="AL9" s="1211"/>
      <c r="AM9" s="1211"/>
      <c r="AN9" s="1211"/>
      <c r="AO9" s="1211"/>
      <c r="AP9" s="1211"/>
      <c r="AQ9" s="1211"/>
      <c r="AR9" s="1211"/>
      <c r="AS9" s="1211"/>
      <c r="AT9" s="1211"/>
      <c r="AU9" s="1211"/>
      <c r="AV9" s="1211"/>
      <c r="AW9" s="1211"/>
      <c r="AX9" s="1211"/>
      <c r="AY9" s="1211"/>
      <c r="AZ9" s="1211"/>
      <c r="BA9" s="1211"/>
      <c r="BB9" s="1212"/>
      <c r="BC9" s="1213"/>
      <c r="BD9" s="1177"/>
      <c r="BE9" s="1209"/>
      <c r="BF9" s="1130"/>
    </row>
    <row r="10">
      <c r="A10" s="1192"/>
      <c r="B10" s="1193"/>
      <c r="C10" s="1202"/>
      <c r="D10" s="1162"/>
      <c r="E10" s="1162"/>
      <c r="F10" s="1162"/>
      <c r="G10" s="1203"/>
      <c r="H10" s="1203"/>
      <c r="I10" s="1203"/>
      <c r="J10" s="1203"/>
      <c r="K10" s="1203"/>
      <c r="L10" s="1203"/>
      <c r="M10" s="1203"/>
      <c r="N10" s="1203"/>
      <c r="O10" s="1203"/>
      <c r="P10" s="1203"/>
      <c r="Q10" s="1203"/>
      <c r="R10" s="1203"/>
      <c r="S10" s="1203"/>
      <c r="T10" s="1203"/>
      <c r="U10" s="1203"/>
      <c r="V10" s="1203"/>
      <c r="W10" s="1203"/>
      <c r="X10" s="1203"/>
      <c r="Y10" s="1203"/>
      <c r="Z10" s="1203"/>
      <c r="AA10" s="1203"/>
      <c r="AB10" s="1203"/>
      <c r="AC10" s="1203"/>
      <c r="AD10" s="1203"/>
      <c r="AE10" s="1203"/>
      <c r="AF10" s="1203"/>
      <c r="AG10" s="1203"/>
      <c r="AH10" s="1203"/>
      <c r="AI10" s="1203"/>
      <c r="AJ10" s="1203"/>
      <c r="AK10" s="1203"/>
      <c r="AL10" s="1203"/>
      <c r="AM10" s="1203"/>
      <c r="AN10" s="1203"/>
      <c r="AO10" s="1203"/>
      <c r="AP10" s="1203"/>
      <c r="AQ10" s="1203"/>
      <c r="AR10" s="1203"/>
      <c r="AS10" s="1203"/>
      <c r="AT10" s="1203"/>
      <c r="AU10" s="1203"/>
      <c r="AV10" s="1203"/>
      <c r="AW10" s="1203"/>
      <c r="AX10" s="1203"/>
      <c r="AY10" s="1203"/>
      <c r="AZ10" s="1203"/>
      <c r="BA10" s="1203"/>
      <c r="BB10" s="1204"/>
      <c r="BC10" s="1203"/>
      <c r="BD10" s="1183"/>
      <c r="BE10" s="1186"/>
      <c r="BF10" s="1214"/>
    </row>
    <row r="11">
      <c r="A11" s="1182"/>
      <c r="B11" s="1128"/>
      <c r="C11" s="1183"/>
      <c r="D11" s="1129"/>
      <c r="E11" s="1129"/>
      <c r="F11" s="1129"/>
      <c r="G11" s="1184"/>
      <c r="H11" s="1184"/>
      <c r="I11" s="1184"/>
      <c r="J11" s="1184"/>
      <c r="K11" s="1184"/>
      <c r="L11" s="1184"/>
      <c r="M11" s="1184"/>
      <c r="N11" s="1184"/>
      <c r="O11" s="1184"/>
      <c r="P11" s="1184"/>
      <c r="Q11" s="1184"/>
      <c r="R11" s="1184"/>
      <c r="S11" s="1184"/>
      <c r="T11" s="1184"/>
      <c r="U11" s="1184"/>
      <c r="V11" s="1184"/>
      <c r="W11" s="1184"/>
      <c r="X11" s="1184"/>
      <c r="Y11" s="1184"/>
      <c r="Z11" s="1184"/>
      <c r="AA11" s="1184"/>
      <c r="AB11" s="1184"/>
      <c r="AC11" s="1184"/>
      <c r="AD11" s="1184"/>
      <c r="AE11" s="1184"/>
      <c r="AF11" s="1184"/>
      <c r="AG11" s="1184"/>
      <c r="AH11" s="1184"/>
      <c r="AI11" s="1184"/>
      <c r="AJ11" s="1184"/>
      <c r="AK11" s="1184"/>
      <c r="AL11" s="1184"/>
      <c r="AM11" s="1184"/>
      <c r="AN11" s="1184"/>
      <c r="AO11" s="1184"/>
      <c r="AP11" s="1184"/>
      <c r="AQ11" s="1184"/>
      <c r="AR11" s="1184"/>
      <c r="AS11" s="1184"/>
      <c r="AT11" s="1184"/>
      <c r="AU11" s="1184"/>
      <c r="AV11" s="1184"/>
      <c r="AW11" s="1184"/>
      <c r="AX11" s="1184"/>
      <c r="AY11" s="1184"/>
      <c r="AZ11" s="1184"/>
      <c r="BA11" s="1184"/>
      <c r="BB11" s="1185"/>
      <c r="BC11" s="1186"/>
      <c r="BD11" s="1185"/>
      <c r="BE11" s="1186"/>
      <c r="BF11" s="1215"/>
    </row>
    <row r="12">
      <c r="A12" s="1182"/>
      <c r="B12" s="1128"/>
      <c r="C12" s="1183"/>
      <c r="D12" s="1129"/>
      <c r="E12" s="1129"/>
      <c r="F12" s="1129"/>
      <c r="G12" s="1184"/>
      <c r="H12" s="1184"/>
      <c r="I12" s="1184"/>
      <c r="J12" s="1184"/>
      <c r="K12" s="1184"/>
      <c r="L12" s="1184"/>
      <c r="M12" s="1184"/>
      <c r="N12" s="1184"/>
      <c r="O12" s="1184"/>
      <c r="P12" s="1184"/>
      <c r="Q12" s="1184"/>
      <c r="R12" s="1184"/>
      <c r="S12" s="1184"/>
      <c r="T12" s="1184"/>
      <c r="U12" s="1184"/>
      <c r="V12" s="1184"/>
      <c r="W12" s="1184"/>
      <c r="X12" s="1184"/>
      <c r="Y12" s="1184"/>
      <c r="Z12" s="1184"/>
      <c r="AA12" s="1184"/>
      <c r="AB12" s="1184"/>
      <c r="AC12" s="1184"/>
      <c r="AD12" s="1184"/>
      <c r="AE12" s="1184"/>
      <c r="AF12" s="1184"/>
      <c r="AG12" s="1184"/>
      <c r="AH12" s="1184"/>
      <c r="AI12" s="1184"/>
      <c r="AJ12" s="1184"/>
      <c r="AK12" s="1184"/>
      <c r="AL12" s="1184"/>
      <c r="AM12" s="1184"/>
      <c r="AN12" s="1184"/>
      <c r="AO12" s="1184"/>
      <c r="AP12" s="1184"/>
      <c r="AQ12" s="1184"/>
      <c r="AR12" s="1184"/>
      <c r="AS12" s="1184"/>
      <c r="AT12" s="1184"/>
      <c r="AU12" s="1184"/>
      <c r="AV12" s="1184"/>
      <c r="AW12" s="1184"/>
      <c r="AX12" s="1184"/>
      <c r="AY12" s="1184"/>
      <c r="AZ12" s="1184"/>
      <c r="BA12" s="1184"/>
      <c r="BB12" s="1185"/>
      <c r="BC12" s="1186"/>
      <c r="BD12" s="1185"/>
      <c r="BE12" s="1186"/>
      <c r="BF12" s="1215"/>
    </row>
    <row r="13">
      <c r="A13" s="1182"/>
      <c r="B13" s="1128"/>
      <c r="C13" s="1183"/>
      <c r="D13" s="1129"/>
      <c r="E13" s="1129"/>
      <c r="F13" s="1129"/>
      <c r="G13" s="1184"/>
      <c r="H13" s="1184"/>
      <c r="I13" s="1184"/>
      <c r="J13" s="1184"/>
      <c r="K13" s="1184"/>
      <c r="L13" s="1184"/>
      <c r="M13" s="1184"/>
      <c r="N13" s="1184"/>
      <c r="O13" s="1184"/>
      <c r="P13" s="1184"/>
      <c r="Q13" s="1184"/>
      <c r="R13" s="1184"/>
      <c r="S13" s="1184"/>
      <c r="T13" s="1184"/>
      <c r="U13" s="1184"/>
      <c r="V13" s="1184"/>
      <c r="W13" s="1184"/>
      <c r="X13" s="1184"/>
      <c r="Y13" s="1184"/>
      <c r="Z13" s="1184"/>
      <c r="AA13" s="1184"/>
      <c r="AB13" s="1184"/>
      <c r="AC13" s="1184"/>
      <c r="AD13" s="1184"/>
      <c r="AE13" s="1184"/>
      <c r="AF13" s="1184"/>
      <c r="AG13" s="1184"/>
      <c r="AH13" s="1184"/>
      <c r="AI13" s="1184"/>
      <c r="AJ13" s="1184"/>
      <c r="AK13" s="1184"/>
      <c r="AL13" s="1184"/>
      <c r="AM13" s="1184"/>
      <c r="AN13" s="1184"/>
      <c r="AO13" s="1184"/>
      <c r="AP13" s="1184"/>
      <c r="AQ13" s="1184"/>
      <c r="AR13" s="1184"/>
      <c r="AS13" s="1184"/>
      <c r="AT13" s="1184"/>
      <c r="AU13" s="1184"/>
      <c r="AV13" s="1184"/>
      <c r="AW13" s="1184"/>
      <c r="AX13" s="1184"/>
      <c r="AY13" s="1184"/>
      <c r="AZ13" s="1184"/>
      <c r="BA13" s="1184"/>
      <c r="BB13" s="1185"/>
      <c r="BC13" s="1186"/>
      <c r="BD13" s="1185"/>
      <c r="BE13" s="1186"/>
      <c r="BF13" s="1215"/>
    </row>
    <row r="14">
      <c r="A14" s="1178"/>
      <c r="B14" s="1131"/>
      <c r="C14" s="1179"/>
      <c r="D14" s="905"/>
      <c r="E14" s="905"/>
      <c r="F14" s="905"/>
      <c r="G14" s="1180"/>
      <c r="H14" s="1180"/>
      <c r="I14" s="1180"/>
      <c r="J14" s="1180"/>
      <c r="K14" s="1180"/>
      <c r="L14" s="1180"/>
      <c r="M14" s="1180"/>
      <c r="N14" s="1180"/>
      <c r="O14" s="1180"/>
      <c r="P14" s="1180"/>
      <c r="Q14" s="1180"/>
      <c r="R14" s="1180"/>
      <c r="S14" s="1180"/>
      <c r="T14" s="1180"/>
      <c r="U14" s="1180"/>
      <c r="V14" s="1180"/>
      <c r="W14" s="1180"/>
      <c r="X14" s="1180"/>
      <c r="Y14" s="1180"/>
      <c r="Z14" s="1180"/>
      <c r="AA14" s="1180"/>
      <c r="AB14" s="1180"/>
      <c r="AC14" s="1180"/>
      <c r="AD14" s="1180"/>
      <c r="AE14" s="1180"/>
      <c r="AF14" s="1180"/>
      <c r="AG14" s="1180"/>
      <c r="AH14" s="1180"/>
      <c r="AI14" s="1180"/>
      <c r="AJ14" s="1180"/>
      <c r="AK14" s="1180"/>
      <c r="AL14" s="1180"/>
      <c r="AM14" s="1180"/>
      <c r="AN14" s="1180"/>
      <c r="AO14" s="1180"/>
      <c r="AP14" s="1180"/>
      <c r="AQ14" s="1180"/>
      <c r="AR14" s="1180"/>
      <c r="AS14" s="1180"/>
      <c r="AT14" s="1180"/>
      <c r="AU14" s="1180"/>
      <c r="AV14" s="1180"/>
      <c r="AW14" s="1180"/>
      <c r="AX14" s="1180"/>
      <c r="AY14" s="1180"/>
      <c r="AZ14" s="1180"/>
      <c r="BA14" s="1180"/>
      <c r="BB14" s="1177"/>
      <c r="BC14" s="1181"/>
      <c r="BD14" s="1177"/>
      <c r="BE14" s="1181"/>
      <c r="BF14" s="1216"/>
    </row>
    <row r="15">
      <c r="A15" s="1178"/>
      <c r="B15" s="1131"/>
      <c r="C15" s="1179"/>
      <c r="D15" s="905"/>
      <c r="E15" s="905"/>
      <c r="F15" s="905"/>
      <c r="G15" s="1180"/>
      <c r="H15" s="1180"/>
      <c r="I15" s="1180"/>
      <c r="J15" s="1180"/>
      <c r="K15" s="1180"/>
      <c r="L15" s="1180"/>
      <c r="M15" s="1180"/>
      <c r="N15" s="1180"/>
      <c r="O15" s="1180"/>
      <c r="P15" s="1180"/>
      <c r="Q15" s="1180"/>
      <c r="R15" s="1180"/>
      <c r="S15" s="1180"/>
      <c r="T15" s="1180"/>
      <c r="U15" s="1180"/>
      <c r="V15" s="1180"/>
      <c r="W15" s="1180"/>
      <c r="X15" s="1180"/>
      <c r="Y15" s="1180"/>
      <c r="Z15" s="1180"/>
      <c r="AA15" s="1180"/>
      <c r="AB15" s="1180"/>
      <c r="AC15" s="1180"/>
      <c r="AD15" s="1180"/>
      <c r="AE15" s="1180"/>
      <c r="AF15" s="1180"/>
      <c r="AG15" s="1180"/>
      <c r="AH15" s="1180"/>
      <c r="AI15" s="1180"/>
      <c r="AJ15" s="1180"/>
      <c r="AK15" s="1180"/>
      <c r="AL15" s="1180"/>
      <c r="AM15" s="1180"/>
      <c r="AN15" s="1180"/>
      <c r="AO15" s="1180"/>
      <c r="AP15" s="1180"/>
      <c r="AQ15" s="1180"/>
      <c r="AR15" s="1180"/>
      <c r="AS15" s="1180"/>
      <c r="AT15" s="1180"/>
      <c r="AU15" s="1180"/>
      <c r="AV15" s="1180"/>
      <c r="AW15" s="1180"/>
      <c r="AX15" s="1180"/>
      <c r="AY15" s="1180"/>
      <c r="AZ15" s="1180"/>
      <c r="BA15" s="1180"/>
      <c r="BB15" s="1177"/>
      <c r="BC15" s="1181"/>
      <c r="BD15" s="1177"/>
      <c r="BE15" s="1181"/>
      <c r="BF15" s="1216"/>
    </row>
    <row r="16">
      <c r="A16" s="1178"/>
      <c r="B16" s="1131"/>
      <c r="C16" s="1179"/>
      <c r="D16" s="905"/>
      <c r="E16" s="905"/>
      <c r="F16" s="905"/>
      <c r="G16" s="1180"/>
      <c r="H16" s="1180"/>
      <c r="I16" s="1180"/>
      <c r="J16" s="1180"/>
      <c r="K16" s="1180"/>
      <c r="L16" s="1180"/>
      <c r="M16" s="1180"/>
      <c r="N16" s="1180"/>
      <c r="O16" s="1180"/>
      <c r="P16" s="1180"/>
      <c r="Q16" s="1180"/>
      <c r="R16" s="1180"/>
      <c r="S16" s="1180"/>
      <c r="T16" s="1180"/>
      <c r="U16" s="1180"/>
      <c r="V16" s="1180"/>
      <c r="W16" s="1180"/>
      <c r="X16" s="1180"/>
      <c r="Y16" s="1180"/>
      <c r="Z16" s="1180"/>
      <c r="AA16" s="1180"/>
      <c r="AB16" s="1180"/>
      <c r="AC16" s="1180"/>
      <c r="AD16" s="1180"/>
      <c r="AE16" s="1180"/>
      <c r="AF16" s="1180"/>
      <c r="AG16" s="1180"/>
      <c r="AH16" s="1180"/>
      <c r="AI16" s="1180"/>
      <c r="AJ16" s="1180"/>
      <c r="AK16" s="1180"/>
      <c r="AL16" s="1180"/>
      <c r="AM16" s="1180"/>
      <c r="AN16" s="1180"/>
      <c r="AO16" s="1180"/>
      <c r="AP16" s="1180"/>
      <c r="AQ16" s="1180"/>
      <c r="AR16" s="1180"/>
      <c r="AS16" s="1180"/>
      <c r="AT16" s="1180"/>
      <c r="AU16" s="1180"/>
      <c r="AV16" s="1180"/>
      <c r="AW16" s="1180"/>
      <c r="AX16" s="1180"/>
      <c r="AY16" s="1180"/>
      <c r="AZ16" s="1180"/>
      <c r="BA16" s="1180"/>
      <c r="BB16" s="1177"/>
      <c r="BC16" s="1181"/>
      <c r="BD16" s="1177"/>
      <c r="BE16" s="1181"/>
      <c r="BF16" s="1216"/>
    </row>
    <row r="17">
      <c r="A17" s="1194"/>
      <c r="B17" s="1195"/>
      <c r="C17" s="1210"/>
      <c r="D17" s="1167"/>
      <c r="E17" s="1167"/>
      <c r="F17" s="1167"/>
      <c r="G17" s="1211"/>
      <c r="H17" s="1211"/>
      <c r="I17" s="1211"/>
      <c r="J17" s="1211"/>
      <c r="K17" s="1211"/>
      <c r="L17" s="1211"/>
      <c r="M17" s="1211"/>
      <c r="N17" s="1211"/>
      <c r="O17" s="1211"/>
      <c r="P17" s="1211"/>
      <c r="Q17" s="1211"/>
      <c r="R17" s="1211"/>
      <c r="S17" s="1211"/>
      <c r="T17" s="1211"/>
      <c r="U17" s="1211"/>
      <c r="V17" s="1211"/>
      <c r="W17" s="1211"/>
      <c r="X17" s="1211"/>
      <c r="Y17" s="1211"/>
      <c r="Z17" s="1211"/>
      <c r="AA17" s="1211"/>
      <c r="AB17" s="1211"/>
      <c r="AC17" s="1211"/>
      <c r="AD17" s="1211"/>
      <c r="AE17" s="1211"/>
      <c r="AF17" s="1211"/>
      <c r="AG17" s="1211"/>
      <c r="AH17" s="1211"/>
      <c r="AI17" s="1211"/>
      <c r="AJ17" s="1211"/>
      <c r="AK17" s="1211"/>
      <c r="AL17" s="1211"/>
      <c r="AM17" s="1211"/>
      <c r="AN17" s="1211"/>
      <c r="AO17" s="1211"/>
      <c r="AP17" s="1211"/>
      <c r="AQ17" s="1211"/>
      <c r="AR17" s="1211"/>
      <c r="AS17" s="1211"/>
      <c r="AT17" s="1211"/>
      <c r="AU17" s="1211"/>
      <c r="AV17" s="1211"/>
      <c r="AW17" s="1211"/>
      <c r="AX17" s="1211"/>
      <c r="AY17" s="1211"/>
      <c r="AZ17" s="1211"/>
      <c r="BA17" s="1211"/>
      <c r="BB17" s="1212"/>
      <c r="BC17" s="1213"/>
      <c r="BD17" s="1177"/>
      <c r="BE17" s="1213"/>
      <c r="BF17" s="1217"/>
    </row>
    <row r="18">
      <c r="A18" s="1218"/>
      <c r="B18" s="1219"/>
      <c r="C18" s="1140"/>
      <c r="D18" s="1220"/>
      <c r="E18" s="1220"/>
      <c r="F18" s="1220"/>
      <c r="G18" s="1220"/>
      <c r="H18" s="1220"/>
      <c r="I18" s="1220"/>
      <c r="J18" s="1220"/>
      <c r="K18" s="1220"/>
      <c r="L18" s="1220"/>
      <c r="M18" s="1220"/>
      <c r="N18" s="1220"/>
      <c r="O18" s="1220"/>
      <c r="P18" s="1220"/>
      <c r="Q18" s="1220"/>
      <c r="R18" s="1220"/>
      <c r="S18" s="1220"/>
      <c r="T18" s="1220"/>
      <c r="U18" s="1220"/>
      <c r="V18" s="1220"/>
      <c r="W18" s="1220"/>
      <c r="X18" s="1220"/>
      <c r="Y18" s="1220"/>
      <c r="Z18" s="1220"/>
      <c r="AA18" s="1220"/>
      <c r="AB18" s="1220"/>
      <c r="AC18" s="1220"/>
      <c r="AD18" s="1220"/>
      <c r="AE18" s="1220"/>
      <c r="AF18" s="1220"/>
      <c r="AG18" s="1220"/>
      <c r="AH18" s="1220"/>
      <c r="AI18" s="1220"/>
      <c r="AJ18" s="1220"/>
      <c r="AK18" s="1220"/>
      <c r="AL18" s="1220"/>
      <c r="AM18" s="1220"/>
      <c r="AN18" s="1220"/>
      <c r="AO18" s="1220"/>
      <c r="AP18" s="1220"/>
      <c r="AQ18" s="1220"/>
      <c r="AR18" s="1220"/>
      <c r="AS18" s="1220"/>
      <c r="AT18" s="1220"/>
      <c r="AU18" s="1220"/>
      <c r="AV18" s="1220"/>
      <c r="AW18" s="1220"/>
      <c r="AX18" s="1220"/>
      <c r="AY18" s="1220"/>
      <c r="AZ18" s="1220"/>
      <c r="BA18" s="1220"/>
      <c r="BB18" s="1220"/>
      <c r="BC18" s="1221"/>
      <c r="BD18" s="1142"/>
      <c r="BE18" s="1142"/>
      <c r="BF18" s="1142"/>
    </row>
    <row r="19">
      <c r="A19" s="1171"/>
      <c r="B19" s="1172"/>
      <c r="C19" s="1173"/>
      <c r="D19" s="1149"/>
      <c r="E19" s="1149"/>
      <c r="F19" s="1149"/>
      <c r="G19" s="1174"/>
      <c r="H19" s="1174"/>
      <c r="I19" s="1174"/>
      <c r="J19" s="1174"/>
      <c r="K19" s="1174"/>
      <c r="L19" s="1174"/>
      <c r="M19" s="1174"/>
      <c r="N19" s="1174"/>
      <c r="O19" s="1174"/>
      <c r="P19" s="1174"/>
      <c r="Q19" s="1174"/>
      <c r="R19" s="1174"/>
      <c r="S19" s="1174"/>
      <c r="T19" s="1174"/>
      <c r="U19" s="1174"/>
      <c r="V19" s="1174"/>
      <c r="W19" s="1174"/>
      <c r="X19" s="1174"/>
      <c r="Y19" s="1174"/>
      <c r="Z19" s="1174"/>
      <c r="AA19" s="1174"/>
      <c r="AB19" s="1174"/>
      <c r="AC19" s="1174"/>
      <c r="AD19" s="1174"/>
      <c r="AE19" s="1174"/>
      <c r="AF19" s="1174"/>
      <c r="AG19" s="1174"/>
      <c r="AH19" s="1174"/>
      <c r="AI19" s="1174"/>
      <c r="AJ19" s="1174"/>
      <c r="AK19" s="1174"/>
      <c r="AL19" s="1174"/>
      <c r="AM19" s="1174"/>
      <c r="AN19" s="1174"/>
      <c r="AO19" s="1174"/>
      <c r="AP19" s="1174"/>
      <c r="AQ19" s="1174"/>
      <c r="AR19" s="1174"/>
      <c r="AS19" s="1174"/>
      <c r="AT19" s="1174"/>
      <c r="AU19" s="1174"/>
      <c r="AV19" s="1174"/>
      <c r="AW19" s="1174"/>
      <c r="AX19" s="1174"/>
      <c r="AY19" s="1174"/>
      <c r="AZ19" s="1174"/>
      <c r="BA19" s="1174"/>
      <c r="BB19" s="1175"/>
      <c r="BC19" s="1176"/>
      <c r="BD19" s="1177"/>
      <c r="BE19" s="1134"/>
      <c r="BF19" s="1222"/>
    </row>
    <row r="20">
      <c r="A20" s="1178"/>
      <c r="B20" s="1131"/>
      <c r="C20" s="1179"/>
      <c r="D20" s="905"/>
      <c r="E20" s="905"/>
      <c r="F20" s="905"/>
      <c r="G20" s="1180"/>
      <c r="H20" s="1180"/>
      <c r="I20" s="1180"/>
      <c r="J20" s="1180"/>
      <c r="K20" s="1180"/>
      <c r="L20" s="1180"/>
      <c r="M20" s="1180"/>
      <c r="N20" s="1180"/>
      <c r="O20" s="1180"/>
      <c r="P20" s="1180"/>
      <c r="Q20" s="1180"/>
      <c r="R20" s="1180"/>
      <c r="S20" s="1180"/>
      <c r="T20" s="1180"/>
      <c r="U20" s="1180"/>
      <c r="V20" s="1180"/>
      <c r="W20" s="1180"/>
      <c r="X20" s="1180"/>
      <c r="Y20" s="1180"/>
      <c r="Z20" s="1180"/>
      <c r="AA20" s="1180"/>
      <c r="AB20" s="1180"/>
      <c r="AC20" s="1180"/>
      <c r="AD20" s="1180"/>
      <c r="AE20" s="1180"/>
      <c r="AF20" s="1180"/>
      <c r="AG20" s="1180"/>
      <c r="AH20" s="1180"/>
      <c r="AI20" s="1180"/>
      <c r="AJ20" s="1180"/>
      <c r="AK20" s="1180"/>
      <c r="AL20" s="1180"/>
      <c r="AM20" s="1180"/>
      <c r="AN20" s="1180"/>
      <c r="AO20" s="1180"/>
      <c r="AP20" s="1180"/>
      <c r="AQ20" s="1180"/>
      <c r="AR20" s="1180"/>
      <c r="AS20" s="1180"/>
      <c r="AT20" s="1180"/>
      <c r="AU20" s="1180"/>
      <c r="AV20" s="1180"/>
      <c r="AW20" s="1180"/>
      <c r="AX20" s="1180"/>
      <c r="AY20" s="1180"/>
      <c r="AZ20" s="1180"/>
      <c r="BA20" s="1180"/>
      <c r="BB20" s="1177"/>
      <c r="BC20" s="1181"/>
      <c r="BD20" s="1177"/>
      <c r="BE20" s="906"/>
      <c r="BF20" s="693"/>
    </row>
    <row r="21">
      <c r="A21" s="1178"/>
      <c r="B21" s="1131"/>
      <c r="C21" s="1179"/>
      <c r="D21" s="905"/>
      <c r="E21" s="905"/>
      <c r="F21" s="905"/>
      <c r="G21" s="1180"/>
      <c r="H21" s="1180"/>
      <c r="I21" s="1180"/>
      <c r="J21" s="1180"/>
      <c r="K21" s="1180"/>
      <c r="L21" s="1180"/>
      <c r="M21" s="1180"/>
      <c r="N21" s="1180"/>
      <c r="O21" s="1180"/>
      <c r="P21" s="1180"/>
      <c r="Q21" s="1180"/>
      <c r="R21" s="1180"/>
      <c r="S21" s="1180"/>
      <c r="T21" s="1180"/>
      <c r="U21" s="1180"/>
      <c r="V21" s="1180"/>
      <c r="W21" s="1180"/>
      <c r="X21" s="1180"/>
      <c r="Y21" s="1180"/>
      <c r="Z21" s="1180"/>
      <c r="AA21" s="1180"/>
      <c r="AB21" s="1180"/>
      <c r="AC21" s="1180"/>
      <c r="AD21" s="1180"/>
      <c r="AE21" s="1180"/>
      <c r="AF21" s="1180"/>
      <c r="AG21" s="1180"/>
      <c r="AH21" s="1180"/>
      <c r="AI21" s="1180"/>
      <c r="AJ21" s="1180"/>
      <c r="AK21" s="1180"/>
      <c r="AL21" s="1180"/>
      <c r="AM21" s="1180"/>
      <c r="AN21" s="1180"/>
      <c r="AO21" s="1180"/>
      <c r="AP21" s="1180"/>
      <c r="AQ21" s="1180"/>
      <c r="AR21" s="1180"/>
      <c r="AS21" s="1180"/>
      <c r="AT21" s="1180"/>
      <c r="AU21" s="1180"/>
      <c r="AV21" s="1180"/>
      <c r="AW21" s="1180"/>
      <c r="AX21" s="1180"/>
      <c r="AY21" s="1180"/>
      <c r="AZ21" s="1180"/>
      <c r="BA21" s="1180"/>
      <c r="BB21" s="1177"/>
      <c r="BC21" s="1181"/>
      <c r="BD21" s="1177"/>
      <c r="BE21" s="906"/>
      <c r="BF21" s="693"/>
    </row>
    <row r="22">
      <c r="A22" s="1178"/>
      <c r="B22" s="1131"/>
      <c r="C22" s="1179"/>
      <c r="D22" s="905"/>
      <c r="E22" s="905"/>
      <c r="F22" s="905"/>
      <c r="G22" s="1180"/>
      <c r="H22" s="1180"/>
      <c r="I22" s="1180"/>
      <c r="J22" s="1180"/>
      <c r="K22" s="1180"/>
      <c r="L22" s="1180"/>
      <c r="M22" s="1180"/>
      <c r="N22" s="1180"/>
      <c r="O22" s="1180"/>
      <c r="P22" s="1180"/>
      <c r="Q22" s="1180"/>
      <c r="R22" s="1180"/>
      <c r="S22" s="1180"/>
      <c r="T22" s="1180"/>
      <c r="U22" s="1180"/>
      <c r="V22" s="1180"/>
      <c r="W22" s="1180"/>
      <c r="X22" s="1180"/>
      <c r="Y22" s="1180"/>
      <c r="Z22" s="1180"/>
      <c r="AA22" s="1180"/>
      <c r="AB22" s="1180"/>
      <c r="AC22" s="1180"/>
      <c r="AD22" s="1180"/>
      <c r="AE22" s="1180"/>
      <c r="AF22" s="1180"/>
      <c r="AG22" s="1180"/>
      <c r="AH22" s="1180"/>
      <c r="AI22" s="1180"/>
      <c r="AJ22" s="1180"/>
      <c r="AK22" s="1180"/>
      <c r="AL22" s="1180"/>
      <c r="AM22" s="1180"/>
      <c r="AN22" s="1180"/>
      <c r="AO22" s="1180"/>
      <c r="AP22" s="1180"/>
      <c r="AQ22" s="1180"/>
      <c r="AR22" s="1180"/>
      <c r="AS22" s="1180"/>
      <c r="AT22" s="1180"/>
      <c r="AU22" s="1180"/>
      <c r="AV22" s="1180"/>
      <c r="AW22" s="1180"/>
      <c r="AX22" s="1180"/>
      <c r="AY22" s="1180"/>
      <c r="AZ22" s="1180"/>
      <c r="BA22" s="1180"/>
      <c r="BB22" s="1177"/>
      <c r="BC22" s="1181"/>
      <c r="BD22" s="1177"/>
      <c r="BE22" s="906"/>
      <c r="BF22" s="1216"/>
    </row>
    <row r="23">
      <c r="A23" s="1182"/>
      <c r="B23" s="1128"/>
      <c r="C23" s="1183"/>
      <c r="D23" s="1129"/>
      <c r="E23" s="1129"/>
      <c r="F23" s="1129"/>
      <c r="G23" s="1184"/>
      <c r="H23" s="1184"/>
      <c r="I23" s="1184"/>
      <c r="J23" s="1184"/>
      <c r="K23" s="1184"/>
      <c r="L23" s="1184"/>
      <c r="M23" s="1184"/>
      <c r="N23" s="1184"/>
      <c r="O23" s="1184"/>
      <c r="P23" s="1184"/>
      <c r="Q23" s="1184"/>
      <c r="R23" s="1184"/>
      <c r="S23" s="1184"/>
      <c r="T23" s="1184"/>
      <c r="U23" s="1184"/>
      <c r="V23" s="1184"/>
      <c r="W23" s="1184"/>
      <c r="X23" s="1184"/>
      <c r="Y23" s="1184"/>
      <c r="Z23" s="1184"/>
      <c r="AA23" s="1184"/>
      <c r="AB23" s="1184"/>
      <c r="AC23" s="1184"/>
      <c r="AD23" s="1184"/>
      <c r="AE23" s="1184"/>
      <c r="AF23" s="1184"/>
      <c r="AG23" s="1184"/>
      <c r="AH23" s="1184"/>
      <c r="AI23" s="1184"/>
      <c r="AJ23" s="1184"/>
      <c r="AK23" s="1184"/>
      <c r="AL23" s="1184"/>
      <c r="AM23" s="1184"/>
      <c r="AN23" s="1184"/>
      <c r="AO23" s="1184"/>
      <c r="AP23" s="1184"/>
      <c r="AQ23" s="1184"/>
      <c r="AR23" s="1184"/>
      <c r="AS23" s="1184"/>
      <c r="AT23" s="1184"/>
      <c r="AU23" s="1184"/>
      <c r="AV23" s="1184"/>
      <c r="AW23" s="1184"/>
      <c r="AX23" s="1184"/>
      <c r="AY23" s="1184"/>
      <c r="AZ23" s="1184"/>
      <c r="BA23" s="1184"/>
      <c r="BB23" s="1185"/>
      <c r="BC23" s="1186"/>
      <c r="BD23" s="1185"/>
      <c r="BE23" s="1130"/>
      <c r="BF23" s="1215"/>
    </row>
    <row r="24">
      <c r="A24" s="1182"/>
      <c r="B24" s="1128"/>
      <c r="C24" s="1183"/>
      <c r="D24" s="1129"/>
      <c r="E24" s="1129"/>
      <c r="F24" s="1129"/>
      <c r="G24" s="1184"/>
      <c r="H24" s="1184"/>
      <c r="I24" s="1184"/>
      <c r="J24" s="1184"/>
      <c r="K24" s="1184"/>
      <c r="L24" s="1184"/>
      <c r="M24" s="1184"/>
      <c r="N24" s="1184"/>
      <c r="O24" s="1184"/>
      <c r="P24" s="1184"/>
      <c r="Q24" s="1184"/>
      <c r="R24" s="1184"/>
      <c r="S24" s="1184"/>
      <c r="T24" s="1184"/>
      <c r="U24" s="1184"/>
      <c r="V24" s="1184"/>
      <c r="W24" s="1184"/>
      <c r="X24" s="1184"/>
      <c r="Y24" s="1184"/>
      <c r="Z24" s="1184"/>
      <c r="AA24" s="1184"/>
      <c r="AB24" s="1184"/>
      <c r="AC24" s="1184"/>
      <c r="AD24" s="1184"/>
      <c r="AE24" s="1184"/>
      <c r="AF24" s="1184"/>
      <c r="AG24" s="1184"/>
      <c r="AH24" s="1184"/>
      <c r="AI24" s="1184"/>
      <c r="AJ24" s="1184"/>
      <c r="AK24" s="1184"/>
      <c r="AL24" s="1184"/>
      <c r="AM24" s="1184"/>
      <c r="AN24" s="1184"/>
      <c r="AO24" s="1184"/>
      <c r="AP24" s="1184"/>
      <c r="AQ24" s="1184"/>
      <c r="AR24" s="1184"/>
      <c r="AS24" s="1184"/>
      <c r="AT24" s="1184"/>
      <c r="AU24" s="1184"/>
      <c r="AV24" s="1184"/>
      <c r="AW24" s="1184"/>
      <c r="AX24" s="1184"/>
      <c r="AY24" s="1184"/>
      <c r="AZ24" s="1184"/>
      <c r="BA24" s="1184"/>
      <c r="BB24" s="1185"/>
      <c r="BC24" s="1186"/>
      <c r="BD24" s="1185"/>
      <c r="BE24" s="1130"/>
      <c r="BF24" s="1223"/>
    </row>
    <row r="25">
      <c r="A25" s="1182"/>
      <c r="B25" s="1128"/>
      <c r="C25" s="1183"/>
      <c r="D25" s="1129"/>
      <c r="E25" s="1129"/>
      <c r="F25" s="1129"/>
      <c r="G25" s="1184"/>
      <c r="H25" s="1184"/>
      <c r="I25" s="1184"/>
      <c r="J25" s="1184"/>
      <c r="K25" s="1184"/>
      <c r="L25" s="1184"/>
      <c r="M25" s="1184"/>
      <c r="N25" s="1184"/>
      <c r="O25" s="1184"/>
      <c r="P25" s="1184"/>
      <c r="Q25" s="1184"/>
      <c r="R25" s="1184"/>
      <c r="S25" s="1184"/>
      <c r="T25" s="1184"/>
      <c r="U25" s="1184"/>
      <c r="V25" s="1184"/>
      <c r="W25" s="1184"/>
      <c r="X25" s="1184"/>
      <c r="Y25" s="1184"/>
      <c r="Z25" s="1184"/>
      <c r="AA25" s="1184"/>
      <c r="AB25" s="1184"/>
      <c r="AC25" s="1184"/>
      <c r="AD25" s="1184"/>
      <c r="AE25" s="1184"/>
      <c r="AF25" s="1184"/>
      <c r="AG25" s="1184"/>
      <c r="AH25" s="1184"/>
      <c r="AI25" s="1184"/>
      <c r="AJ25" s="1184"/>
      <c r="AK25" s="1184"/>
      <c r="AL25" s="1184"/>
      <c r="AM25" s="1184"/>
      <c r="AN25" s="1184"/>
      <c r="AO25" s="1184"/>
      <c r="AP25" s="1184"/>
      <c r="AQ25" s="1184"/>
      <c r="AR25" s="1184"/>
      <c r="AS25" s="1184"/>
      <c r="AT25" s="1184"/>
      <c r="AU25" s="1184"/>
      <c r="AV25" s="1184"/>
      <c r="AW25" s="1184"/>
      <c r="AX25" s="1184"/>
      <c r="AY25" s="1184"/>
      <c r="AZ25" s="1184"/>
      <c r="BA25" s="1184"/>
      <c r="BB25" s="1185"/>
      <c r="BC25" s="1186"/>
      <c r="BD25" s="1185"/>
      <c r="BE25" s="1130"/>
      <c r="BF25" s="1223"/>
    </row>
    <row r="26">
      <c r="A26" s="1187"/>
      <c r="B26" s="1188"/>
      <c r="C26" s="1224"/>
      <c r="D26" s="1158"/>
      <c r="E26" s="1158"/>
      <c r="F26" s="1158"/>
      <c r="G26" s="1189"/>
      <c r="H26" s="1189"/>
      <c r="I26" s="1189"/>
      <c r="J26" s="1189"/>
      <c r="K26" s="1189"/>
      <c r="L26" s="1189"/>
      <c r="M26" s="1189"/>
      <c r="N26" s="1189"/>
      <c r="O26" s="1189"/>
      <c r="P26" s="1189"/>
      <c r="Q26" s="1189"/>
      <c r="R26" s="1189"/>
      <c r="S26" s="1189"/>
      <c r="T26" s="1189"/>
      <c r="U26" s="1189"/>
      <c r="V26" s="1189"/>
      <c r="W26" s="1189"/>
      <c r="X26" s="1189"/>
      <c r="Y26" s="1189"/>
      <c r="Z26" s="1189"/>
      <c r="AA26" s="1189"/>
      <c r="AB26" s="1189"/>
      <c r="AC26" s="1189"/>
      <c r="AD26" s="1189"/>
      <c r="AE26" s="1189"/>
      <c r="AF26" s="1189"/>
      <c r="AG26" s="1189"/>
      <c r="AH26" s="1189"/>
      <c r="AI26" s="1189"/>
      <c r="AJ26" s="1189"/>
      <c r="AK26" s="1189"/>
      <c r="AL26" s="1189"/>
      <c r="AM26" s="1189"/>
      <c r="AN26" s="1189"/>
      <c r="AO26" s="1189"/>
      <c r="AP26" s="1189"/>
      <c r="AQ26" s="1189"/>
      <c r="AR26" s="1189"/>
      <c r="AS26" s="1189"/>
      <c r="AT26" s="1189"/>
      <c r="AU26" s="1189"/>
      <c r="AV26" s="1189"/>
      <c r="AW26" s="1189"/>
      <c r="AX26" s="1189"/>
      <c r="AY26" s="1189"/>
      <c r="AZ26" s="1189"/>
      <c r="BA26" s="1189"/>
      <c r="BB26" s="1190"/>
      <c r="BC26" s="1191"/>
      <c r="BD26" s="1185"/>
      <c r="BE26" s="1133"/>
      <c r="BF26" s="1225"/>
    </row>
    <row r="27">
      <c r="A27" s="1131"/>
      <c r="B27" s="1131"/>
      <c r="C27" s="1173"/>
      <c r="D27" s="1162"/>
      <c r="E27" s="1162"/>
      <c r="F27" s="1162"/>
      <c r="G27" s="1174"/>
      <c r="H27" s="1174"/>
      <c r="I27" s="1174"/>
      <c r="J27" s="1174"/>
      <c r="K27" s="1174"/>
      <c r="L27" s="1174"/>
      <c r="M27" s="1174"/>
      <c r="N27" s="1174"/>
      <c r="O27" s="1174"/>
      <c r="P27" s="1174"/>
      <c r="Q27" s="1174"/>
      <c r="R27" s="1174"/>
      <c r="S27" s="1174"/>
      <c r="T27" s="1174"/>
      <c r="U27" s="1174"/>
      <c r="V27" s="1174"/>
      <c r="W27" s="1174"/>
      <c r="X27" s="1174"/>
      <c r="Y27" s="1174"/>
      <c r="Z27" s="1174"/>
      <c r="AA27" s="1174"/>
      <c r="AB27" s="1174"/>
      <c r="AC27" s="1174"/>
      <c r="AD27" s="1174"/>
      <c r="AE27" s="1174"/>
      <c r="AF27" s="1174"/>
      <c r="AG27" s="1174"/>
      <c r="AH27" s="1174"/>
      <c r="AI27" s="1174"/>
      <c r="AJ27" s="1174"/>
      <c r="AK27" s="1174"/>
      <c r="AL27" s="1174"/>
      <c r="AM27" s="1174"/>
      <c r="AN27" s="1174"/>
      <c r="AO27" s="1174"/>
      <c r="AP27" s="1174"/>
      <c r="AQ27" s="1174"/>
      <c r="AR27" s="1174"/>
      <c r="AS27" s="1174"/>
      <c r="AT27" s="1174"/>
      <c r="AU27" s="1174"/>
      <c r="AV27" s="1174"/>
      <c r="AW27" s="1174"/>
      <c r="AX27" s="1174"/>
      <c r="AY27" s="1174"/>
      <c r="AZ27" s="1174"/>
      <c r="BA27" s="1174"/>
      <c r="BB27" s="1175"/>
      <c r="BC27" s="1176"/>
      <c r="BD27" s="1177"/>
      <c r="BE27" s="906"/>
      <c r="BF27" s="1130"/>
    </row>
    <row r="28">
      <c r="A28" s="1131"/>
      <c r="B28" s="1131"/>
      <c r="C28" s="1179"/>
      <c r="D28" s="1129"/>
      <c r="E28" s="1129"/>
      <c r="F28" s="1129"/>
      <c r="G28" s="1180"/>
      <c r="H28" s="1180"/>
      <c r="I28" s="1180"/>
      <c r="J28" s="1180"/>
      <c r="K28" s="1180"/>
      <c r="L28" s="1180"/>
      <c r="M28" s="1180"/>
      <c r="N28" s="1180"/>
      <c r="O28" s="1180"/>
      <c r="P28" s="1180"/>
      <c r="Q28" s="1180"/>
      <c r="R28" s="1180"/>
      <c r="S28" s="1180"/>
      <c r="T28" s="1180"/>
      <c r="U28" s="1180"/>
      <c r="V28" s="1180"/>
      <c r="W28" s="1180"/>
      <c r="X28" s="1180"/>
      <c r="Y28" s="1180"/>
      <c r="Z28" s="1180"/>
      <c r="AA28" s="1180"/>
      <c r="AB28" s="1180"/>
      <c r="AC28" s="1180"/>
      <c r="AD28" s="1180"/>
      <c r="AE28" s="1180"/>
      <c r="AF28" s="1180"/>
      <c r="AG28" s="1180"/>
      <c r="AH28" s="1180"/>
      <c r="AI28" s="1180"/>
      <c r="AJ28" s="1180"/>
      <c r="AK28" s="1180"/>
      <c r="AL28" s="1180"/>
      <c r="AM28" s="1180"/>
      <c r="AN28" s="1180"/>
      <c r="AO28" s="1180"/>
      <c r="AP28" s="1180"/>
      <c r="AQ28" s="1180"/>
      <c r="AR28" s="1180"/>
      <c r="AS28" s="1180"/>
      <c r="AT28" s="1180"/>
      <c r="AU28" s="1180"/>
      <c r="AV28" s="1180"/>
      <c r="AW28" s="1180"/>
      <c r="AX28" s="1180"/>
      <c r="AY28" s="1180"/>
      <c r="AZ28" s="1180"/>
      <c r="BA28" s="1180"/>
      <c r="BB28" s="1177"/>
      <c r="BC28" s="1181"/>
      <c r="BD28" s="1177"/>
      <c r="BE28" s="906"/>
      <c r="BF28" s="1130"/>
    </row>
    <row r="29">
      <c r="A29" s="1131"/>
      <c r="B29" s="1131"/>
      <c r="C29" s="1179"/>
      <c r="D29" s="1129"/>
      <c r="E29" s="1129"/>
      <c r="F29" s="1129"/>
      <c r="G29" s="1180"/>
      <c r="H29" s="1180"/>
      <c r="I29" s="1180"/>
      <c r="J29" s="1180"/>
      <c r="K29" s="1180"/>
      <c r="L29" s="1180"/>
      <c r="M29" s="1180"/>
      <c r="N29" s="1180"/>
      <c r="O29" s="1180"/>
      <c r="P29" s="1180"/>
      <c r="Q29" s="1180"/>
      <c r="R29" s="1180"/>
      <c r="S29" s="1180"/>
      <c r="T29" s="1180"/>
      <c r="U29" s="1180"/>
      <c r="V29" s="1180"/>
      <c r="W29" s="1180"/>
      <c r="X29" s="1180"/>
      <c r="Y29" s="1180"/>
      <c r="Z29" s="1180"/>
      <c r="AA29" s="1180"/>
      <c r="AB29" s="1180"/>
      <c r="AC29" s="1180"/>
      <c r="AD29" s="1180"/>
      <c r="AE29" s="1180"/>
      <c r="AF29" s="1180"/>
      <c r="AG29" s="1180"/>
      <c r="AH29" s="1180"/>
      <c r="AI29" s="1180"/>
      <c r="AJ29" s="1180"/>
      <c r="AK29" s="1180"/>
      <c r="AL29" s="1180"/>
      <c r="AM29" s="1180"/>
      <c r="AN29" s="1180"/>
      <c r="AO29" s="1180"/>
      <c r="AP29" s="1180"/>
      <c r="AQ29" s="1180"/>
      <c r="AR29" s="1180"/>
      <c r="AS29" s="1180"/>
      <c r="AT29" s="1180"/>
      <c r="AU29" s="1180"/>
      <c r="AV29" s="1180"/>
      <c r="AW29" s="1180"/>
      <c r="AX29" s="1180"/>
      <c r="AY29" s="1180"/>
      <c r="AZ29" s="1180"/>
      <c r="BA29" s="1180"/>
      <c r="BB29" s="1177"/>
      <c r="BC29" s="1181"/>
      <c r="BD29" s="1177"/>
      <c r="BE29" s="906"/>
      <c r="BF29" s="1130"/>
    </row>
    <row r="30">
      <c r="A30" s="1131"/>
      <c r="B30" s="1131"/>
      <c r="C30" s="1179"/>
      <c r="D30" s="1129"/>
      <c r="E30" s="1129"/>
      <c r="F30" s="1129"/>
      <c r="G30" s="1180"/>
      <c r="H30" s="1180"/>
      <c r="I30" s="1180"/>
      <c r="J30" s="1180"/>
      <c r="K30" s="1180"/>
      <c r="L30" s="1180"/>
      <c r="M30" s="1180"/>
      <c r="N30" s="1180"/>
      <c r="O30" s="1180"/>
      <c r="P30" s="1180"/>
      <c r="Q30" s="1180"/>
      <c r="R30" s="1180"/>
      <c r="S30" s="1180"/>
      <c r="T30" s="1180"/>
      <c r="U30" s="1180"/>
      <c r="V30" s="1180"/>
      <c r="W30" s="1180"/>
      <c r="X30" s="1180"/>
      <c r="Y30" s="1180"/>
      <c r="Z30" s="1180"/>
      <c r="AA30" s="1180"/>
      <c r="AB30" s="1180"/>
      <c r="AC30" s="1180"/>
      <c r="AD30" s="1180"/>
      <c r="AE30" s="1180"/>
      <c r="AF30" s="1180"/>
      <c r="AG30" s="1180"/>
      <c r="AH30" s="1180"/>
      <c r="AI30" s="1180"/>
      <c r="AJ30" s="1180"/>
      <c r="AK30" s="1180"/>
      <c r="AL30" s="1180"/>
      <c r="AM30" s="1180"/>
      <c r="AN30" s="1180"/>
      <c r="AO30" s="1180"/>
      <c r="AP30" s="1180"/>
      <c r="AQ30" s="1180"/>
      <c r="AR30" s="1180"/>
      <c r="AS30" s="1180"/>
      <c r="AT30" s="1180"/>
      <c r="AU30" s="1180"/>
      <c r="AV30" s="1180"/>
      <c r="AW30" s="1180"/>
      <c r="AX30" s="1180"/>
      <c r="AY30" s="1180"/>
      <c r="AZ30" s="1180"/>
      <c r="BA30" s="1180"/>
      <c r="BB30" s="1177"/>
      <c r="BC30" s="1181"/>
      <c r="BD30" s="1177"/>
      <c r="BE30" s="906"/>
      <c r="BF30" s="1130"/>
    </row>
    <row r="31">
      <c r="A31" s="1128"/>
      <c r="B31" s="1128"/>
      <c r="C31" s="1183"/>
      <c r="D31" s="905"/>
      <c r="E31" s="905"/>
      <c r="F31" s="905"/>
      <c r="G31" s="1184"/>
      <c r="H31" s="1184"/>
      <c r="I31" s="1184"/>
      <c r="J31" s="1184"/>
      <c r="K31" s="1184"/>
      <c r="L31" s="1184"/>
      <c r="M31" s="1184"/>
      <c r="N31" s="1184"/>
      <c r="O31" s="1184"/>
      <c r="P31" s="1184"/>
      <c r="Q31" s="1184"/>
      <c r="R31" s="1184"/>
      <c r="S31" s="1184"/>
      <c r="T31" s="1184"/>
      <c r="U31" s="1184"/>
      <c r="V31" s="1184"/>
      <c r="W31" s="1184"/>
      <c r="X31" s="1184"/>
      <c r="Y31" s="1184"/>
      <c r="Z31" s="1184"/>
      <c r="AA31" s="1184"/>
      <c r="AB31" s="1184"/>
      <c r="AC31" s="1184"/>
      <c r="AD31" s="1184"/>
      <c r="AE31" s="1184"/>
      <c r="AF31" s="1184"/>
      <c r="AG31" s="1184"/>
      <c r="AH31" s="1184"/>
      <c r="AI31" s="1184"/>
      <c r="AJ31" s="1184"/>
      <c r="AK31" s="1184"/>
      <c r="AL31" s="1184"/>
      <c r="AM31" s="1184"/>
      <c r="AN31" s="1184"/>
      <c r="AO31" s="1184"/>
      <c r="AP31" s="1184"/>
      <c r="AQ31" s="1184"/>
      <c r="AR31" s="1184"/>
      <c r="AS31" s="1184"/>
      <c r="AT31" s="1184"/>
      <c r="AU31" s="1184"/>
      <c r="AV31" s="1184"/>
      <c r="AW31" s="1184"/>
      <c r="AX31" s="1184"/>
      <c r="AY31" s="1184"/>
      <c r="AZ31" s="1184"/>
      <c r="BA31" s="1184"/>
      <c r="BB31" s="1185"/>
      <c r="BC31" s="1186"/>
      <c r="BD31" s="1185"/>
      <c r="BE31" s="1130"/>
      <c r="BF31" s="906"/>
    </row>
    <row r="32">
      <c r="A32" s="1128"/>
      <c r="B32" s="1128"/>
      <c r="C32" s="1183"/>
      <c r="D32" s="905"/>
      <c r="E32" s="905"/>
      <c r="F32" s="905"/>
      <c r="G32" s="1184"/>
      <c r="H32" s="1184"/>
      <c r="I32" s="1184"/>
      <c r="J32" s="1184"/>
      <c r="K32" s="1184"/>
      <c r="L32" s="1184"/>
      <c r="M32" s="1184"/>
      <c r="N32" s="1184"/>
      <c r="O32" s="1184"/>
      <c r="P32" s="1184"/>
      <c r="Q32" s="1184"/>
      <c r="R32" s="1184"/>
      <c r="S32" s="1184"/>
      <c r="T32" s="1184"/>
      <c r="U32" s="1184"/>
      <c r="V32" s="1184"/>
      <c r="W32" s="1184"/>
      <c r="X32" s="1184"/>
      <c r="Y32" s="1184"/>
      <c r="Z32" s="1184"/>
      <c r="AA32" s="1184"/>
      <c r="AB32" s="1184"/>
      <c r="AC32" s="1184"/>
      <c r="AD32" s="1184"/>
      <c r="AE32" s="1184"/>
      <c r="AF32" s="1184"/>
      <c r="AG32" s="1184"/>
      <c r="AH32" s="1184"/>
      <c r="AI32" s="1184"/>
      <c r="AJ32" s="1184"/>
      <c r="AK32" s="1184"/>
      <c r="AL32" s="1184"/>
      <c r="AM32" s="1184"/>
      <c r="AN32" s="1184"/>
      <c r="AO32" s="1184"/>
      <c r="AP32" s="1184"/>
      <c r="AQ32" s="1184"/>
      <c r="AR32" s="1184"/>
      <c r="AS32" s="1184"/>
      <c r="AT32" s="1184"/>
      <c r="AU32" s="1184"/>
      <c r="AV32" s="1184"/>
      <c r="AW32" s="1184"/>
      <c r="AX32" s="1184"/>
      <c r="AY32" s="1184"/>
      <c r="AZ32" s="1184"/>
      <c r="BA32" s="1184"/>
      <c r="BB32" s="1185"/>
      <c r="BC32" s="1186"/>
      <c r="BD32" s="1185"/>
      <c r="BE32" s="1130"/>
      <c r="BF32" s="906"/>
    </row>
    <row r="33">
      <c r="A33" s="1128"/>
      <c r="B33" s="1128"/>
      <c r="C33" s="1183"/>
      <c r="D33" s="905"/>
      <c r="E33" s="905"/>
      <c r="F33" s="905"/>
      <c r="G33" s="1184"/>
      <c r="H33" s="1184"/>
      <c r="I33" s="1184"/>
      <c r="J33" s="1184"/>
      <c r="K33" s="1184"/>
      <c r="L33" s="1184"/>
      <c r="M33" s="1184"/>
      <c r="N33" s="1184"/>
      <c r="O33" s="1184"/>
      <c r="P33" s="1184"/>
      <c r="Q33" s="1184"/>
      <c r="R33" s="1184"/>
      <c r="S33" s="1184"/>
      <c r="T33" s="1184"/>
      <c r="U33" s="1184"/>
      <c r="V33" s="1184"/>
      <c r="W33" s="1184"/>
      <c r="X33" s="1184"/>
      <c r="Y33" s="1184"/>
      <c r="Z33" s="1184"/>
      <c r="AA33" s="1184"/>
      <c r="AB33" s="1184"/>
      <c r="AC33" s="1184"/>
      <c r="AD33" s="1184"/>
      <c r="AE33" s="1184"/>
      <c r="AF33" s="1184"/>
      <c r="AG33" s="1184"/>
      <c r="AH33" s="1184"/>
      <c r="AI33" s="1184"/>
      <c r="AJ33" s="1184"/>
      <c r="AK33" s="1184"/>
      <c r="AL33" s="1184"/>
      <c r="AM33" s="1184"/>
      <c r="AN33" s="1184"/>
      <c r="AO33" s="1184"/>
      <c r="AP33" s="1184"/>
      <c r="AQ33" s="1184"/>
      <c r="AR33" s="1184"/>
      <c r="AS33" s="1184"/>
      <c r="AT33" s="1184"/>
      <c r="AU33" s="1184"/>
      <c r="AV33" s="1184"/>
      <c r="AW33" s="1184"/>
      <c r="AX33" s="1184"/>
      <c r="AY33" s="1184"/>
      <c r="AZ33" s="1184"/>
      <c r="BA33" s="1184"/>
      <c r="BB33" s="1185"/>
      <c r="BC33" s="1186"/>
      <c r="BD33" s="1185"/>
      <c r="BE33" s="1130"/>
      <c r="BF33" s="906"/>
    </row>
    <row r="34">
      <c r="A34" s="1188"/>
      <c r="B34" s="1188"/>
      <c r="C34" s="1224"/>
      <c r="D34" s="1167"/>
      <c r="E34" s="1167"/>
      <c r="F34" s="1167"/>
      <c r="G34" s="1189"/>
      <c r="H34" s="1189"/>
      <c r="I34" s="1189"/>
      <c r="J34" s="1189"/>
      <c r="K34" s="1189"/>
      <c r="L34" s="1189"/>
      <c r="M34" s="1189"/>
      <c r="N34" s="1189"/>
      <c r="O34" s="1189"/>
      <c r="P34" s="1189"/>
      <c r="Q34" s="1189"/>
      <c r="R34" s="1189"/>
      <c r="S34" s="1189"/>
      <c r="T34" s="1189"/>
      <c r="U34" s="1189"/>
      <c r="V34" s="1189"/>
      <c r="W34" s="1189"/>
      <c r="X34" s="1189"/>
      <c r="Y34" s="1189"/>
      <c r="Z34" s="1189"/>
      <c r="AA34" s="1189"/>
      <c r="AB34" s="1189"/>
      <c r="AC34" s="1189"/>
      <c r="AD34" s="1189"/>
      <c r="AE34" s="1189"/>
      <c r="AF34" s="1189"/>
      <c r="AG34" s="1189"/>
      <c r="AH34" s="1189"/>
      <c r="AI34" s="1189"/>
      <c r="AJ34" s="1189"/>
      <c r="AK34" s="1189"/>
      <c r="AL34" s="1189"/>
      <c r="AM34" s="1189"/>
      <c r="AN34" s="1189"/>
      <c r="AO34" s="1189"/>
      <c r="AP34" s="1189"/>
      <c r="AQ34" s="1189"/>
      <c r="AR34" s="1189"/>
      <c r="AS34" s="1189"/>
      <c r="AT34" s="1189"/>
      <c r="AU34" s="1189"/>
      <c r="AV34" s="1189"/>
      <c r="AW34" s="1189"/>
      <c r="AX34" s="1189"/>
      <c r="AY34" s="1189"/>
      <c r="AZ34" s="1189"/>
      <c r="BA34" s="1189"/>
      <c r="BB34" s="1190"/>
      <c r="BC34" s="1191"/>
      <c r="BD34" s="1185"/>
      <c r="BE34" s="1130"/>
      <c r="BF34" s="906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6.25"/>
    <col customWidth="1" min="2" max="2" width="34.63"/>
    <col customWidth="1" min="3" max="3" width="15.25"/>
    <col customWidth="1" hidden="1" min="4" max="6" width="5.25"/>
    <col customWidth="1" min="7" max="7" width="5.0"/>
    <col customWidth="1" min="8" max="8" width="5.88"/>
    <col customWidth="1" min="9" max="9" width="5.63"/>
    <col customWidth="1" min="10" max="10" width="4.5"/>
    <col customWidth="1" min="11" max="11" width="6.88"/>
    <col customWidth="1" min="12" max="12" width="6.5"/>
    <col customWidth="1" min="13" max="13" width="6.63"/>
    <col customWidth="1" min="14" max="14" width="6.13"/>
    <col customWidth="1" min="15" max="15" width="8.5"/>
    <col customWidth="1" min="16" max="16" width="8.88"/>
    <col customWidth="1" min="17" max="17" width="9.5"/>
    <col customWidth="1" min="18" max="18" width="10.5"/>
    <col customWidth="1" min="19" max="19" width="10.38"/>
    <col customWidth="1" min="20" max="20" width="11.63"/>
    <col customWidth="1" min="21" max="21" width="12.88"/>
    <col customWidth="1" min="22" max="22" width="11.88"/>
    <col customWidth="1" min="23" max="23" width="9.38"/>
    <col customWidth="1" min="24" max="24" width="11.63"/>
    <col customWidth="1" min="25" max="25" width="10.13"/>
    <col customWidth="1" min="26" max="26" width="9.0"/>
    <col customWidth="1" min="27" max="27" width="8.0"/>
    <col customWidth="1" min="28" max="28" width="10.0"/>
    <col customWidth="1" min="29" max="29" width="10.13"/>
    <col customWidth="1" min="30" max="30" width="11.88"/>
    <col customWidth="1" min="31" max="31" width="11.13"/>
    <col customWidth="1" min="32" max="32" width="12.63"/>
    <col customWidth="1" min="33" max="33" width="9.0"/>
    <col customWidth="1" min="34" max="34" width="7.63"/>
    <col customWidth="1" min="35" max="35" width="8.25"/>
    <col customWidth="1" min="36" max="36" width="12.5"/>
    <col customWidth="1" min="37" max="37" width="13.25"/>
    <col customWidth="1" min="38" max="38" width="8.5"/>
    <col customWidth="1" min="39" max="40" width="9.13"/>
    <col customWidth="1" min="41" max="41" width="13.25"/>
    <col customWidth="1" min="42" max="42" width="15.0"/>
    <col customWidth="1" min="43" max="43" width="7.5"/>
    <col customWidth="1" min="44" max="44" width="10.0"/>
    <col customWidth="1" min="45" max="45" width="10.13"/>
    <col customWidth="1" min="46" max="46" width="11.38"/>
    <col customWidth="1" min="47" max="47" width="12.13"/>
    <col customWidth="1" min="48" max="48" width="11.25"/>
    <col customWidth="1" min="49" max="49" width="11.13"/>
    <col customWidth="1" min="50" max="50" width="11.5"/>
    <col customWidth="1" min="51" max="51" width="10.75"/>
    <col customWidth="1" min="52" max="52" width="11.0"/>
    <col customWidth="1" min="53" max="53" width="9.38"/>
    <col customWidth="1" min="54" max="54" width="9.63"/>
    <col customWidth="1" hidden="1" min="55" max="55" width="9.63"/>
    <col customWidth="1" min="56" max="58" width="9.63"/>
  </cols>
  <sheetData>
    <row r="1">
      <c r="A1" s="12" t="s">
        <v>632</v>
      </c>
      <c r="B1" s="12" t="s">
        <v>188</v>
      </c>
      <c r="C1" s="12" t="s">
        <v>394</v>
      </c>
      <c r="D1" s="12" t="s">
        <v>633</v>
      </c>
      <c r="E1" s="1" t="s">
        <v>634</v>
      </c>
      <c r="F1" s="1" t="s">
        <v>635</v>
      </c>
      <c r="G1" s="12" t="s">
        <v>189</v>
      </c>
      <c r="H1" s="12" t="s">
        <v>636</v>
      </c>
      <c r="I1" s="12" t="s">
        <v>20</v>
      </c>
      <c r="J1" s="12" t="s">
        <v>21</v>
      </c>
      <c r="K1" s="12" t="s">
        <v>22</v>
      </c>
      <c r="L1" s="12" t="s">
        <v>23</v>
      </c>
      <c r="M1" s="12" t="s">
        <v>24</v>
      </c>
      <c r="N1" s="12" t="s">
        <v>25</v>
      </c>
      <c r="O1" s="12" t="s">
        <v>26</v>
      </c>
      <c r="P1" s="12" t="s">
        <v>27</v>
      </c>
      <c r="Q1" s="12" t="s">
        <v>28</v>
      </c>
      <c r="R1" s="12" t="s">
        <v>29</v>
      </c>
      <c r="S1" s="12" t="s">
        <v>30</v>
      </c>
      <c r="T1" s="12" t="s">
        <v>31</v>
      </c>
      <c r="U1" s="12" t="s">
        <v>32</v>
      </c>
      <c r="V1" s="12" t="s">
        <v>637</v>
      </c>
      <c r="W1" s="12" t="s">
        <v>337</v>
      </c>
      <c r="X1" s="12" t="s">
        <v>339</v>
      </c>
      <c r="Y1" s="12" t="s">
        <v>33</v>
      </c>
      <c r="Z1" s="12" t="s">
        <v>34</v>
      </c>
      <c r="AA1" s="12" t="s">
        <v>35</v>
      </c>
      <c r="AB1" s="12" t="s">
        <v>36</v>
      </c>
      <c r="AC1" s="12" t="s">
        <v>37</v>
      </c>
      <c r="AD1" s="12" t="s">
        <v>38</v>
      </c>
      <c r="AE1" s="12" t="s">
        <v>39</v>
      </c>
      <c r="AF1" s="12" t="s">
        <v>542</v>
      </c>
      <c r="AG1" s="12" t="s">
        <v>543</v>
      </c>
      <c r="AH1" s="12" t="s">
        <v>349</v>
      </c>
      <c r="AI1" s="12" t="s">
        <v>40</v>
      </c>
      <c r="AJ1" s="12" t="s">
        <v>638</v>
      </c>
      <c r="AK1" s="12" t="s">
        <v>350</v>
      </c>
      <c r="AL1" s="12" t="s">
        <v>41</v>
      </c>
      <c r="AM1" s="12" t="s">
        <v>42</v>
      </c>
      <c r="AN1" s="12" t="s">
        <v>642</v>
      </c>
      <c r="AO1" s="12" t="s">
        <v>639</v>
      </c>
      <c r="AP1" s="12" t="s">
        <v>43</v>
      </c>
      <c r="AQ1" s="12" t="s">
        <v>44</v>
      </c>
      <c r="AR1" s="12" t="s">
        <v>45</v>
      </c>
      <c r="AS1" s="12" t="s">
        <v>46</v>
      </c>
      <c r="AT1" s="12" t="s">
        <v>47</v>
      </c>
      <c r="AU1" s="12" t="s">
        <v>48</v>
      </c>
      <c r="AV1" s="12" t="s">
        <v>49</v>
      </c>
      <c r="AW1" s="12" t="s">
        <v>50</v>
      </c>
      <c r="AX1" s="12" t="s">
        <v>51</v>
      </c>
      <c r="AY1" s="12" t="s">
        <v>52</v>
      </c>
      <c r="AZ1" s="12" t="s">
        <v>643</v>
      </c>
      <c r="BA1" s="12" t="s">
        <v>53</v>
      </c>
      <c r="BB1" s="12" t="s">
        <v>54</v>
      </c>
      <c r="BC1" s="1" t="s">
        <v>640</v>
      </c>
      <c r="BD1" s="12" t="s">
        <v>55</v>
      </c>
      <c r="BE1" s="12"/>
      <c r="BF1" s="12"/>
    </row>
    <row r="2">
      <c r="A2" s="1128"/>
      <c r="B2" s="1128"/>
      <c r="C2" s="1202"/>
      <c r="D2" s="1129"/>
      <c r="E2" s="1129"/>
      <c r="F2" s="1129"/>
      <c r="G2" s="1203"/>
      <c r="H2" s="1203"/>
      <c r="I2" s="1203"/>
      <c r="J2" s="1203"/>
      <c r="K2" s="1203"/>
      <c r="L2" s="1203"/>
      <c r="M2" s="1203"/>
      <c r="N2" s="1203"/>
      <c r="O2" s="1203"/>
      <c r="P2" s="1203"/>
      <c r="Q2" s="1203"/>
      <c r="R2" s="1203"/>
      <c r="S2" s="1203"/>
      <c r="T2" s="1203"/>
      <c r="U2" s="1203"/>
      <c r="V2" s="1203"/>
      <c r="W2" s="1203"/>
      <c r="X2" s="1203"/>
      <c r="Y2" s="1203"/>
      <c r="Z2" s="1203"/>
      <c r="AA2" s="1203"/>
      <c r="AB2" s="1203"/>
      <c r="AC2" s="1203"/>
      <c r="AD2" s="1203"/>
      <c r="AE2" s="1203"/>
      <c r="AF2" s="1203"/>
      <c r="AG2" s="1203"/>
      <c r="AH2" s="1203"/>
      <c r="AI2" s="1203"/>
      <c r="AJ2" s="1203"/>
      <c r="AK2" s="1203"/>
      <c r="AL2" s="1203"/>
      <c r="AM2" s="1203"/>
      <c r="AN2" s="1203"/>
      <c r="AO2" s="1203"/>
      <c r="AP2" s="1203"/>
      <c r="AQ2" s="1203"/>
      <c r="AR2" s="1203"/>
      <c r="AS2" s="1203"/>
      <c r="AT2" s="1203"/>
      <c r="AU2" s="1203"/>
      <c r="AV2" s="1203"/>
      <c r="AW2" s="1203"/>
      <c r="AX2" s="1203"/>
      <c r="AY2" s="1203"/>
      <c r="AZ2" s="1203"/>
      <c r="BA2" s="1203"/>
      <c r="BB2" s="1204"/>
      <c r="BC2" s="1205"/>
      <c r="BD2" s="1205"/>
      <c r="BE2" s="1206"/>
      <c r="BF2" s="1207"/>
    </row>
    <row r="3">
      <c r="A3" s="1128"/>
      <c r="B3" s="1128"/>
      <c r="C3" s="1183"/>
      <c r="D3" s="1129"/>
      <c r="E3" s="1129"/>
      <c r="F3" s="1129"/>
      <c r="G3" s="1184"/>
      <c r="H3" s="1184"/>
      <c r="I3" s="1184"/>
      <c r="J3" s="1184"/>
      <c r="K3" s="1184"/>
      <c r="L3" s="1184"/>
      <c r="M3" s="1184"/>
      <c r="N3" s="1184"/>
      <c r="O3" s="1184"/>
      <c r="P3" s="1184"/>
      <c r="Q3" s="1184"/>
      <c r="R3" s="1184"/>
      <c r="S3" s="1184"/>
      <c r="T3" s="1184"/>
      <c r="U3" s="1184"/>
      <c r="V3" s="1184"/>
      <c r="W3" s="1184"/>
      <c r="X3" s="1184"/>
      <c r="Y3" s="1184"/>
      <c r="Z3" s="1184"/>
      <c r="AA3" s="1184"/>
      <c r="AB3" s="1184"/>
      <c r="AC3" s="1184"/>
      <c r="AD3" s="1184"/>
      <c r="AE3" s="1184"/>
      <c r="AF3" s="1184"/>
      <c r="AG3" s="1184"/>
      <c r="AH3" s="1184"/>
      <c r="AI3" s="1184"/>
      <c r="AJ3" s="1184"/>
      <c r="AK3" s="1184"/>
      <c r="AL3" s="1184"/>
      <c r="AM3" s="1184"/>
      <c r="AN3" s="1184"/>
      <c r="AO3" s="1184"/>
      <c r="AP3" s="1184"/>
      <c r="AQ3" s="1184"/>
      <c r="AR3" s="1184"/>
      <c r="AS3" s="1184"/>
      <c r="AT3" s="1184"/>
      <c r="AU3" s="1184"/>
      <c r="AV3" s="1184"/>
      <c r="AW3" s="1184"/>
      <c r="AX3" s="1184"/>
      <c r="AY3" s="1184"/>
      <c r="AZ3" s="1184"/>
      <c r="BA3" s="1184"/>
      <c r="BB3" s="1185"/>
      <c r="BC3" s="1186"/>
      <c r="BD3" s="1186"/>
      <c r="BE3" s="1185"/>
      <c r="BF3" s="1208"/>
    </row>
    <row r="4">
      <c r="A4" s="1128"/>
      <c r="B4" s="1128"/>
      <c r="C4" s="1183"/>
      <c r="D4" s="1129"/>
      <c r="E4" s="1129"/>
      <c r="F4" s="1129"/>
      <c r="G4" s="1184"/>
      <c r="H4" s="1184"/>
      <c r="I4" s="1184"/>
      <c r="J4" s="1184"/>
      <c r="K4" s="1184"/>
      <c r="L4" s="1184"/>
      <c r="M4" s="1184"/>
      <c r="N4" s="1184"/>
      <c r="O4" s="1184"/>
      <c r="P4" s="1184"/>
      <c r="Q4" s="1184"/>
      <c r="R4" s="1184"/>
      <c r="S4" s="1184"/>
      <c r="T4" s="1184"/>
      <c r="U4" s="1184"/>
      <c r="V4" s="1184"/>
      <c r="W4" s="1184"/>
      <c r="X4" s="1184"/>
      <c r="Y4" s="1184"/>
      <c r="Z4" s="1184"/>
      <c r="AA4" s="1184"/>
      <c r="AB4" s="1184"/>
      <c r="AC4" s="1184"/>
      <c r="AD4" s="1184"/>
      <c r="AE4" s="1184"/>
      <c r="AF4" s="1184"/>
      <c r="AG4" s="1184"/>
      <c r="AH4" s="1184"/>
      <c r="AI4" s="1184"/>
      <c r="AJ4" s="1184"/>
      <c r="AK4" s="1184"/>
      <c r="AL4" s="1184"/>
      <c r="AM4" s="1184"/>
      <c r="AN4" s="1184"/>
      <c r="AO4" s="1184"/>
      <c r="AP4" s="1184"/>
      <c r="AQ4" s="1184"/>
      <c r="AR4" s="1184"/>
      <c r="AS4" s="1184"/>
      <c r="AT4" s="1184"/>
      <c r="AU4" s="1184"/>
      <c r="AV4" s="1184"/>
      <c r="AW4" s="1184"/>
      <c r="AX4" s="1184"/>
      <c r="AY4" s="1184"/>
      <c r="AZ4" s="1184"/>
      <c r="BA4" s="1184"/>
      <c r="BB4" s="1185"/>
      <c r="BC4" s="1186"/>
      <c r="BD4" s="1186"/>
      <c r="BE4" s="1185"/>
      <c r="BF4" s="1208"/>
    </row>
    <row r="5">
      <c r="A5" s="1128"/>
      <c r="B5" s="1128"/>
      <c r="C5" s="1183"/>
      <c r="D5" s="1129"/>
      <c r="E5" s="1129"/>
      <c r="F5" s="1129"/>
      <c r="G5" s="1184"/>
      <c r="H5" s="1184"/>
      <c r="I5" s="1184"/>
      <c r="J5" s="1184"/>
      <c r="K5" s="1184"/>
      <c r="L5" s="1184"/>
      <c r="M5" s="1184"/>
      <c r="N5" s="1184"/>
      <c r="O5" s="1184"/>
      <c r="P5" s="1184"/>
      <c r="Q5" s="1184"/>
      <c r="R5" s="1184"/>
      <c r="S5" s="1184"/>
      <c r="T5" s="1184"/>
      <c r="U5" s="1184"/>
      <c r="V5" s="1184"/>
      <c r="W5" s="1184"/>
      <c r="X5" s="1184"/>
      <c r="Y5" s="1184"/>
      <c r="Z5" s="1184"/>
      <c r="AA5" s="1184"/>
      <c r="AB5" s="1184"/>
      <c r="AC5" s="1184"/>
      <c r="AD5" s="1184"/>
      <c r="AE5" s="1184"/>
      <c r="AF5" s="1184"/>
      <c r="AG5" s="1184"/>
      <c r="AH5" s="1184"/>
      <c r="AI5" s="1184"/>
      <c r="AJ5" s="1184"/>
      <c r="AK5" s="1184"/>
      <c r="AL5" s="1184"/>
      <c r="AM5" s="1184"/>
      <c r="AN5" s="1184"/>
      <c r="AO5" s="1184"/>
      <c r="AP5" s="1184"/>
      <c r="AQ5" s="1184"/>
      <c r="AR5" s="1184"/>
      <c r="AS5" s="1184"/>
      <c r="AT5" s="1184"/>
      <c r="AU5" s="1184"/>
      <c r="AV5" s="1184"/>
      <c r="AW5" s="1184"/>
      <c r="AX5" s="1184"/>
      <c r="AY5" s="1184"/>
      <c r="AZ5" s="1184"/>
      <c r="BA5" s="1184"/>
      <c r="BB5" s="1185"/>
      <c r="BC5" s="1186"/>
      <c r="BD5" s="1186"/>
      <c r="BE5" s="1185"/>
      <c r="BF5" s="1208"/>
    </row>
    <row r="6">
      <c r="A6" s="1131"/>
      <c r="B6" s="1131"/>
      <c r="C6" s="1179"/>
      <c r="D6" s="905"/>
      <c r="E6" s="905"/>
      <c r="F6" s="905"/>
      <c r="G6" s="1180"/>
      <c r="H6" s="1180"/>
      <c r="I6" s="1180"/>
      <c r="J6" s="1180"/>
      <c r="K6" s="1180"/>
      <c r="L6" s="1180"/>
      <c r="M6" s="1180"/>
      <c r="N6" s="1180"/>
      <c r="O6" s="1180"/>
      <c r="P6" s="1180"/>
      <c r="Q6" s="1180"/>
      <c r="R6" s="1180"/>
      <c r="S6" s="1180"/>
      <c r="T6" s="1180"/>
      <c r="U6" s="1180"/>
      <c r="V6" s="1180"/>
      <c r="W6" s="1180"/>
      <c r="X6" s="1180"/>
      <c r="Y6" s="1180"/>
      <c r="Z6" s="1180"/>
      <c r="AA6" s="1180"/>
      <c r="AB6" s="1180"/>
      <c r="AC6" s="1180"/>
      <c r="AD6" s="1180"/>
      <c r="AE6" s="1180"/>
      <c r="AF6" s="1180"/>
      <c r="AG6" s="1180"/>
      <c r="AH6" s="1180"/>
      <c r="AI6" s="1180"/>
      <c r="AJ6" s="1180"/>
      <c r="AK6" s="1180"/>
      <c r="AL6" s="1180"/>
      <c r="AM6" s="1180"/>
      <c r="AN6" s="1180"/>
      <c r="AO6" s="1180"/>
      <c r="AP6" s="1180"/>
      <c r="AQ6" s="1180"/>
      <c r="AR6" s="1180"/>
      <c r="AS6" s="1180"/>
      <c r="AT6" s="1180"/>
      <c r="AU6" s="1180"/>
      <c r="AV6" s="1180"/>
      <c r="AW6" s="1180"/>
      <c r="AX6" s="1180"/>
      <c r="AY6" s="1180"/>
      <c r="AZ6" s="1180"/>
      <c r="BA6" s="1180"/>
      <c r="BB6" s="1177"/>
      <c r="BC6" s="1181"/>
      <c r="BD6" s="1181"/>
      <c r="BE6" s="1177"/>
      <c r="BF6" s="1209"/>
    </row>
    <row r="7">
      <c r="A7" s="1131"/>
      <c r="B7" s="1131"/>
      <c r="C7" s="1179"/>
      <c r="D7" s="905"/>
      <c r="E7" s="905"/>
      <c r="F7" s="905"/>
      <c r="G7" s="1180"/>
      <c r="H7" s="1180"/>
      <c r="I7" s="1180"/>
      <c r="J7" s="1180"/>
      <c r="K7" s="1180"/>
      <c r="L7" s="1180"/>
      <c r="M7" s="1180"/>
      <c r="N7" s="1180"/>
      <c r="O7" s="1180"/>
      <c r="P7" s="1180"/>
      <c r="Q7" s="1180"/>
      <c r="R7" s="1180"/>
      <c r="S7" s="1180"/>
      <c r="T7" s="1180"/>
      <c r="U7" s="1180"/>
      <c r="V7" s="1180"/>
      <c r="W7" s="1180"/>
      <c r="X7" s="1180"/>
      <c r="Y7" s="1180"/>
      <c r="Z7" s="1180"/>
      <c r="AA7" s="1180"/>
      <c r="AB7" s="1180"/>
      <c r="AC7" s="1180"/>
      <c r="AD7" s="1180"/>
      <c r="AE7" s="1180"/>
      <c r="AF7" s="1180"/>
      <c r="AG7" s="1180"/>
      <c r="AH7" s="1180"/>
      <c r="AI7" s="1180"/>
      <c r="AJ7" s="1180"/>
      <c r="AK7" s="1180"/>
      <c r="AL7" s="1180"/>
      <c r="AM7" s="1180"/>
      <c r="AN7" s="1180"/>
      <c r="AO7" s="1180"/>
      <c r="AP7" s="1180"/>
      <c r="AQ7" s="1180"/>
      <c r="AR7" s="1180"/>
      <c r="AS7" s="1180"/>
      <c r="AT7" s="1180"/>
      <c r="AU7" s="1180"/>
      <c r="AV7" s="1180"/>
      <c r="AW7" s="1180"/>
      <c r="AX7" s="1180"/>
      <c r="AY7" s="1180"/>
      <c r="AZ7" s="1180"/>
      <c r="BA7" s="1180"/>
      <c r="BB7" s="1177"/>
      <c r="BC7" s="1181"/>
      <c r="BD7" s="1181"/>
      <c r="BE7" s="1177"/>
      <c r="BF7" s="1209"/>
    </row>
    <row r="8">
      <c r="A8" s="1131"/>
      <c r="B8" s="1131"/>
      <c r="C8" s="1179"/>
      <c r="D8" s="905"/>
      <c r="E8" s="905"/>
      <c r="F8" s="905"/>
      <c r="G8" s="1180"/>
      <c r="H8" s="1180"/>
      <c r="I8" s="1180"/>
      <c r="J8" s="1180"/>
      <c r="K8" s="1180"/>
      <c r="L8" s="1180"/>
      <c r="M8" s="1180"/>
      <c r="N8" s="1180"/>
      <c r="O8" s="1180"/>
      <c r="P8" s="1180"/>
      <c r="Q8" s="1180"/>
      <c r="R8" s="1180"/>
      <c r="S8" s="1180"/>
      <c r="T8" s="1180"/>
      <c r="U8" s="1180"/>
      <c r="V8" s="1180"/>
      <c r="W8" s="1180"/>
      <c r="X8" s="1180"/>
      <c r="Y8" s="1180"/>
      <c r="Z8" s="1180"/>
      <c r="AA8" s="1180"/>
      <c r="AB8" s="1180"/>
      <c r="AC8" s="1180"/>
      <c r="AD8" s="1180"/>
      <c r="AE8" s="1180"/>
      <c r="AF8" s="1180"/>
      <c r="AG8" s="1180"/>
      <c r="AH8" s="1180"/>
      <c r="AI8" s="1180"/>
      <c r="AJ8" s="1180"/>
      <c r="AK8" s="1180"/>
      <c r="AL8" s="1180"/>
      <c r="AM8" s="1180"/>
      <c r="AN8" s="1180"/>
      <c r="AO8" s="1180"/>
      <c r="AP8" s="1180"/>
      <c r="AQ8" s="1180"/>
      <c r="AR8" s="1180"/>
      <c r="AS8" s="1180"/>
      <c r="AT8" s="1180"/>
      <c r="AU8" s="1180"/>
      <c r="AV8" s="1180"/>
      <c r="AW8" s="1180"/>
      <c r="AX8" s="1180"/>
      <c r="AY8" s="1180"/>
      <c r="AZ8" s="1180"/>
      <c r="BA8" s="1180"/>
      <c r="BB8" s="1177"/>
      <c r="BC8" s="1181"/>
      <c r="BD8" s="1181"/>
      <c r="BE8" s="1177"/>
      <c r="BF8" s="1209"/>
    </row>
    <row r="9">
      <c r="A9" s="1131"/>
      <c r="B9" s="1131"/>
      <c r="C9" s="1210"/>
      <c r="D9" s="905"/>
      <c r="E9" s="905"/>
      <c r="F9" s="905"/>
      <c r="G9" s="1211"/>
      <c r="H9" s="1211"/>
      <c r="I9" s="1211"/>
      <c r="J9" s="1211"/>
      <c r="K9" s="1211"/>
      <c r="L9" s="1211"/>
      <c r="M9" s="1211"/>
      <c r="N9" s="1211"/>
      <c r="O9" s="1211"/>
      <c r="P9" s="1211"/>
      <c r="Q9" s="1211"/>
      <c r="R9" s="1211"/>
      <c r="S9" s="1211"/>
      <c r="T9" s="1211"/>
      <c r="U9" s="1211"/>
      <c r="V9" s="1211"/>
      <c r="W9" s="1211"/>
      <c r="X9" s="1211"/>
      <c r="Y9" s="1211"/>
      <c r="Z9" s="1211"/>
      <c r="AA9" s="1211"/>
      <c r="AB9" s="1211"/>
      <c r="AC9" s="1211"/>
      <c r="AD9" s="1211"/>
      <c r="AE9" s="1211"/>
      <c r="AF9" s="1211"/>
      <c r="AG9" s="1211"/>
      <c r="AH9" s="1211"/>
      <c r="AI9" s="1211"/>
      <c r="AJ9" s="1211"/>
      <c r="AK9" s="1211"/>
      <c r="AL9" s="1211"/>
      <c r="AM9" s="1211"/>
      <c r="AN9" s="1211"/>
      <c r="AO9" s="1211"/>
      <c r="AP9" s="1211"/>
      <c r="AQ9" s="1211"/>
      <c r="AR9" s="1211"/>
      <c r="AS9" s="1211"/>
      <c r="AT9" s="1211"/>
      <c r="AU9" s="1211"/>
      <c r="AV9" s="1211"/>
      <c r="AW9" s="1211"/>
      <c r="AX9" s="1211"/>
      <c r="AY9" s="1211"/>
      <c r="AZ9" s="1211"/>
      <c r="BA9" s="1211"/>
      <c r="BB9" s="1212"/>
      <c r="BC9" s="1213"/>
      <c r="BD9" s="1213"/>
      <c r="BE9" s="1177"/>
      <c r="BF9" s="1209"/>
    </row>
    <row r="10">
      <c r="A10" s="1140"/>
      <c r="B10" s="1140"/>
      <c r="C10" s="1141"/>
      <c r="D10" s="1142"/>
      <c r="E10" s="1142"/>
      <c r="F10" s="1142"/>
      <c r="G10" s="1142"/>
      <c r="H10" s="1142"/>
      <c r="I10" s="1142"/>
      <c r="J10" s="1142"/>
      <c r="K10" s="1142"/>
      <c r="L10" s="1142"/>
      <c r="M10" s="1142"/>
      <c r="N10" s="1142"/>
      <c r="O10" s="1142"/>
      <c r="P10" s="1142"/>
      <c r="Q10" s="1142"/>
      <c r="R10" s="1142"/>
      <c r="S10" s="1142"/>
      <c r="T10" s="1142"/>
      <c r="U10" s="1142"/>
      <c r="V10" s="1142"/>
      <c r="W10" s="1142"/>
      <c r="X10" s="1142"/>
      <c r="Y10" s="1142"/>
      <c r="Z10" s="1142"/>
      <c r="AA10" s="1142"/>
      <c r="AB10" s="1142"/>
      <c r="AC10" s="1142"/>
      <c r="AD10" s="1142"/>
      <c r="AE10" s="1142"/>
      <c r="AF10" s="1142"/>
      <c r="AG10" s="1142"/>
      <c r="AH10" s="1142"/>
      <c r="AI10" s="1142"/>
      <c r="AJ10" s="1142"/>
      <c r="AK10" s="1142"/>
      <c r="AL10" s="1142"/>
      <c r="AM10" s="1142"/>
      <c r="AN10" s="1142"/>
      <c r="AO10" s="1142"/>
      <c r="AP10" s="1142"/>
      <c r="AQ10" s="1142"/>
      <c r="AR10" s="1142"/>
      <c r="AS10" s="1142"/>
      <c r="AT10" s="1142"/>
      <c r="AU10" s="1142"/>
      <c r="AV10" s="1142"/>
      <c r="AW10" s="1142"/>
      <c r="AX10" s="1142"/>
      <c r="AY10" s="1142"/>
      <c r="AZ10" s="1142"/>
      <c r="BA10" s="1142"/>
      <c r="BB10" s="1142"/>
      <c r="BC10" s="1142"/>
      <c r="BD10" s="1142"/>
      <c r="BE10" s="1142"/>
      <c r="BF10" s="1142"/>
    </row>
    <row r="11">
      <c r="A11" s="1131"/>
      <c r="B11" s="1131"/>
      <c r="C11" s="1173"/>
      <c r="D11" s="1129"/>
      <c r="E11" s="1129"/>
      <c r="F11" s="1129"/>
      <c r="G11" s="1174"/>
      <c r="H11" s="1174"/>
      <c r="I11" s="1174"/>
      <c r="J11" s="1174"/>
      <c r="K11" s="1174"/>
      <c r="L11" s="1174"/>
      <c r="M11" s="1174"/>
      <c r="N11" s="1174"/>
      <c r="O11" s="1174"/>
      <c r="P11" s="1174"/>
      <c r="Q11" s="1174"/>
      <c r="R11" s="1174"/>
      <c r="S11" s="1174"/>
      <c r="T11" s="1174"/>
      <c r="U11" s="1174"/>
      <c r="V11" s="1174"/>
      <c r="W11" s="1174"/>
      <c r="X11" s="1174"/>
      <c r="Y11" s="1174"/>
      <c r="Z11" s="1174"/>
      <c r="AA11" s="1174"/>
      <c r="AB11" s="1174"/>
      <c r="AC11" s="1174"/>
      <c r="AD11" s="1174"/>
      <c r="AE11" s="1174"/>
      <c r="AF11" s="1174"/>
      <c r="AG11" s="1174"/>
      <c r="AH11" s="1174"/>
      <c r="AI11" s="1174"/>
      <c r="AJ11" s="1174"/>
      <c r="AK11" s="1174"/>
      <c r="AL11" s="1174"/>
      <c r="AM11" s="1174"/>
      <c r="AN11" s="1174"/>
      <c r="AO11" s="1174"/>
      <c r="AP11" s="1174"/>
      <c r="AQ11" s="1174"/>
      <c r="AR11" s="1174"/>
      <c r="AS11" s="1174"/>
      <c r="AT11" s="1174"/>
      <c r="AU11" s="1174"/>
      <c r="AV11" s="1174"/>
      <c r="AW11" s="1174"/>
      <c r="AX11" s="1174"/>
      <c r="AY11" s="1174"/>
      <c r="AZ11" s="1174"/>
      <c r="BA11" s="1174"/>
      <c r="BB11" s="1175"/>
      <c r="BC11" s="1176"/>
      <c r="BD11" s="1176"/>
      <c r="BE11" s="1177"/>
      <c r="BF11" s="1226"/>
    </row>
    <row r="12">
      <c r="A12" s="1131"/>
      <c r="B12" s="1131"/>
      <c r="C12" s="1179"/>
      <c r="D12" s="1129"/>
      <c r="E12" s="1129"/>
      <c r="F12" s="1129"/>
      <c r="G12" s="1180"/>
      <c r="H12" s="1180"/>
      <c r="I12" s="1180"/>
      <c r="J12" s="1180"/>
      <c r="K12" s="1180"/>
      <c r="L12" s="1180"/>
      <c r="M12" s="1180"/>
      <c r="N12" s="1180"/>
      <c r="O12" s="1180"/>
      <c r="P12" s="1180"/>
      <c r="Q12" s="1180"/>
      <c r="R12" s="1180"/>
      <c r="S12" s="1180"/>
      <c r="T12" s="1180"/>
      <c r="U12" s="1180"/>
      <c r="V12" s="1180"/>
      <c r="W12" s="1180"/>
      <c r="X12" s="1180"/>
      <c r="Y12" s="1180"/>
      <c r="Z12" s="1180"/>
      <c r="AA12" s="1180"/>
      <c r="AB12" s="1180"/>
      <c r="AC12" s="1180"/>
      <c r="AD12" s="1180"/>
      <c r="AE12" s="1180"/>
      <c r="AF12" s="1180"/>
      <c r="AG12" s="1180"/>
      <c r="AH12" s="1180"/>
      <c r="AI12" s="1180"/>
      <c r="AJ12" s="1180"/>
      <c r="AK12" s="1180"/>
      <c r="AL12" s="1180"/>
      <c r="AM12" s="1180"/>
      <c r="AN12" s="1180"/>
      <c r="AO12" s="1180"/>
      <c r="AP12" s="1180"/>
      <c r="AQ12" s="1180"/>
      <c r="AR12" s="1180"/>
      <c r="AS12" s="1180"/>
      <c r="AT12" s="1180"/>
      <c r="AU12" s="1180"/>
      <c r="AV12" s="1180"/>
      <c r="AW12" s="1180"/>
      <c r="AX12" s="1180"/>
      <c r="AY12" s="1180"/>
      <c r="AZ12" s="1180"/>
      <c r="BA12" s="1180"/>
      <c r="BB12" s="1177"/>
      <c r="BC12" s="1181"/>
      <c r="BD12" s="1181"/>
      <c r="BE12" s="1177"/>
      <c r="BF12" s="1226"/>
    </row>
    <row r="13">
      <c r="A13" s="1131"/>
      <c r="B13" s="1131"/>
      <c r="C13" s="1179"/>
      <c r="D13" s="1129"/>
      <c r="E13" s="1129"/>
      <c r="F13" s="1129"/>
      <c r="G13" s="1180"/>
      <c r="H13" s="1180"/>
      <c r="I13" s="1180"/>
      <c r="J13" s="1180"/>
      <c r="K13" s="1180"/>
      <c r="L13" s="1180"/>
      <c r="M13" s="1180"/>
      <c r="N13" s="1180"/>
      <c r="O13" s="1180"/>
      <c r="P13" s="1180"/>
      <c r="Q13" s="1180"/>
      <c r="R13" s="1180"/>
      <c r="S13" s="1180"/>
      <c r="T13" s="1180"/>
      <c r="U13" s="1180"/>
      <c r="V13" s="1180"/>
      <c r="W13" s="1180"/>
      <c r="X13" s="1180"/>
      <c r="Y13" s="1180"/>
      <c r="Z13" s="1180"/>
      <c r="AA13" s="1180"/>
      <c r="AB13" s="1180"/>
      <c r="AC13" s="1180"/>
      <c r="AD13" s="1180"/>
      <c r="AE13" s="1180"/>
      <c r="AF13" s="1180"/>
      <c r="AG13" s="1180"/>
      <c r="AH13" s="1180"/>
      <c r="AI13" s="1180"/>
      <c r="AJ13" s="1180"/>
      <c r="AK13" s="1180"/>
      <c r="AL13" s="1180"/>
      <c r="AM13" s="1180"/>
      <c r="AN13" s="1180"/>
      <c r="AO13" s="1180"/>
      <c r="AP13" s="1180"/>
      <c r="AQ13" s="1180"/>
      <c r="AR13" s="1180"/>
      <c r="AS13" s="1180"/>
      <c r="AT13" s="1180"/>
      <c r="AU13" s="1180"/>
      <c r="AV13" s="1180"/>
      <c r="AW13" s="1180"/>
      <c r="AX13" s="1180"/>
      <c r="AY13" s="1180"/>
      <c r="AZ13" s="1180"/>
      <c r="BA13" s="1180"/>
      <c r="BB13" s="1177"/>
      <c r="BC13" s="1181"/>
      <c r="BD13" s="1181"/>
      <c r="BE13" s="1177"/>
      <c r="BF13" s="1226"/>
    </row>
    <row r="14">
      <c r="A14" s="1131"/>
      <c r="B14" s="1131"/>
      <c r="C14" s="1179"/>
      <c r="D14" s="1129"/>
      <c r="E14" s="1129"/>
      <c r="F14" s="1129"/>
      <c r="G14" s="1180"/>
      <c r="H14" s="1180"/>
      <c r="I14" s="1180"/>
      <c r="J14" s="1180"/>
      <c r="K14" s="1180"/>
      <c r="L14" s="1180"/>
      <c r="M14" s="1180"/>
      <c r="N14" s="1180"/>
      <c r="O14" s="1180"/>
      <c r="P14" s="1180"/>
      <c r="Q14" s="1180"/>
      <c r="R14" s="1180"/>
      <c r="S14" s="1180"/>
      <c r="T14" s="1180"/>
      <c r="U14" s="1180"/>
      <c r="V14" s="1180"/>
      <c r="W14" s="1180"/>
      <c r="X14" s="1180"/>
      <c r="Y14" s="1180"/>
      <c r="Z14" s="1180"/>
      <c r="AA14" s="1180"/>
      <c r="AB14" s="1180"/>
      <c r="AC14" s="1180"/>
      <c r="AD14" s="1180"/>
      <c r="AE14" s="1180"/>
      <c r="AF14" s="1180"/>
      <c r="AG14" s="1180"/>
      <c r="AH14" s="1180"/>
      <c r="AI14" s="1180"/>
      <c r="AJ14" s="1180"/>
      <c r="AK14" s="1180"/>
      <c r="AL14" s="1180"/>
      <c r="AM14" s="1180"/>
      <c r="AN14" s="1180"/>
      <c r="AO14" s="1180"/>
      <c r="AP14" s="1180"/>
      <c r="AQ14" s="1180"/>
      <c r="AR14" s="1180"/>
      <c r="AS14" s="1180"/>
      <c r="AT14" s="1180"/>
      <c r="AU14" s="1180"/>
      <c r="AV14" s="1180"/>
      <c r="AW14" s="1180"/>
      <c r="AX14" s="1180"/>
      <c r="AY14" s="1180"/>
      <c r="AZ14" s="1180"/>
      <c r="BA14" s="1180"/>
      <c r="BB14" s="1177"/>
      <c r="BC14" s="1181"/>
      <c r="BD14" s="1181"/>
      <c r="BE14" s="1177"/>
      <c r="BF14" s="1226"/>
    </row>
    <row r="15">
      <c r="A15" s="1128"/>
      <c r="B15" s="1128"/>
      <c r="C15" s="1183"/>
      <c r="D15" s="905"/>
      <c r="E15" s="905"/>
      <c r="F15" s="905"/>
      <c r="G15" s="1184"/>
      <c r="H15" s="1184"/>
      <c r="I15" s="1184"/>
      <c r="J15" s="1184"/>
      <c r="K15" s="1184"/>
      <c r="L15" s="1184"/>
      <c r="M15" s="1184"/>
      <c r="N15" s="1184"/>
      <c r="O15" s="1184"/>
      <c r="P15" s="1184"/>
      <c r="Q15" s="1184"/>
      <c r="R15" s="1184"/>
      <c r="S15" s="1184"/>
      <c r="T15" s="1184"/>
      <c r="U15" s="1184"/>
      <c r="V15" s="1184"/>
      <c r="W15" s="1184"/>
      <c r="X15" s="1184"/>
      <c r="Y15" s="1184"/>
      <c r="Z15" s="1184"/>
      <c r="AA15" s="1184"/>
      <c r="AB15" s="1184"/>
      <c r="AC15" s="1184"/>
      <c r="AD15" s="1184"/>
      <c r="AE15" s="1184"/>
      <c r="AF15" s="1184"/>
      <c r="AG15" s="1184"/>
      <c r="AH15" s="1184"/>
      <c r="AI15" s="1184"/>
      <c r="AJ15" s="1184"/>
      <c r="AK15" s="1184"/>
      <c r="AL15" s="1184"/>
      <c r="AM15" s="1184"/>
      <c r="AN15" s="1184"/>
      <c r="AO15" s="1184"/>
      <c r="AP15" s="1184"/>
      <c r="AQ15" s="1184"/>
      <c r="AR15" s="1184"/>
      <c r="AS15" s="1184"/>
      <c r="AT15" s="1184"/>
      <c r="AU15" s="1184"/>
      <c r="AV15" s="1184"/>
      <c r="AW15" s="1184"/>
      <c r="AX15" s="1184"/>
      <c r="AY15" s="1184"/>
      <c r="AZ15" s="1184"/>
      <c r="BA15" s="1184"/>
      <c r="BB15" s="1185"/>
      <c r="BC15" s="1186"/>
      <c r="BD15" s="1186"/>
      <c r="BE15" s="1185"/>
      <c r="BF15" s="1227"/>
    </row>
    <row r="16">
      <c r="A16" s="1128"/>
      <c r="B16" s="1128"/>
      <c r="C16" s="1183"/>
      <c r="D16" s="905"/>
      <c r="E16" s="905"/>
      <c r="F16" s="905"/>
      <c r="G16" s="1184"/>
      <c r="H16" s="1184"/>
      <c r="I16" s="1184"/>
      <c r="J16" s="1184"/>
      <c r="K16" s="1184"/>
      <c r="L16" s="1184"/>
      <c r="M16" s="1184"/>
      <c r="N16" s="1184"/>
      <c r="O16" s="1184"/>
      <c r="P16" s="1184"/>
      <c r="Q16" s="1184"/>
      <c r="R16" s="1184"/>
      <c r="S16" s="1184"/>
      <c r="T16" s="1184"/>
      <c r="U16" s="1184"/>
      <c r="V16" s="1184"/>
      <c r="W16" s="1184"/>
      <c r="X16" s="1184"/>
      <c r="Y16" s="1184"/>
      <c r="Z16" s="1184"/>
      <c r="AA16" s="1184"/>
      <c r="AB16" s="1184"/>
      <c r="AC16" s="1184"/>
      <c r="AD16" s="1184"/>
      <c r="AE16" s="1184"/>
      <c r="AF16" s="1184"/>
      <c r="AG16" s="1184"/>
      <c r="AH16" s="1184"/>
      <c r="AI16" s="1184"/>
      <c r="AJ16" s="1184"/>
      <c r="AK16" s="1184"/>
      <c r="AL16" s="1184"/>
      <c r="AM16" s="1184"/>
      <c r="AN16" s="1184"/>
      <c r="AO16" s="1184"/>
      <c r="AP16" s="1184"/>
      <c r="AQ16" s="1184"/>
      <c r="AR16" s="1184"/>
      <c r="AS16" s="1184"/>
      <c r="AT16" s="1184"/>
      <c r="AU16" s="1184"/>
      <c r="AV16" s="1184"/>
      <c r="AW16" s="1184"/>
      <c r="AX16" s="1184"/>
      <c r="AY16" s="1184"/>
      <c r="AZ16" s="1184"/>
      <c r="BA16" s="1184"/>
      <c r="BB16" s="1185"/>
      <c r="BC16" s="1186"/>
      <c r="BD16" s="1186"/>
      <c r="BE16" s="1185"/>
      <c r="BF16" s="1227"/>
    </row>
    <row r="17">
      <c r="A17" s="1128"/>
      <c r="B17" s="1128"/>
      <c r="C17" s="1183"/>
      <c r="D17" s="905"/>
      <c r="E17" s="905"/>
      <c r="F17" s="905"/>
      <c r="G17" s="1184"/>
      <c r="H17" s="1184"/>
      <c r="I17" s="1184"/>
      <c r="J17" s="1184"/>
      <c r="K17" s="1184"/>
      <c r="L17" s="1184"/>
      <c r="M17" s="1184"/>
      <c r="N17" s="1184"/>
      <c r="O17" s="1184"/>
      <c r="P17" s="1184"/>
      <c r="Q17" s="1184"/>
      <c r="R17" s="1184"/>
      <c r="S17" s="1184"/>
      <c r="T17" s="1184"/>
      <c r="U17" s="1184"/>
      <c r="V17" s="1184"/>
      <c r="W17" s="1184"/>
      <c r="X17" s="1184"/>
      <c r="Y17" s="1184"/>
      <c r="Z17" s="1184"/>
      <c r="AA17" s="1184"/>
      <c r="AB17" s="1184"/>
      <c r="AC17" s="1184"/>
      <c r="AD17" s="1184"/>
      <c r="AE17" s="1184"/>
      <c r="AF17" s="1184"/>
      <c r="AG17" s="1184"/>
      <c r="AH17" s="1184"/>
      <c r="AI17" s="1184"/>
      <c r="AJ17" s="1184"/>
      <c r="AK17" s="1184"/>
      <c r="AL17" s="1184"/>
      <c r="AM17" s="1184"/>
      <c r="AN17" s="1184"/>
      <c r="AO17" s="1184"/>
      <c r="AP17" s="1184"/>
      <c r="AQ17" s="1184"/>
      <c r="AR17" s="1184"/>
      <c r="AS17" s="1184"/>
      <c r="AT17" s="1184"/>
      <c r="AU17" s="1184"/>
      <c r="AV17" s="1184"/>
      <c r="AW17" s="1184"/>
      <c r="AX17" s="1184"/>
      <c r="AY17" s="1184"/>
      <c r="AZ17" s="1184"/>
      <c r="BA17" s="1184"/>
      <c r="BB17" s="1185"/>
      <c r="BC17" s="1186"/>
      <c r="BD17" s="1186"/>
      <c r="BE17" s="1185"/>
      <c r="BF17" s="1227"/>
    </row>
    <row r="18">
      <c r="A18" s="1128"/>
      <c r="B18" s="1128"/>
      <c r="C18" s="1224"/>
      <c r="D18" s="905"/>
      <c r="E18" s="905"/>
      <c r="F18" s="905"/>
      <c r="G18" s="1189"/>
      <c r="H18" s="1189"/>
      <c r="I18" s="1189"/>
      <c r="J18" s="1189"/>
      <c r="K18" s="1189"/>
      <c r="L18" s="1189"/>
      <c r="M18" s="1189"/>
      <c r="N18" s="1189"/>
      <c r="O18" s="1189"/>
      <c r="P18" s="1189"/>
      <c r="Q18" s="1189"/>
      <c r="R18" s="1189"/>
      <c r="S18" s="1189"/>
      <c r="T18" s="1189"/>
      <c r="U18" s="1189"/>
      <c r="V18" s="1189"/>
      <c r="W18" s="1189"/>
      <c r="X18" s="1189"/>
      <c r="Y18" s="1189"/>
      <c r="Z18" s="1189"/>
      <c r="AA18" s="1189"/>
      <c r="AB18" s="1189"/>
      <c r="AC18" s="1189"/>
      <c r="AD18" s="1189"/>
      <c r="AE18" s="1189"/>
      <c r="AF18" s="1189"/>
      <c r="AG18" s="1189"/>
      <c r="AH18" s="1189"/>
      <c r="AI18" s="1189"/>
      <c r="AJ18" s="1189"/>
      <c r="AK18" s="1189"/>
      <c r="AL18" s="1189"/>
      <c r="AM18" s="1189"/>
      <c r="AN18" s="1189"/>
      <c r="AO18" s="1189"/>
      <c r="AP18" s="1189"/>
      <c r="AQ18" s="1189"/>
      <c r="AR18" s="1189"/>
      <c r="AS18" s="1189"/>
      <c r="AT18" s="1189"/>
      <c r="AU18" s="1189"/>
      <c r="AV18" s="1189"/>
      <c r="AW18" s="1189"/>
      <c r="AX18" s="1189"/>
      <c r="AY18" s="1189"/>
      <c r="AZ18" s="1189"/>
      <c r="BA18" s="1189"/>
      <c r="BB18" s="1190"/>
      <c r="BC18" s="1191"/>
      <c r="BD18" s="1191"/>
      <c r="BE18" s="1228"/>
      <c r="BF18" s="1229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6.5"/>
    <col customWidth="1" min="2" max="2" width="31.63"/>
    <col customWidth="1" min="3" max="3" width="13.88"/>
    <col customWidth="1" hidden="1" min="4" max="6" width="5.25"/>
    <col customWidth="1" min="7" max="7" width="5.0"/>
    <col customWidth="1" min="8" max="8" width="5.88"/>
    <col customWidth="1" min="9" max="9" width="5.63"/>
    <col customWidth="1" min="10" max="10" width="4.5"/>
    <col customWidth="1" min="11" max="11" width="6.88"/>
    <col customWidth="1" min="12" max="12" width="6.5"/>
    <col customWidth="1" min="13" max="13" width="6.63"/>
    <col customWidth="1" min="14" max="14" width="6.13"/>
    <col customWidth="1" min="15" max="15" width="8.5"/>
    <col customWidth="1" min="16" max="16" width="8.88"/>
    <col customWidth="1" min="17" max="17" width="9.5"/>
    <col customWidth="1" min="18" max="18" width="10.5"/>
    <col customWidth="1" min="19" max="19" width="10.38"/>
    <col customWidth="1" min="20" max="20" width="11.63"/>
    <col customWidth="1" min="21" max="21" width="12.88"/>
    <col customWidth="1" min="22" max="22" width="11.88"/>
    <col customWidth="1" min="23" max="23" width="9.38"/>
    <col customWidth="1" min="24" max="24" width="11.63"/>
    <col customWidth="1" min="25" max="25" width="10.13"/>
    <col customWidth="1" min="26" max="26" width="9.0"/>
    <col customWidth="1" min="27" max="27" width="8.0"/>
    <col customWidth="1" min="28" max="28" width="10.0"/>
    <col customWidth="1" min="29" max="29" width="10.13"/>
    <col customWidth="1" min="30" max="30" width="11.88"/>
    <col customWidth="1" min="31" max="31" width="11.13"/>
    <col customWidth="1" min="32" max="32" width="12.63"/>
    <col customWidth="1" min="33" max="33" width="9.0"/>
    <col customWidth="1" min="34" max="34" width="7.63"/>
    <col customWidth="1" min="35" max="35" width="8.25"/>
    <col customWidth="1" min="36" max="36" width="12.5"/>
    <col customWidth="1" min="37" max="37" width="13.25"/>
    <col customWidth="1" min="38" max="38" width="8.5"/>
    <col customWidth="1" min="39" max="40" width="9.13"/>
    <col customWidth="1" min="41" max="41" width="13.25"/>
    <col customWidth="1" min="42" max="42" width="15.0"/>
    <col customWidth="1" min="43" max="43" width="7.5"/>
    <col customWidth="1" min="44" max="44" width="10.0"/>
    <col customWidth="1" min="45" max="45" width="10.13"/>
    <col customWidth="1" min="46" max="46" width="11.38"/>
    <col customWidth="1" min="47" max="47" width="12.13"/>
    <col customWidth="1" min="48" max="48" width="11.25"/>
    <col customWidth="1" min="49" max="49" width="11.13"/>
    <col customWidth="1" min="50" max="50" width="11.5"/>
    <col customWidth="1" min="51" max="51" width="10.75"/>
    <col customWidth="1" min="52" max="52" width="11.0"/>
    <col customWidth="1" min="53" max="53" width="9.38"/>
    <col customWidth="1" min="54" max="54" width="9.63"/>
    <col customWidth="1" hidden="1" min="55" max="55" width="9.63"/>
    <col customWidth="1" min="56" max="58" width="9.63"/>
  </cols>
  <sheetData>
    <row r="1">
      <c r="A1" s="12" t="s">
        <v>632</v>
      </c>
      <c r="B1" s="12" t="s">
        <v>188</v>
      </c>
      <c r="C1" s="12" t="s">
        <v>394</v>
      </c>
      <c r="D1" s="12" t="s">
        <v>633</v>
      </c>
      <c r="E1" s="1" t="s">
        <v>634</v>
      </c>
      <c r="F1" s="1" t="s">
        <v>635</v>
      </c>
      <c r="G1" s="12" t="s">
        <v>189</v>
      </c>
      <c r="H1" s="12" t="s">
        <v>636</v>
      </c>
      <c r="I1" s="12" t="s">
        <v>20</v>
      </c>
      <c r="J1" s="12" t="s">
        <v>21</v>
      </c>
      <c r="K1" s="12" t="s">
        <v>22</v>
      </c>
      <c r="L1" s="12" t="s">
        <v>23</v>
      </c>
      <c r="M1" s="12" t="s">
        <v>24</v>
      </c>
      <c r="N1" s="12" t="s">
        <v>25</v>
      </c>
      <c r="O1" s="12" t="s">
        <v>26</v>
      </c>
      <c r="P1" s="12" t="s">
        <v>27</v>
      </c>
      <c r="Q1" s="12" t="s">
        <v>28</v>
      </c>
      <c r="R1" s="12" t="s">
        <v>29</v>
      </c>
      <c r="S1" s="12" t="s">
        <v>30</v>
      </c>
      <c r="T1" s="12" t="s">
        <v>31</v>
      </c>
      <c r="U1" s="12" t="s">
        <v>32</v>
      </c>
      <c r="V1" s="12" t="s">
        <v>637</v>
      </c>
      <c r="W1" s="12" t="s">
        <v>337</v>
      </c>
      <c r="X1" s="12" t="s">
        <v>339</v>
      </c>
      <c r="Y1" s="12" t="s">
        <v>33</v>
      </c>
      <c r="Z1" s="12" t="s">
        <v>34</v>
      </c>
      <c r="AA1" s="12" t="s">
        <v>35</v>
      </c>
      <c r="AB1" s="12" t="s">
        <v>36</v>
      </c>
      <c r="AC1" s="12" t="s">
        <v>37</v>
      </c>
      <c r="AD1" s="12" t="s">
        <v>38</v>
      </c>
      <c r="AE1" s="12" t="s">
        <v>39</v>
      </c>
      <c r="AF1" s="12" t="s">
        <v>542</v>
      </c>
      <c r="AG1" s="12" t="s">
        <v>543</v>
      </c>
      <c r="AH1" s="12" t="s">
        <v>349</v>
      </c>
      <c r="AI1" s="12" t="s">
        <v>40</v>
      </c>
      <c r="AJ1" s="12" t="s">
        <v>638</v>
      </c>
      <c r="AK1" s="12" t="s">
        <v>350</v>
      </c>
      <c r="AL1" s="12" t="s">
        <v>41</v>
      </c>
      <c r="AM1" s="12" t="s">
        <v>42</v>
      </c>
      <c r="AN1" s="12" t="s">
        <v>642</v>
      </c>
      <c r="AO1" s="12" t="s">
        <v>639</v>
      </c>
      <c r="AP1" s="12" t="s">
        <v>43</v>
      </c>
      <c r="AQ1" s="12" t="s">
        <v>44</v>
      </c>
      <c r="AR1" s="12" t="s">
        <v>45</v>
      </c>
      <c r="AS1" s="12" t="s">
        <v>46</v>
      </c>
      <c r="AT1" s="12" t="s">
        <v>47</v>
      </c>
      <c r="AU1" s="12" t="s">
        <v>48</v>
      </c>
      <c r="AV1" s="12" t="s">
        <v>49</v>
      </c>
      <c r="AW1" s="12" t="s">
        <v>50</v>
      </c>
      <c r="AX1" s="12" t="s">
        <v>51</v>
      </c>
      <c r="AY1" s="12" t="s">
        <v>52</v>
      </c>
      <c r="AZ1" s="12" t="s">
        <v>643</v>
      </c>
      <c r="BA1" s="12" t="s">
        <v>53</v>
      </c>
      <c r="BB1" s="12" t="s">
        <v>54</v>
      </c>
      <c r="BC1" s="1" t="s">
        <v>640</v>
      </c>
      <c r="BD1" s="12" t="s">
        <v>55</v>
      </c>
      <c r="BE1" s="1"/>
      <c r="BF1" s="1"/>
    </row>
    <row r="2">
      <c r="A2" s="1192"/>
      <c r="B2" s="1193"/>
      <c r="C2" s="1202"/>
      <c r="D2" s="1203"/>
      <c r="E2" s="1203"/>
      <c r="F2" s="1203"/>
      <c r="G2" s="1203"/>
      <c r="H2" s="1203"/>
      <c r="I2" s="1230"/>
      <c r="J2" s="1230"/>
      <c r="K2" s="1230"/>
      <c r="L2" s="1230"/>
      <c r="M2" s="1230"/>
      <c r="N2" s="1230"/>
      <c r="O2" s="1230"/>
      <c r="P2" s="1230"/>
      <c r="Q2" s="1230"/>
      <c r="R2" s="1230"/>
      <c r="S2" s="1230"/>
      <c r="T2" s="1230"/>
      <c r="U2" s="1230"/>
      <c r="V2" s="1230"/>
      <c r="W2" s="1230"/>
      <c r="X2" s="1230"/>
      <c r="Y2" s="1230"/>
      <c r="Z2" s="1230"/>
      <c r="AA2" s="1230"/>
      <c r="AB2" s="1230"/>
      <c r="AC2" s="1230"/>
      <c r="AD2" s="1230"/>
      <c r="AE2" s="1230"/>
      <c r="AF2" s="1230"/>
      <c r="AG2" s="1230"/>
      <c r="AH2" s="1230"/>
      <c r="AI2" s="1230"/>
      <c r="AJ2" s="1230"/>
      <c r="AK2" s="1230"/>
      <c r="AL2" s="1230"/>
      <c r="AM2" s="1230"/>
      <c r="AN2" s="1230"/>
      <c r="AO2" s="1230"/>
      <c r="AP2" s="1230"/>
      <c r="AQ2" s="1230"/>
      <c r="AR2" s="1230"/>
      <c r="AS2" s="1230"/>
      <c r="AT2" s="1230"/>
      <c r="AU2" s="1230"/>
      <c r="AV2" s="1230"/>
      <c r="AW2" s="1230"/>
      <c r="AX2" s="1230"/>
      <c r="AY2" s="1230"/>
      <c r="AZ2" s="1230"/>
      <c r="BA2" s="1230"/>
      <c r="BB2" s="1204"/>
      <c r="BC2" s="1203"/>
      <c r="BD2" s="1203"/>
      <c r="BE2" s="1202"/>
      <c r="BF2" s="1231"/>
    </row>
    <row r="3">
      <c r="A3" s="1182"/>
      <c r="B3" s="1128"/>
      <c r="C3" s="1183"/>
      <c r="D3" s="1184"/>
      <c r="E3" s="1184"/>
      <c r="F3" s="1184"/>
      <c r="G3" s="1184"/>
      <c r="H3" s="1184"/>
      <c r="I3" s="1232"/>
      <c r="J3" s="1232"/>
      <c r="K3" s="1232"/>
      <c r="L3" s="1232"/>
      <c r="M3" s="1232"/>
      <c r="N3" s="1232"/>
      <c r="O3" s="1232"/>
      <c r="P3" s="1232"/>
      <c r="Q3" s="1232"/>
      <c r="R3" s="1232"/>
      <c r="S3" s="1232"/>
      <c r="T3" s="1232"/>
      <c r="U3" s="1232"/>
      <c r="V3" s="1232"/>
      <c r="W3" s="1232"/>
      <c r="X3" s="1232"/>
      <c r="Y3" s="1232"/>
      <c r="Z3" s="1232"/>
      <c r="AA3" s="1232"/>
      <c r="AB3" s="1232"/>
      <c r="AC3" s="1232"/>
      <c r="AD3" s="1232"/>
      <c r="AE3" s="1232"/>
      <c r="AF3" s="1232"/>
      <c r="AG3" s="1232"/>
      <c r="AH3" s="1232"/>
      <c r="AI3" s="1232"/>
      <c r="AJ3" s="1232"/>
      <c r="AK3" s="1232"/>
      <c r="AL3" s="1232"/>
      <c r="AM3" s="1232"/>
      <c r="AN3" s="1232"/>
      <c r="AO3" s="1232"/>
      <c r="AP3" s="1232"/>
      <c r="AQ3" s="1232"/>
      <c r="AR3" s="1232"/>
      <c r="AS3" s="1232"/>
      <c r="AT3" s="1232"/>
      <c r="AU3" s="1232"/>
      <c r="AV3" s="1232"/>
      <c r="AW3" s="1232"/>
      <c r="AX3" s="1232"/>
      <c r="AY3" s="1232"/>
      <c r="AZ3" s="1232"/>
      <c r="BA3" s="1232"/>
      <c r="BB3" s="1185"/>
      <c r="BC3" s="1184"/>
      <c r="BD3" s="1184"/>
      <c r="BE3" s="1183"/>
      <c r="BF3" s="1233"/>
    </row>
    <row r="4">
      <c r="A4" s="1182"/>
      <c r="B4" s="1128"/>
      <c r="C4" s="1183"/>
      <c r="D4" s="1184"/>
      <c r="E4" s="1184"/>
      <c r="F4" s="1184"/>
      <c r="G4" s="1184"/>
      <c r="H4" s="1184"/>
      <c r="I4" s="1232"/>
      <c r="J4" s="1232"/>
      <c r="K4" s="1232"/>
      <c r="L4" s="1232"/>
      <c r="M4" s="1232"/>
      <c r="N4" s="1232"/>
      <c r="O4" s="1232"/>
      <c r="P4" s="1232"/>
      <c r="Q4" s="1232"/>
      <c r="R4" s="1232"/>
      <c r="S4" s="1232"/>
      <c r="T4" s="1232"/>
      <c r="U4" s="1232"/>
      <c r="V4" s="1232"/>
      <c r="W4" s="1232"/>
      <c r="X4" s="1232"/>
      <c r="Y4" s="1232"/>
      <c r="Z4" s="1232"/>
      <c r="AA4" s="1232"/>
      <c r="AB4" s="1232"/>
      <c r="AC4" s="1232"/>
      <c r="AD4" s="1232"/>
      <c r="AE4" s="1232"/>
      <c r="AF4" s="1232"/>
      <c r="AG4" s="1232"/>
      <c r="AH4" s="1232"/>
      <c r="AI4" s="1232"/>
      <c r="AJ4" s="1232"/>
      <c r="AK4" s="1232"/>
      <c r="AL4" s="1232"/>
      <c r="AM4" s="1232"/>
      <c r="AN4" s="1232"/>
      <c r="AO4" s="1232"/>
      <c r="AP4" s="1232"/>
      <c r="AQ4" s="1232"/>
      <c r="AR4" s="1232"/>
      <c r="AS4" s="1232"/>
      <c r="AT4" s="1232"/>
      <c r="AU4" s="1232"/>
      <c r="AV4" s="1232"/>
      <c r="AW4" s="1232"/>
      <c r="AX4" s="1232"/>
      <c r="AY4" s="1232"/>
      <c r="AZ4" s="1232"/>
      <c r="BA4" s="1232"/>
      <c r="BB4" s="1185"/>
      <c r="BC4" s="1184"/>
      <c r="BD4" s="1184"/>
      <c r="BE4" s="1183"/>
      <c r="BF4" s="1233"/>
    </row>
    <row r="5">
      <c r="A5" s="1182"/>
      <c r="B5" s="1128"/>
      <c r="C5" s="1183"/>
      <c r="D5" s="1184"/>
      <c r="E5" s="1184"/>
      <c r="F5" s="1184"/>
      <c r="G5" s="1184"/>
      <c r="H5" s="1184"/>
      <c r="I5" s="1232"/>
      <c r="J5" s="1232"/>
      <c r="K5" s="1232"/>
      <c r="L5" s="1232"/>
      <c r="M5" s="1232"/>
      <c r="N5" s="1232"/>
      <c r="O5" s="1232"/>
      <c r="P5" s="1232"/>
      <c r="Q5" s="1232"/>
      <c r="R5" s="1232"/>
      <c r="S5" s="1232"/>
      <c r="T5" s="1232"/>
      <c r="U5" s="1232"/>
      <c r="V5" s="1232"/>
      <c r="W5" s="1232"/>
      <c r="X5" s="1232"/>
      <c r="Y5" s="1232"/>
      <c r="Z5" s="1232"/>
      <c r="AA5" s="1232"/>
      <c r="AB5" s="1232"/>
      <c r="AC5" s="1232"/>
      <c r="AD5" s="1232"/>
      <c r="AE5" s="1232"/>
      <c r="AF5" s="1232"/>
      <c r="AG5" s="1232"/>
      <c r="AH5" s="1232"/>
      <c r="AI5" s="1232"/>
      <c r="AJ5" s="1232"/>
      <c r="AK5" s="1232"/>
      <c r="AL5" s="1232"/>
      <c r="AM5" s="1232"/>
      <c r="AN5" s="1232"/>
      <c r="AO5" s="1232"/>
      <c r="AP5" s="1232"/>
      <c r="AQ5" s="1232"/>
      <c r="AR5" s="1232"/>
      <c r="AS5" s="1232"/>
      <c r="AT5" s="1232"/>
      <c r="AU5" s="1232"/>
      <c r="AV5" s="1232"/>
      <c r="AW5" s="1232"/>
      <c r="AX5" s="1232"/>
      <c r="AY5" s="1232"/>
      <c r="AZ5" s="1232"/>
      <c r="BA5" s="1232"/>
      <c r="BB5" s="1185"/>
      <c r="BC5" s="1184"/>
      <c r="BD5" s="1184"/>
      <c r="BE5" s="1183"/>
      <c r="BF5" s="1233"/>
    </row>
    <row r="6">
      <c r="A6" s="1234"/>
      <c r="B6" s="1235"/>
      <c r="C6" s="1179"/>
      <c r="D6" s="1180"/>
      <c r="E6" s="1180"/>
      <c r="F6" s="1180"/>
      <c r="G6" s="1180"/>
      <c r="H6" s="1180"/>
      <c r="I6" s="1236"/>
      <c r="J6" s="1236"/>
      <c r="K6" s="1236"/>
      <c r="L6" s="1236"/>
      <c r="M6" s="1236"/>
      <c r="N6" s="1236"/>
      <c r="O6" s="1236"/>
      <c r="P6" s="1236"/>
      <c r="Q6" s="1236"/>
      <c r="R6" s="1236"/>
      <c r="S6" s="1236"/>
      <c r="T6" s="1236"/>
      <c r="U6" s="1236"/>
      <c r="V6" s="1236"/>
      <c r="W6" s="1236"/>
      <c r="X6" s="1236"/>
      <c r="Y6" s="1236"/>
      <c r="Z6" s="1236"/>
      <c r="AA6" s="1236"/>
      <c r="AB6" s="1236"/>
      <c r="AC6" s="1236"/>
      <c r="AD6" s="1236"/>
      <c r="AE6" s="1236"/>
      <c r="AF6" s="1236"/>
      <c r="AG6" s="1236"/>
      <c r="AH6" s="1236"/>
      <c r="AI6" s="1236"/>
      <c r="AJ6" s="1236"/>
      <c r="AK6" s="1236"/>
      <c r="AL6" s="1236"/>
      <c r="AM6" s="1236"/>
      <c r="AN6" s="1236"/>
      <c r="AO6" s="1236"/>
      <c r="AP6" s="1236"/>
      <c r="AQ6" s="1236"/>
      <c r="AR6" s="1236"/>
      <c r="AS6" s="1236"/>
      <c r="AT6" s="1236"/>
      <c r="AU6" s="1236"/>
      <c r="AV6" s="1236"/>
      <c r="AW6" s="1236"/>
      <c r="AX6" s="1236"/>
      <c r="AY6" s="1236"/>
      <c r="AZ6" s="1236"/>
      <c r="BA6" s="1236"/>
      <c r="BB6" s="1177"/>
      <c r="BC6" s="1180"/>
      <c r="BD6" s="1180"/>
      <c r="BE6" s="1179"/>
      <c r="BF6" s="1237"/>
    </row>
    <row r="7">
      <c r="A7" s="1234"/>
      <c r="B7" s="1235"/>
      <c r="C7" s="1179"/>
      <c r="D7" s="1180"/>
      <c r="E7" s="1180"/>
      <c r="F7" s="1180"/>
      <c r="G7" s="1180"/>
      <c r="H7" s="1180"/>
      <c r="I7" s="1236"/>
      <c r="J7" s="1236"/>
      <c r="K7" s="1236"/>
      <c r="L7" s="1236"/>
      <c r="M7" s="1236"/>
      <c r="N7" s="1236"/>
      <c r="O7" s="1236"/>
      <c r="P7" s="1236"/>
      <c r="Q7" s="1236"/>
      <c r="R7" s="1236"/>
      <c r="S7" s="1236"/>
      <c r="T7" s="1236"/>
      <c r="U7" s="1236"/>
      <c r="V7" s="1236"/>
      <c r="W7" s="1236"/>
      <c r="X7" s="1236"/>
      <c r="Y7" s="1236"/>
      <c r="Z7" s="1236"/>
      <c r="AA7" s="1236"/>
      <c r="AB7" s="1236"/>
      <c r="AC7" s="1236"/>
      <c r="AD7" s="1236"/>
      <c r="AE7" s="1236"/>
      <c r="AF7" s="1236"/>
      <c r="AG7" s="1236"/>
      <c r="AH7" s="1236"/>
      <c r="AI7" s="1236"/>
      <c r="AJ7" s="1236"/>
      <c r="AK7" s="1236"/>
      <c r="AL7" s="1236"/>
      <c r="AM7" s="1236"/>
      <c r="AN7" s="1236"/>
      <c r="AO7" s="1236"/>
      <c r="AP7" s="1236"/>
      <c r="AQ7" s="1236"/>
      <c r="AR7" s="1236"/>
      <c r="AS7" s="1236"/>
      <c r="AT7" s="1236"/>
      <c r="AU7" s="1236"/>
      <c r="AV7" s="1236"/>
      <c r="AW7" s="1236"/>
      <c r="AX7" s="1236"/>
      <c r="AY7" s="1236"/>
      <c r="AZ7" s="1236"/>
      <c r="BA7" s="1236"/>
      <c r="BB7" s="1177"/>
      <c r="BC7" s="1180"/>
      <c r="BD7" s="1180"/>
      <c r="BE7" s="1179"/>
      <c r="BF7" s="1237"/>
    </row>
    <row r="8">
      <c r="A8" s="1234"/>
      <c r="B8" s="1235"/>
      <c r="C8" s="1179"/>
      <c r="D8" s="1180"/>
      <c r="E8" s="1180"/>
      <c r="F8" s="1180"/>
      <c r="G8" s="1180"/>
      <c r="H8" s="1180"/>
      <c r="I8" s="1236"/>
      <c r="J8" s="1236"/>
      <c r="K8" s="1236"/>
      <c r="L8" s="1236"/>
      <c r="M8" s="1236"/>
      <c r="N8" s="1236"/>
      <c r="O8" s="1236"/>
      <c r="P8" s="1236"/>
      <c r="Q8" s="1236"/>
      <c r="R8" s="1236"/>
      <c r="S8" s="1236"/>
      <c r="T8" s="1236"/>
      <c r="U8" s="1236"/>
      <c r="V8" s="1236"/>
      <c r="W8" s="1236"/>
      <c r="X8" s="1236"/>
      <c r="Y8" s="1236"/>
      <c r="Z8" s="1236"/>
      <c r="AA8" s="1236"/>
      <c r="AB8" s="1236"/>
      <c r="AC8" s="1236"/>
      <c r="AD8" s="1236"/>
      <c r="AE8" s="1236"/>
      <c r="AF8" s="1236"/>
      <c r="AG8" s="1236"/>
      <c r="AH8" s="1236"/>
      <c r="AI8" s="1236"/>
      <c r="AJ8" s="1236"/>
      <c r="AK8" s="1236"/>
      <c r="AL8" s="1236"/>
      <c r="AM8" s="1236"/>
      <c r="AN8" s="1236"/>
      <c r="AO8" s="1236"/>
      <c r="AP8" s="1236"/>
      <c r="AQ8" s="1236"/>
      <c r="AR8" s="1236"/>
      <c r="AS8" s="1236"/>
      <c r="AT8" s="1236"/>
      <c r="AU8" s="1236"/>
      <c r="AV8" s="1236"/>
      <c r="AW8" s="1236"/>
      <c r="AX8" s="1236"/>
      <c r="AY8" s="1236"/>
      <c r="AZ8" s="1236"/>
      <c r="BA8" s="1236"/>
      <c r="BB8" s="1177"/>
      <c r="BC8" s="1180"/>
      <c r="BD8" s="1180"/>
      <c r="BE8" s="1179"/>
      <c r="BF8" s="1237"/>
    </row>
    <row r="9">
      <c r="A9" s="1238"/>
      <c r="B9" s="1239"/>
      <c r="C9" s="1210"/>
      <c r="D9" s="1211"/>
      <c r="E9" s="1211"/>
      <c r="F9" s="1211"/>
      <c r="G9" s="1211"/>
      <c r="H9" s="1211"/>
      <c r="I9" s="1240"/>
      <c r="J9" s="1240"/>
      <c r="K9" s="1240"/>
      <c r="L9" s="1240"/>
      <c r="M9" s="1240"/>
      <c r="N9" s="1240"/>
      <c r="O9" s="1240"/>
      <c r="P9" s="1240"/>
      <c r="Q9" s="1240"/>
      <c r="R9" s="1240"/>
      <c r="S9" s="1240"/>
      <c r="T9" s="1240"/>
      <c r="U9" s="1240"/>
      <c r="V9" s="1240"/>
      <c r="W9" s="1240"/>
      <c r="X9" s="1240"/>
      <c r="Y9" s="1240"/>
      <c r="Z9" s="1240"/>
      <c r="AA9" s="1240"/>
      <c r="AB9" s="1240"/>
      <c r="AC9" s="1240"/>
      <c r="AD9" s="1240"/>
      <c r="AE9" s="1240"/>
      <c r="AF9" s="1240"/>
      <c r="AG9" s="1240"/>
      <c r="AH9" s="1240"/>
      <c r="AI9" s="1240"/>
      <c r="AJ9" s="1240"/>
      <c r="AK9" s="1240"/>
      <c r="AL9" s="1240"/>
      <c r="AM9" s="1240"/>
      <c r="AN9" s="1240"/>
      <c r="AO9" s="1240"/>
      <c r="AP9" s="1240"/>
      <c r="AQ9" s="1240"/>
      <c r="AR9" s="1240"/>
      <c r="AS9" s="1240"/>
      <c r="AT9" s="1240"/>
      <c r="AU9" s="1240"/>
      <c r="AV9" s="1240"/>
      <c r="AW9" s="1240"/>
      <c r="AX9" s="1240"/>
      <c r="AY9" s="1240"/>
      <c r="AZ9" s="1240"/>
      <c r="BA9" s="1240"/>
      <c r="BB9" s="1212"/>
      <c r="BC9" s="1211"/>
      <c r="BD9" s="1211"/>
      <c r="BE9" s="1210"/>
      <c r="BF9" s="1241"/>
    </row>
    <row r="10">
      <c r="A10" s="1234"/>
      <c r="B10" s="1235"/>
      <c r="C10" s="1173"/>
      <c r="D10" s="1174"/>
      <c r="E10" s="1174"/>
      <c r="F10" s="1174"/>
      <c r="G10" s="1174"/>
      <c r="H10" s="1174"/>
      <c r="I10" s="1242"/>
      <c r="J10" s="1242"/>
      <c r="K10" s="1242"/>
      <c r="L10" s="1242"/>
      <c r="M10" s="1242"/>
      <c r="N10" s="1242"/>
      <c r="O10" s="1242"/>
      <c r="P10" s="1242"/>
      <c r="Q10" s="1242"/>
      <c r="R10" s="1242"/>
      <c r="S10" s="1242"/>
      <c r="T10" s="1242"/>
      <c r="U10" s="1242"/>
      <c r="V10" s="1242"/>
      <c r="W10" s="1242"/>
      <c r="X10" s="1242"/>
      <c r="Y10" s="1242"/>
      <c r="Z10" s="1242"/>
      <c r="AA10" s="1242"/>
      <c r="AB10" s="1242"/>
      <c r="AC10" s="1242"/>
      <c r="AD10" s="1242"/>
      <c r="AE10" s="1242"/>
      <c r="AF10" s="1242"/>
      <c r="AG10" s="1242"/>
      <c r="AH10" s="1242"/>
      <c r="AI10" s="1242"/>
      <c r="AJ10" s="1242"/>
      <c r="AK10" s="1242"/>
      <c r="AL10" s="1242"/>
      <c r="AM10" s="1242"/>
      <c r="AN10" s="1242"/>
      <c r="AO10" s="1242"/>
      <c r="AP10" s="1242"/>
      <c r="AQ10" s="1242"/>
      <c r="AR10" s="1242"/>
      <c r="AS10" s="1242"/>
      <c r="AT10" s="1242"/>
      <c r="AU10" s="1242"/>
      <c r="AV10" s="1242"/>
      <c r="AW10" s="1242"/>
      <c r="AX10" s="1242"/>
      <c r="AY10" s="1242"/>
      <c r="AZ10" s="1242"/>
      <c r="BA10" s="1242"/>
      <c r="BB10" s="1175"/>
      <c r="BC10" s="1174"/>
      <c r="BD10" s="1174"/>
      <c r="BE10" s="1173"/>
      <c r="BF10" s="1243"/>
    </row>
    <row r="11">
      <c r="A11" s="1234"/>
      <c r="B11" s="1235"/>
      <c r="C11" s="1179"/>
      <c r="D11" s="1180"/>
      <c r="E11" s="1180"/>
      <c r="F11" s="1180"/>
      <c r="G11" s="1180"/>
      <c r="H11" s="1180"/>
      <c r="I11" s="1236"/>
      <c r="J11" s="1236"/>
      <c r="K11" s="1236"/>
      <c r="L11" s="1236"/>
      <c r="M11" s="1236"/>
      <c r="N11" s="1236"/>
      <c r="O11" s="1236"/>
      <c r="P11" s="1236"/>
      <c r="Q11" s="1236"/>
      <c r="R11" s="1236"/>
      <c r="S11" s="1236"/>
      <c r="T11" s="1236"/>
      <c r="U11" s="1236"/>
      <c r="V11" s="1236"/>
      <c r="W11" s="1236"/>
      <c r="X11" s="1236"/>
      <c r="Y11" s="1236"/>
      <c r="Z11" s="1236"/>
      <c r="AA11" s="1236"/>
      <c r="AB11" s="1236"/>
      <c r="AC11" s="1236"/>
      <c r="AD11" s="1236"/>
      <c r="AE11" s="1236"/>
      <c r="AF11" s="1236"/>
      <c r="AG11" s="1236"/>
      <c r="AH11" s="1236"/>
      <c r="AI11" s="1236"/>
      <c r="AJ11" s="1236"/>
      <c r="AK11" s="1236"/>
      <c r="AL11" s="1236"/>
      <c r="AM11" s="1236"/>
      <c r="AN11" s="1236"/>
      <c r="AO11" s="1236"/>
      <c r="AP11" s="1236"/>
      <c r="AQ11" s="1236"/>
      <c r="AR11" s="1236"/>
      <c r="AS11" s="1236"/>
      <c r="AT11" s="1236"/>
      <c r="AU11" s="1236"/>
      <c r="AV11" s="1236"/>
      <c r="AW11" s="1236"/>
      <c r="AX11" s="1236"/>
      <c r="AY11" s="1236"/>
      <c r="AZ11" s="1236"/>
      <c r="BA11" s="1236"/>
      <c r="BB11" s="1177"/>
      <c r="BC11" s="1180"/>
      <c r="BD11" s="1180"/>
      <c r="BE11" s="1179"/>
      <c r="BF11" s="1237"/>
    </row>
    <row r="12">
      <c r="A12" s="1234"/>
      <c r="B12" s="1235"/>
      <c r="C12" s="1179"/>
      <c r="D12" s="1180"/>
      <c r="E12" s="1180"/>
      <c r="F12" s="1180"/>
      <c r="G12" s="1180"/>
      <c r="H12" s="1180"/>
      <c r="I12" s="1236"/>
      <c r="J12" s="1236"/>
      <c r="K12" s="1236"/>
      <c r="L12" s="1236"/>
      <c r="M12" s="1236"/>
      <c r="N12" s="1236"/>
      <c r="O12" s="1236"/>
      <c r="P12" s="1236"/>
      <c r="Q12" s="1236"/>
      <c r="R12" s="1236"/>
      <c r="S12" s="1236"/>
      <c r="T12" s="1236"/>
      <c r="U12" s="1236"/>
      <c r="V12" s="1236"/>
      <c r="W12" s="1236"/>
      <c r="X12" s="1236"/>
      <c r="Y12" s="1236"/>
      <c r="Z12" s="1236"/>
      <c r="AA12" s="1236"/>
      <c r="AB12" s="1236"/>
      <c r="AC12" s="1236"/>
      <c r="AD12" s="1236"/>
      <c r="AE12" s="1236"/>
      <c r="AF12" s="1236"/>
      <c r="AG12" s="1236"/>
      <c r="AH12" s="1236"/>
      <c r="AI12" s="1236"/>
      <c r="AJ12" s="1236"/>
      <c r="AK12" s="1236"/>
      <c r="AL12" s="1236"/>
      <c r="AM12" s="1236"/>
      <c r="AN12" s="1236"/>
      <c r="AO12" s="1236"/>
      <c r="AP12" s="1236"/>
      <c r="AQ12" s="1236"/>
      <c r="AR12" s="1236"/>
      <c r="AS12" s="1236"/>
      <c r="AT12" s="1236"/>
      <c r="AU12" s="1236"/>
      <c r="AV12" s="1236"/>
      <c r="AW12" s="1236"/>
      <c r="AX12" s="1236"/>
      <c r="AY12" s="1236"/>
      <c r="AZ12" s="1236"/>
      <c r="BA12" s="1236"/>
      <c r="BB12" s="1177"/>
      <c r="BC12" s="1180"/>
      <c r="BD12" s="1180"/>
      <c r="BE12" s="1179"/>
      <c r="BF12" s="1237"/>
    </row>
    <row r="13">
      <c r="A13" s="1234"/>
      <c r="B13" s="1235"/>
      <c r="C13" s="1179"/>
      <c r="D13" s="1180"/>
      <c r="E13" s="1180"/>
      <c r="F13" s="1180"/>
      <c r="G13" s="1180"/>
      <c r="H13" s="1180"/>
      <c r="I13" s="1236"/>
      <c r="J13" s="1236"/>
      <c r="K13" s="1236"/>
      <c r="L13" s="1236"/>
      <c r="M13" s="1236"/>
      <c r="N13" s="1236"/>
      <c r="O13" s="1236"/>
      <c r="P13" s="1236"/>
      <c r="Q13" s="1236"/>
      <c r="R13" s="1236"/>
      <c r="S13" s="1236"/>
      <c r="T13" s="1236"/>
      <c r="U13" s="1236"/>
      <c r="V13" s="1236"/>
      <c r="W13" s="1236"/>
      <c r="X13" s="1236"/>
      <c r="Y13" s="1236"/>
      <c r="Z13" s="1236"/>
      <c r="AA13" s="1236"/>
      <c r="AB13" s="1236"/>
      <c r="AC13" s="1236"/>
      <c r="AD13" s="1236"/>
      <c r="AE13" s="1236"/>
      <c r="AF13" s="1236"/>
      <c r="AG13" s="1236"/>
      <c r="AH13" s="1236"/>
      <c r="AI13" s="1236"/>
      <c r="AJ13" s="1236"/>
      <c r="AK13" s="1236"/>
      <c r="AL13" s="1236"/>
      <c r="AM13" s="1236"/>
      <c r="AN13" s="1236"/>
      <c r="AO13" s="1236"/>
      <c r="AP13" s="1236"/>
      <c r="AQ13" s="1236"/>
      <c r="AR13" s="1236"/>
      <c r="AS13" s="1236"/>
      <c r="AT13" s="1236"/>
      <c r="AU13" s="1236"/>
      <c r="AV13" s="1236"/>
      <c r="AW13" s="1236"/>
      <c r="AX13" s="1236"/>
      <c r="AY13" s="1236"/>
      <c r="AZ13" s="1236"/>
      <c r="BA13" s="1236"/>
      <c r="BB13" s="1177"/>
      <c r="BC13" s="1180"/>
      <c r="BD13" s="1180"/>
      <c r="BE13" s="1179"/>
      <c r="BF13" s="1237"/>
    </row>
    <row r="14">
      <c r="A14" s="1244"/>
      <c r="B14" s="1245"/>
      <c r="C14" s="1183"/>
      <c r="D14" s="1184"/>
      <c r="E14" s="1184"/>
      <c r="F14" s="1184"/>
      <c r="G14" s="1184"/>
      <c r="H14" s="1184"/>
      <c r="I14" s="1232"/>
      <c r="J14" s="1232"/>
      <c r="K14" s="1232"/>
      <c r="L14" s="1232"/>
      <c r="M14" s="1232"/>
      <c r="N14" s="1232"/>
      <c r="O14" s="1232"/>
      <c r="P14" s="1232"/>
      <c r="Q14" s="1232"/>
      <c r="R14" s="1232"/>
      <c r="S14" s="1232"/>
      <c r="T14" s="1232"/>
      <c r="U14" s="1232"/>
      <c r="V14" s="1232"/>
      <c r="W14" s="1232"/>
      <c r="X14" s="1232"/>
      <c r="Y14" s="1232"/>
      <c r="Z14" s="1232"/>
      <c r="AA14" s="1232"/>
      <c r="AB14" s="1232"/>
      <c r="AC14" s="1232"/>
      <c r="AD14" s="1232"/>
      <c r="AE14" s="1232"/>
      <c r="AF14" s="1232"/>
      <c r="AG14" s="1232"/>
      <c r="AH14" s="1232"/>
      <c r="AI14" s="1232"/>
      <c r="AJ14" s="1232"/>
      <c r="AK14" s="1232"/>
      <c r="AL14" s="1232"/>
      <c r="AM14" s="1232"/>
      <c r="AN14" s="1232"/>
      <c r="AO14" s="1232"/>
      <c r="AP14" s="1232"/>
      <c r="AQ14" s="1232"/>
      <c r="AR14" s="1232"/>
      <c r="AS14" s="1232"/>
      <c r="AT14" s="1232"/>
      <c r="AU14" s="1232"/>
      <c r="AV14" s="1232"/>
      <c r="AW14" s="1232"/>
      <c r="AX14" s="1232"/>
      <c r="AY14" s="1232"/>
      <c r="AZ14" s="1232"/>
      <c r="BA14" s="1232"/>
      <c r="BB14" s="1185"/>
      <c r="BC14" s="1184"/>
      <c r="BD14" s="1184"/>
      <c r="BE14" s="1183"/>
      <c r="BF14" s="1233"/>
    </row>
    <row r="15">
      <c r="A15" s="1244"/>
      <c r="B15" s="1245"/>
      <c r="C15" s="1183"/>
      <c r="D15" s="1184"/>
      <c r="E15" s="1184"/>
      <c r="F15" s="1184"/>
      <c r="G15" s="1184"/>
      <c r="H15" s="1184"/>
      <c r="I15" s="1232"/>
      <c r="J15" s="1232"/>
      <c r="K15" s="1232"/>
      <c r="L15" s="1232"/>
      <c r="M15" s="1232"/>
      <c r="N15" s="1232"/>
      <c r="O15" s="1232"/>
      <c r="P15" s="1232"/>
      <c r="Q15" s="1232"/>
      <c r="R15" s="1232"/>
      <c r="S15" s="1232"/>
      <c r="T15" s="1232"/>
      <c r="U15" s="1232"/>
      <c r="V15" s="1232"/>
      <c r="W15" s="1232"/>
      <c r="X15" s="1232"/>
      <c r="Y15" s="1232"/>
      <c r="Z15" s="1232"/>
      <c r="AA15" s="1232"/>
      <c r="AB15" s="1232"/>
      <c r="AC15" s="1232"/>
      <c r="AD15" s="1232"/>
      <c r="AE15" s="1232"/>
      <c r="AF15" s="1232"/>
      <c r="AG15" s="1232"/>
      <c r="AH15" s="1232"/>
      <c r="AI15" s="1232"/>
      <c r="AJ15" s="1232"/>
      <c r="AK15" s="1232"/>
      <c r="AL15" s="1232"/>
      <c r="AM15" s="1232"/>
      <c r="AN15" s="1232"/>
      <c r="AO15" s="1232"/>
      <c r="AP15" s="1232"/>
      <c r="AQ15" s="1232"/>
      <c r="AR15" s="1232"/>
      <c r="AS15" s="1232"/>
      <c r="AT15" s="1232"/>
      <c r="AU15" s="1232"/>
      <c r="AV15" s="1232"/>
      <c r="AW15" s="1232"/>
      <c r="AX15" s="1232"/>
      <c r="AY15" s="1232"/>
      <c r="AZ15" s="1232"/>
      <c r="BA15" s="1232"/>
      <c r="BB15" s="1185"/>
      <c r="BC15" s="1184"/>
      <c r="BD15" s="1184"/>
      <c r="BE15" s="1183"/>
      <c r="BF15" s="1233"/>
    </row>
    <row r="16">
      <c r="A16" s="1244"/>
      <c r="B16" s="1245"/>
      <c r="C16" s="1183"/>
      <c r="D16" s="1184"/>
      <c r="E16" s="1184"/>
      <c r="F16" s="1184"/>
      <c r="G16" s="1184"/>
      <c r="H16" s="1184"/>
      <c r="I16" s="1232"/>
      <c r="J16" s="1232"/>
      <c r="K16" s="1232"/>
      <c r="L16" s="1232"/>
      <c r="M16" s="1232"/>
      <c r="N16" s="1232"/>
      <c r="O16" s="1232"/>
      <c r="P16" s="1232"/>
      <c r="Q16" s="1232"/>
      <c r="R16" s="1232"/>
      <c r="S16" s="1232"/>
      <c r="T16" s="1232"/>
      <c r="U16" s="1232"/>
      <c r="V16" s="1232"/>
      <c r="W16" s="1232"/>
      <c r="X16" s="1232"/>
      <c r="Y16" s="1232"/>
      <c r="Z16" s="1232"/>
      <c r="AA16" s="1232"/>
      <c r="AB16" s="1232"/>
      <c r="AC16" s="1232"/>
      <c r="AD16" s="1232"/>
      <c r="AE16" s="1232"/>
      <c r="AF16" s="1232"/>
      <c r="AG16" s="1232"/>
      <c r="AH16" s="1232"/>
      <c r="AI16" s="1232"/>
      <c r="AJ16" s="1232"/>
      <c r="AK16" s="1232"/>
      <c r="AL16" s="1232"/>
      <c r="AM16" s="1232"/>
      <c r="AN16" s="1232"/>
      <c r="AO16" s="1232"/>
      <c r="AP16" s="1232"/>
      <c r="AQ16" s="1232"/>
      <c r="AR16" s="1232"/>
      <c r="AS16" s="1232"/>
      <c r="AT16" s="1232"/>
      <c r="AU16" s="1232"/>
      <c r="AV16" s="1232"/>
      <c r="AW16" s="1232"/>
      <c r="AX16" s="1232"/>
      <c r="AY16" s="1232"/>
      <c r="AZ16" s="1232"/>
      <c r="BA16" s="1232"/>
      <c r="BB16" s="1185"/>
      <c r="BC16" s="1184"/>
      <c r="BD16" s="1184"/>
      <c r="BE16" s="1183"/>
      <c r="BF16" s="1233"/>
    </row>
    <row r="17">
      <c r="A17" s="1246"/>
      <c r="B17" s="1247"/>
      <c r="C17" s="1224"/>
      <c r="D17" s="1189"/>
      <c r="E17" s="1189"/>
      <c r="F17" s="1189"/>
      <c r="G17" s="1189"/>
      <c r="H17" s="1189"/>
      <c r="I17" s="1248"/>
      <c r="J17" s="1248"/>
      <c r="K17" s="1248"/>
      <c r="L17" s="1248"/>
      <c r="M17" s="1248"/>
      <c r="N17" s="1248"/>
      <c r="O17" s="1248"/>
      <c r="P17" s="1248"/>
      <c r="Q17" s="1248"/>
      <c r="R17" s="1248"/>
      <c r="S17" s="1248"/>
      <c r="T17" s="1248"/>
      <c r="U17" s="1248"/>
      <c r="V17" s="1248"/>
      <c r="W17" s="1248"/>
      <c r="X17" s="1248"/>
      <c r="Y17" s="1248"/>
      <c r="Z17" s="1248"/>
      <c r="AA17" s="1248"/>
      <c r="AB17" s="1248"/>
      <c r="AC17" s="1248"/>
      <c r="AD17" s="1248"/>
      <c r="AE17" s="1248"/>
      <c r="AF17" s="1248"/>
      <c r="AG17" s="1248"/>
      <c r="AH17" s="1248"/>
      <c r="AI17" s="1248"/>
      <c r="AJ17" s="1248"/>
      <c r="AK17" s="1248"/>
      <c r="AL17" s="1248"/>
      <c r="AM17" s="1248"/>
      <c r="AN17" s="1248"/>
      <c r="AO17" s="1248"/>
      <c r="AP17" s="1248"/>
      <c r="AQ17" s="1248"/>
      <c r="AR17" s="1248"/>
      <c r="AS17" s="1248"/>
      <c r="AT17" s="1248"/>
      <c r="AU17" s="1248"/>
      <c r="AV17" s="1248"/>
      <c r="AW17" s="1248"/>
      <c r="AX17" s="1248"/>
      <c r="AY17" s="1248"/>
      <c r="AZ17" s="1248"/>
      <c r="BA17" s="1248"/>
      <c r="BB17" s="1190"/>
      <c r="BC17" s="1189"/>
      <c r="BD17" s="1189"/>
      <c r="BE17" s="1224"/>
      <c r="BF17" s="1249"/>
    </row>
    <row r="18">
      <c r="A18" s="1140"/>
      <c r="B18" s="1140"/>
      <c r="C18" s="1140"/>
      <c r="D18" s="1142"/>
      <c r="E18" s="1142"/>
      <c r="F18" s="1142"/>
      <c r="G18" s="1142"/>
      <c r="H18" s="1142"/>
      <c r="I18" s="1142"/>
      <c r="J18" s="1142"/>
      <c r="K18" s="1142"/>
      <c r="L18" s="1142"/>
      <c r="M18" s="1142"/>
      <c r="N18" s="1142"/>
      <c r="O18" s="1142"/>
      <c r="P18" s="1142"/>
      <c r="Q18" s="1142"/>
      <c r="R18" s="1142"/>
      <c r="S18" s="1142"/>
      <c r="T18" s="1142"/>
      <c r="U18" s="1142"/>
      <c r="V18" s="1142"/>
      <c r="W18" s="1142"/>
      <c r="X18" s="1142"/>
      <c r="Y18" s="1142"/>
      <c r="Z18" s="1142"/>
      <c r="AA18" s="1142"/>
      <c r="AB18" s="1142"/>
      <c r="AC18" s="1142"/>
      <c r="AD18" s="1142"/>
      <c r="AE18" s="1142"/>
      <c r="AF18" s="1142"/>
      <c r="AG18" s="1142"/>
      <c r="AH18" s="1142"/>
      <c r="AI18" s="1142"/>
      <c r="AJ18" s="1142"/>
      <c r="AK18" s="1142"/>
      <c r="AL18" s="1142"/>
      <c r="AM18" s="1142"/>
      <c r="AN18" s="1142"/>
      <c r="AO18" s="1142"/>
      <c r="AP18" s="1142"/>
      <c r="AQ18" s="1142"/>
      <c r="AR18" s="1142"/>
      <c r="AS18" s="1142"/>
      <c r="AT18" s="1142"/>
      <c r="AU18" s="1142"/>
      <c r="AV18" s="1142"/>
      <c r="AW18" s="1142"/>
      <c r="AX18" s="1142"/>
      <c r="AY18" s="1142"/>
      <c r="AZ18" s="1142"/>
      <c r="BA18" s="1142"/>
      <c r="BB18" s="1142"/>
      <c r="BC18" s="1142"/>
      <c r="BD18" s="1142"/>
      <c r="BE18" s="1142"/>
      <c r="BF18" s="1142"/>
    </row>
    <row r="19">
      <c r="A19" s="1250"/>
      <c r="B19" s="1251"/>
      <c r="C19" s="1202"/>
      <c r="D19" s="1203"/>
      <c r="E19" s="1203"/>
      <c r="F19" s="1203"/>
      <c r="G19" s="1203"/>
      <c r="H19" s="1203"/>
      <c r="I19" s="1230"/>
      <c r="J19" s="1230"/>
      <c r="K19" s="1230"/>
      <c r="L19" s="1230"/>
      <c r="M19" s="1230"/>
      <c r="N19" s="1230"/>
      <c r="O19" s="1230"/>
      <c r="P19" s="1230"/>
      <c r="Q19" s="1230"/>
      <c r="R19" s="1230"/>
      <c r="S19" s="1230"/>
      <c r="T19" s="1230"/>
      <c r="U19" s="1230"/>
      <c r="V19" s="1230"/>
      <c r="W19" s="1230"/>
      <c r="X19" s="1230"/>
      <c r="Y19" s="1230"/>
      <c r="Z19" s="1230"/>
      <c r="AA19" s="1230"/>
      <c r="AB19" s="1230"/>
      <c r="AC19" s="1230"/>
      <c r="AD19" s="1230"/>
      <c r="AE19" s="1230"/>
      <c r="AF19" s="1230"/>
      <c r="AG19" s="1230"/>
      <c r="AH19" s="1230"/>
      <c r="AI19" s="1230"/>
      <c r="AJ19" s="1230"/>
      <c r="AK19" s="1230"/>
      <c r="AL19" s="1230"/>
      <c r="AM19" s="1230"/>
      <c r="AN19" s="1230"/>
      <c r="AO19" s="1230"/>
      <c r="AP19" s="1230"/>
      <c r="AQ19" s="1230"/>
      <c r="AR19" s="1230"/>
      <c r="AS19" s="1230"/>
      <c r="AT19" s="1230"/>
      <c r="AU19" s="1230"/>
      <c r="AV19" s="1230"/>
      <c r="AW19" s="1230"/>
      <c r="AX19" s="1230"/>
      <c r="AY19" s="1230"/>
      <c r="AZ19" s="1230"/>
      <c r="BA19" s="1230"/>
      <c r="BB19" s="1204"/>
      <c r="BC19" s="1205"/>
      <c r="BD19" s="1205"/>
      <c r="BE19" s="1204"/>
      <c r="BF19" s="1231"/>
    </row>
    <row r="20">
      <c r="A20" s="1244"/>
      <c r="B20" s="1245"/>
      <c r="C20" s="1183"/>
      <c r="D20" s="1184"/>
      <c r="E20" s="1184"/>
      <c r="F20" s="1184"/>
      <c r="G20" s="1184"/>
      <c r="H20" s="1184"/>
      <c r="I20" s="1232"/>
      <c r="J20" s="1232"/>
      <c r="K20" s="1232"/>
      <c r="L20" s="1232"/>
      <c r="M20" s="1232"/>
      <c r="N20" s="1232"/>
      <c r="O20" s="1232"/>
      <c r="P20" s="1232"/>
      <c r="Q20" s="1232"/>
      <c r="R20" s="1232"/>
      <c r="S20" s="1232"/>
      <c r="T20" s="1232"/>
      <c r="U20" s="1232"/>
      <c r="V20" s="1232"/>
      <c r="W20" s="1232"/>
      <c r="X20" s="1232"/>
      <c r="Y20" s="1232"/>
      <c r="Z20" s="1232"/>
      <c r="AA20" s="1232"/>
      <c r="AB20" s="1232"/>
      <c r="AC20" s="1232"/>
      <c r="AD20" s="1232"/>
      <c r="AE20" s="1232"/>
      <c r="AF20" s="1232"/>
      <c r="AG20" s="1232"/>
      <c r="AH20" s="1232"/>
      <c r="AI20" s="1232"/>
      <c r="AJ20" s="1232"/>
      <c r="AK20" s="1232"/>
      <c r="AL20" s="1232"/>
      <c r="AM20" s="1232"/>
      <c r="AN20" s="1232"/>
      <c r="AO20" s="1232"/>
      <c r="AP20" s="1232"/>
      <c r="AQ20" s="1232"/>
      <c r="AR20" s="1232"/>
      <c r="AS20" s="1232"/>
      <c r="AT20" s="1232"/>
      <c r="AU20" s="1232"/>
      <c r="AV20" s="1232"/>
      <c r="AW20" s="1232"/>
      <c r="AX20" s="1232"/>
      <c r="AY20" s="1232"/>
      <c r="AZ20" s="1232"/>
      <c r="BA20" s="1232"/>
      <c r="BB20" s="1185"/>
      <c r="BC20" s="1186"/>
      <c r="BD20" s="1186"/>
      <c r="BE20" s="1185"/>
      <c r="BF20" s="1233"/>
    </row>
    <row r="21">
      <c r="A21" s="1244"/>
      <c r="B21" s="1245"/>
      <c r="C21" s="1183"/>
      <c r="D21" s="1184"/>
      <c r="E21" s="1184"/>
      <c r="F21" s="1184"/>
      <c r="G21" s="1184"/>
      <c r="H21" s="1184"/>
      <c r="I21" s="1232"/>
      <c r="J21" s="1232"/>
      <c r="K21" s="1232"/>
      <c r="L21" s="1232"/>
      <c r="M21" s="1232"/>
      <c r="N21" s="1232"/>
      <c r="O21" s="1232"/>
      <c r="P21" s="1232"/>
      <c r="Q21" s="1232"/>
      <c r="R21" s="1232"/>
      <c r="S21" s="1232"/>
      <c r="T21" s="1232"/>
      <c r="U21" s="1232"/>
      <c r="V21" s="1232"/>
      <c r="W21" s="1232"/>
      <c r="X21" s="1232"/>
      <c r="Y21" s="1232"/>
      <c r="Z21" s="1232"/>
      <c r="AA21" s="1232"/>
      <c r="AB21" s="1232"/>
      <c r="AC21" s="1232"/>
      <c r="AD21" s="1232"/>
      <c r="AE21" s="1232"/>
      <c r="AF21" s="1232"/>
      <c r="AG21" s="1232"/>
      <c r="AH21" s="1232"/>
      <c r="AI21" s="1232"/>
      <c r="AJ21" s="1232"/>
      <c r="AK21" s="1232"/>
      <c r="AL21" s="1232"/>
      <c r="AM21" s="1232"/>
      <c r="AN21" s="1232"/>
      <c r="AO21" s="1232"/>
      <c r="AP21" s="1232"/>
      <c r="AQ21" s="1232"/>
      <c r="AR21" s="1232"/>
      <c r="AS21" s="1232"/>
      <c r="AT21" s="1232"/>
      <c r="AU21" s="1232"/>
      <c r="AV21" s="1232"/>
      <c r="AW21" s="1232"/>
      <c r="AX21" s="1232"/>
      <c r="AY21" s="1232"/>
      <c r="AZ21" s="1232"/>
      <c r="BA21" s="1232"/>
      <c r="BB21" s="1185"/>
      <c r="BC21" s="1186"/>
      <c r="BD21" s="1186"/>
      <c r="BE21" s="1185"/>
      <c r="BF21" s="1233"/>
    </row>
    <row r="22">
      <c r="A22" s="1244"/>
      <c r="B22" s="1245"/>
      <c r="C22" s="1183"/>
      <c r="D22" s="1184"/>
      <c r="E22" s="1184"/>
      <c r="F22" s="1184"/>
      <c r="G22" s="1184"/>
      <c r="H22" s="1184"/>
      <c r="I22" s="1232"/>
      <c r="J22" s="1232"/>
      <c r="K22" s="1232"/>
      <c r="L22" s="1232"/>
      <c r="M22" s="1232"/>
      <c r="N22" s="1232"/>
      <c r="O22" s="1232"/>
      <c r="P22" s="1232"/>
      <c r="Q22" s="1232"/>
      <c r="R22" s="1232"/>
      <c r="S22" s="1232"/>
      <c r="T22" s="1232"/>
      <c r="U22" s="1232"/>
      <c r="V22" s="1232"/>
      <c r="W22" s="1232"/>
      <c r="X22" s="1232"/>
      <c r="Y22" s="1232"/>
      <c r="Z22" s="1232"/>
      <c r="AA22" s="1232"/>
      <c r="AB22" s="1232"/>
      <c r="AC22" s="1232"/>
      <c r="AD22" s="1232"/>
      <c r="AE22" s="1232"/>
      <c r="AF22" s="1232"/>
      <c r="AG22" s="1232"/>
      <c r="AH22" s="1232"/>
      <c r="AI22" s="1232"/>
      <c r="AJ22" s="1232"/>
      <c r="AK22" s="1232"/>
      <c r="AL22" s="1232"/>
      <c r="AM22" s="1232"/>
      <c r="AN22" s="1232"/>
      <c r="AO22" s="1232"/>
      <c r="AP22" s="1232"/>
      <c r="AQ22" s="1232"/>
      <c r="AR22" s="1232"/>
      <c r="AS22" s="1232"/>
      <c r="AT22" s="1232"/>
      <c r="AU22" s="1232"/>
      <c r="AV22" s="1232"/>
      <c r="AW22" s="1232"/>
      <c r="AX22" s="1232"/>
      <c r="AY22" s="1232"/>
      <c r="AZ22" s="1232"/>
      <c r="BA22" s="1232"/>
      <c r="BB22" s="1185"/>
      <c r="BC22" s="1186"/>
      <c r="BD22" s="1186"/>
      <c r="BE22" s="1185"/>
      <c r="BF22" s="1233"/>
    </row>
    <row r="23">
      <c r="A23" s="1234"/>
      <c r="B23" s="1235"/>
      <c r="C23" s="1179"/>
      <c r="D23" s="1180"/>
      <c r="E23" s="1180"/>
      <c r="F23" s="1180"/>
      <c r="G23" s="1180"/>
      <c r="H23" s="1180"/>
      <c r="I23" s="1236"/>
      <c r="J23" s="1236"/>
      <c r="K23" s="1236"/>
      <c r="L23" s="1236"/>
      <c r="M23" s="1236"/>
      <c r="N23" s="1236"/>
      <c r="O23" s="1236"/>
      <c r="P23" s="1236"/>
      <c r="Q23" s="1236"/>
      <c r="R23" s="1236"/>
      <c r="S23" s="1236"/>
      <c r="T23" s="1236"/>
      <c r="U23" s="1236"/>
      <c r="V23" s="1236"/>
      <c r="W23" s="1236"/>
      <c r="X23" s="1236"/>
      <c r="Y23" s="1236"/>
      <c r="Z23" s="1236"/>
      <c r="AA23" s="1236"/>
      <c r="AB23" s="1236"/>
      <c r="AC23" s="1236"/>
      <c r="AD23" s="1236"/>
      <c r="AE23" s="1236"/>
      <c r="AF23" s="1236"/>
      <c r="AG23" s="1236"/>
      <c r="AH23" s="1236"/>
      <c r="AI23" s="1236"/>
      <c r="AJ23" s="1236"/>
      <c r="AK23" s="1236"/>
      <c r="AL23" s="1236"/>
      <c r="AM23" s="1236"/>
      <c r="AN23" s="1236"/>
      <c r="AO23" s="1236"/>
      <c r="AP23" s="1236"/>
      <c r="AQ23" s="1236"/>
      <c r="AR23" s="1236"/>
      <c r="AS23" s="1236"/>
      <c r="AT23" s="1236"/>
      <c r="AU23" s="1236"/>
      <c r="AV23" s="1236"/>
      <c r="AW23" s="1236"/>
      <c r="AX23" s="1236"/>
      <c r="AY23" s="1236"/>
      <c r="AZ23" s="1236"/>
      <c r="BA23" s="1236"/>
      <c r="BB23" s="1177"/>
      <c r="BC23" s="1181"/>
      <c r="BD23" s="1181"/>
      <c r="BE23" s="1177"/>
      <c r="BF23" s="1237"/>
    </row>
    <row r="24">
      <c r="A24" s="1234"/>
      <c r="B24" s="1235"/>
      <c r="C24" s="1179"/>
      <c r="D24" s="1180"/>
      <c r="E24" s="1180"/>
      <c r="F24" s="1180"/>
      <c r="G24" s="1180"/>
      <c r="H24" s="1180"/>
      <c r="I24" s="1236"/>
      <c r="J24" s="1236"/>
      <c r="K24" s="1236"/>
      <c r="L24" s="1236"/>
      <c r="M24" s="1236"/>
      <c r="N24" s="1236"/>
      <c r="O24" s="1236"/>
      <c r="P24" s="1236"/>
      <c r="Q24" s="1236"/>
      <c r="R24" s="1236"/>
      <c r="S24" s="1236"/>
      <c r="T24" s="1236"/>
      <c r="U24" s="1236"/>
      <c r="V24" s="1236"/>
      <c r="W24" s="1236"/>
      <c r="X24" s="1236"/>
      <c r="Y24" s="1236"/>
      <c r="Z24" s="1236"/>
      <c r="AA24" s="1236"/>
      <c r="AB24" s="1236"/>
      <c r="AC24" s="1236"/>
      <c r="AD24" s="1236"/>
      <c r="AE24" s="1236"/>
      <c r="AF24" s="1236"/>
      <c r="AG24" s="1236"/>
      <c r="AH24" s="1236"/>
      <c r="AI24" s="1236"/>
      <c r="AJ24" s="1236"/>
      <c r="AK24" s="1236"/>
      <c r="AL24" s="1236"/>
      <c r="AM24" s="1236"/>
      <c r="AN24" s="1236"/>
      <c r="AO24" s="1236"/>
      <c r="AP24" s="1236"/>
      <c r="AQ24" s="1236"/>
      <c r="AR24" s="1236"/>
      <c r="AS24" s="1236"/>
      <c r="AT24" s="1236"/>
      <c r="AU24" s="1236"/>
      <c r="AV24" s="1236"/>
      <c r="AW24" s="1236"/>
      <c r="AX24" s="1236"/>
      <c r="AY24" s="1236"/>
      <c r="AZ24" s="1236"/>
      <c r="BA24" s="1236"/>
      <c r="BB24" s="1177"/>
      <c r="BC24" s="1181"/>
      <c r="BD24" s="1181"/>
      <c r="BE24" s="1177"/>
      <c r="BF24" s="1237"/>
    </row>
    <row r="25">
      <c r="A25" s="1234"/>
      <c r="B25" s="1235"/>
      <c r="C25" s="1179"/>
      <c r="D25" s="1180"/>
      <c r="E25" s="1180"/>
      <c r="F25" s="1180"/>
      <c r="G25" s="1180"/>
      <c r="H25" s="1180"/>
      <c r="I25" s="1236"/>
      <c r="J25" s="1236"/>
      <c r="K25" s="1236"/>
      <c r="L25" s="1236"/>
      <c r="M25" s="1236"/>
      <c r="N25" s="1236"/>
      <c r="O25" s="1236"/>
      <c r="P25" s="1236"/>
      <c r="Q25" s="1236"/>
      <c r="R25" s="1236"/>
      <c r="S25" s="1236"/>
      <c r="T25" s="1236"/>
      <c r="U25" s="1236"/>
      <c r="V25" s="1236"/>
      <c r="W25" s="1236"/>
      <c r="X25" s="1236"/>
      <c r="Y25" s="1236"/>
      <c r="Z25" s="1236"/>
      <c r="AA25" s="1236"/>
      <c r="AB25" s="1236"/>
      <c r="AC25" s="1236"/>
      <c r="AD25" s="1236"/>
      <c r="AE25" s="1236"/>
      <c r="AF25" s="1236"/>
      <c r="AG25" s="1236"/>
      <c r="AH25" s="1236"/>
      <c r="AI25" s="1236"/>
      <c r="AJ25" s="1236"/>
      <c r="AK25" s="1236"/>
      <c r="AL25" s="1236"/>
      <c r="AM25" s="1236"/>
      <c r="AN25" s="1236"/>
      <c r="AO25" s="1236"/>
      <c r="AP25" s="1236"/>
      <c r="AQ25" s="1236"/>
      <c r="AR25" s="1236"/>
      <c r="AS25" s="1236"/>
      <c r="AT25" s="1236"/>
      <c r="AU25" s="1236"/>
      <c r="AV25" s="1236"/>
      <c r="AW25" s="1236"/>
      <c r="AX25" s="1236"/>
      <c r="AY25" s="1236"/>
      <c r="AZ25" s="1236"/>
      <c r="BA25" s="1236"/>
      <c r="BB25" s="1177"/>
      <c r="BC25" s="1181"/>
      <c r="BD25" s="1181"/>
      <c r="BE25" s="1177"/>
      <c r="BF25" s="1237"/>
    </row>
    <row r="26">
      <c r="A26" s="1238"/>
      <c r="B26" s="1239"/>
      <c r="C26" s="1210"/>
      <c r="D26" s="1211"/>
      <c r="E26" s="1211"/>
      <c r="F26" s="1211"/>
      <c r="G26" s="1211"/>
      <c r="H26" s="1211"/>
      <c r="I26" s="1240"/>
      <c r="J26" s="1240"/>
      <c r="K26" s="1240"/>
      <c r="L26" s="1240"/>
      <c r="M26" s="1240"/>
      <c r="N26" s="1240"/>
      <c r="O26" s="1240"/>
      <c r="P26" s="1240"/>
      <c r="Q26" s="1240"/>
      <c r="R26" s="1240"/>
      <c r="S26" s="1240"/>
      <c r="T26" s="1240"/>
      <c r="U26" s="1240"/>
      <c r="V26" s="1240"/>
      <c r="W26" s="1240"/>
      <c r="X26" s="1240"/>
      <c r="Y26" s="1240"/>
      <c r="Z26" s="1240"/>
      <c r="AA26" s="1240"/>
      <c r="AB26" s="1240"/>
      <c r="AC26" s="1240"/>
      <c r="AD26" s="1240"/>
      <c r="AE26" s="1240"/>
      <c r="AF26" s="1240"/>
      <c r="AG26" s="1240"/>
      <c r="AH26" s="1240"/>
      <c r="AI26" s="1240"/>
      <c r="AJ26" s="1240"/>
      <c r="AK26" s="1240"/>
      <c r="AL26" s="1240"/>
      <c r="AM26" s="1240"/>
      <c r="AN26" s="1240"/>
      <c r="AO26" s="1240"/>
      <c r="AP26" s="1240"/>
      <c r="AQ26" s="1240"/>
      <c r="AR26" s="1240"/>
      <c r="AS26" s="1240"/>
      <c r="AT26" s="1240"/>
      <c r="AU26" s="1240"/>
      <c r="AV26" s="1240"/>
      <c r="AW26" s="1240"/>
      <c r="AX26" s="1240"/>
      <c r="AY26" s="1240"/>
      <c r="AZ26" s="1240"/>
      <c r="BA26" s="1240"/>
      <c r="BB26" s="1212"/>
      <c r="BC26" s="1213"/>
      <c r="BD26" s="1213"/>
      <c r="BE26" s="1212"/>
      <c r="BF26" s="1241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5" max="6" width="12.13"/>
    <col customWidth="1" min="7" max="7" width="5.63"/>
    <col customWidth="1" min="8" max="8" width="36.63"/>
    <col customWidth="1" hidden="1" min="9" max="9" width="36.63"/>
  </cols>
  <sheetData>
    <row r="1">
      <c r="A1" s="1065" t="s">
        <v>608</v>
      </c>
      <c r="B1" s="1252" t="s">
        <v>645</v>
      </c>
      <c r="C1" s="1253" t="s">
        <v>646</v>
      </c>
      <c r="D1" s="1254" t="s">
        <v>612</v>
      </c>
      <c r="E1" s="1252" t="s">
        <v>647</v>
      </c>
      <c r="F1" s="1066" t="s">
        <v>613</v>
      </c>
      <c r="G1" s="1065"/>
      <c r="H1" s="1252" t="s">
        <v>614</v>
      </c>
      <c r="I1" s="1066" t="s">
        <v>615</v>
      </c>
    </row>
    <row r="2">
      <c r="A2" s="1065"/>
      <c r="B2" s="420"/>
      <c r="C2" s="1105"/>
      <c r="D2" s="846"/>
      <c r="E2" s="1106"/>
      <c r="F2" s="1106"/>
      <c r="G2" s="1065"/>
      <c r="H2" s="1070"/>
      <c r="I2" s="1070"/>
    </row>
    <row r="3">
      <c r="A3" s="1071" t="s">
        <v>648</v>
      </c>
      <c r="B3" s="262" t="s">
        <v>117</v>
      </c>
      <c r="C3" s="1255" t="s">
        <v>122</v>
      </c>
      <c r="D3" s="1256" t="s">
        <v>631</v>
      </c>
      <c r="E3" s="1257" t="s">
        <v>649</v>
      </c>
      <c r="F3" s="1257" t="s">
        <v>649</v>
      </c>
      <c r="G3" s="1071" t="s">
        <v>648</v>
      </c>
      <c r="H3" s="1258"/>
    </row>
    <row r="4">
      <c r="B4" s="1259" t="s">
        <v>122</v>
      </c>
      <c r="C4" s="1260" t="s">
        <v>121</v>
      </c>
      <c r="D4" s="1261" t="s">
        <v>618</v>
      </c>
      <c r="E4" s="1257" t="s">
        <v>649</v>
      </c>
      <c r="F4" s="1257" t="s">
        <v>649</v>
      </c>
      <c r="H4" s="1258"/>
    </row>
    <row r="5">
      <c r="B5" s="1259" t="s">
        <v>122</v>
      </c>
      <c r="C5" s="1260" t="s">
        <v>114</v>
      </c>
      <c r="D5" s="1261" t="s">
        <v>618</v>
      </c>
      <c r="E5" s="1257" t="s">
        <v>649</v>
      </c>
      <c r="F5" s="1257" t="s">
        <v>649</v>
      </c>
      <c r="H5" s="1096"/>
    </row>
    <row r="6">
      <c r="B6" s="1245" t="s">
        <v>118</v>
      </c>
      <c r="C6" s="1262" t="s">
        <v>123</v>
      </c>
      <c r="D6" s="1263" t="s">
        <v>631</v>
      </c>
      <c r="E6" s="1264" t="s">
        <v>650</v>
      </c>
      <c r="F6" s="421" t="s">
        <v>389</v>
      </c>
      <c r="H6" s="1265" t="s">
        <v>651</v>
      </c>
    </row>
    <row r="7">
      <c r="B7" s="1266" t="s">
        <v>115</v>
      </c>
      <c r="C7" s="1245" t="s">
        <v>119</v>
      </c>
      <c r="D7" s="1267" t="s">
        <v>652</v>
      </c>
      <c r="E7" s="1257" t="s">
        <v>653</v>
      </c>
      <c r="F7" s="16" t="s">
        <v>654</v>
      </c>
      <c r="H7" s="1113"/>
    </row>
    <row r="8">
      <c r="B8" s="1268" t="s">
        <v>119</v>
      </c>
      <c r="C8" s="1269" t="s">
        <v>118</v>
      </c>
      <c r="D8" s="1270" t="s">
        <v>652</v>
      </c>
      <c r="E8" s="1271" t="s">
        <v>653</v>
      </c>
      <c r="F8" s="976" t="s">
        <v>654</v>
      </c>
      <c r="H8" s="1265" t="s">
        <v>651</v>
      </c>
    </row>
    <row r="9">
      <c r="B9" s="1272" t="s">
        <v>114</v>
      </c>
      <c r="C9" s="1273" t="s">
        <v>117</v>
      </c>
      <c r="D9" s="1263" t="s">
        <v>655</v>
      </c>
      <c r="E9" s="1264" t="s">
        <v>653</v>
      </c>
      <c r="F9" s="421" t="s">
        <v>389</v>
      </c>
      <c r="H9" s="1096"/>
    </row>
    <row r="10">
      <c r="B10" s="1274" t="s">
        <v>117</v>
      </c>
      <c r="C10" s="1275" t="s">
        <v>121</v>
      </c>
      <c r="D10" s="1276" t="s">
        <v>656</v>
      </c>
      <c r="E10" s="1264" t="s">
        <v>650</v>
      </c>
      <c r="F10" s="421" t="s">
        <v>389</v>
      </c>
      <c r="H10" s="1265" t="s">
        <v>651</v>
      </c>
    </row>
    <row r="11">
      <c r="B11" s="1277" t="s">
        <v>121</v>
      </c>
      <c r="C11" s="1278" t="s">
        <v>117</v>
      </c>
      <c r="D11" s="1279" t="s">
        <v>655</v>
      </c>
      <c r="E11" s="1264" t="s">
        <v>653</v>
      </c>
      <c r="F11" s="421" t="s">
        <v>389</v>
      </c>
      <c r="H11" s="1265" t="s">
        <v>651</v>
      </c>
    </row>
    <row r="12">
      <c r="B12" s="1272" t="s">
        <v>118</v>
      </c>
      <c r="C12" s="1280" t="s">
        <v>121</v>
      </c>
      <c r="D12" s="1263" t="s">
        <v>657</v>
      </c>
      <c r="E12" s="1264" t="s">
        <v>650</v>
      </c>
      <c r="F12" s="972" t="s">
        <v>654</v>
      </c>
      <c r="H12" s="1265" t="s">
        <v>651</v>
      </c>
    </row>
    <row r="13">
      <c r="B13" s="1245" t="s">
        <v>117</v>
      </c>
      <c r="C13" s="1273" t="s">
        <v>119</v>
      </c>
      <c r="D13" s="1267" t="s">
        <v>657</v>
      </c>
      <c r="E13" s="1257" t="s">
        <v>650</v>
      </c>
      <c r="F13" s="421" t="s">
        <v>389</v>
      </c>
      <c r="H13" s="1265" t="s">
        <v>651</v>
      </c>
    </row>
    <row r="14">
      <c r="A14" s="1071"/>
      <c r="B14" s="1109"/>
      <c r="C14" s="1100"/>
      <c r="D14" s="1101"/>
      <c r="E14" s="1102"/>
      <c r="F14" s="1109"/>
      <c r="G14" s="1071"/>
      <c r="H14" s="1096"/>
    </row>
    <row r="15">
      <c r="A15" s="1071"/>
      <c r="B15" s="1281" t="s">
        <v>658</v>
      </c>
      <c r="C15" s="1043"/>
      <c r="D15" s="1043"/>
      <c r="E15" s="1043"/>
      <c r="F15" s="1043"/>
      <c r="G15" s="1071"/>
      <c r="H15" s="1282" t="s">
        <v>651</v>
      </c>
    </row>
    <row r="16">
      <c r="A16" s="1071"/>
      <c r="G16" s="1071"/>
      <c r="H16" s="1265" t="s">
        <v>651</v>
      </c>
    </row>
    <row r="17">
      <c r="A17" s="1071"/>
      <c r="B17" s="1045"/>
      <c r="C17" s="1045"/>
      <c r="D17" s="1045"/>
      <c r="E17" s="1045"/>
      <c r="F17" s="1045"/>
      <c r="G17" s="1071"/>
      <c r="H17" s="1265" t="s">
        <v>651</v>
      </c>
    </row>
    <row r="18">
      <c r="A18" s="1065" t="s">
        <v>659</v>
      </c>
      <c r="B18" s="1283"/>
      <c r="C18" s="1284"/>
      <c r="D18" s="1285"/>
      <c r="E18" s="1286"/>
      <c r="F18" s="1287"/>
      <c r="G18" s="17"/>
      <c r="H18" s="1070"/>
      <c r="I18" s="1070"/>
    </row>
    <row r="19">
      <c r="B19" s="16" t="s">
        <v>122</v>
      </c>
      <c r="C19" s="1288" t="s">
        <v>120</v>
      </c>
      <c r="D19" s="1256" t="s">
        <v>618</v>
      </c>
      <c r="E19" s="1257" t="s">
        <v>649</v>
      </c>
      <c r="F19" s="1257" t="s">
        <v>649</v>
      </c>
      <c r="G19" s="1065" t="s">
        <v>659</v>
      </c>
      <c r="H19" s="1112"/>
    </row>
    <row r="20">
      <c r="B20" s="1289" t="s">
        <v>120</v>
      </c>
      <c r="C20" s="972" t="s">
        <v>122</v>
      </c>
      <c r="D20" s="1261" t="s">
        <v>631</v>
      </c>
      <c r="E20" s="1271" t="s">
        <v>649</v>
      </c>
      <c r="F20" s="1271" t="s">
        <v>649</v>
      </c>
      <c r="H20" s="1112"/>
    </row>
    <row r="21">
      <c r="B21" s="262" t="s">
        <v>114</v>
      </c>
      <c r="C21" s="936" t="s">
        <v>122</v>
      </c>
      <c r="D21" s="1290" t="s">
        <v>631</v>
      </c>
      <c r="E21" s="1257" t="s">
        <v>649</v>
      </c>
      <c r="F21" s="1257" t="s">
        <v>649</v>
      </c>
      <c r="H21" s="1096"/>
    </row>
    <row r="22">
      <c r="B22" s="1291" t="s">
        <v>120</v>
      </c>
      <c r="C22" s="1292" t="s">
        <v>121</v>
      </c>
      <c r="D22" s="1293" t="s">
        <v>660</v>
      </c>
      <c r="E22" s="1294" t="s">
        <v>653</v>
      </c>
      <c r="F22" s="1295" t="s">
        <v>391</v>
      </c>
      <c r="H22" s="1265" t="s">
        <v>651</v>
      </c>
    </row>
    <row r="23">
      <c r="B23" s="1268" t="s">
        <v>119</v>
      </c>
      <c r="C23" s="1296" t="s">
        <v>120</v>
      </c>
      <c r="D23" s="1297" t="s">
        <v>656</v>
      </c>
      <c r="E23" s="1271" t="s">
        <v>653</v>
      </c>
      <c r="F23" s="1298" t="s">
        <v>389</v>
      </c>
      <c r="H23" s="1265" t="s">
        <v>651</v>
      </c>
    </row>
    <row r="24">
      <c r="B24" s="1299" t="s">
        <v>117</v>
      </c>
      <c r="C24" s="1273" t="s">
        <v>123</v>
      </c>
      <c r="D24" s="1267" t="s">
        <v>657</v>
      </c>
      <c r="E24" s="1257" t="s">
        <v>650</v>
      </c>
      <c r="F24" s="1298" t="s">
        <v>391</v>
      </c>
      <c r="H24" s="1265" t="s">
        <v>651</v>
      </c>
    </row>
    <row r="25">
      <c r="B25" s="1300" t="s">
        <v>392</v>
      </c>
      <c r="C25" s="1301" t="s">
        <v>115</v>
      </c>
      <c r="D25" s="1270" t="s">
        <v>661</v>
      </c>
      <c r="E25" s="1271"/>
      <c r="F25" s="1302" t="s">
        <v>389</v>
      </c>
      <c r="H25" s="1096"/>
    </row>
    <row r="26">
      <c r="B26" s="1245" t="s">
        <v>392</v>
      </c>
      <c r="C26" s="1273" t="s">
        <v>117</v>
      </c>
      <c r="D26" s="1267" t="s">
        <v>631</v>
      </c>
      <c r="E26" s="1257"/>
      <c r="F26" s="1302" t="s">
        <v>389</v>
      </c>
      <c r="H26" s="1096"/>
    </row>
    <row r="27">
      <c r="B27" s="1245" t="s">
        <v>118</v>
      </c>
      <c r="C27" s="1273" t="s">
        <v>115</v>
      </c>
      <c r="D27" s="1267" t="s">
        <v>655</v>
      </c>
      <c r="E27" s="1303" t="s">
        <v>650</v>
      </c>
      <c r="F27" s="1298" t="s">
        <v>389</v>
      </c>
      <c r="H27" s="1096"/>
    </row>
    <row r="28">
      <c r="B28" s="1268" t="s">
        <v>119</v>
      </c>
      <c r="C28" s="1296" t="s">
        <v>392</v>
      </c>
      <c r="D28" s="1270" t="s">
        <v>662</v>
      </c>
      <c r="E28" s="1271" t="s">
        <v>653</v>
      </c>
      <c r="F28" s="1298" t="s">
        <v>389</v>
      </c>
      <c r="H28" s="1265" t="s">
        <v>651</v>
      </c>
      <c r="I28" s="1096"/>
    </row>
    <row r="29">
      <c r="B29" s="1269" t="s">
        <v>119</v>
      </c>
      <c r="C29" s="1273" t="s">
        <v>121</v>
      </c>
      <c r="D29" s="1304" t="s">
        <v>663</v>
      </c>
      <c r="E29" s="1257" t="s">
        <v>650</v>
      </c>
      <c r="F29" s="1298" t="s">
        <v>389</v>
      </c>
      <c r="H29" s="1265" t="s">
        <v>651</v>
      </c>
      <c r="I29" s="1096"/>
    </row>
    <row r="30">
      <c r="B30" s="1277" t="s">
        <v>115</v>
      </c>
      <c r="C30" s="1301" t="s">
        <v>120</v>
      </c>
      <c r="D30" s="1270" t="s">
        <v>631</v>
      </c>
      <c r="E30" s="1271" t="s">
        <v>653</v>
      </c>
      <c r="F30" s="1298" t="s">
        <v>389</v>
      </c>
      <c r="H30" s="1265" t="s">
        <v>651</v>
      </c>
      <c r="I30" s="1096"/>
    </row>
    <row r="31">
      <c r="B31" s="1268" t="s">
        <v>120</v>
      </c>
      <c r="C31" s="1269" t="s">
        <v>115</v>
      </c>
      <c r="D31" s="1304" t="s">
        <v>661</v>
      </c>
      <c r="E31" s="1257" t="s">
        <v>653</v>
      </c>
      <c r="F31" s="1298" t="s">
        <v>391</v>
      </c>
      <c r="H31" s="1265" t="s">
        <v>651</v>
      </c>
      <c r="I31" s="1096"/>
    </row>
    <row r="32">
      <c r="B32" s="1274" t="s">
        <v>118</v>
      </c>
      <c r="C32" s="1296" t="s">
        <v>664</v>
      </c>
      <c r="D32" s="1297" t="s">
        <v>655</v>
      </c>
      <c r="E32" s="1271" t="s">
        <v>650</v>
      </c>
      <c r="F32" s="1298" t="s">
        <v>389</v>
      </c>
      <c r="H32" s="1265" t="s">
        <v>665</v>
      </c>
      <c r="I32" s="1096"/>
    </row>
    <row r="33">
      <c r="B33" s="1131" t="s">
        <v>114</v>
      </c>
      <c r="C33" s="880" t="s">
        <v>118</v>
      </c>
      <c r="D33" s="1267" t="s">
        <v>663</v>
      </c>
      <c r="E33" s="1257"/>
      <c r="F33" s="1298" t="s">
        <v>389</v>
      </c>
      <c r="H33" s="1265" t="s">
        <v>665</v>
      </c>
      <c r="I33" s="1096"/>
    </row>
    <row r="34">
      <c r="A34" s="1065"/>
      <c r="B34" s="17"/>
      <c r="C34" s="17"/>
      <c r="D34" s="17"/>
      <c r="E34" s="17"/>
      <c r="F34" s="17"/>
      <c r="G34" s="1065"/>
      <c r="H34" s="1096"/>
      <c r="I34" s="1096"/>
    </row>
    <row r="35">
      <c r="A35" s="93"/>
      <c r="B35" s="93"/>
      <c r="C35" s="1105"/>
      <c r="D35" s="846"/>
      <c r="E35" s="1106"/>
      <c r="F35" s="1106"/>
      <c r="G35" s="7"/>
      <c r="H35" s="1070"/>
      <c r="I35" s="1070"/>
    </row>
    <row r="36">
      <c r="A36" s="1065" t="s">
        <v>666</v>
      </c>
      <c r="B36" s="262" t="s">
        <v>123</v>
      </c>
      <c r="C36" s="936" t="s">
        <v>122</v>
      </c>
      <c r="D36" s="1256" t="s">
        <v>631</v>
      </c>
      <c r="E36" s="1257" t="s">
        <v>649</v>
      </c>
      <c r="F36" s="1257" t="s">
        <v>649</v>
      </c>
      <c r="G36" s="1065" t="s">
        <v>666</v>
      </c>
      <c r="H36" s="1096"/>
    </row>
    <row r="37">
      <c r="B37" s="1289" t="s">
        <v>667</v>
      </c>
      <c r="C37" s="972" t="s">
        <v>122</v>
      </c>
      <c r="D37" s="1305" t="s">
        <v>631</v>
      </c>
      <c r="E37" s="1257" t="s">
        <v>649</v>
      </c>
      <c r="F37" s="1257" t="s">
        <v>649</v>
      </c>
      <c r="H37" s="1096"/>
    </row>
    <row r="38">
      <c r="B38" s="262" t="s">
        <v>118</v>
      </c>
      <c r="C38" s="936" t="s">
        <v>122</v>
      </c>
      <c r="D38" s="1256" t="s">
        <v>631</v>
      </c>
      <c r="E38" s="1257" t="s">
        <v>649</v>
      </c>
      <c r="F38" s="1257" t="s">
        <v>649</v>
      </c>
      <c r="H38" s="1096"/>
    </row>
    <row r="39">
      <c r="B39" s="1289" t="s">
        <v>392</v>
      </c>
      <c r="C39" s="972" t="s">
        <v>122</v>
      </c>
      <c r="D39" s="1305" t="s">
        <v>631</v>
      </c>
      <c r="E39" s="1257" t="s">
        <v>649</v>
      </c>
      <c r="F39" s="1257" t="s">
        <v>649</v>
      </c>
      <c r="H39" s="1096"/>
    </row>
    <row r="40">
      <c r="B40" s="16" t="s">
        <v>122</v>
      </c>
      <c r="C40" s="1288" t="s">
        <v>115</v>
      </c>
      <c r="D40" s="1256" t="s">
        <v>618</v>
      </c>
      <c r="E40" s="1257" t="s">
        <v>649</v>
      </c>
      <c r="F40" s="1257" t="s">
        <v>649</v>
      </c>
      <c r="H40" s="1112"/>
    </row>
    <row r="41">
      <c r="B41" s="1269" t="s">
        <v>392</v>
      </c>
      <c r="C41" s="1301" t="s">
        <v>114</v>
      </c>
      <c r="D41" s="1270" t="s">
        <v>631</v>
      </c>
      <c r="E41" s="1271" t="s">
        <v>653</v>
      </c>
      <c r="F41" s="1298" t="s">
        <v>391</v>
      </c>
      <c r="H41" s="1112"/>
    </row>
    <row r="42">
      <c r="B42" s="1245" t="s">
        <v>123</v>
      </c>
      <c r="C42" s="1273" t="s">
        <v>392</v>
      </c>
      <c r="D42" s="1304" t="s">
        <v>663</v>
      </c>
      <c r="E42" s="1257" t="s">
        <v>653</v>
      </c>
      <c r="F42" s="1298" t="s">
        <v>386</v>
      </c>
      <c r="H42" s="1112"/>
    </row>
    <row r="43">
      <c r="B43" s="1268" t="s">
        <v>117</v>
      </c>
      <c r="C43" s="1296" t="s">
        <v>115</v>
      </c>
      <c r="D43" s="1297" t="s">
        <v>661</v>
      </c>
      <c r="E43" s="1271"/>
      <c r="F43" s="1298" t="s">
        <v>389</v>
      </c>
      <c r="H43" s="1112"/>
    </row>
    <row r="44">
      <c r="B44" s="16" t="s">
        <v>392</v>
      </c>
      <c r="C44" s="16" t="s">
        <v>120</v>
      </c>
      <c r="D44" s="1076">
        <v>45048.0</v>
      </c>
      <c r="E44" s="16" t="s">
        <v>653</v>
      </c>
      <c r="F44" s="1302" t="s">
        <v>389</v>
      </c>
      <c r="H44" s="1112"/>
    </row>
    <row r="45">
      <c r="B45" s="16" t="s">
        <v>114</v>
      </c>
      <c r="C45" s="16" t="s">
        <v>115</v>
      </c>
      <c r="D45" s="1076">
        <v>45048.0</v>
      </c>
      <c r="E45" s="390"/>
      <c r="H45" s="1112"/>
      <c r="I45" s="1112"/>
    </row>
    <row r="46">
      <c r="B46" s="1272" t="s">
        <v>121</v>
      </c>
      <c r="C46" s="1262" t="s">
        <v>115</v>
      </c>
      <c r="D46" s="1306" t="s">
        <v>663</v>
      </c>
      <c r="E46" s="1257" t="s">
        <v>653</v>
      </c>
      <c r="F46" s="1257" t="s">
        <v>389</v>
      </c>
      <c r="H46" s="1096"/>
      <c r="I46" s="1096"/>
    </row>
    <row r="47">
      <c r="B47" s="1262" t="s">
        <v>115</v>
      </c>
      <c r="C47" s="1272" t="s">
        <v>121</v>
      </c>
      <c r="D47" s="1267" t="s">
        <v>663</v>
      </c>
      <c r="E47" s="16" t="s">
        <v>653</v>
      </c>
      <c r="F47" s="16" t="s">
        <v>389</v>
      </c>
      <c r="H47" s="1096"/>
      <c r="I47" s="1096"/>
    </row>
    <row r="48">
      <c r="B48" s="1262" t="s">
        <v>121</v>
      </c>
      <c r="C48" s="1245" t="s">
        <v>114</v>
      </c>
      <c r="D48" s="1263" t="s">
        <v>661</v>
      </c>
      <c r="E48" s="421" t="s">
        <v>653</v>
      </c>
      <c r="F48" s="16" t="s">
        <v>389</v>
      </c>
      <c r="H48" s="1096"/>
      <c r="I48" s="1096"/>
    </row>
    <row r="49">
      <c r="A49" s="186"/>
      <c r="B49" s="1245" t="s">
        <v>114</v>
      </c>
      <c r="C49" s="1235" t="s">
        <v>120</v>
      </c>
      <c r="D49" s="1267" t="s">
        <v>656</v>
      </c>
      <c r="E49" s="1257"/>
      <c r="F49" s="1298" t="s">
        <v>389</v>
      </c>
      <c r="G49" s="17"/>
      <c r="H49" s="1096"/>
      <c r="I49" s="1096"/>
    </row>
    <row r="50">
      <c r="A50" s="186"/>
      <c r="B50" s="1269" t="s">
        <v>117</v>
      </c>
      <c r="C50" s="1268" t="s">
        <v>120</v>
      </c>
      <c r="D50" s="1297" t="s">
        <v>663</v>
      </c>
      <c r="E50" s="1271"/>
      <c r="F50" s="1298" t="s">
        <v>386</v>
      </c>
      <c r="G50" s="17"/>
      <c r="H50" s="1096"/>
      <c r="I50" s="1096"/>
    </row>
    <row r="51">
      <c r="A51" s="186"/>
      <c r="B51" s="421"/>
      <c r="C51" s="972"/>
      <c r="D51" s="1305"/>
      <c r="E51" s="421"/>
      <c r="F51" s="16"/>
      <c r="G51" s="17"/>
      <c r="H51" s="1096"/>
      <c r="I51" s="1096"/>
    </row>
    <row r="52">
      <c r="A52" s="186"/>
      <c r="B52" s="16"/>
      <c r="C52" s="936"/>
      <c r="D52" s="1256"/>
      <c r="E52" s="16"/>
      <c r="F52" s="16"/>
      <c r="G52" s="17"/>
      <c r="H52" s="1096"/>
      <c r="I52" s="1096"/>
    </row>
    <row r="53">
      <c r="A53" s="186"/>
      <c r="B53" s="421"/>
      <c r="C53" s="972"/>
      <c r="D53" s="1305"/>
      <c r="E53" s="421"/>
      <c r="F53" s="16"/>
      <c r="G53" s="17"/>
      <c r="H53" s="1096"/>
      <c r="I53" s="1096"/>
    </row>
    <row r="54">
      <c r="A54" s="186"/>
      <c r="B54" s="16"/>
      <c r="C54" s="936"/>
      <c r="D54" s="1256"/>
      <c r="E54" s="16"/>
      <c r="F54" s="16"/>
      <c r="G54" s="17"/>
      <c r="H54" s="1096"/>
      <c r="I54" s="1096"/>
    </row>
    <row r="55">
      <c r="A55" s="186"/>
      <c r="B55" s="421"/>
      <c r="C55" s="972"/>
      <c r="D55" s="1305"/>
      <c r="E55" s="421"/>
      <c r="F55" s="16"/>
      <c r="G55" s="17"/>
      <c r="H55" s="1096"/>
      <c r="I55" s="1096"/>
    </row>
    <row r="56">
      <c r="A56" s="186"/>
      <c r="B56" s="16"/>
      <c r="C56" s="936"/>
      <c r="D56" s="1256"/>
      <c r="E56" s="421"/>
      <c r="F56" s="16"/>
      <c r="G56" s="17"/>
      <c r="H56" s="1112"/>
      <c r="I56" s="1112"/>
    </row>
    <row r="57">
      <c r="A57" s="186"/>
      <c r="B57" s="16"/>
      <c r="C57" s="936"/>
      <c r="D57" s="1256"/>
      <c r="E57" s="421"/>
      <c r="F57" s="16"/>
      <c r="G57" s="17"/>
      <c r="H57" s="1112"/>
      <c r="I57" s="1112"/>
    </row>
    <row r="58">
      <c r="A58" s="93"/>
      <c r="B58" s="93"/>
      <c r="C58" s="1105"/>
      <c r="D58" s="846"/>
      <c r="E58" s="1106"/>
      <c r="F58" s="1106"/>
      <c r="G58" s="7"/>
      <c r="H58" s="1070"/>
      <c r="I58" s="1070"/>
    </row>
    <row r="59">
      <c r="A59" s="1065" t="s">
        <v>668</v>
      </c>
      <c r="B59" s="16" t="s">
        <v>122</v>
      </c>
      <c r="C59" s="1288" t="s">
        <v>119</v>
      </c>
      <c r="D59" s="1256" t="s">
        <v>618</v>
      </c>
      <c r="E59" s="1257" t="s">
        <v>649</v>
      </c>
      <c r="F59" s="1257" t="s">
        <v>649</v>
      </c>
      <c r="G59" s="1065" t="s">
        <v>668</v>
      </c>
      <c r="H59" s="1096"/>
      <c r="I59" s="1096"/>
    </row>
    <row r="60">
      <c r="B60" s="421" t="s">
        <v>122</v>
      </c>
      <c r="C60" s="1307" t="s">
        <v>392</v>
      </c>
      <c r="D60" s="1305" t="s">
        <v>618</v>
      </c>
      <c r="E60" s="1257" t="s">
        <v>649</v>
      </c>
      <c r="F60" s="1257" t="s">
        <v>649</v>
      </c>
      <c r="H60" s="1096"/>
      <c r="I60" s="1096"/>
    </row>
    <row r="61">
      <c r="B61" s="262" t="s">
        <v>121</v>
      </c>
      <c r="C61" s="936" t="s">
        <v>122</v>
      </c>
      <c r="D61" s="1256" t="s">
        <v>631</v>
      </c>
      <c r="E61" s="1257" t="s">
        <v>649</v>
      </c>
      <c r="F61" s="1257" t="s">
        <v>649</v>
      </c>
      <c r="H61" s="1096"/>
      <c r="I61" s="1096"/>
    </row>
    <row r="62">
      <c r="B62" s="421" t="s">
        <v>669</v>
      </c>
      <c r="C62" s="972" t="s">
        <v>667</v>
      </c>
      <c r="D62" s="1305" t="s">
        <v>657</v>
      </c>
      <c r="E62" s="421" t="s">
        <v>670</v>
      </c>
      <c r="F62" s="16" t="s">
        <v>389</v>
      </c>
      <c r="H62" s="1096"/>
      <c r="I62" s="1096"/>
    </row>
    <row r="63">
      <c r="B63" s="1245" t="s">
        <v>120</v>
      </c>
      <c r="C63" s="1273" t="s">
        <v>114</v>
      </c>
      <c r="D63" s="1267" t="s">
        <v>631</v>
      </c>
      <c r="E63" s="16" t="s">
        <v>653</v>
      </c>
      <c r="F63" s="16" t="s">
        <v>391</v>
      </c>
      <c r="H63" s="1112"/>
      <c r="I63" s="1112"/>
    </row>
    <row r="64">
      <c r="B64" s="1308" t="s">
        <v>120</v>
      </c>
      <c r="C64" s="1309" t="s">
        <v>119</v>
      </c>
      <c r="D64" s="1310" t="s">
        <v>661</v>
      </c>
      <c r="E64" s="421" t="s">
        <v>670</v>
      </c>
      <c r="F64" s="16" t="s">
        <v>391</v>
      </c>
      <c r="H64" s="1112"/>
      <c r="I64" s="1112"/>
    </row>
    <row r="65">
      <c r="B65" s="1131" t="s">
        <v>123</v>
      </c>
      <c r="C65" s="880" t="s">
        <v>117</v>
      </c>
      <c r="D65" s="1304" t="s">
        <v>631</v>
      </c>
      <c r="E65" s="16" t="s">
        <v>653</v>
      </c>
      <c r="F65" s="16" t="s">
        <v>386</v>
      </c>
      <c r="H65" s="1265" t="s">
        <v>651</v>
      </c>
      <c r="I65" s="1113"/>
    </row>
    <row r="66">
      <c r="B66" s="1274" t="s">
        <v>114</v>
      </c>
      <c r="C66" s="1309" t="s">
        <v>121</v>
      </c>
      <c r="D66" s="1263" t="s">
        <v>656</v>
      </c>
      <c r="E66" s="421" t="s">
        <v>653</v>
      </c>
      <c r="F66" s="16" t="s">
        <v>389</v>
      </c>
      <c r="H66" s="1265" t="s">
        <v>651</v>
      </c>
      <c r="I66" s="1113"/>
    </row>
    <row r="67">
      <c r="B67" s="1131" t="s">
        <v>121</v>
      </c>
      <c r="C67" s="1245" t="s">
        <v>123</v>
      </c>
      <c r="D67" s="1267" t="s">
        <v>661</v>
      </c>
      <c r="E67" s="16" t="s">
        <v>653</v>
      </c>
      <c r="F67" s="16" t="s">
        <v>386</v>
      </c>
      <c r="H67" s="1265" t="s">
        <v>651</v>
      </c>
      <c r="I67" s="1112"/>
    </row>
    <row r="68">
      <c r="B68" s="421"/>
      <c r="C68" s="972"/>
      <c r="D68" s="1305"/>
      <c r="E68" s="421"/>
      <c r="F68" s="16"/>
      <c r="H68" s="1112"/>
      <c r="I68" s="1112"/>
    </row>
    <row r="69">
      <c r="B69" s="1311"/>
      <c r="C69" s="1312"/>
      <c r="D69" s="1313"/>
      <c r="E69" s="1311"/>
      <c r="F69" s="1314"/>
      <c r="H69" s="1112"/>
      <c r="I69" s="1112"/>
    </row>
    <row r="70">
      <c r="B70" s="1315"/>
      <c r="C70" s="1316"/>
      <c r="D70" s="1317"/>
      <c r="E70" s="1315"/>
      <c r="F70" s="1314"/>
      <c r="H70" s="1112"/>
      <c r="I70" s="1112"/>
    </row>
    <row r="71">
      <c r="B71" s="16"/>
      <c r="C71" s="936"/>
      <c r="D71" s="1256"/>
      <c r="E71" s="16"/>
      <c r="F71" s="16"/>
      <c r="H71" s="1113"/>
      <c r="I71" s="1113"/>
    </row>
    <row r="72">
      <c r="A72" s="186"/>
      <c r="B72" s="421"/>
      <c r="C72" s="972"/>
      <c r="D72" s="1305"/>
      <c r="E72" s="421"/>
      <c r="F72" s="16"/>
      <c r="G72" s="17"/>
      <c r="H72" s="1113"/>
      <c r="I72" s="1113"/>
    </row>
    <row r="73">
      <c r="A73" s="186"/>
      <c r="B73" s="16"/>
      <c r="C73" s="936"/>
      <c r="D73" s="1256"/>
      <c r="E73" s="16"/>
      <c r="F73" s="16"/>
      <c r="G73" s="17"/>
      <c r="H73" s="1113"/>
      <c r="I73" s="1113"/>
    </row>
    <row r="74">
      <c r="A74" s="186"/>
      <c r="B74" s="421"/>
      <c r="C74" s="972"/>
      <c r="D74" s="1305"/>
      <c r="E74" s="421"/>
      <c r="F74" s="16"/>
      <c r="G74" s="17"/>
      <c r="H74" s="1113"/>
      <c r="I74" s="1113"/>
    </row>
    <row r="75">
      <c r="A75" s="186"/>
      <c r="B75" s="16"/>
      <c r="C75" s="936"/>
      <c r="D75" s="1256"/>
      <c r="E75" s="16"/>
      <c r="F75" s="16"/>
      <c r="G75" s="17"/>
      <c r="H75" s="1112"/>
      <c r="I75" s="1112"/>
    </row>
    <row r="76">
      <c r="A76" s="186"/>
      <c r="B76" s="421"/>
      <c r="C76" s="972"/>
      <c r="D76" s="1305"/>
      <c r="E76" s="421"/>
      <c r="F76" s="16"/>
      <c r="G76" s="17"/>
      <c r="H76" s="1112"/>
      <c r="I76" s="1112"/>
    </row>
    <row r="77">
      <c r="A77" s="186"/>
      <c r="B77" s="16"/>
      <c r="C77" s="936"/>
      <c r="D77" s="1256"/>
      <c r="E77" s="16"/>
      <c r="F77" s="16"/>
      <c r="G77" s="17"/>
      <c r="H77" s="1112"/>
      <c r="I77" s="1112"/>
    </row>
    <row r="78">
      <c r="A78" s="186"/>
      <c r="B78" s="421"/>
      <c r="C78" s="972"/>
      <c r="D78" s="1305"/>
      <c r="E78" s="421"/>
      <c r="F78" s="16"/>
      <c r="G78" s="17"/>
      <c r="H78" s="1112"/>
      <c r="I78" s="1112"/>
    </row>
    <row r="79">
      <c r="A79" s="186"/>
      <c r="B79" s="16"/>
      <c r="C79" s="936"/>
      <c r="D79" s="1256"/>
      <c r="E79" s="16"/>
      <c r="F79" s="16"/>
      <c r="G79" s="17"/>
      <c r="H79" s="1112"/>
      <c r="I79" s="1112"/>
    </row>
    <row r="80">
      <c r="A80" s="186"/>
      <c r="B80" s="421"/>
      <c r="C80" s="972"/>
      <c r="D80" s="1305"/>
      <c r="E80" s="421"/>
      <c r="F80" s="16"/>
      <c r="G80" s="17"/>
      <c r="H80" s="1112"/>
      <c r="I80" s="1112"/>
    </row>
    <row r="81">
      <c r="A81" s="93"/>
      <c r="B81" s="93"/>
      <c r="C81" s="1105"/>
      <c r="D81" s="846"/>
      <c r="E81" s="1106"/>
      <c r="F81" s="1106"/>
      <c r="G81" s="7"/>
      <c r="H81" s="1070"/>
      <c r="I81" s="1070"/>
    </row>
    <row r="82">
      <c r="A82" s="1065" t="s">
        <v>671</v>
      </c>
      <c r="B82" s="16" t="s">
        <v>122</v>
      </c>
      <c r="C82" s="1288" t="s">
        <v>123</v>
      </c>
      <c r="D82" s="1318" t="s">
        <v>618</v>
      </c>
      <c r="E82" s="1257" t="s">
        <v>649</v>
      </c>
      <c r="F82" s="1257" t="s">
        <v>649</v>
      </c>
      <c r="G82" s="1065" t="s">
        <v>671</v>
      </c>
      <c r="H82" s="1112"/>
      <c r="I82" s="1112"/>
    </row>
    <row r="83">
      <c r="B83" s="421" t="s">
        <v>122</v>
      </c>
      <c r="C83" s="1307" t="s">
        <v>118</v>
      </c>
      <c r="D83" s="1319" t="s">
        <v>618</v>
      </c>
      <c r="E83" s="1257" t="s">
        <v>649</v>
      </c>
      <c r="F83" s="1257" t="s">
        <v>649</v>
      </c>
      <c r="H83" s="1112"/>
      <c r="I83" s="1112"/>
    </row>
    <row r="84">
      <c r="B84" s="262" t="s">
        <v>119</v>
      </c>
      <c r="C84" s="936" t="s">
        <v>122</v>
      </c>
      <c r="D84" s="1318" t="s">
        <v>631</v>
      </c>
      <c r="E84" s="1257" t="s">
        <v>649</v>
      </c>
      <c r="F84" s="1257" t="s">
        <v>649</v>
      </c>
      <c r="H84" s="1112"/>
      <c r="I84" s="1112"/>
    </row>
    <row r="85">
      <c r="B85" s="1308" t="s">
        <v>120</v>
      </c>
      <c r="C85" s="1272" t="s">
        <v>123</v>
      </c>
      <c r="D85" s="1267" t="s">
        <v>656</v>
      </c>
      <c r="E85" s="421" t="s">
        <v>653</v>
      </c>
      <c r="F85" s="16" t="s">
        <v>386</v>
      </c>
      <c r="H85" s="1265" t="s">
        <v>651</v>
      </c>
      <c r="I85" s="1112"/>
    </row>
    <row r="86">
      <c r="B86" s="16" t="s">
        <v>123</v>
      </c>
      <c r="C86" s="936" t="s">
        <v>120</v>
      </c>
      <c r="D86" s="1318" t="s">
        <v>657</v>
      </c>
      <c r="E86" s="1311" t="s">
        <v>653</v>
      </c>
      <c r="F86" s="1314" t="s">
        <v>391</v>
      </c>
      <c r="H86" s="1265" t="s">
        <v>651</v>
      </c>
      <c r="I86" s="1112"/>
    </row>
    <row r="87">
      <c r="B87" s="421" t="s">
        <v>119</v>
      </c>
      <c r="C87" s="972" t="s">
        <v>123</v>
      </c>
      <c r="D87" s="1319" t="s">
        <v>661</v>
      </c>
      <c r="E87" s="1315" t="s">
        <v>653</v>
      </c>
      <c r="F87" s="1314" t="s">
        <v>386</v>
      </c>
      <c r="H87" s="1265" t="s">
        <v>651</v>
      </c>
      <c r="I87" s="1112"/>
    </row>
    <row r="88">
      <c r="B88" s="1311" t="s">
        <v>123</v>
      </c>
      <c r="C88" s="421" t="s">
        <v>119</v>
      </c>
      <c r="D88" s="1318" t="s">
        <v>657</v>
      </c>
      <c r="E88" s="1311" t="s">
        <v>653</v>
      </c>
      <c r="F88" s="1314" t="s">
        <v>389</v>
      </c>
      <c r="H88" s="1265" t="s">
        <v>651</v>
      </c>
      <c r="I88" s="1112"/>
    </row>
    <row r="89">
      <c r="B89" s="1308" t="s">
        <v>123</v>
      </c>
      <c r="C89" s="1272" t="s">
        <v>667</v>
      </c>
      <c r="D89" s="1310" t="s">
        <v>655</v>
      </c>
      <c r="E89" s="421" t="s">
        <v>653</v>
      </c>
      <c r="F89" s="16" t="s">
        <v>386</v>
      </c>
      <c r="H89" s="1265" t="s">
        <v>651</v>
      </c>
      <c r="I89" s="1112"/>
    </row>
    <row r="90">
      <c r="B90" s="1320" t="s">
        <v>667</v>
      </c>
      <c r="C90" s="1321" t="s">
        <v>123</v>
      </c>
      <c r="D90" s="1322" t="s">
        <v>631</v>
      </c>
      <c r="E90" s="421" t="s">
        <v>653</v>
      </c>
      <c r="F90" s="16" t="s">
        <v>389</v>
      </c>
      <c r="H90" s="1265" t="s">
        <v>651</v>
      </c>
      <c r="I90" s="1112"/>
    </row>
    <row r="91">
      <c r="B91" s="1323" t="s">
        <v>119</v>
      </c>
      <c r="C91" s="1324" t="s">
        <v>114</v>
      </c>
      <c r="D91" s="1325" t="s">
        <v>657</v>
      </c>
      <c r="E91" s="421" t="s">
        <v>653</v>
      </c>
      <c r="F91" s="16" t="s">
        <v>386</v>
      </c>
      <c r="H91" s="1112"/>
      <c r="I91" s="1112"/>
    </row>
    <row r="92">
      <c r="B92" s="1324" t="s">
        <v>114</v>
      </c>
      <c r="C92" s="1323" t="s">
        <v>119</v>
      </c>
      <c r="D92" s="1326" t="s">
        <v>656</v>
      </c>
      <c r="E92" s="1311" t="s">
        <v>653</v>
      </c>
      <c r="F92" s="1314" t="s">
        <v>389</v>
      </c>
      <c r="H92" s="1112"/>
      <c r="I92" s="1112"/>
    </row>
    <row r="93">
      <c r="B93" s="1315" t="s">
        <v>123</v>
      </c>
      <c r="C93" s="1316" t="s">
        <v>118</v>
      </c>
      <c r="D93" s="1317"/>
      <c r="E93" s="1315" t="s">
        <v>653</v>
      </c>
      <c r="F93" s="1314" t="s">
        <v>386</v>
      </c>
      <c r="H93" s="1112"/>
      <c r="I93" s="1112"/>
    </row>
    <row r="94">
      <c r="B94" s="1311" t="s">
        <v>672</v>
      </c>
      <c r="C94" s="1312" t="s">
        <v>118</v>
      </c>
      <c r="D94" s="1313"/>
      <c r="E94" s="1311" t="s">
        <v>653</v>
      </c>
      <c r="F94" s="1314" t="s">
        <v>386</v>
      </c>
      <c r="H94" s="1112"/>
      <c r="I94" s="1112"/>
    </row>
    <row r="95">
      <c r="A95" s="186"/>
      <c r="B95" s="1315" t="s">
        <v>673</v>
      </c>
      <c r="C95" s="1316" t="s">
        <v>667</v>
      </c>
      <c r="D95" s="1317" t="s">
        <v>656</v>
      </c>
      <c r="E95" s="1315"/>
      <c r="F95" s="1314"/>
      <c r="G95" s="17"/>
      <c r="H95" s="1112"/>
      <c r="I95" s="1112"/>
    </row>
    <row r="96">
      <c r="A96" s="186"/>
      <c r="B96" s="1311" t="s">
        <v>392</v>
      </c>
      <c r="C96" s="936" t="s">
        <v>121</v>
      </c>
      <c r="D96" s="1313" t="s">
        <v>656</v>
      </c>
      <c r="E96" s="1311" t="s">
        <v>653</v>
      </c>
      <c r="F96" s="1314" t="s">
        <v>389</v>
      </c>
      <c r="G96" s="17"/>
      <c r="H96" s="1265" t="s">
        <v>651</v>
      </c>
      <c r="I96" s="1112"/>
    </row>
    <row r="97">
      <c r="A97" s="186"/>
      <c r="B97" s="1315" t="s">
        <v>121</v>
      </c>
      <c r="C97" s="1316" t="s">
        <v>392</v>
      </c>
      <c r="D97" s="1317" t="s">
        <v>661</v>
      </c>
      <c r="E97" s="1315" t="s">
        <v>653</v>
      </c>
      <c r="F97" s="1314" t="s">
        <v>389</v>
      </c>
      <c r="G97" s="17"/>
      <c r="H97" s="1265" t="s">
        <v>651</v>
      </c>
      <c r="I97" s="1112"/>
    </row>
    <row r="98">
      <c r="A98" s="186"/>
      <c r="B98" s="1114"/>
      <c r="C98" s="1115"/>
      <c r="D98" s="1116"/>
      <c r="E98" s="1114"/>
      <c r="F98" s="1117"/>
      <c r="G98" s="17"/>
      <c r="H98" s="17"/>
      <c r="I98" s="17"/>
    </row>
    <row r="99">
      <c r="A99" s="1065" t="s">
        <v>674</v>
      </c>
      <c r="B99" s="1314" t="s">
        <v>120</v>
      </c>
      <c r="C99" s="1314" t="s">
        <v>392</v>
      </c>
      <c r="D99" s="1327">
        <v>45050.0</v>
      </c>
      <c r="E99" s="1314"/>
      <c r="F99" s="1314" t="s">
        <v>391</v>
      </c>
      <c r="G99" s="1065" t="s">
        <v>674</v>
      </c>
      <c r="H99" s="1265" t="s">
        <v>651</v>
      </c>
      <c r="I99" s="1112"/>
    </row>
    <row r="100">
      <c r="B100" s="1314" t="s">
        <v>392</v>
      </c>
      <c r="C100" s="1314" t="s">
        <v>114</v>
      </c>
      <c r="D100" s="1327">
        <v>45047.0</v>
      </c>
      <c r="E100" s="1314"/>
      <c r="F100" s="1314" t="s">
        <v>391</v>
      </c>
      <c r="H100" s="1265" t="s">
        <v>651</v>
      </c>
      <c r="I100" s="1112"/>
    </row>
    <row r="101">
      <c r="B101" s="1314" t="s">
        <v>675</v>
      </c>
      <c r="C101" s="1314" t="s">
        <v>676</v>
      </c>
      <c r="D101" s="1327">
        <v>45047.0</v>
      </c>
      <c r="E101" s="1314" t="s">
        <v>650</v>
      </c>
      <c r="F101" s="1314" t="s">
        <v>389</v>
      </c>
      <c r="H101" s="1265" t="s">
        <v>651</v>
      </c>
      <c r="I101" s="1112"/>
    </row>
    <row r="102">
      <c r="B102" s="1314" t="s">
        <v>120</v>
      </c>
      <c r="C102" s="1314" t="s">
        <v>117</v>
      </c>
      <c r="D102" s="1314" t="s">
        <v>630</v>
      </c>
      <c r="E102" s="1314" t="s">
        <v>630</v>
      </c>
      <c r="F102" s="1314" t="s">
        <v>630</v>
      </c>
      <c r="H102" s="1112"/>
      <c r="I102" s="1112"/>
    </row>
    <row r="103">
      <c r="B103" s="1314"/>
      <c r="C103" s="1314"/>
      <c r="D103" s="1314"/>
      <c r="E103" s="1314"/>
      <c r="F103" s="1314"/>
      <c r="H103" s="1112"/>
      <c r="I103" s="1112"/>
    </row>
    <row r="104" hidden="1">
      <c r="B104" s="1314"/>
      <c r="C104" s="1314"/>
      <c r="D104" s="1314"/>
      <c r="E104" s="1314"/>
      <c r="F104" s="1314"/>
      <c r="H104" s="1125"/>
      <c r="I104" s="1125"/>
    </row>
    <row r="105" hidden="1">
      <c r="B105" s="1314"/>
      <c r="C105" s="1314"/>
      <c r="D105" s="1314"/>
      <c r="E105" s="1314"/>
      <c r="F105" s="1314"/>
      <c r="H105" s="1126"/>
      <c r="I105" s="1126"/>
    </row>
    <row r="106" hidden="1">
      <c r="B106" s="1314"/>
      <c r="C106" s="1314"/>
      <c r="D106" s="1314"/>
      <c r="E106" s="1314"/>
      <c r="F106" s="1314"/>
      <c r="H106" s="1126"/>
      <c r="I106" s="1126"/>
    </row>
    <row r="107" hidden="1">
      <c r="B107" s="1314"/>
      <c r="C107" s="1314"/>
      <c r="D107" s="1314"/>
      <c r="E107" s="1314"/>
      <c r="F107" s="1314"/>
      <c r="H107" s="1126"/>
      <c r="I107" s="1126"/>
    </row>
    <row r="108" hidden="1">
      <c r="B108" s="1314"/>
      <c r="C108" s="1314"/>
      <c r="D108" s="1314"/>
      <c r="E108" s="1314"/>
      <c r="F108" s="1314"/>
      <c r="H108" s="1126"/>
      <c r="I108" s="1126"/>
    </row>
    <row r="109" hidden="1">
      <c r="B109" s="1314"/>
      <c r="C109" s="1314"/>
      <c r="D109" s="1314"/>
      <c r="E109" s="1314"/>
      <c r="F109" s="1314"/>
      <c r="H109" s="1126"/>
      <c r="I109" s="1126"/>
    </row>
    <row r="110" hidden="1">
      <c r="B110" s="1314"/>
      <c r="C110" s="1314"/>
      <c r="D110" s="1314"/>
      <c r="E110" s="1314"/>
      <c r="F110" s="1314"/>
      <c r="H110" s="1125"/>
      <c r="I110" s="1125"/>
    </row>
    <row r="111" hidden="1">
      <c r="B111" s="1314"/>
      <c r="C111" s="1314"/>
      <c r="D111" s="1314"/>
      <c r="E111" s="1314"/>
      <c r="F111" s="1314"/>
      <c r="H111" s="1126"/>
      <c r="I111" s="1126"/>
    </row>
    <row r="112" hidden="1">
      <c r="B112" s="1314"/>
      <c r="C112" s="1314"/>
      <c r="D112" s="1314"/>
      <c r="E112" s="1314"/>
      <c r="F112" s="1314"/>
      <c r="H112" s="1126"/>
      <c r="I112" s="1126"/>
    </row>
    <row r="113" hidden="1">
      <c r="B113" s="1314"/>
      <c r="C113" s="1314"/>
      <c r="D113" s="1314"/>
      <c r="E113" s="1314"/>
      <c r="F113" s="1314"/>
      <c r="H113" s="1126"/>
      <c r="I113" s="1126"/>
    </row>
    <row r="114" hidden="1">
      <c r="B114" s="1314"/>
      <c r="C114" s="1314"/>
      <c r="D114" s="1314"/>
      <c r="E114" s="1314"/>
      <c r="F114" s="1314"/>
      <c r="H114" s="1126"/>
      <c r="I114" s="1126"/>
    </row>
    <row r="115" hidden="1">
      <c r="B115" s="1314"/>
      <c r="C115" s="1314"/>
      <c r="D115" s="1314"/>
      <c r="E115" s="1314"/>
      <c r="F115" s="1314"/>
      <c r="H115" s="1125"/>
      <c r="I115" s="1125"/>
    </row>
    <row r="116" hidden="1">
      <c r="B116" s="1314"/>
      <c r="C116" s="1314"/>
      <c r="D116" s="1314"/>
      <c r="E116" s="1314"/>
      <c r="F116" s="1314"/>
      <c r="H116" s="1126"/>
      <c r="I116" s="1126"/>
    </row>
    <row r="117" hidden="1">
      <c r="B117" s="1314"/>
      <c r="C117" s="1314"/>
      <c r="D117" s="1314"/>
      <c r="E117" s="1314"/>
      <c r="F117" s="1314"/>
      <c r="H117" s="1126"/>
      <c r="I117" s="1126"/>
    </row>
    <row r="118" hidden="1">
      <c r="B118" s="1314"/>
      <c r="C118" s="1314"/>
      <c r="D118" s="1314"/>
      <c r="E118" s="1314"/>
      <c r="F118" s="1314"/>
      <c r="H118" s="1126"/>
      <c r="I118" s="1126"/>
    </row>
    <row r="119" hidden="1">
      <c r="B119" s="1314"/>
      <c r="C119" s="1314"/>
      <c r="D119" s="1314"/>
      <c r="E119" s="1314"/>
      <c r="F119" s="1314"/>
      <c r="H119" s="1126"/>
      <c r="I119" s="1126"/>
    </row>
    <row r="120" hidden="1">
      <c r="B120" s="1314"/>
      <c r="C120" s="1314"/>
      <c r="D120" s="1314"/>
      <c r="E120" s="1314"/>
      <c r="F120" s="1314"/>
    </row>
    <row r="121" hidden="1">
      <c r="B121" s="1314"/>
      <c r="C121" s="1314"/>
      <c r="D121" s="1314"/>
      <c r="E121" s="1314"/>
      <c r="F121" s="1314"/>
    </row>
    <row r="122" hidden="1">
      <c r="B122" s="1314"/>
      <c r="C122" s="1314"/>
      <c r="D122" s="1314"/>
      <c r="E122" s="1314"/>
      <c r="F122" s="1314"/>
    </row>
    <row r="123" hidden="1">
      <c r="B123" s="1314"/>
      <c r="C123" s="1314"/>
      <c r="D123" s="1314"/>
      <c r="E123" s="1314"/>
      <c r="F123" s="1314"/>
    </row>
    <row r="124" hidden="1">
      <c r="B124" s="1314"/>
      <c r="C124" s="1314"/>
      <c r="D124" s="1314"/>
      <c r="E124" s="1314"/>
      <c r="F124" s="1314"/>
    </row>
    <row r="125" hidden="1">
      <c r="B125" s="1314"/>
      <c r="C125" s="1314"/>
      <c r="D125" s="1314"/>
      <c r="E125" s="1314"/>
      <c r="F125" s="1314"/>
    </row>
    <row r="126" hidden="1">
      <c r="B126" s="1314"/>
      <c r="C126" s="1314"/>
      <c r="D126" s="1314"/>
      <c r="E126" s="1314"/>
      <c r="F126" s="1314"/>
    </row>
    <row r="127" hidden="1">
      <c r="B127" s="1314"/>
      <c r="C127" s="1314"/>
      <c r="D127" s="1314"/>
      <c r="E127" s="1314"/>
      <c r="F127" s="1314"/>
    </row>
    <row r="128" hidden="1">
      <c r="B128" s="1314"/>
      <c r="C128" s="1314"/>
      <c r="D128" s="1314"/>
      <c r="E128" s="1314"/>
      <c r="F128" s="1314"/>
    </row>
    <row r="129" hidden="1">
      <c r="B129" s="1314"/>
      <c r="C129" s="1314"/>
      <c r="D129" s="1314"/>
      <c r="E129" s="1314"/>
      <c r="F129" s="1314"/>
    </row>
    <row r="130" hidden="1">
      <c r="B130" s="1314"/>
      <c r="C130" s="1314"/>
      <c r="D130" s="1314"/>
      <c r="E130" s="1314"/>
      <c r="F130" s="1314"/>
    </row>
    <row r="131" hidden="1">
      <c r="B131" s="1314"/>
      <c r="C131" s="1314"/>
      <c r="D131" s="1314"/>
      <c r="E131" s="1314"/>
      <c r="F131" s="1314"/>
    </row>
    <row r="132" hidden="1">
      <c r="B132" s="1314"/>
      <c r="C132" s="1314"/>
      <c r="D132" s="1314"/>
      <c r="E132" s="1314"/>
      <c r="F132" s="1314"/>
    </row>
    <row r="133" hidden="1">
      <c r="B133" s="1314"/>
      <c r="C133" s="1314"/>
      <c r="D133" s="1314"/>
      <c r="E133" s="1314"/>
      <c r="F133" s="1314"/>
    </row>
    <row r="134" hidden="1">
      <c r="B134" s="1314"/>
      <c r="C134" s="1314"/>
      <c r="D134" s="1314"/>
      <c r="E134" s="1314"/>
      <c r="F134" s="1314"/>
    </row>
    <row r="135" hidden="1">
      <c r="B135" s="1314"/>
      <c r="C135" s="1314"/>
      <c r="D135" s="1314"/>
      <c r="E135" s="1314"/>
      <c r="F135" s="1314"/>
    </row>
    <row r="136" hidden="1">
      <c r="B136" s="1314"/>
      <c r="C136" s="1314"/>
      <c r="D136" s="1314"/>
      <c r="E136" s="1314"/>
      <c r="F136" s="1314"/>
    </row>
    <row r="137" hidden="1">
      <c r="B137" s="1314"/>
      <c r="C137" s="1314"/>
      <c r="D137" s="1314"/>
      <c r="E137" s="1314"/>
      <c r="F137" s="1314"/>
    </row>
    <row r="138" hidden="1">
      <c r="B138" s="1314"/>
      <c r="C138" s="1314"/>
      <c r="D138" s="1314"/>
      <c r="E138" s="1314"/>
      <c r="F138" s="1314"/>
    </row>
    <row r="139" hidden="1">
      <c r="B139" s="1314"/>
      <c r="C139" s="1314"/>
      <c r="D139" s="1314"/>
      <c r="E139" s="1314"/>
      <c r="F139" s="1314"/>
    </row>
    <row r="140" hidden="1">
      <c r="B140" s="1314"/>
      <c r="C140" s="1314"/>
      <c r="D140" s="1314"/>
      <c r="E140" s="1314"/>
      <c r="F140" s="1314"/>
    </row>
    <row r="141" hidden="1">
      <c r="B141" s="1314"/>
      <c r="C141" s="1314"/>
      <c r="D141" s="1314"/>
      <c r="E141" s="1314"/>
      <c r="F141" s="1314"/>
    </row>
    <row r="142" hidden="1">
      <c r="B142" s="1314"/>
      <c r="C142" s="1314"/>
      <c r="D142" s="1314"/>
      <c r="E142" s="1314"/>
      <c r="F142" s="1314"/>
    </row>
    <row r="143" hidden="1">
      <c r="B143" s="1314"/>
      <c r="C143" s="1314"/>
      <c r="D143" s="1314"/>
      <c r="E143" s="1314"/>
      <c r="F143" s="1314"/>
    </row>
    <row r="144" hidden="1">
      <c r="B144" s="1314"/>
      <c r="C144" s="1314"/>
      <c r="D144" s="1314"/>
      <c r="E144" s="1314"/>
      <c r="F144" s="1314"/>
    </row>
    <row r="145">
      <c r="B145" s="1314"/>
      <c r="C145" s="1314"/>
      <c r="D145" s="1314"/>
      <c r="E145" s="1314"/>
      <c r="F145" s="1314"/>
      <c r="H145" s="1112"/>
    </row>
    <row r="146">
      <c r="B146" s="390"/>
      <c r="C146" s="390"/>
      <c r="D146" s="997"/>
      <c r="E146" s="390"/>
      <c r="F146" s="390"/>
      <c r="H146" s="1112"/>
    </row>
    <row r="147">
      <c r="B147" s="390"/>
      <c r="C147" s="390"/>
      <c r="D147" s="997"/>
      <c r="E147" s="390"/>
      <c r="F147" s="390"/>
      <c r="H147" s="1112"/>
    </row>
    <row r="148">
      <c r="B148" s="390"/>
      <c r="C148" s="390"/>
      <c r="D148" s="997"/>
      <c r="E148" s="390"/>
      <c r="F148" s="390"/>
      <c r="H148" s="1096"/>
    </row>
    <row r="149">
      <c r="B149" s="390"/>
      <c r="C149" s="390"/>
      <c r="D149" s="997"/>
      <c r="E149" s="390"/>
      <c r="F149" s="390"/>
      <c r="H149" s="1096"/>
    </row>
    <row r="150">
      <c r="B150" s="390"/>
      <c r="C150" s="390"/>
      <c r="D150" s="997"/>
      <c r="E150" s="390"/>
      <c r="F150" s="390"/>
      <c r="H150" s="1096"/>
    </row>
    <row r="151">
      <c r="B151" s="390"/>
      <c r="C151" s="390"/>
      <c r="D151" s="997"/>
      <c r="E151" s="390"/>
      <c r="F151" s="390"/>
      <c r="H151" s="1096"/>
    </row>
    <row r="152">
      <c r="B152" s="390"/>
      <c r="C152" s="390"/>
      <c r="D152" s="997"/>
      <c r="E152" s="390"/>
      <c r="F152" s="390"/>
      <c r="H152" s="1096"/>
    </row>
    <row r="153">
      <c r="B153" s="390"/>
      <c r="C153" s="390"/>
      <c r="D153" s="997"/>
      <c r="E153" s="390"/>
      <c r="F153" s="390"/>
      <c r="H153" s="1096"/>
    </row>
    <row r="154">
      <c r="B154" s="390"/>
      <c r="C154" s="390"/>
      <c r="D154" s="997"/>
      <c r="E154" s="390"/>
      <c r="F154" s="390"/>
      <c r="H154" s="1112"/>
    </row>
    <row r="155">
      <c r="B155" s="390"/>
      <c r="C155" s="390"/>
      <c r="D155" s="997"/>
      <c r="E155" s="390"/>
      <c r="F155" s="390"/>
      <c r="H155" s="1112"/>
    </row>
    <row r="156">
      <c r="B156" s="390"/>
      <c r="C156" s="390"/>
      <c r="D156" s="997"/>
      <c r="E156" s="390"/>
      <c r="F156" s="390"/>
      <c r="H156" s="1112"/>
    </row>
    <row r="157">
      <c r="B157" s="390"/>
      <c r="C157" s="390"/>
      <c r="D157" s="997"/>
      <c r="E157" s="390"/>
      <c r="F157" s="390"/>
      <c r="H157" s="1112"/>
    </row>
    <row r="158">
      <c r="B158" s="390"/>
      <c r="C158" s="390"/>
      <c r="D158" s="997"/>
      <c r="E158" s="390"/>
      <c r="F158" s="390"/>
      <c r="H158" s="1112"/>
    </row>
    <row r="159">
      <c r="A159" s="186"/>
      <c r="B159" s="1114"/>
      <c r="C159" s="1115"/>
      <c r="D159" s="1116"/>
      <c r="E159" s="1114"/>
      <c r="F159" s="1117"/>
      <c r="G159" s="17"/>
      <c r="H159" s="17"/>
    </row>
    <row r="160">
      <c r="A160" s="1065" t="s">
        <v>677</v>
      </c>
      <c r="B160" s="16" t="s">
        <v>678</v>
      </c>
      <c r="C160" s="390"/>
      <c r="D160" s="997"/>
      <c r="E160" s="390"/>
      <c r="F160" s="390"/>
      <c r="G160" s="1065" t="s">
        <v>677</v>
      </c>
      <c r="H160" s="1096"/>
    </row>
    <row r="161">
      <c r="B161" s="390"/>
      <c r="C161" s="390"/>
      <c r="D161" s="997"/>
      <c r="E161" s="390"/>
      <c r="F161" s="390"/>
      <c r="H161" s="1112"/>
    </row>
    <row r="162">
      <c r="B162" s="390"/>
      <c r="C162" s="390"/>
      <c r="D162" s="997"/>
      <c r="E162" s="390"/>
      <c r="F162" s="390"/>
      <c r="H162" s="1112"/>
    </row>
    <row r="163">
      <c r="B163" s="390"/>
      <c r="C163" s="390"/>
      <c r="D163" s="997"/>
      <c r="E163" s="390"/>
      <c r="F163" s="390"/>
      <c r="H163" s="1112"/>
    </row>
    <row r="164">
      <c r="B164" s="390"/>
      <c r="C164" s="390"/>
      <c r="D164" s="997"/>
      <c r="E164" s="390"/>
      <c r="F164" s="390"/>
      <c r="H164" s="1112"/>
    </row>
    <row r="165">
      <c r="B165" s="390"/>
      <c r="C165" s="390"/>
      <c r="D165" s="997"/>
      <c r="E165" s="390"/>
      <c r="F165" s="390"/>
      <c r="H165" s="1112"/>
    </row>
    <row r="166">
      <c r="B166" s="390"/>
      <c r="C166" s="390"/>
      <c r="D166" s="997"/>
      <c r="E166" s="390"/>
      <c r="F166" s="390"/>
      <c r="H166" s="1112"/>
    </row>
    <row r="167">
      <c r="B167" s="390"/>
      <c r="C167" s="390"/>
      <c r="D167" s="997"/>
      <c r="E167" s="390"/>
      <c r="F167" s="390"/>
      <c r="H167" s="1112"/>
    </row>
    <row r="168">
      <c r="B168" s="390"/>
      <c r="C168" s="390"/>
      <c r="D168" s="997"/>
      <c r="E168" s="390"/>
      <c r="F168" s="390"/>
      <c r="H168" s="1112"/>
    </row>
    <row r="169">
      <c r="B169" s="390"/>
      <c r="C169" s="390"/>
      <c r="D169" s="997"/>
      <c r="E169" s="390"/>
      <c r="F169" s="390"/>
      <c r="H169" s="1112"/>
    </row>
    <row r="170">
      <c r="B170" s="390"/>
      <c r="C170" s="390"/>
      <c r="D170" s="997"/>
      <c r="E170" s="390"/>
      <c r="F170" s="390"/>
      <c r="H170" s="1112"/>
    </row>
    <row r="171">
      <c r="B171" s="390"/>
      <c r="C171" s="390"/>
      <c r="D171" s="997"/>
      <c r="E171" s="390"/>
      <c r="F171" s="390"/>
      <c r="H171" s="1112"/>
    </row>
    <row r="172">
      <c r="B172" s="390"/>
      <c r="C172" s="390"/>
      <c r="D172" s="997"/>
      <c r="E172" s="390"/>
      <c r="F172" s="390"/>
      <c r="H172" s="1112"/>
    </row>
    <row r="173">
      <c r="B173" s="390"/>
      <c r="C173" s="390"/>
      <c r="D173" s="997"/>
      <c r="E173" s="390"/>
      <c r="F173" s="390"/>
      <c r="H173" s="1112"/>
    </row>
    <row r="174">
      <c r="B174" s="390"/>
      <c r="C174" s="390"/>
      <c r="D174" s="997"/>
      <c r="E174" s="390"/>
      <c r="F174" s="390"/>
      <c r="H174" s="1112"/>
    </row>
    <row r="175">
      <c r="B175" s="390"/>
      <c r="C175" s="390"/>
      <c r="D175" s="997"/>
      <c r="E175" s="390"/>
      <c r="F175" s="390"/>
      <c r="H175" s="1112"/>
    </row>
    <row r="176">
      <c r="B176" s="1114"/>
      <c r="C176" s="1115"/>
      <c r="D176" s="1116"/>
      <c r="E176" s="1114"/>
      <c r="F176" s="1117"/>
      <c r="H176" s="17"/>
    </row>
  </sheetData>
  <mergeCells count="20">
    <mergeCell ref="A18:A33"/>
    <mergeCell ref="A36:A48"/>
    <mergeCell ref="A59:A71"/>
    <mergeCell ref="A82:A94"/>
    <mergeCell ref="A99:A158"/>
    <mergeCell ref="A160:A176"/>
    <mergeCell ref="C35:D35"/>
    <mergeCell ref="C58:D58"/>
    <mergeCell ref="G59:G71"/>
    <mergeCell ref="C81:D81"/>
    <mergeCell ref="G82:G94"/>
    <mergeCell ref="G99:G158"/>
    <mergeCell ref="G160:G176"/>
    <mergeCell ref="C2:D2"/>
    <mergeCell ref="A3:A13"/>
    <mergeCell ref="G3:G13"/>
    <mergeCell ref="B15:F17"/>
    <mergeCell ref="C18:D18"/>
    <mergeCell ref="G19:G33"/>
    <mergeCell ref="G36:G48"/>
  </mergeCells>
  <conditionalFormatting sqref="E1:E14 F1:F11 F13:F14 E18:F98 E146:F176">
    <cfRule type="cellIs" dxfId="25" priority="1" operator="equal">
      <formula>"Sandbox"</formula>
    </cfRule>
  </conditionalFormatting>
  <conditionalFormatting sqref="E1:E14 F1:F11 F13:F14 E18:F98 E146:F176">
    <cfRule type="cellIs" dxfId="2" priority="2" operator="equal">
      <formula>"Foundry"</formula>
    </cfRule>
  </conditionalFormatting>
  <hyperlinks>
    <hyperlink r:id="rId1" ref="H6"/>
    <hyperlink r:id="rId2" ref="H8"/>
    <hyperlink r:id="rId3" ref="H10"/>
    <hyperlink r:id="rId4" ref="H11"/>
    <hyperlink r:id="rId5" ref="H12"/>
    <hyperlink r:id="rId6" ref="H13"/>
    <hyperlink r:id="rId7" ref="H15"/>
    <hyperlink r:id="rId8" ref="H16"/>
    <hyperlink r:id="rId9" ref="H17"/>
    <hyperlink r:id="rId10" ref="H22"/>
    <hyperlink r:id="rId11" ref="H23"/>
    <hyperlink r:id="rId12" ref="H24"/>
    <hyperlink r:id="rId13" ref="H28"/>
    <hyperlink r:id="rId14" ref="H29"/>
    <hyperlink r:id="rId15" ref="H30"/>
    <hyperlink r:id="rId16" ref="H31"/>
    <hyperlink r:id="rId17" ref="H32"/>
    <hyperlink r:id="rId18" ref="H33"/>
    <hyperlink r:id="rId19" ref="H65"/>
    <hyperlink r:id="rId20" ref="H66"/>
    <hyperlink r:id="rId21" ref="H67"/>
    <hyperlink r:id="rId22" ref="H85"/>
    <hyperlink r:id="rId23" ref="H86"/>
    <hyperlink r:id="rId24" ref="H87"/>
    <hyperlink r:id="rId25" ref="H88"/>
    <hyperlink r:id="rId26" ref="H89"/>
    <hyperlink r:id="rId27" ref="H90"/>
    <hyperlink r:id="rId28" ref="H96"/>
    <hyperlink r:id="rId29" ref="H97"/>
    <hyperlink r:id="rId30" ref="H99"/>
    <hyperlink r:id="rId31" ref="H100"/>
    <hyperlink r:id="rId32" ref="H101"/>
  </hyperlinks>
  <drawing r:id="rId3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0"/>
    <col customWidth="1" min="2" max="2" width="22.25"/>
    <col customWidth="1" min="3" max="3" width="24.25"/>
    <col customWidth="1" min="4" max="8" width="22.0"/>
    <col customWidth="1" min="9" max="10" width="23.13"/>
  </cols>
  <sheetData>
    <row r="1">
      <c r="A1" s="1328" t="s">
        <v>679</v>
      </c>
      <c r="B1" s="1329" t="s">
        <v>680</v>
      </c>
      <c r="I1" s="1330"/>
    </row>
    <row r="2">
      <c r="B2" s="1331" t="s">
        <v>681</v>
      </c>
      <c r="C2" s="1332" t="s">
        <v>682</v>
      </c>
      <c r="D2" s="1333" t="s">
        <v>683</v>
      </c>
      <c r="E2" s="1334" t="s">
        <v>684</v>
      </c>
      <c r="F2" s="1335" t="s">
        <v>685</v>
      </c>
      <c r="G2" s="1336" t="s">
        <v>686</v>
      </c>
      <c r="H2" s="1337" t="s">
        <v>687</v>
      </c>
    </row>
    <row r="3" ht="82.5" customHeight="1">
      <c r="A3" s="1338" t="s">
        <v>688</v>
      </c>
      <c r="B3" s="1339" t="s">
        <v>689</v>
      </c>
      <c r="C3" s="1339" t="s">
        <v>690</v>
      </c>
      <c r="D3" s="1340" t="s">
        <v>691</v>
      </c>
      <c r="E3" s="1340" t="s">
        <v>692</v>
      </c>
      <c r="F3" s="1340" t="s">
        <v>693</v>
      </c>
      <c r="G3" s="1341" t="s">
        <v>694</v>
      </c>
      <c r="H3" s="1339" t="s">
        <v>695</v>
      </c>
      <c r="I3" s="1342" t="s">
        <v>696</v>
      </c>
    </row>
    <row r="4" ht="101.25" customHeight="1">
      <c r="A4" s="1338" t="s">
        <v>697</v>
      </c>
      <c r="B4" s="1343" t="s">
        <v>698</v>
      </c>
      <c r="C4" s="1340" t="s">
        <v>699</v>
      </c>
      <c r="D4" s="1340" t="s">
        <v>700</v>
      </c>
      <c r="E4" s="1340" t="s">
        <v>701</v>
      </c>
      <c r="F4" s="1344"/>
      <c r="G4" s="1339" t="s">
        <v>702</v>
      </c>
      <c r="H4" s="1339" t="s">
        <v>703</v>
      </c>
    </row>
    <row r="5" ht="82.5" customHeight="1">
      <c r="A5" s="1338" t="s">
        <v>704</v>
      </c>
      <c r="B5" s="1339" t="s">
        <v>705</v>
      </c>
      <c r="C5" s="1339" t="s">
        <v>706</v>
      </c>
      <c r="D5" s="1339" t="s">
        <v>707</v>
      </c>
      <c r="E5" s="1339" t="s">
        <v>708</v>
      </c>
      <c r="F5" s="1339" t="s">
        <v>709</v>
      </c>
      <c r="G5" s="1345" t="s">
        <v>710</v>
      </c>
      <c r="H5" s="1339" t="s">
        <v>711</v>
      </c>
    </row>
    <row r="6" ht="82.5" customHeight="1">
      <c r="A6" s="1338" t="s">
        <v>712</v>
      </c>
      <c r="B6" s="1345"/>
      <c r="C6" s="1346" t="s">
        <v>713</v>
      </c>
      <c r="D6" s="1339" t="s">
        <v>714</v>
      </c>
      <c r="E6" s="1347" t="s">
        <v>715</v>
      </c>
      <c r="F6" s="1339" t="s">
        <v>716</v>
      </c>
      <c r="G6" s="1339" t="s">
        <v>717</v>
      </c>
      <c r="H6" s="1339" t="s">
        <v>718</v>
      </c>
    </row>
    <row r="7" ht="82.5" customHeight="1">
      <c r="A7" s="1338" t="s">
        <v>719</v>
      </c>
      <c r="B7" s="1339" t="s">
        <v>720</v>
      </c>
      <c r="C7" s="1345" t="s">
        <v>608</v>
      </c>
      <c r="D7" s="1345"/>
      <c r="E7" s="1339" t="s">
        <v>721</v>
      </c>
      <c r="F7" s="1339" t="s">
        <v>722</v>
      </c>
      <c r="G7" s="1339" t="s">
        <v>723</v>
      </c>
      <c r="H7" s="1339" t="s">
        <v>724</v>
      </c>
    </row>
    <row r="8" ht="52.5" hidden="1" customHeight="1">
      <c r="A8" s="1348" t="s">
        <v>725</v>
      </c>
      <c r="B8" s="1349" t="s">
        <v>726</v>
      </c>
      <c r="C8" s="1349" t="s">
        <v>727</v>
      </c>
      <c r="D8" s="1349" t="s">
        <v>728</v>
      </c>
      <c r="E8" s="1349" t="s">
        <v>729</v>
      </c>
      <c r="F8" s="1349" t="s">
        <v>730</v>
      </c>
      <c r="G8" s="1349" t="s">
        <v>731</v>
      </c>
      <c r="H8" s="1349" t="s">
        <v>732</v>
      </c>
      <c r="I8" s="1349" t="s">
        <v>733</v>
      </c>
      <c r="J8" s="1349" t="s">
        <v>734</v>
      </c>
    </row>
    <row r="9" ht="52.5" hidden="1" customHeight="1">
      <c r="A9" s="1350"/>
      <c r="B9" s="1349" t="s">
        <v>735</v>
      </c>
      <c r="C9" s="1349" t="s">
        <v>736</v>
      </c>
      <c r="D9" s="1349" t="s">
        <v>737</v>
      </c>
      <c r="E9" s="1349" t="s">
        <v>738</v>
      </c>
      <c r="F9" s="1349" t="s">
        <v>739</v>
      </c>
      <c r="G9" s="1349" t="s">
        <v>740</v>
      </c>
      <c r="H9" s="1349" t="s">
        <v>741</v>
      </c>
      <c r="I9" s="1349" t="s">
        <v>742</v>
      </c>
      <c r="J9" s="1351"/>
    </row>
    <row r="10" ht="52.5" hidden="1" customHeight="1">
      <c r="A10" s="1350"/>
      <c r="B10" s="1349" t="s">
        <v>743</v>
      </c>
      <c r="C10" s="1349" t="s">
        <v>744</v>
      </c>
      <c r="D10" s="1349" t="s">
        <v>745</v>
      </c>
      <c r="E10" s="1349" t="s">
        <v>746</v>
      </c>
      <c r="F10" s="1349" t="s">
        <v>747</v>
      </c>
      <c r="G10" s="1349" t="s">
        <v>748</v>
      </c>
      <c r="H10" s="1349" t="s">
        <v>749</v>
      </c>
      <c r="I10" s="1352"/>
      <c r="J10" s="1351"/>
    </row>
    <row r="11" ht="52.5" hidden="1" customHeight="1">
      <c r="A11" s="1350"/>
      <c r="B11" s="1349" t="s">
        <v>750</v>
      </c>
      <c r="C11" s="1349" t="s">
        <v>751</v>
      </c>
      <c r="D11" s="1349" t="s">
        <v>752</v>
      </c>
      <c r="E11" s="1349" t="s">
        <v>753</v>
      </c>
      <c r="F11" s="1349" t="s">
        <v>754</v>
      </c>
      <c r="G11" s="1349" t="s">
        <v>755</v>
      </c>
      <c r="H11" s="1353"/>
      <c r="I11" s="1352"/>
      <c r="J11" s="1351"/>
    </row>
    <row r="12" ht="52.5" hidden="1" customHeight="1">
      <c r="A12" s="1350"/>
      <c r="B12" s="1349" t="s">
        <v>756</v>
      </c>
      <c r="C12" s="1349" t="s">
        <v>757</v>
      </c>
      <c r="D12" s="1349" t="s">
        <v>758</v>
      </c>
      <c r="E12" s="1349" t="s">
        <v>759</v>
      </c>
      <c r="F12" s="1349" t="s">
        <v>760</v>
      </c>
      <c r="G12" s="1353"/>
      <c r="H12" s="1353"/>
      <c r="I12" s="1352"/>
      <c r="J12" s="1351"/>
    </row>
    <row r="13" ht="52.5" hidden="1" customHeight="1">
      <c r="A13" s="1350"/>
      <c r="B13" s="1349" t="s">
        <v>761</v>
      </c>
      <c r="C13" s="1349" t="s">
        <v>762</v>
      </c>
      <c r="D13" s="1349" t="s">
        <v>763</v>
      </c>
      <c r="E13" s="1349" t="s">
        <v>764</v>
      </c>
      <c r="F13" s="1353"/>
      <c r="G13" s="1353"/>
      <c r="H13" s="1353"/>
      <c r="I13" s="1354"/>
      <c r="J13" s="1355"/>
    </row>
    <row r="14" ht="52.5" hidden="1" customHeight="1">
      <c r="A14" s="1350"/>
      <c r="B14" s="1349" t="s">
        <v>765</v>
      </c>
      <c r="C14" s="1349" t="s">
        <v>766</v>
      </c>
      <c r="D14" s="1349" t="s">
        <v>767</v>
      </c>
      <c r="E14" s="1353"/>
      <c r="F14" s="1353"/>
      <c r="G14" s="1353"/>
      <c r="H14" s="1353"/>
      <c r="I14" s="1354"/>
      <c r="J14" s="1355"/>
    </row>
    <row r="15" ht="52.5" hidden="1" customHeight="1">
      <c r="A15" s="1350"/>
      <c r="B15" s="1349" t="s">
        <v>768</v>
      </c>
      <c r="C15" s="1349" t="s">
        <v>769</v>
      </c>
      <c r="D15" s="1353"/>
      <c r="E15" s="1353"/>
      <c r="F15" s="1353"/>
      <c r="G15" s="1353"/>
      <c r="H15" s="1353"/>
      <c r="I15" s="1354"/>
      <c r="J15" s="1355"/>
    </row>
    <row r="16" ht="52.5" hidden="1" customHeight="1">
      <c r="A16" s="1350"/>
      <c r="B16" s="1349" t="s">
        <v>770</v>
      </c>
      <c r="C16" s="1353"/>
      <c r="D16" s="1353"/>
      <c r="E16" s="1353"/>
      <c r="F16" s="1353"/>
      <c r="G16" s="1353"/>
      <c r="H16" s="1353"/>
      <c r="I16" s="1354"/>
      <c r="J16" s="1355"/>
    </row>
    <row r="17" ht="96.0" customHeight="1">
      <c r="A17" s="1356" t="s">
        <v>771</v>
      </c>
      <c r="B17" s="1347" t="s">
        <v>772</v>
      </c>
      <c r="C17" s="1357" t="s">
        <v>773</v>
      </c>
      <c r="D17" s="1347" t="s">
        <v>774</v>
      </c>
      <c r="E17" s="1347" t="s">
        <v>775</v>
      </c>
      <c r="F17" s="1358" t="s">
        <v>776</v>
      </c>
      <c r="G17" s="1359" t="s">
        <v>777</v>
      </c>
      <c r="H17" s="1357" t="s">
        <v>778</v>
      </c>
      <c r="I17" s="1360"/>
      <c r="J17" s="17"/>
    </row>
    <row r="18" ht="82.5" customHeight="1">
      <c r="A18" s="1361" t="s">
        <v>779</v>
      </c>
      <c r="B18" s="1362"/>
      <c r="C18" s="1362"/>
      <c r="D18" s="1362"/>
      <c r="E18" s="1362"/>
      <c r="F18" s="1362"/>
      <c r="G18" s="1362"/>
      <c r="H18" s="1362"/>
      <c r="I18" s="1360"/>
      <c r="J18" s="17"/>
    </row>
  </sheetData>
  <mergeCells count="4">
    <mergeCell ref="A1:A2"/>
    <mergeCell ref="B1:H1"/>
    <mergeCell ref="I1:J2"/>
    <mergeCell ref="I3:J7"/>
  </mergeCells>
  <drawing r:id="rId1"/>
</worksheet>
</file>